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externalLinks/externalLink1.xml" ContentType="application/vnd.openxmlformats-officedocument.spreadsheetml.externalLink+xml"/>
  <Override PartName="/xl/pivotCache/pivotCacheDefinition1.xml" ContentType="application/vnd.openxmlformats-officedocument.spreadsheetml.pivotCacheDefinition+xml"/>
  <Override PartName="/xl/pivotCache/pivotCacheRecords1.xml" ContentType="application/vnd.openxmlformats-officedocument.spreadsheetml.pivotCacheRecords+xml"/>
  <Override PartName="/xl/pivotCache/pivotCacheDefinition2.xml" ContentType="application/vnd.openxmlformats-officedocument.spreadsheetml.pivotCacheDefinition+xml"/>
  <Override PartName="/xl/pivotCache/pivotCacheRecords2.xml" ContentType="application/vnd.openxmlformats-officedocument.spreadsheetml.pivotCacheRecords+xml"/>
  <Override PartName="/xl/slicerCaches/slicerCache1.xml" ContentType="application/vnd.ms-excel.slicerCache+xml"/>
  <Override PartName="/xl/theme/theme1.xml" ContentType="application/vnd.openxmlformats-officedocument.theme+xml"/>
  <Override PartName="/xl/connections.xml" ContentType="application/vnd.openxmlformats-officedocument.spreadsheetml.connections+xml"/>
  <Override PartName="/xl/styles.xml" ContentType="application/vnd.openxmlformats-officedocument.spreadsheetml.styles+xml"/>
  <Override PartName="/xl/sharedStrings.xml" ContentType="application/vnd.openxmlformats-officedocument.spreadsheetml.sharedStrings+xml"/>
  <Override PartName="/xl/metadata.xml" ContentType="application/vnd.openxmlformats-officedocument.spreadsheetml.sheetMetadata+xml"/>
  <Override PartName="/xl/tables/table1.xml" ContentType="application/vnd.openxmlformats-officedocument.spreadsheetml.table+xml"/>
  <Override PartName="/xl/tables/table2.xml" ContentType="application/vnd.openxmlformats-officedocument.spreadsheetml.table+xml"/>
  <Override PartName="/xl/tables/table3.xml" ContentType="application/vnd.openxmlformats-officedocument.spreadsheetml.table+xml"/>
  <Override PartName="/xl/tables/table4.xml" ContentType="application/vnd.openxmlformats-officedocument.spreadsheetml.table+xml"/>
  <Override PartName="/xl/tables/table5.xml" ContentType="application/vnd.openxmlformats-officedocument.spreadsheetml.table+xml"/>
  <Override PartName="/xl/tables/table6.xml" ContentType="application/vnd.openxmlformats-officedocument.spreadsheetml.table+xml"/>
  <Override PartName="/xl/tables/table7.xml" ContentType="application/vnd.openxmlformats-officedocument.spreadsheetml.table+xml"/>
  <Override PartName="/xl/tables/table8.xml" ContentType="application/vnd.openxmlformats-officedocument.spreadsheetml.table+xml"/>
  <Override PartName="/xl/pivotTables/pivotTable1.xml" ContentType="application/vnd.openxmlformats-officedocument.spreadsheetml.pivotTable+xml"/>
  <Override PartName="/xl/drawings/drawing1.xml" ContentType="application/vnd.openxmlformats-officedocument.drawing+xml"/>
  <Override PartName="/xl/tables/table9.xml" ContentType="application/vnd.openxmlformats-officedocument.spreadsheetml.table+xml"/>
  <Override PartName="/xl/slicers/slicer1.xml" ContentType="application/vnd.ms-excel.slicer+xml"/>
  <Override PartName="/xl/tables/table10.xml" ContentType="application/vnd.openxmlformats-officedocument.spreadsheetml.table+xml"/>
  <Override PartName="/xl/tables/table11.xml" ContentType="application/vnd.openxmlformats-officedocument.spreadsheetml.table+xml"/>
  <Override PartName="/xl/tables/table12.xml" ContentType="application/vnd.openxmlformats-officedocument.spreadsheetml.table+xml"/>
  <Override PartName="/xl/tables/table13.xml" ContentType="application/vnd.openxmlformats-officedocument.spreadsheetml.table+xml"/>
  <Override PartName="/xl/drawings/drawing2.xml" ContentType="application/vnd.openxmlformats-officedocument.drawing+xml"/>
  <Override PartName="/xl/tables/table14.xml" ContentType="application/vnd.openxmlformats-officedocument.spreadsheetml.table+xml"/>
  <Override PartName="/xl/queryTables/queryTable1.xml" ContentType="application/vnd.openxmlformats-officedocument.spreadsheetml.queryTable+xml"/>
  <Override PartName="/xl/tables/table15.xml" ContentType="application/vnd.openxmlformats-officedocument.spreadsheetml.table+xml"/>
  <Override PartName="/xl/queryTables/queryTable2.xml" ContentType="application/vnd.openxmlformats-officedocument.spreadsheetml.queryTable+xml"/>
  <Override PartName="/xl/tables/table16.xml" ContentType="application/vnd.openxmlformats-officedocument.spreadsheetml.table+xml"/>
  <Override PartName="/xl/queryTables/queryTable3.xml" ContentType="application/vnd.openxmlformats-officedocument.spreadsheetml.queryTable+xml"/>
  <Override PartName="/xl/pivotTables/pivotTable2.xml" ContentType="application/vnd.openxmlformats-officedocument.spreadsheetml.pivotTable+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426"/>
  <workbookPr codeName="EstaPastaDeTrabalho" hidePivotFieldList="1"/>
  <mc:AlternateContent xmlns:mc="http://schemas.openxmlformats.org/markup-compatibility/2006">
    <mc:Choice Requires="x15">
      <x15ac:absPath xmlns:x15ac="http://schemas.microsoft.com/office/spreadsheetml/2010/11/ac" url="https://mpmg.sharepoint.com/sites/msteams_d913b2_873858/Documentos Compartilhados/General/03.Custos/CUSTOS TR NOVOS CONTRATOS/NOVA CONTRATAÇÃO APOIO E LIMPEZA 2025/"/>
    </mc:Choice>
  </mc:AlternateContent>
  <xr:revisionPtr revIDLastSave="28" documentId="114_{8DDEAA64-FD6F-448E-9A27-F8A362203DA3}" xr6:coauthVersionLast="47" xr6:coauthVersionMax="47" xr10:uidLastSave="{A7A53538-31CF-4E82-8BE3-37F55F17B526}"/>
  <bookViews>
    <workbookView xWindow="-120" yWindow="-120" windowWidth="29040" windowHeight="15720" tabRatio="801" xr2:uid="{27092A32-7BE6-4794-B9B4-B7CD696A3963}"/>
  </bookViews>
  <sheets>
    <sheet name="ORIENTAÇÕES PARA O LICITANTE" sheetId="22" r:id="rId1"/>
    <sheet name="BASE GERAL" sheetId="2" r:id="rId2"/>
    <sheet name="UNIFORMES" sheetId="12" r:id="rId3"/>
    <sheet name="INSUMOS AUX. DE LIMPEZA" sheetId="19" r:id="rId4"/>
    <sheet name="INSUMOS LIMP. DE VIDROS" sheetId="20" r:id="rId5"/>
    <sheet name="RELAÇÃO SINDICATOS" sheetId="13" r:id="rId6"/>
    <sheet name="RELAÇÃO POSTOS" sheetId="21" r:id="rId7"/>
    <sheet name="PARAMETROS" sheetId="1" r:id="rId8"/>
    <sheet name="CUSTO UNITARIO" sheetId="4" r:id="rId9"/>
    <sheet name="CUSTO GLOBAL1" sheetId="5" state="hidden" r:id="rId10"/>
    <sheet name="CUSTO GLOBAL" sheetId="10" r:id="rId11"/>
    <sheet name="COMPOSIÇÃO DE CUSTOS" sheetId="6" r:id="rId12"/>
  </sheets>
  <externalReferences>
    <externalReference r:id="rId13"/>
  </externalReferences>
  <definedNames>
    <definedName name="_xlnm._FilterDatabase" localSheetId="1" hidden="1">'BASE GERAL'!$A$1:$C$299</definedName>
    <definedName name="_xlnm._FilterDatabase" localSheetId="9" hidden="1">'CUSTO GLOBAL1'!$A$1:$CD$1</definedName>
    <definedName name="_xlnm.Print_Area" localSheetId="11">'COMPOSIÇÃO DE CUSTOS'!$A$1:$E$131</definedName>
    <definedName name="CARGOS" localSheetId="4">tabCargos[#All]</definedName>
    <definedName name="CARGOS" localSheetId="0">[1]!tabCargos[#All]</definedName>
    <definedName name="CARGOS" localSheetId="6">tabCargos[#All]</definedName>
    <definedName name="COMARCAS" localSheetId="4">tabComarca[#All]</definedName>
    <definedName name="COMARCAS" localSheetId="0">[1]!tabComarca[#All]</definedName>
    <definedName name="COMARCAS" localSheetId="6">tabComarca[#All]</definedName>
    <definedName name="DadosExternos_1" localSheetId="8" hidden="1">'CUSTO UNITARIO'!$A$3:$N$255</definedName>
    <definedName name="DadosExternos_1" localSheetId="7" hidden="1">PARAMETROS!$A$3:$C$255</definedName>
    <definedName name="DadosExternos_2" localSheetId="10" hidden="1">'CUSTO GLOBAL'!$A$3:$H$255</definedName>
    <definedName name="DadosExternos_2" localSheetId="9" hidden="1">'CUSTO GLOBAL1'!#REF!</definedName>
    <definedName name="DadosExternos_2" localSheetId="5" hidden="1">'RELAÇÃO SINDICATOS'!#REF!</definedName>
    <definedName name="FromArray_1" localSheetId="0">_xlfn.ANCHORARRAY('[1]CUSTO GLOBAL1'!$C$2)</definedName>
    <definedName name="FromArray_2" localSheetId="0">_xlfn.ANCHORARRAY('[1]CUSTO GLOBAL1'!$A$1)</definedName>
    <definedName name="Index_Sheet_Kutools">#REF!</definedName>
    <definedName name="SegmentaçãodeDados_Cargo">#N/A</definedName>
  </definedNames>
  <calcPr calcId="191029"/>
  <pivotCaches>
    <pivotCache cacheId="4" r:id="rId14"/>
    <pivotCache cacheId="5" r:id="rId15"/>
  </pivotCaches>
  <extLst>
    <ext xmlns:x14="http://schemas.microsoft.com/office/spreadsheetml/2009/9/main" uri="{BBE1A952-AA13-448e-AADC-164F8A28A991}">
      <x14:slicerCaches>
        <x14:slicerCache r:id="rId16"/>
      </x14:slicerCaches>
    </ext>
    <ext xmlns:x14="http://schemas.microsoft.com/office/spreadsheetml/2009/9/main" uri="{79F54976-1DA5-4618-B147-4CDE4B953A38}">
      <x14:workbookPr/>
    </ex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G256" i="4" l="1"/>
  <c r="H256" i="4"/>
  <c r="I256" i="4"/>
  <c r="J256" i="4"/>
  <c r="K256" i="4"/>
  <c r="L256" i="4"/>
  <c r="M256" i="4"/>
  <c r="N256" i="4"/>
  <c r="O4" i="4"/>
  <c r="O5" i="4"/>
  <c r="O6" i="4"/>
  <c r="O7" i="4"/>
  <c r="O8" i="4"/>
  <c r="O9" i="4"/>
  <c r="O10" i="4"/>
  <c r="O11" i="4"/>
  <c r="O12" i="4"/>
  <c r="O13" i="4"/>
  <c r="O14" i="4"/>
  <c r="O15" i="4"/>
  <c r="O16" i="4"/>
  <c r="O17" i="4"/>
  <c r="O18" i="4"/>
  <c r="O19" i="4"/>
  <c r="O20" i="4"/>
  <c r="O21" i="4"/>
  <c r="O22" i="4"/>
  <c r="O23" i="4"/>
  <c r="O24" i="4"/>
  <c r="O25" i="4"/>
  <c r="O26" i="4"/>
  <c r="O27" i="4"/>
  <c r="O28" i="4"/>
  <c r="O29" i="4"/>
  <c r="O30" i="4"/>
  <c r="O31" i="4"/>
  <c r="O32" i="4"/>
  <c r="O33" i="4"/>
  <c r="O34" i="4"/>
  <c r="O35" i="4"/>
  <c r="O36" i="4"/>
  <c r="O37" i="4"/>
  <c r="O38" i="4"/>
  <c r="O39" i="4"/>
  <c r="O40" i="4"/>
  <c r="O41" i="4"/>
  <c r="O42" i="4"/>
  <c r="O43" i="4"/>
  <c r="O44" i="4"/>
  <c r="O45" i="4"/>
  <c r="O46" i="4"/>
  <c r="O47" i="4"/>
  <c r="O48" i="4"/>
  <c r="O49" i="4"/>
  <c r="O50" i="4"/>
  <c r="O51" i="4"/>
  <c r="O52" i="4"/>
  <c r="O53" i="4"/>
  <c r="O54" i="4"/>
  <c r="O55" i="4"/>
  <c r="O56" i="4"/>
  <c r="O57" i="4"/>
  <c r="O58" i="4"/>
  <c r="O59" i="4"/>
  <c r="O60" i="4"/>
  <c r="O61" i="4"/>
  <c r="O62" i="4"/>
  <c r="O63" i="4"/>
  <c r="O64" i="4"/>
  <c r="O65" i="4"/>
  <c r="O66" i="4"/>
  <c r="O67" i="4"/>
  <c r="O68" i="4"/>
  <c r="O69" i="4"/>
  <c r="O70" i="4"/>
  <c r="O71" i="4"/>
  <c r="O72" i="4"/>
  <c r="O73" i="4"/>
  <c r="O74" i="4"/>
  <c r="O75" i="4"/>
  <c r="O76" i="4"/>
  <c r="O77" i="4"/>
  <c r="O78" i="4"/>
  <c r="O79" i="4"/>
  <c r="O80" i="4"/>
  <c r="O81" i="4"/>
  <c r="O82" i="4"/>
  <c r="O83" i="4"/>
  <c r="O84" i="4"/>
  <c r="O85" i="4"/>
  <c r="O86" i="4"/>
  <c r="O87" i="4"/>
  <c r="O88" i="4"/>
  <c r="O89" i="4"/>
  <c r="O90" i="4"/>
  <c r="O91" i="4"/>
  <c r="O92" i="4"/>
  <c r="O93" i="4"/>
  <c r="O94" i="4"/>
  <c r="O95" i="4"/>
  <c r="O96" i="4"/>
  <c r="O97" i="4"/>
  <c r="O98" i="4"/>
  <c r="O99" i="4"/>
  <c r="O100" i="4"/>
  <c r="O101" i="4"/>
  <c r="O102" i="4"/>
  <c r="O103" i="4"/>
  <c r="O104" i="4"/>
  <c r="O105" i="4"/>
  <c r="O106" i="4"/>
  <c r="O107" i="4"/>
  <c r="O108" i="4"/>
  <c r="O109" i="4"/>
  <c r="O110" i="4"/>
  <c r="O111" i="4"/>
  <c r="O112" i="4"/>
  <c r="O113" i="4"/>
  <c r="O114" i="4"/>
  <c r="O115" i="4"/>
  <c r="O116" i="4"/>
  <c r="O117" i="4"/>
  <c r="O118" i="4"/>
  <c r="O119" i="4"/>
  <c r="O120" i="4"/>
  <c r="O121" i="4"/>
  <c r="O122" i="4"/>
  <c r="O123" i="4"/>
  <c r="O124" i="4"/>
  <c r="O125" i="4"/>
  <c r="O126" i="4"/>
  <c r="O127" i="4"/>
  <c r="O128" i="4"/>
  <c r="O129" i="4"/>
  <c r="O130" i="4"/>
  <c r="O131" i="4"/>
  <c r="O132" i="4"/>
  <c r="O133" i="4"/>
  <c r="O134" i="4"/>
  <c r="O135" i="4"/>
  <c r="O136" i="4"/>
  <c r="O137" i="4"/>
  <c r="O138" i="4"/>
  <c r="O139" i="4"/>
  <c r="O140" i="4"/>
  <c r="O141" i="4"/>
  <c r="O142" i="4"/>
  <c r="O143" i="4"/>
  <c r="O144" i="4"/>
  <c r="O145" i="4"/>
  <c r="O146" i="4"/>
  <c r="O147" i="4"/>
  <c r="O148" i="4"/>
  <c r="O149" i="4"/>
  <c r="O150" i="4"/>
  <c r="O151" i="4"/>
  <c r="O152" i="4"/>
  <c r="O153" i="4"/>
  <c r="O154" i="4"/>
  <c r="O155" i="4"/>
  <c r="O156" i="4"/>
  <c r="O157" i="4"/>
  <c r="O158" i="4"/>
  <c r="O159" i="4"/>
  <c r="O160" i="4"/>
  <c r="O161" i="4"/>
  <c r="O162" i="4"/>
  <c r="O163" i="4"/>
  <c r="O164" i="4"/>
  <c r="O165" i="4"/>
  <c r="O166" i="4"/>
  <c r="O167" i="4"/>
  <c r="O168" i="4"/>
  <c r="O169" i="4"/>
  <c r="O170" i="4"/>
  <c r="O171" i="4"/>
  <c r="O172" i="4"/>
  <c r="O173" i="4"/>
  <c r="O174" i="4"/>
  <c r="O175" i="4"/>
  <c r="O176" i="4"/>
  <c r="O177" i="4"/>
  <c r="O178" i="4"/>
  <c r="O179" i="4"/>
  <c r="O180" i="4"/>
  <c r="O181" i="4"/>
  <c r="O182" i="4"/>
  <c r="O183" i="4"/>
  <c r="O184" i="4"/>
  <c r="O185" i="4"/>
  <c r="O186" i="4"/>
  <c r="O187" i="4"/>
  <c r="O188" i="4"/>
  <c r="O189" i="4"/>
  <c r="O190" i="4"/>
  <c r="O191" i="4"/>
  <c r="O192" i="4"/>
  <c r="O193" i="4"/>
  <c r="O194" i="4"/>
  <c r="O195" i="4"/>
  <c r="O196" i="4"/>
  <c r="O197" i="4"/>
  <c r="O198" i="4"/>
  <c r="O199" i="4"/>
  <c r="O200" i="4"/>
  <c r="O201" i="4"/>
  <c r="O202" i="4"/>
  <c r="O203" i="4"/>
  <c r="O204" i="4"/>
  <c r="O205" i="4"/>
  <c r="O206" i="4"/>
  <c r="O207" i="4"/>
  <c r="O208" i="4"/>
  <c r="O209" i="4"/>
  <c r="O210" i="4"/>
  <c r="O211" i="4"/>
  <c r="O212" i="4"/>
  <c r="O213" i="4"/>
  <c r="O214" i="4"/>
  <c r="O215" i="4"/>
  <c r="O216" i="4"/>
  <c r="O217" i="4"/>
  <c r="O218" i="4"/>
  <c r="O219" i="4"/>
  <c r="O220" i="4"/>
  <c r="O221" i="4"/>
  <c r="O222" i="4"/>
  <c r="O223" i="4"/>
  <c r="O224" i="4"/>
  <c r="O225" i="4"/>
  <c r="O226" i="4"/>
  <c r="O227" i="4"/>
  <c r="O228" i="4"/>
  <c r="O229" i="4"/>
  <c r="O230" i="4"/>
  <c r="O231" i="4"/>
  <c r="O232" i="4"/>
  <c r="O233" i="4"/>
  <c r="O234" i="4"/>
  <c r="O235" i="4"/>
  <c r="O236" i="4"/>
  <c r="O237" i="4"/>
  <c r="O238" i="4"/>
  <c r="O239" i="4"/>
  <c r="O240" i="4"/>
  <c r="O241" i="4"/>
  <c r="O242" i="4"/>
  <c r="O243" i="4"/>
  <c r="O244" i="4"/>
  <c r="O245" i="4"/>
  <c r="O246" i="4"/>
  <c r="O247" i="4"/>
  <c r="O248" i="4"/>
  <c r="O249" i="4"/>
  <c r="O250" i="4"/>
  <c r="O251" i="4"/>
  <c r="O252" i="4"/>
  <c r="O253" i="4"/>
  <c r="O254" i="4"/>
  <c r="O255" i="4"/>
  <c r="P4" i="4"/>
  <c r="P5" i="4"/>
  <c r="P6" i="4"/>
  <c r="P7" i="4"/>
  <c r="P8" i="4"/>
  <c r="P9" i="4"/>
  <c r="P10" i="4"/>
  <c r="P11" i="4"/>
  <c r="P12" i="4"/>
  <c r="P13" i="4"/>
  <c r="P14" i="4"/>
  <c r="P15" i="4"/>
  <c r="P16" i="4"/>
  <c r="P17" i="4"/>
  <c r="P18" i="4"/>
  <c r="P19" i="4"/>
  <c r="P20" i="4"/>
  <c r="P21" i="4"/>
  <c r="P22" i="4"/>
  <c r="P23" i="4"/>
  <c r="P24" i="4"/>
  <c r="P25" i="4"/>
  <c r="P26" i="4"/>
  <c r="P27" i="4"/>
  <c r="P28" i="4"/>
  <c r="P29" i="4"/>
  <c r="P30" i="4"/>
  <c r="P31" i="4"/>
  <c r="P32" i="4"/>
  <c r="P33" i="4"/>
  <c r="P34" i="4"/>
  <c r="P35" i="4"/>
  <c r="P36" i="4"/>
  <c r="P37" i="4"/>
  <c r="P38" i="4"/>
  <c r="P39" i="4"/>
  <c r="P40" i="4"/>
  <c r="P41" i="4"/>
  <c r="P42" i="4"/>
  <c r="P43" i="4"/>
  <c r="P44" i="4"/>
  <c r="P45" i="4"/>
  <c r="P46" i="4"/>
  <c r="P47" i="4"/>
  <c r="P48" i="4"/>
  <c r="P49" i="4"/>
  <c r="P50" i="4"/>
  <c r="P51" i="4"/>
  <c r="P52" i="4"/>
  <c r="P53" i="4"/>
  <c r="P54" i="4"/>
  <c r="P55" i="4"/>
  <c r="P56" i="4"/>
  <c r="P57" i="4"/>
  <c r="P58" i="4"/>
  <c r="P59" i="4"/>
  <c r="P60" i="4"/>
  <c r="P61" i="4"/>
  <c r="P62" i="4"/>
  <c r="P63" i="4"/>
  <c r="P64" i="4"/>
  <c r="P65" i="4"/>
  <c r="P66" i="4"/>
  <c r="P67" i="4"/>
  <c r="P68" i="4"/>
  <c r="P69" i="4"/>
  <c r="P70" i="4"/>
  <c r="P71" i="4"/>
  <c r="P72" i="4"/>
  <c r="P73" i="4"/>
  <c r="P74" i="4"/>
  <c r="P75" i="4"/>
  <c r="P76" i="4"/>
  <c r="P77" i="4"/>
  <c r="P78" i="4"/>
  <c r="P79" i="4"/>
  <c r="P80" i="4"/>
  <c r="P81" i="4"/>
  <c r="P82" i="4"/>
  <c r="P83" i="4"/>
  <c r="P84" i="4"/>
  <c r="P85" i="4"/>
  <c r="P86" i="4"/>
  <c r="P87" i="4"/>
  <c r="P88" i="4"/>
  <c r="P89" i="4"/>
  <c r="P90" i="4"/>
  <c r="P91" i="4"/>
  <c r="P92" i="4"/>
  <c r="P93" i="4"/>
  <c r="P94" i="4"/>
  <c r="P95" i="4"/>
  <c r="P96" i="4"/>
  <c r="P97" i="4"/>
  <c r="P98" i="4"/>
  <c r="P99" i="4"/>
  <c r="P100" i="4"/>
  <c r="P101" i="4"/>
  <c r="P102" i="4"/>
  <c r="P103" i="4"/>
  <c r="P104" i="4"/>
  <c r="P105" i="4"/>
  <c r="P106" i="4"/>
  <c r="P107" i="4"/>
  <c r="P108" i="4"/>
  <c r="P109" i="4"/>
  <c r="P110" i="4"/>
  <c r="P111" i="4"/>
  <c r="P112" i="4"/>
  <c r="P113" i="4"/>
  <c r="P114" i="4"/>
  <c r="P115" i="4"/>
  <c r="P116" i="4"/>
  <c r="P117" i="4"/>
  <c r="P118" i="4"/>
  <c r="P119" i="4"/>
  <c r="P120" i="4"/>
  <c r="P121" i="4"/>
  <c r="P122" i="4"/>
  <c r="P123" i="4"/>
  <c r="P124" i="4"/>
  <c r="P125" i="4"/>
  <c r="P126" i="4"/>
  <c r="P127" i="4"/>
  <c r="P128" i="4"/>
  <c r="P129" i="4"/>
  <c r="P130" i="4"/>
  <c r="P131" i="4"/>
  <c r="P132" i="4"/>
  <c r="P133" i="4"/>
  <c r="P134" i="4"/>
  <c r="P135" i="4"/>
  <c r="P136" i="4"/>
  <c r="P137" i="4"/>
  <c r="P138" i="4"/>
  <c r="P139" i="4"/>
  <c r="P140" i="4"/>
  <c r="P141" i="4"/>
  <c r="P142" i="4"/>
  <c r="P143" i="4"/>
  <c r="P144" i="4"/>
  <c r="P145" i="4"/>
  <c r="P146" i="4"/>
  <c r="P147" i="4"/>
  <c r="P148" i="4"/>
  <c r="P149" i="4"/>
  <c r="P150" i="4"/>
  <c r="P151" i="4"/>
  <c r="P152" i="4"/>
  <c r="P153" i="4"/>
  <c r="P154" i="4"/>
  <c r="P155" i="4"/>
  <c r="P156" i="4"/>
  <c r="P157" i="4"/>
  <c r="P158" i="4"/>
  <c r="P159" i="4"/>
  <c r="P160" i="4"/>
  <c r="P161" i="4"/>
  <c r="P162" i="4"/>
  <c r="P163" i="4"/>
  <c r="P164" i="4"/>
  <c r="P165" i="4"/>
  <c r="P166" i="4"/>
  <c r="P167" i="4"/>
  <c r="P168" i="4"/>
  <c r="P169" i="4"/>
  <c r="P170" i="4"/>
  <c r="P171" i="4"/>
  <c r="P172" i="4"/>
  <c r="P173" i="4"/>
  <c r="P174" i="4"/>
  <c r="P175" i="4"/>
  <c r="P176" i="4"/>
  <c r="P177" i="4"/>
  <c r="P178" i="4"/>
  <c r="P179" i="4"/>
  <c r="P180" i="4"/>
  <c r="P181" i="4"/>
  <c r="P182" i="4"/>
  <c r="P183" i="4"/>
  <c r="P184" i="4"/>
  <c r="P185" i="4"/>
  <c r="P186" i="4"/>
  <c r="P187" i="4"/>
  <c r="P188" i="4"/>
  <c r="P189" i="4"/>
  <c r="P190" i="4"/>
  <c r="P191" i="4"/>
  <c r="P192" i="4"/>
  <c r="P193" i="4"/>
  <c r="P194" i="4"/>
  <c r="P195" i="4"/>
  <c r="P196" i="4"/>
  <c r="P197" i="4"/>
  <c r="P198" i="4"/>
  <c r="P199" i="4"/>
  <c r="P200" i="4"/>
  <c r="P201" i="4"/>
  <c r="P202" i="4"/>
  <c r="P203" i="4"/>
  <c r="P204" i="4"/>
  <c r="P205" i="4"/>
  <c r="P206" i="4"/>
  <c r="P207" i="4"/>
  <c r="P208" i="4"/>
  <c r="P209" i="4"/>
  <c r="P210" i="4"/>
  <c r="P211" i="4"/>
  <c r="P212" i="4"/>
  <c r="P213" i="4"/>
  <c r="P214" i="4"/>
  <c r="P215" i="4"/>
  <c r="P216" i="4"/>
  <c r="P217" i="4"/>
  <c r="P218" i="4"/>
  <c r="P219" i="4"/>
  <c r="P220" i="4"/>
  <c r="P221" i="4"/>
  <c r="P222" i="4"/>
  <c r="P223" i="4"/>
  <c r="P224" i="4"/>
  <c r="P225" i="4"/>
  <c r="P226" i="4"/>
  <c r="P227" i="4"/>
  <c r="P228" i="4"/>
  <c r="P229" i="4"/>
  <c r="P230" i="4"/>
  <c r="P231" i="4"/>
  <c r="P232" i="4"/>
  <c r="P233" i="4"/>
  <c r="P234" i="4"/>
  <c r="P235" i="4"/>
  <c r="P236" i="4"/>
  <c r="P237" i="4"/>
  <c r="P238" i="4"/>
  <c r="P239" i="4"/>
  <c r="P240" i="4"/>
  <c r="P241" i="4"/>
  <c r="P242" i="4"/>
  <c r="P243" i="4"/>
  <c r="P244" i="4"/>
  <c r="P245" i="4"/>
  <c r="P246" i="4"/>
  <c r="P247" i="4"/>
  <c r="P248" i="4"/>
  <c r="P249" i="4"/>
  <c r="P250" i="4"/>
  <c r="P251" i="4"/>
  <c r="P252" i="4"/>
  <c r="P253" i="4"/>
  <c r="P254" i="4"/>
  <c r="P255" i="4"/>
  <c r="Q4" i="4"/>
  <c r="Q5" i="4"/>
  <c r="Q6" i="4"/>
  <c r="Q7" i="4"/>
  <c r="Q8" i="4"/>
  <c r="Q9" i="4"/>
  <c r="Q10" i="4"/>
  <c r="Q11" i="4"/>
  <c r="Q12" i="4"/>
  <c r="Q13" i="4"/>
  <c r="Q14" i="4"/>
  <c r="Q15" i="4"/>
  <c r="Q16" i="4"/>
  <c r="Q17" i="4"/>
  <c r="Q18" i="4"/>
  <c r="Q19" i="4"/>
  <c r="Q20" i="4"/>
  <c r="Q21" i="4"/>
  <c r="Q22" i="4"/>
  <c r="Q23" i="4"/>
  <c r="Q24" i="4"/>
  <c r="Q25" i="4"/>
  <c r="Q26" i="4"/>
  <c r="Q27" i="4"/>
  <c r="Q28" i="4"/>
  <c r="Q29" i="4"/>
  <c r="Q30" i="4"/>
  <c r="Q31" i="4"/>
  <c r="Q32" i="4"/>
  <c r="Q33" i="4"/>
  <c r="Q34" i="4"/>
  <c r="Q35" i="4"/>
  <c r="Q36" i="4"/>
  <c r="Q37" i="4"/>
  <c r="Q38" i="4"/>
  <c r="Q39" i="4"/>
  <c r="Q40" i="4"/>
  <c r="Q41" i="4"/>
  <c r="Q42" i="4"/>
  <c r="Q43" i="4"/>
  <c r="Q44" i="4"/>
  <c r="Q45" i="4"/>
  <c r="Q46" i="4"/>
  <c r="Q47" i="4"/>
  <c r="Q48" i="4"/>
  <c r="Q49" i="4"/>
  <c r="Q50" i="4"/>
  <c r="Q51" i="4"/>
  <c r="Q52" i="4"/>
  <c r="Q53" i="4"/>
  <c r="Q54" i="4"/>
  <c r="Q55" i="4"/>
  <c r="Q56" i="4"/>
  <c r="Q57" i="4"/>
  <c r="Q58" i="4"/>
  <c r="Q59" i="4"/>
  <c r="Q60" i="4"/>
  <c r="Q61" i="4"/>
  <c r="Q62" i="4"/>
  <c r="Q63" i="4"/>
  <c r="Q64" i="4"/>
  <c r="Q65" i="4"/>
  <c r="Q66" i="4"/>
  <c r="Q67" i="4"/>
  <c r="Q68" i="4"/>
  <c r="Q69" i="4"/>
  <c r="Q70" i="4"/>
  <c r="Q71" i="4"/>
  <c r="Q72" i="4"/>
  <c r="Q73" i="4"/>
  <c r="Q74" i="4"/>
  <c r="Q75" i="4"/>
  <c r="Q76" i="4"/>
  <c r="Q77" i="4"/>
  <c r="Q78" i="4"/>
  <c r="Q79" i="4"/>
  <c r="Q80" i="4"/>
  <c r="Q81" i="4"/>
  <c r="Q82" i="4"/>
  <c r="Q83" i="4"/>
  <c r="Q84" i="4"/>
  <c r="Q85" i="4"/>
  <c r="Q86" i="4"/>
  <c r="Q87" i="4"/>
  <c r="Q88" i="4"/>
  <c r="Q89" i="4"/>
  <c r="Q90" i="4"/>
  <c r="Q91" i="4"/>
  <c r="Q92" i="4"/>
  <c r="Q93" i="4"/>
  <c r="Q94" i="4"/>
  <c r="Q95" i="4"/>
  <c r="Q96" i="4"/>
  <c r="Q97" i="4"/>
  <c r="Q98" i="4"/>
  <c r="Q99" i="4"/>
  <c r="Q100" i="4"/>
  <c r="Q101" i="4"/>
  <c r="Q102" i="4"/>
  <c r="Q103" i="4"/>
  <c r="Q104" i="4"/>
  <c r="Q105" i="4"/>
  <c r="Q106" i="4"/>
  <c r="Q107" i="4"/>
  <c r="Q108" i="4"/>
  <c r="Q109" i="4"/>
  <c r="Q110" i="4"/>
  <c r="Q111" i="4"/>
  <c r="Q112" i="4"/>
  <c r="Q113" i="4"/>
  <c r="Q114" i="4"/>
  <c r="Q115" i="4"/>
  <c r="Q116" i="4"/>
  <c r="Q117" i="4"/>
  <c r="Q118" i="4"/>
  <c r="Q119" i="4"/>
  <c r="Q120" i="4"/>
  <c r="Q121" i="4"/>
  <c r="Q122" i="4"/>
  <c r="Q123" i="4"/>
  <c r="Q124" i="4"/>
  <c r="Q125" i="4"/>
  <c r="Q126" i="4"/>
  <c r="Q127" i="4"/>
  <c r="Q128" i="4"/>
  <c r="Q129" i="4"/>
  <c r="Q130" i="4"/>
  <c r="Q131" i="4"/>
  <c r="Q132" i="4"/>
  <c r="Q133" i="4"/>
  <c r="Q134" i="4"/>
  <c r="Q135" i="4"/>
  <c r="Q136" i="4"/>
  <c r="Q137" i="4"/>
  <c r="Q138" i="4"/>
  <c r="Q139" i="4"/>
  <c r="Q140" i="4"/>
  <c r="Q141" i="4"/>
  <c r="Q142" i="4"/>
  <c r="Q143" i="4"/>
  <c r="Q144" i="4"/>
  <c r="Q145" i="4"/>
  <c r="Q146" i="4"/>
  <c r="Q147" i="4"/>
  <c r="Q148" i="4"/>
  <c r="Q149" i="4"/>
  <c r="Q150" i="4"/>
  <c r="Q151" i="4"/>
  <c r="Q152" i="4"/>
  <c r="Q153" i="4"/>
  <c r="Q154" i="4"/>
  <c r="Q155" i="4"/>
  <c r="Q156" i="4"/>
  <c r="Q157" i="4"/>
  <c r="Q158" i="4"/>
  <c r="Q159" i="4"/>
  <c r="Q160" i="4"/>
  <c r="Q161" i="4"/>
  <c r="Q162" i="4"/>
  <c r="Q163" i="4"/>
  <c r="Q164" i="4"/>
  <c r="Q165" i="4"/>
  <c r="Q166" i="4"/>
  <c r="Q167" i="4"/>
  <c r="Q168" i="4"/>
  <c r="Q169" i="4"/>
  <c r="Q170" i="4"/>
  <c r="Q171" i="4"/>
  <c r="Q172" i="4"/>
  <c r="Q173" i="4"/>
  <c r="Q174" i="4"/>
  <c r="Q175" i="4"/>
  <c r="Q176" i="4"/>
  <c r="Q177" i="4"/>
  <c r="Q178" i="4"/>
  <c r="Q179" i="4"/>
  <c r="Q180" i="4"/>
  <c r="Q181" i="4"/>
  <c r="Q182" i="4"/>
  <c r="Q183" i="4"/>
  <c r="Q184" i="4"/>
  <c r="Q185" i="4"/>
  <c r="Q186" i="4"/>
  <c r="Q187" i="4"/>
  <c r="Q188" i="4"/>
  <c r="Q189" i="4"/>
  <c r="Q190" i="4"/>
  <c r="Q191" i="4"/>
  <c r="Q192" i="4"/>
  <c r="Q193" i="4"/>
  <c r="Q194" i="4"/>
  <c r="Q195" i="4"/>
  <c r="Q196" i="4"/>
  <c r="Q197" i="4"/>
  <c r="Q198" i="4"/>
  <c r="Q199" i="4"/>
  <c r="Q200" i="4"/>
  <c r="Q201" i="4"/>
  <c r="Q202" i="4"/>
  <c r="Q203" i="4"/>
  <c r="Q204" i="4"/>
  <c r="Q205" i="4"/>
  <c r="Q206" i="4"/>
  <c r="Q207" i="4"/>
  <c r="Q208" i="4"/>
  <c r="Q209" i="4"/>
  <c r="Q210" i="4"/>
  <c r="Q211" i="4"/>
  <c r="Q212" i="4"/>
  <c r="Q213" i="4"/>
  <c r="Q214" i="4"/>
  <c r="Q215" i="4"/>
  <c r="Q216" i="4"/>
  <c r="Q217" i="4"/>
  <c r="Q218" i="4"/>
  <c r="Q219" i="4"/>
  <c r="Q220" i="4"/>
  <c r="Q221" i="4"/>
  <c r="Q222" i="4"/>
  <c r="Q223" i="4"/>
  <c r="Q224" i="4"/>
  <c r="Q225" i="4"/>
  <c r="Q226" i="4"/>
  <c r="Q227" i="4"/>
  <c r="Q228" i="4"/>
  <c r="Q229" i="4"/>
  <c r="Q230" i="4"/>
  <c r="Q231" i="4"/>
  <c r="Q232" i="4"/>
  <c r="Q233" i="4"/>
  <c r="Q234" i="4"/>
  <c r="Q235" i="4"/>
  <c r="Q236" i="4"/>
  <c r="Q237" i="4"/>
  <c r="Q238" i="4"/>
  <c r="Q239" i="4"/>
  <c r="Q240" i="4"/>
  <c r="Q241" i="4"/>
  <c r="Q242" i="4"/>
  <c r="Q243" i="4"/>
  <c r="Q244" i="4"/>
  <c r="Q245" i="4"/>
  <c r="Q246" i="4"/>
  <c r="Q247" i="4"/>
  <c r="Q248" i="4"/>
  <c r="Q249" i="4"/>
  <c r="Q250" i="4"/>
  <c r="Q251" i="4"/>
  <c r="Q252" i="4"/>
  <c r="Q253" i="4"/>
  <c r="Q254" i="4"/>
  <c r="Q255" i="4"/>
  <c r="R4" i="4"/>
  <c r="R5" i="4"/>
  <c r="R6" i="4"/>
  <c r="R7" i="4"/>
  <c r="R8" i="4"/>
  <c r="R9" i="4"/>
  <c r="R10" i="4"/>
  <c r="R11" i="4"/>
  <c r="R12" i="4"/>
  <c r="R13" i="4"/>
  <c r="R14" i="4"/>
  <c r="R15" i="4"/>
  <c r="R16" i="4"/>
  <c r="R17" i="4"/>
  <c r="R18" i="4"/>
  <c r="R19" i="4"/>
  <c r="R20" i="4"/>
  <c r="R21" i="4"/>
  <c r="R22" i="4"/>
  <c r="R23" i="4"/>
  <c r="R24" i="4"/>
  <c r="R25" i="4"/>
  <c r="R26" i="4"/>
  <c r="R27" i="4"/>
  <c r="R28" i="4"/>
  <c r="R29" i="4"/>
  <c r="R30" i="4"/>
  <c r="R31" i="4"/>
  <c r="R32" i="4"/>
  <c r="R33" i="4"/>
  <c r="R34" i="4"/>
  <c r="R35" i="4"/>
  <c r="R36" i="4"/>
  <c r="R37" i="4"/>
  <c r="R38" i="4"/>
  <c r="R39" i="4"/>
  <c r="R40" i="4"/>
  <c r="R41" i="4"/>
  <c r="R42" i="4"/>
  <c r="R43" i="4"/>
  <c r="R44" i="4"/>
  <c r="R45" i="4"/>
  <c r="R46" i="4"/>
  <c r="R47" i="4"/>
  <c r="R48" i="4"/>
  <c r="R49" i="4"/>
  <c r="R50" i="4"/>
  <c r="R51" i="4"/>
  <c r="R52" i="4"/>
  <c r="R53" i="4"/>
  <c r="R54" i="4"/>
  <c r="R55" i="4"/>
  <c r="R56" i="4"/>
  <c r="R57" i="4"/>
  <c r="R58" i="4"/>
  <c r="R59" i="4"/>
  <c r="R60" i="4"/>
  <c r="R61" i="4"/>
  <c r="R62" i="4"/>
  <c r="R63" i="4"/>
  <c r="R64" i="4"/>
  <c r="R65" i="4"/>
  <c r="R66" i="4"/>
  <c r="R67" i="4"/>
  <c r="R68" i="4"/>
  <c r="R69" i="4"/>
  <c r="R70" i="4"/>
  <c r="R71" i="4"/>
  <c r="R72" i="4"/>
  <c r="R73" i="4"/>
  <c r="R74" i="4"/>
  <c r="R75" i="4"/>
  <c r="R76" i="4"/>
  <c r="R77" i="4"/>
  <c r="R78" i="4"/>
  <c r="R79" i="4"/>
  <c r="R80" i="4"/>
  <c r="R81" i="4"/>
  <c r="R82" i="4"/>
  <c r="R83" i="4"/>
  <c r="R84" i="4"/>
  <c r="R85" i="4"/>
  <c r="R86" i="4"/>
  <c r="R87" i="4"/>
  <c r="R88" i="4"/>
  <c r="R89" i="4"/>
  <c r="R90" i="4"/>
  <c r="R91" i="4"/>
  <c r="R92" i="4"/>
  <c r="R93" i="4"/>
  <c r="R94" i="4"/>
  <c r="R95" i="4"/>
  <c r="R96" i="4"/>
  <c r="R97" i="4"/>
  <c r="R98" i="4"/>
  <c r="R99" i="4"/>
  <c r="R100" i="4"/>
  <c r="R101" i="4"/>
  <c r="R102" i="4"/>
  <c r="R103" i="4"/>
  <c r="R104" i="4"/>
  <c r="R105" i="4"/>
  <c r="R106" i="4"/>
  <c r="R107" i="4"/>
  <c r="R108" i="4"/>
  <c r="R109" i="4"/>
  <c r="R110" i="4"/>
  <c r="R111" i="4"/>
  <c r="R112" i="4"/>
  <c r="R113" i="4"/>
  <c r="R114" i="4"/>
  <c r="R115" i="4"/>
  <c r="R116" i="4"/>
  <c r="R117" i="4"/>
  <c r="R118" i="4"/>
  <c r="R119" i="4"/>
  <c r="R120" i="4"/>
  <c r="R121" i="4"/>
  <c r="R122" i="4"/>
  <c r="R123" i="4"/>
  <c r="R124" i="4"/>
  <c r="R125" i="4"/>
  <c r="R126" i="4"/>
  <c r="R127" i="4"/>
  <c r="R128" i="4"/>
  <c r="R129" i="4"/>
  <c r="R130" i="4"/>
  <c r="R131" i="4"/>
  <c r="R132" i="4"/>
  <c r="R133" i="4"/>
  <c r="R134" i="4"/>
  <c r="R135" i="4"/>
  <c r="R136" i="4"/>
  <c r="R137" i="4"/>
  <c r="R138" i="4"/>
  <c r="R139" i="4"/>
  <c r="R140" i="4"/>
  <c r="R141" i="4"/>
  <c r="R142" i="4"/>
  <c r="R143" i="4"/>
  <c r="R144" i="4"/>
  <c r="R145" i="4"/>
  <c r="R146" i="4"/>
  <c r="R147" i="4"/>
  <c r="R148" i="4"/>
  <c r="R149" i="4"/>
  <c r="R150" i="4"/>
  <c r="R151" i="4"/>
  <c r="R152" i="4"/>
  <c r="R153" i="4"/>
  <c r="R154" i="4"/>
  <c r="R155" i="4"/>
  <c r="R156" i="4"/>
  <c r="R157" i="4"/>
  <c r="R158" i="4"/>
  <c r="R159" i="4"/>
  <c r="R160" i="4"/>
  <c r="R161" i="4"/>
  <c r="R162" i="4"/>
  <c r="R163" i="4"/>
  <c r="R164" i="4"/>
  <c r="R165" i="4"/>
  <c r="R166" i="4"/>
  <c r="R167" i="4"/>
  <c r="R168" i="4"/>
  <c r="R169" i="4"/>
  <c r="R170" i="4"/>
  <c r="R171" i="4"/>
  <c r="R172" i="4"/>
  <c r="R173" i="4"/>
  <c r="R174" i="4"/>
  <c r="R175" i="4"/>
  <c r="R176" i="4"/>
  <c r="R177" i="4"/>
  <c r="R178" i="4"/>
  <c r="R179" i="4"/>
  <c r="R180" i="4"/>
  <c r="R181" i="4"/>
  <c r="R182" i="4"/>
  <c r="R183" i="4"/>
  <c r="R184" i="4"/>
  <c r="R185" i="4"/>
  <c r="R186" i="4"/>
  <c r="R187" i="4"/>
  <c r="R188" i="4"/>
  <c r="R189" i="4"/>
  <c r="R190" i="4"/>
  <c r="R191" i="4"/>
  <c r="R192" i="4"/>
  <c r="R193" i="4"/>
  <c r="R194" i="4"/>
  <c r="R195" i="4"/>
  <c r="R196" i="4"/>
  <c r="R197" i="4"/>
  <c r="R198" i="4"/>
  <c r="R199" i="4"/>
  <c r="R200" i="4"/>
  <c r="R201" i="4"/>
  <c r="R202" i="4"/>
  <c r="R203" i="4"/>
  <c r="R204" i="4"/>
  <c r="R205" i="4"/>
  <c r="R206" i="4"/>
  <c r="R207" i="4"/>
  <c r="R208" i="4"/>
  <c r="R209" i="4"/>
  <c r="R210" i="4"/>
  <c r="R211" i="4"/>
  <c r="R212" i="4"/>
  <c r="R213" i="4"/>
  <c r="R214" i="4"/>
  <c r="R215" i="4"/>
  <c r="R216" i="4"/>
  <c r="R217" i="4"/>
  <c r="R218" i="4"/>
  <c r="R219" i="4"/>
  <c r="R220" i="4"/>
  <c r="R221" i="4"/>
  <c r="R222" i="4"/>
  <c r="R223" i="4"/>
  <c r="R224" i="4"/>
  <c r="R225" i="4"/>
  <c r="R226" i="4"/>
  <c r="R227" i="4"/>
  <c r="R228" i="4"/>
  <c r="R229" i="4"/>
  <c r="R230" i="4"/>
  <c r="R231" i="4"/>
  <c r="R232" i="4"/>
  <c r="R233" i="4"/>
  <c r="R234" i="4"/>
  <c r="R235" i="4"/>
  <c r="R236" i="4"/>
  <c r="R237" i="4"/>
  <c r="R238" i="4"/>
  <c r="R239" i="4"/>
  <c r="R240" i="4"/>
  <c r="R241" i="4"/>
  <c r="R242" i="4"/>
  <c r="R243" i="4"/>
  <c r="R244" i="4"/>
  <c r="R245" i="4"/>
  <c r="R246" i="4"/>
  <c r="R247" i="4"/>
  <c r="R248" i="4"/>
  <c r="R249" i="4"/>
  <c r="R250" i="4"/>
  <c r="R251" i="4"/>
  <c r="R252" i="4"/>
  <c r="R253" i="4"/>
  <c r="R254" i="4"/>
  <c r="R255" i="4"/>
  <c r="S4" i="4"/>
  <c r="S5" i="4"/>
  <c r="S6" i="4"/>
  <c r="S7" i="4"/>
  <c r="S8" i="4"/>
  <c r="S9" i="4"/>
  <c r="S10" i="4"/>
  <c r="S11" i="4"/>
  <c r="S12" i="4"/>
  <c r="S13" i="4"/>
  <c r="S14" i="4"/>
  <c r="S15" i="4"/>
  <c r="S16" i="4"/>
  <c r="S17" i="4"/>
  <c r="S18" i="4"/>
  <c r="S19" i="4"/>
  <c r="S20" i="4"/>
  <c r="S21" i="4"/>
  <c r="S22" i="4"/>
  <c r="S23" i="4"/>
  <c r="S24" i="4"/>
  <c r="S25" i="4"/>
  <c r="S26" i="4"/>
  <c r="S27" i="4"/>
  <c r="S28" i="4"/>
  <c r="S29" i="4"/>
  <c r="S30" i="4"/>
  <c r="S31" i="4"/>
  <c r="S32" i="4"/>
  <c r="S33" i="4"/>
  <c r="S34" i="4"/>
  <c r="S35" i="4"/>
  <c r="S36" i="4"/>
  <c r="S37" i="4"/>
  <c r="S38" i="4"/>
  <c r="S39" i="4"/>
  <c r="S40" i="4"/>
  <c r="S41" i="4"/>
  <c r="S42" i="4"/>
  <c r="S43" i="4"/>
  <c r="S44" i="4"/>
  <c r="S45" i="4"/>
  <c r="S46" i="4"/>
  <c r="S47" i="4"/>
  <c r="S48" i="4"/>
  <c r="S49" i="4"/>
  <c r="S50" i="4"/>
  <c r="S51" i="4"/>
  <c r="S52" i="4"/>
  <c r="S53" i="4"/>
  <c r="S54" i="4"/>
  <c r="S55" i="4"/>
  <c r="S56" i="4"/>
  <c r="S57" i="4"/>
  <c r="S58" i="4"/>
  <c r="S59" i="4"/>
  <c r="S60" i="4"/>
  <c r="S61" i="4"/>
  <c r="S62" i="4"/>
  <c r="S63" i="4"/>
  <c r="S64" i="4"/>
  <c r="S65" i="4"/>
  <c r="S66" i="4"/>
  <c r="S67" i="4"/>
  <c r="S68" i="4"/>
  <c r="S69" i="4"/>
  <c r="S70" i="4"/>
  <c r="S71" i="4"/>
  <c r="S72" i="4"/>
  <c r="S73" i="4"/>
  <c r="S74" i="4"/>
  <c r="S75" i="4"/>
  <c r="S76" i="4"/>
  <c r="S77" i="4"/>
  <c r="S78" i="4"/>
  <c r="S79" i="4"/>
  <c r="S80" i="4"/>
  <c r="S81" i="4"/>
  <c r="S82" i="4"/>
  <c r="S83" i="4"/>
  <c r="S84" i="4"/>
  <c r="S85" i="4"/>
  <c r="S86" i="4"/>
  <c r="S87" i="4"/>
  <c r="S88" i="4"/>
  <c r="S89" i="4"/>
  <c r="S90" i="4"/>
  <c r="S91" i="4"/>
  <c r="S92" i="4"/>
  <c r="S93" i="4"/>
  <c r="S94" i="4"/>
  <c r="S95" i="4"/>
  <c r="S96" i="4"/>
  <c r="S97" i="4"/>
  <c r="S98" i="4"/>
  <c r="S99" i="4"/>
  <c r="S100" i="4"/>
  <c r="S101" i="4"/>
  <c r="S102" i="4"/>
  <c r="S103" i="4"/>
  <c r="S104" i="4"/>
  <c r="S105" i="4"/>
  <c r="S106" i="4"/>
  <c r="S107" i="4"/>
  <c r="S108" i="4"/>
  <c r="S109" i="4"/>
  <c r="S110" i="4"/>
  <c r="S111" i="4"/>
  <c r="S112" i="4"/>
  <c r="S113" i="4"/>
  <c r="S114" i="4"/>
  <c r="S115" i="4"/>
  <c r="S116" i="4"/>
  <c r="S117" i="4"/>
  <c r="S118" i="4"/>
  <c r="S119" i="4"/>
  <c r="S120" i="4"/>
  <c r="S121" i="4"/>
  <c r="S122" i="4"/>
  <c r="S123" i="4"/>
  <c r="S124" i="4"/>
  <c r="S125" i="4"/>
  <c r="S126" i="4"/>
  <c r="S127" i="4"/>
  <c r="S128" i="4"/>
  <c r="S129" i="4"/>
  <c r="S130" i="4"/>
  <c r="S131" i="4"/>
  <c r="S132" i="4"/>
  <c r="S133" i="4"/>
  <c r="S134" i="4"/>
  <c r="S135" i="4"/>
  <c r="S136" i="4"/>
  <c r="S137" i="4"/>
  <c r="S138" i="4"/>
  <c r="S139" i="4"/>
  <c r="S140" i="4"/>
  <c r="S141" i="4"/>
  <c r="S142" i="4"/>
  <c r="S143" i="4"/>
  <c r="S144" i="4"/>
  <c r="S145" i="4"/>
  <c r="S146" i="4"/>
  <c r="S147" i="4"/>
  <c r="S148" i="4"/>
  <c r="S149" i="4"/>
  <c r="S150" i="4"/>
  <c r="S151" i="4"/>
  <c r="S152" i="4"/>
  <c r="S153" i="4"/>
  <c r="S154" i="4"/>
  <c r="S155" i="4"/>
  <c r="S156" i="4"/>
  <c r="S157" i="4"/>
  <c r="S158" i="4"/>
  <c r="S159" i="4"/>
  <c r="S160" i="4"/>
  <c r="S161" i="4"/>
  <c r="S162" i="4"/>
  <c r="S163" i="4"/>
  <c r="S164" i="4"/>
  <c r="S165" i="4"/>
  <c r="S166" i="4"/>
  <c r="S167" i="4"/>
  <c r="S168" i="4"/>
  <c r="S169" i="4"/>
  <c r="S170" i="4"/>
  <c r="S171" i="4"/>
  <c r="S172" i="4"/>
  <c r="S173" i="4"/>
  <c r="S174" i="4"/>
  <c r="S175" i="4"/>
  <c r="S176" i="4"/>
  <c r="S177" i="4"/>
  <c r="S178" i="4"/>
  <c r="S179" i="4"/>
  <c r="S180" i="4"/>
  <c r="S181" i="4"/>
  <c r="S182" i="4"/>
  <c r="S183" i="4"/>
  <c r="S184" i="4"/>
  <c r="S185" i="4"/>
  <c r="S186" i="4"/>
  <c r="S187" i="4"/>
  <c r="S188" i="4"/>
  <c r="S189" i="4"/>
  <c r="S190" i="4"/>
  <c r="S191" i="4"/>
  <c r="S192" i="4"/>
  <c r="S193" i="4"/>
  <c r="S194" i="4"/>
  <c r="S195" i="4"/>
  <c r="S196" i="4"/>
  <c r="S197" i="4"/>
  <c r="S198" i="4"/>
  <c r="S199" i="4"/>
  <c r="S200" i="4"/>
  <c r="S201" i="4"/>
  <c r="S202" i="4"/>
  <c r="S203" i="4"/>
  <c r="S204" i="4"/>
  <c r="S205" i="4"/>
  <c r="S206" i="4"/>
  <c r="S207" i="4"/>
  <c r="S208" i="4"/>
  <c r="S209" i="4"/>
  <c r="S210" i="4"/>
  <c r="S211" i="4"/>
  <c r="S212" i="4"/>
  <c r="S213" i="4"/>
  <c r="S214" i="4"/>
  <c r="S215" i="4"/>
  <c r="S216" i="4"/>
  <c r="S217" i="4"/>
  <c r="S218" i="4"/>
  <c r="S219" i="4"/>
  <c r="S220" i="4"/>
  <c r="S221" i="4"/>
  <c r="S222" i="4"/>
  <c r="S223" i="4"/>
  <c r="S224" i="4"/>
  <c r="S225" i="4"/>
  <c r="S226" i="4"/>
  <c r="S227" i="4"/>
  <c r="S228" i="4"/>
  <c r="S229" i="4"/>
  <c r="S230" i="4"/>
  <c r="S231" i="4"/>
  <c r="S232" i="4"/>
  <c r="S233" i="4"/>
  <c r="S234" i="4"/>
  <c r="S235" i="4"/>
  <c r="S236" i="4"/>
  <c r="S237" i="4"/>
  <c r="S238" i="4"/>
  <c r="S239" i="4"/>
  <c r="S240" i="4"/>
  <c r="S241" i="4"/>
  <c r="S242" i="4"/>
  <c r="S243" i="4"/>
  <c r="S244" i="4"/>
  <c r="S245" i="4"/>
  <c r="S246" i="4"/>
  <c r="S247" i="4"/>
  <c r="S248" i="4"/>
  <c r="S249" i="4"/>
  <c r="S250" i="4"/>
  <c r="S251" i="4"/>
  <c r="S252" i="4"/>
  <c r="S253" i="4"/>
  <c r="S254" i="4"/>
  <c r="S255" i="4"/>
  <c r="T4" i="4"/>
  <c r="T5" i="4"/>
  <c r="T6" i="4"/>
  <c r="T7" i="4"/>
  <c r="T8" i="4"/>
  <c r="T9" i="4"/>
  <c r="T10" i="4"/>
  <c r="T11" i="4"/>
  <c r="T12" i="4"/>
  <c r="T13" i="4"/>
  <c r="T14" i="4"/>
  <c r="T15" i="4"/>
  <c r="T16" i="4"/>
  <c r="T17" i="4"/>
  <c r="T18" i="4"/>
  <c r="T19" i="4"/>
  <c r="T20" i="4"/>
  <c r="T21" i="4"/>
  <c r="T22" i="4"/>
  <c r="T23" i="4"/>
  <c r="T24" i="4"/>
  <c r="T25" i="4"/>
  <c r="T26" i="4"/>
  <c r="T27" i="4"/>
  <c r="T28" i="4"/>
  <c r="T29" i="4"/>
  <c r="T30" i="4"/>
  <c r="T31" i="4"/>
  <c r="T32" i="4"/>
  <c r="T33" i="4"/>
  <c r="T34" i="4"/>
  <c r="T35" i="4"/>
  <c r="T36" i="4"/>
  <c r="T37" i="4"/>
  <c r="T38" i="4"/>
  <c r="T39" i="4"/>
  <c r="T40" i="4"/>
  <c r="T41" i="4"/>
  <c r="T42" i="4"/>
  <c r="T43" i="4"/>
  <c r="T44" i="4"/>
  <c r="T45" i="4"/>
  <c r="T46" i="4"/>
  <c r="T47" i="4"/>
  <c r="T48" i="4"/>
  <c r="T49" i="4"/>
  <c r="T50" i="4"/>
  <c r="T51" i="4"/>
  <c r="T52" i="4"/>
  <c r="T53" i="4"/>
  <c r="T54" i="4"/>
  <c r="T55" i="4"/>
  <c r="T56" i="4"/>
  <c r="T57" i="4"/>
  <c r="T58" i="4"/>
  <c r="T59" i="4"/>
  <c r="T60" i="4"/>
  <c r="T61" i="4"/>
  <c r="T62" i="4"/>
  <c r="T63" i="4"/>
  <c r="T64" i="4"/>
  <c r="T65" i="4"/>
  <c r="T66" i="4"/>
  <c r="T67" i="4"/>
  <c r="T68" i="4"/>
  <c r="T69" i="4"/>
  <c r="T70" i="4"/>
  <c r="T71" i="4"/>
  <c r="T72" i="4"/>
  <c r="T73" i="4"/>
  <c r="T74" i="4"/>
  <c r="T75" i="4"/>
  <c r="T76" i="4"/>
  <c r="T77" i="4"/>
  <c r="T78" i="4"/>
  <c r="T79" i="4"/>
  <c r="T80" i="4"/>
  <c r="T81" i="4"/>
  <c r="T82" i="4"/>
  <c r="T83" i="4"/>
  <c r="T84" i="4"/>
  <c r="T85" i="4"/>
  <c r="T86" i="4"/>
  <c r="T87" i="4"/>
  <c r="T88" i="4"/>
  <c r="T89" i="4"/>
  <c r="T90" i="4"/>
  <c r="T91" i="4"/>
  <c r="T92" i="4"/>
  <c r="T93" i="4"/>
  <c r="T94" i="4"/>
  <c r="T95" i="4"/>
  <c r="T96" i="4"/>
  <c r="T97" i="4"/>
  <c r="T98" i="4"/>
  <c r="T99" i="4"/>
  <c r="T100" i="4"/>
  <c r="T101" i="4"/>
  <c r="T102" i="4"/>
  <c r="T103" i="4"/>
  <c r="T104" i="4"/>
  <c r="T105" i="4"/>
  <c r="T106" i="4"/>
  <c r="T107" i="4"/>
  <c r="T108" i="4"/>
  <c r="T109" i="4"/>
  <c r="T110" i="4"/>
  <c r="T111" i="4"/>
  <c r="T112" i="4"/>
  <c r="T113" i="4"/>
  <c r="T114" i="4"/>
  <c r="T115" i="4"/>
  <c r="T116" i="4"/>
  <c r="T117" i="4"/>
  <c r="T118" i="4"/>
  <c r="T119" i="4"/>
  <c r="T120" i="4"/>
  <c r="T121" i="4"/>
  <c r="T122" i="4"/>
  <c r="T123" i="4"/>
  <c r="T124" i="4"/>
  <c r="T125" i="4"/>
  <c r="T126" i="4"/>
  <c r="T127" i="4"/>
  <c r="T128" i="4"/>
  <c r="T129" i="4"/>
  <c r="T130" i="4"/>
  <c r="T131" i="4"/>
  <c r="T132" i="4"/>
  <c r="T133" i="4"/>
  <c r="T134" i="4"/>
  <c r="T135" i="4"/>
  <c r="T136" i="4"/>
  <c r="T137" i="4"/>
  <c r="T138" i="4"/>
  <c r="T139" i="4"/>
  <c r="T140" i="4"/>
  <c r="T141" i="4"/>
  <c r="T142" i="4"/>
  <c r="T143" i="4"/>
  <c r="T144" i="4"/>
  <c r="T145" i="4"/>
  <c r="T146" i="4"/>
  <c r="T147" i="4"/>
  <c r="T148" i="4"/>
  <c r="T149" i="4"/>
  <c r="T150" i="4"/>
  <c r="T151" i="4"/>
  <c r="T152" i="4"/>
  <c r="T153" i="4"/>
  <c r="T154" i="4"/>
  <c r="T155" i="4"/>
  <c r="T156" i="4"/>
  <c r="T157" i="4"/>
  <c r="T158" i="4"/>
  <c r="T159" i="4"/>
  <c r="T160" i="4"/>
  <c r="T161" i="4"/>
  <c r="T162" i="4"/>
  <c r="T163" i="4"/>
  <c r="T164" i="4"/>
  <c r="T165" i="4"/>
  <c r="T166" i="4"/>
  <c r="T167" i="4"/>
  <c r="T168" i="4"/>
  <c r="T169" i="4"/>
  <c r="T170" i="4"/>
  <c r="T171" i="4"/>
  <c r="T172" i="4"/>
  <c r="T173" i="4"/>
  <c r="T174" i="4"/>
  <c r="T175" i="4"/>
  <c r="T176" i="4"/>
  <c r="T177" i="4"/>
  <c r="T178" i="4"/>
  <c r="T179" i="4"/>
  <c r="T180" i="4"/>
  <c r="T181" i="4"/>
  <c r="T182" i="4"/>
  <c r="T183" i="4"/>
  <c r="T184" i="4"/>
  <c r="T185" i="4"/>
  <c r="T186" i="4"/>
  <c r="T187" i="4"/>
  <c r="T188" i="4"/>
  <c r="T189" i="4"/>
  <c r="T190" i="4"/>
  <c r="T191" i="4"/>
  <c r="T192" i="4"/>
  <c r="T193" i="4"/>
  <c r="T194" i="4"/>
  <c r="T195" i="4"/>
  <c r="T196" i="4"/>
  <c r="T197" i="4"/>
  <c r="T198" i="4"/>
  <c r="T199" i="4"/>
  <c r="T200" i="4"/>
  <c r="T201" i="4"/>
  <c r="T202" i="4"/>
  <c r="T203" i="4"/>
  <c r="T204" i="4"/>
  <c r="T205" i="4"/>
  <c r="T206" i="4"/>
  <c r="T207" i="4"/>
  <c r="T208" i="4"/>
  <c r="T209" i="4"/>
  <c r="T210" i="4"/>
  <c r="T211" i="4"/>
  <c r="T212" i="4"/>
  <c r="T213" i="4"/>
  <c r="T214" i="4"/>
  <c r="T215" i="4"/>
  <c r="T216" i="4"/>
  <c r="T217" i="4"/>
  <c r="T218" i="4"/>
  <c r="T219" i="4"/>
  <c r="T220" i="4"/>
  <c r="T221" i="4"/>
  <c r="T222" i="4"/>
  <c r="T223" i="4"/>
  <c r="T224" i="4"/>
  <c r="T225" i="4"/>
  <c r="T226" i="4"/>
  <c r="T227" i="4"/>
  <c r="T228" i="4"/>
  <c r="T229" i="4"/>
  <c r="T230" i="4"/>
  <c r="T231" i="4"/>
  <c r="T232" i="4"/>
  <c r="T233" i="4"/>
  <c r="T234" i="4"/>
  <c r="T235" i="4"/>
  <c r="T236" i="4"/>
  <c r="T237" i="4"/>
  <c r="T238" i="4"/>
  <c r="T239" i="4"/>
  <c r="T240" i="4"/>
  <c r="T241" i="4"/>
  <c r="T242" i="4"/>
  <c r="T243" i="4"/>
  <c r="T244" i="4"/>
  <c r="T245" i="4"/>
  <c r="T246" i="4"/>
  <c r="T247" i="4"/>
  <c r="T248" i="4"/>
  <c r="T249" i="4"/>
  <c r="T250" i="4"/>
  <c r="T251" i="4"/>
  <c r="T252" i="4"/>
  <c r="T253" i="4"/>
  <c r="T254" i="4"/>
  <c r="T255" i="4"/>
  <c r="U4" i="4"/>
  <c r="U5" i="4"/>
  <c r="U6" i="4"/>
  <c r="U7" i="4"/>
  <c r="U8" i="4"/>
  <c r="U9" i="4"/>
  <c r="U10" i="4"/>
  <c r="U11" i="4"/>
  <c r="U12" i="4"/>
  <c r="U13" i="4"/>
  <c r="U14" i="4"/>
  <c r="U15" i="4"/>
  <c r="U16" i="4"/>
  <c r="U17" i="4"/>
  <c r="U18" i="4"/>
  <c r="U19" i="4"/>
  <c r="U20" i="4"/>
  <c r="U21" i="4"/>
  <c r="U22" i="4"/>
  <c r="U23" i="4"/>
  <c r="U24" i="4"/>
  <c r="U25" i="4"/>
  <c r="U26" i="4"/>
  <c r="U27" i="4"/>
  <c r="U28" i="4"/>
  <c r="U29" i="4"/>
  <c r="U30" i="4"/>
  <c r="U31" i="4"/>
  <c r="U32" i="4"/>
  <c r="U33" i="4"/>
  <c r="U34" i="4"/>
  <c r="U35" i="4"/>
  <c r="U36" i="4"/>
  <c r="U37" i="4"/>
  <c r="U38" i="4"/>
  <c r="U39" i="4"/>
  <c r="U40" i="4"/>
  <c r="U41" i="4"/>
  <c r="U42" i="4"/>
  <c r="U43" i="4"/>
  <c r="U44" i="4"/>
  <c r="U45" i="4"/>
  <c r="U46" i="4"/>
  <c r="U47" i="4"/>
  <c r="U48" i="4"/>
  <c r="U49" i="4"/>
  <c r="U50" i="4"/>
  <c r="U51" i="4"/>
  <c r="U52" i="4"/>
  <c r="U53" i="4"/>
  <c r="U54" i="4"/>
  <c r="U55" i="4"/>
  <c r="U56" i="4"/>
  <c r="U57" i="4"/>
  <c r="U58" i="4"/>
  <c r="U59" i="4"/>
  <c r="U60" i="4"/>
  <c r="U61" i="4"/>
  <c r="U62" i="4"/>
  <c r="U63" i="4"/>
  <c r="U64" i="4"/>
  <c r="U65" i="4"/>
  <c r="U66" i="4"/>
  <c r="U67" i="4"/>
  <c r="U68" i="4"/>
  <c r="U69" i="4"/>
  <c r="U70" i="4"/>
  <c r="U71" i="4"/>
  <c r="U72" i="4"/>
  <c r="U73" i="4"/>
  <c r="U74" i="4"/>
  <c r="U75" i="4"/>
  <c r="U76" i="4"/>
  <c r="U77" i="4"/>
  <c r="U78" i="4"/>
  <c r="U79" i="4"/>
  <c r="U80" i="4"/>
  <c r="U81" i="4"/>
  <c r="U82" i="4"/>
  <c r="U83" i="4"/>
  <c r="U84" i="4"/>
  <c r="U85" i="4"/>
  <c r="U86" i="4"/>
  <c r="U87" i="4"/>
  <c r="U88" i="4"/>
  <c r="U89" i="4"/>
  <c r="U90" i="4"/>
  <c r="U91" i="4"/>
  <c r="U92" i="4"/>
  <c r="U93" i="4"/>
  <c r="U94" i="4"/>
  <c r="U95" i="4"/>
  <c r="U96" i="4"/>
  <c r="U97" i="4"/>
  <c r="U98" i="4"/>
  <c r="U99" i="4"/>
  <c r="U100" i="4"/>
  <c r="U101" i="4"/>
  <c r="U102" i="4"/>
  <c r="U103" i="4"/>
  <c r="U104" i="4"/>
  <c r="U105" i="4"/>
  <c r="U106" i="4"/>
  <c r="U107" i="4"/>
  <c r="U108" i="4"/>
  <c r="U109" i="4"/>
  <c r="U110" i="4"/>
  <c r="U111" i="4"/>
  <c r="U112" i="4"/>
  <c r="U113" i="4"/>
  <c r="U114" i="4"/>
  <c r="U115" i="4"/>
  <c r="U116" i="4"/>
  <c r="U117" i="4"/>
  <c r="U118" i="4"/>
  <c r="U119" i="4"/>
  <c r="U120" i="4"/>
  <c r="U121" i="4"/>
  <c r="U122" i="4"/>
  <c r="U123" i="4"/>
  <c r="U124" i="4"/>
  <c r="U125" i="4"/>
  <c r="U126" i="4"/>
  <c r="U127" i="4"/>
  <c r="U128" i="4"/>
  <c r="U129" i="4"/>
  <c r="U130" i="4"/>
  <c r="U131" i="4"/>
  <c r="U132" i="4"/>
  <c r="U133" i="4"/>
  <c r="U134" i="4"/>
  <c r="U135" i="4"/>
  <c r="U136" i="4"/>
  <c r="U137" i="4"/>
  <c r="U138" i="4"/>
  <c r="U139" i="4"/>
  <c r="U140" i="4"/>
  <c r="U141" i="4"/>
  <c r="U142" i="4"/>
  <c r="U143" i="4"/>
  <c r="U144" i="4"/>
  <c r="U145" i="4"/>
  <c r="U146" i="4"/>
  <c r="U147" i="4"/>
  <c r="U148" i="4"/>
  <c r="U149" i="4"/>
  <c r="U150" i="4"/>
  <c r="U151" i="4"/>
  <c r="U152" i="4"/>
  <c r="U153" i="4"/>
  <c r="U154" i="4"/>
  <c r="U155" i="4"/>
  <c r="U156" i="4"/>
  <c r="U157" i="4"/>
  <c r="U158" i="4"/>
  <c r="U159" i="4"/>
  <c r="U160" i="4"/>
  <c r="U161" i="4"/>
  <c r="U162" i="4"/>
  <c r="U163" i="4"/>
  <c r="U164" i="4"/>
  <c r="U165" i="4"/>
  <c r="U166" i="4"/>
  <c r="U167" i="4"/>
  <c r="U168" i="4"/>
  <c r="U169" i="4"/>
  <c r="U170" i="4"/>
  <c r="U171" i="4"/>
  <c r="U172" i="4"/>
  <c r="U173" i="4"/>
  <c r="U174" i="4"/>
  <c r="U175" i="4"/>
  <c r="U176" i="4"/>
  <c r="U177" i="4"/>
  <c r="U178" i="4"/>
  <c r="U179" i="4"/>
  <c r="U180" i="4"/>
  <c r="U181" i="4"/>
  <c r="U182" i="4"/>
  <c r="U183" i="4"/>
  <c r="U184" i="4"/>
  <c r="U185" i="4"/>
  <c r="U186" i="4"/>
  <c r="U187" i="4"/>
  <c r="U188" i="4"/>
  <c r="U189" i="4"/>
  <c r="U190" i="4"/>
  <c r="U191" i="4"/>
  <c r="U192" i="4"/>
  <c r="U193" i="4"/>
  <c r="U194" i="4"/>
  <c r="U195" i="4"/>
  <c r="U196" i="4"/>
  <c r="U197" i="4"/>
  <c r="U198" i="4"/>
  <c r="U199" i="4"/>
  <c r="U200" i="4"/>
  <c r="U201" i="4"/>
  <c r="U202" i="4"/>
  <c r="U203" i="4"/>
  <c r="U204" i="4"/>
  <c r="U205" i="4"/>
  <c r="U206" i="4"/>
  <c r="U207" i="4"/>
  <c r="U208" i="4"/>
  <c r="U209" i="4"/>
  <c r="U210" i="4"/>
  <c r="U211" i="4"/>
  <c r="U212" i="4"/>
  <c r="U213" i="4"/>
  <c r="U214" i="4"/>
  <c r="U215" i="4"/>
  <c r="U216" i="4"/>
  <c r="U217" i="4"/>
  <c r="X217" i="4" s="1"/>
  <c r="AA217" i="4" s="1"/>
  <c r="U218" i="4"/>
  <c r="U219" i="4"/>
  <c r="U220" i="4"/>
  <c r="U221" i="4"/>
  <c r="U222" i="4"/>
  <c r="U223" i="4"/>
  <c r="X223" i="4" s="1"/>
  <c r="AA223" i="4" s="1"/>
  <c r="U224" i="4"/>
  <c r="U225" i="4"/>
  <c r="U226" i="4"/>
  <c r="U227" i="4"/>
  <c r="U228" i="4"/>
  <c r="U229" i="4"/>
  <c r="X229" i="4" s="1"/>
  <c r="AA229" i="4" s="1"/>
  <c r="U230" i="4"/>
  <c r="U231" i="4"/>
  <c r="U232" i="4"/>
  <c r="U233" i="4"/>
  <c r="U234" i="4"/>
  <c r="U235" i="4"/>
  <c r="X235" i="4" s="1"/>
  <c r="AA235" i="4" s="1"/>
  <c r="U236" i="4"/>
  <c r="U237" i="4"/>
  <c r="U238" i="4"/>
  <c r="U239" i="4"/>
  <c r="U240" i="4"/>
  <c r="U241" i="4"/>
  <c r="X241" i="4" s="1"/>
  <c r="AA241" i="4" s="1"/>
  <c r="U242" i="4"/>
  <c r="U243" i="4"/>
  <c r="U244" i="4"/>
  <c r="U245" i="4"/>
  <c r="U246" i="4"/>
  <c r="U247" i="4"/>
  <c r="X247" i="4" s="1"/>
  <c r="AA247" i="4" s="1"/>
  <c r="U248" i="4"/>
  <c r="U249" i="4"/>
  <c r="U250" i="4"/>
  <c r="U251" i="4"/>
  <c r="U252" i="4"/>
  <c r="U253" i="4"/>
  <c r="X253" i="4" s="1"/>
  <c r="AA253" i="4" s="1"/>
  <c r="U254" i="4"/>
  <c r="U255" i="4"/>
  <c r="V4" i="4"/>
  <c r="V5" i="4"/>
  <c r="V6" i="4"/>
  <c r="V7" i="4"/>
  <c r="V8" i="4"/>
  <c r="V9" i="4"/>
  <c r="V10" i="4"/>
  <c r="V11" i="4"/>
  <c r="V12" i="4"/>
  <c r="V13" i="4"/>
  <c r="V14" i="4"/>
  <c r="V15" i="4"/>
  <c r="V16" i="4"/>
  <c r="V17" i="4"/>
  <c r="V18" i="4"/>
  <c r="V19" i="4"/>
  <c r="V20" i="4"/>
  <c r="V21" i="4"/>
  <c r="V22" i="4"/>
  <c r="V23" i="4"/>
  <c r="V24" i="4"/>
  <c r="V25" i="4"/>
  <c r="V26" i="4"/>
  <c r="V27" i="4"/>
  <c r="V28" i="4"/>
  <c r="V29" i="4"/>
  <c r="V30" i="4"/>
  <c r="V31" i="4"/>
  <c r="V32" i="4"/>
  <c r="V33" i="4"/>
  <c r="V34" i="4"/>
  <c r="V35" i="4"/>
  <c r="V36" i="4"/>
  <c r="V37" i="4"/>
  <c r="V38" i="4"/>
  <c r="V39" i="4"/>
  <c r="V40" i="4"/>
  <c r="V41" i="4"/>
  <c r="V42" i="4"/>
  <c r="V43" i="4"/>
  <c r="V44" i="4"/>
  <c r="V45" i="4"/>
  <c r="V46" i="4"/>
  <c r="V47" i="4"/>
  <c r="V48" i="4"/>
  <c r="V49" i="4"/>
  <c r="V50" i="4"/>
  <c r="V51" i="4"/>
  <c r="V52" i="4"/>
  <c r="V53" i="4"/>
  <c r="V54" i="4"/>
  <c r="V55" i="4"/>
  <c r="V56" i="4"/>
  <c r="V57" i="4"/>
  <c r="V58" i="4"/>
  <c r="V59" i="4"/>
  <c r="V60" i="4"/>
  <c r="V61" i="4"/>
  <c r="V62" i="4"/>
  <c r="V63" i="4"/>
  <c r="V64" i="4"/>
  <c r="V65" i="4"/>
  <c r="V66" i="4"/>
  <c r="V67" i="4"/>
  <c r="V68" i="4"/>
  <c r="V69" i="4"/>
  <c r="V70" i="4"/>
  <c r="V71" i="4"/>
  <c r="V72" i="4"/>
  <c r="V73" i="4"/>
  <c r="V74" i="4"/>
  <c r="V75" i="4"/>
  <c r="V76" i="4"/>
  <c r="V77" i="4"/>
  <c r="V78" i="4"/>
  <c r="V79" i="4"/>
  <c r="V80" i="4"/>
  <c r="V81" i="4"/>
  <c r="V82" i="4"/>
  <c r="V83" i="4"/>
  <c r="V84" i="4"/>
  <c r="V85" i="4"/>
  <c r="V86" i="4"/>
  <c r="V87" i="4"/>
  <c r="V88" i="4"/>
  <c r="V89" i="4"/>
  <c r="V90" i="4"/>
  <c r="V91" i="4"/>
  <c r="V92" i="4"/>
  <c r="V93" i="4"/>
  <c r="V94" i="4"/>
  <c r="V95" i="4"/>
  <c r="V96" i="4"/>
  <c r="V97" i="4"/>
  <c r="V98" i="4"/>
  <c r="V99" i="4"/>
  <c r="V100" i="4"/>
  <c r="V101" i="4"/>
  <c r="V102" i="4"/>
  <c r="V103" i="4"/>
  <c r="V104" i="4"/>
  <c r="V105" i="4"/>
  <c r="V106" i="4"/>
  <c r="V107" i="4"/>
  <c r="V108" i="4"/>
  <c r="V109" i="4"/>
  <c r="V110" i="4"/>
  <c r="V111" i="4"/>
  <c r="V112" i="4"/>
  <c r="V113" i="4"/>
  <c r="V114" i="4"/>
  <c r="V115" i="4"/>
  <c r="V116" i="4"/>
  <c r="V117" i="4"/>
  <c r="V118" i="4"/>
  <c r="V119" i="4"/>
  <c r="V120" i="4"/>
  <c r="V121" i="4"/>
  <c r="V122" i="4"/>
  <c r="V123" i="4"/>
  <c r="V124" i="4"/>
  <c r="V125" i="4"/>
  <c r="V126" i="4"/>
  <c r="V127" i="4"/>
  <c r="V128" i="4"/>
  <c r="V129" i="4"/>
  <c r="V130" i="4"/>
  <c r="V131" i="4"/>
  <c r="V132" i="4"/>
  <c r="V133" i="4"/>
  <c r="V134" i="4"/>
  <c r="V135" i="4"/>
  <c r="V136" i="4"/>
  <c r="V137" i="4"/>
  <c r="V138" i="4"/>
  <c r="V139" i="4"/>
  <c r="V140" i="4"/>
  <c r="V141" i="4"/>
  <c r="V142" i="4"/>
  <c r="V143" i="4"/>
  <c r="V144" i="4"/>
  <c r="V145" i="4"/>
  <c r="V146" i="4"/>
  <c r="V147" i="4"/>
  <c r="V148" i="4"/>
  <c r="V149" i="4"/>
  <c r="V150" i="4"/>
  <c r="V151" i="4"/>
  <c r="V152" i="4"/>
  <c r="V153" i="4"/>
  <c r="V154" i="4"/>
  <c r="V155" i="4"/>
  <c r="V156" i="4"/>
  <c r="V157" i="4"/>
  <c r="V158" i="4"/>
  <c r="V159" i="4"/>
  <c r="V160" i="4"/>
  <c r="V161" i="4"/>
  <c r="V162" i="4"/>
  <c r="V163" i="4"/>
  <c r="V164" i="4"/>
  <c r="V165" i="4"/>
  <c r="V166" i="4"/>
  <c r="V167" i="4"/>
  <c r="V168" i="4"/>
  <c r="V169" i="4"/>
  <c r="V170" i="4"/>
  <c r="V171" i="4"/>
  <c r="V172" i="4"/>
  <c r="V173" i="4"/>
  <c r="V174" i="4"/>
  <c r="V175" i="4"/>
  <c r="V176" i="4"/>
  <c r="V177" i="4"/>
  <c r="V178" i="4"/>
  <c r="V179" i="4"/>
  <c r="V180" i="4"/>
  <c r="V181" i="4"/>
  <c r="V182" i="4"/>
  <c r="V183" i="4"/>
  <c r="V184" i="4"/>
  <c r="V185" i="4"/>
  <c r="V186" i="4"/>
  <c r="V187" i="4"/>
  <c r="V188" i="4"/>
  <c r="V189" i="4"/>
  <c r="V190" i="4"/>
  <c r="V191" i="4"/>
  <c r="V192" i="4"/>
  <c r="V193" i="4"/>
  <c r="V194" i="4"/>
  <c r="V195" i="4"/>
  <c r="V196" i="4"/>
  <c r="V197" i="4"/>
  <c r="V198" i="4"/>
  <c r="V199" i="4"/>
  <c r="V200" i="4"/>
  <c r="V201" i="4"/>
  <c r="V202" i="4"/>
  <c r="V203" i="4"/>
  <c r="V204" i="4"/>
  <c r="V205" i="4"/>
  <c r="V206" i="4"/>
  <c r="V207" i="4"/>
  <c r="V208" i="4"/>
  <c r="V209" i="4"/>
  <c r="V210" i="4"/>
  <c r="V211" i="4"/>
  <c r="V212" i="4"/>
  <c r="V213" i="4"/>
  <c r="V214" i="4"/>
  <c r="V215" i="4"/>
  <c r="V216" i="4"/>
  <c r="V217" i="4"/>
  <c r="V218" i="4"/>
  <c r="V219" i="4"/>
  <c r="V220" i="4"/>
  <c r="V221" i="4"/>
  <c r="V222" i="4"/>
  <c r="V223" i="4"/>
  <c r="V224" i="4"/>
  <c r="V225" i="4"/>
  <c r="V226" i="4"/>
  <c r="V227" i="4"/>
  <c r="V228" i="4"/>
  <c r="V229" i="4"/>
  <c r="V230" i="4"/>
  <c r="V231" i="4"/>
  <c r="V232" i="4"/>
  <c r="V233" i="4"/>
  <c r="V234" i="4"/>
  <c r="V235" i="4"/>
  <c r="V236" i="4"/>
  <c r="V237" i="4"/>
  <c r="V238" i="4"/>
  <c r="V239" i="4"/>
  <c r="V240" i="4"/>
  <c r="V241" i="4"/>
  <c r="V242" i="4"/>
  <c r="V243" i="4"/>
  <c r="V244" i="4"/>
  <c r="V245" i="4"/>
  <c r="V246" i="4"/>
  <c r="V247" i="4"/>
  <c r="V248" i="4"/>
  <c r="V249" i="4"/>
  <c r="V250" i="4"/>
  <c r="X250" i="4" s="1"/>
  <c r="AA250" i="4" s="1"/>
  <c r="V251" i="4"/>
  <c r="V252" i="4"/>
  <c r="V253" i="4"/>
  <c r="V254" i="4"/>
  <c r="V255" i="4"/>
  <c r="W4" i="4"/>
  <c r="W5" i="4"/>
  <c r="W6" i="4"/>
  <c r="W7" i="4"/>
  <c r="W8" i="4"/>
  <c r="W9" i="4"/>
  <c r="W10" i="4"/>
  <c r="W11" i="4"/>
  <c r="W12" i="4"/>
  <c r="W13" i="4"/>
  <c r="W14" i="4"/>
  <c r="W15" i="4"/>
  <c r="W16" i="4"/>
  <c r="W17" i="4"/>
  <c r="W18" i="4"/>
  <c r="W19" i="4"/>
  <c r="W20" i="4"/>
  <c r="W21" i="4"/>
  <c r="W22" i="4"/>
  <c r="W23" i="4"/>
  <c r="W24" i="4"/>
  <c r="W25" i="4"/>
  <c r="W26" i="4"/>
  <c r="W27" i="4"/>
  <c r="W28" i="4"/>
  <c r="W29" i="4"/>
  <c r="W30" i="4"/>
  <c r="W31" i="4"/>
  <c r="W32" i="4"/>
  <c r="W33" i="4"/>
  <c r="W34" i="4"/>
  <c r="W35" i="4"/>
  <c r="W36" i="4"/>
  <c r="W37" i="4"/>
  <c r="W38" i="4"/>
  <c r="W39" i="4"/>
  <c r="W40" i="4"/>
  <c r="W41" i="4"/>
  <c r="W42" i="4"/>
  <c r="W43" i="4"/>
  <c r="W44" i="4"/>
  <c r="W45" i="4"/>
  <c r="W46" i="4"/>
  <c r="W47" i="4"/>
  <c r="W48" i="4"/>
  <c r="W49" i="4"/>
  <c r="W50" i="4"/>
  <c r="W51" i="4"/>
  <c r="W52" i="4"/>
  <c r="W53" i="4"/>
  <c r="W54" i="4"/>
  <c r="W55" i="4"/>
  <c r="W56" i="4"/>
  <c r="W57" i="4"/>
  <c r="W58" i="4"/>
  <c r="W59" i="4"/>
  <c r="W60" i="4"/>
  <c r="W61" i="4"/>
  <c r="W62" i="4"/>
  <c r="W63" i="4"/>
  <c r="W64" i="4"/>
  <c r="W65" i="4"/>
  <c r="W66" i="4"/>
  <c r="W67" i="4"/>
  <c r="W68" i="4"/>
  <c r="W69" i="4"/>
  <c r="W70" i="4"/>
  <c r="W71" i="4"/>
  <c r="W72" i="4"/>
  <c r="W73" i="4"/>
  <c r="W74" i="4"/>
  <c r="W75" i="4"/>
  <c r="W76" i="4"/>
  <c r="W77" i="4"/>
  <c r="W78" i="4"/>
  <c r="W79" i="4"/>
  <c r="W80" i="4"/>
  <c r="W81" i="4"/>
  <c r="W82" i="4"/>
  <c r="W83" i="4"/>
  <c r="W84" i="4"/>
  <c r="W85" i="4"/>
  <c r="W86" i="4"/>
  <c r="W87" i="4"/>
  <c r="W88" i="4"/>
  <c r="W89" i="4"/>
  <c r="W90" i="4"/>
  <c r="W91" i="4"/>
  <c r="W92" i="4"/>
  <c r="W93" i="4"/>
  <c r="W94" i="4"/>
  <c r="W95" i="4"/>
  <c r="W96" i="4"/>
  <c r="W97" i="4"/>
  <c r="W98" i="4"/>
  <c r="W99" i="4"/>
  <c r="W100" i="4"/>
  <c r="W101" i="4"/>
  <c r="W102" i="4"/>
  <c r="W103" i="4"/>
  <c r="W104" i="4"/>
  <c r="W105" i="4"/>
  <c r="W106" i="4"/>
  <c r="W107" i="4"/>
  <c r="W108" i="4"/>
  <c r="W109" i="4"/>
  <c r="W110" i="4"/>
  <c r="W111" i="4"/>
  <c r="W112" i="4"/>
  <c r="W113" i="4"/>
  <c r="W114" i="4"/>
  <c r="W115" i="4"/>
  <c r="W116" i="4"/>
  <c r="W117" i="4"/>
  <c r="W118" i="4"/>
  <c r="W119" i="4"/>
  <c r="W120" i="4"/>
  <c r="W121" i="4"/>
  <c r="W122" i="4"/>
  <c r="W123" i="4"/>
  <c r="W124" i="4"/>
  <c r="W125" i="4"/>
  <c r="W126" i="4"/>
  <c r="W127" i="4"/>
  <c r="W128" i="4"/>
  <c r="W129" i="4"/>
  <c r="W130" i="4"/>
  <c r="W131" i="4"/>
  <c r="W132" i="4"/>
  <c r="W133" i="4"/>
  <c r="W134" i="4"/>
  <c r="W135" i="4"/>
  <c r="W136" i="4"/>
  <c r="W137" i="4"/>
  <c r="W138" i="4"/>
  <c r="W139" i="4"/>
  <c r="W140" i="4"/>
  <c r="W141" i="4"/>
  <c r="W142" i="4"/>
  <c r="W143" i="4"/>
  <c r="W144" i="4"/>
  <c r="W145" i="4"/>
  <c r="W146" i="4"/>
  <c r="W147" i="4"/>
  <c r="W148" i="4"/>
  <c r="W149" i="4"/>
  <c r="W150" i="4"/>
  <c r="W151" i="4"/>
  <c r="W152" i="4"/>
  <c r="W153" i="4"/>
  <c r="W154" i="4"/>
  <c r="W155" i="4"/>
  <c r="W156" i="4"/>
  <c r="W157" i="4"/>
  <c r="W158" i="4"/>
  <c r="W159" i="4"/>
  <c r="W160" i="4"/>
  <c r="W161" i="4"/>
  <c r="W162" i="4"/>
  <c r="W163" i="4"/>
  <c r="W164" i="4"/>
  <c r="W165" i="4"/>
  <c r="W166" i="4"/>
  <c r="W167" i="4"/>
  <c r="W168" i="4"/>
  <c r="W169" i="4"/>
  <c r="W170" i="4"/>
  <c r="W171" i="4"/>
  <c r="W172" i="4"/>
  <c r="W173" i="4"/>
  <c r="W174" i="4"/>
  <c r="W175" i="4"/>
  <c r="W176" i="4"/>
  <c r="W177" i="4"/>
  <c r="W178" i="4"/>
  <c r="W179" i="4"/>
  <c r="W180" i="4"/>
  <c r="W181" i="4"/>
  <c r="W182" i="4"/>
  <c r="W183" i="4"/>
  <c r="W184" i="4"/>
  <c r="W185" i="4"/>
  <c r="W186" i="4"/>
  <c r="W187" i="4"/>
  <c r="W188" i="4"/>
  <c r="W189" i="4"/>
  <c r="W190" i="4"/>
  <c r="W191" i="4"/>
  <c r="W192" i="4"/>
  <c r="W193" i="4"/>
  <c r="W194" i="4"/>
  <c r="W195" i="4"/>
  <c r="W196" i="4"/>
  <c r="W197" i="4"/>
  <c r="W198" i="4"/>
  <c r="W199" i="4"/>
  <c r="W200" i="4"/>
  <c r="W201" i="4"/>
  <c r="W202" i="4"/>
  <c r="W203" i="4"/>
  <c r="W204" i="4"/>
  <c r="W205" i="4"/>
  <c r="W206" i="4"/>
  <c r="W207" i="4"/>
  <c r="W208" i="4"/>
  <c r="W209" i="4"/>
  <c r="W210" i="4"/>
  <c r="W211" i="4"/>
  <c r="X211" i="4" s="1"/>
  <c r="W212" i="4"/>
  <c r="W213" i="4"/>
  <c r="W214" i="4"/>
  <c r="X214" i="4" s="1"/>
  <c r="AA214" i="4" s="1"/>
  <c r="W215" i="4"/>
  <c r="W216" i="4"/>
  <c r="X216" i="4" s="1"/>
  <c r="W217" i="4"/>
  <c r="W218" i="4"/>
  <c r="W219" i="4"/>
  <c r="W220" i="4"/>
  <c r="X220" i="4" s="1"/>
  <c r="AA220" i="4" s="1"/>
  <c r="W221" i="4"/>
  <c r="W222" i="4"/>
  <c r="X222" i="4" s="1"/>
  <c r="W223" i="4"/>
  <c r="W224" i="4"/>
  <c r="W225" i="4"/>
  <c r="X225" i="4" s="1"/>
  <c r="W226" i="4"/>
  <c r="X226" i="4" s="1"/>
  <c r="AA226" i="4" s="1"/>
  <c r="W227" i="4"/>
  <c r="W228" i="4"/>
  <c r="X228" i="4" s="1"/>
  <c r="W229" i="4"/>
  <c r="W230" i="4"/>
  <c r="W231" i="4"/>
  <c r="X231" i="4" s="1"/>
  <c r="W232" i="4"/>
  <c r="X232" i="4" s="1"/>
  <c r="AA232" i="4" s="1"/>
  <c r="W233" i="4"/>
  <c r="W234" i="4"/>
  <c r="X234" i="4" s="1"/>
  <c r="W235" i="4"/>
  <c r="W236" i="4"/>
  <c r="W237" i="4"/>
  <c r="X237" i="4" s="1"/>
  <c r="W238" i="4"/>
  <c r="X238" i="4" s="1"/>
  <c r="AA238" i="4" s="1"/>
  <c r="W239" i="4"/>
  <c r="W240" i="4"/>
  <c r="X240" i="4" s="1"/>
  <c r="W241" i="4"/>
  <c r="W242" i="4"/>
  <c r="W243" i="4"/>
  <c r="X243" i="4" s="1"/>
  <c r="W244" i="4"/>
  <c r="X244" i="4" s="1"/>
  <c r="AA244" i="4" s="1"/>
  <c r="W245" i="4"/>
  <c r="W246" i="4"/>
  <c r="X246" i="4" s="1"/>
  <c r="W247" i="4"/>
  <c r="W248" i="4"/>
  <c r="W249" i="4"/>
  <c r="X249" i="4" s="1"/>
  <c r="W250" i="4"/>
  <c r="W251" i="4"/>
  <c r="W252" i="4"/>
  <c r="X252" i="4" s="1"/>
  <c r="W253" i="4"/>
  <c r="W254" i="4"/>
  <c r="W255" i="4"/>
  <c r="X255" i="4" s="1"/>
  <c r="X4" i="4"/>
  <c r="X5" i="4"/>
  <c r="X6" i="4"/>
  <c r="X7" i="4"/>
  <c r="AA7" i="4" s="1"/>
  <c r="AB7" i="4" s="1"/>
  <c r="X8" i="4"/>
  <c r="X9" i="4"/>
  <c r="X10" i="4"/>
  <c r="X11" i="4"/>
  <c r="X12" i="4"/>
  <c r="X13" i="4"/>
  <c r="AA13" i="4" s="1"/>
  <c r="AB13" i="4" s="1"/>
  <c r="X14" i="4"/>
  <c r="X15" i="4"/>
  <c r="X16" i="4"/>
  <c r="X17" i="4"/>
  <c r="X18" i="4"/>
  <c r="X19" i="4"/>
  <c r="AA19" i="4" s="1"/>
  <c r="AB19" i="4" s="1"/>
  <c r="X20" i="4"/>
  <c r="X21" i="4"/>
  <c r="X22" i="4"/>
  <c r="X23" i="4"/>
  <c r="X24" i="4"/>
  <c r="X25" i="4"/>
  <c r="AA25" i="4" s="1"/>
  <c r="AB25" i="4" s="1"/>
  <c r="X26" i="4"/>
  <c r="X27" i="4"/>
  <c r="X28" i="4"/>
  <c r="X29" i="4"/>
  <c r="X30" i="4"/>
  <c r="X31" i="4"/>
  <c r="AA31" i="4" s="1"/>
  <c r="AB31" i="4" s="1"/>
  <c r="X32" i="4"/>
  <c r="X33" i="4"/>
  <c r="X34" i="4"/>
  <c r="X35" i="4"/>
  <c r="X36" i="4"/>
  <c r="X37" i="4"/>
  <c r="AA37" i="4" s="1"/>
  <c r="AB37" i="4" s="1"/>
  <c r="X38" i="4"/>
  <c r="X39" i="4"/>
  <c r="X40" i="4"/>
  <c r="X41" i="4"/>
  <c r="X42" i="4"/>
  <c r="X43" i="4"/>
  <c r="AA43" i="4" s="1"/>
  <c r="AB43" i="4" s="1"/>
  <c r="X44" i="4"/>
  <c r="X45" i="4"/>
  <c r="X46" i="4"/>
  <c r="X47" i="4"/>
  <c r="X48" i="4"/>
  <c r="X49" i="4"/>
  <c r="AA49" i="4" s="1"/>
  <c r="AB49" i="4" s="1"/>
  <c r="X50" i="4"/>
  <c r="X51" i="4"/>
  <c r="X52" i="4"/>
  <c r="X53" i="4"/>
  <c r="X54" i="4"/>
  <c r="X55" i="4"/>
  <c r="AA55" i="4" s="1"/>
  <c r="AB55" i="4" s="1"/>
  <c r="X56" i="4"/>
  <c r="X57" i="4"/>
  <c r="X58" i="4"/>
  <c r="X59" i="4"/>
  <c r="X60" i="4"/>
  <c r="X61" i="4"/>
  <c r="AA61" i="4" s="1"/>
  <c r="AB61" i="4" s="1"/>
  <c r="X62" i="4"/>
  <c r="X63" i="4"/>
  <c r="X64" i="4"/>
  <c r="X65" i="4"/>
  <c r="X66" i="4"/>
  <c r="X67" i="4"/>
  <c r="AA67" i="4" s="1"/>
  <c r="AB67" i="4" s="1"/>
  <c r="X68" i="4"/>
  <c r="X69" i="4"/>
  <c r="X70" i="4"/>
  <c r="X71" i="4"/>
  <c r="X72" i="4"/>
  <c r="X73" i="4"/>
  <c r="AA73" i="4" s="1"/>
  <c r="AB73" i="4" s="1"/>
  <c r="X74" i="4"/>
  <c r="X75" i="4"/>
  <c r="X76" i="4"/>
  <c r="X77" i="4"/>
  <c r="X78" i="4"/>
  <c r="X79" i="4"/>
  <c r="AA79" i="4" s="1"/>
  <c r="AB79" i="4" s="1"/>
  <c r="X80" i="4"/>
  <c r="X81" i="4"/>
  <c r="X82" i="4"/>
  <c r="X83" i="4"/>
  <c r="X84" i="4"/>
  <c r="X85" i="4"/>
  <c r="AA85" i="4" s="1"/>
  <c r="AB85" i="4" s="1"/>
  <c r="X86" i="4"/>
  <c r="X87" i="4"/>
  <c r="X88" i="4"/>
  <c r="X89" i="4"/>
  <c r="X90" i="4"/>
  <c r="X91" i="4"/>
  <c r="AA91" i="4" s="1"/>
  <c r="AB91" i="4" s="1"/>
  <c r="X92" i="4"/>
  <c r="X93" i="4"/>
  <c r="X94" i="4"/>
  <c r="X95" i="4"/>
  <c r="X96" i="4"/>
  <c r="X97" i="4"/>
  <c r="AA97" i="4" s="1"/>
  <c r="AB97" i="4" s="1"/>
  <c r="X98" i="4"/>
  <c r="X99" i="4"/>
  <c r="X100" i="4"/>
  <c r="X101" i="4"/>
  <c r="X102" i="4"/>
  <c r="X103" i="4"/>
  <c r="AA103" i="4" s="1"/>
  <c r="AB103" i="4" s="1"/>
  <c r="X104" i="4"/>
  <c r="X105" i="4"/>
  <c r="X106" i="4"/>
  <c r="X107" i="4"/>
  <c r="X108" i="4"/>
  <c r="X109" i="4"/>
  <c r="AA109" i="4" s="1"/>
  <c r="AB109" i="4" s="1"/>
  <c r="X110" i="4"/>
  <c r="X111" i="4"/>
  <c r="X112" i="4"/>
  <c r="X113" i="4"/>
  <c r="X114" i="4"/>
  <c r="X115" i="4"/>
  <c r="AA115" i="4" s="1"/>
  <c r="AB115" i="4" s="1"/>
  <c r="X116" i="4"/>
  <c r="X117" i="4"/>
  <c r="X118" i="4"/>
  <c r="X119" i="4"/>
  <c r="X120" i="4"/>
  <c r="X121" i="4"/>
  <c r="AA121" i="4" s="1"/>
  <c r="AB121" i="4" s="1"/>
  <c r="X122" i="4"/>
  <c r="X123" i="4"/>
  <c r="X124" i="4"/>
  <c r="X125" i="4"/>
  <c r="X126" i="4"/>
  <c r="X127" i="4"/>
  <c r="AA127" i="4" s="1"/>
  <c r="AB127" i="4" s="1"/>
  <c r="X128" i="4"/>
  <c r="X129" i="4"/>
  <c r="X130" i="4"/>
  <c r="X131" i="4"/>
  <c r="X132" i="4"/>
  <c r="X133" i="4"/>
  <c r="AA133" i="4" s="1"/>
  <c r="AB133" i="4" s="1"/>
  <c r="X134" i="4"/>
  <c r="X135" i="4"/>
  <c r="X136" i="4"/>
  <c r="X137" i="4"/>
  <c r="X138" i="4"/>
  <c r="X139" i="4"/>
  <c r="AA139" i="4" s="1"/>
  <c r="AB139" i="4" s="1"/>
  <c r="X140" i="4"/>
  <c r="X141" i="4"/>
  <c r="X142" i="4"/>
  <c r="X143" i="4"/>
  <c r="X144" i="4"/>
  <c r="X145" i="4"/>
  <c r="AA145" i="4" s="1"/>
  <c r="AB145" i="4" s="1"/>
  <c r="X146" i="4"/>
  <c r="X147" i="4"/>
  <c r="X148" i="4"/>
  <c r="X149" i="4"/>
  <c r="X150" i="4"/>
  <c r="X151" i="4"/>
  <c r="AA151" i="4" s="1"/>
  <c r="AB151" i="4" s="1"/>
  <c r="X152" i="4"/>
  <c r="X153" i="4"/>
  <c r="X154" i="4"/>
  <c r="X155" i="4"/>
  <c r="X156" i="4"/>
  <c r="X157" i="4"/>
  <c r="AA157" i="4" s="1"/>
  <c r="X158" i="4"/>
  <c r="X159" i="4"/>
  <c r="X160" i="4"/>
  <c r="X161" i="4"/>
  <c r="X162" i="4"/>
  <c r="X163" i="4"/>
  <c r="AA163" i="4" s="1"/>
  <c r="X164" i="4"/>
  <c r="X165" i="4"/>
  <c r="X166" i="4"/>
  <c r="X167" i="4"/>
  <c r="X168" i="4"/>
  <c r="X169" i="4"/>
  <c r="AA169" i="4" s="1"/>
  <c r="X170" i="4"/>
  <c r="X171" i="4"/>
  <c r="X172" i="4"/>
  <c r="X173" i="4"/>
  <c r="X174" i="4"/>
  <c r="X175" i="4"/>
  <c r="AA175" i="4" s="1"/>
  <c r="X176" i="4"/>
  <c r="X177" i="4"/>
  <c r="X178" i="4"/>
  <c r="X179" i="4"/>
  <c r="X180" i="4"/>
  <c r="X181" i="4"/>
  <c r="AA181" i="4" s="1"/>
  <c r="X182" i="4"/>
  <c r="X183" i="4"/>
  <c r="X184" i="4"/>
  <c r="X185" i="4"/>
  <c r="X186" i="4"/>
  <c r="X187" i="4"/>
  <c r="AA187" i="4" s="1"/>
  <c r="X188" i="4"/>
  <c r="X189" i="4"/>
  <c r="X190" i="4"/>
  <c r="X191" i="4"/>
  <c r="X192" i="4"/>
  <c r="X193" i="4"/>
  <c r="AA193" i="4" s="1"/>
  <c r="X194" i="4"/>
  <c r="X195" i="4"/>
  <c r="X196" i="4"/>
  <c r="X197" i="4"/>
  <c r="X198" i="4"/>
  <c r="X199" i="4"/>
  <c r="AA199" i="4" s="1"/>
  <c r="X200" i="4"/>
  <c r="X201" i="4"/>
  <c r="X202" i="4"/>
  <c r="X203" i="4"/>
  <c r="X204" i="4"/>
  <c r="X205" i="4"/>
  <c r="AA205" i="4" s="1"/>
  <c r="X206" i="4"/>
  <c r="X207" i="4"/>
  <c r="X208" i="4"/>
  <c r="X209" i="4"/>
  <c r="X210" i="4"/>
  <c r="X212" i="4"/>
  <c r="X213" i="4"/>
  <c r="X215" i="4"/>
  <c r="X218" i="4"/>
  <c r="X219" i="4"/>
  <c r="X221" i="4"/>
  <c r="X224" i="4"/>
  <c r="X227" i="4"/>
  <c r="X230" i="4"/>
  <c r="X233" i="4"/>
  <c r="X236" i="4"/>
  <c r="X239" i="4"/>
  <c r="X242" i="4"/>
  <c r="X245" i="4"/>
  <c r="X248" i="4"/>
  <c r="X251" i="4"/>
  <c r="X254" i="4"/>
  <c r="Y4" i="4"/>
  <c r="Y5" i="4"/>
  <c r="Y6" i="4"/>
  <c r="Y7" i="4"/>
  <c r="Y8" i="4"/>
  <c r="Y9" i="4"/>
  <c r="Y10" i="4"/>
  <c r="Y11" i="4"/>
  <c r="Y12" i="4"/>
  <c r="Y13" i="4"/>
  <c r="Y14" i="4"/>
  <c r="Y15" i="4"/>
  <c r="Y16" i="4"/>
  <c r="Y17" i="4"/>
  <c r="Y18" i="4"/>
  <c r="Y19" i="4"/>
  <c r="Y20" i="4"/>
  <c r="Y21" i="4"/>
  <c r="Y22" i="4"/>
  <c r="Y23" i="4"/>
  <c r="Y24" i="4"/>
  <c r="Y25" i="4"/>
  <c r="Y26" i="4"/>
  <c r="AA26" i="4" s="1"/>
  <c r="Y27" i="4"/>
  <c r="Y28" i="4"/>
  <c r="Y29" i="4"/>
  <c r="Y30" i="4"/>
  <c r="Y31" i="4"/>
  <c r="Y32" i="4"/>
  <c r="Y33" i="4"/>
  <c r="Y34" i="4"/>
  <c r="Y35" i="4"/>
  <c r="Y36" i="4"/>
  <c r="Y37" i="4"/>
  <c r="Y38" i="4"/>
  <c r="Y39" i="4"/>
  <c r="Y40" i="4"/>
  <c r="Y41" i="4"/>
  <c r="Y42" i="4"/>
  <c r="Y43" i="4"/>
  <c r="Y44" i="4"/>
  <c r="Y45" i="4"/>
  <c r="Y46" i="4"/>
  <c r="Y47" i="4"/>
  <c r="Y48" i="4"/>
  <c r="Y49" i="4"/>
  <c r="Y50" i="4"/>
  <c r="Y51" i="4"/>
  <c r="Y52" i="4"/>
  <c r="Y53" i="4"/>
  <c r="Y54" i="4"/>
  <c r="Y55" i="4"/>
  <c r="Y56" i="4"/>
  <c r="Y57" i="4"/>
  <c r="Y58" i="4"/>
  <c r="Y59" i="4"/>
  <c r="Y60" i="4"/>
  <c r="Y61" i="4"/>
  <c r="Y62" i="4"/>
  <c r="AA62" i="4" s="1"/>
  <c r="Y63" i="4"/>
  <c r="Y64" i="4"/>
  <c r="Y65" i="4"/>
  <c r="Y66" i="4"/>
  <c r="Y67" i="4"/>
  <c r="Y68" i="4"/>
  <c r="AA68" i="4" s="1"/>
  <c r="Y69" i="4"/>
  <c r="Y70" i="4"/>
  <c r="Y71" i="4"/>
  <c r="Y72" i="4"/>
  <c r="Y73" i="4"/>
  <c r="Y74" i="4"/>
  <c r="Y75" i="4"/>
  <c r="Y76" i="4"/>
  <c r="Y77" i="4"/>
  <c r="Y78" i="4"/>
  <c r="Y79" i="4"/>
  <c r="Y80" i="4"/>
  <c r="Y81" i="4"/>
  <c r="Y82" i="4"/>
  <c r="Y83" i="4"/>
  <c r="Y84" i="4"/>
  <c r="Y85" i="4"/>
  <c r="Y86" i="4"/>
  <c r="Y87" i="4"/>
  <c r="Y88" i="4"/>
  <c r="Y89" i="4"/>
  <c r="Y90" i="4"/>
  <c r="Y91" i="4"/>
  <c r="Y92" i="4"/>
  <c r="Y93" i="4"/>
  <c r="Y94" i="4"/>
  <c r="Y95" i="4"/>
  <c r="Y96" i="4"/>
  <c r="Y97" i="4"/>
  <c r="Y98" i="4"/>
  <c r="AA98" i="4" s="1"/>
  <c r="Y99" i="4"/>
  <c r="Y100" i="4"/>
  <c r="Y101" i="4"/>
  <c r="Y102" i="4"/>
  <c r="Y103" i="4"/>
  <c r="Y104" i="4"/>
  <c r="AA104" i="4" s="1"/>
  <c r="Y105" i="4"/>
  <c r="Y106" i="4"/>
  <c r="Y107" i="4"/>
  <c r="Y108" i="4"/>
  <c r="Y109" i="4"/>
  <c r="Y110" i="4"/>
  <c r="Y111" i="4"/>
  <c r="Y112" i="4"/>
  <c r="Y113" i="4"/>
  <c r="Y114" i="4"/>
  <c r="Y115" i="4"/>
  <c r="Y116" i="4"/>
  <c r="Y117" i="4"/>
  <c r="Y118" i="4"/>
  <c r="Y119" i="4"/>
  <c r="Y120" i="4"/>
  <c r="Y121" i="4"/>
  <c r="Y122" i="4"/>
  <c r="Y123" i="4"/>
  <c r="Y124" i="4"/>
  <c r="Y125" i="4"/>
  <c r="Y126" i="4"/>
  <c r="Y127" i="4"/>
  <c r="Y128" i="4"/>
  <c r="Y129" i="4"/>
  <c r="Y130" i="4"/>
  <c r="Y131" i="4"/>
  <c r="Y132" i="4"/>
  <c r="Y133" i="4"/>
  <c r="Y134" i="4"/>
  <c r="AA134" i="4" s="1"/>
  <c r="Y135" i="4"/>
  <c r="Y136" i="4"/>
  <c r="Y137" i="4"/>
  <c r="Y138" i="4"/>
  <c r="Y139" i="4"/>
  <c r="Y140" i="4"/>
  <c r="AA140" i="4" s="1"/>
  <c r="Y141" i="4"/>
  <c r="Y142" i="4"/>
  <c r="Y143" i="4"/>
  <c r="Y144" i="4"/>
  <c r="Y145" i="4"/>
  <c r="Y146" i="4"/>
  <c r="Y147" i="4"/>
  <c r="Y148" i="4"/>
  <c r="Y149" i="4"/>
  <c r="Y150" i="4"/>
  <c r="Y151" i="4"/>
  <c r="Y152" i="4"/>
  <c r="Y153" i="4"/>
  <c r="Y154" i="4"/>
  <c r="Y155" i="4"/>
  <c r="Y156" i="4"/>
  <c r="Y157" i="4"/>
  <c r="Y158" i="4"/>
  <c r="Y159" i="4"/>
  <c r="Y160" i="4"/>
  <c r="Y161" i="4"/>
  <c r="Y162" i="4"/>
  <c r="Y163" i="4"/>
  <c r="Y164" i="4"/>
  <c r="Y165" i="4"/>
  <c r="Y166" i="4"/>
  <c r="Y167" i="4"/>
  <c r="Y168" i="4"/>
  <c r="Y169" i="4"/>
  <c r="Y170" i="4"/>
  <c r="AA170" i="4" s="1"/>
  <c r="Y171" i="4"/>
  <c r="Y172" i="4"/>
  <c r="Y173" i="4"/>
  <c r="Y174" i="4"/>
  <c r="Y175" i="4"/>
  <c r="Y176" i="4"/>
  <c r="AA176" i="4" s="1"/>
  <c r="Y177" i="4"/>
  <c r="Y178" i="4"/>
  <c r="Y179" i="4"/>
  <c r="Y180" i="4"/>
  <c r="Y181" i="4"/>
  <c r="Y182" i="4"/>
  <c r="Y183" i="4"/>
  <c r="Y184" i="4"/>
  <c r="Y185" i="4"/>
  <c r="Y186" i="4"/>
  <c r="Y187" i="4"/>
  <c r="Y188" i="4"/>
  <c r="Y189" i="4"/>
  <c r="Y190" i="4"/>
  <c r="Y191" i="4"/>
  <c r="Y192" i="4"/>
  <c r="Y193" i="4"/>
  <c r="Y194" i="4"/>
  <c r="Y195" i="4"/>
  <c r="Y196" i="4"/>
  <c r="Y197" i="4"/>
  <c r="Y198" i="4"/>
  <c r="Y199" i="4"/>
  <c r="Y200" i="4"/>
  <c r="Y201" i="4"/>
  <c r="Y202" i="4"/>
  <c r="Y203" i="4"/>
  <c r="Y204" i="4"/>
  <c r="Y205" i="4"/>
  <c r="Y206" i="4"/>
  <c r="AA206" i="4" s="1"/>
  <c r="Y207" i="4"/>
  <c r="Y208" i="4"/>
  <c r="Y209" i="4"/>
  <c r="Y210" i="4"/>
  <c r="Y211" i="4"/>
  <c r="Y212" i="4"/>
  <c r="Y213" i="4"/>
  <c r="Y214" i="4"/>
  <c r="Y215" i="4"/>
  <c r="Y216" i="4"/>
  <c r="Y217" i="4"/>
  <c r="Y218" i="4"/>
  <c r="Y219" i="4"/>
  <c r="Y220" i="4"/>
  <c r="Y221" i="4"/>
  <c r="Y222" i="4"/>
  <c r="Y223" i="4"/>
  <c r="Y224" i="4"/>
  <c r="Y225" i="4"/>
  <c r="Y226" i="4"/>
  <c r="Y227" i="4"/>
  <c r="Y228" i="4"/>
  <c r="Y229" i="4"/>
  <c r="Y230" i="4"/>
  <c r="Y231" i="4"/>
  <c r="Y232" i="4"/>
  <c r="Y233" i="4"/>
  <c r="Y234" i="4"/>
  <c r="Y235" i="4"/>
  <c r="Y236" i="4"/>
  <c r="Y237" i="4"/>
  <c r="Y238" i="4"/>
  <c r="Y239" i="4"/>
  <c r="Y240" i="4"/>
  <c r="Y241" i="4"/>
  <c r="Y242" i="4"/>
  <c r="Y243" i="4"/>
  <c r="Y244" i="4"/>
  <c r="Y245" i="4"/>
  <c r="Y246" i="4"/>
  <c r="Y247" i="4"/>
  <c r="Y248" i="4"/>
  <c r="Y249" i="4"/>
  <c r="Y250" i="4"/>
  <c r="Y251" i="4"/>
  <c r="Y252" i="4"/>
  <c r="Y253" i="4"/>
  <c r="Y254" i="4"/>
  <c r="Y255" i="4"/>
  <c r="Z4" i="4"/>
  <c r="Z5" i="4"/>
  <c r="Z6" i="4"/>
  <c r="Z7" i="4"/>
  <c r="Z8" i="4"/>
  <c r="AA8" i="4" s="1"/>
  <c r="Z9" i="4"/>
  <c r="Z10" i="4"/>
  <c r="Z11" i="4"/>
  <c r="AB11" i="4" s="1"/>
  <c r="Z12" i="4"/>
  <c r="Z13" i="4"/>
  <c r="Z14" i="4"/>
  <c r="AA14" i="4" s="1"/>
  <c r="Z15" i="4"/>
  <c r="Z16" i="4"/>
  <c r="Z17" i="4"/>
  <c r="Z18" i="4"/>
  <c r="Z19" i="4"/>
  <c r="Z20" i="4"/>
  <c r="AA20" i="4" s="1"/>
  <c r="Z21" i="4"/>
  <c r="Z22" i="4"/>
  <c r="Z23" i="4"/>
  <c r="Z24" i="4"/>
  <c r="Z25" i="4"/>
  <c r="Z26" i="4"/>
  <c r="Z27" i="4"/>
  <c r="Z28" i="4"/>
  <c r="Z29" i="4"/>
  <c r="Z30" i="4"/>
  <c r="Z31" i="4"/>
  <c r="Z32" i="4"/>
  <c r="AA32" i="4" s="1"/>
  <c r="Z33" i="4"/>
  <c r="Z34" i="4"/>
  <c r="Z35" i="4"/>
  <c r="AB35" i="4" s="1"/>
  <c r="Z36" i="4"/>
  <c r="Z37" i="4"/>
  <c r="Z38" i="4"/>
  <c r="Z39" i="4"/>
  <c r="Z40" i="4"/>
  <c r="Z41" i="4"/>
  <c r="Z42" i="4"/>
  <c r="Z43" i="4"/>
  <c r="Z44" i="4"/>
  <c r="Z45" i="4"/>
  <c r="Z46" i="4"/>
  <c r="Z47" i="4"/>
  <c r="AB47" i="4" s="1"/>
  <c r="Z48" i="4"/>
  <c r="Z49" i="4"/>
  <c r="Z50" i="4"/>
  <c r="Z51" i="4"/>
  <c r="Z52" i="4"/>
  <c r="Z53" i="4"/>
  <c r="Z54" i="4"/>
  <c r="Z55" i="4"/>
  <c r="Z56" i="4"/>
  <c r="AA56" i="4" s="1"/>
  <c r="Z57" i="4"/>
  <c r="Z58" i="4"/>
  <c r="Z59" i="4"/>
  <c r="Z60" i="4"/>
  <c r="Z61" i="4"/>
  <c r="Z62" i="4"/>
  <c r="Z63" i="4"/>
  <c r="Z64" i="4"/>
  <c r="Z65" i="4"/>
  <c r="Z66" i="4"/>
  <c r="Z67" i="4"/>
  <c r="Z68" i="4"/>
  <c r="Z69" i="4"/>
  <c r="Z70" i="4"/>
  <c r="Z71" i="4"/>
  <c r="AB71" i="4" s="1"/>
  <c r="Z72" i="4"/>
  <c r="Z73" i="4"/>
  <c r="Z74" i="4"/>
  <c r="Z75" i="4"/>
  <c r="Z76" i="4"/>
  <c r="Z77" i="4"/>
  <c r="Z78" i="4"/>
  <c r="Z79" i="4"/>
  <c r="Z80" i="4"/>
  <c r="Z81" i="4"/>
  <c r="Z82" i="4"/>
  <c r="Z83" i="4"/>
  <c r="Z84" i="4"/>
  <c r="Z85" i="4"/>
  <c r="Z86" i="4"/>
  <c r="Z87" i="4"/>
  <c r="Z88" i="4"/>
  <c r="Z89" i="4"/>
  <c r="Z90" i="4"/>
  <c r="Z91" i="4"/>
  <c r="Z92" i="4"/>
  <c r="AA92" i="4" s="1"/>
  <c r="Z93" i="4"/>
  <c r="Z94" i="4"/>
  <c r="Z95" i="4"/>
  <c r="Z96" i="4"/>
  <c r="Z97" i="4"/>
  <c r="Z98" i="4"/>
  <c r="Z99" i="4"/>
  <c r="Z100" i="4"/>
  <c r="Z101" i="4"/>
  <c r="Z102" i="4"/>
  <c r="Z103" i="4"/>
  <c r="Z104" i="4"/>
  <c r="Z105" i="4"/>
  <c r="Z106" i="4"/>
  <c r="Z107" i="4"/>
  <c r="Z108" i="4"/>
  <c r="Z109" i="4"/>
  <c r="Z110" i="4"/>
  <c r="Z111" i="4"/>
  <c r="Z112" i="4"/>
  <c r="Z113" i="4"/>
  <c r="Z114" i="4"/>
  <c r="Z115" i="4"/>
  <c r="Z116" i="4"/>
  <c r="Z117" i="4"/>
  <c r="Z118" i="4"/>
  <c r="Z119" i="4"/>
  <c r="Z120" i="4"/>
  <c r="Z121" i="4"/>
  <c r="Z122" i="4"/>
  <c r="Z123" i="4"/>
  <c r="Z124" i="4"/>
  <c r="Z125" i="4"/>
  <c r="Z126" i="4"/>
  <c r="Z127" i="4"/>
  <c r="Z128" i="4"/>
  <c r="AA128" i="4" s="1"/>
  <c r="Z129" i="4"/>
  <c r="Z130" i="4"/>
  <c r="Z131" i="4"/>
  <c r="Z132" i="4"/>
  <c r="Z133" i="4"/>
  <c r="Z134" i="4"/>
  <c r="Z135" i="4"/>
  <c r="Z136" i="4"/>
  <c r="Z137" i="4"/>
  <c r="Z138" i="4"/>
  <c r="Z139" i="4"/>
  <c r="Z140" i="4"/>
  <c r="Z141" i="4"/>
  <c r="Z142" i="4"/>
  <c r="Z143" i="4"/>
  <c r="Z144" i="4"/>
  <c r="Z145" i="4"/>
  <c r="Z146" i="4"/>
  <c r="Z147" i="4"/>
  <c r="Z148" i="4"/>
  <c r="Z149" i="4"/>
  <c r="Z150" i="4"/>
  <c r="Z151" i="4"/>
  <c r="Z152" i="4"/>
  <c r="Z153" i="4"/>
  <c r="Z154" i="4"/>
  <c r="Z155" i="4"/>
  <c r="Z156" i="4"/>
  <c r="Z157" i="4"/>
  <c r="AB157" i="4" s="1"/>
  <c r="Z158" i="4"/>
  <c r="Z159" i="4"/>
  <c r="Z160" i="4"/>
  <c r="Z161" i="4"/>
  <c r="Z162" i="4"/>
  <c r="Z163" i="4"/>
  <c r="AB163" i="4" s="1"/>
  <c r="Z164" i="4"/>
  <c r="AA164" i="4" s="1"/>
  <c r="Z165" i="4"/>
  <c r="Z166" i="4"/>
  <c r="Z167" i="4"/>
  <c r="Z168" i="4"/>
  <c r="Z169" i="4"/>
  <c r="AB169" i="4" s="1"/>
  <c r="Z170" i="4"/>
  <c r="Z171" i="4"/>
  <c r="Z172" i="4"/>
  <c r="Z173" i="4"/>
  <c r="Z174" i="4"/>
  <c r="Z175" i="4"/>
  <c r="AB175" i="4" s="1"/>
  <c r="Z176" i="4"/>
  <c r="Z177" i="4"/>
  <c r="Z178" i="4"/>
  <c r="Z179" i="4"/>
  <c r="Z180" i="4"/>
  <c r="Z181" i="4"/>
  <c r="AB181" i="4" s="1"/>
  <c r="Z182" i="4"/>
  <c r="Z183" i="4"/>
  <c r="Z184" i="4"/>
  <c r="Z185" i="4"/>
  <c r="Z186" i="4"/>
  <c r="Z187" i="4"/>
  <c r="AB187" i="4" s="1"/>
  <c r="Z188" i="4"/>
  <c r="Z189" i="4"/>
  <c r="Z190" i="4"/>
  <c r="Z191" i="4"/>
  <c r="Z192" i="4"/>
  <c r="Z193" i="4"/>
  <c r="AB193" i="4" s="1"/>
  <c r="Z194" i="4"/>
  <c r="Z195" i="4"/>
  <c r="Z196" i="4"/>
  <c r="Z197" i="4"/>
  <c r="Z198" i="4"/>
  <c r="Z199" i="4"/>
  <c r="AB199" i="4" s="1"/>
  <c r="Z200" i="4"/>
  <c r="AA200" i="4" s="1"/>
  <c r="Z201" i="4"/>
  <c r="Z202" i="4"/>
  <c r="Z203" i="4"/>
  <c r="Z204" i="4"/>
  <c r="Z205" i="4"/>
  <c r="AB205" i="4" s="1"/>
  <c r="Z206" i="4"/>
  <c r="Z207" i="4"/>
  <c r="Z208" i="4"/>
  <c r="Z209" i="4"/>
  <c r="Z210" i="4"/>
  <c r="Z211" i="4"/>
  <c r="Z212" i="4"/>
  <c r="Z213" i="4"/>
  <c r="Z214" i="4"/>
  <c r="Z215" i="4"/>
  <c r="Z216" i="4"/>
  <c r="Z217" i="4"/>
  <c r="Z218" i="4"/>
  <c r="Z219" i="4"/>
  <c r="Z220" i="4"/>
  <c r="Z221" i="4"/>
  <c r="AA221" i="4" s="1"/>
  <c r="Z222" i="4"/>
  <c r="Z223" i="4"/>
  <c r="Z224" i="4"/>
  <c r="Z225" i="4"/>
  <c r="Z226" i="4"/>
  <c r="Z227" i="4"/>
  <c r="AA227" i="4" s="1"/>
  <c r="Z228" i="4"/>
  <c r="Z229" i="4"/>
  <c r="Z230" i="4"/>
  <c r="Z231" i="4"/>
  <c r="Z232" i="4"/>
  <c r="Z233" i="4"/>
  <c r="AA233" i="4" s="1"/>
  <c r="Z234" i="4"/>
  <c r="Z235" i="4"/>
  <c r="Z236" i="4"/>
  <c r="Z237" i="4"/>
  <c r="Z238" i="4"/>
  <c r="Z239" i="4"/>
  <c r="AA239" i="4" s="1"/>
  <c r="Z240" i="4"/>
  <c r="Z241" i="4"/>
  <c r="Z242" i="4"/>
  <c r="Z243" i="4"/>
  <c r="Z244" i="4"/>
  <c r="Z245" i="4"/>
  <c r="AA245" i="4" s="1"/>
  <c r="Z246" i="4"/>
  <c r="Z247" i="4"/>
  <c r="Z248" i="4"/>
  <c r="Z249" i="4"/>
  <c r="Z250" i="4"/>
  <c r="Z251" i="4"/>
  <c r="AA251" i="4" s="1"/>
  <c r="Z252" i="4"/>
  <c r="Z253" i="4"/>
  <c r="Z254" i="4"/>
  <c r="Z255" i="4"/>
  <c r="AA4" i="4"/>
  <c r="AB4" i="4" s="1"/>
  <c r="AA5" i="4"/>
  <c r="AB5" i="4" s="1"/>
  <c r="AA6" i="4"/>
  <c r="AA9" i="4"/>
  <c r="AA10" i="4"/>
  <c r="AB10" i="4" s="1"/>
  <c r="AA11" i="4"/>
  <c r="AA12" i="4"/>
  <c r="AA15" i="4"/>
  <c r="AA16" i="4"/>
  <c r="AB16" i="4" s="1"/>
  <c r="AA17" i="4"/>
  <c r="AA18" i="4"/>
  <c r="AA21" i="4"/>
  <c r="AA22" i="4"/>
  <c r="AB22" i="4" s="1"/>
  <c r="AA23" i="4"/>
  <c r="AA24" i="4"/>
  <c r="AA27" i="4"/>
  <c r="AA28" i="4"/>
  <c r="AB28" i="4" s="1"/>
  <c r="AA29" i="4"/>
  <c r="AA30" i="4"/>
  <c r="AA33" i="4"/>
  <c r="AA34" i="4"/>
  <c r="AB34" i="4" s="1"/>
  <c r="AA35" i="4"/>
  <c r="AA36" i="4"/>
  <c r="AA38" i="4"/>
  <c r="AA39" i="4"/>
  <c r="AA40" i="4"/>
  <c r="AB40" i="4" s="1"/>
  <c r="AA41" i="4"/>
  <c r="AA42" i="4"/>
  <c r="AA45" i="4"/>
  <c r="AA46" i="4"/>
  <c r="AB46" i="4" s="1"/>
  <c r="AA47" i="4"/>
  <c r="AA48" i="4"/>
  <c r="AA51" i="4"/>
  <c r="AA52" i="4"/>
  <c r="AB52" i="4" s="1"/>
  <c r="AA53" i="4"/>
  <c r="AA54" i="4"/>
  <c r="AA57" i="4"/>
  <c r="AA58" i="4"/>
  <c r="AB58" i="4" s="1"/>
  <c r="AA59" i="4"/>
  <c r="AA60" i="4"/>
  <c r="AA63" i="4"/>
  <c r="AA64" i="4"/>
  <c r="AB64" i="4" s="1"/>
  <c r="AA65" i="4"/>
  <c r="AA66" i="4"/>
  <c r="AA69" i="4"/>
  <c r="AA70" i="4"/>
  <c r="AB70" i="4" s="1"/>
  <c r="AA71" i="4"/>
  <c r="AA72" i="4"/>
  <c r="AA74" i="4"/>
  <c r="AA75" i="4"/>
  <c r="AA76" i="4"/>
  <c r="AB76" i="4" s="1"/>
  <c r="AA77" i="4"/>
  <c r="AA78" i="4"/>
  <c r="AA81" i="4"/>
  <c r="AA82" i="4"/>
  <c r="AB82" i="4" s="1"/>
  <c r="AA84" i="4"/>
  <c r="AA87" i="4"/>
  <c r="AA88" i="4"/>
  <c r="AB88" i="4" s="1"/>
  <c r="AA90" i="4"/>
  <c r="AA93" i="4"/>
  <c r="AA94" i="4"/>
  <c r="AB94" i="4" s="1"/>
  <c r="AA95" i="4"/>
  <c r="AA96" i="4"/>
  <c r="AA99" i="4"/>
  <c r="AA100" i="4"/>
  <c r="AB100" i="4" s="1"/>
  <c r="AA102" i="4"/>
  <c r="AA105" i="4"/>
  <c r="AA106" i="4"/>
  <c r="AB106" i="4" s="1"/>
  <c r="AA108" i="4"/>
  <c r="AA110" i="4"/>
  <c r="AA111" i="4"/>
  <c r="AA112" i="4"/>
  <c r="AB112" i="4" s="1"/>
  <c r="AA113" i="4"/>
  <c r="AA114" i="4"/>
  <c r="AA117" i="4"/>
  <c r="AA118" i="4"/>
  <c r="AB118" i="4" s="1"/>
  <c r="AA120" i="4"/>
  <c r="AA123" i="4"/>
  <c r="AA124" i="4"/>
  <c r="AB124" i="4" s="1"/>
  <c r="AA126" i="4"/>
  <c r="AA129" i="4"/>
  <c r="AA130" i="4"/>
  <c r="AB130" i="4" s="1"/>
  <c r="AA131" i="4"/>
  <c r="AA132" i="4"/>
  <c r="AA135" i="4"/>
  <c r="AA136" i="4"/>
  <c r="AB136" i="4" s="1"/>
  <c r="AA138" i="4"/>
  <c r="AA141" i="4"/>
  <c r="AA142" i="4"/>
  <c r="AB142" i="4" s="1"/>
  <c r="AA144" i="4"/>
  <c r="AA146" i="4"/>
  <c r="AA147" i="4"/>
  <c r="AA148" i="4"/>
  <c r="AB148" i="4" s="1"/>
  <c r="AA149" i="4"/>
  <c r="AA150" i="4"/>
  <c r="AA153" i="4"/>
  <c r="AA154" i="4"/>
  <c r="AB154" i="4" s="1"/>
  <c r="AA156" i="4"/>
  <c r="AA159" i="4"/>
  <c r="AA160" i="4"/>
  <c r="AB160" i="4" s="1"/>
  <c r="AA162" i="4"/>
  <c r="AA165" i="4"/>
  <c r="AA166" i="4"/>
  <c r="AB166" i="4" s="1"/>
  <c r="AA167" i="4"/>
  <c r="AA168" i="4"/>
  <c r="AA171" i="4"/>
  <c r="AA172" i="4"/>
  <c r="AB172" i="4" s="1"/>
  <c r="AA174" i="4"/>
  <c r="AA177" i="4"/>
  <c r="AA178" i="4"/>
  <c r="AB178" i="4" s="1"/>
  <c r="AA180" i="4"/>
  <c r="AA182" i="4"/>
  <c r="AA183" i="4"/>
  <c r="AA184" i="4"/>
  <c r="AB184" i="4" s="1"/>
  <c r="AA185" i="4"/>
  <c r="AA186" i="4"/>
  <c r="AA189" i="4"/>
  <c r="AA190" i="4"/>
  <c r="AB190" i="4" s="1"/>
  <c r="AA192" i="4"/>
  <c r="AA195" i="4"/>
  <c r="AA196" i="4"/>
  <c r="AB196" i="4" s="1"/>
  <c r="AA198" i="4"/>
  <c r="AA201" i="4"/>
  <c r="AA202" i="4"/>
  <c r="AB202" i="4" s="1"/>
  <c r="AA203" i="4"/>
  <c r="AA204" i="4"/>
  <c r="AA207" i="4"/>
  <c r="AA208" i="4"/>
  <c r="AB208" i="4" s="1"/>
  <c r="AA210" i="4"/>
  <c r="AA213" i="4"/>
  <c r="AB213" i="4" s="1"/>
  <c r="AA216" i="4"/>
  <c r="AB216" i="4" s="1"/>
  <c r="AA219" i="4"/>
  <c r="AB219" i="4" s="1"/>
  <c r="AA222" i="4"/>
  <c r="AB222" i="4" s="1"/>
  <c r="AA225" i="4"/>
  <c r="AA228" i="4"/>
  <c r="AB228" i="4" s="1"/>
  <c r="AA231" i="4"/>
  <c r="AB231" i="4" s="1"/>
  <c r="AA234" i="4"/>
  <c r="AB234" i="4" s="1"/>
  <c r="AA237" i="4"/>
  <c r="AB237" i="4" s="1"/>
  <c r="AA240" i="4"/>
  <c r="AB240" i="4" s="1"/>
  <c r="AA243" i="4"/>
  <c r="AB243" i="4" s="1"/>
  <c r="AA246" i="4"/>
  <c r="AB246" i="4" s="1"/>
  <c r="AA249" i="4"/>
  <c r="AA252" i="4"/>
  <c r="AB252" i="4" s="1"/>
  <c r="AA255" i="4"/>
  <c r="AB255" i="4" s="1"/>
  <c r="AB6" i="4"/>
  <c r="AB9" i="4"/>
  <c r="AB12" i="4"/>
  <c r="AB15" i="4"/>
  <c r="AB18" i="4"/>
  <c r="AB21" i="4"/>
  <c r="AB24" i="4"/>
  <c r="AB27" i="4"/>
  <c r="AB30" i="4"/>
  <c r="AB33" i="4"/>
  <c r="AB36" i="4"/>
  <c r="AB39" i="4"/>
  <c r="AB42" i="4"/>
  <c r="AB45" i="4"/>
  <c r="AB48" i="4"/>
  <c r="AB51" i="4"/>
  <c r="AB54" i="4"/>
  <c r="AB57" i="4"/>
  <c r="AB60" i="4"/>
  <c r="AB63" i="4"/>
  <c r="AB66" i="4"/>
  <c r="AB69" i="4"/>
  <c r="AB72" i="4"/>
  <c r="AB75" i="4"/>
  <c r="AB78" i="4"/>
  <c r="AB81" i="4"/>
  <c r="AB84" i="4"/>
  <c r="AB87" i="4"/>
  <c r="AB90" i="4"/>
  <c r="AB93" i="4"/>
  <c r="AB96" i="4"/>
  <c r="AB99" i="4"/>
  <c r="AB102" i="4"/>
  <c r="AB105" i="4"/>
  <c r="AB108" i="4"/>
  <c r="AB111" i="4"/>
  <c r="AB114" i="4"/>
  <c r="AB117" i="4"/>
  <c r="AB120" i="4"/>
  <c r="AB123" i="4"/>
  <c r="AB126" i="4"/>
  <c r="AB129" i="4"/>
  <c r="AB132" i="4"/>
  <c r="AB135" i="4"/>
  <c r="AB138" i="4"/>
  <c r="AB141" i="4"/>
  <c r="AB144" i="4"/>
  <c r="AB147" i="4"/>
  <c r="AB150" i="4"/>
  <c r="AB153" i="4"/>
  <c r="AB156" i="4"/>
  <c r="AB159" i="4"/>
  <c r="AB162" i="4"/>
  <c r="AB165" i="4"/>
  <c r="AB168" i="4"/>
  <c r="AB171" i="4"/>
  <c r="AB174" i="4"/>
  <c r="AB177" i="4"/>
  <c r="AB180" i="4"/>
  <c r="AB183" i="4"/>
  <c r="AB186" i="4"/>
  <c r="AB189" i="4"/>
  <c r="AB192" i="4"/>
  <c r="AB195" i="4"/>
  <c r="AB198" i="4"/>
  <c r="AB201" i="4"/>
  <c r="AB204" i="4"/>
  <c r="AB207" i="4"/>
  <c r="AB210" i="4"/>
  <c r="AB214" i="4"/>
  <c r="AB217" i="4"/>
  <c r="AB220" i="4"/>
  <c r="AB223" i="4"/>
  <c r="AB225" i="4"/>
  <c r="AB226" i="4"/>
  <c r="AB229" i="4"/>
  <c r="AB232" i="4"/>
  <c r="AB235" i="4"/>
  <c r="AB238" i="4"/>
  <c r="AB241" i="4"/>
  <c r="AB244" i="4"/>
  <c r="AB247" i="4"/>
  <c r="AB249" i="4"/>
  <c r="AB250" i="4"/>
  <c r="AB253" i="4"/>
  <c r="AC4" i="4"/>
  <c r="AC5" i="4"/>
  <c r="AC6" i="4"/>
  <c r="AC7" i="4"/>
  <c r="AC8" i="4"/>
  <c r="AC9" i="4"/>
  <c r="AC10" i="4"/>
  <c r="AC11" i="4"/>
  <c r="AC12" i="4"/>
  <c r="AC13" i="4"/>
  <c r="AC14" i="4"/>
  <c r="AC15" i="4"/>
  <c r="AC16" i="4"/>
  <c r="AC17" i="4"/>
  <c r="AC18" i="4"/>
  <c r="AC19" i="4"/>
  <c r="AC20" i="4"/>
  <c r="AC21" i="4"/>
  <c r="AC22" i="4"/>
  <c r="AC23" i="4"/>
  <c r="AC24" i="4"/>
  <c r="AC25" i="4"/>
  <c r="AC26" i="4"/>
  <c r="AC27" i="4"/>
  <c r="AC28" i="4"/>
  <c r="AC29" i="4"/>
  <c r="AC30" i="4"/>
  <c r="AC31" i="4"/>
  <c r="AC32" i="4"/>
  <c r="AC33" i="4"/>
  <c r="AC34" i="4"/>
  <c r="AC35" i="4"/>
  <c r="AC36" i="4"/>
  <c r="AC37" i="4"/>
  <c r="AC38" i="4"/>
  <c r="AC39" i="4"/>
  <c r="AC40" i="4"/>
  <c r="AC41" i="4"/>
  <c r="AC42" i="4"/>
  <c r="AC43" i="4"/>
  <c r="AC44" i="4"/>
  <c r="AC45" i="4"/>
  <c r="AC46" i="4"/>
  <c r="AC47" i="4"/>
  <c r="AC48" i="4"/>
  <c r="AC49" i="4"/>
  <c r="AC50" i="4"/>
  <c r="AC51" i="4"/>
  <c r="AC52" i="4"/>
  <c r="AC53" i="4"/>
  <c r="AC54" i="4"/>
  <c r="AC55" i="4"/>
  <c r="AC56" i="4"/>
  <c r="AC57" i="4"/>
  <c r="AC58" i="4"/>
  <c r="AC59" i="4"/>
  <c r="AC60" i="4"/>
  <c r="AC61" i="4"/>
  <c r="AC62" i="4"/>
  <c r="AC63" i="4"/>
  <c r="AC64" i="4"/>
  <c r="AC65" i="4"/>
  <c r="AC66" i="4"/>
  <c r="AC67" i="4"/>
  <c r="AC68" i="4"/>
  <c r="AC69" i="4"/>
  <c r="AC70" i="4"/>
  <c r="AC71" i="4"/>
  <c r="AC72" i="4"/>
  <c r="AC73" i="4"/>
  <c r="AC74" i="4"/>
  <c r="AC75" i="4"/>
  <c r="AC76" i="4"/>
  <c r="AC77" i="4"/>
  <c r="AC78" i="4"/>
  <c r="AC79" i="4"/>
  <c r="AC80" i="4"/>
  <c r="AC81" i="4"/>
  <c r="AC82" i="4"/>
  <c r="AC83" i="4"/>
  <c r="AC84" i="4"/>
  <c r="AC85" i="4"/>
  <c r="AC86" i="4"/>
  <c r="AC87" i="4"/>
  <c r="AC88" i="4"/>
  <c r="AC89" i="4"/>
  <c r="AC90" i="4"/>
  <c r="AC91" i="4"/>
  <c r="AC92" i="4"/>
  <c r="AC93" i="4"/>
  <c r="AC94" i="4"/>
  <c r="AC95" i="4"/>
  <c r="AC96" i="4"/>
  <c r="AC97" i="4"/>
  <c r="AC98" i="4"/>
  <c r="AC99" i="4"/>
  <c r="AC100" i="4"/>
  <c r="AC101" i="4"/>
  <c r="AC102" i="4"/>
  <c r="AC103" i="4"/>
  <c r="AC104" i="4"/>
  <c r="AC105" i="4"/>
  <c r="AC106" i="4"/>
  <c r="AC107" i="4"/>
  <c r="AC108" i="4"/>
  <c r="AC109" i="4"/>
  <c r="AC110" i="4"/>
  <c r="AC111" i="4"/>
  <c r="AC112" i="4"/>
  <c r="AC113" i="4"/>
  <c r="AC114" i="4"/>
  <c r="AC115" i="4"/>
  <c r="AC116" i="4"/>
  <c r="AC117" i="4"/>
  <c r="AC118" i="4"/>
  <c r="AC119" i="4"/>
  <c r="AC120" i="4"/>
  <c r="AC121" i="4"/>
  <c r="AC122" i="4"/>
  <c r="AC123" i="4"/>
  <c r="AC124" i="4"/>
  <c r="AC125" i="4"/>
  <c r="AC126" i="4"/>
  <c r="AC127" i="4"/>
  <c r="AC128" i="4"/>
  <c r="AC129" i="4"/>
  <c r="AC130" i="4"/>
  <c r="AC131" i="4"/>
  <c r="AC132" i="4"/>
  <c r="AC133" i="4"/>
  <c r="AC134" i="4"/>
  <c r="AC135" i="4"/>
  <c r="AC136" i="4"/>
  <c r="AC137" i="4"/>
  <c r="AC138" i="4"/>
  <c r="AC139" i="4"/>
  <c r="AC140" i="4"/>
  <c r="AC141" i="4"/>
  <c r="AC142" i="4"/>
  <c r="AC143" i="4"/>
  <c r="AC144" i="4"/>
  <c r="AC145" i="4"/>
  <c r="AC146" i="4"/>
  <c r="AC147" i="4"/>
  <c r="AC148" i="4"/>
  <c r="AC149" i="4"/>
  <c r="AC150" i="4"/>
  <c r="AC151" i="4"/>
  <c r="AC152" i="4"/>
  <c r="AC153" i="4"/>
  <c r="AC154" i="4"/>
  <c r="AC155" i="4"/>
  <c r="AC156" i="4"/>
  <c r="AC157" i="4"/>
  <c r="AC158" i="4"/>
  <c r="AC159" i="4"/>
  <c r="AC160" i="4"/>
  <c r="AC161" i="4"/>
  <c r="AC162" i="4"/>
  <c r="AC163" i="4"/>
  <c r="AC164" i="4"/>
  <c r="AC165" i="4"/>
  <c r="AC166" i="4"/>
  <c r="AC167" i="4"/>
  <c r="AC168" i="4"/>
  <c r="AC169" i="4"/>
  <c r="AC170" i="4"/>
  <c r="AC171" i="4"/>
  <c r="AC172" i="4"/>
  <c r="AC173" i="4"/>
  <c r="AC174" i="4"/>
  <c r="AC175" i="4"/>
  <c r="AC176" i="4"/>
  <c r="AC177" i="4"/>
  <c r="AC178" i="4"/>
  <c r="AC179" i="4"/>
  <c r="AC180" i="4"/>
  <c r="AC181" i="4"/>
  <c r="AC182" i="4"/>
  <c r="AC183" i="4"/>
  <c r="AC184" i="4"/>
  <c r="AC185" i="4"/>
  <c r="AC186" i="4"/>
  <c r="AC187" i="4"/>
  <c r="AC188" i="4"/>
  <c r="AC189" i="4"/>
  <c r="AC190" i="4"/>
  <c r="AC191" i="4"/>
  <c r="AC192" i="4"/>
  <c r="AC193" i="4"/>
  <c r="AC194" i="4"/>
  <c r="AC195" i="4"/>
  <c r="AC196" i="4"/>
  <c r="AC197" i="4"/>
  <c r="AC198" i="4"/>
  <c r="AC199" i="4"/>
  <c r="AC200" i="4"/>
  <c r="AC201" i="4"/>
  <c r="AC202" i="4"/>
  <c r="AC203" i="4"/>
  <c r="AC204" i="4"/>
  <c r="AC205" i="4"/>
  <c r="AC206" i="4"/>
  <c r="AC207" i="4"/>
  <c r="AC208" i="4"/>
  <c r="AC209" i="4"/>
  <c r="AC210" i="4"/>
  <c r="AC211" i="4"/>
  <c r="AC212" i="4"/>
  <c r="AC213" i="4"/>
  <c r="AC214" i="4"/>
  <c r="AC215" i="4"/>
  <c r="AC216" i="4"/>
  <c r="AC217" i="4"/>
  <c r="AC218" i="4"/>
  <c r="AC219" i="4"/>
  <c r="AC220" i="4"/>
  <c r="AC221" i="4"/>
  <c r="AC222" i="4"/>
  <c r="AC223" i="4"/>
  <c r="AC224" i="4"/>
  <c r="AC225" i="4"/>
  <c r="AC226" i="4"/>
  <c r="AC227" i="4"/>
  <c r="AC228" i="4"/>
  <c r="AC229" i="4"/>
  <c r="AC230" i="4"/>
  <c r="AC231" i="4"/>
  <c r="AC232" i="4"/>
  <c r="AC233" i="4"/>
  <c r="AC234" i="4"/>
  <c r="AC235" i="4"/>
  <c r="AC236" i="4"/>
  <c r="AC237" i="4"/>
  <c r="AC238" i="4"/>
  <c r="AC239" i="4"/>
  <c r="AC240" i="4"/>
  <c r="AC241" i="4"/>
  <c r="AC242" i="4"/>
  <c r="AC243" i="4"/>
  <c r="AC244" i="4"/>
  <c r="AC245" i="4"/>
  <c r="AC246" i="4"/>
  <c r="AC247" i="4"/>
  <c r="AC248" i="4"/>
  <c r="AC249" i="4"/>
  <c r="AC250" i="4"/>
  <c r="AC251" i="4"/>
  <c r="AC252" i="4"/>
  <c r="AC253" i="4"/>
  <c r="AC254" i="4"/>
  <c r="AC255" i="4"/>
  <c r="AD4" i="4"/>
  <c r="AD5" i="4"/>
  <c r="AD6" i="4"/>
  <c r="AD7" i="4"/>
  <c r="AD8" i="4"/>
  <c r="AD9" i="4"/>
  <c r="AD10" i="4"/>
  <c r="AD11" i="4"/>
  <c r="AD12" i="4"/>
  <c r="AD13" i="4"/>
  <c r="AD14" i="4"/>
  <c r="AD15" i="4"/>
  <c r="AD16" i="4"/>
  <c r="AD17" i="4"/>
  <c r="AD18" i="4"/>
  <c r="AD19" i="4"/>
  <c r="AD20" i="4"/>
  <c r="AD21" i="4"/>
  <c r="AD22" i="4"/>
  <c r="AD23" i="4"/>
  <c r="AD24" i="4"/>
  <c r="AD25" i="4"/>
  <c r="AD26" i="4"/>
  <c r="AD27" i="4"/>
  <c r="AD28" i="4"/>
  <c r="AD29" i="4"/>
  <c r="AD30" i="4"/>
  <c r="AD31" i="4"/>
  <c r="AD32" i="4"/>
  <c r="AD33" i="4"/>
  <c r="AD34" i="4"/>
  <c r="AD35" i="4"/>
  <c r="AD36" i="4"/>
  <c r="AD37" i="4"/>
  <c r="AD38" i="4"/>
  <c r="AD39" i="4"/>
  <c r="AD40" i="4"/>
  <c r="AD41" i="4"/>
  <c r="AD42" i="4"/>
  <c r="AD43" i="4"/>
  <c r="AD44" i="4"/>
  <c r="AD45" i="4"/>
  <c r="AD46" i="4"/>
  <c r="AD47" i="4"/>
  <c r="AD48" i="4"/>
  <c r="AD49" i="4"/>
  <c r="AD50" i="4"/>
  <c r="AD51" i="4"/>
  <c r="AD52" i="4"/>
  <c r="AD53" i="4"/>
  <c r="AD54" i="4"/>
  <c r="AD55" i="4"/>
  <c r="AD56" i="4"/>
  <c r="AD57" i="4"/>
  <c r="AD58" i="4"/>
  <c r="AD59" i="4"/>
  <c r="AD60" i="4"/>
  <c r="AD61" i="4"/>
  <c r="AD62" i="4"/>
  <c r="AD63" i="4"/>
  <c r="AD64" i="4"/>
  <c r="AD65" i="4"/>
  <c r="AD66" i="4"/>
  <c r="AD67" i="4"/>
  <c r="AD68" i="4"/>
  <c r="AD69" i="4"/>
  <c r="AD70" i="4"/>
  <c r="AD71" i="4"/>
  <c r="AD72" i="4"/>
  <c r="AD73" i="4"/>
  <c r="AD74" i="4"/>
  <c r="AD75" i="4"/>
  <c r="AD76" i="4"/>
  <c r="AD77" i="4"/>
  <c r="AD78" i="4"/>
  <c r="AD79" i="4"/>
  <c r="AD80" i="4"/>
  <c r="AD81" i="4"/>
  <c r="AD82" i="4"/>
  <c r="AD83" i="4"/>
  <c r="AD84" i="4"/>
  <c r="AD85" i="4"/>
  <c r="AD86" i="4"/>
  <c r="AD87" i="4"/>
  <c r="AD88" i="4"/>
  <c r="AD89" i="4"/>
  <c r="AD90" i="4"/>
  <c r="AD91" i="4"/>
  <c r="AD92" i="4"/>
  <c r="AD93" i="4"/>
  <c r="AD94" i="4"/>
  <c r="AD95" i="4"/>
  <c r="AD96" i="4"/>
  <c r="AD97" i="4"/>
  <c r="AD98" i="4"/>
  <c r="AD99" i="4"/>
  <c r="AD100" i="4"/>
  <c r="AD101" i="4"/>
  <c r="AD102" i="4"/>
  <c r="AD103" i="4"/>
  <c r="AD104" i="4"/>
  <c r="AD105" i="4"/>
  <c r="AD106" i="4"/>
  <c r="AD107" i="4"/>
  <c r="AD108" i="4"/>
  <c r="AD109" i="4"/>
  <c r="AD110" i="4"/>
  <c r="AD111" i="4"/>
  <c r="AD112" i="4"/>
  <c r="AD113" i="4"/>
  <c r="AD114" i="4"/>
  <c r="AD115" i="4"/>
  <c r="AD116" i="4"/>
  <c r="AD117" i="4"/>
  <c r="AD118" i="4"/>
  <c r="AD119" i="4"/>
  <c r="AD120" i="4"/>
  <c r="AD121" i="4"/>
  <c r="AD122" i="4"/>
  <c r="AD123" i="4"/>
  <c r="AD124" i="4"/>
  <c r="AD125" i="4"/>
  <c r="AD126" i="4"/>
  <c r="AD127" i="4"/>
  <c r="AD128" i="4"/>
  <c r="AD129" i="4"/>
  <c r="AD130" i="4"/>
  <c r="AD131" i="4"/>
  <c r="AD132" i="4"/>
  <c r="AD133" i="4"/>
  <c r="AD134" i="4"/>
  <c r="AD135" i="4"/>
  <c r="AD136" i="4"/>
  <c r="AD137" i="4"/>
  <c r="AD138" i="4"/>
  <c r="AD139" i="4"/>
  <c r="AD140" i="4"/>
  <c r="AD141" i="4"/>
  <c r="AD142" i="4"/>
  <c r="AD143" i="4"/>
  <c r="AD144" i="4"/>
  <c r="AD145" i="4"/>
  <c r="AD146" i="4"/>
  <c r="AD147" i="4"/>
  <c r="AD148" i="4"/>
  <c r="AD149" i="4"/>
  <c r="AD150" i="4"/>
  <c r="AD151" i="4"/>
  <c r="AD152" i="4"/>
  <c r="AD153" i="4"/>
  <c r="AD154" i="4"/>
  <c r="AD155" i="4"/>
  <c r="AD156" i="4"/>
  <c r="AD157" i="4"/>
  <c r="AD158" i="4"/>
  <c r="AD159" i="4"/>
  <c r="AD160" i="4"/>
  <c r="AD161" i="4"/>
  <c r="AD162" i="4"/>
  <c r="AD163" i="4"/>
  <c r="AD164" i="4"/>
  <c r="AD165" i="4"/>
  <c r="AD166" i="4"/>
  <c r="AD167" i="4"/>
  <c r="AD168" i="4"/>
  <c r="AD169" i="4"/>
  <c r="AD170" i="4"/>
  <c r="AD171" i="4"/>
  <c r="AD172" i="4"/>
  <c r="AD173" i="4"/>
  <c r="AD174" i="4"/>
  <c r="AD175" i="4"/>
  <c r="AD176" i="4"/>
  <c r="AD177" i="4"/>
  <c r="AD178" i="4"/>
  <c r="AD179" i="4"/>
  <c r="AD180" i="4"/>
  <c r="AD181" i="4"/>
  <c r="AD182" i="4"/>
  <c r="AD183" i="4"/>
  <c r="AD184" i="4"/>
  <c r="AD185" i="4"/>
  <c r="AD186" i="4"/>
  <c r="AD187" i="4"/>
  <c r="AD188" i="4"/>
  <c r="AD189" i="4"/>
  <c r="AD190" i="4"/>
  <c r="AD191" i="4"/>
  <c r="AD192" i="4"/>
  <c r="AD193" i="4"/>
  <c r="AD194" i="4"/>
  <c r="AD195" i="4"/>
  <c r="AD196" i="4"/>
  <c r="AD197" i="4"/>
  <c r="AD198" i="4"/>
  <c r="AD199" i="4"/>
  <c r="AD200" i="4"/>
  <c r="AD201" i="4"/>
  <c r="AD202" i="4"/>
  <c r="AD203" i="4"/>
  <c r="AD204" i="4"/>
  <c r="AD205" i="4"/>
  <c r="AD206" i="4"/>
  <c r="AD207" i="4"/>
  <c r="AD208" i="4"/>
  <c r="AD209" i="4"/>
  <c r="AD210" i="4"/>
  <c r="AD211" i="4"/>
  <c r="AD212" i="4"/>
  <c r="AD213" i="4"/>
  <c r="AD214" i="4"/>
  <c r="AD215" i="4"/>
  <c r="AD216" i="4"/>
  <c r="AD217" i="4"/>
  <c r="AD218" i="4"/>
  <c r="AD219" i="4"/>
  <c r="AD220" i="4"/>
  <c r="AD221" i="4"/>
  <c r="AD222" i="4"/>
  <c r="AD223" i="4"/>
  <c r="AD224" i="4"/>
  <c r="AD225" i="4"/>
  <c r="AD226" i="4"/>
  <c r="AD227" i="4"/>
  <c r="AD228" i="4"/>
  <c r="AD229" i="4"/>
  <c r="AD230" i="4"/>
  <c r="AD231" i="4"/>
  <c r="AD232" i="4"/>
  <c r="AD233" i="4"/>
  <c r="AD234" i="4"/>
  <c r="AD235" i="4"/>
  <c r="AD236" i="4"/>
  <c r="AD237" i="4"/>
  <c r="AD238" i="4"/>
  <c r="AD239" i="4"/>
  <c r="AD240" i="4"/>
  <c r="AD241" i="4"/>
  <c r="AD242" i="4"/>
  <c r="AD243" i="4"/>
  <c r="AD244" i="4"/>
  <c r="AD245" i="4"/>
  <c r="AD246" i="4"/>
  <c r="AD247" i="4"/>
  <c r="AD248" i="4"/>
  <c r="AD249" i="4"/>
  <c r="AD250" i="4"/>
  <c r="AD251" i="4"/>
  <c r="AD252" i="4"/>
  <c r="AD253" i="4"/>
  <c r="AD254" i="4"/>
  <c r="AD255" i="4"/>
  <c r="AE4" i="4"/>
  <c r="AE5" i="4"/>
  <c r="AE6" i="4"/>
  <c r="AE7" i="4"/>
  <c r="AE8" i="4"/>
  <c r="AE9" i="4"/>
  <c r="AE10" i="4"/>
  <c r="AE11" i="4"/>
  <c r="AE12" i="4"/>
  <c r="AE13" i="4"/>
  <c r="AE14" i="4"/>
  <c r="AE15" i="4"/>
  <c r="AE16" i="4"/>
  <c r="AE17" i="4"/>
  <c r="AE18" i="4"/>
  <c r="AE19" i="4"/>
  <c r="AE20" i="4"/>
  <c r="AE21" i="4"/>
  <c r="AE22" i="4"/>
  <c r="AE23" i="4"/>
  <c r="AE24" i="4"/>
  <c r="AE25" i="4"/>
  <c r="AE26" i="4"/>
  <c r="AE27" i="4"/>
  <c r="AE28" i="4"/>
  <c r="AE29" i="4"/>
  <c r="AE30" i="4"/>
  <c r="AE31" i="4"/>
  <c r="AE32" i="4"/>
  <c r="AE33" i="4"/>
  <c r="AE34" i="4"/>
  <c r="AE35" i="4"/>
  <c r="AE36" i="4"/>
  <c r="AE37" i="4"/>
  <c r="AE38" i="4"/>
  <c r="AE39" i="4"/>
  <c r="AE40" i="4"/>
  <c r="AE41" i="4"/>
  <c r="AE42" i="4"/>
  <c r="AE43" i="4"/>
  <c r="AE44" i="4"/>
  <c r="AE45" i="4"/>
  <c r="AE46" i="4"/>
  <c r="AE47" i="4"/>
  <c r="AE48" i="4"/>
  <c r="AE49" i="4"/>
  <c r="AE50" i="4"/>
  <c r="AE51" i="4"/>
  <c r="AE52" i="4"/>
  <c r="AE53" i="4"/>
  <c r="AE54" i="4"/>
  <c r="AE55" i="4"/>
  <c r="AE56" i="4"/>
  <c r="AE57" i="4"/>
  <c r="AE58" i="4"/>
  <c r="AE59" i="4"/>
  <c r="AE60" i="4"/>
  <c r="AE61" i="4"/>
  <c r="AE62" i="4"/>
  <c r="AE63" i="4"/>
  <c r="AE64" i="4"/>
  <c r="AE65" i="4"/>
  <c r="AE66" i="4"/>
  <c r="AE67" i="4"/>
  <c r="AE68" i="4"/>
  <c r="AE69" i="4"/>
  <c r="AE70" i="4"/>
  <c r="AE71" i="4"/>
  <c r="AE72" i="4"/>
  <c r="AE73" i="4"/>
  <c r="AE74" i="4"/>
  <c r="AE75" i="4"/>
  <c r="AE76" i="4"/>
  <c r="AE77" i="4"/>
  <c r="AE78" i="4"/>
  <c r="AE79" i="4"/>
  <c r="AE80" i="4"/>
  <c r="AE81" i="4"/>
  <c r="AE82" i="4"/>
  <c r="AE83" i="4"/>
  <c r="AE84" i="4"/>
  <c r="AE85" i="4"/>
  <c r="AE86" i="4"/>
  <c r="AE87" i="4"/>
  <c r="AE88" i="4"/>
  <c r="AE89" i="4"/>
  <c r="AE90" i="4"/>
  <c r="AE91" i="4"/>
  <c r="AE92" i="4"/>
  <c r="AE93" i="4"/>
  <c r="AE94" i="4"/>
  <c r="AE95" i="4"/>
  <c r="AE96" i="4"/>
  <c r="AE97" i="4"/>
  <c r="AE98" i="4"/>
  <c r="AE99" i="4"/>
  <c r="AE100" i="4"/>
  <c r="AE101" i="4"/>
  <c r="AE102" i="4"/>
  <c r="AE103" i="4"/>
  <c r="AE104" i="4"/>
  <c r="AE105" i="4"/>
  <c r="AE106" i="4"/>
  <c r="AE107" i="4"/>
  <c r="AE108" i="4"/>
  <c r="AE109" i="4"/>
  <c r="AE110" i="4"/>
  <c r="AE111" i="4"/>
  <c r="AE112" i="4"/>
  <c r="AE113" i="4"/>
  <c r="AE114" i="4"/>
  <c r="AE115" i="4"/>
  <c r="AE116" i="4"/>
  <c r="AE117" i="4"/>
  <c r="AE118" i="4"/>
  <c r="AE119" i="4"/>
  <c r="AE120" i="4"/>
  <c r="AE121" i="4"/>
  <c r="AE122" i="4"/>
  <c r="AE123" i="4"/>
  <c r="AE124" i="4"/>
  <c r="AE125" i="4"/>
  <c r="AE126" i="4"/>
  <c r="AE127" i="4"/>
  <c r="AE128" i="4"/>
  <c r="AE129" i="4"/>
  <c r="AE130" i="4"/>
  <c r="AE131" i="4"/>
  <c r="AE132" i="4"/>
  <c r="AE133" i="4"/>
  <c r="AE134" i="4"/>
  <c r="AE135" i="4"/>
  <c r="AE136" i="4"/>
  <c r="AE137" i="4"/>
  <c r="AE138" i="4"/>
  <c r="AE139" i="4"/>
  <c r="AE140" i="4"/>
  <c r="AE141" i="4"/>
  <c r="AE142" i="4"/>
  <c r="AE143" i="4"/>
  <c r="AE144" i="4"/>
  <c r="AE145" i="4"/>
  <c r="AE146" i="4"/>
  <c r="AE147" i="4"/>
  <c r="AE148" i="4"/>
  <c r="AE149" i="4"/>
  <c r="AE150" i="4"/>
  <c r="AE151" i="4"/>
  <c r="AE152" i="4"/>
  <c r="AE153" i="4"/>
  <c r="AE154" i="4"/>
  <c r="AE155" i="4"/>
  <c r="AE156" i="4"/>
  <c r="AE157" i="4"/>
  <c r="AE158" i="4"/>
  <c r="AE159" i="4"/>
  <c r="AE160" i="4"/>
  <c r="AE161" i="4"/>
  <c r="AE162" i="4"/>
  <c r="AE163" i="4"/>
  <c r="AE164" i="4"/>
  <c r="AE165" i="4"/>
  <c r="AE166" i="4"/>
  <c r="AE167" i="4"/>
  <c r="AE168" i="4"/>
  <c r="AE169" i="4"/>
  <c r="AE170" i="4"/>
  <c r="AE171" i="4"/>
  <c r="AE172" i="4"/>
  <c r="AE173" i="4"/>
  <c r="AE174" i="4"/>
  <c r="AE175" i="4"/>
  <c r="AE176" i="4"/>
  <c r="AE177" i="4"/>
  <c r="AE178" i="4"/>
  <c r="AE179" i="4"/>
  <c r="AE180" i="4"/>
  <c r="AE181" i="4"/>
  <c r="AE182" i="4"/>
  <c r="AE183" i="4"/>
  <c r="AE184" i="4"/>
  <c r="AE185" i="4"/>
  <c r="AE186" i="4"/>
  <c r="AE187" i="4"/>
  <c r="AE188" i="4"/>
  <c r="AE189" i="4"/>
  <c r="AE190" i="4"/>
  <c r="AE191" i="4"/>
  <c r="AE192" i="4"/>
  <c r="AE193" i="4"/>
  <c r="AE194" i="4"/>
  <c r="AE195" i="4"/>
  <c r="AE196" i="4"/>
  <c r="AE197" i="4"/>
  <c r="AE198" i="4"/>
  <c r="AE199" i="4"/>
  <c r="AE200" i="4"/>
  <c r="AE201" i="4"/>
  <c r="AE202" i="4"/>
  <c r="AE203" i="4"/>
  <c r="AE204" i="4"/>
  <c r="AE205" i="4"/>
  <c r="AE206" i="4"/>
  <c r="AE207" i="4"/>
  <c r="AE208" i="4"/>
  <c r="AE209" i="4"/>
  <c r="AE210" i="4"/>
  <c r="AE211" i="4"/>
  <c r="AE212" i="4"/>
  <c r="AE213" i="4"/>
  <c r="AE214" i="4"/>
  <c r="AE215" i="4"/>
  <c r="AE216" i="4"/>
  <c r="AE217" i="4"/>
  <c r="AE218" i="4"/>
  <c r="AE219" i="4"/>
  <c r="AE220" i="4"/>
  <c r="AE221" i="4"/>
  <c r="AE222" i="4"/>
  <c r="AE223" i="4"/>
  <c r="AE224" i="4"/>
  <c r="AE225" i="4"/>
  <c r="AE226" i="4"/>
  <c r="AE227" i="4"/>
  <c r="AE228" i="4"/>
  <c r="AE229" i="4"/>
  <c r="AE230" i="4"/>
  <c r="AE231" i="4"/>
  <c r="AE232" i="4"/>
  <c r="AE233" i="4"/>
  <c r="AE234" i="4"/>
  <c r="AE235" i="4"/>
  <c r="AE236" i="4"/>
  <c r="AE237" i="4"/>
  <c r="AE238" i="4"/>
  <c r="AE239" i="4"/>
  <c r="AE240" i="4"/>
  <c r="AE241" i="4"/>
  <c r="AE242" i="4"/>
  <c r="AE243" i="4"/>
  <c r="AE244" i="4"/>
  <c r="AE245" i="4"/>
  <c r="AE246" i="4"/>
  <c r="AE247" i="4"/>
  <c r="AE248" i="4"/>
  <c r="AE249" i="4"/>
  <c r="AE250" i="4"/>
  <c r="AE251" i="4"/>
  <c r="AE252" i="4"/>
  <c r="AE253" i="4"/>
  <c r="AE254" i="4"/>
  <c r="AE255" i="4"/>
  <c r="AF4" i="4"/>
  <c r="AF5" i="4"/>
  <c r="AF6" i="4"/>
  <c r="AF7" i="4"/>
  <c r="AF8" i="4"/>
  <c r="AF9" i="4"/>
  <c r="AF10" i="4"/>
  <c r="AF11" i="4"/>
  <c r="AF12" i="4"/>
  <c r="AF13" i="4"/>
  <c r="AF14" i="4"/>
  <c r="AF15" i="4"/>
  <c r="AF16" i="4"/>
  <c r="AF17" i="4"/>
  <c r="AF18" i="4"/>
  <c r="AF19" i="4"/>
  <c r="AF20" i="4"/>
  <c r="AF21" i="4"/>
  <c r="AF22" i="4"/>
  <c r="AF23" i="4"/>
  <c r="AF24" i="4"/>
  <c r="AF25" i="4"/>
  <c r="AF26" i="4"/>
  <c r="AF27" i="4"/>
  <c r="AF28" i="4"/>
  <c r="AF29" i="4"/>
  <c r="AF30" i="4"/>
  <c r="AF31" i="4"/>
  <c r="AF32" i="4"/>
  <c r="AF33" i="4"/>
  <c r="AF34" i="4"/>
  <c r="AF35" i="4"/>
  <c r="AF36" i="4"/>
  <c r="AF37" i="4"/>
  <c r="AF38" i="4"/>
  <c r="AF39" i="4"/>
  <c r="AF40" i="4"/>
  <c r="AF41" i="4"/>
  <c r="AF42" i="4"/>
  <c r="AF43" i="4"/>
  <c r="AF44" i="4"/>
  <c r="AF45" i="4"/>
  <c r="AF46" i="4"/>
  <c r="AF47" i="4"/>
  <c r="AF48" i="4"/>
  <c r="AF49" i="4"/>
  <c r="AF50" i="4"/>
  <c r="AF51" i="4"/>
  <c r="AF52" i="4"/>
  <c r="AF53" i="4"/>
  <c r="AF54" i="4"/>
  <c r="AF55" i="4"/>
  <c r="AF56" i="4"/>
  <c r="AF57" i="4"/>
  <c r="AF58" i="4"/>
  <c r="AF59" i="4"/>
  <c r="AF60" i="4"/>
  <c r="AF61" i="4"/>
  <c r="AF62" i="4"/>
  <c r="AF63" i="4"/>
  <c r="AF64" i="4"/>
  <c r="AF65" i="4"/>
  <c r="AF66" i="4"/>
  <c r="AF67" i="4"/>
  <c r="AF68" i="4"/>
  <c r="AF69" i="4"/>
  <c r="AF70" i="4"/>
  <c r="AF71" i="4"/>
  <c r="AF72" i="4"/>
  <c r="AF73" i="4"/>
  <c r="AF74" i="4"/>
  <c r="AF75" i="4"/>
  <c r="AF76" i="4"/>
  <c r="AF77" i="4"/>
  <c r="AF78" i="4"/>
  <c r="AF79" i="4"/>
  <c r="AF80" i="4"/>
  <c r="AF81" i="4"/>
  <c r="AF82" i="4"/>
  <c r="AF83" i="4"/>
  <c r="AF84" i="4"/>
  <c r="AF85" i="4"/>
  <c r="AF86" i="4"/>
  <c r="AF87" i="4"/>
  <c r="AF88" i="4"/>
  <c r="AF89" i="4"/>
  <c r="AF90" i="4"/>
  <c r="AF91" i="4"/>
  <c r="AF92" i="4"/>
  <c r="AF93" i="4"/>
  <c r="AF94" i="4"/>
  <c r="AF95" i="4"/>
  <c r="AF96" i="4"/>
  <c r="AF97" i="4"/>
  <c r="AF98" i="4"/>
  <c r="AF99" i="4"/>
  <c r="AF100" i="4"/>
  <c r="AF101" i="4"/>
  <c r="AF102" i="4"/>
  <c r="AF103" i="4"/>
  <c r="AF104" i="4"/>
  <c r="AF105" i="4"/>
  <c r="AF106" i="4"/>
  <c r="AF107" i="4"/>
  <c r="AF108" i="4"/>
  <c r="AF109" i="4"/>
  <c r="AF110" i="4"/>
  <c r="AF111" i="4"/>
  <c r="AF112" i="4"/>
  <c r="AF113" i="4"/>
  <c r="AF114" i="4"/>
  <c r="AF115" i="4"/>
  <c r="AF116" i="4"/>
  <c r="AF117" i="4"/>
  <c r="AF118" i="4"/>
  <c r="AF119" i="4"/>
  <c r="AF120" i="4"/>
  <c r="AF121" i="4"/>
  <c r="AF122" i="4"/>
  <c r="AF123" i="4"/>
  <c r="AF124" i="4"/>
  <c r="AF125" i="4"/>
  <c r="AF126" i="4"/>
  <c r="AF127" i="4"/>
  <c r="AF128" i="4"/>
  <c r="AF129" i="4"/>
  <c r="AF130" i="4"/>
  <c r="AF131" i="4"/>
  <c r="AF132" i="4"/>
  <c r="AF133" i="4"/>
  <c r="AF134" i="4"/>
  <c r="AF135" i="4"/>
  <c r="AF136" i="4"/>
  <c r="AF137" i="4"/>
  <c r="AF138" i="4"/>
  <c r="AF139" i="4"/>
  <c r="AF140" i="4"/>
  <c r="AF141" i="4"/>
  <c r="AF142" i="4"/>
  <c r="AF143" i="4"/>
  <c r="AF144" i="4"/>
  <c r="AF145" i="4"/>
  <c r="AF146" i="4"/>
  <c r="AF147" i="4"/>
  <c r="AF148" i="4"/>
  <c r="AF149" i="4"/>
  <c r="AF150" i="4"/>
  <c r="AF151" i="4"/>
  <c r="AF152" i="4"/>
  <c r="AF153" i="4"/>
  <c r="AF154" i="4"/>
  <c r="AF155" i="4"/>
  <c r="AF156" i="4"/>
  <c r="AF157" i="4"/>
  <c r="AF158" i="4"/>
  <c r="AF159" i="4"/>
  <c r="AF160" i="4"/>
  <c r="AF161" i="4"/>
  <c r="AF162" i="4"/>
  <c r="AF163" i="4"/>
  <c r="AF164" i="4"/>
  <c r="AF165" i="4"/>
  <c r="AF166" i="4"/>
  <c r="AF167" i="4"/>
  <c r="AF168" i="4"/>
  <c r="AF169" i="4"/>
  <c r="AF170" i="4"/>
  <c r="AF171" i="4"/>
  <c r="AF172" i="4"/>
  <c r="AF173" i="4"/>
  <c r="AF174" i="4"/>
  <c r="AF175" i="4"/>
  <c r="AF176" i="4"/>
  <c r="AF177" i="4"/>
  <c r="AF178" i="4"/>
  <c r="AF179" i="4"/>
  <c r="AF180" i="4"/>
  <c r="AF181" i="4"/>
  <c r="AF182" i="4"/>
  <c r="AF183" i="4"/>
  <c r="AF184" i="4"/>
  <c r="AF185" i="4"/>
  <c r="AF186" i="4"/>
  <c r="AF187" i="4"/>
  <c r="AF188" i="4"/>
  <c r="AF189" i="4"/>
  <c r="AF190" i="4"/>
  <c r="AF191" i="4"/>
  <c r="AF192" i="4"/>
  <c r="AF193" i="4"/>
  <c r="AF194" i="4"/>
  <c r="AF195" i="4"/>
  <c r="AF196" i="4"/>
  <c r="AF197" i="4"/>
  <c r="AF198" i="4"/>
  <c r="AF199" i="4"/>
  <c r="AF200" i="4"/>
  <c r="AF201" i="4"/>
  <c r="AF202" i="4"/>
  <c r="AF203" i="4"/>
  <c r="AF204" i="4"/>
  <c r="AF205" i="4"/>
  <c r="AF206" i="4"/>
  <c r="AF207" i="4"/>
  <c r="AF208" i="4"/>
  <c r="AF209" i="4"/>
  <c r="AF210" i="4"/>
  <c r="AF211" i="4"/>
  <c r="AF212" i="4"/>
  <c r="AF213" i="4"/>
  <c r="AF214" i="4"/>
  <c r="AF215" i="4"/>
  <c r="AF216" i="4"/>
  <c r="AF217" i="4"/>
  <c r="AF218" i="4"/>
  <c r="AF219" i="4"/>
  <c r="AF220" i="4"/>
  <c r="AF221" i="4"/>
  <c r="AF222" i="4"/>
  <c r="AF223" i="4"/>
  <c r="AF224" i="4"/>
  <c r="AF225" i="4"/>
  <c r="AF226" i="4"/>
  <c r="AF227" i="4"/>
  <c r="AF228" i="4"/>
  <c r="AF229" i="4"/>
  <c r="AF230" i="4"/>
  <c r="AF231" i="4"/>
  <c r="AF232" i="4"/>
  <c r="AF233" i="4"/>
  <c r="AF234" i="4"/>
  <c r="AF235" i="4"/>
  <c r="AF236" i="4"/>
  <c r="AF237" i="4"/>
  <c r="AF238" i="4"/>
  <c r="AF239" i="4"/>
  <c r="AF240" i="4"/>
  <c r="AF241" i="4"/>
  <c r="AF242" i="4"/>
  <c r="AF243" i="4"/>
  <c r="AF244" i="4"/>
  <c r="AF245" i="4"/>
  <c r="AF246" i="4"/>
  <c r="AF247" i="4"/>
  <c r="AF248" i="4"/>
  <c r="AF249" i="4"/>
  <c r="AF250" i="4"/>
  <c r="AF251" i="4"/>
  <c r="AF252" i="4"/>
  <c r="AF253" i="4"/>
  <c r="AF254" i="4"/>
  <c r="AF255" i="4"/>
  <c r="AG4" i="4"/>
  <c r="AG5" i="4"/>
  <c r="AG6" i="4"/>
  <c r="AG7" i="4"/>
  <c r="AG8" i="4"/>
  <c r="AG9" i="4"/>
  <c r="AG10" i="4"/>
  <c r="AG11" i="4"/>
  <c r="AG12" i="4"/>
  <c r="AG13" i="4"/>
  <c r="AG14" i="4"/>
  <c r="AG15" i="4"/>
  <c r="AG16" i="4"/>
  <c r="AG17" i="4"/>
  <c r="AG18" i="4"/>
  <c r="AG19" i="4"/>
  <c r="AG20" i="4"/>
  <c r="AG21" i="4"/>
  <c r="AG22" i="4"/>
  <c r="AG23" i="4"/>
  <c r="AG24" i="4"/>
  <c r="AG25" i="4"/>
  <c r="AG26" i="4"/>
  <c r="AG27" i="4"/>
  <c r="AG28" i="4"/>
  <c r="AG29" i="4"/>
  <c r="AG30" i="4"/>
  <c r="AG31" i="4"/>
  <c r="AG32" i="4"/>
  <c r="AG33" i="4"/>
  <c r="AG34" i="4"/>
  <c r="AG35" i="4"/>
  <c r="AG36" i="4"/>
  <c r="AG37" i="4"/>
  <c r="AG38" i="4"/>
  <c r="AG39" i="4"/>
  <c r="AG40" i="4"/>
  <c r="AG41" i="4"/>
  <c r="AG42" i="4"/>
  <c r="AG43" i="4"/>
  <c r="AG44" i="4"/>
  <c r="AG45" i="4"/>
  <c r="AG46" i="4"/>
  <c r="AG47" i="4"/>
  <c r="AG48" i="4"/>
  <c r="AG49" i="4"/>
  <c r="AG50" i="4"/>
  <c r="AG51" i="4"/>
  <c r="AG52" i="4"/>
  <c r="AG53" i="4"/>
  <c r="AG54" i="4"/>
  <c r="AG55" i="4"/>
  <c r="AG56" i="4"/>
  <c r="AG57" i="4"/>
  <c r="AG58" i="4"/>
  <c r="AG59" i="4"/>
  <c r="AG60" i="4"/>
  <c r="AG61" i="4"/>
  <c r="AG62" i="4"/>
  <c r="AG63" i="4"/>
  <c r="AG64" i="4"/>
  <c r="AG65" i="4"/>
  <c r="AG66" i="4"/>
  <c r="AG67" i="4"/>
  <c r="AG68" i="4"/>
  <c r="AG69" i="4"/>
  <c r="AG70" i="4"/>
  <c r="AG71" i="4"/>
  <c r="AG72" i="4"/>
  <c r="AG73" i="4"/>
  <c r="AG74" i="4"/>
  <c r="AG75" i="4"/>
  <c r="AG76" i="4"/>
  <c r="AG77" i="4"/>
  <c r="AG78" i="4"/>
  <c r="AG79" i="4"/>
  <c r="AG80" i="4"/>
  <c r="AG81" i="4"/>
  <c r="AG82" i="4"/>
  <c r="AG83" i="4"/>
  <c r="AG84" i="4"/>
  <c r="AG85" i="4"/>
  <c r="AG86" i="4"/>
  <c r="AG87" i="4"/>
  <c r="AG88" i="4"/>
  <c r="AG89" i="4"/>
  <c r="AG90" i="4"/>
  <c r="AG91" i="4"/>
  <c r="AG92" i="4"/>
  <c r="AG93" i="4"/>
  <c r="AG94" i="4"/>
  <c r="AG95" i="4"/>
  <c r="AG96" i="4"/>
  <c r="AG97" i="4"/>
  <c r="AG98" i="4"/>
  <c r="AG99" i="4"/>
  <c r="AG100" i="4"/>
  <c r="AG101" i="4"/>
  <c r="AG102" i="4"/>
  <c r="AG103" i="4"/>
  <c r="AG104" i="4"/>
  <c r="AG105" i="4"/>
  <c r="AG106" i="4"/>
  <c r="AG107" i="4"/>
  <c r="AG108" i="4"/>
  <c r="AG109" i="4"/>
  <c r="AG110" i="4"/>
  <c r="AG111" i="4"/>
  <c r="AG112" i="4"/>
  <c r="AG113" i="4"/>
  <c r="AG114" i="4"/>
  <c r="AG115" i="4"/>
  <c r="AG116" i="4"/>
  <c r="AG117" i="4"/>
  <c r="AG118" i="4"/>
  <c r="AG119" i="4"/>
  <c r="AG120" i="4"/>
  <c r="AG121" i="4"/>
  <c r="AG122" i="4"/>
  <c r="AG123" i="4"/>
  <c r="AG124" i="4"/>
  <c r="AG125" i="4"/>
  <c r="AG126" i="4"/>
  <c r="AG127" i="4"/>
  <c r="AG128" i="4"/>
  <c r="AG129" i="4"/>
  <c r="AG130" i="4"/>
  <c r="AG131" i="4"/>
  <c r="AG132" i="4"/>
  <c r="AG133" i="4"/>
  <c r="AG134" i="4"/>
  <c r="AG135" i="4"/>
  <c r="AG136" i="4"/>
  <c r="AG137" i="4"/>
  <c r="AG138" i="4"/>
  <c r="AG139" i="4"/>
  <c r="AG140" i="4"/>
  <c r="AG141" i="4"/>
  <c r="AG142" i="4"/>
  <c r="AG143" i="4"/>
  <c r="AG144" i="4"/>
  <c r="AG145" i="4"/>
  <c r="AG146" i="4"/>
  <c r="AG147" i="4"/>
  <c r="AG148" i="4"/>
  <c r="AG149" i="4"/>
  <c r="AG150" i="4"/>
  <c r="AG151" i="4"/>
  <c r="AG152" i="4"/>
  <c r="AG153" i="4"/>
  <c r="AG154" i="4"/>
  <c r="AG155" i="4"/>
  <c r="AG156" i="4"/>
  <c r="AG157" i="4"/>
  <c r="AG158" i="4"/>
  <c r="AG159" i="4"/>
  <c r="AG160" i="4"/>
  <c r="AG161" i="4"/>
  <c r="AG162" i="4"/>
  <c r="AG163" i="4"/>
  <c r="AG164" i="4"/>
  <c r="AG165" i="4"/>
  <c r="AG166" i="4"/>
  <c r="AG167" i="4"/>
  <c r="AG168" i="4"/>
  <c r="AG169" i="4"/>
  <c r="AG170" i="4"/>
  <c r="AG171" i="4"/>
  <c r="AG172" i="4"/>
  <c r="AG173" i="4"/>
  <c r="AG174" i="4"/>
  <c r="AG175" i="4"/>
  <c r="AG176" i="4"/>
  <c r="AG177" i="4"/>
  <c r="AG178" i="4"/>
  <c r="AG179" i="4"/>
  <c r="AG180" i="4"/>
  <c r="AG181" i="4"/>
  <c r="AG182" i="4"/>
  <c r="AG183" i="4"/>
  <c r="AG184" i="4"/>
  <c r="AG185" i="4"/>
  <c r="AG186" i="4"/>
  <c r="AG187" i="4"/>
  <c r="AG188" i="4"/>
  <c r="AG189" i="4"/>
  <c r="AG190" i="4"/>
  <c r="AG191" i="4"/>
  <c r="AG192" i="4"/>
  <c r="AG193" i="4"/>
  <c r="AG194" i="4"/>
  <c r="AG195" i="4"/>
  <c r="AG196" i="4"/>
  <c r="AG197" i="4"/>
  <c r="AG198" i="4"/>
  <c r="AG199" i="4"/>
  <c r="AG200" i="4"/>
  <c r="AG201" i="4"/>
  <c r="AG202" i="4"/>
  <c r="AG203" i="4"/>
  <c r="AG204" i="4"/>
  <c r="AG205" i="4"/>
  <c r="AG206" i="4"/>
  <c r="AG207" i="4"/>
  <c r="AG208" i="4"/>
  <c r="AG209" i="4"/>
  <c r="AG210" i="4"/>
  <c r="AG211" i="4"/>
  <c r="AG212" i="4"/>
  <c r="AG213" i="4"/>
  <c r="AG214" i="4"/>
  <c r="AG215" i="4"/>
  <c r="AG216" i="4"/>
  <c r="AG217" i="4"/>
  <c r="AG218" i="4"/>
  <c r="AG219" i="4"/>
  <c r="AG220" i="4"/>
  <c r="AG221" i="4"/>
  <c r="AG222" i="4"/>
  <c r="AG223" i="4"/>
  <c r="AG224" i="4"/>
  <c r="AG225" i="4"/>
  <c r="AG226" i="4"/>
  <c r="AG227" i="4"/>
  <c r="AG228" i="4"/>
  <c r="AG229" i="4"/>
  <c r="AG230" i="4"/>
  <c r="AG231" i="4"/>
  <c r="AG232" i="4"/>
  <c r="AG233" i="4"/>
  <c r="AG234" i="4"/>
  <c r="AG235" i="4"/>
  <c r="AG236" i="4"/>
  <c r="AG237" i="4"/>
  <c r="AG238" i="4"/>
  <c r="AG239" i="4"/>
  <c r="AG240" i="4"/>
  <c r="AG241" i="4"/>
  <c r="AG242" i="4"/>
  <c r="AG243" i="4"/>
  <c r="AG244" i="4"/>
  <c r="AG245" i="4"/>
  <c r="AG246" i="4"/>
  <c r="AG247" i="4"/>
  <c r="AG248" i="4"/>
  <c r="AG249" i="4"/>
  <c r="AG250" i="4"/>
  <c r="AG251" i="4"/>
  <c r="AG252" i="4"/>
  <c r="AG253" i="4"/>
  <c r="AG254" i="4"/>
  <c r="AG255" i="4"/>
  <c r="AH4" i="4"/>
  <c r="AH5" i="4"/>
  <c r="AH6" i="4"/>
  <c r="AH7" i="4"/>
  <c r="AH8" i="4"/>
  <c r="AH9" i="4"/>
  <c r="AH10" i="4"/>
  <c r="AH11" i="4"/>
  <c r="AH12" i="4"/>
  <c r="AH13" i="4"/>
  <c r="AH14" i="4"/>
  <c r="AH15" i="4"/>
  <c r="AH16" i="4"/>
  <c r="AH17" i="4"/>
  <c r="AH18" i="4"/>
  <c r="AH19" i="4"/>
  <c r="AH20" i="4"/>
  <c r="AH21" i="4"/>
  <c r="AH22" i="4"/>
  <c r="AH23" i="4"/>
  <c r="AH24" i="4"/>
  <c r="AH25" i="4"/>
  <c r="AH26" i="4"/>
  <c r="AH27" i="4"/>
  <c r="AH28" i="4"/>
  <c r="AH29" i="4"/>
  <c r="AH30" i="4"/>
  <c r="AH31" i="4"/>
  <c r="AH32" i="4"/>
  <c r="AH33" i="4"/>
  <c r="AH34" i="4"/>
  <c r="AH35" i="4"/>
  <c r="AH36" i="4"/>
  <c r="AH37" i="4"/>
  <c r="AH38" i="4"/>
  <c r="AH39" i="4"/>
  <c r="AH40" i="4"/>
  <c r="AH41" i="4"/>
  <c r="AH42" i="4"/>
  <c r="AH43" i="4"/>
  <c r="AH44" i="4"/>
  <c r="AH45" i="4"/>
  <c r="AH46" i="4"/>
  <c r="AH47" i="4"/>
  <c r="AH48" i="4"/>
  <c r="AH49" i="4"/>
  <c r="AH50" i="4"/>
  <c r="AH51" i="4"/>
  <c r="AH52" i="4"/>
  <c r="AH53" i="4"/>
  <c r="AH54" i="4"/>
  <c r="AH55" i="4"/>
  <c r="AH56" i="4"/>
  <c r="AH57" i="4"/>
  <c r="AH58" i="4"/>
  <c r="AH59" i="4"/>
  <c r="AH60" i="4"/>
  <c r="AH61" i="4"/>
  <c r="AH62" i="4"/>
  <c r="AH63" i="4"/>
  <c r="AH64" i="4"/>
  <c r="AH65" i="4"/>
  <c r="AH66" i="4"/>
  <c r="AH67" i="4"/>
  <c r="AH68" i="4"/>
  <c r="AH69" i="4"/>
  <c r="AH70" i="4"/>
  <c r="AH71" i="4"/>
  <c r="AH72" i="4"/>
  <c r="AH73" i="4"/>
  <c r="AH74" i="4"/>
  <c r="AH75" i="4"/>
  <c r="AH76" i="4"/>
  <c r="AH77" i="4"/>
  <c r="AH78" i="4"/>
  <c r="AH79" i="4"/>
  <c r="AH80" i="4"/>
  <c r="AH81" i="4"/>
  <c r="AH82" i="4"/>
  <c r="AH83" i="4"/>
  <c r="AH84" i="4"/>
  <c r="AH85" i="4"/>
  <c r="AH86" i="4"/>
  <c r="AH87" i="4"/>
  <c r="AH88" i="4"/>
  <c r="AH89" i="4"/>
  <c r="AH90" i="4"/>
  <c r="AH91" i="4"/>
  <c r="AH92" i="4"/>
  <c r="AH93" i="4"/>
  <c r="AH94" i="4"/>
  <c r="AH95" i="4"/>
  <c r="AH96" i="4"/>
  <c r="AH97" i="4"/>
  <c r="AH98" i="4"/>
  <c r="AH99" i="4"/>
  <c r="AH100" i="4"/>
  <c r="AH101" i="4"/>
  <c r="AH102" i="4"/>
  <c r="AH103" i="4"/>
  <c r="AH104" i="4"/>
  <c r="AH105" i="4"/>
  <c r="AH106" i="4"/>
  <c r="AH107" i="4"/>
  <c r="AH108" i="4"/>
  <c r="AH109" i="4"/>
  <c r="AH110" i="4"/>
  <c r="AH111" i="4"/>
  <c r="AH112" i="4"/>
  <c r="AH113" i="4"/>
  <c r="AH114" i="4"/>
  <c r="AH115" i="4"/>
  <c r="AH116" i="4"/>
  <c r="AH117" i="4"/>
  <c r="AH118" i="4"/>
  <c r="AH119" i="4"/>
  <c r="AH120" i="4"/>
  <c r="AH121" i="4"/>
  <c r="AH122" i="4"/>
  <c r="AH123" i="4"/>
  <c r="AH124" i="4"/>
  <c r="AH125" i="4"/>
  <c r="AH126" i="4"/>
  <c r="AH127" i="4"/>
  <c r="AH128" i="4"/>
  <c r="AH129" i="4"/>
  <c r="AH130" i="4"/>
  <c r="AH131" i="4"/>
  <c r="AH132" i="4"/>
  <c r="AH133" i="4"/>
  <c r="AH134" i="4"/>
  <c r="AH135" i="4"/>
  <c r="AH136" i="4"/>
  <c r="AH137" i="4"/>
  <c r="AH138" i="4"/>
  <c r="AH139" i="4"/>
  <c r="AH140" i="4"/>
  <c r="AH141" i="4"/>
  <c r="AH142" i="4"/>
  <c r="AH143" i="4"/>
  <c r="AH144" i="4"/>
  <c r="AH145" i="4"/>
  <c r="AH146" i="4"/>
  <c r="AH147" i="4"/>
  <c r="AH148" i="4"/>
  <c r="AH149" i="4"/>
  <c r="AH150" i="4"/>
  <c r="AH151" i="4"/>
  <c r="AH152" i="4"/>
  <c r="AH153" i="4"/>
  <c r="AH154" i="4"/>
  <c r="AH155" i="4"/>
  <c r="AH156" i="4"/>
  <c r="AH157" i="4"/>
  <c r="AH158" i="4"/>
  <c r="AH159" i="4"/>
  <c r="AH160" i="4"/>
  <c r="AH161" i="4"/>
  <c r="AH162" i="4"/>
  <c r="AH163" i="4"/>
  <c r="AH164" i="4"/>
  <c r="AH165" i="4"/>
  <c r="AH166" i="4"/>
  <c r="AH167" i="4"/>
  <c r="AH168" i="4"/>
  <c r="AH169" i="4"/>
  <c r="AH170" i="4"/>
  <c r="AH171" i="4"/>
  <c r="AH172" i="4"/>
  <c r="AH173" i="4"/>
  <c r="AH174" i="4"/>
  <c r="AH175" i="4"/>
  <c r="AH176" i="4"/>
  <c r="AH177" i="4"/>
  <c r="AH178" i="4"/>
  <c r="AH179" i="4"/>
  <c r="AH180" i="4"/>
  <c r="AH181" i="4"/>
  <c r="AH182" i="4"/>
  <c r="AH183" i="4"/>
  <c r="AH184" i="4"/>
  <c r="AH185" i="4"/>
  <c r="AH186" i="4"/>
  <c r="AH187" i="4"/>
  <c r="AH188" i="4"/>
  <c r="AH189" i="4"/>
  <c r="AH190" i="4"/>
  <c r="AH191" i="4"/>
  <c r="AH192" i="4"/>
  <c r="AH193" i="4"/>
  <c r="AH194" i="4"/>
  <c r="AH195" i="4"/>
  <c r="AH196" i="4"/>
  <c r="AH197" i="4"/>
  <c r="AH198" i="4"/>
  <c r="AH199" i="4"/>
  <c r="AH200" i="4"/>
  <c r="AH201" i="4"/>
  <c r="AH202" i="4"/>
  <c r="AH203" i="4"/>
  <c r="AH204" i="4"/>
  <c r="AH205" i="4"/>
  <c r="AH206" i="4"/>
  <c r="AH207" i="4"/>
  <c r="AH208" i="4"/>
  <c r="AH209" i="4"/>
  <c r="AH210" i="4"/>
  <c r="AH211" i="4"/>
  <c r="AH212" i="4"/>
  <c r="AH213" i="4"/>
  <c r="AH214" i="4"/>
  <c r="AH215" i="4"/>
  <c r="AH216" i="4"/>
  <c r="AH217" i="4"/>
  <c r="AH218" i="4"/>
  <c r="AH219" i="4"/>
  <c r="AH220" i="4"/>
  <c r="AH221" i="4"/>
  <c r="AH222" i="4"/>
  <c r="AH223" i="4"/>
  <c r="AH224" i="4"/>
  <c r="AH225" i="4"/>
  <c r="AH226" i="4"/>
  <c r="AH227" i="4"/>
  <c r="AH228" i="4"/>
  <c r="AH229" i="4"/>
  <c r="AH230" i="4"/>
  <c r="AH231" i="4"/>
  <c r="AH232" i="4"/>
  <c r="AH233" i="4"/>
  <c r="AH234" i="4"/>
  <c r="AH235" i="4"/>
  <c r="AH236" i="4"/>
  <c r="AH237" i="4"/>
  <c r="AH238" i="4"/>
  <c r="AH239" i="4"/>
  <c r="AH240" i="4"/>
  <c r="AH241" i="4"/>
  <c r="AH242" i="4"/>
  <c r="AH243" i="4"/>
  <c r="AH244" i="4"/>
  <c r="AH245" i="4"/>
  <c r="AH246" i="4"/>
  <c r="AH247" i="4"/>
  <c r="AH248" i="4"/>
  <c r="AH249" i="4"/>
  <c r="AH250" i="4"/>
  <c r="AH251" i="4"/>
  <c r="AH252" i="4"/>
  <c r="AH253" i="4"/>
  <c r="AH254" i="4"/>
  <c r="AH255" i="4"/>
  <c r="AJ4" i="4"/>
  <c r="AJ5" i="4"/>
  <c r="AJ6" i="4"/>
  <c r="AJ7" i="4"/>
  <c r="AJ8" i="4"/>
  <c r="AJ9" i="4"/>
  <c r="AJ10" i="4"/>
  <c r="AJ11" i="4"/>
  <c r="AJ12" i="4"/>
  <c r="AJ13" i="4"/>
  <c r="AJ14" i="4"/>
  <c r="AJ15" i="4"/>
  <c r="AJ16" i="4"/>
  <c r="AJ17" i="4"/>
  <c r="AJ18" i="4"/>
  <c r="AJ19" i="4"/>
  <c r="AJ20" i="4"/>
  <c r="AJ21" i="4"/>
  <c r="AJ22" i="4"/>
  <c r="AJ23" i="4"/>
  <c r="AJ24" i="4"/>
  <c r="AJ25" i="4"/>
  <c r="AJ26" i="4"/>
  <c r="AJ27" i="4"/>
  <c r="AJ28" i="4"/>
  <c r="AJ29" i="4"/>
  <c r="AJ30" i="4"/>
  <c r="AJ31" i="4"/>
  <c r="AJ32" i="4"/>
  <c r="AJ33" i="4"/>
  <c r="AJ34" i="4"/>
  <c r="AJ35" i="4"/>
  <c r="AJ36" i="4"/>
  <c r="AJ37" i="4"/>
  <c r="AJ38" i="4"/>
  <c r="AJ39" i="4"/>
  <c r="AJ40" i="4"/>
  <c r="AJ41" i="4"/>
  <c r="AJ42" i="4"/>
  <c r="AJ43" i="4"/>
  <c r="AJ44" i="4"/>
  <c r="AJ45" i="4"/>
  <c r="AJ46" i="4"/>
  <c r="AJ47" i="4"/>
  <c r="AJ48" i="4"/>
  <c r="AJ49" i="4"/>
  <c r="AJ50" i="4"/>
  <c r="AJ51" i="4"/>
  <c r="AJ52" i="4"/>
  <c r="AJ53" i="4"/>
  <c r="AJ54" i="4"/>
  <c r="AJ55" i="4"/>
  <c r="AJ56" i="4"/>
  <c r="AJ57" i="4"/>
  <c r="AJ58" i="4"/>
  <c r="AJ59" i="4"/>
  <c r="AJ60" i="4"/>
  <c r="AJ61" i="4"/>
  <c r="AJ62" i="4"/>
  <c r="AJ63" i="4"/>
  <c r="AJ64" i="4"/>
  <c r="AJ65" i="4"/>
  <c r="AJ66" i="4"/>
  <c r="AJ67" i="4"/>
  <c r="AJ68" i="4"/>
  <c r="AJ69" i="4"/>
  <c r="AJ70" i="4"/>
  <c r="AJ71" i="4"/>
  <c r="AJ72" i="4"/>
  <c r="AJ73" i="4"/>
  <c r="AJ74" i="4"/>
  <c r="AJ75" i="4"/>
  <c r="AJ76" i="4"/>
  <c r="AJ77" i="4"/>
  <c r="AJ78" i="4"/>
  <c r="AJ79" i="4"/>
  <c r="AJ80" i="4"/>
  <c r="AJ81" i="4"/>
  <c r="AJ82" i="4"/>
  <c r="AJ83" i="4"/>
  <c r="AJ84" i="4"/>
  <c r="AJ85" i="4"/>
  <c r="AJ86" i="4"/>
  <c r="AJ87" i="4"/>
  <c r="AJ88" i="4"/>
  <c r="AJ89" i="4"/>
  <c r="AJ90" i="4"/>
  <c r="AJ91" i="4"/>
  <c r="AJ92" i="4"/>
  <c r="AJ93" i="4"/>
  <c r="AJ94" i="4"/>
  <c r="AJ95" i="4"/>
  <c r="AJ96" i="4"/>
  <c r="AJ97" i="4"/>
  <c r="AJ98" i="4"/>
  <c r="AJ99" i="4"/>
  <c r="AJ100" i="4"/>
  <c r="AJ101" i="4"/>
  <c r="AJ102" i="4"/>
  <c r="AJ103" i="4"/>
  <c r="AJ104" i="4"/>
  <c r="AJ105" i="4"/>
  <c r="AJ106" i="4"/>
  <c r="AJ107" i="4"/>
  <c r="AJ108" i="4"/>
  <c r="AJ109" i="4"/>
  <c r="AJ110" i="4"/>
  <c r="AJ111" i="4"/>
  <c r="AJ112" i="4"/>
  <c r="AJ113" i="4"/>
  <c r="AJ114" i="4"/>
  <c r="AJ115" i="4"/>
  <c r="AJ116" i="4"/>
  <c r="AJ117" i="4"/>
  <c r="AJ118" i="4"/>
  <c r="AJ119" i="4"/>
  <c r="AJ120" i="4"/>
  <c r="AJ121" i="4"/>
  <c r="AJ122" i="4"/>
  <c r="AJ123" i="4"/>
  <c r="AJ124" i="4"/>
  <c r="AJ125" i="4"/>
  <c r="AJ126" i="4"/>
  <c r="AJ127" i="4"/>
  <c r="AJ128" i="4"/>
  <c r="AJ129" i="4"/>
  <c r="AJ130" i="4"/>
  <c r="AJ131" i="4"/>
  <c r="AJ132" i="4"/>
  <c r="AJ133" i="4"/>
  <c r="AJ134" i="4"/>
  <c r="AJ135" i="4"/>
  <c r="AJ136" i="4"/>
  <c r="AJ137" i="4"/>
  <c r="AJ138" i="4"/>
  <c r="AJ139" i="4"/>
  <c r="AJ140" i="4"/>
  <c r="AJ141" i="4"/>
  <c r="AJ142" i="4"/>
  <c r="AJ143" i="4"/>
  <c r="AJ144" i="4"/>
  <c r="AJ145" i="4"/>
  <c r="AJ146" i="4"/>
  <c r="AJ147" i="4"/>
  <c r="AJ148" i="4"/>
  <c r="AJ149" i="4"/>
  <c r="AJ150" i="4"/>
  <c r="AJ151" i="4"/>
  <c r="AJ152" i="4"/>
  <c r="AJ153" i="4"/>
  <c r="AJ154" i="4"/>
  <c r="AJ155" i="4"/>
  <c r="AJ156" i="4"/>
  <c r="AJ157" i="4"/>
  <c r="AJ158" i="4"/>
  <c r="AJ159" i="4"/>
  <c r="AJ160" i="4"/>
  <c r="AJ161" i="4"/>
  <c r="AJ162" i="4"/>
  <c r="AJ163" i="4"/>
  <c r="AJ164" i="4"/>
  <c r="AJ165" i="4"/>
  <c r="AJ166" i="4"/>
  <c r="AJ167" i="4"/>
  <c r="AJ168" i="4"/>
  <c r="AJ169" i="4"/>
  <c r="AJ170" i="4"/>
  <c r="AJ171" i="4"/>
  <c r="AJ172" i="4"/>
  <c r="AJ173" i="4"/>
  <c r="AJ174" i="4"/>
  <c r="AJ175" i="4"/>
  <c r="AJ176" i="4"/>
  <c r="AJ177" i="4"/>
  <c r="AJ178" i="4"/>
  <c r="AJ179" i="4"/>
  <c r="AJ180" i="4"/>
  <c r="AJ181" i="4"/>
  <c r="AJ182" i="4"/>
  <c r="AJ183" i="4"/>
  <c r="AJ184" i="4"/>
  <c r="AJ185" i="4"/>
  <c r="AJ186" i="4"/>
  <c r="AJ187" i="4"/>
  <c r="AJ188" i="4"/>
  <c r="AJ189" i="4"/>
  <c r="AJ190" i="4"/>
  <c r="AJ191" i="4"/>
  <c r="AJ192" i="4"/>
  <c r="AJ193" i="4"/>
  <c r="AJ194" i="4"/>
  <c r="AJ195" i="4"/>
  <c r="AJ196" i="4"/>
  <c r="AJ197" i="4"/>
  <c r="AJ198" i="4"/>
  <c r="AJ199" i="4"/>
  <c r="AJ200" i="4"/>
  <c r="AJ201" i="4"/>
  <c r="AJ202" i="4"/>
  <c r="AJ203" i="4"/>
  <c r="AJ204" i="4"/>
  <c r="AJ205" i="4"/>
  <c r="AJ206" i="4"/>
  <c r="AJ207" i="4"/>
  <c r="AJ208" i="4"/>
  <c r="AJ209" i="4"/>
  <c r="AJ210" i="4"/>
  <c r="AJ211" i="4"/>
  <c r="AJ212" i="4"/>
  <c r="AJ213" i="4"/>
  <c r="AJ214" i="4"/>
  <c r="AJ215" i="4"/>
  <c r="AJ216" i="4"/>
  <c r="AJ217" i="4"/>
  <c r="AJ218" i="4"/>
  <c r="AJ219" i="4"/>
  <c r="AJ220" i="4"/>
  <c r="AJ221" i="4"/>
  <c r="AJ222" i="4"/>
  <c r="AJ223" i="4"/>
  <c r="AJ224" i="4"/>
  <c r="AJ225" i="4"/>
  <c r="AJ226" i="4"/>
  <c r="AJ227" i="4"/>
  <c r="AJ228" i="4"/>
  <c r="AJ229" i="4"/>
  <c r="AJ230" i="4"/>
  <c r="AJ231" i="4"/>
  <c r="AJ232" i="4"/>
  <c r="AJ233" i="4"/>
  <c r="AJ234" i="4"/>
  <c r="AJ235" i="4"/>
  <c r="AJ236" i="4"/>
  <c r="AJ237" i="4"/>
  <c r="AJ238" i="4"/>
  <c r="AJ239" i="4"/>
  <c r="AJ240" i="4"/>
  <c r="AJ241" i="4"/>
  <c r="AJ242" i="4"/>
  <c r="AJ243" i="4"/>
  <c r="AJ244" i="4"/>
  <c r="AJ245" i="4"/>
  <c r="AJ246" i="4"/>
  <c r="AJ247" i="4"/>
  <c r="AJ248" i="4"/>
  <c r="AJ249" i="4"/>
  <c r="AJ250" i="4"/>
  <c r="AJ251" i="4"/>
  <c r="AJ252" i="4"/>
  <c r="AJ253" i="4"/>
  <c r="AJ254" i="4"/>
  <c r="AJ255" i="4"/>
  <c r="AM4" i="4"/>
  <c r="AM5" i="4"/>
  <c r="AM6" i="4"/>
  <c r="AM8" i="4"/>
  <c r="AM9" i="4"/>
  <c r="AM10" i="4"/>
  <c r="AM11" i="4"/>
  <c r="AM12" i="4"/>
  <c r="AM14" i="4"/>
  <c r="AM15" i="4"/>
  <c r="AM16" i="4"/>
  <c r="AM17" i="4"/>
  <c r="AM18" i="4"/>
  <c r="AM20" i="4"/>
  <c r="AM21" i="4"/>
  <c r="AM22" i="4"/>
  <c r="AM23" i="4"/>
  <c r="AM24" i="4"/>
  <c r="AM26" i="4"/>
  <c r="AM27" i="4"/>
  <c r="AM28" i="4"/>
  <c r="AM29" i="4"/>
  <c r="AM30" i="4"/>
  <c r="AM32" i="4"/>
  <c r="AM33" i="4"/>
  <c r="AM34" i="4"/>
  <c r="AM35" i="4"/>
  <c r="AM36" i="4"/>
  <c r="AM38" i="4"/>
  <c r="AM39" i="4"/>
  <c r="AM40" i="4"/>
  <c r="AM41" i="4"/>
  <c r="AM42" i="4"/>
  <c r="AM44" i="4"/>
  <c r="AM45" i="4"/>
  <c r="AM46" i="4"/>
  <c r="AM47" i="4"/>
  <c r="AM48" i="4"/>
  <c r="AM50" i="4"/>
  <c r="AM51" i="4"/>
  <c r="AM52" i="4"/>
  <c r="AM53" i="4"/>
  <c r="AM54" i="4"/>
  <c r="AM56" i="4"/>
  <c r="AM57" i="4"/>
  <c r="AM58" i="4"/>
  <c r="AM59" i="4"/>
  <c r="AM60" i="4"/>
  <c r="AM62" i="4"/>
  <c r="AM63" i="4"/>
  <c r="AM64" i="4"/>
  <c r="AM65" i="4"/>
  <c r="AM66" i="4"/>
  <c r="AM68" i="4"/>
  <c r="AM69" i="4"/>
  <c r="AM70" i="4"/>
  <c r="AM71" i="4"/>
  <c r="AM72" i="4"/>
  <c r="AM74" i="4"/>
  <c r="AM75" i="4"/>
  <c r="AM76" i="4"/>
  <c r="AM77" i="4"/>
  <c r="AM78" i="4"/>
  <c r="AM80" i="4"/>
  <c r="AM81" i="4"/>
  <c r="AM82" i="4"/>
  <c r="AM83" i="4"/>
  <c r="AM84" i="4"/>
  <c r="AM86" i="4"/>
  <c r="AM87" i="4"/>
  <c r="AM88" i="4"/>
  <c r="AM89" i="4"/>
  <c r="AM90" i="4"/>
  <c r="AM92" i="4"/>
  <c r="AM93" i="4"/>
  <c r="AM94" i="4"/>
  <c r="AM95" i="4"/>
  <c r="AM96" i="4"/>
  <c r="AM98" i="4"/>
  <c r="AM99" i="4"/>
  <c r="AM100" i="4"/>
  <c r="AM101" i="4"/>
  <c r="AM102" i="4"/>
  <c r="AM104" i="4"/>
  <c r="AM105" i="4"/>
  <c r="AM106" i="4"/>
  <c r="AM107" i="4"/>
  <c r="AM108" i="4"/>
  <c r="AM110" i="4"/>
  <c r="AM111" i="4"/>
  <c r="AM112" i="4"/>
  <c r="AM113" i="4"/>
  <c r="AM114" i="4"/>
  <c r="AM116" i="4"/>
  <c r="AM117" i="4"/>
  <c r="AM118" i="4"/>
  <c r="AM119" i="4"/>
  <c r="AM120" i="4"/>
  <c r="AM122" i="4"/>
  <c r="AM123" i="4"/>
  <c r="AM124" i="4"/>
  <c r="AM125" i="4"/>
  <c r="AM126" i="4"/>
  <c r="AM128" i="4"/>
  <c r="AM129" i="4"/>
  <c r="AM130" i="4"/>
  <c r="AM131" i="4"/>
  <c r="AM132" i="4"/>
  <c r="AM134" i="4"/>
  <c r="AM135" i="4"/>
  <c r="AM136" i="4"/>
  <c r="AM137" i="4"/>
  <c r="AM138" i="4"/>
  <c r="AM140" i="4"/>
  <c r="AM141" i="4"/>
  <c r="AM142" i="4"/>
  <c r="AM143" i="4"/>
  <c r="AM144" i="4"/>
  <c r="AM146" i="4"/>
  <c r="AM147" i="4"/>
  <c r="AM148" i="4"/>
  <c r="AM149" i="4"/>
  <c r="AM150" i="4"/>
  <c r="AM152" i="4"/>
  <c r="AM153" i="4"/>
  <c r="AM154" i="4"/>
  <c r="AM155" i="4"/>
  <c r="AM156" i="4"/>
  <c r="AM158" i="4"/>
  <c r="AM159" i="4"/>
  <c r="AM160" i="4"/>
  <c r="AM161" i="4"/>
  <c r="AM162" i="4"/>
  <c r="AM164" i="4"/>
  <c r="AM165" i="4"/>
  <c r="AM166" i="4"/>
  <c r="AM167" i="4"/>
  <c r="AM168" i="4"/>
  <c r="AM170" i="4"/>
  <c r="AM171" i="4"/>
  <c r="AM172" i="4"/>
  <c r="AM173" i="4"/>
  <c r="AM174" i="4"/>
  <c r="AM176" i="4"/>
  <c r="AM177" i="4"/>
  <c r="AM178" i="4"/>
  <c r="AM179" i="4"/>
  <c r="AM180" i="4"/>
  <c r="AM182" i="4"/>
  <c r="AM183" i="4"/>
  <c r="AM184" i="4"/>
  <c r="AM185" i="4"/>
  <c r="AM186" i="4"/>
  <c r="AM188" i="4"/>
  <c r="AM189" i="4"/>
  <c r="AM190" i="4"/>
  <c r="AM191" i="4"/>
  <c r="AM192" i="4"/>
  <c r="AM194" i="4"/>
  <c r="AM195" i="4"/>
  <c r="AM196" i="4"/>
  <c r="AM197" i="4"/>
  <c r="AM198" i="4"/>
  <c r="AM200" i="4"/>
  <c r="AM201" i="4"/>
  <c r="AM202" i="4"/>
  <c r="AM203" i="4"/>
  <c r="AM204" i="4"/>
  <c r="AM206" i="4"/>
  <c r="AM207" i="4"/>
  <c r="AM208" i="4"/>
  <c r="AM209" i="4"/>
  <c r="AM210" i="4"/>
  <c r="AM212" i="4"/>
  <c r="AM213" i="4"/>
  <c r="AM214" i="4"/>
  <c r="AM215" i="4"/>
  <c r="AM216" i="4"/>
  <c r="AM218" i="4"/>
  <c r="AM219" i="4"/>
  <c r="AM220" i="4"/>
  <c r="AM221" i="4"/>
  <c r="AM222" i="4"/>
  <c r="AM224" i="4"/>
  <c r="AM225" i="4"/>
  <c r="AM226" i="4"/>
  <c r="AM227" i="4"/>
  <c r="AM228" i="4"/>
  <c r="AM230" i="4"/>
  <c r="AM231" i="4"/>
  <c r="AM232" i="4"/>
  <c r="AM233" i="4"/>
  <c r="AM234" i="4"/>
  <c r="AM236" i="4"/>
  <c r="AM237" i="4"/>
  <c r="AM238" i="4"/>
  <c r="AM239" i="4"/>
  <c r="AM240" i="4"/>
  <c r="AM242" i="4"/>
  <c r="AM243" i="4"/>
  <c r="AM244" i="4"/>
  <c r="AM245" i="4"/>
  <c r="AM246" i="4"/>
  <c r="AM248" i="4"/>
  <c r="AM249" i="4"/>
  <c r="AM250" i="4"/>
  <c r="AM251" i="4"/>
  <c r="AM252" i="4"/>
  <c r="AM254" i="4"/>
  <c r="AM255" i="4"/>
  <c r="AN4" i="4"/>
  <c r="AN5" i="4"/>
  <c r="AN6" i="4"/>
  <c r="AN8" i="4"/>
  <c r="AN9" i="4"/>
  <c r="AN10" i="4"/>
  <c r="AN11" i="4"/>
  <c r="AN12" i="4"/>
  <c r="AN14" i="4"/>
  <c r="AN15" i="4"/>
  <c r="AN16" i="4"/>
  <c r="AN17" i="4"/>
  <c r="AN18" i="4"/>
  <c r="AN20" i="4"/>
  <c r="AN21" i="4"/>
  <c r="AN22" i="4"/>
  <c r="AN23" i="4"/>
  <c r="AN24" i="4"/>
  <c r="AN26" i="4"/>
  <c r="AN27" i="4"/>
  <c r="AN28" i="4"/>
  <c r="AN29" i="4"/>
  <c r="AN30" i="4"/>
  <c r="AN32" i="4"/>
  <c r="AN33" i="4"/>
  <c r="AN34" i="4"/>
  <c r="AN35" i="4"/>
  <c r="AN36" i="4"/>
  <c r="AN38" i="4"/>
  <c r="AN39" i="4"/>
  <c r="AN40" i="4"/>
  <c r="AN41" i="4"/>
  <c r="AN42" i="4"/>
  <c r="AN44" i="4"/>
  <c r="AN45" i="4"/>
  <c r="AN46" i="4"/>
  <c r="AN47" i="4"/>
  <c r="AN48" i="4"/>
  <c r="AN50" i="4"/>
  <c r="AN51" i="4"/>
  <c r="AN52" i="4"/>
  <c r="AN53" i="4"/>
  <c r="AN54" i="4"/>
  <c r="AN56" i="4"/>
  <c r="AN57" i="4"/>
  <c r="AN58" i="4"/>
  <c r="AN59" i="4"/>
  <c r="AN60" i="4"/>
  <c r="AN62" i="4"/>
  <c r="AN63" i="4"/>
  <c r="AN64" i="4"/>
  <c r="AN65" i="4"/>
  <c r="AN66" i="4"/>
  <c r="AN68" i="4"/>
  <c r="AN69" i="4"/>
  <c r="AN70" i="4"/>
  <c r="AN71" i="4"/>
  <c r="AN72" i="4"/>
  <c r="AN74" i="4"/>
  <c r="AN75" i="4"/>
  <c r="AN76" i="4"/>
  <c r="AN77" i="4"/>
  <c r="AN78" i="4"/>
  <c r="AN80" i="4"/>
  <c r="AN81" i="4"/>
  <c r="AN82" i="4"/>
  <c r="AN83" i="4"/>
  <c r="AN84" i="4"/>
  <c r="AN86" i="4"/>
  <c r="AN87" i="4"/>
  <c r="AN88" i="4"/>
  <c r="AN89" i="4"/>
  <c r="AN90" i="4"/>
  <c r="AN92" i="4"/>
  <c r="AN93" i="4"/>
  <c r="AN94" i="4"/>
  <c r="AN95" i="4"/>
  <c r="AN96" i="4"/>
  <c r="AN98" i="4"/>
  <c r="AN99" i="4"/>
  <c r="AN100" i="4"/>
  <c r="AN101" i="4"/>
  <c r="AN102" i="4"/>
  <c r="AN104" i="4"/>
  <c r="AN105" i="4"/>
  <c r="AN106" i="4"/>
  <c r="AN107" i="4"/>
  <c r="AN108" i="4"/>
  <c r="AN110" i="4"/>
  <c r="AN111" i="4"/>
  <c r="AN112" i="4"/>
  <c r="AN113" i="4"/>
  <c r="AN114" i="4"/>
  <c r="AN116" i="4"/>
  <c r="AN117" i="4"/>
  <c r="AN118" i="4"/>
  <c r="AN119" i="4"/>
  <c r="AN120" i="4"/>
  <c r="AN122" i="4"/>
  <c r="AN123" i="4"/>
  <c r="AN124" i="4"/>
  <c r="AN125" i="4"/>
  <c r="AN126" i="4"/>
  <c r="AN128" i="4"/>
  <c r="AN129" i="4"/>
  <c r="AN130" i="4"/>
  <c r="AN131" i="4"/>
  <c r="AN132" i="4"/>
  <c r="AN134" i="4"/>
  <c r="AN135" i="4"/>
  <c r="AN136" i="4"/>
  <c r="AN137" i="4"/>
  <c r="AN138" i="4"/>
  <c r="AN140" i="4"/>
  <c r="AN141" i="4"/>
  <c r="AN142" i="4"/>
  <c r="AN143" i="4"/>
  <c r="AN144" i="4"/>
  <c r="AN146" i="4"/>
  <c r="AN147" i="4"/>
  <c r="AN148" i="4"/>
  <c r="AN149" i="4"/>
  <c r="AN150" i="4"/>
  <c r="AN152" i="4"/>
  <c r="AN153" i="4"/>
  <c r="AN154" i="4"/>
  <c r="AN155" i="4"/>
  <c r="AN156" i="4"/>
  <c r="AN158" i="4"/>
  <c r="AN159" i="4"/>
  <c r="AN160" i="4"/>
  <c r="AN161" i="4"/>
  <c r="AN162" i="4"/>
  <c r="AN164" i="4"/>
  <c r="AN165" i="4"/>
  <c r="AN166" i="4"/>
  <c r="AN167" i="4"/>
  <c r="AN168" i="4"/>
  <c r="AN170" i="4"/>
  <c r="AN171" i="4"/>
  <c r="AN172" i="4"/>
  <c r="AN173" i="4"/>
  <c r="AN174" i="4"/>
  <c r="AN176" i="4"/>
  <c r="AN177" i="4"/>
  <c r="AN178" i="4"/>
  <c r="AN179" i="4"/>
  <c r="AN180" i="4"/>
  <c r="AN182" i="4"/>
  <c r="AN183" i="4"/>
  <c r="AN184" i="4"/>
  <c r="AN185" i="4"/>
  <c r="AN186" i="4"/>
  <c r="AN188" i="4"/>
  <c r="AN189" i="4"/>
  <c r="AN190" i="4"/>
  <c r="AN191" i="4"/>
  <c r="AN192" i="4"/>
  <c r="AN194" i="4"/>
  <c r="AN195" i="4"/>
  <c r="AN196" i="4"/>
  <c r="AN197" i="4"/>
  <c r="AN198" i="4"/>
  <c r="AN200" i="4"/>
  <c r="AN201" i="4"/>
  <c r="AN202" i="4"/>
  <c r="AN203" i="4"/>
  <c r="AN204" i="4"/>
  <c r="AN206" i="4"/>
  <c r="AN207" i="4"/>
  <c r="AN208" i="4"/>
  <c r="AN209" i="4"/>
  <c r="AN210" i="4"/>
  <c r="AN212" i="4"/>
  <c r="AN213" i="4"/>
  <c r="AN214" i="4"/>
  <c r="AN215" i="4"/>
  <c r="AN216" i="4"/>
  <c r="AN218" i="4"/>
  <c r="AN219" i="4"/>
  <c r="AN220" i="4"/>
  <c r="AN221" i="4"/>
  <c r="AN222" i="4"/>
  <c r="AN224" i="4"/>
  <c r="AN225" i="4"/>
  <c r="AN226" i="4"/>
  <c r="AN227" i="4"/>
  <c r="AN228" i="4"/>
  <c r="AN230" i="4"/>
  <c r="AN231" i="4"/>
  <c r="AN232" i="4"/>
  <c r="AN233" i="4"/>
  <c r="AN234" i="4"/>
  <c r="AN236" i="4"/>
  <c r="AN237" i="4"/>
  <c r="AN238" i="4"/>
  <c r="AN239" i="4"/>
  <c r="AN240" i="4"/>
  <c r="AN242" i="4"/>
  <c r="AN243" i="4"/>
  <c r="AN244" i="4"/>
  <c r="AN245" i="4"/>
  <c r="AN246" i="4"/>
  <c r="AN248" i="4"/>
  <c r="AN249" i="4"/>
  <c r="AN250" i="4"/>
  <c r="AN251" i="4"/>
  <c r="AN252" i="4"/>
  <c r="AN254" i="4"/>
  <c r="AN255" i="4"/>
  <c r="AO4" i="4"/>
  <c r="AO5" i="4"/>
  <c r="AO6" i="4"/>
  <c r="AO8" i="4"/>
  <c r="AO9" i="4"/>
  <c r="AO10" i="4"/>
  <c r="AO11" i="4"/>
  <c r="AO12" i="4"/>
  <c r="AO14" i="4"/>
  <c r="AO15" i="4"/>
  <c r="AO16" i="4"/>
  <c r="AO17" i="4"/>
  <c r="AO18" i="4"/>
  <c r="AO20" i="4"/>
  <c r="AO21" i="4"/>
  <c r="AO22" i="4"/>
  <c r="AO23" i="4"/>
  <c r="AO24" i="4"/>
  <c r="AO26" i="4"/>
  <c r="AO27" i="4"/>
  <c r="AO28" i="4"/>
  <c r="AO29" i="4"/>
  <c r="AO30" i="4"/>
  <c r="AO32" i="4"/>
  <c r="AO33" i="4"/>
  <c r="AO34" i="4"/>
  <c r="AO35" i="4"/>
  <c r="AO36" i="4"/>
  <c r="AO38" i="4"/>
  <c r="AO39" i="4"/>
  <c r="AO40" i="4"/>
  <c r="AO41" i="4"/>
  <c r="AO42" i="4"/>
  <c r="AO44" i="4"/>
  <c r="AO45" i="4"/>
  <c r="AO46" i="4"/>
  <c r="AO47" i="4"/>
  <c r="AO48" i="4"/>
  <c r="AO50" i="4"/>
  <c r="AO51" i="4"/>
  <c r="AO52" i="4"/>
  <c r="AO53" i="4"/>
  <c r="AO54" i="4"/>
  <c r="AO56" i="4"/>
  <c r="AO57" i="4"/>
  <c r="AO58" i="4"/>
  <c r="AO59" i="4"/>
  <c r="AO60" i="4"/>
  <c r="AO62" i="4"/>
  <c r="AO63" i="4"/>
  <c r="AO64" i="4"/>
  <c r="AO65" i="4"/>
  <c r="AO66" i="4"/>
  <c r="AO68" i="4"/>
  <c r="AO69" i="4"/>
  <c r="AO70" i="4"/>
  <c r="AO71" i="4"/>
  <c r="AO72" i="4"/>
  <c r="AO74" i="4"/>
  <c r="AO75" i="4"/>
  <c r="AO76" i="4"/>
  <c r="AO77" i="4"/>
  <c r="AO78" i="4"/>
  <c r="AO80" i="4"/>
  <c r="AO81" i="4"/>
  <c r="AO82" i="4"/>
  <c r="AO83" i="4"/>
  <c r="AO84" i="4"/>
  <c r="AO86" i="4"/>
  <c r="AO87" i="4"/>
  <c r="AO88" i="4"/>
  <c r="AO89" i="4"/>
  <c r="AO90" i="4"/>
  <c r="AO92" i="4"/>
  <c r="AO93" i="4"/>
  <c r="AO94" i="4"/>
  <c r="AO95" i="4"/>
  <c r="AO96" i="4"/>
  <c r="AO98" i="4"/>
  <c r="AO99" i="4"/>
  <c r="AO100" i="4"/>
  <c r="AO101" i="4"/>
  <c r="AO102" i="4"/>
  <c r="AO104" i="4"/>
  <c r="AO105" i="4"/>
  <c r="AO106" i="4"/>
  <c r="AO107" i="4"/>
  <c r="AO108" i="4"/>
  <c r="AO110" i="4"/>
  <c r="AO111" i="4"/>
  <c r="AO112" i="4"/>
  <c r="AO113" i="4"/>
  <c r="AO114" i="4"/>
  <c r="AO116" i="4"/>
  <c r="AO117" i="4"/>
  <c r="AO118" i="4"/>
  <c r="AO119" i="4"/>
  <c r="AO120" i="4"/>
  <c r="AO122" i="4"/>
  <c r="AO123" i="4"/>
  <c r="AO124" i="4"/>
  <c r="AO125" i="4"/>
  <c r="AO126" i="4"/>
  <c r="AO128" i="4"/>
  <c r="AO129" i="4"/>
  <c r="AO130" i="4"/>
  <c r="AO131" i="4"/>
  <c r="AO132" i="4"/>
  <c r="AO134" i="4"/>
  <c r="AO135" i="4"/>
  <c r="AO136" i="4"/>
  <c r="AO137" i="4"/>
  <c r="AO138" i="4"/>
  <c r="AO140" i="4"/>
  <c r="AO141" i="4"/>
  <c r="AO142" i="4"/>
  <c r="AO143" i="4"/>
  <c r="AO144" i="4"/>
  <c r="AO146" i="4"/>
  <c r="AO147" i="4"/>
  <c r="AO148" i="4"/>
  <c r="AO149" i="4"/>
  <c r="AO150" i="4"/>
  <c r="AO152" i="4"/>
  <c r="AO153" i="4"/>
  <c r="AO154" i="4"/>
  <c r="AO155" i="4"/>
  <c r="AO156" i="4"/>
  <c r="AO158" i="4"/>
  <c r="AO159" i="4"/>
  <c r="AO160" i="4"/>
  <c r="AO161" i="4"/>
  <c r="AO162" i="4"/>
  <c r="AO164" i="4"/>
  <c r="AO165" i="4"/>
  <c r="AO166" i="4"/>
  <c r="AO167" i="4"/>
  <c r="AO168" i="4"/>
  <c r="AO170" i="4"/>
  <c r="AO171" i="4"/>
  <c r="AO172" i="4"/>
  <c r="AO173" i="4"/>
  <c r="AO174" i="4"/>
  <c r="AO176" i="4"/>
  <c r="AO177" i="4"/>
  <c r="AO178" i="4"/>
  <c r="AO179" i="4"/>
  <c r="AO180" i="4"/>
  <c r="AO182" i="4"/>
  <c r="AO183" i="4"/>
  <c r="AO184" i="4"/>
  <c r="AO185" i="4"/>
  <c r="AO186" i="4"/>
  <c r="AO188" i="4"/>
  <c r="AO189" i="4"/>
  <c r="AO190" i="4"/>
  <c r="AO191" i="4"/>
  <c r="AO192" i="4"/>
  <c r="AO194" i="4"/>
  <c r="AO195" i="4"/>
  <c r="AO196" i="4"/>
  <c r="AO197" i="4"/>
  <c r="AO198" i="4"/>
  <c r="AO200" i="4"/>
  <c r="AO201" i="4"/>
  <c r="AO202" i="4"/>
  <c r="AO203" i="4"/>
  <c r="AO204" i="4"/>
  <c r="AO206" i="4"/>
  <c r="AO207" i="4"/>
  <c r="AO208" i="4"/>
  <c r="AO209" i="4"/>
  <c r="AO210" i="4"/>
  <c r="AO212" i="4"/>
  <c r="AO213" i="4"/>
  <c r="AO214" i="4"/>
  <c r="AO215" i="4"/>
  <c r="AO216" i="4"/>
  <c r="AO218" i="4"/>
  <c r="AO219" i="4"/>
  <c r="AO220" i="4"/>
  <c r="AO221" i="4"/>
  <c r="AO222" i="4"/>
  <c r="AO224" i="4"/>
  <c r="AO225" i="4"/>
  <c r="AO226" i="4"/>
  <c r="AO227" i="4"/>
  <c r="AO228" i="4"/>
  <c r="AO230" i="4"/>
  <c r="AO231" i="4"/>
  <c r="AO232" i="4"/>
  <c r="AO233" i="4"/>
  <c r="AO234" i="4"/>
  <c r="AO236" i="4"/>
  <c r="AO237" i="4"/>
  <c r="AO238" i="4"/>
  <c r="AO239" i="4"/>
  <c r="AO240" i="4"/>
  <c r="AO242" i="4"/>
  <c r="AO243" i="4"/>
  <c r="AO244" i="4"/>
  <c r="AO245" i="4"/>
  <c r="AO246" i="4"/>
  <c r="AO248" i="4"/>
  <c r="AO249" i="4"/>
  <c r="AO250" i="4"/>
  <c r="AO251" i="4"/>
  <c r="AO252" i="4"/>
  <c r="AO254" i="4"/>
  <c r="AO255" i="4"/>
  <c r="AP4" i="4"/>
  <c r="AP5" i="4"/>
  <c r="AP6" i="4"/>
  <c r="AP8" i="4"/>
  <c r="AP9" i="4"/>
  <c r="AP10" i="4"/>
  <c r="AP11" i="4"/>
  <c r="AP12" i="4"/>
  <c r="AP14" i="4"/>
  <c r="AP15" i="4"/>
  <c r="AP16" i="4"/>
  <c r="AP17" i="4"/>
  <c r="AP18" i="4"/>
  <c r="AP20" i="4"/>
  <c r="AP21" i="4"/>
  <c r="AP22" i="4"/>
  <c r="AP23" i="4"/>
  <c r="AP24" i="4"/>
  <c r="AP26" i="4"/>
  <c r="AP27" i="4"/>
  <c r="AP28" i="4"/>
  <c r="AP29" i="4"/>
  <c r="AP30" i="4"/>
  <c r="AP32" i="4"/>
  <c r="AP33" i="4"/>
  <c r="AP34" i="4"/>
  <c r="AP35" i="4"/>
  <c r="AP36" i="4"/>
  <c r="AP38" i="4"/>
  <c r="AP39" i="4"/>
  <c r="AP40" i="4"/>
  <c r="AP41" i="4"/>
  <c r="AP42" i="4"/>
  <c r="AP44" i="4"/>
  <c r="AP45" i="4"/>
  <c r="AP46" i="4"/>
  <c r="AP47" i="4"/>
  <c r="AP48" i="4"/>
  <c r="AP50" i="4"/>
  <c r="AP51" i="4"/>
  <c r="AP52" i="4"/>
  <c r="AP53" i="4"/>
  <c r="AP54" i="4"/>
  <c r="AP56" i="4"/>
  <c r="AP57" i="4"/>
  <c r="AP58" i="4"/>
  <c r="AP59" i="4"/>
  <c r="AP60" i="4"/>
  <c r="AP62" i="4"/>
  <c r="AP63" i="4"/>
  <c r="AP64" i="4"/>
  <c r="AP65" i="4"/>
  <c r="AP66" i="4"/>
  <c r="AP68" i="4"/>
  <c r="AP69" i="4"/>
  <c r="AP70" i="4"/>
  <c r="AP71" i="4"/>
  <c r="AP72" i="4"/>
  <c r="AP74" i="4"/>
  <c r="AP75" i="4"/>
  <c r="AP76" i="4"/>
  <c r="AP77" i="4"/>
  <c r="AP78" i="4"/>
  <c r="AP80" i="4"/>
  <c r="AP81" i="4"/>
  <c r="AP82" i="4"/>
  <c r="AP83" i="4"/>
  <c r="AP84" i="4"/>
  <c r="AP86" i="4"/>
  <c r="AP87" i="4"/>
  <c r="AP88" i="4"/>
  <c r="AP89" i="4"/>
  <c r="AP90" i="4"/>
  <c r="AP92" i="4"/>
  <c r="AP93" i="4"/>
  <c r="AP94" i="4"/>
  <c r="AP95" i="4"/>
  <c r="AP96" i="4"/>
  <c r="AP98" i="4"/>
  <c r="AP99" i="4"/>
  <c r="AP100" i="4"/>
  <c r="AP101" i="4"/>
  <c r="AP102" i="4"/>
  <c r="AP104" i="4"/>
  <c r="AP105" i="4"/>
  <c r="AP106" i="4"/>
  <c r="AP107" i="4"/>
  <c r="AP108" i="4"/>
  <c r="AP110" i="4"/>
  <c r="AP111" i="4"/>
  <c r="AP112" i="4"/>
  <c r="AP113" i="4"/>
  <c r="AP114" i="4"/>
  <c r="AP116" i="4"/>
  <c r="AP117" i="4"/>
  <c r="AP118" i="4"/>
  <c r="AP119" i="4"/>
  <c r="AP120" i="4"/>
  <c r="AP122" i="4"/>
  <c r="AP123" i="4"/>
  <c r="AP124" i="4"/>
  <c r="AP125" i="4"/>
  <c r="AP126" i="4"/>
  <c r="AP128" i="4"/>
  <c r="AP129" i="4"/>
  <c r="AP130" i="4"/>
  <c r="AP131" i="4"/>
  <c r="AP132" i="4"/>
  <c r="AP134" i="4"/>
  <c r="AP135" i="4"/>
  <c r="AP136" i="4"/>
  <c r="AP137" i="4"/>
  <c r="AP138" i="4"/>
  <c r="AP140" i="4"/>
  <c r="AP141" i="4"/>
  <c r="AP142" i="4"/>
  <c r="AP143" i="4"/>
  <c r="AP144" i="4"/>
  <c r="AP146" i="4"/>
  <c r="AP147" i="4"/>
  <c r="AP148" i="4"/>
  <c r="AP149" i="4"/>
  <c r="AP150" i="4"/>
  <c r="AP152" i="4"/>
  <c r="AP153" i="4"/>
  <c r="AP154" i="4"/>
  <c r="AP155" i="4"/>
  <c r="AP156" i="4"/>
  <c r="AP158" i="4"/>
  <c r="AP159" i="4"/>
  <c r="AP160" i="4"/>
  <c r="AP161" i="4"/>
  <c r="AP162" i="4"/>
  <c r="AP164" i="4"/>
  <c r="AP165" i="4"/>
  <c r="AP166" i="4"/>
  <c r="AP167" i="4"/>
  <c r="AP168" i="4"/>
  <c r="AP170" i="4"/>
  <c r="AP171" i="4"/>
  <c r="AP172" i="4"/>
  <c r="AP173" i="4"/>
  <c r="AP174" i="4"/>
  <c r="AP176" i="4"/>
  <c r="AP177" i="4"/>
  <c r="AP178" i="4"/>
  <c r="AP179" i="4"/>
  <c r="AP180" i="4"/>
  <c r="AP182" i="4"/>
  <c r="AP183" i="4"/>
  <c r="AP184" i="4"/>
  <c r="AP185" i="4"/>
  <c r="AP186" i="4"/>
  <c r="AP188" i="4"/>
  <c r="AP189" i="4"/>
  <c r="AP190" i="4"/>
  <c r="AP191" i="4"/>
  <c r="AP192" i="4"/>
  <c r="AP194" i="4"/>
  <c r="AP195" i="4"/>
  <c r="AP196" i="4"/>
  <c r="AP197" i="4"/>
  <c r="AP198" i="4"/>
  <c r="AP200" i="4"/>
  <c r="AP201" i="4"/>
  <c r="AP202" i="4"/>
  <c r="AP203" i="4"/>
  <c r="AP204" i="4"/>
  <c r="AP206" i="4"/>
  <c r="AP207" i="4"/>
  <c r="AP208" i="4"/>
  <c r="AP209" i="4"/>
  <c r="AP210" i="4"/>
  <c r="AP212" i="4"/>
  <c r="AP213" i="4"/>
  <c r="AP214" i="4"/>
  <c r="AP215" i="4"/>
  <c r="AP216" i="4"/>
  <c r="AP218" i="4"/>
  <c r="AP219" i="4"/>
  <c r="AP220" i="4"/>
  <c r="AP221" i="4"/>
  <c r="AP222" i="4"/>
  <c r="AP224" i="4"/>
  <c r="AP225" i="4"/>
  <c r="AP226" i="4"/>
  <c r="AP227" i="4"/>
  <c r="AP228" i="4"/>
  <c r="AP230" i="4"/>
  <c r="AP231" i="4"/>
  <c r="AP232" i="4"/>
  <c r="AP233" i="4"/>
  <c r="AP234" i="4"/>
  <c r="AP236" i="4"/>
  <c r="AP237" i="4"/>
  <c r="AP238" i="4"/>
  <c r="AP239" i="4"/>
  <c r="AP240" i="4"/>
  <c r="AP242" i="4"/>
  <c r="AP243" i="4"/>
  <c r="AP244" i="4"/>
  <c r="AP245" i="4"/>
  <c r="AP246" i="4"/>
  <c r="AP248" i="4"/>
  <c r="AP249" i="4"/>
  <c r="AP250" i="4"/>
  <c r="AP251" i="4"/>
  <c r="AP252" i="4"/>
  <c r="AP254" i="4"/>
  <c r="AP255" i="4"/>
  <c r="AR4" i="4"/>
  <c r="AR5" i="4"/>
  <c r="AR6" i="4"/>
  <c r="AR8" i="4"/>
  <c r="AR9" i="4"/>
  <c r="AR10" i="4"/>
  <c r="AR11" i="4"/>
  <c r="AR12" i="4"/>
  <c r="AR14" i="4"/>
  <c r="AR15" i="4"/>
  <c r="AR16" i="4"/>
  <c r="AR17" i="4"/>
  <c r="AR18" i="4"/>
  <c r="AR20" i="4"/>
  <c r="AR21" i="4"/>
  <c r="AR22" i="4"/>
  <c r="AR23" i="4"/>
  <c r="AR24" i="4"/>
  <c r="AR26" i="4"/>
  <c r="AR27" i="4"/>
  <c r="AR28" i="4"/>
  <c r="AR29" i="4"/>
  <c r="AR30" i="4"/>
  <c r="AR32" i="4"/>
  <c r="AR33" i="4"/>
  <c r="AR34" i="4"/>
  <c r="AR35" i="4"/>
  <c r="AR36" i="4"/>
  <c r="AR38" i="4"/>
  <c r="AR39" i="4"/>
  <c r="AR40" i="4"/>
  <c r="AR41" i="4"/>
  <c r="AR42" i="4"/>
  <c r="AR44" i="4"/>
  <c r="AR45" i="4"/>
  <c r="AR46" i="4"/>
  <c r="AR47" i="4"/>
  <c r="AR48" i="4"/>
  <c r="AR50" i="4"/>
  <c r="AR51" i="4"/>
  <c r="AR52" i="4"/>
  <c r="AR53" i="4"/>
  <c r="AR54" i="4"/>
  <c r="AR56" i="4"/>
  <c r="AR57" i="4"/>
  <c r="AR58" i="4"/>
  <c r="AR59" i="4"/>
  <c r="AR60" i="4"/>
  <c r="AR62" i="4"/>
  <c r="AR63" i="4"/>
  <c r="AR64" i="4"/>
  <c r="AR65" i="4"/>
  <c r="AR66" i="4"/>
  <c r="AR68" i="4"/>
  <c r="AR69" i="4"/>
  <c r="AR70" i="4"/>
  <c r="AR71" i="4"/>
  <c r="AR72" i="4"/>
  <c r="AR74" i="4"/>
  <c r="AR75" i="4"/>
  <c r="AR76" i="4"/>
  <c r="AR77" i="4"/>
  <c r="AR78" i="4"/>
  <c r="AR80" i="4"/>
  <c r="AR81" i="4"/>
  <c r="AR82" i="4"/>
  <c r="AR83" i="4"/>
  <c r="AR84" i="4"/>
  <c r="AR86" i="4"/>
  <c r="AR87" i="4"/>
  <c r="AR88" i="4"/>
  <c r="AR89" i="4"/>
  <c r="AR90" i="4"/>
  <c r="AR92" i="4"/>
  <c r="AR93" i="4"/>
  <c r="AR94" i="4"/>
  <c r="AR95" i="4"/>
  <c r="AR96" i="4"/>
  <c r="AR98" i="4"/>
  <c r="AR99" i="4"/>
  <c r="AR100" i="4"/>
  <c r="AR101" i="4"/>
  <c r="AR102" i="4"/>
  <c r="AR104" i="4"/>
  <c r="AR105" i="4"/>
  <c r="AR106" i="4"/>
  <c r="AR107" i="4"/>
  <c r="AR108" i="4"/>
  <c r="AR110" i="4"/>
  <c r="AR111" i="4"/>
  <c r="AR112" i="4"/>
  <c r="AR113" i="4"/>
  <c r="AR114" i="4"/>
  <c r="AR116" i="4"/>
  <c r="AR117" i="4"/>
  <c r="AR118" i="4"/>
  <c r="AR119" i="4"/>
  <c r="AR120" i="4"/>
  <c r="AR122" i="4"/>
  <c r="AR123" i="4"/>
  <c r="AR124" i="4"/>
  <c r="AR125" i="4"/>
  <c r="AR126" i="4"/>
  <c r="AR128" i="4"/>
  <c r="AR129" i="4"/>
  <c r="AR130" i="4"/>
  <c r="AR131" i="4"/>
  <c r="AR132" i="4"/>
  <c r="AR134" i="4"/>
  <c r="AR135" i="4"/>
  <c r="AR136" i="4"/>
  <c r="AR137" i="4"/>
  <c r="AR138" i="4"/>
  <c r="AR140" i="4"/>
  <c r="AR141" i="4"/>
  <c r="AR142" i="4"/>
  <c r="AR143" i="4"/>
  <c r="AR144" i="4"/>
  <c r="AR146" i="4"/>
  <c r="AR147" i="4"/>
  <c r="AR148" i="4"/>
  <c r="AR149" i="4"/>
  <c r="AR150" i="4"/>
  <c r="AR152" i="4"/>
  <c r="AR153" i="4"/>
  <c r="AR154" i="4"/>
  <c r="AR155" i="4"/>
  <c r="AR156" i="4"/>
  <c r="AR158" i="4"/>
  <c r="AR159" i="4"/>
  <c r="AR160" i="4"/>
  <c r="AR161" i="4"/>
  <c r="AR162" i="4"/>
  <c r="AR164" i="4"/>
  <c r="AR165" i="4"/>
  <c r="AR166" i="4"/>
  <c r="AR167" i="4"/>
  <c r="AR168" i="4"/>
  <c r="AR170" i="4"/>
  <c r="AR171" i="4"/>
  <c r="AR172" i="4"/>
  <c r="AR173" i="4"/>
  <c r="AR174" i="4"/>
  <c r="AR176" i="4"/>
  <c r="AR177" i="4"/>
  <c r="AR178" i="4"/>
  <c r="AR179" i="4"/>
  <c r="AR180" i="4"/>
  <c r="AR182" i="4"/>
  <c r="AR183" i="4"/>
  <c r="AR184" i="4"/>
  <c r="AR185" i="4"/>
  <c r="AR186" i="4"/>
  <c r="AR188" i="4"/>
  <c r="AR189" i="4"/>
  <c r="AR190" i="4"/>
  <c r="AR191" i="4"/>
  <c r="AR192" i="4"/>
  <c r="AR194" i="4"/>
  <c r="AR195" i="4"/>
  <c r="AR196" i="4"/>
  <c r="AR197" i="4"/>
  <c r="AR198" i="4"/>
  <c r="AR200" i="4"/>
  <c r="AR201" i="4"/>
  <c r="AR202" i="4"/>
  <c r="AR203" i="4"/>
  <c r="AR204" i="4"/>
  <c r="AR206" i="4"/>
  <c r="AR207" i="4"/>
  <c r="AR208" i="4"/>
  <c r="AR209" i="4"/>
  <c r="AR210" i="4"/>
  <c r="AR212" i="4"/>
  <c r="AR213" i="4"/>
  <c r="AR214" i="4"/>
  <c r="AR215" i="4"/>
  <c r="AR216" i="4"/>
  <c r="AR218" i="4"/>
  <c r="AR219" i="4"/>
  <c r="AR220" i="4"/>
  <c r="AR221" i="4"/>
  <c r="AR222" i="4"/>
  <c r="AR224" i="4"/>
  <c r="AR225" i="4"/>
  <c r="AR226" i="4"/>
  <c r="AR227" i="4"/>
  <c r="AR228" i="4"/>
  <c r="AR230" i="4"/>
  <c r="AR231" i="4"/>
  <c r="AR232" i="4"/>
  <c r="AR233" i="4"/>
  <c r="AR234" i="4"/>
  <c r="AR236" i="4"/>
  <c r="AR237" i="4"/>
  <c r="AR238" i="4"/>
  <c r="AR239" i="4"/>
  <c r="AR240" i="4"/>
  <c r="AR242" i="4"/>
  <c r="AR243" i="4"/>
  <c r="AR244" i="4"/>
  <c r="AR245" i="4"/>
  <c r="AR246" i="4"/>
  <c r="AR248" i="4"/>
  <c r="AR249" i="4"/>
  <c r="AR250" i="4"/>
  <c r="AR251" i="4"/>
  <c r="AR252" i="4"/>
  <c r="AR254" i="4"/>
  <c r="AR255" i="4"/>
  <c r="AS4" i="4"/>
  <c r="AS5" i="4"/>
  <c r="AS6" i="4"/>
  <c r="AS8" i="4"/>
  <c r="AS9" i="4"/>
  <c r="AS10" i="4"/>
  <c r="AS11" i="4"/>
  <c r="AS12" i="4"/>
  <c r="AS14" i="4"/>
  <c r="AS15" i="4"/>
  <c r="AS16" i="4"/>
  <c r="AS17" i="4"/>
  <c r="AS18" i="4"/>
  <c r="AS20" i="4"/>
  <c r="AS21" i="4"/>
  <c r="AS22" i="4"/>
  <c r="AS23" i="4"/>
  <c r="AS24" i="4"/>
  <c r="AS26" i="4"/>
  <c r="AS27" i="4"/>
  <c r="AS28" i="4"/>
  <c r="AS29" i="4"/>
  <c r="AS30" i="4"/>
  <c r="AS32" i="4"/>
  <c r="AS33" i="4"/>
  <c r="AS34" i="4"/>
  <c r="AS35" i="4"/>
  <c r="AS36" i="4"/>
  <c r="AS38" i="4"/>
  <c r="AS39" i="4"/>
  <c r="AS40" i="4"/>
  <c r="AS41" i="4"/>
  <c r="AS42" i="4"/>
  <c r="AS44" i="4"/>
  <c r="AS45" i="4"/>
  <c r="AS46" i="4"/>
  <c r="AS47" i="4"/>
  <c r="AS48" i="4"/>
  <c r="AS50" i="4"/>
  <c r="AS51" i="4"/>
  <c r="AS52" i="4"/>
  <c r="AS53" i="4"/>
  <c r="AS54" i="4"/>
  <c r="AS56" i="4"/>
  <c r="AS57" i="4"/>
  <c r="AS58" i="4"/>
  <c r="AS59" i="4"/>
  <c r="AS60" i="4"/>
  <c r="AS62" i="4"/>
  <c r="AS63" i="4"/>
  <c r="AS64" i="4"/>
  <c r="AS65" i="4"/>
  <c r="AS66" i="4"/>
  <c r="AS68" i="4"/>
  <c r="AS69" i="4"/>
  <c r="AS70" i="4"/>
  <c r="AS71" i="4"/>
  <c r="AS72" i="4"/>
  <c r="AS74" i="4"/>
  <c r="AS75" i="4"/>
  <c r="AS76" i="4"/>
  <c r="AS77" i="4"/>
  <c r="AS78" i="4"/>
  <c r="AS80" i="4"/>
  <c r="AS81" i="4"/>
  <c r="AS82" i="4"/>
  <c r="AS83" i="4"/>
  <c r="AS84" i="4"/>
  <c r="AS86" i="4"/>
  <c r="AS87" i="4"/>
  <c r="AS88" i="4"/>
  <c r="AS89" i="4"/>
  <c r="AS90" i="4"/>
  <c r="AS92" i="4"/>
  <c r="AS93" i="4"/>
  <c r="AS94" i="4"/>
  <c r="AS95" i="4"/>
  <c r="AS96" i="4"/>
  <c r="AS98" i="4"/>
  <c r="AS99" i="4"/>
  <c r="AS100" i="4"/>
  <c r="AS101" i="4"/>
  <c r="AS102" i="4"/>
  <c r="AS104" i="4"/>
  <c r="AS105" i="4"/>
  <c r="AS106" i="4"/>
  <c r="AS107" i="4"/>
  <c r="AS108" i="4"/>
  <c r="AS110" i="4"/>
  <c r="AS111" i="4"/>
  <c r="AS112" i="4"/>
  <c r="AS113" i="4"/>
  <c r="AS114" i="4"/>
  <c r="AS116" i="4"/>
  <c r="AS117" i="4"/>
  <c r="AS118" i="4"/>
  <c r="AS119" i="4"/>
  <c r="AS120" i="4"/>
  <c r="AS122" i="4"/>
  <c r="AS123" i="4"/>
  <c r="AS124" i="4"/>
  <c r="AS125" i="4"/>
  <c r="AS126" i="4"/>
  <c r="AS128" i="4"/>
  <c r="AS129" i="4"/>
  <c r="AS130" i="4"/>
  <c r="AS131" i="4"/>
  <c r="AS132" i="4"/>
  <c r="AS134" i="4"/>
  <c r="AS135" i="4"/>
  <c r="AS136" i="4"/>
  <c r="AS137" i="4"/>
  <c r="AS138" i="4"/>
  <c r="AS140" i="4"/>
  <c r="AS141" i="4"/>
  <c r="AS142" i="4"/>
  <c r="AS143" i="4"/>
  <c r="AS144" i="4"/>
  <c r="AS146" i="4"/>
  <c r="AS147" i="4"/>
  <c r="AS148" i="4"/>
  <c r="AS149" i="4"/>
  <c r="AS150" i="4"/>
  <c r="AS152" i="4"/>
  <c r="AS153" i="4"/>
  <c r="AS154" i="4"/>
  <c r="AS155" i="4"/>
  <c r="AS156" i="4"/>
  <c r="AS158" i="4"/>
  <c r="AS159" i="4"/>
  <c r="AS160" i="4"/>
  <c r="AS161" i="4"/>
  <c r="AS162" i="4"/>
  <c r="AS164" i="4"/>
  <c r="AS165" i="4"/>
  <c r="AS166" i="4"/>
  <c r="AS167" i="4"/>
  <c r="AS168" i="4"/>
  <c r="AS170" i="4"/>
  <c r="AS171" i="4"/>
  <c r="AS172" i="4"/>
  <c r="AS173" i="4"/>
  <c r="AS174" i="4"/>
  <c r="AS176" i="4"/>
  <c r="AS177" i="4"/>
  <c r="AS178" i="4"/>
  <c r="AS179" i="4"/>
  <c r="AS180" i="4"/>
  <c r="AS182" i="4"/>
  <c r="AS183" i="4"/>
  <c r="AS184" i="4"/>
  <c r="AS185" i="4"/>
  <c r="AS186" i="4"/>
  <c r="AS188" i="4"/>
  <c r="AS189" i="4"/>
  <c r="AS190" i="4"/>
  <c r="AS191" i="4"/>
  <c r="AS192" i="4"/>
  <c r="AS194" i="4"/>
  <c r="AS195" i="4"/>
  <c r="AS196" i="4"/>
  <c r="AS197" i="4"/>
  <c r="AS198" i="4"/>
  <c r="AS200" i="4"/>
  <c r="AS201" i="4"/>
  <c r="AS202" i="4"/>
  <c r="AS203" i="4"/>
  <c r="AS204" i="4"/>
  <c r="AS206" i="4"/>
  <c r="AS207" i="4"/>
  <c r="AS208" i="4"/>
  <c r="AS209" i="4"/>
  <c r="AS210" i="4"/>
  <c r="AS212" i="4"/>
  <c r="AS213" i="4"/>
  <c r="AS214" i="4"/>
  <c r="AS215" i="4"/>
  <c r="AS216" i="4"/>
  <c r="AS218" i="4"/>
  <c r="AS219" i="4"/>
  <c r="AS220" i="4"/>
  <c r="AS221" i="4"/>
  <c r="AS222" i="4"/>
  <c r="AS224" i="4"/>
  <c r="AS225" i="4"/>
  <c r="AS226" i="4"/>
  <c r="AS227" i="4"/>
  <c r="AS228" i="4"/>
  <c r="AS230" i="4"/>
  <c r="AS231" i="4"/>
  <c r="AS232" i="4"/>
  <c r="AS233" i="4"/>
  <c r="AS234" i="4"/>
  <c r="AS236" i="4"/>
  <c r="AS237" i="4"/>
  <c r="AS238" i="4"/>
  <c r="AS239" i="4"/>
  <c r="AS240" i="4"/>
  <c r="AS242" i="4"/>
  <c r="AS243" i="4"/>
  <c r="AS244" i="4"/>
  <c r="AS245" i="4"/>
  <c r="AS246" i="4"/>
  <c r="AS248" i="4"/>
  <c r="AS249" i="4"/>
  <c r="AS250" i="4"/>
  <c r="AS251" i="4"/>
  <c r="AS252" i="4"/>
  <c r="AS254" i="4"/>
  <c r="AS255" i="4"/>
  <c r="AU4" i="4"/>
  <c r="AU5" i="4"/>
  <c r="AU6" i="4"/>
  <c r="AU8" i="4"/>
  <c r="AU9" i="4"/>
  <c r="AU10" i="4"/>
  <c r="AU11" i="4"/>
  <c r="AU12" i="4"/>
  <c r="AU14" i="4"/>
  <c r="AU15" i="4"/>
  <c r="AU16" i="4"/>
  <c r="AU17" i="4"/>
  <c r="AU18" i="4"/>
  <c r="AU20" i="4"/>
  <c r="AU21" i="4"/>
  <c r="AU22" i="4"/>
  <c r="AU23" i="4"/>
  <c r="AU24" i="4"/>
  <c r="AU26" i="4"/>
  <c r="AU27" i="4"/>
  <c r="AU28" i="4"/>
  <c r="AU29" i="4"/>
  <c r="AU30" i="4"/>
  <c r="AU32" i="4"/>
  <c r="AU33" i="4"/>
  <c r="AU34" i="4"/>
  <c r="AU35" i="4"/>
  <c r="AU36" i="4"/>
  <c r="AU38" i="4"/>
  <c r="AU39" i="4"/>
  <c r="AU40" i="4"/>
  <c r="AU41" i="4"/>
  <c r="AU42" i="4"/>
  <c r="AU44" i="4"/>
  <c r="AU45" i="4"/>
  <c r="AU46" i="4"/>
  <c r="AU47" i="4"/>
  <c r="AU48" i="4"/>
  <c r="AU50" i="4"/>
  <c r="AU51" i="4"/>
  <c r="AU52" i="4"/>
  <c r="AU53" i="4"/>
  <c r="AU54" i="4"/>
  <c r="AU56" i="4"/>
  <c r="AU57" i="4"/>
  <c r="AU58" i="4"/>
  <c r="AU59" i="4"/>
  <c r="AU60" i="4"/>
  <c r="AU62" i="4"/>
  <c r="AU63" i="4"/>
  <c r="AU64" i="4"/>
  <c r="AU65" i="4"/>
  <c r="AU66" i="4"/>
  <c r="AU68" i="4"/>
  <c r="AU69" i="4"/>
  <c r="AU70" i="4"/>
  <c r="AU71" i="4"/>
  <c r="AU72" i="4"/>
  <c r="AU74" i="4"/>
  <c r="AU75" i="4"/>
  <c r="AU76" i="4"/>
  <c r="AU77" i="4"/>
  <c r="AU78" i="4"/>
  <c r="AU80" i="4"/>
  <c r="AU81" i="4"/>
  <c r="AU82" i="4"/>
  <c r="AU83" i="4"/>
  <c r="AU84" i="4"/>
  <c r="AU86" i="4"/>
  <c r="AU87" i="4"/>
  <c r="AU88" i="4"/>
  <c r="AU89" i="4"/>
  <c r="AU90" i="4"/>
  <c r="AU92" i="4"/>
  <c r="AU93" i="4"/>
  <c r="AU94" i="4"/>
  <c r="AU95" i="4"/>
  <c r="AU96" i="4"/>
  <c r="AU98" i="4"/>
  <c r="AU99" i="4"/>
  <c r="AU100" i="4"/>
  <c r="AU101" i="4"/>
  <c r="AU102" i="4"/>
  <c r="AU104" i="4"/>
  <c r="AU105" i="4"/>
  <c r="AU106" i="4"/>
  <c r="AU107" i="4"/>
  <c r="AU108" i="4"/>
  <c r="AU110" i="4"/>
  <c r="AU111" i="4"/>
  <c r="AU112" i="4"/>
  <c r="AU113" i="4"/>
  <c r="AU114" i="4"/>
  <c r="AU116" i="4"/>
  <c r="AU117" i="4"/>
  <c r="AU118" i="4"/>
  <c r="AU119" i="4"/>
  <c r="AU120" i="4"/>
  <c r="AU122" i="4"/>
  <c r="AU123" i="4"/>
  <c r="AU124" i="4"/>
  <c r="AU125" i="4"/>
  <c r="AU126" i="4"/>
  <c r="AU128" i="4"/>
  <c r="AU129" i="4"/>
  <c r="AU130" i="4"/>
  <c r="AU131" i="4"/>
  <c r="AU132" i="4"/>
  <c r="AU134" i="4"/>
  <c r="AU135" i="4"/>
  <c r="AU136" i="4"/>
  <c r="AU137" i="4"/>
  <c r="AU138" i="4"/>
  <c r="AU140" i="4"/>
  <c r="AU141" i="4"/>
  <c r="AU142" i="4"/>
  <c r="AU143" i="4"/>
  <c r="AU144" i="4"/>
  <c r="AU146" i="4"/>
  <c r="AU147" i="4"/>
  <c r="AU148" i="4"/>
  <c r="AU149" i="4"/>
  <c r="AU150" i="4"/>
  <c r="AU152" i="4"/>
  <c r="AU153" i="4"/>
  <c r="AU154" i="4"/>
  <c r="AU155" i="4"/>
  <c r="AU156" i="4"/>
  <c r="AU158" i="4"/>
  <c r="AU159" i="4"/>
  <c r="AU160" i="4"/>
  <c r="AU161" i="4"/>
  <c r="AU162" i="4"/>
  <c r="AU164" i="4"/>
  <c r="AU165" i="4"/>
  <c r="AU166" i="4"/>
  <c r="AU167" i="4"/>
  <c r="AU168" i="4"/>
  <c r="AU170" i="4"/>
  <c r="AU171" i="4"/>
  <c r="AU172" i="4"/>
  <c r="AU173" i="4"/>
  <c r="AU174" i="4"/>
  <c r="AU176" i="4"/>
  <c r="AU177" i="4"/>
  <c r="AU178" i="4"/>
  <c r="AU179" i="4"/>
  <c r="AU180" i="4"/>
  <c r="AU182" i="4"/>
  <c r="AU183" i="4"/>
  <c r="AU184" i="4"/>
  <c r="AU185" i="4"/>
  <c r="AU186" i="4"/>
  <c r="AU188" i="4"/>
  <c r="AU189" i="4"/>
  <c r="AU190" i="4"/>
  <c r="AU191" i="4"/>
  <c r="AU192" i="4"/>
  <c r="AU194" i="4"/>
  <c r="AU195" i="4"/>
  <c r="AU196" i="4"/>
  <c r="AU197" i="4"/>
  <c r="AU198" i="4"/>
  <c r="AU200" i="4"/>
  <c r="AU201" i="4"/>
  <c r="AU202" i="4"/>
  <c r="AU203" i="4"/>
  <c r="AU204" i="4"/>
  <c r="AU206" i="4"/>
  <c r="AU207" i="4"/>
  <c r="AU208" i="4"/>
  <c r="AU209" i="4"/>
  <c r="AU210" i="4"/>
  <c r="AU212" i="4"/>
  <c r="AU213" i="4"/>
  <c r="AU214" i="4"/>
  <c r="AU215" i="4"/>
  <c r="AU216" i="4"/>
  <c r="AU218" i="4"/>
  <c r="AU219" i="4"/>
  <c r="AU220" i="4"/>
  <c r="AU221" i="4"/>
  <c r="AU222" i="4"/>
  <c r="AU224" i="4"/>
  <c r="AU225" i="4"/>
  <c r="AU226" i="4"/>
  <c r="AU227" i="4"/>
  <c r="AU228" i="4"/>
  <c r="AU230" i="4"/>
  <c r="AU231" i="4"/>
  <c r="AU232" i="4"/>
  <c r="AU233" i="4"/>
  <c r="AU234" i="4"/>
  <c r="AU236" i="4"/>
  <c r="AU237" i="4"/>
  <c r="AU238" i="4"/>
  <c r="AU239" i="4"/>
  <c r="AU240" i="4"/>
  <c r="AU242" i="4"/>
  <c r="AU243" i="4"/>
  <c r="AU244" i="4"/>
  <c r="AU245" i="4"/>
  <c r="AU246" i="4"/>
  <c r="AU248" i="4"/>
  <c r="AU249" i="4"/>
  <c r="AU250" i="4"/>
  <c r="AU251" i="4"/>
  <c r="AU252" i="4"/>
  <c r="AU254" i="4"/>
  <c r="AU255" i="4"/>
  <c r="AV4" i="4"/>
  <c r="AV5" i="4"/>
  <c r="AV6" i="4"/>
  <c r="AV8" i="4"/>
  <c r="AV9" i="4"/>
  <c r="AV10" i="4"/>
  <c r="AV11" i="4"/>
  <c r="AV12" i="4"/>
  <c r="AV14" i="4"/>
  <c r="AV15" i="4"/>
  <c r="AV16" i="4"/>
  <c r="AV17" i="4"/>
  <c r="AV18" i="4"/>
  <c r="AV20" i="4"/>
  <c r="AV21" i="4"/>
  <c r="AV22" i="4"/>
  <c r="AV23" i="4"/>
  <c r="AV24" i="4"/>
  <c r="AV26" i="4"/>
  <c r="AV27" i="4"/>
  <c r="AV28" i="4"/>
  <c r="AV29" i="4"/>
  <c r="AV30" i="4"/>
  <c r="AV32" i="4"/>
  <c r="AV33" i="4"/>
  <c r="AV34" i="4"/>
  <c r="AV35" i="4"/>
  <c r="AV36" i="4"/>
  <c r="AV38" i="4"/>
  <c r="AV39" i="4"/>
  <c r="AV40" i="4"/>
  <c r="AV41" i="4"/>
  <c r="AV42" i="4"/>
  <c r="AV44" i="4"/>
  <c r="AV45" i="4"/>
  <c r="AV46" i="4"/>
  <c r="AV47" i="4"/>
  <c r="AV48" i="4"/>
  <c r="AV50" i="4"/>
  <c r="AV51" i="4"/>
  <c r="AV52" i="4"/>
  <c r="AV53" i="4"/>
  <c r="AV54" i="4"/>
  <c r="AV56" i="4"/>
  <c r="AV57" i="4"/>
  <c r="AV58" i="4"/>
  <c r="AV59" i="4"/>
  <c r="AV60" i="4"/>
  <c r="AV62" i="4"/>
  <c r="AV63" i="4"/>
  <c r="AV64" i="4"/>
  <c r="AV65" i="4"/>
  <c r="AV66" i="4"/>
  <c r="AV68" i="4"/>
  <c r="AV69" i="4"/>
  <c r="AV70" i="4"/>
  <c r="AV71" i="4"/>
  <c r="AV72" i="4"/>
  <c r="AV74" i="4"/>
  <c r="AV75" i="4"/>
  <c r="AV76" i="4"/>
  <c r="AV77" i="4"/>
  <c r="AV78" i="4"/>
  <c r="AV80" i="4"/>
  <c r="AV81" i="4"/>
  <c r="AV82" i="4"/>
  <c r="AV83" i="4"/>
  <c r="AV84" i="4"/>
  <c r="AV86" i="4"/>
  <c r="AV87" i="4"/>
  <c r="AV88" i="4"/>
  <c r="AV89" i="4"/>
  <c r="AV90" i="4"/>
  <c r="AV92" i="4"/>
  <c r="AV93" i="4"/>
  <c r="AV94" i="4"/>
  <c r="AV95" i="4"/>
  <c r="AV96" i="4"/>
  <c r="AV98" i="4"/>
  <c r="AV99" i="4"/>
  <c r="AV100" i="4"/>
  <c r="AV101" i="4"/>
  <c r="AV102" i="4"/>
  <c r="AV104" i="4"/>
  <c r="AV105" i="4"/>
  <c r="AV106" i="4"/>
  <c r="AV107" i="4"/>
  <c r="AV108" i="4"/>
  <c r="AV110" i="4"/>
  <c r="AV111" i="4"/>
  <c r="AV112" i="4"/>
  <c r="AV113" i="4"/>
  <c r="AV114" i="4"/>
  <c r="AV116" i="4"/>
  <c r="AV117" i="4"/>
  <c r="AV118" i="4"/>
  <c r="AV119" i="4"/>
  <c r="AV120" i="4"/>
  <c r="AV122" i="4"/>
  <c r="AV123" i="4"/>
  <c r="AV124" i="4"/>
  <c r="AV125" i="4"/>
  <c r="AV126" i="4"/>
  <c r="AV128" i="4"/>
  <c r="AV129" i="4"/>
  <c r="AV130" i="4"/>
  <c r="AV131" i="4"/>
  <c r="AV132" i="4"/>
  <c r="AV134" i="4"/>
  <c r="AV135" i="4"/>
  <c r="AV136" i="4"/>
  <c r="AV137" i="4"/>
  <c r="AV138" i="4"/>
  <c r="AV140" i="4"/>
  <c r="AV141" i="4"/>
  <c r="AV142" i="4"/>
  <c r="AV143" i="4"/>
  <c r="AV144" i="4"/>
  <c r="AV146" i="4"/>
  <c r="AV147" i="4"/>
  <c r="AV148" i="4"/>
  <c r="AV149" i="4"/>
  <c r="AV150" i="4"/>
  <c r="AV152" i="4"/>
  <c r="AV153" i="4"/>
  <c r="AV154" i="4"/>
  <c r="AV155" i="4"/>
  <c r="AV156" i="4"/>
  <c r="AV158" i="4"/>
  <c r="AV159" i="4"/>
  <c r="AV160" i="4"/>
  <c r="AV161" i="4"/>
  <c r="AV162" i="4"/>
  <c r="AV164" i="4"/>
  <c r="AV165" i="4"/>
  <c r="AV166" i="4"/>
  <c r="AV167" i="4"/>
  <c r="AV168" i="4"/>
  <c r="AV170" i="4"/>
  <c r="AV171" i="4"/>
  <c r="AV172" i="4"/>
  <c r="AV173" i="4"/>
  <c r="AV174" i="4"/>
  <c r="AV176" i="4"/>
  <c r="AV177" i="4"/>
  <c r="AV178" i="4"/>
  <c r="AV179" i="4"/>
  <c r="AV180" i="4"/>
  <c r="AV182" i="4"/>
  <c r="AV183" i="4"/>
  <c r="AV184" i="4"/>
  <c r="AV185" i="4"/>
  <c r="AV186" i="4"/>
  <c r="AV188" i="4"/>
  <c r="AV189" i="4"/>
  <c r="AV190" i="4"/>
  <c r="AV191" i="4"/>
  <c r="AV192" i="4"/>
  <c r="AV194" i="4"/>
  <c r="AV195" i="4"/>
  <c r="AV196" i="4"/>
  <c r="AV197" i="4"/>
  <c r="AV198" i="4"/>
  <c r="AV200" i="4"/>
  <c r="AV201" i="4"/>
  <c r="AV202" i="4"/>
  <c r="AV203" i="4"/>
  <c r="AV204" i="4"/>
  <c r="AV206" i="4"/>
  <c r="AV207" i="4"/>
  <c r="AV208" i="4"/>
  <c r="AV209" i="4"/>
  <c r="AV210" i="4"/>
  <c r="AV212" i="4"/>
  <c r="AV213" i="4"/>
  <c r="AV214" i="4"/>
  <c r="AV215" i="4"/>
  <c r="AV216" i="4"/>
  <c r="AV218" i="4"/>
  <c r="AV219" i="4"/>
  <c r="AV220" i="4"/>
  <c r="AV221" i="4"/>
  <c r="AV222" i="4"/>
  <c r="AV224" i="4"/>
  <c r="AV225" i="4"/>
  <c r="AV226" i="4"/>
  <c r="AV227" i="4"/>
  <c r="AV228" i="4"/>
  <c r="AV230" i="4"/>
  <c r="AV231" i="4"/>
  <c r="AV232" i="4"/>
  <c r="AV233" i="4"/>
  <c r="AV234" i="4"/>
  <c r="AV236" i="4"/>
  <c r="AV237" i="4"/>
  <c r="AV238" i="4"/>
  <c r="AV239" i="4"/>
  <c r="AV240" i="4"/>
  <c r="AV242" i="4"/>
  <c r="AV243" i="4"/>
  <c r="AV244" i="4"/>
  <c r="AV245" i="4"/>
  <c r="AV246" i="4"/>
  <c r="AV248" i="4"/>
  <c r="AV249" i="4"/>
  <c r="AV250" i="4"/>
  <c r="AV251" i="4"/>
  <c r="AV252" i="4"/>
  <c r="AV254" i="4"/>
  <c r="AV255" i="4"/>
  <c r="AW4" i="4"/>
  <c r="AW5" i="4"/>
  <c r="AW6" i="4"/>
  <c r="AW8" i="4"/>
  <c r="AW9" i="4"/>
  <c r="AW10" i="4"/>
  <c r="AW11" i="4"/>
  <c r="AW12" i="4"/>
  <c r="AW14" i="4"/>
  <c r="AW15" i="4"/>
  <c r="AW16" i="4"/>
  <c r="AW17" i="4"/>
  <c r="AW18" i="4"/>
  <c r="AW20" i="4"/>
  <c r="AW21" i="4"/>
  <c r="AW22" i="4"/>
  <c r="AW23" i="4"/>
  <c r="AW24" i="4"/>
  <c r="AW26" i="4"/>
  <c r="AW27" i="4"/>
  <c r="AW28" i="4"/>
  <c r="AW29" i="4"/>
  <c r="AW30" i="4"/>
  <c r="AW32" i="4"/>
  <c r="AW33" i="4"/>
  <c r="AW34" i="4"/>
  <c r="AW35" i="4"/>
  <c r="AW36" i="4"/>
  <c r="AW38" i="4"/>
  <c r="AW39" i="4"/>
  <c r="AW40" i="4"/>
  <c r="AW41" i="4"/>
  <c r="AW42" i="4"/>
  <c r="AW44" i="4"/>
  <c r="AW45" i="4"/>
  <c r="AW46" i="4"/>
  <c r="AW47" i="4"/>
  <c r="AW48" i="4"/>
  <c r="AW50" i="4"/>
  <c r="AW51" i="4"/>
  <c r="AW52" i="4"/>
  <c r="AW53" i="4"/>
  <c r="AW54" i="4"/>
  <c r="AW56" i="4"/>
  <c r="AW57" i="4"/>
  <c r="AW58" i="4"/>
  <c r="AW59" i="4"/>
  <c r="AW60" i="4"/>
  <c r="AW62" i="4"/>
  <c r="AW63" i="4"/>
  <c r="AW64" i="4"/>
  <c r="AW65" i="4"/>
  <c r="AW66" i="4"/>
  <c r="AW68" i="4"/>
  <c r="AW69" i="4"/>
  <c r="AW70" i="4"/>
  <c r="AW71" i="4"/>
  <c r="AW72" i="4"/>
  <c r="AW74" i="4"/>
  <c r="AW75" i="4"/>
  <c r="AW76" i="4"/>
  <c r="AW77" i="4"/>
  <c r="AW78" i="4"/>
  <c r="AW80" i="4"/>
  <c r="AW81" i="4"/>
  <c r="AW82" i="4"/>
  <c r="AW83" i="4"/>
  <c r="AW84" i="4"/>
  <c r="AW86" i="4"/>
  <c r="AW87" i="4"/>
  <c r="AW88" i="4"/>
  <c r="AW89" i="4"/>
  <c r="AW90" i="4"/>
  <c r="AW92" i="4"/>
  <c r="AW93" i="4"/>
  <c r="AW94" i="4"/>
  <c r="AW95" i="4"/>
  <c r="AW96" i="4"/>
  <c r="AW98" i="4"/>
  <c r="AW99" i="4"/>
  <c r="AW100" i="4"/>
  <c r="AW101" i="4"/>
  <c r="AW102" i="4"/>
  <c r="AW104" i="4"/>
  <c r="AW105" i="4"/>
  <c r="AW106" i="4"/>
  <c r="AW107" i="4"/>
  <c r="AW108" i="4"/>
  <c r="AW110" i="4"/>
  <c r="AW111" i="4"/>
  <c r="AW112" i="4"/>
  <c r="AW113" i="4"/>
  <c r="AW114" i="4"/>
  <c r="AW116" i="4"/>
  <c r="AW117" i="4"/>
  <c r="AW118" i="4"/>
  <c r="AW119" i="4"/>
  <c r="AW120" i="4"/>
  <c r="AW122" i="4"/>
  <c r="AW123" i="4"/>
  <c r="AW124" i="4"/>
  <c r="AW125" i="4"/>
  <c r="AW126" i="4"/>
  <c r="AW128" i="4"/>
  <c r="AW129" i="4"/>
  <c r="AW130" i="4"/>
  <c r="AW131" i="4"/>
  <c r="AW132" i="4"/>
  <c r="AW134" i="4"/>
  <c r="AW135" i="4"/>
  <c r="AW136" i="4"/>
  <c r="AW137" i="4"/>
  <c r="AW138" i="4"/>
  <c r="AW140" i="4"/>
  <c r="AW141" i="4"/>
  <c r="AW142" i="4"/>
  <c r="AW143" i="4"/>
  <c r="AW144" i="4"/>
  <c r="AW146" i="4"/>
  <c r="AW147" i="4"/>
  <c r="AW148" i="4"/>
  <c r="AW149" i="4"/>
  <c r="AW150" i="4"/>
  <c r="AW152" i="4"/>
  <c r="AW153" i="4"/>
  <c r="AW154" i="4"/>
  <c r="AW155" i="4"/>
  <c r="AW156" i="4"/>
  <c r="AW158" i="4"/>
  <c r="AW159" i="4"/>
  <c r="AW160" i="4"/>
  <c r="AW161" i="4"/>
  <c r="AW162" i="4"/>
  <c r="AW164" i="4"/>
  <c r="AW165" i="4"/>
  <c r="AW166" i="4"/>
  <c r="AW167" i="4"/>
  <c r="AW168" i="4"/>
  <c r="AW170" i="4"/>
  <c r="AW171" i="4"/>
  <c r="AW172" i="4"/>
  <c r="AW173" i="4"/>
  <c r="AW174" i="4"/>
  <c r="AW176" i="4"/>
  <c r="AW177" i="4"/>
  <c r="AW178" i="4"/>
  <c r="AW179" i="4"/>
  <c r="AW180" i="4"/>
  <c r="AW182" i="4"/>
  <c r="AW183" i="4"/>
  <c r="AW184" i="4"/>
  <c r="AW185" i="4"/>
  <c r="AW186" i="4"/>
  <c r="AW188" i="4"/>
  <c r="AW189" i="4"/>
  <c r="AW190" i="4"/>
  <c r="AW191" i="4"/>
  <c r="AW192" i="4"/>
  <c r="AW194" i="4"/>
  <c r="AW195" i="4"/>
  <c r="AW196" i="4"/>
  <c r="AW197" i="4"/>
  <c r="AW198" i="4"/>
  <c r="AW200" i="4"/>
  <c r="AW201" i="4"/>
  <c r="AW202" i="4"/>
  <c r="AW203" i="4"/>
  <c r="AW204" i="4"/>
  <c r="AW206" i="4"/>
  <c r="AW207" i="4"/>
  <c r="AW208" i="4"/>
  <c r="AW209" i="4"/>
  <c r="AW210" i="4"/>
  <c r="AW212" i="4"/>
  <c r="AW213" i="4"/>
  <c r="AW214" i="4"/>
  <c r="AW215" i="4"/>
  <c r="AW216" i="4"/>
  <c r="AW218" i="4"/>
  <c r="AW219" i="4"/>
  <c r="AW220" i="4"/>
  <c r="AW221" i="4"/>
  <c r="AW222" i="4"/>
  <c r="AW224" i="4"/>
  <c r="AW225" i="4"/>
  <c r="AW226" i="4"/>
  <c r="AW227" i="4"/>
  <c r="AW228" i="4"/>
  <c r="AW230" i="4"/>
  <c r="AW231" i="4"/>
  <c r="AW232" i="4"/>
  <c r="AW233" i="4"/>
  <c r="AW234" i="4"/>
  <c r="AW236" i="4"/>
  <c r="AW237" i="4"/>
  <c r="AW238" i="4"/>
  <c r="AW239" i="4"/>
  <c r="AW240" i="4"/>
  <c r="AW242" i="4"/>
  <c r="AW243" i="4"/>
  <c r="AW244" i="4"/>
  <c r="AW245" i="4"/>
  <c r="AW246" i="4"/>
  <c r="AW248" i="4"/>
  <c r="AW249" i="4"/>
  <c r="AW250" i="4"/>
  <c r="AW251" i="4"/>
  <c r="AW252" i="4"/>
  <c r="AW254" i="4"/>
  <c r="AW255" i="4"/>
  <c r="AX4" i="4"/>
  <c r="AX5" i="4"/>
  <c r="AX6" i="4"/>
  <c r="AX8" i="4"/>
  <c r="AX9" i="4"/>
  <c r="AX10" i="4"/>
  <c r="AX11" i="4"/>
  <c r="AX12" i="4"/>
  <c r="AX14" i="4"/>
  <c r="AX15" i="4"/>
  <c r="AX16" i="4"/>
  <c r="AX17" i="4"/>
  <c r="AX18" i="4"/>
  <c r="AX20" i="4"/>
  <c r="AX21" i="4"/>
  <c r="AX22" i="4"/>
  <c r="AX23" i="4"/>
  <c r="AX24" i="4"/>
  <c r="AX26" i="4"/>
  <c r="AX27" i="4"/>
  <c r="AX28" i="4"/>
  <c r="AX29" i="4"/>
  <c r="AX30" i="4"/>
  <c r="AX32" i="4"/>
  <c r="AX33" i="4"/>
  <c r="AX34" i="4"/>
  <c r="AX35" i="4"/>
  <c r="AX36" i="4"/>
  <c r="AX38" i="4"/>
  <c r="AX39" i="4"/>
  <c r="AX40" i="4"/>
  <c r="AX41" i="4"/>
  <c r="AX42" i="4"/>
  <c r="AX44" i="4"/>
  <c r="AX45" i="4"/>
  <c r="AX46" i="4"/>
  <c r="AX47" i="4"/>
  <c r="AX48" i="4"/>
  <c r="AX50" i="4"/>
  <c r="AX51" i="4"/>
  <c r="AX52" i="4"/>
  <c r="AX53" i="4"/>
  <c r="AX54" i="4"/>
  <c r="AX56" i="4"/>
  <c r="AX57" i="4"/>
  <c r="AX58" i="4"/>
  <c r="AX59" i="4"/>
  <c r="AX60" i="4"/>
  <c r="AX62" i="4"/>
  <c r="AX63" i="4"/>
  <c r="AX64" i="4"/>
  <c r="AX65" i="4"/>
  <c r="AX66" i="4"/>
  <c r="AX68" i="4"/>
  <c r="AX69" i="4"/>
  <c r="AX70" i="4"/>
  <c r="AX71" i="4"/>
  <c r="AX72" i="4"/>
  <c r="AX74" i="4"/>
  <c r="AX75" i="4"/>
  <c r="AX76" i="4"/>
  <c r="AX77" i="4"/>
  <c r="AX78" i="4"/>
  <c r="AX80" i="4"/>
  <c r="AX81" i="4"/>
  <c r="AX82" i="4"/>
  <c r="AX83" i="4"/>
  <c r="AX84" i="4"/>
  <c r="AX86" i="4"/>
  <c r="AX87" i="4"/>
  <c r="AX88" i="4"/>
  <c r="AX89" i="4"/>
  <c r="AX90" i="4"/>
  <c r="AX92" i="4"/>
  <c r="AX93" i="4"/>
  <c r="AX94" i="4"/>
  <c r="AX95" i="4"/>
  <c r="AX96" i="4"/>
  <c r="AX98" i="4"/>
  <c r="AX99" i="4"/>
  <c r="AX100" i="4"/>
  <c r="AX101" i="4"/>
  <c r="AX102" i="4"/>
  <c r="AX104" i="4"/>
  <c r="AX105" i="4"/>
  <c r="AX106" i="4"/>
  <c r="AX107" i="4"/>
  <c r="AX108" i="4"/>
  <c r="AX110" i="4"/>
  <c r="AX111" i="4"/>
  <c r="AX112" i="4"/>
  <c r="AX113" i="4"/>
  <c r="AX114" i="4"/>
  <c r="AX116" i="4"/>
  <c r="AX117" i="4"/>
  <c r="AX118" i="4"/>
  <c r="AX119" i="4"/>
  <c r="AX120" i="4"/>
  <c r="AX122" i="4"/>
  <c r="AX123" i="4"/>
  <c r="AX124" i="4"/>
  <c r="AX125" i="4"/>
  <c r="AX126" i="4"/>
  <c r="AX128" i="4"/>
  <c r="AX129" i="4"/>
  <c r="AX130" i="4"/>
  <c r="AX131" i="4"/>
  <c r="AX132" i="4"/>
  <c r="AX134" i="4"/>
  <c r="AX135" i="4"/>
  <c r="AX136" i="4"/>
  <c r="AX137" i="4"/>
  <c r="AX138" i="4"/>
  <c r="AX140" i="4"/>
  <c r="AX141" i="4"/>
  <c r="AX142" i="4"/>
  <c r="AX143" i="4"/>
  <c r="AX144" i="4"/>
  <c r="AX146" i="4"/>
  <c r="AX147" i="4"/>
  <c r="AX148" i="4"/>
  <c r="AX149" i="4"/>
  <c r="AX150" i="4"/>
  <c r="AX152" i="4"/>
  <c r="AX153" i="4"/>
  <c r="AX154" i="4"/>
  <c r="AX155" i="4"/>
  <c r="AX156" i="4"/>
  <c r="AX158" i="4"/>
  <c r="AX159" i="4"/>
  <c r="AX160" i="4"/>
  <c r="AX161" i="4"/>
  <c r="AX162" i="4"/>
  <c r="AX164" i="4"/>
  <c r="AX165" i="4"/>
  <c r="AX166" i="4"/>
  <c r="AX167" i="4"/>
  <c r="AX168" i="4"/>
  <c r="AX170" i="4"/>
  <c r="AX171" i="4"/>
  <c r="AX172" i="4"/>
  <c r="AX173" i="4"/>
  <c r="AX174" i="4"/>
  <c r="AX176" i="4"/>
  <c r="AX177" i="4"/>
  <c r="AX178" i="4"/>
  <c r="AX179" i="4"/>
  <c r="AX180" i="4"/>
  <c r="AX182" i="4"/>
  <c r="AX183" i="4"/>
  <c r="AX184" i="4"/>
  <c r="AX185" i="4"/>
  <c r="AX186" i="4"/>
  <c r="AX188" i="4"/>
  <c r="AX189" i="4"/>
  <c r="AX190" i="4"/>
  <c r="AX191" i="4"/>
  <c r="AX192" i="4"/>
  <c r="AX194" i="4"/>
  <c r="AX195" i="4"/>
  <c r="AX196" i="4"/>
  <c r="AX197" i="4"/>
  <c r="AX198" i="4"/>
  <c r="AX200" i="4"/>
  <c r="AX201" i="4"/>
  <c r="AX202" i="4"/>
  <c r="AX203" i="4"/>
  <c r="AX204" i="4"/>
  <c r="AX206" i="4"/>
  <c r="AX207" i="4"/>
  <c r="AX208" i="4"/>
  <c r="AX209" i="4"/>
  <c r="AX210" i="4"/>
  <c r="AX212" i="4"/>
  <c r="AX213" i="4"/>
  <c r="AX214" i="4"/>
  <c r="AX215" i="4"/>
  <c r="AX216" i="4"/>
  <c r="AX218" i="4"/>
  <c r="AX219" i="4"/>
  <c r="AX220" i="4"/>
  <c r="AX221" i="4"/>
  <c r="AX222" i="4"/>
  <c r="AX224" i="4"/>
  <c r="AX225" i="4"/>
  <c r="AX226" i="4"/>
  <c r="AX227" i="4"/>
  <c r="AX228" i="4"/>
  <c r="AX230" i="4"/>
  <c r="AX231" i="4"/>
  <c r="AX232" i="4"/>
  <c r="AX233" i="4"/>
  <c r="AX234" i="4"/>
  <c r="AX236" i="4"/>
  <c r="AX237" i="4"/>
  <c r="AX238" i="4"/>
  <c r="AX239" i="4"/>
  <c r="AX240" i="4"/>
  <c r="AX242" i="4"/>
  <c r="AX243" i="4"/>
  <c r="AX244" i="4"/>
  <c r="AX245" i="4"/>
  <c r="AX246" i="4"/>
  <c r="AX248" i="4"/>
  <c r="AX249" i="4"/>
  <c r="AX250" i="4"/>
  <c r="AX251" i="4"/>
  <c r="AX252" i="4"/>
  <c r="AX254" i="4"/>
  <c r="AX255" i="4"/>
  <c r="AY4" i="4"/>
  <c r="AY5" i="4"/>
  <c r="AY6" i="4"/>
  <c r="AY8" i="4"/>
  <c r="AY9" i="4"/>
  <c r="AY10" i="4"/>
  <c r="AY11" i="4"/>
  <c r="AY12" i="4"/>
  <c r="AY14" i="4"/>
  <c r="AY15" i="4"/>
  <c r="AY16" i="4"/>
  <c r="AY17" i="4"/>
  <c r="AY18" i="4"/>
  <c r="AY20" i="4"/>
  <c r="AY21" i="4"/>
  <c r="AY22" i="4"/>
  <c r="AY23" i="4"/>
  <c r="AY24" i="4"/>
  <c r="AY26" i="4"/>
  <c r="AY27" i="4"/>
  <c r="AY28" i="4"/>
  <c r="AY29" i="4"/>
  <c r="AY30" i="4"/>
  <c r="AY32" i="4"/>
  <c r="AY33" i="4"/>
  <c r="AY34" i="4"/>
  <c r="AY35" i="4"/>
  <c r="AY36" i="4"/>
  <c r="AY38" i="4"/>
  <c r="AY39" i="4"/>
  <c r="AY40" i="4"/>
  <c r="AY41" i="4"/>
  <c r="AY42" i="4"/>
  <c r="AY44" i="4"/>
  <c r="AY45" i="4"/>
  <c r="AY46" i="4"/>
  <c r="AY47" i="4"/>
  <c r="AY48" i="4"/>
  <c r="AY50" i="4"/>
  <c r="AY51" i="4"/>
  <c r="AY52" i="4"/>
  <c r="AY53" i="4"/>
  <c r="AY54" i="4"/>
  <c r="AY56" i="4"/>
  <c r="AY57" i="4"/>
  <c r="AY58" i="4"/>
  <c r="AY59" i="4"/>
  <c r="AY60" i="4"/>
  <c r="AY62" i="4"/>
  <c r="AY63" i="4"/>
  <c r="AY64" i="4"/>
  <c r="AY65" i="4"/>
  <c r="AY66" i="4"/>
  <c r="AY68" i="4"/>
  <c r="AY69" i="4"/>
  <c r="AY70" i="4"/>
  <c r="AY71" i="4"/>
  <c r="AY72" i="4"/>
  <c r="AY74" i="4"/>
  <c r="AY75" i="4"/>
  <c r="AY76" i="4"/>
  <c r="AY77" i="4"/>
  <c r="AY78" i="4"/>
  <c r="AY80" i="4"/>
  <c r="AY81" i="4"/>
  <c r="AY82" i="4"/>
  <c r="AY83" i="4"/>
  <c r="AY84" i="4"/>
  <c r="AY86" i="4"/>
  <c r="AY87" i="4"/>
  <c r="AY88" i="4"/>
  <c r="AY89" i="4"/>
  <c r="AY90" i="4"/>
  <c r="AY92" i="4"/>
  <c r="AY93" i="4"/>
  <c r="AY94" i="4"/>
  <c r="AY95" i="4"/>
  <c r="AY96" i="4"/>
  <c r="AY98" i="4"/>
  <c r="AY99" i="4"/>
  <c r="AY100" i="4"/>
  <c r="AY101" i="4"/>
  <c r="AY102" i="4"/>
  <c r="AY104" i="4"/>
  <c r="AY105" i="4"/>
  <c r="AY106" i="4"/>
  <c r="AY107" i="4"/>
  <c r="AY108" i="4"/>
  <c r="AY110" i="4"/>
  <c r="AY111" i="4"/>
  <c r="AY112" i="4"/>
  <c r="AY113" i="4"/>
  <c r="AY114" i="4"/>
  <c r="AY116" i="4"/>
  <c r="AY117" i="4"/>
  <c r="AY118" i="4"/>
  <c r="AY119" i="4"/>
  <c r="AY120" i="4"/>
  <c r="AY122" i="4"/>
  <c r="AY123" i="4"/>
  <c r="AY124" i="4"/>
  <c r="AY125" i="4"/>
  <c r="AY126" i="4"/>
  <c r="AY128" i="4"/>
  <c r="AY129" i="4"/>
  <c r="AY130" i="4"/>
  <c r="AY131" i="4"/>
  <c r="AY132" i="4"/>
  <c r="AY134" i="4"/>
  <c r="AY135" i="4"/>
  <c r="AY136" i="4"/>
  <c r="AY137" i="4"/>
  <c r="AY138" i="4"/>
  <c r="AY140" i="4"/>
  <c r="AY141" i="4"/>
  <c r="AY142" i="4"/>
  <c r="AY143" i="4"/>
  <c r="AY144" i="4"/>
  <c r="AY146" i="4"/>
  <c r="AY147" i="4"/>
  <c r="AY148" i="4"/>
  <c r="AY149" i="4"/>
  <c r="AY150" i="4"/>
  <c r="AY152" i="4"/>
  <c r="AY153" i="4"/>
  <c r="AY154" i="4"/>
  <c r="AY155" i="4"/>
  <c r="AY156" i="4"/>
  <c r="AY158" i="4"/>
  <c r="AY159" i="4"/>
  <c r="AY160" i="4"/>
  <c r="AY161" i="4"/>
  <c r="AY162" i="4"/>
  <c r="AY164" i="4"/>
  <c r="AY165" i="4"/>
  <c r="AY166" i="4"/>
  <c r="AY167" i="4"/>
  <c r="AY168" i="4"/>
  <c r="AY170" i="4"/>
  <c r="AY171" i="4"/>
  <c r="AY172" i="4"/>
  <c r="AY173" i="4"/>
  <c r="AY174" i="4"/>
  <c r="AY176" i="4"/>
  <c r="AY177" i="4"/>
  <c r="AY178" i="4"/>
  <c r="AY179" i="4"/>
  <c r="AY180" i="4"/>
  <c r="AY182" i="4"/>
  <c r="AY183" i="4"/>
  <c r="AY184" i="4"/>
  <c r="AY185" i="4"/>
  <c r="AY186" i="4"/>
  <c r="AY188" i="4"/>
  <c r="AY189" i="4"/>
  <c r="AY190" i="4"/>
  <c r="AY191" i="4"/>
  <c r="AY192" i="4"/>
  <c r="AY194" i="4"/>
  <c r="AY195" i="4"/>
  <c r="AY196" i="4"/>
  <c r="AY197" i="4"/>
  <c r="AY198" i="4"/>
  <c r="AY200" i="4"/>
  <c r="AY201" i="4"/>
  <c r="AY202" i="4"/>
  <c r="AY203" i="4"/>
  <c r="AY204" i="4"/>
  <c r="AY206" i="4"/>
  <c r="AY207" i="4"/>
  <c r="AY208" i="4"/>
  <c r="AY209" i="4"/>
  <c r="AY210" i="4"/>
  <c r="AY212" i="4"/>
  <c r="AY213" i="4"/>
  <c r="AY214" i="4"/>
  <c r="AY215" i="4"/>
  <c r="AY216" i="4"/>
  <c r="AY218" i="4"/>
  <c r="AY219" i="4"/>
  <c r="AY220" i="4"/>
  <c r="AY221" i="4"/>
  <c r="AY222" i="4"/>
  <c r="AY224" i="4"/>
  <c r="AY225" i="4"/>
  <c r="AY226" i="4"/>
  <c r="AY227" i="4"/>
  <c r="AY228" i="4"/>
  <c r="AY230" i="4"/>
  <c r="AY231" i="4"/>
  <c r="AY232" i="4"/>
  <c r="AY233" i="4"/>
  <c r="AY234" i="4"/>
  <c r="AY236" i="4"/>
  <c r="AY237" i="4"/>
  <c r="AY238" i="4"/>
  <c r="AY239" i="4"/>
  <c r="AY240" i="4"/>
  <c r="AY242" i="4"/>
  <c r="AY243" i="4"/>
  <c r="AY244" i="4"/>
  <c r="AY245" i="4"/>
  <c r="AY246" i="4"/>
  <c r="AY248" i="4"/>
  <c r="AY249" i="4"/>
  <c r="AY250" i="4"/>
  <c r="AY251" i="4"/>
  <c r="AY252" i="4"/>
  <c r="AY254" i="4"/>
  <c r="AY255" i="4"/>
  <c r="BG4" i="4"/>
  <c r="BG5" i="4"/>
  <c r="BG6" i="4"/>
  <c r="BG7" i="4"/>
  <c r="BG8" i="4"/>
  <c r="BG9" i="4"/>
  <c r="BG10" i="4"/>
  <c r="BG11" i="4"/>
  <c r="BG12" i="4"/>
  <c r="BG13" i="4"/>
  <c r="BG14" i="4"/>
  <c r="BG15" i="4"/>
  <c r="BG16" i="4"/>
  <c r="BG17" i="4"/>
  <c r="BG18" i="4"/>
  <c r="BG19" i="4"/>
  <c r="BG20" i="4"/>
  <c r="BG21" i="4"/>
  <c r="BG22" i="4"/>
  <c r="BG23" i="4"/>
  <c r="BG24" i="4"/>
  <c r="BG25" i="4"/>
  <c r="BG26" i="4"/>
  <c r="BG27" i="4"/>
  <c r="BG28" i="4"/>
  <c r="BG29" i="4"/>
  <c r="BG30" i="4"/>
  <c r="BG31" i="4"/>
  <c r="BG32" i="4"/>
  <c r="BG33" i="4"/>
  <c r="BG34" i="4"/>
  <c r="BG35" i="4"/>
  <c r="BG36" i="4"/>
  <c r="BG37" i="4"/>
  <c r="BG38" i="4"/>
  <c r="BG39" i="4"/>
  <c r="BG40" i="4"/>
  <c r="BG41" i="4"/>
  <c r="BG42" i="4"/>
  <c r="BG43" i="4"/>
  <c r="BG44" i="4"/>
  <c r="BG45" i="4"/>
  <c r="BG46" i="4"/>
  <c r="BG47" i="4"/>
  <c r="BG48" i="4"/>
  <c r="BG49" i="4"/>
  <c r="BG50" i="4"/>
  <c r="BG51" i="4"/>
  <c r="BG52" i="4"/>
  <c r="BG53" i="4"/>
  <c r="BG54" i="4"/>
  <c r="BG55" i="4"/>
  <c r="BG56" i="4"/>
  <c r="BG57" i="4"/>
  <c r="BG58" i="4"/>
  <c r="BG59" i="4"/>
  <c r="BG60" i="4"/>
  <c r="BG61" i="4"/>
  <c r="BG62" i="4"/>
  <c r="BG63" i="4"/>
  <c r="BG64" i="4"/>
  <c r="BG65" i="4"/>
  <c r="BG66" i="4"/>
  <c r="BG67" i="4"/>
  <c r="BG68" i="4"/>
  <c r="BG69" i="4"/>
  <c r="BG70" i="4"/>
  <c r="BG71" i="4"/>
  <c r="BG72" i="4"/>
  <c r="BG73" i="4"/>
  <c r="BG74" i="4"/>
  <c r="BG75" i="4"/>
  <c r="BG76" i="4"/>
  <c r="BG77" i="4"/>
  <c r="BG78" i="4"/>
  <c r="BG79" i="4"/>
  <c r="BG80" i="4"/>
  <c r="BG81" i="4"/>
  <c r="BG82" i="4"/>
  <c r="BG83" i="4"/>
  <c r="BG84" i="4"/>
  <c r="BG85" i="4"/>
  <c r="BG86" i="4"/>
  <c r="BG87" i="4"/>
  <c r="BG88" i="4"/>
  <c r="BG89" i="4"/>
  <c r="BG90" i="4"/>
  <c r="BG91" i="4"/>
  <c r="BG92" i="4"/>
  <c r="BG93" i="4"/>
  <c r="BG94" i="4"/>
  <c r="BG95" i="4"/>
  <c r="BG96" i="4"/>
  <c r="BG97" i="4"/>
  <c r="BG98" i="4"/>
  <c r="BG99" i="4"/>
  <c r="BG100" i="4"/>
  <c r="BG101" i="4"/>
  <c r="BG102" i="4"/>
  <c r="BG103" i="4"/>
  <c r="BG104" i="4"/>
  <c r="BG105" i="4"/>
  <c r="BG106" i="4"/>
  <c r="BG107" i="4"/>
  <c r="BG108" i="4"/>
  <c r="BG109" i="4"/>
  <c r="BG110" i="4"/>
  <c r="BG111" i="4"/>
  <c r="BG112" i="4"/>
  <c r="BG113" i="4"/>
  <c r="BG114" i="4"/>
  <c r="BG115" i="4"/>
  <c r="BG116" i="4"/>
  <c r="BG117" i="4"/>
  <c r="BG118" i="4"/>
  <c r="BG119" i="4"/>
  <c r="BG120" i="4"/>
  <c r="BG121" i="4"/>
  <c r="BG122" i="4"/>
  <c r="BG123" i="4"/>
  <c r="BG124" i="4"/>
  <c r="BG125" i="4"/>
  <c r="BG126" i="4"/>
  <c r="BG127" i="4"/>
  <c r="BG128" i="4"/>
  <c r="BG129" i="4"/>
  <c r="BG130" i="4"/>
  <c r="BG131" i="4"/>
  <c r="BG132" i="4"/>
  <c r="BG133" i="4"/>
  <c r="BG134" i="4"/>
  <c r="BG135" i="4"/>
  <c r="BG136" i="4"/>
  <c r="BG137" i="4"/>
  <c r="BG138" i="4"/>
  <c r="BG139" i="4"/>
  <c r="BG140" i="4"/>
  <c r="BG141" i="4"/>
  <c r="BG142" i="4"/>
  <c r="BG143" i="4"/>
  <c r="BG144" i="4"/>
  <c r="BG145" i="4"/>
  <c r="BG146" i="4"/>
  <c r="BG147" i="4"/>
  <c r="BG148" i="4"/>
  <c r="BG149" i="4"/>
  <c r="BG150" i="4"/>
  <c r="BG151" i="4"/>
  <c r="BG152" i="4"/>
  <c r="BG153" i="4"/>
  <c r="BG154" i="4"/>
  <c r="BG155" i="4"/>
  <c r="BG156" i="4"/>
  <c r="BG157" i="4"/>
  <c r="BG158" i="4"/>
  <c r="BG159" i="4"/>
  <c r="BG160" i="4"/>
  <c r="BG161" i="4"/>
  <c r="BG162" i="4"/>
  <c r="BG163" i="4"/>
  <c r="BG164" i="4"/>
  <c r="BG165" i="4"/>
  <c r="BG166" i="4"/>
  <c r="BG167" i="4"/>
  <c r="BG168" i="4"/>
  <c r="BG169" i="4"/>
  <c r="BG170" i="4"/>
  <c r="BG171" i="4"/>
  <c r="BG172" i="4"/>
  <c r="BG173" i="4"/>
  <c r="BG174" i="4"/>
  <c r="BG175" i="4"/>
  <c r="BG176" i="4"/>
  <c r="BG177" i="4"/>
  <c r="BG178" i="4"/>
  <c r="BG179" i="4"/>
  <c r="BG180" i="4"/>
  <c r="BG181" i="4"/>
  <c r="BG182" i="4"/>
  <c r="BG183" i="4"/>
  <c r="BG184" i="4"/>
  <c r="BG185" i="4"/>
  <c r="BG186" i="4"/>
  <c r="BG187" i="4"/>
  <c r="BG188" i="4"/>
  <c r="BG189" i="4"/>
  <c r="BG190" i="4"/>
  <c r="BG191" i="4"/>
  <c r="BG192" i="4"/>
  <c r="BG193" i="4"/>
  <c r="BG194" i="4"/>
  <c r="BG195" i="4"/>
  <c r="BG196" i="4"/>
  <c r="BG197" i="4"/>
  <c r="BG198" i="4"/>
  <c r="BG199" i="4"/>
  <c r="BG200" i="4"/>
  <c r="BG201" i="4"/>
  <c r="BG202" i="4"/>
  <c r="BG203" i="4"/>
  <c r="BG204" i="4"/>
  <c r="BG205" i="4"/>
  <c r="BG206" i="4"/>
  <c r="BG207" i="4"/>
  <c r="BG208" i="4"/>
  <c r="BG209" i="4"/>
  <c r="BG210" i="4"/>
  <c r="BG211" i="4"/>
  <c r="BG212" i="4"/>
  <c r="BG213" i="4"/>
  <c r="BG214" i="4"/>
  <c r="BG215" i="4"/>
  <c r="BG216" i="4"/>
  <c r="BG217" i="4"/>
  <c r="BG218" i="4"/>
  <c r="BG219" i="4"/>
  <c r="BG220" i="4"/>
  <c r="BG221" i="4"/>
  <c r="BG222" i="4"/>
  <c r="BG223" i="4"/>
  <c r="BG224" i="4"/>
  <c r="BG225" i="4"/>
  <c r="BG226" i="4"/>
  <c r="BG227" i="4"/>
  <c r="BG228" i="4"/>
  <c r="BG229" i="4"/>
  <c r="BG230" i="4"/>
  <c r="BG231" i="4"/>
  <c r="BG232" i="4"/>
  <c r="BG233" i="4"/>
  <c r="BG234" i="4"/>
  <c r="BG235" i="4"/>
  <c r="BG236" i="4"/>
  <c r="BG237" i="4"/>
  <c r="BG238" i="4"/>
  <c r="BG239" i="4"/>
  <c r="BG240" i="4"/>
  <c r="BG241" i="4"/>
  <c r="BG242" i="4"/>
  <c r="BG243" i="4"/>
  <c r="BG244" i="4"/>
  <c r="BG245" i="4"/>
  <c r="BG246" i="4"/>
  <c r="BG247" i="4"/>
  <c r="BG248" i="4"/>
  <c r="BG249" i="4"/>
  <c r="BG250" i="4"/>
  <c r="BG251" i="4"/>
  <c r="BG252" i="4"/>
  <c r="BG253" i="4"/>
  <c r="BG254" i="4"/>
  <c r="BG255" i="4"/>
  <c r="BH4" i="4"/>
  <c r="BH5" i="4"/>
  <c r="BH6" i="4"/>
  <c r="BH7" i="4"/>
  <c r="BH8" i="4"/>
  <c r="BH9" i="4"/>
  <c r="BH10" i="4"/>
  <c r="BH11" i="4"/>
  <c r="BH12" i="4"/>
  <c r="BH13" i="4"/>
  <c r="BH14" i="4"/>
  <c r="BH15" i="4"/>
  <c r="BH16" i="4"/>
  <c r="BH17" i="4"/>
  <c r="BH18" i="4"/>
  <c r="BH19" i="4"/>
  <c r="BH20" i="4"/>
  <c r="BH21" i="4"/>
  <c r="BH22" i="4"/>
  <c r="BH23" i="4"/>
  <c r="BH24" i="4"/>
  <c r="BH25" i="4"/>
  <c r="BH26" i="4"/>
  <c r="BH27" i="4"/>
  <c r="BH28" i="4"/>
  <c r="BH29" i="4"/>
  <c r="BH30" i="4"/>
  <c r="BH31" i="4"/>
  <c r="BH32" i="4"/>
  <c r="BH33" i="4"/>
  <c r="BH34" i="4"/>
  <c r="BH35" i="4"/>
  <c r="BH36" i="4"/>
  <c r="BH37" i="4"/>
  <c r="BH38" i="4"/>
  <c r="BH39" i="4"/>
  <c r="BH40" i="4"/>
  <c r="BH41" i="4"/>
  <c r="BH42" i="4"/>
  <c r="BH43" i="4"/>
  <c r="BH44" i="4"/>
  <c r="BH45" i="4"/>
  <c r="BH46" i="4"/>
  <c r="BH47" i="4"/>
  <c r="BH48" i="4"/>
  <c r="BH49" i="4"/>
  <c r="BH50" i="4"/>
  <c r="BH51" i="4"/>
  <c r="BH52" i="4"/>
  <c r="BH53" i="4"/>
  <c r="BH54" i="4"/>
  <c r="BH55" i="4"/>
  <c r="BH56" i="4"/>
  <c r="BH57" i="4"/>
  <c r="BH58" i="4"/>
  <c r="BH59" i="4"/>
  <c r="BH60" i="4"/>
  <c r="BH61" i="4"/>
  <c r="BH62" i="4"/>
  <c r="BH63" i="4"/>
  <c r="BH64" i="4"/>
  <c r="BH65" i="4"/>
  <c r="BH66" i="4"/>
  <c r="BH67" i="4"/>
  <c r="BH68" i="4"/>
  <c r="BH69" i="4"/>
  <c r="BH70" i="4"/>
  <c r="BH71" i="4"/>
  <c r="BH72" i="4"/>
  <c r="BH73" i="4"/>
  <c r="BH74" i="4"/>
  <c r="BH75" i="4"/>
  <c r="BH76" i="4"/>
  <c r="BH77" i="4"/>
  <c r="BH78" i="4"/>
  <c r="BH79" i="4"/>
  <c r="BH80" i="4"/>
  <c r="BH81" i="4"/>
  <c r="BH82" i="4"/>
  <c r="BH83" i="4"/>
  <c r="BH84" i="4"/>
  <c r="BH85" i="4"/>
  <c r="BH86" i="4"/>
  <c r="BH87" i="4"/>
  <c r="BH88" i="4"/>
  <c r="BH89" i="4"/>
  <c r="BH90" i="4"/>
  <c r="BH91" i="4"/>
  <c r="BH92" i="4"/>
  <c r="BH93" i="4"/>
  <c r="BH94" i="4"/>
  <c r="BH95" i="4"/>
  <c r="BH96" i="4"/>
  <c r="BH97" i="4"/>
  <c r="BH98" i="4"/>
  <c r="BH99" i="4"/>
  <c r="BH100" i="4"/>
  <c r="BH101" i="4"/>
  <c r="BH102" i="4"/>
  <c r="BH103" i="4"/>
  <c r="BH104" i="4"/>
  <c r="BH105" i="4"/>
  <c r="BH106" i="4"/>
  <c r="BH107" i="4"/>
  <c r="BH108" i="4"/>
  <c r="BH109" i="4"/>
  <c r="BH110" i="4"/>
  <c r="BH111" i="4"/>
  <c r="BH112" i="4"/>
  <c r="BH113" i="4"/>
  <c r="BH114" i="4"/>
  <c r="BH115" i="4"/>
  <c r="BH116" i="4"/>
  <c r="BH117" i="4"/>
  <c r="BH118" i="4"/>
  <c r="BH119" i="4"/>
  <c r="BH120" i="4"/>
  <c r="BH121" i="4"/>
  <c r="BH122" i="4"/>
  <c r="BH123" i="4"/>
  <c r="BH124" i="4"/>
  <c r="BH125" i="4"/>
  <c r="BH126" i="4"/>
  <c r="BH127" i="4"/>
  <c r="BH128" i="4"/>
  <c r="BH129" i="4"/>
  <c r="BH130" i="4"/>
  <c r="BH131" i="4"/>
  <c r="BH132" i="4"/>
  <c r="BH133" i="4"/>
  <c r="BH134" i="4"/>
  <c r="BH135" i="4"/>
  <c r="BH136" i="4"/>
  <c r="BH137" i="4"/>
  <c r="BH138" i="4"/>
  <c r="BH139" i="4"/>
  <c r="BH140" i="4"/>
  <c r="BH141" i="4"/>
  <c r="BH142" i="4"/>
  <c r="BH143" i="4"/>
  <c r="BH144" i="4"/>
  <c r="BH145" i="4"/>
  <c r="BH146" i="4"/>
  <c r="BH147" i="4"/>
  <c r="BH148" i="4"/>
  <c r="BH149" i="4"/>
  <c r="BH150" i="4"/>
  <c r="BH151" i="4"/>
  <c r="BH152" i="4"/>
  <c r="BH153" i="4"/>
  <c r="BH154" i="4"/>
  <c r="BH155" i="4"/>
  <c r="BH156" i="4"/>
  <c r="BH157" i="4"/>
  <c r="BH158" i="4"/>
  <c r="BH159" i="4"/>
  <c r="BH160" i="4"/>
  <c r="BH161" i="4"/>
  <c r="BH162" i="4"/>
  <c r="BH163" i="4"/>
  <c r="BH164" i="4"/>
  <c r="BH165" i="4"/>
  <c r="BH166" i="4"/>
  <c r="BH167" i="4"/>
  <c r="BH168" i="4"/>
  <c r="BH169" i="4"/>
  <c r="BH170" i="4"/>
  <c r="BH171" i="4"/>
  <c r="BH172" i="4"/>
  <c r="BH173" i="4"/>
  <c r="BH174" i="4"/>
  <c r="BH175" i="4"/>
  <c r="BH176" i="4"/>
  <c r="BH177" i="4"/>
  <c r="BH178" i="4"/>
  <c r="BH179" i="4"/>
  <c r="BH180" i="4"/>
  <c r="BH181" i="4"/>
  <c r="BH182" i="4"/>
  <c r="BH183" i="4"/>
  <c r="BH184" i="4"/>
  <c r="BH185" i="4"/>
  <c r="BH186" i="4"/>
  <c r="BH187" i="4"/>
  <c r="BH188" i="4"/>
  <c r="BH189" i="4"/>
  <c r="BH190" i="4"/>
  <c r="BH191" i="4"/>
  <c r="BH192" i="4"/>
  <c r="BH193" i="4"/>
  <c r="BH194" i="4"/>
  <c r="BH195" i="4"/>
  <c r="BH196" i="4"/>
  <c r="BH197" i="4"/>
  <c r="BH198" i="4"/>
  <c r="BH199" i="4"/>
  <c r="BH200" i="4"/>
  <c r="BH201" i="4"/>
  <c r="BH202" i="4"/>
  <c r="BH203" i="4"/>
  <c r="BH204" i="4"/>
  <c r="BH205" i="4"/>
  <c r="BH206" i="4"/>
  <c r="BH207" i="4"/>
  <c r="BH208" i="4"/>
  <c r="BH209" i="4"/>
  <c r="BH210" i="4"/>
  <c r="BH211" i="4"/>
  <c r="BH212" i="4"/>
  <c r="BH213" i="4"/>
  <c r="BH214" i="4"/>
  <c r="BH215" i="4"/>
  <c r="BH216" i="4"/>
  <c r="BH217" i="4"/>
  <c r="BH218" i="4"/>
  <c r="BH219" i="4"/>
  <c r="BH220" i="4"/>
  <c r="BH221" i="4"/>
  <c r="BH222" i="4"/>
  <c r="BH223" i="4"/>
  <c r="BH224" i="4"/>
  <c r="BH225" i="4"/>
  <c r="BH226" i="4"/>
  <c r="BH227" i="4"/>
  <c r="BH228" i="4"/>
  <c r="BH229" i="4"/>
  <c r="BH230" i="4"/>
  <c r="BH231" i="4"/>
  <c r="BH232" i="4"/>
  <c r="BH233" i="4"/>
  <c r="BH234" i="4"/>
  <c r="BH235" i="4"/>
  <c r="BH236" i="4"/>
  <c r="BH237" i="4"/>
  <c r="BH238" i="4"/>
  <c r="BH239" i="4"/>
  <c r="BH240" i="4"/>
  <c r="BH241" i="4"/>
  <c r="BH242" i="4"/>
  <c r="BH243" i="4"/>
  <c r="BH244" i="4"/>
  <c r="BH245" i="4"/>
  <c r="BH246" i="4"/>
  <c r="BH247" i="4"/>
  <c r="BH248" i="4"/>
  <c r="BH249" i="4"/>
  <c r="BH250" i="4"/>
  <c r="BH251" i="4"/>
  <c r="BH252" i="4"/>
  <c r="BH253" i="4"/>
  <c r="BH254" i="4"/>
  <c r="BH255" i="4"/>
  <c r="BI4" i="4"/>
  <c r="BI5" i="4"/>
  <c r="BI6" i="4"/>
  <c r="BI7" i="4"/>
  <c r="BI8" i="4"/>
  <c r="BI9" i="4"/>
  <c r="BI10" i="4"/>
  <c r="BI11" i="4"/>
  <c r="BI12" i="4"/>
  <c r="BI13" i="4"/>
  <c r="BI14" i="4"/>
  <c r="BI15" i="4"/>
  <c r="BI16" i="4"/>
  <c r="BI17" i="4"/>
  <c r="BI18" i="4"/>
  <c r="BI19" i="4"/>
  <c r="BI20" i="4"/>
  <c r="BI21" i="4"/>
  <c r="BI22" i="4"/>
  <c r="BI23" i="4"/>
  <c r="BI24" i="4"/>
  <c r="BI25" i="4"/>
  <c r="BI26" i="4"/>
  <c r="BI27" i="4"/>
  <c r="BI28" i="4"/>
  <c r="BI29" i="4"/>
  <c r="BI30" i="4"/>
  <c r="BI31" i="4"/>
  <c r="BI32" i="4"/>
  <c r="BI33" i="4"/>
  <c r="BI34" i="4"/>
  <c r="BI35" i="4"/>
  <c r="BI36" i="4"/>
  <c r="BI37" i="4"/>
  <c r="BI38" i="4"/>
  <c r="BI39" i="4"/>
  <c r="BI40" i="4"/>
  <c r="BI41" i="4"/>
  <c r="BI42" i="4"/>
  <c r="BI43" i="4"/>
  <c r="BI44" i="4"/>
  <c r="BI45" i="4"/>
  <c r="BI46" i="4"/>
  <c r="BI47" i="4"/>
  <c r="BI48" i="4"/>
  <c r="BI49" i="4"/>
  <c r="BI50" i="4"/>
  <c r="BI51" i="4"/>
  <c r="BI52" i="4"/>
  <c r="BI53" i="4"/>
  <c r="BI54" i="4"/>
  <c r="BI55" i="4"/>
  <c r="BI56" i="4"/>
  <c r="BI57" i="4"/>
  <c r="BI58" i="4"/>
  <c r="BI59" i="4"/>
  <c r="BI60" i="4"/>
  <c r="BI61" i="4"/>
  <c r="BI62" i="4"/>
  <c r="BI63" i="4"/>
  <c r="BI64" i="4"/>
  <c r="BI65" i="4"/>
  <c r="BI66" i="4"/>
  <c r="BI67" i="4"/>
  <c r="BI68" i="4"/>
  <c r="BI69" i="4"/>
  <c r="BI70" i="4"/>
  <c r="BI71" i="4"/>
  <c r="BI72" i="4"/>
  <c r="BI73" i="4"/>
  <c r="BI74" i="4"/>
  <c r="BI75" i="4"/>
  <c r="BI76" i="4"/>
  <c r="BI77" i="4"/>
  <c r="BI78" i="4"/>
  <c r="BI79" i="4"/>
  <c r="BI80" i="4"/>
  <c r="BI81" i="4"/>
  <c r="BI82" i="4"/>
  <c r="BI83" i="4"/>
  <c r="BI84" i="4"/>
  <c r="BI85" i="4"/>
  <c r="BI86" i="4"/>
  <c r="BI87" i="4"/>
  <c r="BI88" i="4"/>
  <c r="BI89" i="4"/>
  <c r="BI90" i="4"/>
  <c r="BI91" i="4"/>
  <c r="BI92" i="4"/>
  <c r="BI93" i="4"/>
  <c r="BI94" i="4"/>
  <c r="BI95" i="4"/>
  <c r="BI96" i="4"/>
  <c r="BI97" i="4"/>
  <c r="BI98" i="4"/>
  <c r="BI99" i="4"/>
  <c r="BI100" i="4"/>
  <c r="BI101" i="4"/>
  <c r="BI102" i="4"/>
  <c r="BI103" i="4"/>
  <c r="BI104" i="4"/>
  <c r="BI105" i="4"/>
  <c r="BI106" i="4"/>
  <c r="BI107" i="4"/>
  <c r="BI108" i="4"/>
  <c r="BI109" i="4"/>
  <c r="BI110" i="4"/>
  <c r="BI111" i="4"/>
  <c r="BI112" i="4"/>
  <c r="BI113" i="4"/>
  <c r="BI114" i="4"/>
  <c r="BI115" i="4"/>
  <c r="BI116" i="4"/>
  <c r="BI117" i="4"/>
  <c r="BI118" i="4"/>
  <c r="BI119" i="4"/>
  <c r="BI120" i="4"/>
  <c r="BI121" i="4"/>
  <c r="BI122" i="4"/>
  <c r="BI123" i="4"/>
  <c r="BI124" i="4"/>
  <c r="BI125" i="4"/>
  <c r="BI126" i="4"/>
  <c r="BI127" i="4"/>
  <c r="BI128" i="4"/>
  <c r="BI129" i="4"/>
  <c r="BI130" i="4"/>
  <c r="BI131" i="4"/>
  <c r="BI132" i="4"/>
  <c r="BI133" i="4"/>
  <c r="BI134" i="4"/>
  <c r="BI135" i="4"/>
  <c r="BI136" i="4"/>
  <c r="BI137" i="4"/>
  <c r="BI138" i="4"/>
  <c r="BI139" i="4"/>
  <c r="BI140" i="4"/>
  <c r="BI141" i="4"/>
  <c r="BI142" i="4"/>
  <c r="BI143" i="4"/>
  <c r="BI144" i="4"/>
  <c r="BI145" i="4"/>
  <c r="BI146" i="4"/>
  <c r="BI147" i="4"/>
  <c r="BI148" i="4"/>
  <c r="BI149" i="4"/>
  <c r="BI150" i="4"/>
  <c r="BI151" i="4"/>
  <c r="BI152" i="4"/>
  <c r="BI153" i="4"/>
  <c r="BI154" i="4"/>
  <c r="BI155" i="4"/>
  <c r="BI156" i="4"/>
  <c r="BI157" i="4"/>
  <c r="BI158" i="4"/>
  <c r="BI159" i="4"/>
  <c r="BI160" i="4"/>
  <c r="BI161" i="4"/>
  <c r="BI162" i="4"/>
  <c r="BI163" i="4"/>
  <c r="BI164" i="4"/>
  <c r="BI165" i="4"/>
  <c r="BI166" i="4"/>
  <c r="BI167" i="4"/>
  <c r="BI168" i="4"/>
  <c r="BI169" i="4"/>
  <c r="BI170" i="4"/>
  <c r="BI171" i="4"/>
  <c r="BI172" i="4"/>
  <c r="BI173" i="4"/>
  <c r="BI174" i="4"/>
  <c r="BI175" i="4"/>
  <c r="BI176" i="4"/>
  <c r="BI177" i="4"/>
  <c r="BI178" i="4"/>
  <c r="BI179" i="4"/>
  <c r="BI180" i="4"/>
  <c r="BI181" i="4"/>
  <c r="BI182" i="4"/>
  <c r="BI183" i="4"/>
  <c r="BI184" i="4"/>
  <c r="BI185" i="4"/>
  <c r="BI186" i="4"/>
  <c r="BI187" i="4"/>
  <c r="BI188" i="4"/>
  <c r="BI189" i="4"/>
  <c r="BI190" i="4"/>
  <c r="BI191" i="4"/>
  <c r="BI192" i="4"/>
  <c r="BI193" i="4"/>
  <c r="BI194" i="4"/>
  <c r="BI195" i="4"/>
  <c r="BI196" i="4"/>
  <c r="BI197" i="4"/>
  <c r="BI198" i="4"/>
  <c r="BI199" i="4"/>
  <c r="BI200" i="4"/>
  <c r="BI201" i="4"/>
  <c r="BI202" i="4"/>
  <c r="BI203" i="4"/>
  <c r="BI204" i="4"/>
  <c r="BI205" i="4"/>
  <c r="BI206" i="4"/>
  <c r="BI207" i="4"/>
  <c r="BI208" i="4"/>
  <c r="BI209" i="4"/>
  <c r="BI210" i="4"/>
  <c r="BI211" i="4"/>
  <c r="BI212" i="4"/>
  <c r="BI213" i="4"/>
  <c r="BI214" i="4"/>
  <c r="BI215" i="4"/>
  <c r="BI216" i="4"/>
  <c r="BI217" i="4"/>
  <c r="BI218" i="4"/>
  <c r="BI219" i="4"/>
  <c r="BI220" i="4"/>
  <c r="BI221" i="4"/>
  <c r="BI222" i="4"/>
  <c r="BI223" i="4"/>
  <c r="BI224" i="4"/>
  <c r="BI225" i="4"/>
  <c r="BI226" i="4"/>
  <c r="BI227" i="4"/>
  <c r="BI228" i="4"/>
  <c r="BI229" i="4"/>
  <c r="BI230" i="4"/>
  <c r="BI231" i="4"/>
  <c r="BI232" i="4"/>
  <c r="BI233" i="4"/>
  <c r="BI234" i="4"/>
  <c r="BI235" i="4"/>
  <c r="BI236" i="4"/>
  <c r="BI237" i="4"/>
  <c r="BI238" i="4"/>
  <c r="BI239" i="4"/>
  <c r="BI240" i="4"/>
  <c r="BI241" i="4"/>
  <c r="BI242" i="4"/>
  <c r="BI243" i="4"/>
  <c r="BI244" i="4"/>
  <c r="BI245" i="4"/>
  <c r="BI246" i="4"/>
  <c r="BI247" i="4"/>
  <c r="BI248" i="4"/>
  <c r="BI249" i="4"/>
  <c r="BI250" i="4"/>
  <c r="BI251" i="4"/>
  <c r="BI252" i="4"/>
  <c r="BI253" i="4"/>
  <c r="BI254" i="4"/>
  <c r="BI255" i="4"/>
  <c r="BJ4" i="4"/>
  <c r="BJ5" i="4"/>
  <c r="BJ6" i="4"/>
  <c r="BJ7" i="4"/>
  <c r="BJ8" i="4"/>
  <c r="BJ9" i="4"/>
  <c r="BJ10" i="4"/>
  <c r="BJ11" i="4"/>
  <c r="BJ12" i="4"/>
  <c r="BJ13" i="4"/>
  <c r="BJ14" i="4"/>
  <c r="BJ15" i="4"/>
  <c r="BJ16" i="4"/>
  <c r="BJ17" i="4"/>
  <c r="BJ18" i="4"/>
  <c r="BJ19" i="4"/>
  <c r="BJ20" i="4"/>
  <c r="BJ21" i="4"/>
  <c r="BJ22" i="4"/>
  <c r="BJ23" i="4"/>
  <c r="BJ24" i="4"/>
  <c r="BJ25" i="4"/>
  <c r="BJ26" i="4"/>
  <c r="BJ27" i="4"/>
  <c r="BJ28" i="4"/>
  <c r="BJ29" i="4"/>
  <c r="BJ30" i="4"/>
  <c r="BJ31" i="4"/>
  <c r="BJ32" i="4"/>
  <c r="BJ33" i="4"/>
  <c r="BJ34" i="4"/>
  <c r="BJ35" i="4"/>
  <c r="BJ36" i="4"/>
  <c r="BJ37" i="4"/>
  <c r="BJ38" i="4"/>
  <c r="BJ39" i="4"/>
  <c r="BJ40" i="4"/>
  <c r="BJ41" i="4"/>
  <c r="BJ42" i="4"/>
  <c r="BJ43" i="4"/>
  <c r="BJ44" i="4"/>
  <c r="BJ45" i="4"/>
  <c r="BJ46" i="4"/>
  <c r="BJ47" i="4"/>
  <c r="BJ48" i="4"/>
  <c r="BJ49" i="4"/>
  <c r="BJ50" i="4"/>
  <c r="BJ51" i="4"/>
  <c r="BJ52" i="4"/>
  <c r="BJ53" i="4"/>
  <c r="BJ54" i="4"/>
  <c r="BJ55" i="4"/>
  <c r="BJ56" i="4"/>
  <c r="BJ57" i="4"/>
  <c r="BJ58" i="4"/>
  <c r="BJ59" i="4"/>
  <c r="BJ60" i="4"/>
  <c r="BJ61" i="4"/>
  <c r="BJ62" i="4"/>
  <c r="BJ63" i="4"/>
  <c r="BJ64" i="4"/>
  <c r="BJ65" i="4"/>
  <c r="BJ66" i="4"/>
  <c r="BJ67" i="4"/>
  <c r="BJ68" i="4"/>
  <c r="BJ69" i="4"/>
  <c r="BJ70" i="4"/>
  <c r="BJ71" i="4"/>
  <c r="BJ72" i="4"/>
  <c r="BJ73" i="4"/>
  <c r="BJ74" i="4"/>
  <c r="BJ75" i="4"/>
  <c r="BJ76" i="4"/>
  <c r="BJ77" i="4"/>
  <c r="BJ78" i="4"/>
  <c r="BJ79" i="4"/>
  <c r="BJ80" i="4"/>
  <c r="BJ81" i="4"/>
  <c r="BJ82" i="4"/>
  <c r="BJ83" i="4"/>
  <c r="BJ84" i="4"/>
  <c r="BJ85" i="4"/>
  <c r="BJ86" i="4"/>
  <c r="BJ87" i="4"/>
  <c r="BJ88" i="4"/>
  <c r="BJ89" i="4"/>
  <c r="BJ90" i="4"/>
  <c r="BJ91" i="4"/>
  <c r="BJ92" i="4"/>
  <c r="BJ93" i="4"/>
  <c r="BJ94" i="4"/>
  <c r="BJ95" i="4"/>
  <c r="BJ96" i="4"/>
  <c r="BJ97" i="4"/>
  <c r="BJ98" i="4"/>
  <c r="BJ99" i="4"/>
  <c r="BJ100" i="4"/>
  <c r="BJ101" i="4"/>
  <c r="BJ102" i="4"/>
  <c r="BJ103" i="4"/>
  <c r="BJ104" i="4"/>
  <c r="BJ105" i="4"/>
  <c r="BJ106" i="4"/>
  <c r="BJ107" i="4"/>
  <c r="BJ108" i="4"/>
  <c r="BJ109" i="4"/>
  <c r="BJ110" i="4"/>
  <c r="BJ111" i="4"/>
  <c r="BJ112" i="4"/>
  <c r="BJ113" i="4"/>
  <c r="BJ114" i="4"/>
  <c r="BJ115" i="4"/>
  <c r="BJ116" i="4"/>
  <c r="BJ117" i="4"/>
  <c r="BJ118" i="4"/>
  <c r="BJ119" i="4"/>
  <c r="BJ120" i="4"/>
  <c r="BJ121" i="4"/>
  <c r="BJ122" i="4"/>
  <c r="BJ123" i="4"/>
  <c r="BJ124" i="4"/>
  <c r="BJ125" i="4"/>
  <c r="BJ126" i="4"/>
  <c r="BJ127" i="4"/>
  <c r="BJ128" i="4"/>
  <c r="BJ129" i="4"/>
  <c r="BJ130" i="4"/>
  <c r="BJ131" i="4"/>
  <c r="BJ132" i="4"/>
  <c r="BJ133" i="4"/>
  <c r="BJ134" i="4"/>
  <c r="BJ135" i="4"/>
  <c r="BJ136" i="4"/>
  <c r="BJ137" i="4"/>
  <c r="BJ138" i="4"/>
  <c r="BJ139" i="4"/>
  <c r="BJ140" i="4"/>
  <c r="BJ141" i="4"/>
  <c r="BJ142" i="4"/>
  <c r="BJ143" i="4"/>
  <c r="BJ144" i="4"/>
  <c r="BJ145" i="4"/>
  <c r="BJ146" i="4"/>
  <c r="BJ147" i="4"/>
  <c r="BJ148" i="4"/>
  <c r="BJ149" i="4"/>
  <c r="BJ150" i="4"/>
  <c r="BJ151" i="4"/>
  <c r="BJ152" i="4"/>
  <c r="BJ153" i="4"/>
  <c r="BJ154" i="4"/>
  <c r="BJ155" i="4"/>
  <c r="BJ156" i="4"/>
  <c r="BJ157" i="4"/>
  <c r="BJ158" i="4"/>
  <c r="BJ159" i="4"/>
  <c r="BJ160" i="4"/>
  <c r="BJ161" i="4"/>
  <c r="BJ162" i="4"/>
  <c r="BJ163" i="4"/>
  <c r="BJ164" i="4"/>
  <c r="BJ165" i="4"/>
  <c r="BJ166" i="4"/>
  <c r="BJ167" i="4"/>
  <c r="BJ168" i="4"/>
  <c r="BJ169" i="4"/>
  <c r="BJ170" i="4"/>
  <c r="BJ171" i="4"/>
  <c r="BJ172" i="4"/>
  <c r="BJ173" i="4"/>
  <c r="BJ174" i="4"/>
  <c r="BJ175" i="4"/>
  <c r="BJ176" i="4"/>
  <c r="BJ177" i="4"/>
  <c r="BJ178" i="4"/>
  <c r="BJ179" i="4"/>
  <c r="BJ180" i="4"/>
  <c r="BJ181" i="4"/>
  <c r="BJ182" i="4"/>
  <c r="BJ183" i="4"/>
  <c r="BJ184" i="4"/>
  <c r="BJ185" i="4"/>
  <c r="BJ186" i="4"/>
  <c r="BJ187" i="4"/>
  <c r="BJ188" i="4"/>
  <c r="BJ189" i="4"/>
  <c r="BJ190" i="4"/>
  <c r="BJ191" i="4"/>
  <c r="BJ192" i="4"/>
  <c r="BJ193" i="4"/>
  <c r="BJ194" i="4"/>
  <c r="BJ195" i="4"/>
  <c r="BJ196" i="4"/>
  <c r="BJ197" i="4"/>
  <c r="BJ198" i="4"/>
  <c r="BJ199" i="4"/>
  <c r="BJ200" i="4"/>
  <c r="BJ201" i="4"/>
  <c r="BJ202" i="4"/>
  <c r="BJ203" i="4"/>
  <c r="BJ204" i="4"/>
  <c r="BJ205" i="4"/>
  <c r="BJ206" i="4"/>
  <c r="BJ207" i="4"/>
  <c r="BJ208" i="4"/>
  <c r="BJ209" i="4"/>
  <c r="BJ210" i="4"/>
  <c r="BJ211" i="4"/>
  <c r="BJ212" i="4"/>
  <c r="BJ213" i="4"/>
  <c r="BJ214" i="4"/>
  <c r="BJ215" i="4"/>
  <c r="BJ216" i="4"/>
  <c r="BJ217" i="4"/>
  <c r="BJ218" i="4"/>
  <c r="BJ219" i="4"/>
  <c r="BJ220" i="4"/>
  <c r="BJ221" i="4"/>
  <c r="BJ222" i="4"/>
  <c r="BJ223" i="4"/>
  <c r="BJ224" i="4"/>
  <c r="BJ225" i="4"/>
  <c r="BJ226" i="4"/>
  <c r="BJ227" i="4"/>
  <c r="BJ228" i="4"/>
  <c r="BJ229" i="4"/>
  <c r="BJ230" i="4"/>
  <c r="BJ231" i="4"/>
  <c r="BJ232" i="4"/>
  <c r="BJ233" i="4"/>
  <c r="BJ234" i="4"/>
  <c r="BJ235" i="4"/>
  <c r="BJ236" i="4"/>
  <c r="BJ237" i="4"/>
  <c r="BJ238" i="4"/>
  <c r="BJ239" i="4"/>
  <c r="BJ240" i="4"/>
  <c r="BJ241" i="4"/>
  <c r="BJ242" i="4"/>
  <c r="BJ243" i="4"/>
  <c r="BJ244" i="4"/>
  <c r="BJ245" i="4"/>
  <c r="BJ246" i="4"/>
  <c r="BJ247" i="4"/>
  <c r="BJ248" i="4"/>
  <c r="BJ249" i="4"/>
  <c r="BJ250" i="4"/>
  <c r="BJ251" i="4"/>
  <c r="BJ252" i="4"/>
  <c r="BJ253" i="4"/>
  <c r="BJ254" i="4"/>
  <c r="BJ255" i="4"/>
  <c r="BK4" i="4"/>
  <c r="BK5" i="4"/>
  <c r="BK6" i="4"/>
  <c r="BK7" i="4"/>
  <c r="BK8" i="4"/>
  <c r="BK9" i="4"/>
  <c r="BK10" i="4"/>
  <c r="BK11" i="4"/>
  <c r="BK12" i="4"/>
  <c r="BK13" i="4"/>
  <c r="BK14" i="4"/>
  <c r="BK15" i="4"/>
  <c r="BK16" i="4"/>
  <c r="BK17" i="4"/>
  <c r="BK18" i="4"/>
  <c r="BK19" i="4"/>
  <c r="BK20" i="4"/>
  <c r="BK21" i="4"/>
  <c r="BK22" i="4"/>
  <c r="BK23" i="4"/>
  <c r="BK24" i="4"/>
  <c r="BK25" i="4"/>
  <c r="BK26" i="4"/>
  <c r="BK27" i="4"/>
  <c r="BK28" i="4"/>
  <c r="BK29" i="4"/>
  <c r="BK30" i="4"/>
  <c r="BK31" i="4"/>
  <c r="BK32" i="4"/>
  <c r="BK33" i="4"/>
  <c r="BK34" i="4"/>
  <c r="BK35" i="4"/>
  <c r="BK36" i="4"/>
  <c r="BK37" i="4"/>
  <c r="BK38" i="4"/>
  <c r="BK39" i="4"/>
  <c r="BK40" i="4"/>
  <c r="BK41" i="4"/>
  <c r="BK42" i="4"/>
  <c r="BK43" i="4"/>
  <c r="BK44" i="4"/>
  <c r="BK45" i="4"/>
  <c r="BK46" i="4"/>
  <c r="BK47" i="4"/>
  <c r="BK48" i="4"/>
  <c r="BK49" i="4"/>
  <c r="BK50" i="4"/>
  <c r="BK51" i="4"/>
  <c r="BK52" i="4"/>
  <c r="BK53" i="4"/>
  <c r="BK54" i="4"/>
  <c r="BK55" i="4"/>
  <c r="BK56" i="4"/>
  <c r="BK57" i="4"/>
  <c r="BK58" i="4"/>
  <c r="BK59" i="4"/>
  <c r="BK60" i="4"/>
  <c r="BK61" i="4"/>
  <c r="BK62" i="4"/>
  <c r="BK63" i="4"/>
  <c r="BK64" i="4"/>
  <c r="BK65" i="4"/>
  <c r="BK66" i="4"/>
  <c r="BK67" i="4"/>
  <c r="BK68" i="4"/>
  <c r="BK69" i="4"/>
  <c r="BK70" i="4"/>
  <c r="BK71" i="4"/>
  <c r="BK72" i="4"/>
  <c r="BK73" i="4"/>
  <c r="BK74" i="4"/>
  <c r="BK75" i="4"/>
  <c r="BK76" i="4"/>
  <c r="BK77" i="4"/>
  <c r="BK78" i="4"/>
  <c r="BK79" i="4"/>
  <c r="BK80" i="4"/>
  <c r="BK81" i="4"/>
  <c r="BK82" i="4"/>
  <c r="BK83" i="4"/>
  <c r="BK84" i="4"/>
  <c r="BK85" i="4"/>
  <c r="BK86" i="4"/>
  <c r="BK87" i="4"/>
  <c r="BK88" i="4"/>
  <c r="BK89" i="4"/>
  <c r="BK90" i="4"/>
  <c r="BK91" i="4"/>
  <c r="BK92" i="4"/>
  <c r="BK93" i="4"/>
  <c r="BK94" i="4"/>
  <c r="BK95" i="4"/>
  <c r="BK96" i="4"/>
  <c r="BK97" i="4"/>
  <c r="BK98" i="4"/>
  <c r="BK99" i="4"/>
  <c r="BK100" i="4"/>
  <c r="BK101" i="4"/>
  <c r="BK102" i="4"/>
  <c r="BK103" i="4"/>
  <c r="BK104" i="4"/>
  <c r="BK105" i="4"/>
  <c r="BK106" i="4"/>
  <c r="BK107" i="4"/>
  <c r="BK108" i="4"/>
  <c r="BK109" i="4"/>
  <c r="BK110" i="4"/>
  <c r="BK111" i="4"/>
  <c r="BK112" i="4"/>
  <c r="BK113" i="4"/>
  <c r="BK114" i="4"/>
  <c r="BK115" i="4"/>
  <c r="BK116" i="4"/>
  <c r="BK117" i="4"/>
  <c r="BK118" i="4"/>
  <c r="BK119" i="4"/>
  <c r="BK120" i="4"/>
  <c r="BK121" i="4"/>
  <c r="BK122" i="4"/>
  <c r="BK123" i="4"/>
  <c r="BK124" i="4"/>
  <c r="BK125" i="4"/>
  <c r="BK126" i="4"/>
  <c r="BK127" i="4"/>
  <c r="BK128" i="4"/>
  <c r="BK129" i="4"/>
  <c r="BK130" i="4"/>
  <c r="BK131" i="4"/>
  <c r="BK132" i="4"/>
  <c r="BK133" i="4"/>
  <c r="BK134" i="4"/>
  <c r="BK135" i="4"/>
  <c r="BK136" i="4"/>
  <c r="BK137" i="4"/>
  <c r="BK138" i="4"/>
  <c r="BK139" i="4"/>
  <c r="BK140" i="4"/>
  <c r="BK141" i="4"/>
  <c r="BK142" i="4"/>
  <c r="BK143" i="4"/>
  <c r="BK144" i="4"/>
  <c r="BK145" i="4"/>
  <c r="BK146" i="4"/>
  <c r="BK147" i="4"/>
  <c r="BK148" i="4"/>
  <c r="BK149" i="4"/>
  <c r="BK150" i="4"/>
  <c r="BK151" i="4"/>
  <c r="BK152" i="4"/>
  <c r="BK153" i="4"/>
  <c r="BK154" i="4"/>
  <c r="BK155" i="4"/>
  <c r="BK156" i="4"/>
  <c r="BK157" i="4"/>
  <c r="BK158" i="4"/>
  <c r="BK159" i="4"/>
  <c r="BK160" i="4"/>
  <c r="BK161" i="4"/>
  <c r="BK162" i="4"/>
  <c r="BK163" i="4"/>
  <c r="BK164" i="4"/>
  <c r="BK165" i="4"/>
  <c r="BK166" i="4"/>
  <c r="BK167" i="4"/>
  <c r="BK168" i="4"/>
  <c r="BK169" i="4"/>
  <c r="BK170" i="4"/>
  <c r="BK171" i="4"/>
  <c r="BK172" i="4"/>
  <c r="BK173" i="4"/>
  <c r="BK174" i="4"/>
  <c r="BK175" i="4"/>
  <c r="BK176" i="4"/>
  <c r="BK177" i="4"/>
  <c r="BK178" i="4"/>
  <c r="BK179" i="4"/>
  <c r="BK180" i="4"/>
  <c r="BK181" i="4"/>
  <c r="BK182" i="4"/>
  <c r="BK183" i="4"/>
  <c r="BK184" i="4"/>
  <c r="BK185" i="4"/>
  <c r="BK186" i="4"/>
  <c r="BK187" i="4"/>
  <c r="BK188" i="4"/>
  <c r="BK189" i="4"/>
  <c r="BK190" i="4"/>
  <c r="BK191" i="4"/>
  <c r="BK192" i="4"/>
  <c r="BK193" i="4"/>
  <c r="BK194" i="4"/>
  <c r="BK195" i="4"/>
  <c r="BK196" i="4"/>
  <c r="BK197" i="4"/>
  <c r="BK198" i="4"/>
  <c r="BK199" i="4"/>
  <c r="BK200" i="4"/>
  <c r="BK201" i="4"/>
  <c r="BK202" i="4"/>
  <c r="BK203" i="4"/>
  <c r="BK204" i="4"/>
  <c r="BK205" i="4"/>
  <c r="BK206" i="4"/>
  <c r="BK207" i="4"/>
  <c r="BK208" i="4"/>
  <c r="BK209" i="4"/>
  <c r="BK210" i="4"/>
  <c r="BK211" i="4"/>
  <c r="BK212" i="4"/>
  <c r="BK213" i="4"/>
  <c r="BK214" i="4"/>
  <c r="BK215" i="4"/>
  <c r="BK216" i="4"/>
  <c r="BK217" i="4"/>
  <c r="BK218" i="4"/>
  <c r="BK219" i="4"/>
  <c r="BK220" i="4"/>
  <c r="BK221" i="4"/>
  <c r="BK222" i="4"/>
  <c r="BK223" i="4"/>
  <c r="BK224" i="4"/>
  <c r="BK225" i="4"/>
  <c r="BK226" i="4"/>
  <c r="BK227" i="4"/>
  <c r="BK228" i="4"/>
  <c r="BK229" i="4"/>
  <c r="BK230" i="4"/>
  <c r="BK231" i="4"/>
  <c r="BK232" i="4"/>
  <c r="BK233" i="4"/>
  <c r="BK234" i="4"/>
  <c r="BK235" i="4"/>
  <c r="BK236" i="4"/>
  <c r="BK237" i="4"/>
  <c r="BK238" i="4"/>
  <c r="BK239" i="4"/>
  <c r="BK240" i="4"/>
  <c r="BK241" i="4"/>
  <c r="BK242" i="4"/>
  <c r="BK243" i="4"/>
  <c r="BK244" i="4"/>
  <c r="BK245" i="4"/>
  <c r="BK246" i="4"/>
  <c r="BK247" i="4"/>
  <c r="BK248" i="4"/>
  <c r="BK249" i="4"/>
  <c r="BK250" i="4"/>
  <c r="BK251" i="4"/>
  <c r="BK252" i="4"/>
  <c r="BK253" i="4"/>
  <c r="BK254" i="4"/>
  <c r="BK255" i="4"/>
  <c r="BL4" i="4"/>
  <c r="BL5" i="4"/>
  <c r="BL6" i="4"/>
  <c r="BL7" i="4"/>
  <c r="BL8" i="4"/>
  <c r="BL9" i="4"/>
  <c r="BL10" i="4"/>
  <c r="BL11" i="4"/>
  <c r="BL12" i="4"/>
  <c r="BL13" i="4"/>
  <c r="BL14" i="4"/>
  <c r="BL15" i="4"/>
  <c r="BL16" i="4"/>
  <c r="BL17" i="4"/>
  <c r="BL18" i="4"/>
  <c r="BL19" i="4"/>
  <c r="BL20" i="4"/>
  <c r="BL21" i="4"/>
  <c r="BL22" i="4"/>
  <c r="BL23" i="4"/>
  <c r="BL24" i="4"/>
  <c r="BL25" i="4"/>
  <c r="BL26" i="4"/>
  <c r="BL27" i="4"/>
  <c r="BL28" i="4"/>
  <c r="BL29" i="4"/>
  <c r="BL30" i="4"/>
  <c r="BL31" i="4"/>
  <c r="BL32" i="4"/>
  <c r="BL33" i="4"/>
  <c r="BL34" i="4"/>
  <c r="BL35" i="4"/>
  <c r="BL36" i="4"/>
  <c r="BL37" i="4"/>
  <c r="BL38" i="4"/>
  <c r="BL39" i="4"/>
  <c r="BL40" i="4"/>
  <c r="BL41" i="4"/>
  <c r="BL42" i="4"/>
  <c r="BL43" i="4"/>
  <c r="BL44" i="4"/>
  <c r="BL45" i="4"/>
  <c r="BL46" i="4"/>
  <c r="BL47" i="4"/>
  <c r="BL48" i="4"/>
  <c r="BL49" i="4"/>
  <c r="BL50" i="4"/>
  <c r="BL51" i="4"/>
  <c r="BL52" i="4"/>
  <c r="BL53" i="4"/>
  <c r="BL54" i="4"/>
  <c r="BL55" i="4"/>
  <c r="BL56" i="4"/>
  <c r="BL57" i="4"/>
  <c r="BL58" i="4"/>
  <c r="BL59" i="4"/>
  <c r="BL60" i="4"/>
  <c r="BL61" i="4"/>
  <c r="BL62" i="4"/>
  <c r="BL63" i="4"/>
  <c r="BL64" i="4"/>
  <c r="BL65" i="4"/>
  <c r="BL66" i="4"/>
  <c r="BL67" i="4"/>
  <c r="BL68" i="4"/>
  <c r="BL69" i="4"/>
  <c r="BL70" i="4"/>
  <c r="BL71" i="4"/>
  <c r="BL72" i="4"/>
  <c r="BL73" i="4"/>
  <c r="BL74" i="4"/>
  <c r="BL75" i="4"/>
  <c r="BL76" i="4"/>
  <c r="BL77" i="4"/>
  <c r="BL78" i="4"/>
  <c r="BL79" i="4"/>
  <c r="BL80" i="4"/>
  <c r="BL81" i="4"/>
  <c r="BL82" i="4"/>
  <c r="BL83" i="4"/>
  <c r="BL84" i="4"/>
  <c r="BL85" i="4"/>
  <c r="BL86" i="4"/>
  <c r="BL87" i="4"/>
  <c r="BL88" i="4"/>
  <c r="BL89" i="4"/>
  <c r="BL90" i="4"/>
  <c r="BL91" i="4"/>
  <c r="BL92" i="4"/>
  <c r="BL93" i="4"/>
  <c r="BL94" i="4"/>
  <c r="BL95" i="4"/>
  <c r="BL96" i="4"/>
  <c r="BL97" i="4"/>
  <c r="BL98" i="4"/>
  <c r="BL99" i="4"/>
  <c r="BL100" i="4"/>
  <c r="BL101" i="4"/>
  <c r="BL102" i="4"/>
  <c r="BL103" i="4"/>
  <c r="BL104" i="4"/>
  <c r="BL105" i="4"/>
  <c r="BL106" i="4"/>
  <c r="BL107" i="4"/>
  <c r="BL108" i="4"/>
  <c r="BL109" i="4"/>
  <c r="BL110" i="4"/>
  <c r="BL111" i="4"/>
  <c r="BL112" i="4"/>
  <c r="BL113" i="4"/>
  <c r="BL114" i="4"/>
  <c r="BL115" i="4"/>
  <c r="BL116" i="4"/>
  <c r="BL117" i="4"/>
  <c r="BL118" i="4"/>
  <c r="BL119" i="4"/>
  <c r="BL120" i="4"/>
  <c r="BL121" i="4"/>
  <c r="BL122" i="4"/>
  <c r="BL123" i="4"/>
  <c r="BL124" i="4"/>
  <c r="BL125" i="4"/>
  <c r="BL126" i="4"/>
  <c r="BL127" i="4"/>
  <c r="BL128" i="4"/>
  <c r="BL129" i="4"/>
  <c r="BL130" i="4"/>
  <c r="BL131" i="4"/>
  <c r="BL132" i="4"/>
  <c r="BL133" i="4"/>
  <c r="BL134" i="4"/>
  <c r="BL135" i="4"/>
  <c r="BL136" i="4"/>
  <c r="BL137" i="4"/>
  <c r="BL138" i="4"/>
  <c r="BL139" i="4"/>
  <c r="BL140" i="4"/>
  <c r="BL141" i="4"/>
  <c r="BL142" i="4"/>
  <c r="BL143" i="4"/>
  <c r="BL144" i="4"/>
  <c r="BL145" i="4"/>
  <c r="BL146" i="4"/>
  <c r="BL147" i="4"/>
  <c r="BL148" i="4"/>
  <c r="BL149" i="4"/>
  <c r="BL150" i="4"/>
  <c r="BL151" i="4"/>
  <c r="BL152" i="4"/>
  <c r="BL153" i="4"/>
  <c r="BL154" i="4"/>
  <c r="BL155" i="4"/>
  <c r="BL156" i="4"/>
  <c r="BL157" i="4"/>
  <c r="BL158" i="4"/>
  <c r="BL159" i="4"/>
  <c r="BL160" i="4"/>
  <c r="BL161" i="4"/>
  <c r="BL162" i="4"/>
  <c r="BL163" i="4"/>
  <c r="BL164" i="4"/>
  <c r="BL165" i="4"/>
  <c r="BL166" i="4"/>
  <c r="BL167" i="4"/>
  <c r="BL168" i="4"/>
  <c r="BL169" i="4"/>
  <c r="BL170" i="4"/>
  <c r="BL171" i="4"/>
  <c r="BL172" i="4"/>
  <c r="BL173" i="4"/>
  <c r="BL174" i="4"/>
  <c r="BL175" i="4"/>
  <c r="BL176" i="4"/>
  <c r="BL177" i="4"/>
  <c r="BL178" i="4"/>
  <c r="BL179" i="4"/>
  <c r="BL180" i="4"/>
  <c r="BL181" i="4"/>
  <c r="BL182" i="4"/>
  <c r="BL183" i="4"/>
  <c r="BL184" i="4"/>
  <c r="BL185" i="4"/>
  <c r="BL186" i="4"/>
  <c r="BL187" i="4"/>
  <c r="BL188" i="4"/>
  <c r="BL189" i="4"/>
  <c r="BL190" i="4"/>
  <c r="BL191" i="4"/>
  <c r="BL192" i="4"/>
  <c r="BL193" i="4"/>
  <c r="BL194" i="4"/>
  <c r="BL195" i="4"/>
  <c r="BL196" i="4"/>
  <c r="BL197" i="4"/>
  <c r="BL198" i="4"/>
  <c r="BL199" i="4"/>
  <c r="BL200" i="4"/>
  <c r="BL201" i="4"/>
  <c r="BL202" i="4"/>
  <c r="BL203" i="4"/>
  <c r="BL204" i="4"/>
  <c r="BL205" i="4"/>
  <c r="BL206" i="4"/>
  <c r="BL207" i="4"/>
  <c r="BL208" i="4"/>
  <c r="BL209" i="4"/>
  <c r="BL210" i="4"/>
  <c r="BL211" i="4"/>
  <c r="BL212" i="4"/>
  <c r="BL213" i="4"/>
  <c r="BL214" i="4"/>
  <c r="BL215" i="4"/>
  <c r="BL216" i="4"/>
  <c r="BL217" i="4"/>
  <c r="BL218" i="4"/>
  <c r="BL219" i="4"/>
  <c r="BL220" i="4"/>
  <c r="BL221" i="4"/>
  <c r="BL222" i="4"/>
  <c r="BL223" i="4"/>
  <c r="BL224" i="4"/>
  <c r="BL225" i="4"/>
  <c r="BL226" i="4"/>
  <c r="BL227" i="4"/>
  <c r="BL228" i="4"/>
  <c r="BL229" i="4"/>
  <c r="BL230" i="4"/>
  <c r="BL231" i="4"/>
  <c r="BL232" i="4"/>
  <c r="BL233" i="4"/>
  <c r="BL234" i="4"/>
  <c r="BL235" i="4"/>
  <c r="BL236" i="4"/>
  <c r="BL237" i="4"/>
  <c r="BL238" i="4"/>
  <c r="BL239" i="4"/>
  <c r="BL240" i="4"/>
  <c r="BL241" i="4"/>
  <c r="BL242" i="4"/>
  <c r="BL243" i="4"/>
  <c r="BL244" i="4"/>
  <c r="BL245" i="4"/>
  <c r="BL246" i="4"/>
  <c r="BL247" i="4"/>
  <c r="BL248" i="4"/>
  <c r="BL249" i="4"/>
  <c r="BL250" i="4"/>
  <c r="BL251" i="4"/>
  <c r="BL252" i="4"/>
  <c r="BL253" i="4"/>
  <c r="BL254" i="4"/>
  <c r="BL255" i="4"/>
  <c r="BP10" i="4"/>
  <c r="BP64" i="4"/>
  <c r="BP118" i="4"/>
  <c r="BQ28" i="4"/>
  <c r="BQ82" i="4"/>
  <c r="BQ136" i="4"/>
  <c r="BR4" i="4"/>
  <c r="BR5" i="4"/>
  <c r="BR6" i="4"/>
  <c r="BR7" i="4"/>
  <c r="BR8" i="4"/>
  <c r="BR9" i="4"/>
  <c r="BR10" i="4"/>
  <c r="BR11" i="4"/>
  <c r="BR12" i="4"/>
  <c r="BR13" i="4"/>
  <c r="BR14" i="4"/>
  <c r="BR15" i="4"/>
  <c r="BR16" i="4"/>
  <c r="BR17" i="4"/>
  <c r="BR18" i="4"/>
  <c r="BR19" i="4"/>
  <c r="BR20" i="4"/>
  <c r="BR21" i="4"/>
  <c r="BR22" i="4"/>
  <c r="BR23" i="4"/>
  <c r="BR24" i="4"/>
  <c r="BR25" i="4"/>
  <c r="BR26" i="4"/>
  <c r="BR27" i="4"/>
  <c r="BR28" i="4"/>
  <c r="BR29" i="4"/>
  <c r="BR30" i="4"/>
  <c r="BR31" i="4"/>
  <c r="BR32" i="4"/>
  <c r="BR33" i="4"/>
  <c r="BR34" i="4"/>
  <c r="BR35" i="4"/>
  <c r="BR36" i="4"/>
  <c r="BR37" i="4"/>
  <c r="BR38" i="4"/>
  <c r="BR39" i="4"/>
  <c r="BR40" i="4"/>
  <c r="BR41" i="4"/>
  <c r="BR42" i="4"/>
  <c r="BR43" i="4"/>
  <c r="BR44" i="4"/>
  <c r="BR45" i="4"/>
  <c r="BR46" i="4"/>
  <c r="BR47" i="4"/>
  <c r="BR48" i="4"/>
  <c r="BR49" i="4"/>
  <c r="BR50" i="4"/>
  <c r="BR51" i="4"/>
  <c r="BR52" i="4"/>
  <c r="BR53" i="4"/>
  <c r="BR54" i="4"/>
  <c r="BR55" i="4"/>
  <c r="BR56" i="4"/>
  <c r="BR57" i="4"/>
  <c r="BR58" i="4"/>
  <c r="BR59" i="4"/>
  <c r="BR60" i="4"/>
  <c r="BR61" i="4"/>
  <c r="BR62" i="4"/>
  <c r="BR63" i="4"/>
  <c r="BR64" i="4"/>
  <c r="BR65" i="4"/>
  <c r="BR66" i="4"/>
  <c r="BR67" i="4"/>
  <c r="BR68" i="4"/>
  <c r="BR69" i="4"/>
  <c r="BR70" i="4"/>
  <c r="BR71" i="4"/>
  <c r="BR72" i="4"/>
  <c r="BR73" i="4"/>
  <c r="BR74" i="4"/>
  <c r="BR75" i="4"/>
  <c r="BR76" i="4"/>
  <c r="BR77" i="4"/>
  <c r="BR78" i="4"/>
  <c r="BR79" i="4"/>
  <c r="BR80" i="4"/>
  <c r="BR81" i="4"/>
  <c r="BR82" i="4"/>
  <c r="BR83" i="4"/>
  <c r="BR84" i="4"/>
  <c r="BR85" i="4"/>
  <c r="BR86" i="4"/>
  <c r="BR87" i="4"/>
  <c r="BR88" i="4"/>
  <c r="BR89" i="4"/>
  <c r="BR90" i="4"/>
  <c r="BR91" i="4"/>
  <c r="BR92" i="4"/>
  <c r="BR93" i="4"/>
  <c r="BR94" i="4"/>
  <c r="BR95" i="4"/>
  <c r="BR96" i="4"/>
  <c r="BR97" i="4"/>
  <c r="BR98" i="4"/>
  <c r="BR99" i="4"/>
  <c r="BR100" i="4"/>
  <c r="BR101" i="4"/>
  <c r="BR102" i="4"/>
  <c r="BR103" i="4"/>
  <c r="BR104" i="4"/>
  <c r="BR105" i="4"/>
  <c r="BR106" i="4"/>
  <c r="BR107" i="4"/>
  <c r="BR108" i="4"/>
  <c r="BR109" i="4"/>
  <c r="BR110" i="4"/>
  <c r="BR111" i="4"/>
  <c r="BR112" i="4"/>
  <c r="BR113" i="4"/>
  <c r="BR114" i="4"/>
  <c r="BR115" i="4"/>
  <c r="BR116" i="4"/>
  <c r="BR117" i="4"/>
  <c r="BR118" i="4"/>
  <c r="BR119" i="4"/>
  <c r="BR120" i="4"/>
  <c r="BR121" i="4"/>
  <c r="BR122" i="4"/>
  <c r="BR123" i="4"/>
  <c r="BR124" i="4"/>
  <c r="BR125" i="4"/>
  <c r="BR126" i="4"/>
  <c r="BR127" i="4"/>
  <c r="BR128" i="4"/>
  <c r="BR129" i="4"/>
  <c r="BR130" i="4"/>
  <c r="BR131" i="4"/>
  <c r="BR132" i="4"/>
  <c r="BR133" i="4"/>
  <c r="BR134" i="4"/>
  <c r="BR135" i="4"/>
  <c r="BR136" i="4"/>
  <c r="BR137" i="4"/>
  <c r="BR138" i="4"/>
  <c r="BR139" i="4"/>
  <c r="BR140" i="4"/>
  <c r="BR141" i="4"/>
  <c r="BR142" i="4"/>
  <c r="BR143" i="4"/>
  <c r="BR144" i="4"/>
  <c r="BR145" i="4"/>
  <c r="BR146" i="4"/>
  <c r="BR147" i="4"/>
  <c r="BR148" i="4"/>
  <c r="BR149" i="4"/>
  <c r="BR150" i="4"/>
  <c r="BR151" i="4"/>
  <c r="BR152" i="4"/>
  <c r="BR153" i="4"/>
  <c r="BR154" i="4"/>
  <c r="BR155" i="4"/>
  <c r="BR156" i="4"/>
  <c r="BR157" i="4"/>
  <c r="BR158" i="4"/>
  <c r="BR159" i="4"/>
  <c r="BR160" i="4"/>
  <c r="BR161" i="4"/>
  <c r="BR162" i="4"/>
  <c r="BR163" i="4"/>
  <c r="BR164" i="4"/>
  <c r="BR165" i="4"/>
  <c r="BR166" i="4"/>
  <c r="BR167" i="4"/>
  <c r="BR168" i="4"/>
  <c r="BR169" i="4"/>
  <c r="BR170" i="4"/>
  <c r="BR171" i="4"/>
  <c r="BR172" i="4"/>
  <c r="BR173" i="4"/>
  <c r="BR174" i="4"/>
  <c r="BR175" i="4"/>
  <c r="BR176" i="4"/>
  <c r="BR177" i="4"/>
  <c r="BR178" i="4"/>
  <c r="BR179" i="4"/>
  <c r="BR180" i="4"/>
  <c r="BR181" i="4"/>
  <c r="BR182" i="4"/>
  <c r="BR183" i="4"/>
  <c r="BR184" i="4"/>
  <c r="BR185" i="4"/>
  <c r="BR186" i="4"/>
  <c r="BR187" i="4"/>
  <c r="BR188" i="4"/>
  <c r="BR189" i="4"/>
  <c r="BR190" i="4"/>
  <c r="BR191" i="4"/>
  <c r="BR192" i="4"/>
  <c r="BR193" i="4"/>
  <c r="BR194" i="4"/>
  <c r="BR195" i="4"/>
  <c r="BR196" i="4"/>
  <c r="BR197" i="4"/>
  <c r="BR198" i="4"/>
  <c r="BR199" i="4"/>
  <c r="BR200" i="4"/>
  <c r="BR201" i="4"/>
  <c r="BR202" i="4"/>
  <c r="BR203" i="4"/>
  <c r="BR204" i="4"/>
  <c r="BR205" i="4"/>
  <c r="BR206" i="4"/>
  <c r="BR207" i="4"/>
  <c r="BR208" i="4"/>
  <c r="BR209" i="4"/>
  <c r="BR210" i="4"/>
  <c r="BR211" i="4"/>
  <c r="BR212" i="4"/>
  <c r="BR213" i="4"/>
  <c r="BR214" i="4"/>
  <c r="BR215" i="4"/>
  <c r="BR216" i="4"/>
  <c r="BR217" i="4"/>
  <c r="BR218" i="4"/>
  <c r="BR219" i="4"/>
  <c r="BR220" i="4"/>
  <c r="BR221" i="4"/>
  <c r="BR222" i="4"/>
  <c r="BR223" i="4"/>
  <c r="BR224" i="4"/>
  <c r="BR225" i="4"/>
  <c r="BR226" i="4"/>
  <c r="BR227" i="4"/>
  <c r="BR228" i="4"/>
  <c r="BR229" i="4"/>
  <c r="BR230" i="4"/>
  <c r="BR231" i="4"/>
  <c r="BR232" i="4"/>
  <c r="BR233" i="4"/>
  <c r="BR234" i="4"/>
  <c r="BR235" i="4"/>
  <c r="BR236" i="4"/>
  <c r="BR237" i="4"/>
  <c r="BR238" i="4"/>
  <c r="BR239" i="4"/>
  <c r="BR240" i="4"/>
  <c r="BR241" i="4"/>
  <c r="BR242" i="4"/>
  <c r="BR243" i="4"/>
  <c r="BR244" i="4"/>
  <c r="BR245" i="4"/>
  <c r="BR246" i="4"/>
  <c r="BR247" i="4"/>
  <c r="BR248" i="4"/>
  <c r="BR249" i="4"/>
  <c r="BR250" i="4"/>
  <c r="BR251" i="4"/>
  <c r="BR252" i="4"/>
  <c r="BR253" i="4"/>
  <c r="BR254" i="4"/>
  <c r="BR255" i="4"/>
  <c r="BS16" i="4"/>
  <c r="BS28" i="4"/>
  <c r="BS82" i="4"/>
  <c r="BS136" i="4"/>
  <c r="BS190" i="4"/>
  <c r="BT4" i="4"/>
  <c r="BP4" i="4" s="1"/>
  <c r="BT5" i="4"/>
  <c r="BP5" i="4" s="1"/>
  <c r="BT6" i="4"/>
  <c r="BP6" i="4" s="1"/>
  <c r="BT7" i="4"/>
  <c r="BP7" i="4" s="1"/>
  <c r="BT8" i="4"/>
  <c r="BP8" i="4" s="1"/>
  <c r="BT9" i="4"/>
  <c r="BP9" i="4" s="1"/>
  <c r="BT10" i="4"/>
  <c r="BQ10" i="4" s="1"/>
  <c r="BT11" i="4"/>
  <c r="BP11" i="4" s="1"/>
  <c r="BT12" i="4"/>
  <c r="BP12" i="4" s="1"/>
  <c r="BT13" i="4"/>
  <c r="BP13" i="4" s="1"/>
  <c r="BT14" i="4"/>
  <c r="BP14" i="4" s="1"/>
  <c r="BT15" i="4"/>
  <c r="BP15" i="4" s="1"/>
  <c r="BT16" i="4"/>
  <c r="BP16" i="4" s="1"/>
  <c r="BT17" i="4"/>
  <c r="BP17" i="4" s="1"/>
  <c r="BT18" i="4"/>
  <c r="BP18" i="4" s="1"/>
  <c r="BT19" i="4"/>
  <c r="BP19" i="4" s="1"/>
  <c r="BT20" i="4"/>
  <c r="BP20" i="4" s="1"/>
  <c r="BT21" i="4"/>
  <c r="BP21" i="4" s="1"/>
  <c r="BT22" i="4"/>
  <c r="BP22" i="4" s="1"/>
  <c r="BT23" i="4"/>
  <c r="BP23" i="4" s="1"/>
  <c r="BT24" i="4"/>
  <c r="BP24" i="4" s="1"/>
  <c r="BT25" i="4"/>
  <c r="BP25" i="4" s="1"/>
  <c r="BT26" i="4"/>
  <c r="BP26" i="4" s="1"/>
  <c r="BT27" i="4"/>
  <c r="BP27" i="4" s="1"/>
  <c r="BT28" i="4"/>
  <c r="BP28" i="4" s="1"/>
  <c r="BU28" i="4" s="1"/>
  <c r="BT29" i="4"/>
  <c r="BP29" i="4" s="1"/>
  <c r="BT30" i="4"/>
  <c r="BP30" i="4" s="1"/>
  <c r="BT31" i="4"/>
  <c r="BP31" i="4" s="1"/>
  <c r="BT32" i="4"/>
  <c r="BP32" i="4" s="1"/>
  <c r="BT33" i="4"/>
  <c r="BP33" i="4" s="1"/>
  <c r="BT34" i="4"/>
  <c r="BP34" i="4" s="1"/>
  <c r="BT35" i="4"/>
  <c r="BP35" i="4" s="1"/>
  <c r="BT36" i="4"/>
  <c r="BP36" i="4" s="1"/>
  <c r="BT37" i="4"/>
  <c r="BP37" i="4" s="1"/>
  <c r="BT38" i="4"/>
  <c r="BP38" i="4" s="1"/>
  <c r="BT39" i="4"/>
  <c r="BP39" i="4" s="1"/>
  <c r="BT40" i="4"/>
  <c r="BP40" i="4" s="1"/>
  <c r="BT41" i="4"/>
  <c r="BP41" i="4" s="1"/>
  <c r="BT42" i="4"/>
  <c r="BP42" i="4" s="1"/>
  <c r="BT43" i="4"/>
  <c r="BP43" i="4" s="1"/>
  <c r="BT44" i="4"/>
  <c r="BP44" i="4" s="1"/>
  <c r="BT45" i="4"/>
  <c r="BP45" i="4" s="1"/>
  <c r="BT46" i="4"/>
  <c r="BS46" i="4" s="1"/>
  <c r="BT47" i="4"/>
  <c r="BP47" i="4" s="1"/>
  <c r="BT48" i="4"/>
  <c r="BP48" i="4" s="1"/>
  <c r="BT49" i="4"/>
  <c r="BP49" i="4" s="1"/>
  <c r="BT50" i="4"/>
  <c r="BP50" i="4" s="1"/>
  <c r="BT51" i="4"/>
  <c r="BP51" i="4" s="1"/>
  <c r="BT52" i="4"/>
  <c r="BP52" i="4" s="1"/>
  <c r="BT53" i="4"/>
  <c r="BP53" i="4" s="1"/>
  <c r="BT54" i="4"/>
  <c r="BP54" i="4" s="1"/>
  <c r="BT55" i="4"/>
  <c r="BP55" i="4" s="1"/>
  <c r="BT56" i="4"/>
  <c r="BP56" i="4" s="1"/>
  <c r="BT57" i="4"/>
  <c r="BP57" i="4" s="1"/>
  <c r="BT58" i="4"/>
  <c r="BP58" i="4" s="1"/>
  <c r="BT59" i="4"/>
  <c r="BP59" i="4" s="1"/>
  <c r="BT60" i="4"/>
  <c r="BP60" i="4" s="1"/>
  <c r="BT61" i="4"/>
  <c r="BP61" i="4" s="1"/>
  <c r="BT62" i="4"/>
  <c r="BP62" i="4" s="1"/>
  <c r="BT63" i="4"/>
  <c r="BP63" i="4" s="1"/>
  <c r="BT64" i="4"/>
  <c r="BS64" i="4" s="1"/>
  <c r="BT65" i="4"/>
  <c r="BP65" i="4" s="1"/>
  <c r="BT66" i="4"/>
  <c r="BP66" i="4" s="1"/>
  <c r="BT67" i="4"/>
  <c r="BP67" i="4" s="1"/>
  <c r="BT68" i="4"/>
  <c r="BP68" i="4" s="1"/>
  <c r="BT69" i="4"/>
  <c r="BP69" i="4" s="1"/>
  <c r="BT70" i="4"/>
  <c r="BP70" i="4" s="1"/>
  <c r="BT71" i="4"/>
  <c r="BP71" i="4" s="1"/>
  <c r="BT72" i="4"/>
  <c r="BP72" i="4" s="1"/>
  <c r="BT73" i="4"/>
  <c r="BP73" i="4" s="1"/>
  <c r="BT74" i="4"/>
  <c r="BP74" i="4" s="1"/>
  <c r="BT75" i="4"/>
  <c r="BP75" i="4" s="1"/>
  <c r="BT76" i="4"/>
  <c r="BP76" i="4" s="1"/>
  <c r="BT77" i="4"/>
  <c r="BP77" i="4" s="1"/>
  <c r="BT78" i="4"/>
  <c r="BP78" i="4" s="1"/>
  <c r="BT79" i="4"/>
  <c r="BP79" i="4" s="1"/>
  <c r="BT80" i="4"/>
  <c r="BP80" i="4" s="1"/>
  <c r="BT81" i="4"/>
  <c r="BP81" i="4" s="1"/>
  <c r="BT82" i="4"/>
  <c r="BP82" i="4" s="1"/>
  <c r="BT83" i="4"/>
  <c r="BP83" i="4" s="1"/>
  <c r="BT84" i="4"/>
  <c r="BP84" i="4" s="1"/>
  <c r="BT85" i="4"/>
  <c r="BP85" i="4" s="1"/>
  <c r="BT86" i="4"/>
  <c r="BP86" i="4" s="1"/>
  <c r="BT87" i="4"/>
  <c r="BP87" i="4" s="1"/>
  <c r="BT88" i="4"/>
  <c r="BP88" i="4" s="1"/>
  <c r="BT89" i="4"/>
  <c r="BP89" i="4" s="1"/>
  <c r="BT90" i="4"/>
  <c r="BP90" i="4" s="1"/>
  <c r="BT91" i="4"/>
  <c r="BP91" i="4" s="1"/>
  <c r="BT92" i="4"/>
  <c r="BP92" i="4" s="1"/>
  <c r="BT93" i="4"/>
  <c r="BP93" i="4" s="1"/>
  <c r="BT94" i="4"/>
  <c r="BP94" i="4" s="1"/>
  <c r="BT95" i="4"/>
  <c r="BP95" i="4" s="1"/>
  <c r="BT96" i="4"/>
  <c r="BP96" i="4" s="1"/>
  <c r="BT97" i="4"/>
  <c r="BP97" i="4" s="1"/>
  <c r="BT98" i="4"/>
  <c r="BP98" i="4" s="1"/>
  <c r="BT99" i="4"/>
  <c r="BP99" i="4" s="1"/>
  <c r="BT100" i="4"/>
  <c r="BQ100" i="4" s="1"/>
  <c r="BT101" i="4"/>
  <c r="BP101" i="4" s="1"/>
  <c r="BT102" i="4"/>
  <c r="BP102" i="4" s="1"/>
  <c r="BT103" i="4"/>
  <c r="BT104" i="4"/>
  <c r="BP104" i="4" s="1"/>
  <c r="BT105" i="4"/>
  <c r="BP105" i="4" s="1"/>
  <c r="BT106" i="4"/>
  <c r="BP106" i="4" s="1"/>
  <c r="BT107" i="4"/>
  <c r="BP107" i="4" s="1"/>
  <c r="BT108" i="4"/>
  <c r="BP108" i="4" s="1"/>
  <c r="BT109" i="4"/>
  <c r="BT110" i="4"/>
  <c r="BP110" i="4" s="1"/>
  <c r="BT111" i="4"/>
  <c r="BP111" i="4" s="1"/>
  <c r="BT112" i="4"/>
  <c r="BP112" i="4" s="1"/>
  <c r="BT113" i="4"/>
  <c r="BP113" i="4" s="1"/>
  <c r="BT114" i="4"/>
  <c r="BP114" i="4" s="1"/>
  <c r="BT115" i="4"/>
  <c r="BT116" i="4"/>
  <c r="BP116" i="4" s="1"/>
  <c r="BT117" i="4"/>
  <c r="BP117" i="4" s="1"/>
  <c r="BT118" i="4"/>
  <c r="BQ118" i="4" s="1"/>
  <c r="BT119" i="4"/>
  <c r="BP119" i="4" s="1"/>
  <c r="BT120" i="4"/>
  <c r="BP120" i="4" s="1"/>
  <c r="BT121" i="4"/>
  <c r="BT122" i="4"/>
  <c r="BP122" i="4" s="1"/>
  <c r="BT123" i="4"/>
  <c r="BP123" i="4" s="1"/>
  <c r="BT124" i="4"/>
  <c r="BP124" i="4" s="1"/>
  <c r="BT125" i="4"/>
  <c r="BP125" i="4" s="1"/>
  <c r="BT126" i="4"/>
  <c r="BP126" i="4" s="1"/>
  <c r="BT127" i="4"/>
  <c r="BT128" i="4"/>
  <c r="BP128" i="4" s="1"/>
  <c r="BT129" i="4"/>
  <c r="BP129" i="4" s="1"/>
  <c r="BT130" i="4"/>
  <c r="BP130" i="4" s="1"/>
  <c r="BT131" i="4"/>
  <c r="BP131" i="4" s="1"/>
  <c r="BT132" i="4"/>
  <c r="BP132" i="4" s="1"/>
  <c r="BT133" i="4"/>
  <c r="BT134" i="4"/>
  <c r="BP134" i="4" s="1"/>
  <c r="BT135" i="4"/>
  <c r="BP135" i="4" s="1"/>
  <c r="BT136" i="4"/>
  <c r="BP136" i="4" s="1"/>
  <c r="BU136" i="4" s="1"/>
  <c r="BT137" i="4"/>
  <c r="BP137" i="4" s="1"/>
  <c r="BT138" i="4"/>
  <c r="BP138" i="4" s="1"/>
  <c r="BT139" i="4"/>
  <c r="BT140" i="4"/>
  <c r="BP140" i="4" s="1"/>
  <c r="BT141" i="4"/>
  <c r="BP141" i="4" s="1"/>
  <c r="BT142" i="4"/>
  <c r="BP142" i="4" s="1"/>
  <c r="BT143" i="4"/>
  <c r="BP143" i="4" s="1"/>
  <c r="BT144" i="4"/>
  <c r="BP144" i="4" s="1"/>
  <c r="BT145" i="4"/>
  <c r="BT146" i="4"/>
  <c r="BP146" i="4" s="1"/>
  <c r="BT147" i="4"/>
  <c r="BP147" i="4" s="1"/>
  <c r="BT148" i="4"/>
  <c r="BP148" i="4" s="1"/>
  <c r="BT149" i="4"/>
  <c r="BP149" i="4" s="1"/>
  <c r="BT150" i="4"/>
  <c r="BP150" i="4" s="1"/>
  <c r="BT151" i="4"/>
  <c r="BT152" i="4"/>
  <c r="BP152" i="4" s="1"/>
  <c r="BT153" i="4"/>
  <c r="BP153" i="4" s="1"/>
  <c r="BT154" i="4"/>
  <c r="BS154" i="4" s="1"/>
  <c r="BT155" i="4"/>
  <c r="BP155" i="4" s="1"/>
  <c r="BT156" i="4"/>
  <c r="BP156" i="4" s="1"/>
  <c r="BT157" i="4"/>
  <c r="BT158" i="4"/>
  <c r="BP158" i="4" s="1"/>
  <c r="BT159" i="4"/>
  <c r="BP159" i="4" s="1"/>
  <c r="BT160" i="4"/>
  <c r="BP160" i="4" s="1"/>
  <c r="BT161" i="4"/>
  <c r="BP161" i="4" s="1"/>
  <c r="BT162" i="4"/>
  <c r="BP162" i="4" s="1"/>
  <c r="BT163" i="4"/>
  <c r="BT164" i="4"/>
  <c r="BP164" i="4" s="1"/>
  <c r="BT165" i="4"/>
  <c r="BP165" i="4" s="1"/>
  <c r="BT166" i="4"/>
  <c r="BP166" i="4" s="1"/>
  <c r="BT167" i="4"/>
  <c r="BP167" i="4" s="1"/>
  <c r="BT168" i="4"/>
  <c r="BP168" i="4" s="1"/>
  <c r="BT169" i="4"/>
  <c r="BT170" i="4"/>
  <c r="BP170" i="4" s="1"/>
  <c r="BT171" i="4"/>
  <c r="BP171" i="4" s="1"/>
  <c r="BT172" i="4"/>
  <c r="BS172" i="4" s="1"/>
  <c r="BT173" i="4"/>
  <c r="BP173" i="4" s="1"/>
  <c r="BT174" i="4"/>
  <c r="BP174" i="4" s="1"/>
  <c r="BT175" i="4"/>
  <c r="BT176" i="4"/>
  <c r="BP176" i="4" s="1"/>
  <c r="BT177" i="4"/>
  <c r="BP177" i="4" s="1"/>
  <c r="BT178" i="4"/>
  <c r="BP178" i="4" s="1"/>
  <c r="BT179" i="4"/>
  <c r="BP179" i="4" s="1"/>
  <c r="BT180" i="4"/>
  <c r="BP180" i="4" s="1"/>
  <c r="BT181" i="4"/>
  <c r="BT182" i="4"/>
  <c r="BP182" i="4" s="1"/>
  <c r="BT183" i="4"/>
  <c r="BP183" i="4" s="1"/>
  <c r="BT184" i="4"/>
  <c r="BP184" i="4" s="1"/>
  <c r="BT185" i="4"/>
  <c r="BP185" i="4" s="1"/>
  <c r="BT186" i="4"/>
  <c r="BP186" i="4" s="1"/>
  <c r="BT187" i="4"/>
  <c r="BT188" i="4"/>
  <c r="BP188" i="4" s="1"/>
  <c r="BT189" i="4"/>
  <c r="BP189" i="4" s="1"/>
  <c r="BT190" i="4"/>
  <c r="BP190" i="4" s="1"/>
  <c r="BT191" i="4"/>
  <c r="BP191" i="4" s="1"/>
  <c r="BT192" i="4"/>
  <c r="BP192" i="4" s="1"/>
  <c r="BT193" i="4"/>
  <c r="BT194" i="4"/>
  <c r="BP194" i="4" s="1"/>
  <c r="BT195" i="4"/>
  <c r="BP195" i="4" s="1"/>
  <c r="BT196" i="4"/>
  <c r="BP196" i="4" s="1"/>
  <c r="BT197" i="4"/>
  <c r="BP197" i="4" s="1"/>
  <c r="BT198" i="4"/>
  <c r="BP198" i="4" s="1"/>
  <c r="BT199" i="4"/>
  <c r="BT200" i="4"/>
  <c r="BP200" i="4" s="1"/>
  <c r="BT201" i="4"/>
  <c r="BP201" i="4" s="1"/>
  <c r="BT202" i="4"/>
  <c r="BP202" i="4" s="1"/>
  <c r="BT203" i="4"/>
  <c r="BP203" i="4" s="1"/>
  <c r="BT204" i="4"/>
  <c r="BP204" i="4" s="1"/>
  <c r="BT205" i="4"/>
  <c r="BT206" i="4"/>
  <c r="BP206" i="4" s="1"/>
  <c r="BT207" i="4"/>
  <c r="BP207" i="4" s="1"/>
  <c r="BT208" i="4"/>
  <c r="BQ208" i="4" s="1"/>
  <c r="BT209" i="4"/>
  <c r="BP209" i="4" s="1"/>
  <c r="BT210" i="4"/>
  <c r="BP210" i="4" s="1"/>
  <c r="BT211" i="4"/>
  <c r="BT212" i="4"/>
  <c r="BP212" i="4" s="1"/>
  <c r="BT213" i="4"/>
  <c r="BP213" i="4" s="1"/>
  <c r="BT214" i="4"/>
  <c r="BP214" i="4" s="1"/>
  <c r="BT215" i="4"/>
  <c r="BP215" i="4" s="1"/>
  <c r="BT216" i="4"/>
  <c r="BP216" i="4" s="1"/>
  <c r="BT217" i="4"/>
  <c r="BT218" i="4"/>
  <c r="BP218" i="4" s="1"/>
  <c r="BT219" i="4"/>
  <c r="BP219" i="4" s="1"/>
  <c r="BT220" i="4"/>
  <c r="BP220" i="4" s="1"/>
  <c r="BT221" i="4"/>
  <c r="BP221" i="4" s="1"/>
  <c r="BT222" i="4"/>
  <c r="BP222" i="4" s="1"/>
  <c r="BT223" i="4"/>
  <c r="BT224" i="4"/>
  <c r="BP224" i="4" s="1"/>
  <c r="BT225" i="4"/>
  <c r="BP225" i="4" s="1"/>
  <c r="BT226" i="4"/>
  <c r="BQ226" i="4" s="1"/>
  <c r="BT227" i="4"/>
  <c r="BP227" i="4" s="1"/>
  <c r="BT228" i="4"/>
  <c r="BP228" i="4" s="1"/>
  <c r="BT229" i="4"/>
  <c r="BT230" i="4"/>
  <c r="BP230" i="4" s="1"/>
  <c r="BT231" i="4"/>
  <c r="BP231" i="4" s="1"/>
  <c r="BT232" i="4"/>
  <c r="BP232" i="4" s="1"/>
  <c r="BT233" i="4"/>
  <c r="BP233" i="4" s="1"/>
  <c r="BT234" i="4"/>
  <c r="BP234" i="4" s="1"/>
  <c r="BT235" i="4"/>
  <c r="BT236" i="4"/>
  <c r="BP236" i="4" s="1"/>
  <c r="BT237" i="4"/>
  <c r="BP237" i="4" s="1"/>
  <c r="BT238" i="4"/>
  <c r="BP238" i="4" s="1"/>
  <c r="BT239" i="4"/>
  <c r="BP239" i="4" s="1"/>
  <c r="BT240" i="4"/>
  <c r="BP240" i="4" s="1"/>
  <c r="BT241" i="4"/>
  <c r="BT242" i="4"/>
  <c r="BP242" i="4" s="1"/>
  <c r="BT243" i="4"/>
  <c r="BP243" i="4" s="1"/>
  <c r="BT244" i="4"/>
  <c r="BP244" i="4" s="1"/>
  <c r="BT245" i="4"/>
  <c r="BP245" i="4" s="1"/>
  <c r="BT246" i="4"/>
  <c r="BP246" i="4" s="1"/>
  <c r="BT247" i="4"/>
  <c r="BT248" i="4"/>
  <c r="BP248" i="4" s="1"/>
  <c r="BT249" i="4"/>
  <c r="BP249" i="4" s="1"/>
  <c r="BT250" i="4"/>
  <c r="BP250" i="4" s="1"/>
  <c r="BT251" i="4"/>
  <c r="BP251" i="4" s="1"/>
  <c r="BT252" i="4"/>
  <c r="BP252" i="4" s="1"/>
  <c r="BT253" i="4"/>
  <c r="BT254" i="4"/>
  <c r="BP254" i="4" s="1"/>
  <c r="BT255" i="4"/>
  <c r="BP255" i="4" s="1"/>
  <c r="BZ4" i="4"/>
  <c r="BZ5" i="4"/>
  <c r="BZ6" i="4"/>
  <c r="BZ7" i="4"/>
  <c r="BZ8" i="4"/>
  <c r="BZ9" i="4"/>
  <c r="BZ10" i="4"/>
  <c r="BZ11" i="4"/>
  <c r="BZ12" i="4"/>
  <c r="BZ13" i="4"/>
  <c r="BZ14" i="4"/>
  <c r="BZ15" i="4"/>
  <c r="BZ16" i="4"/>
  <c r="BZ17" i="4"/>
  <c r="BZ18" i="4"/>
  <c r="BZ19" i="4"/>
  <c r="BZ20" i="4"/>
  <c r="BZ21" i="4"/>
  <c r="BZ22" i="4"/>
  <c r="BZ23" i="4"/>
  <c r="BZ24" i="4"/>
  <c r="BZ25" i="4"/>
  <c r="BZ26" i="4"/>
  <c r="BZ27" i="4"/>
  <c r="BZ28" i="4"/>
  <c r="BZ29" i="4"/>
  <c r="BZ30" i="4"/>
  <c r="BZ31" i="4"/>
  <c r="BZ32" i="4"/>
  <c r="BZ33" i="4"/>
  <c r="BZ34" i="4"/>
  <c r="BZ35" i="4"/>
  <c r="BZ36" i="4"/>
  <c r="BZ37" i="4"/>
  <c r="BZ38" i="4"/>
  <c r="BZ39" i="4"/>
  <c r="BZ40" i="4"/>
  <c r="BZ41" i="4"/>
  <c r="BZ42" i="4"/>
  <c r="BZ43" i="4"/>
  <c r="BZ44" i="4"/>
  <c r="BZ45" i="4"/>
  <c r="BZ46" i="4"/>
  <c r="BZ47" i="4"/>
  <c r="BZ48" i="4"/>
  <c r="BZ49" i="4"/>
  <c r="BZ50" i="4"/>
  <c r="BZ51" i="4"/>
  <c r="BZ52" i="4"/>
  <c r="BZ53" i="4"/>
  <c r="BZ54" i="4"/>
  <c r="BZ55" i="4"/>
  <c r="BZ56" i="4"/>
  <c r="BZ57" i="4"/>
  <c r="BZ58" i="4"/>
  <c r="BZ59" i="4"/>
  <c r="BZ60" i="4"/>
  <c r="BZ61" i="4"/>
  <c r="BZ62" i="4"/>
  <c r="BZ63" i="4"/>
  <c r="BZ64" i="4"/>
  <c r="BZ65" i="4"/>
  <c r="BZ66" i="4"/>
  <c r="BZ67" i="4"/>
  <c r="BZ68" i="4"/>
  <c r="BZ69" i="4"/>
  <c r="BZ70" i="4"/>
  <c r="BZ71" i="4"/>
  <c r="BZ72" i="4"/>
  <c r="BZ73" i="4"/>
  <c r="BZ74" i="4"/>
  <c r="BZ75" i="4"/>
  <c r="BZ76" i="4"/>
  <c r="BZ77" i="4"/>
  <c r="BZ78" i="4"/>
  <c r="BZ79" i="4"/>
  <c r="BZ80" i="4"/>
  <c r="BZ81" i="4"/>
  <c r="BZ82" i="4"/>
  <c r="BZ83" i="4"/>
  <c r="BZ84" i="4"/>
  <c r="BZ85" i="4"/>
  <c r="BZ86" i="4"/>
  <c r="BZ87" i="4"/>
  <c r="BZ88" i="4"/>
  <c r="BZ89" i="4"/>
  <c r="BZ90" i="4"/>
  <c r="BZ91" i="4"/>
  <c r="BZ92" i="4"/>
  <c r="BZ93" i="4"/>
  <c r="BZ94" i="4"/>
  <c r="BZ95" i="4"/>
  <c r="BZ96" i="4"/>
  <c r="BZ97" i="4"/>
  <c r="BZ98" i="4"/>
  <c r="BZ99" i="4"/>
  <c r="BZ100" i="4"/>
  <c r="BZ101" i="4"/>
  <c r="BZ102" i="4"/>
  <c r="BZ103" i="4"/>
  <c r="BZ104" i="4"/>
  <c r="BZ105" i="4"/>
  <c r="BZ106" i="4"/>
  <c r="BZ107" i="4"/>
  <c r="BZ108" i="4"/>
  <c r="BZ109" i="4"/>
  <c r="BZ110" i="4"/>
  <c r="BZ111" i="4"/>
  <c r="BZ112" i="4"/>
  <c r="BZ113" i="4"/>
  <c r="BZ114" i="4"/>
  <c r="BZ115" i="4"/>
  <c r="BZ116" i="4"/>
  <c r="BZ117" i="4"/>
  <c r="BZ118" i="4"/>
  <c r="BZ119" i="4"/>
  <c r="BZ120" i="4"/>
  <c r="BZ121" i="4"/>
  <c r="BZ122" i="4"/>
  <c r="BZ123" i="4"/>
  <c r="BZ124" i="4"/>
  <c r="BZ125" i="4"/>
  <c r="BZ126" i="4"/>
  <c r="BZ127" i="4"/>
  <c r="BZ128" i="4"/>
  <c r="BZ129" i="4"/>
  <c r="BZ130" i="4"/>
  <c r="BZ131" i="4"/>
  <c r="BZ132" i="4"/>
  <c r="BZ133" i="4"/>
  <c r="BZ134" i="4"/>
  <c r="BZ135" i="4"/>
  <c r="BZ136" i="4"/>
  <c r="BZ137" i="4"/>
  <c r="BZ138" i="4"/>
  <c r="BZ139" i="4"/>
  <c r="BZ140" i="4"/>
  <c r="BZ141" i="4"/>
  <c r="BZ142" i="4"/>
  <c r="BZ143" i="4"/>
  <c r="BZ144" i="4"/>
  <c r="BZ145" i="4"/>
  <c r="BZ146" i="4"/>
  <c r="BZ147" i="4"/>
  <c r="BZ148" i="4"/>
  <c r="BZ149" i="4"/>
  <c r="BZ150" i="4"/>
  <c r="BZ151" i="4"/>
  <c r="BZ152" i="4"/>
  <c r="BZ153" i="4"/>
  <c r="BZ154" i="4"/>
  <c r="BZ155" i="4"/>
  <c r="BZ156" i="4"/>
  <c r="BZ157" i="4"/>
  <c r="BZ158" i="4"/>
  <c r="BZ159" i="4"/>
  <c r="BZ160" i="4"/>
  <c r="BZ161" i="4"/>
  <c r="BZ162" i="4"/>
  <c r="BZ163" i="4"/>
  <c r="BZ164" i="4"/>
  <c r="BZ165" i="4"/>
  <c r="BZ166" i="4"/>
  <c r="BZ167" i="4"/>
  <c r="BZ168" i="4"/>
  <c r="BZ169" i="4"/>
  <c r="BZ170" i="4"/>
  <c r="BZ171" i="4"/>
  <c r="BZ172" i="4"/>
  <c r="BZ173" i="4"/>
  <c r="BZ174" i="4"/>
  <c r="BZ175" i="4"/>
  <c r="BZ176" i="4"/>
  <c r="BZ177" i="4"/>
  <c r="BZ178" i="4"/>
  <c r="BZ179" i="4"/>
  <c r="BZ180" i="4"/>
  <c r="BZ181" i="4"/>
  <c r="BZ182" i="4"/>
  <c r="BZ183" i="4"/>
  <c r="BZ184" i="4"/>
  <c r="BZ185" i="4"/>
  <c r="BZ186" i="4"/>
  <c r="BZ187" i="4"/>
  <c r="BZ188" i="4"/>
  <c r="BZ189" i="4"/>
  <c r="BZ190" i="4"/>
  <c r="BZ191" i="4"/>
  <c r="BZ192" i="4"/>
  <c r="BZ193" i="4"/>
  <c r="BZ194" i="4"/>
  <c r="BZ195" i="4"/>
  <c r="BZ196" i="4"/>
  <c r="BZ197" i="4"/>
  <c r="BZ198" i="4"/>
  <c r="BZ199" i="4"/>
  <c r="BZ200" i="4"/>
  <c r="BZ201" i="4"/>
  <c r="BZ202" i="4"/>
  <c r="BZ203" i="4"/>
  <c r="BZ204" i="4"/>
  <c r="BZ205" i="4"/>
  <c r="BZ206" i="4"/>
  <c r="BZ207" i="4"/>
  <c r="BZ208" i="4"/>
  <c r="BZ209" i="4"/>
  <c r="BZ210" i="4"/>
  <c r="BZ211" i="4"/>
  <c r="BZ212" i="4"/>
  <c r="BZ213" i="4"/>
  <c r="BZ214" i="4"/>
  <c r="BZ215" i="4"/>
  <c r="BZ216" i="4"/>
  <c r="BZ217" i="4"/>
  <c r="BZ218" i="4"/>
  <c r="BZ219" i="4"/>
  <c r="BZ220" i="4"/>
  <c r="BZ221" i="4"/>
  <c r="BZ222" i="4"/>
  <c r="BZ223" i="4"/>
  <c r="BZ224" i="4"/>
  <c r="BZ225" i="4"/>
  <c r="BZ226" i="4"/>
  <c r="BZ227" i="4"/>
  <c r="BZ228" i="4"/>
  <c r="BZ229" i="4"/>
  <c r="BZ230" i="4"/>
  <c r="BZ231" i="4"/>
  <c r="BZ232" i="4"/>
  <c r="BZ233" i="4"/>
  <c r="BZ234" i="4"/>
  <c r="BZ235" i="4"/>
  <c r="BZ236" i="4"/>
  <c r="BZ237" i="4"/>
  <c r="BZ238" i="4"/>
  <c r="BZ239" i="4"/>
  <c r="BZ240" i="4"/>
  <c r="BZ241" i="4"/>
  <c r="BZ242" i="4"/>
  <c r="BZ243" i="4"/>
  <c r="BZ244" i="4"/>
  <c r="BZ245" i="4"/>
  <c r="BZ246" i="4"/>
  <c r="BZ247" i="4"/>
  <c r="BZ248" i="4"/>
  <c r="BZ249" i="4"/>
  <c r="BZ250" i="4"/>
  <c r="BZ251" i="4"/>
  <c r="BZ252" i="4"/>
  <c r="BZ253" i="4"/>
  <c r="BZ254" i="4"/>
  <c r="BZ255" i="4"/>
  <c r="CA4" i="4"/>
  <c r="CA5" i="4"/>
  <c r="CA6" i="4"/>
  <c r="CA7" i="4"/>
  <c r="CA8" i="4"/>
  <c r="CA9" i="4"/>
  <c r="CA10" i="4"/>
  <c r="CA11" i="4"/>
  <c r="CA12" i="4"/>
  <c r="CA13" i="4"/>
  <c r="CA14" i="4"/>
  <c r="CA15" i="4"/>
  <c r="CA16" i="4"/>
  <c r="CA17" i="4"/>
  <c r="CA18" i="4"/>
  <c r="CA19" i="4"/>
  <c r="CA20" i="4"/>
  <c r="CA21" i="4"/>
  <c r="CA22" i="4"/>
  <c r="CA23" i="4"/>
  <c r="CA24" i="4"/>
  <c r="CA25" i="4"/>
  <c r="CA26" i="4"/>
  <c r="CA27" i="4"/>
  <c r="CA28" i="4"/>
  <c r="CA29" i="4"/>
  <c r="CA30" i="4"/>
  <c r="CA31" i="4"/>
  <c r="CA32" i="4"/>
  <c r="CA33" i="4"/>
  <c r="CA34" i="4"/>
  <c r="CA35" i="4"/>
  <c r="CA36" i="4"/>
  <c r="CA37" i="4"/>
  <c r="CA38" i="4"/>
  <c r="CA39" i="4"/>
  <c r="CA40" i="4"/>
  <c r="CA41" i="4"/>
  <c r="CA42" i="4"/>
  <c r="CA43" i="4"/>
  <c r="CA44" i="4"/>
  <c r="CA45" i="4"/>
  <c r="CA46" i="4"/>
  <c r="CA47" i="4"/>
  <c r="CA48" i="4"/>
  <c r="CA49" i="4"/>
  <c r="CA50" i="4"/>
  <c r="CA51" i="4"/>
  <c r="CA52" i="4"/>
  <c r="CA53" i="4"/>
  <c r="CA54" i="4"/>
  <c r="CA55" i="4"/>
  <c r="CA56" i="4"/>
  <c r="CA57" i="4"/>
  <c r="CA58" i="4"/>
  <c r="CA59" i="4"/>
  <c r="CA60" i="4"/>
  <c r="CA61" i="4"/>
  <c r="CA62" i="4"/>
  <c r="CA63" i="4"/>
  <c r="CA64" i="4"/>
  <c r="CA65" i="4"/>
  <c r="CA66" i="4"/>
  <c r="CA67" i="4"/>
  <c r="CA68" i="4"/>
  <c r="CA69" i="4"/>
  <c r="CA70" i="4"/>
  <c r="CA71" i="4"/>
  <c r="CA72" i="4"/>
  <c r="CA73" i="4"/>
  <c r="CA74" i="4"/>
  <c r="CA75" i="4"/>
  <c r="CA76" i="4"/>
  <c r="CA77" i="4"/>
  <c r="CA78" i="4"/>
  <c r="CA79" i="4"/>
  <c r="CA80" i="4"/>
  <c r="CA81" i="4"/>
  <c r="CA82" i="4"/>
  <c r="CA83" i="4"/>
  <c r="CA84" i="4"/>
  <c r="CA85" i="4"/>
  <c r="CA86" i="4"/>
  <c r="CA87" i="4"/>
  <c r="CA88" i="4"/>
  <c r="CA89" i="4"/>
  <c r="CA90" i="4"/>
  <c r="CA91" i="4"/>
  <c r="CA92" i="4"/>
  <c r="CA93" i="4"/>
  <c r="CA94" i="4"/>
  <c r="CA95" i="4"/>
  <c r="CA96" i="4"/>
  <c r="CA97" i="4"/>
  <c r="CA98" i="4"/>
  <c r="CA99" i="4"/>
  <c r="CA100" i="4"/>
  <c r="CA101" i="4"/>
  <c r="CA102" i="4"/>
  <c r="CA103" i="4"/>
  <c r="CA104" i="4"/>
  <c r="CA105" i="4"/>
  <c r="CA106" i="4"/>
  <c r="CA107" i="4"/>
  <c r="CA108" i="4"/>
  <c r="CA109" i="4"/>
  <c r="CA110" i="4"/>
  <c r="CA111" i="4"/>
  <c r="CA112" i="4"/>
  <c r="CA113" i="4"/>
  <c r="CA114" i="4"/>
  <c r="CA115" i="4"/>
  <c r="CA116" i="4"/>
  <c r="CA117" i="4"/>
  <c r="CA118" i="4"/>
  <c r="CA119" i="4"/>
  <c r="CA120" i="4"/>
  <c r="CA121" i="4"/>
  <c r="CA122" i="4"/>
  <c r="CA123" i="4"/>
  <c r="CA124" i="4"/>
  <c r="CA125" i="4"/>
  <c r="CA126" i="4"/>
  <c r="CA127" i="4"/>
  <c r="CA128" i="4"/>
  <c r="CA129" i="4"/>
  <c r="CA130" i="4"/>
  <c r="CA131" i="4"/>
  <c r="CA132" i="4"/>
  <c r="CA133" i="4"/>
  <c r="CA134" i="4"/>
  <c r="CA135" i="4"/>
  <c r="CA136" i="4"/>
  <c r="CA137" i="4"/>
  <c r="CA138" i="4"/>
  <c r="CA139" i="4"/>
  <c r="CA140" i="4"/>
  <c r="CA141" i="4"/>
  <c r="CA142" i="4"/>
  <c r="CA143" i="4"/>
  <c r="CA144" i="4"/>
  <c r="CA145" i="4"/>
  <c r="CA146" i="4"/>
  <c r="CA147" i="4"/>
  <c r="CA148" i="4"/>
  <c r="CA149" i="4"/>
  <c r="CA150" i="4"/>
  <c r="CA151" i="4"/>
  <c r="CA152" i="4"/>
  <c r="CA153" i="4"/>
  <c r="CA154" i="4"/>
  <c r="CA155" i="4"/>
  <c r="CA156" i="4"/>
  <c r="CA157" i="4"/>
  <c r="CA158" i="4"/>
  <c r="CA159" i="4"/>
  <c r="CA160" i="4"/>
  <c r="CA161" i="4"/>
  <c r="CA162" i="4"/>
  <c r="CA163" i="4"/>
  <c r="CA164" i="4"/>
  <c r="CA165" i="4"/>
  <c r="CA166" i="4"/>
  <c r="CA167" i="4"/>
  <c r="CA168" i="4"/>
  <c r="CA169" i="4"/>
  <c r="CA170" i="4"/>
  <c r="CA171" i="4"/>
  <c r="CA172" i="4"/>
  <c r="CA173" i="4"/>
  <c r="CA174" i="4"/>
  <c r="CA175" i="4"/>
  <c r="CA176" i="4"/>
  <c r="CA177" i="4"/>
  <c r="CA178" i="4"/>
  <c r="CA179" i="4"/>
  <c r="CA180" i="4"/>
  <c r="CA181" i="4"/>
  <c r="CA182" i="4"/>
  <c r="CA183" i="4"/>
  <c r="CA184" i="4"/>
  <c r="CA185" i="4"/>
  <c r="CA186" i="4"/>
  <c r="CA187" i="4"/>
  <c r="CA188" i="4"/>
  <c r="CA189" i="4"/>
  <c r="CA190" i="4"/>
  <c r="CA191" i="4"/>
  <c r="CA192" i="4"/>
  <c r="CA193" i="4"/>
  <c r="CA194" i="4"/>
  <c r="CA195" i="4"/>
  <c r="CA196" i="4"/>
  <c r="CA197" i="4"/>
  <c r="CA198" i="4"/>
  <c r="CA199" i="4"/>
  <c r="CA200" i="4"/>
  <c r="CA201" i="4"/>
  <c r="CA202" i="4"/>
  <c r="CA203" i="4"/>
  <c r="CA204" i="4"/>
  <c r="CA205" i="4"/>
  <c r="CA206" i="4"/>
  <c r="CA207" i="4"/>
  <c r="CA208" i="4"/>
  <c r="CA209" i="4"/>
  <c r="CA210" i="4"/>
  <c r="CA211" i="4"/>
  <c r="CA212" i="4"/>
  <c r="CA213" i="4"/>
  <c r="CA214" i="4"/>
  <c r="CA215" i="4"/>
  <c r="CA216" i="4"/>
  <c r="CA217" i="4"/>
  <c r="CA218" i="4"/>
  <c r="CA219" i="4"/>
  <c r="CA220" i="4"/>
  <c r="CA221" i="4"/>
  <c r="CA222" i="4"/>
  <c r="CA223" i="4"/>
  <c r="CA224" i="4"/>
  <c r="CA225" i="4"/>
  <c r="CA226" i="4"/>
  <c r="CA227" i="4"/>
  <c r="CA228" i="4"/>
  <c r="CA229" i="4"/>
  <c r="CA230" i="4"/>
  <c r="CA231" i="4"/>
  <c r="CA232" i="4"/>
  <c r="CA233" i="4"/>
  <c r="CA234" i="4"/>
  <c r="CA235" i="4"/>
  <c r="CA236" i="4"/>
  <c r="CA237" i="4"/>
  <c r="CA238" i="4"/>
  <c r="CA239" i="4"/>
  <c r="CA240" i="4"/>
  <c r="CA241" i="4"/>
  <c r="CA242" i="4"/>
  <c r="CA243" i="4"/>
  <c r="CA244" i="4"/>
  <c r="CA245" i="4"/>
  <c r="CA246" i="4"/>
  <c r="CA247" i="4"/>
  <c r="CA248" i="4"/>
  <c r="CA249" i="4"/>
  <c r="CA250" i="4"/>
  <c r="CA251" i="4"/>
  <c r="CA252" i="4"/>
  <c r="CA253" i="4"/>
  <c r="CA254" i="4"/>
  <c r="CA255" i="4"/>
  <c r="CB4" i="4"/>
  <c r="CB5" i="4"/>
  <c r="CB6" i="4"/>
  <c r="CB7" i="4"/>
  <c r="CB8" i="4"/>
  <c r="CB9" i="4"/>
  <c r="CB10" i="4"/>
  <c r="CB11" i="4"/>
  <c r="CB12" i="4"/>
  <c r="CB13" i="4"/>
  <c r="CB14" i="4"/>
  <c r="CB15" i="4"/>
  <c r="CB16" i="4"/>
  <c r="CB17" i="4"/>
  <c r="CB18" i="4"/>
  <c r="CB19" i="4"/>
  <c r="CB20" i="4"/>
  <c r="CB21" i="4"/>
  <c r="CB22" i="4"/>
  <c r="CB23" i="4"/>
  <c r="CB24" i="4"/>
  <c r="CB25" i="4"/>
  <c r="CB26" i="4"/>
  <c r="CB27" i="4"/>
  <c r="CB28" i="4"/>
  <c r="CB29" i="4"/>
  <c r="CB30" i="4"/>
  <c r="CB31" i="4"/>
  <c r="CB32" i="4"/>
  <c r="CB33" i="4"/>
  <c r="CB34" i="4"/>
  <c r="CB35" i="4"/>
  <c r="CB36" i="4"/>
  <c r="CB37" i="4"/>
  <c r="CB38" i="4"/>
  <c r="CB39" i="4"/>
  <c r="CB40" i="4"/>
  <c r="CB41" i="4"/>
  <c r="CB42" i="4"/>
  <c r="CB43" i="4"/>
  <c r="CB44" i="4"/>
  <c r="CB45" i="4"/>
  <c r="CB46" i="4"/>
  <c r="CB47" i="4"/>
  <c r="CB48" i="4"/>
  <c r="CB49" i="4"/>
  <c r="CB50" i="4"/>
  <c r="CB51" i="4"/>
  <c r="CB52" i="4"/>
  <c r="CB53" i="4"/>
  <c r="CB54" i="4"/>
  <c r="CB55" i="4"/>
  <c r="CB56" i="4"/>
  <c r="CB57" i="4"/>
  <c r="CB58" i="4"/>
  <c r="CB59" i="4"/>
  <c r="CB60" i="4"/>
  <c r="CB61" i="4"/>
  <c r="CB62" i="4"/>
  <c r="CB63" i="4"/>
  <c r="CB64" i="4"/>
  <c r="CB65" i="4"/>
  <c r="CB66" i="4"/>
  <c r="CB67" i="4"/>
  <c r="CB68" i="4"/>
  <c r="CB69" i="4"/>
  <c r="CB70" i="4"/>
  <c r="CB71" i="4"/>
  <c r="CB72" i="4"/>
  <c r="CB73" i="4"/>
  <c r="CB74" i="4"/>
  <c r="CB75" i="4"/>
  <c r="CB76" i="4"/>
  <c r="CB77" i="4"/>
  <c r="CB78" i="4"/>
  <c r="CB79" i="4"/>
  <c r="CB80" i="4"/>
  <c r="CB81" i="4"/>
  <c r="CB82" i="4"/>
  <c r="CB83" i="4"/>
  <c r="CB84" i="4"/>
  <c r="CB85" i="4"/>
  <c r="CB86" i="4"/>
  <c r="CB87" i="4"/>
  <c r="CB88" i="4"/>
  <c r="CB89" i="4"/>
  <c r="CB90" i="4"/>
  <c r="CB91" i="4"/>
  <c r="CB92" i="4"/>
  <c r="CB93" i="4"/>
  <c r="CB94" i="4"/>
  <c r="CB95" i="4"/>
  <c r="CB96" i="4"/>
  <c r="CB97" i="4"/>
  <c r="CB98" i="4"/>
  <c r="CB99" i="4"/>
  <c r="CB100" i="4"/>
  <c r="CB101" i="4"/>
  <c r="CB102" i="4"/>
  <c r="CB103" i="4"/>
  <c r="CB104" i="4"/>
  <c r="CB105" i="4"/>
  <c r="CB106" i="4"/>
  <c r="CB107" i="4"/>
  <c r="CB108" i="4"/>
  <c r="CB109" i="4"/>
  <c r="CB110" i="4"/>
  <c r="CB111" i="4"/>
  <c r="CB112" i="4"/>
  <c r="CB113" i="4"/>
  <c r="CB114" i="4"/>
  <c r="CB115" i="4"/>
  <c r="CB116" i="4"/>
  <c r="CB117" i="4"/>
  <c r="CB118" i="4"/>
  <c r="CB119" i="4"/>
  <c r="CB120" i="4"/>
  <c r="CB121" i="4"/>
  <c r="CB122" i="4"/>
  <c r="CB123" i="4"/>
  <c r="CB124" i="4"/>
  <c r="CB125" i="4"/>
  <c r="CB126" i="4"/>
  <c r="CB127" i="4"/>
  <c r="CB128" i="4"/>
  <c r="CB129" i="4"/>
  <c r="CB130" i="4"/>
  <c r="CB131" i="4"/>
  <c r="CB132" i="4"/>
  <c r="CB133" i="4"/>
  <c r="CB134" i="4"/>
  <c r="CB135" i="4"/>
  <c r="CB136" i="4"/>
  <c r="CB137" i="4"/>
  <c r="CB138" i="4"/>
  <c r="CB139" i="4"/>
  <c r="CB140" i="4"/>
  <c r="CB141" i="4"/>
  <c r="CB142" i="4"/>
  <c r="CB143" i="4"/>
  <c r="CB144" i="4"/>
  <c r="CB145" i="4"/>
  <c r="CB146" i="4"/>
  <c r="CB147" i="4"/>
  <c r="CB148" i="4"/>
  <c r="CB149" i="4"/>
  <c r="CB150" i="4"/>
  <c r="CB151" i="4"/>
  <c r="CB152" i="4"/>
  <c r="CB153" i="4"/>
  <c r="CB154" i="4"/>
  <c r="CB155" i="4"/>
  <c r="CB156" i="4"/>
  <c r="CB157" i="4"/>
  <c r="CB158" i="4"/>
  <c r="CB159" i="4"/>
  <c r="CB160" i="4"/>
  <c r="CB161" i="4"/>
  <c r="CB162" i="4"/>
  <c r="CB163" i="4"/>
  <c r="CB164" i="4"/>
  <c r="CB165" i="4"/>
  <c r="CB166" i="4"/>
  <c r="CB167" i="4"/>
  <c r="CB168" i="4"/>
  <c r="CB169" i="4"/>
  <c r="CB170" i="4"/>
  <c r="CB171" i="4"/>
  <c r="CB172" i="4"/>
  <c r="CB173" i="4"/>
  <c r="CB174" i="4"/>
  <c r="CB175" i="4"/>
  <c r="CB176" i="4"/>
  <c r="CB177" i="4"/>
  <c r="CB178" i="4"/>
  <c r="CB179" i="4"/>
  <c r="CB180" i="4"/>
  <c r="CB181" i="4"/>
  <c r="CB182" i="4"/>
  <c r="CB183" i="4"/>
  <c r="CB184" i="4"/>
  <c r="CB185" i="4"/>
  <c r="CB186" i="4"/>
  <c r="CB187" i="4"/>
  <c r="CB188" i="4"/>
  <c r="CB189" i="4"/>
  <c r="CB190" i="4"/>
  <c r="CB191" i="4"/>
  <c r="CB192" i="4"/>
  <c r="CB193" i="4"/>
  <c r="CB194" i="4"/>
  <c r="CB195" i="4"/>
  <c r="CB196" i="4"/>
  <c r="CB197" i="4"/>
  <c r="CB198" i="4"/>
  <c r="CB199" i="4"/>
  <c r="CB200" i="4"/>
  <c r="CB201" i="4"/>
  <c r="CB202" i="4"/>
  <c r="CB203" i="4"/>
  <c r="CB204" i="4"/>
  <c r="CB205" i="4"/>
  <c r="CB206" i="4"/>
  <c r="CB207" i="4"/>
  <c r="CB208" i="4"/>
  <c r="CB209" i="4"/>
  <c r="CB210" i="4"/>
  <c r="CB211" i="4"/>
  <c r="CB212" i="4"/>
  <c r="CB213" i="4"/>
  <c r="CB214" i="4"/>
  <c r="CB215" i="4"/>
  <c r="CB216" i="4"/>
  <c r="CB217" i="4"/>
  <c r="CB218" i="4"/>
  <c r="CB219" i="4"/>
  <c r="CB220" i="4"/>
  <c r="CB221" i="4"/>
  <c r="CB222" i="4"/>
  <c r="CB223" i="4"/>
  <c r="CB224" i="4"/>
  <c r="CB225" i="4"/>
  <c r="CB226" i="4"/>
  <c r="CB227" i="4"/>
  <c r="CB228" i="4"/>
  <c r="CB229" i="4"/>
  <c r="CB230" i="4"/>
  <c r="CB231" i="4"/>
  <c r="CB232" i="4"/>
  <c r="CB233" i="4"/>
  <c r="CB234" i="4"/>
  <c r="CB235" i="4"/>
  <c r="CB236" i="4"/>
  <c r="CB237" i="4"/>
  <c r="CB238" i="4"/>
  <c r="CB239" i="4"/>
  <c r="CB240" i="4"/>
  <c r="CB241" i="4"/>
  <c r="CB242" i="4"/>
  <c r="CB243" i="4"/>
  <c r="CB244" i="4"/>
  <c r="CB245" i="4"/>
  <c r="CB246" i="4"/>
  <c r="CB247" i="4"/>
  <c r="CB248" i="4"/>
  <c r="CB249" i="4"/>
  <c r="CB250" i="4"/>
  <c r="CB251" i="4"/>
  <c r="CB252" i="4"/>
  <c r="CB253" i="4"/>
  <c r="CB254" i="4"/>
  <c r="CB255" i="4"/>
  <c r="D4" i="1"/>
  <c r="D5" i="1"/>
  <c r="D6" i="1"/>
  <c r="D7" i="1"/>
  <c r="D8" i="1"/>
  <c r="D9" i="1"/>
  <c r="D10" i="1"/>
  <c r="D11" i="1"/>
  <c r="D12" i="1"/>
  <c r="D13" i="1"/>
  <c r="D14" i="1"/>
  <c r="D15" i="1"/>
  <c r="D16" i="1"/>
  <c r="D17" i="1"/>
  <c r="D18" i="1"/>
  <c r="D19" i="1"/>
  <c r="D20" i="1"/>
  <c r="D21" i="1"/>
  <c r="D22" i="1"/>
  <c r="D23" i="1"/>
  <c r="D24" i="1"/>
  <c r="D25" i="1"/>
  <c r="D26" i="1"/>
  <c r="D27" i="1"/>
  <c r="D28" i="1"/>
  <c r="D29" i="1"/>
  <c r="D30" i="1"/>
  <c r="D31" i="1"/>
  <c r="D32" i="1"/>
  <c r="D33" i="1"/>
  <c r="D34" i="1"/>
  <c r="D35" i="1"/>
  <c r="D36" i="1"/>
  <c r="D37" i="1"/>
  <c r="D38" i="1"/>
  <c r="D39" i="1"/>
  <c r="D40" i="1"/>
  <c r="D41" i="1"/>
  <c r="D42" i="1"/>
  <c r="D43" i="1"/>
  <c r="D44" i="1"/>
  <c r="D45" i="1"/>
  <c r="D46" i="1"/>
  <c r="D47" i="1"/>
  <c r="D48" i="1"/>
  <c r="D49" i="1"/>
  <c r="D50" i="1"/>
  <c r="D51" i="1"/>
  <c r="D52" i="1"/>
  <c r="D53" i="1"/>
  <c r="D54" i="1"/>
  <c r="D55" i="1"/>
  <c r="D56" i="1"/>
  <c r="D57" i="1"/>
  <c r="D58" i="1"/>
  <c r="D59" i="1"/>
  <c r="D60" i="1"/>
  <c r="D61" i="1"/>
  <c r="D62" i="1"/>
  <c r="D63" i="1"/>
  <c r="D64" i="1"/>
  <c r="D65" i="1"/>
  <c r="D66" i="1"/>
  <c r="D67" i="1"/>
  <c r="D68" i="1"/>
  <c r="D69" i="1"/>
  <c r="D70" i="1"/>
  <c r="D71" i="1"/>
  <c r="D72" i="1"/>
  <c r="D73" i="1"/>
  <c r="D74" i="1"/>
  <c r="D75" i="1"/>
  <c r="D76" i="1"/>
  <c r="D77" i="1"/>
  <c r="D78" i="1"/>
  <c r="D79" i="1"/>
  <c r="D80" i="1"/>
  <c r="D81" i="1"/>
  <c r="D82" i="1"/>
  <c r="D83" i="1"/>
  <c r="D84" i="1"/>
  <c r="D85" i="1"/>
  <c r="D86" i="1"/>
  <c r="D87" i="1"/>
  <c r="D88" i="1"/>
  <c r="D89" i="1"/>
  <c r="D90" i="1"/>
  <c r="D91" i="1"/>
  <c r="D92" i="1"/>
  <c r="D93" i="1"/>
  <c r="D94" i="1"/>
  <c r="D95" i="1"/>
  <c r="D96" i="1"/>
  <c r="D97" i="1"/>
  <c r="D98" i="1"/>
  <c r="D99" i="1"/>
  <c r="D100" i="1"/>
  <c r="D101" i="1"/>
  <c r="D102" i="1"/>
  <c r="D103" i="1"/>
  <c r="D104" i="1"/>
  <c r="D105" i="1"/>
  <c r="D106" i="1"/>
  <c r="D107" i="1"/>
  <c r="D108" i="1"/>
  <c r="D109" i="1"/>
  <c r="D110" i="1"/>
  <c r="D111" i="1"/>
  <c r="D112" i="1"/>
  <c r="D113" i="1"/>
  <c r="D114" i="1"/>
  <c r="D115" i="1"/>
  <c r="D116" i="1"/>
  <c r="D117" i="1"/>
  <c r="D118" i="1"/>
  <c r="D119" i="1"/>
  <c r="D120" i="1"/>
  <c r="D121" i="1"/>
  <c r="D122" i="1"/>
  <c r="D123" i="1"/>
  <c r="D124" i="1"/>
  <c r="D125" i="1"/>
  <c r="D126" i="1"/>
  <c r="D127" i="1"/>
  <c r="D128" i="1"/>
  <c r="D129" i="1"/>
  <c r="D130" i="1"/>
  <c r="D131" i="1"/>
  <c r="D132" i="1"/>
  <c r="D133" i="1"/>
  <c r="D134" i="1"/>
  <c r="D135" i="1"/>
  <c r="D136" i="1"/>
  <c r="D137" i="1"/>
  <c r="D138" i="1"/>
  <c r="D139" i="1"/>
  <c r="D140" i="1"/>
  <c r="D141" i="1"/>
  <c r="BH141" i="1" s="1"/>
  <c r="D142" i="1"/>
  <c r="D143" i="1"/>
  <c r="D144" i="1"/>
  <c r="D145" i="1"/>
  <c r="D146" i="1"/>
  <c r="D147" i="1"/>
  <c r="BH147" i="1" s="1"/>
  <c r="D148" i="1"/>
  <c r="D149" i="1"/>
  <c r="D150" i="1"/>
  <c r="D151" i="1"/>
  <c r="D152" i="1"/>
  <c r="D153" i="1"/>
  <c r="D154" i="1"/>
  <c r="D155" i="1"/>
  <c r="D156" i="1"/>
  <c r="D157" i="1"/>
  <c r="D158" i="1"/>
  <c r="D159" i="1"/>
  <c r="BH159" i="1" s="1"/>
  <c r="D160" i="1"/>
  <c r="D161" i="1"/>
  <c r="D162" i="1"/>
  <c r="D163" i="1"/>
  <c r="D164" i="1"/>
  <c r="D165" i="1"/>
  <c r="BH165" i="1" s="1"/>
  <c r="D166" i="1"/>
  <c r="D167" i="1"/>
  <c r="D168" i="1"/>
  <c r="D169" i="1"/>
  <c r="D170" i="1"/>
  <c r="D171" i="1"/>
  <c r="BH171" i="1" s="1"/>
  <c r="D172" i="1"/>
  <c r="D173" i="1"/>
  <c r="D174" i="1"/>
  <c r="D175" i="1"/>
  <c r="D176" i="1"/>
  <c r="D177" i="1"/>
  <c r="BH177" i="1" s="1"/>
  <c r="D178" i="1"/>
  <c r="D179" i="1"/>
  <c r="D180" i="1"/>
  <c r="D181" i="1"/>
  <c r="D182" i="1"/>
  <c r="D183" i="1"/>
  <c r="BH183" i="1" s="1"/>
  <c r="D184" i="1"/>
  <c r="D185" i="1"/>
  <c r="D186" i="1"/>
  <c r="D187" i="1"/>
  <c r="D188" i="1"/>
  <c r="D189" i="1"/>
  <c r="BH189" i="1" s="1"/>
  <c r="D190" i="1"/>
  <c r="D191" i="1"/>
  <c r="D192" i="1"/>
  <c r="D193" i="1"/>
  <c r="D194" i="1"/>
  <c r="D195" i="1"/>
  <c r="BH195" i="1" s="1"/>
  <c r="D196" i="1"/>
  <c r="D197" i="1"/>
  <c r="D198" i="1"/>
  <c r="D199" i="1"/>
  <c r="D200" i="1"/>
  <c r="D201" i="1"/>
  <c r="BH201" i="1" s="1"/>
  <c r="D202" i="1"/>
  <c r="D203" i="1"/>
  <c r="D204" i="1"/>
  <c r="D205" i="1"/>
  <c r="D206" i="1"/>
  <c r="D207" i="1"/>
  <c r="D208" i="1"/>
  <c r="D209" i="1"/>
  <c r="D210" i="1"/>
  <c r="D211" i="1"/>
  <c r="D212" i="1"/>
  <c r="D213" i="1"/>
  <c r="BH213" i="1" s="1"/>
  <c r="D214" i="1"/>
  <c r="D215" i="1"/>
  <c r="D216" i="1"/>
  <c r="D217" i="1"/>
  <c r="D218" i="1"/>
  <c r="D219" i="1"/>
  <c r="BH219" i="1" s="1"/>
  <c r="D220" i="1"/>
  <c r="D221" i="1"/>
  <c r="D222" i="1"/>
  <c r="D223" i="1"/>
  <c r="D224" i="1"/>
  <c r="D225" i="1"/>
  <c r="BH225" i="1" s="1"/>
  <c r="D226" i="1"/>
  <c r="D227" i="1"/>
  <c r="D228" i="1"/>
  <c r="D229" i="1"/>
  <c r="D230" i="1"/>
  <c r="D231" i="1"/>
  <c r="D232" i="1"/>
  <c r="D233" i="1"/>
  <c r="D234" i="1"/>
  <c r="D235" i="1"/>
  <c r="D236" i="1"/>
  <c r="D237" i="1"/>
  <c r="BH237" i="1" s="1"/>
  <c r="D238" i="1"/>
  <c r="D239" i="1"/>
  <c r="D240" i="1"/>
  <c r="D241" i="1"/>
  <c r="D242" i="1"/>
  <c r="D243" i="1"/>
  <c r="BH243" i="1" s="1"/>
  <c r="D244" i="1"/>
  <c r="D245" i="1"/>
  <c r="D246" i="1"/>
  <c r="D247" i="1"/>
  <c r="D248" i="1"/>
  <c r="D249" i="1"/>
  <c r="BH249" i="1" s="1"/>
  <c r="D250" i="1"/>
  <c r="D251" i="1"/>
  <c r="D252" i="1"/>
  <c r="D253" i="1"/>
  <c r="D254" i="1"/>
  <c r="D255" i="1"/>
  <c r="BH255" i="1" s="1"/>
  <c r="E4" i="1"/>
  <c r="E5" i="1"/>
  <c r="E6" i="1"/>
  <c r="E7" i="1"/>
  <c r="E8" i="1"/>
  <c r="E9" i="1"/>
  <c r="E10" i="1"/>
  <c r="E11" i="1"/>
  <c r="E12" i="1"/>
  <c r="E13" i="1"/>
  <c r="E14" i="1"/>
  <c r="E15" i="1"/>
  <c r="E16" i="1"/>
  <c r="E17" i="1"/>
  <c r="E18" i="1"/>
  <c r="E19" i="1"/>
  <c r="E20" i="1"/>
  <c r="E21" i="1"/>
  <c r="E22" i="1"/>
  <c r="E23" i="1"/>
  <c r="E24" i="1"/>
  <c r="E25" i="1"/>
  <c r="E26" i="1"/>
  <c r="E27" i="1"/>
  <c r="E28" i="1"/>
  <c r="E29" i="1"/>
  <c r="E30" i="1"/>
  <c r="E31" i="1"/>
  <c r="E32" i="1"/>
  <c r="E33" i="1"/>
  <c r="E34" i="1"/>
  <c r="E35" i="1"/>
  <c r="E36" i="1"/>
  <c r="E37" i="1"/>
  <c r="E38" i="1"/>
  <c r="E39" i="1"/>
  <c r="E40" i="1"/>
  <c r="E41" i="1"/>
  <c r="E42" i="1"/>
  <c r="E43" i="1"/>
  <c r="E44" i="1"/>
  <c r="E45" i="1"/>
  <c r="E46" i="1"/>
  <c r="E47" i="1"/>
  <c r="E48" i="1"/>
  <c r="E49" i="1"/>
  <c r="E50" i="1"/>
  <c r="E51" i="1"/>
  <c r="E52" i="1"/>
  <c r="E53" i="1"/>
  <c r="E54" i="1"/>
  <c r="E55" i="1"/>
  <c r="E56" i="1"/>
  <c r="E57" i="1"/>
  <c r="E58" i="1"/>
  <c r="E59" i="1"/>
  <c r="E60" i="1"/>
  <c r="E61" i="1"/>
  <c r="E62" i="1"/>
  <c r="E63" i="1"/>
  <c r="E64" i="1"/>
  <c r="E65" i="1"/>
  <c r="E66" i="1"/>
  <c r="E67" i="1"/>
  <c r="E68" i="1"/>
  <c r="E69" i="1"/>
  <c r="E70" i="1"/>
  <c r="E71" i="1"/>
  <c r="E72" i="1"/>
  <c r="E73" i="1"/>
  <c r="E74" i="1"/>
  <c r="E75" i="1"/>
  <c r="E76" i="1"/>
  <c r="E77" i="1"/>
  <c r="E78" i="1"/>
  <c r="E79" i="1"/>
  <c r="E80" i="1"/>
  <c r="E81" i="1"/>
  <c r="E82" i="1"/>
  <c r="E83" i="1"/>
  <c r="E84" i="1"/>
  <c r="E85" i="1"/>
  <c r="E86" i="1"/>
  <c r="E87" i="1"/>
  <c r="E88" i="1"/>
  <c r="E89" i="1"/>
  <c r="E90" i="1"/>
  <c r="E91" i="1"/>
  <c r="E92" i="1"/>
  <c r="E93" i="1"/>
  <c r="E94" i="1"/>
  <c r="E95" i="1"/>
  <c r="E96" i="1"/>
  <c r="E97" i="1"/>
  <c r="E98" i="1"/>
  <c r="E99" i="1"/>
  <c r="E100" i="1"/>
  <c r="E101" i="1"/>
  <c r="E102" i="1"/>
  <c r="E103" i="1"/>
  <c r="E104" i="1"/>
  <c r="E105" i="1"/>
  <c r="E106" i="1"/>
  <c r="E107" i="1"/>
  <c r="E108" i="1"/>
  <c r="E109" i="1"/>
  <c r="E110" i="1"/>
  <c r="E111" i="1"/>
  <c r="E112" i="1"/>
  <c r="E113" i="1"/>
  <c r="E114" i="1"/>
  <c r="E115" i="1"/>
  <c r="E116" i="1"/>
  <c r="E117" i="1"/>
  <c r="E118" i="1"/>
  <c r="E119" i="1"/>
  <c r="E120" i="1"/>
  <c r="E121" i="1"/>
  <c r="E122" i="1"/>
  <c r="E123" i="1"/>
  <c r="E124" i="1"/>
  <c r="E125" i="1"/>
  <c r="E126" i="1"/>
  <c r="E127" i="1"/>
  <c r="E128" i="1"/>
  <c r="E129" i="1"/>
  <c r="E130" i="1"/>
  <c r="E131" i="1"/>
  <c r="E132" i="1"/>
  <c r="E133" i="1"/>
  <c r="E134" i="1"/>
  <c r="E135" i="1"/>
  <c r="E136" i="1"/>
  <c r="E137" i="1"/>
  <c r="E138" i="1"/>
  <c r="E139" i="1"/>
  <c r="E140" i="1"/>
  <c r="E141" i="1"/>
  <c r="E142" i="1"/>
  <c r="E143" i="1"/>
  <c r="E144" i="1"/>
  <c r="E145" i="1"/>
  <c r="E146" i="1"/>
  <c r="E147" i="1"/>
  <c r="E148" i="1"/>
  <c r="E149" i="1"/>
  <c r="E150" i="1"/>
  <c r="E151" i="1"/>
  <c r="E152" i="1"/>
  <c r="E153" i="1"/>
  <c r="E154" i="1"/>
  <c r="E155" i="1"/>
  <c r="E156" i="1"/>
  <c r="E157" i="1"/>
  <c r="E158" i="1"/>
  <c r="E159" i="1"/>
  <c r="E160" i="1"/>
  <c r="E161" i="1"/>
  <c r="E162" i="1"/>
  <c r="E163" i="1"/>
  <c r="E164" i="1"/>
  <c r="E165" i="1"/>
  <c r="E166" i="1"/>
  <c r="E167" i="1"/>
  <c r="E168" i="1"/>
  <c r="E169" i="1"/>
  <c r="E170" i="1"/>
  <c r="E171" i="1"/>
  <c r="E172" i="1"/>
  <c r="E173" i="1"/>
  <c r="E174" i="1"/>
  <c r="E175" i="1"/>
  <c r="E176" i="1"/>
  <c r="E177" i="1"/>
  <c r="E178" i="1"/>
  <c r="E179" i="1"/>
  <c r="E180" i="1"/>
  <c r="E181" i="1"/>
  <c r="E182" i="1"/>
  <c r="E183" i="1"/>
  <c r="E184" i="1"/>
  <c r="E185" i="1"/>
  <c r="E186" i="1"/>
  <c r="E187" i="1"/>
  <c r="E188" i="1"/>
  <c r="E189" i="1"/>
  <c r="E190" i="1"/>
  <c r="E191" i="1"/>
  <c r="E192" i="1"/>
  <c r="E193" i="1"/>
  <c r="E194" i="1"/>
  <c r="E195" i="1"/>
  <c r="E196" i="1"/>
  <c r="E197" i="1"/>
  <c r="E198" i="1"/>
  <c r="E199" i="1"/>
  <c r="E200" i="1"/>
  <c r="E201" i="1"/>
  <c r="E202" i="1"/>
  <c r="E203" i="1"/>
  <c r="E204" i="1"/>
  <c r="E205" i="1"/>
  <c r="E206" i="1"/>
  <c r="E207" i="1"/>
  <c r="E208" i="1"/>
  <c r="E209" i="1"/>
  <c r="E210" i="1"/>
  <c r="E211" i="1"/>
  <c r="E212" i="1"/>
  <c r="E213" i="1"/>
  <c r="E214" i="1"/>
  <c r="E215" i="1"/>
  <c r="E216" i="1"/>
  <c r="E217" i="1"/>
  <c r="E218" i="1"/>
  <c r="E219" i="1"/>
  <c r="E220" i="1"/>
  <c r="E221" i="1"/>
  <c r="E222" i="1"/>
  <c r="E223" i="1"/>
  <c r="E224" i="1"/>
  <c r="E225" i="1"/>
  <c r="E226" i="1"/>
  <c r="E227" i="1"/>
  <c r="E228" i="1"/>
  <c r="E229" i="1"/>
  <c r="E230" i="1"/>
  <c r="E231" i="1"/>
  <c r="E232" i="1"/>
  <c r="E233" i="1"/>
  <c r="E234" i="1"/>
  <c r="E235" i="1"/>
  <c r="E236" i="1"/>
  <c r="E237" i="1"/>
  <c r="E238" i="1"/>
  <c r="E239" i="1"/>
  <c r="E240" i="1"/>
  <c r="E241" i="1"/>
  <c r="E242" i="1"/>
  <c r="E243" i="1"/>
  <c r="E244" i="1"/>
  <c r="E245" i="1"/>
  <c r="E246" i="1"/>
  <c r="E247" i="1"/>
  <c r="E248" i="1"/>
  <c r="E249" i="1"/>
  <c r="E250" i="1"/>
  <c r="E251" i="1"/>
  <c r="E252" i="1"/>
  <c r="E253" i="1"/>
  <c r="E254" i="1"/>
  <c r="E255" i="1"/>
  <c r="F4" i="1"/>
  <c r="F5" i="1"/>
  <c r="F6" i="1"/>
  <c r="F7" i="1"/>
  <c r="F8" i="1"/>
  <c r="F9" i="1"/>
  <c r="F10" i="1"/>
  <c r="F11" i="1"/>
  <c r="F12" i="1"/>
  <c r="F13" i="1"/>
  <c r="F14" i="1"/>
  <c r="F15" i="1"/>
  <c r="F16" i="1"/>
  <c r="F17" i="1"/>
  <c r="F18" i="1"/>
  <c r="F19" i="1"/>
  <c r="F20" i="1"/>
  <c r="F21" i="1"/>
  <c r="F22" i="1"/>
  <c r="F23" i="1"/>
  <c r="F24" i="1"/>
  <c r="F25" i="1"/>
  <c r="F26" i="1"/>
  <c r="F27" i="1"/>
  <c r="F28" i="1"/>
  <c r="F29" i="1"/>
  <c r="F30" i="1"/>
  <c r="F31" i="1"/>
  <c r="F32" i="1"/>
  <c r="F33" i="1"/>
  <c r="F34" i="1"/>
  <c r="F35" i="1"/>
  <c r="F36" i="1"/>
  <c r="F37" i="1"/>
  <c r="F38" i="1"/>
  <c r="F39" i="1"/>
  <c r="F40" i="1"/>
  <c r="F41" i="1"/>
  <c r="F42" i="1"/>
  <c r="F43" i="1"/>
  <c r="F44" i="1"/>
  <c r="F45" i="1"/>
  <c r="F46" i="1"/>
  <c r="F47" i="1"/>
  <c r="F48" i="1"/>
  <c r="F49" i="1"/>
  <c r="F50" i="1"/>
  <c r="F51" i="1"/>
  <c r="F52" i="1"/>
  <c r="F53" i="1"/>
  <c r="F54" i="1"/>
  <c r="F55" i="1"/>
  <c r="F56" i="1"/>
  <c r="F57" i="1"/>
  <c r="F58" i="1"/>
  <c r="F59" i="1"/>
  <c r="F60" i="1"/>
  <c r="F61" i="1"/>
  <c r="F62" i="1"/>
  <c r="F63" i="1"/>
  <c r="F64" i="1"/>
  <c r="F65" i="1"/>
  <c r="F66" i="1"/>
  <c r="F67" i="1"/>
  <c r="F68" i="1"/>
  <c r="F69" i="1"/>
  <c r="F70" i="1"/>
  <c r="F71" i="1"/>
  <c r="F72" i="1"/>
  <c r="F73" i="1"/>
  <c r="F74" i="1"/>
  <c r="F75" i="1"/>
  <c r="F76" i="1"/>
  <c r="F77" i="1"/>
  <c r="F78" i="1"/>
  <c r="F79" i="1"/>
  <c r="F80" i="1"/>
  <c r="F81" i="1"/>
  <c r="F82" i="1"/>
  <c r="F83" i="1"/>
  <c r="F84" i="1"/>
  <c r="F85" i="1"/>
  <c r="F86" i="1"/>
  <c r="F87" i="1"/>
  <c r="F88" i="1"/>
  <c r="F89" i="1"/>
  <c r="F90" i="1"/>
  <c r="F91" i="1"/>
  <c r="F92" i="1"/>
  <c r="F93" i="1"/>
  <c r="F94" i="1"/>
  <c r="F95" i="1"/>
  <c r="F96" i="1"/>
  <c r="F97" i="1"/>
  <c r="F98" i="1"/>
  <c r="F99" i="1"/>
  <c r="F100" i="1"/>
  <c r="F101" i="1"/>
  <c r="F102" i="1"/>
  <c r="F103" i="1"/>
  <c r="F104" i="1"/>
  <c r="F105" i="1"/>
  <c r="F106" i="1"/>
  <c r="F107" i="1"/>
  <c r="F108" i="1"/>
  <c r="F109" i="1"/>
  <c r="F110" i="1"/>
  <c r="F111" i="1"/>
  <c r="F112" i="1"/>
  <c r="F113" i="1"/>
  <c r="F114" i="1"/>
  <c r="F115" i="1"/>
  <c r="F116" i="1"/>
  <c r="F117" i="1"/>
  <c r="F118" i="1"/>
  <c r="F119" i="1"/>
  <c r="F120" i="1"/>
  <c r="F121" i="1"/>
  <c r="F122" i="1"/>
  <c r="F123" i="1"/>
  <c r="F124" i="1"/>
  <c r="F125" i="1"/>
  <c r="F126" i="1"/>
  <c r="F127" i="1"/>
  <c r="F128" i="1"/>
  <c r="F129" i="1"/>
  <c r="F130" i="1"/>
  <c r="F131" i="1"/>
  <c r="F132" i="1"/>
  <c r="F133" i="1"/>
  <c r="F134" i="1"/>
  <c r="F135" i="1"/>
  <c r="F136" i="1"/>
  <c r="F137" i="1"/>
  <c r="F138" i="1"/>
  <c r="F139" i="1"/>
  <c r="F140" i="1"/>
  <c r="F141" i="1"/>
  <c r="F142" i="1"/>
  <c r="F143" i="1"/>
  <c r="F144" i="1"/>
  <c r="F145" i="1"/>
  <c r="F146" i="1"/>
  <c r="F147" i="1"/>
  <c r="F148" i="1"/>
  <c r="F149" i="1"/>
  <c r="F150" i="1"/>
  <c r="F151" i="1"/>
  <c r="F152" i="1"/>
  <c r="F153" i="1"/>
  <c r="F154" i="1"/>
  <c r="F155" i="1"/>
  <c r="F156" i="1"/>
  <c r="F157" i="1"/>
  <c r="F158" i="1"/>
  <c r="F159" i="1"/>
  <c r="F160" i="1"/>
  <c r="F161" i="1"/>
  <c r="F162" i="1"/>
  <c r="F163" i="1"/>
  <c r="F164" i="1"/>
  <c r="F165" i="1"/>
  <c r="F166" i="1"/>
  <c r="F167" i="1"/>
  <c r="F168" i="1"/>
  <c r="F169" i="1"/>
  <c r="F170" i="1"/>
  <c r="F171" i="1"/>
  <c r="F172" i="1"/>
  <c r="F173" i="1"/>
  <c r="F174" i="1"/>
  <c r="F175" i="1"/>
  <c r="F176" i="1"/>
  <c r="F177" i="1"/>
  <c r="F178" i="1"/>
  <c r="F179" i="1"/>
  <c r="F180" i="1"/>
  <c r="F181" i="1"/>
  <c r="F182" i="1"/>
  <c r="F183" i="1"/>
  <c r="F184" i="1"/>
  <c r="F185" i="1"/>
  <c r="F186" i="1"/>
  <c r="F187" i="1"/>
  <c r="F188" i="1"/>
  <c r="F189" i="1"/>
  <c r="F190" i="1"/>
  <c r="F191" i="1"/>
  <c r="F192" i="1"/>
  <c r="F193" i="1"/>
  <c r="F194" i="1"/>
  <c r="F195" i="1"/>
  <c r="F196" i="1"/>
  <c r="F197" i="1"/>
  <c r="F198" i="1"/>
  <c r="F199" i="1"/>
  <c r="F200" i="1"/>
  <c r="F201" i="1"/>
  <c r="F202" i="1"/>
  <c r="F203" i="1"/>
  <c r="F204" i="1"/>
  <c r="F205" i="1"/>
  <c r="F206" i="1"/>
  <c r="F207" i="1"/>
  <c r="F208" i="1"/>
  <c r="F209" i="1"/>
  <c r="F210" i="1"/>
  <c r="F211" i="1"/>
  <c r="F212" i="1"/>
  <c r="F213" i="1"/>
  <c r="F214" i="1"/>
  <c r="F215" i="1"/>
  <c r="F216" i="1"/>
  <c r="F217" i="1"/>
  <c r="F218" i="1"/>
  <c r="F219" i="1"/>
  <c r="F220" i="1"/>
  <c r="F221" i="1"/>
  <c r="F222" i="1"/>
  <c r="F223" i="1"/>
  <c r="F224" i="1"/>
  <c r="F225" i="1"/>
  <c r="F226" i="1"/>
  <c r="F227" i="1"/>
  <c r="F228" i="1"/>
  <c r="F229" i="1"/>
  <c r="F230" i="1"/>
  <c r="F231" i="1"/>
  <c r="F232" i="1"/>
  <c r="F233" i="1"/>
  <c r="F234" i="1"/>
  <c r="F235" i="1"/>
  <c r="F236" i="1"/>
  <c r="F237" i="1"/>
  <c r="F238" i="1"/>
  <c r="F239" i="1"/>
  <c r="F240" i="1"/>
  <c r="F241" i="1"/>
  <c r="F242" i="1"/>
  <c r="F243" i="1"/>
  <c r="F244" i="1"/>
  <c r="F245" i="1"/>
  <c r="F246" i="1"/>
  <c r="F247" i="1"/>
  <c r="F248" i="1"/>
  <c r="F249" i="1"/>
  <c r="F250" i="1"/>
  <c r="F251" i="1"/>
  <c r="F252" i="1"/>
  <c r="F253" i="1"/>
  <c r="F254" i="1"/>
  <c r="F255" i="1"/>
  <c r="G4" i="1"/>
  <c r="G5" i="1"/>
  <c r="G6" i="1"/>
  <c r="G7" i="1"/>
  <c r="G8" i="1"/>
  <c r="G9" i="1"/>
  <c r="G10" i="1"/>
  <c r="G11" i="1"/>
  <c r="G12" i="1"/>
  <c r="G13" i="1"/>
  <c r="G14" i="1"/>
  <c r="G15" i="1"/>
  <c r="G16" i="1"/>
  <c r="G17" i="1"/>
  <c r="G18" i="1"/>
  <c r="G19" i="1"/>
  <c r="G20" i="1"/>
  <c r="G21" i="1"/>
  <c r="G22" i="1"/>
  <c r="G23" i="1"/>
  <c r="G24" i="1"/>
  <c r="G25" i="1"/>
  <c r="G26" i="1"/>
  <c r="G27" i="1"/>
  <c r="G28" i="1"/>
  <c r="G29" i="1"/>
  <c r="G30" i="1"/>
  <c r="G31" i="1"/>
  <c r="G32" i="1"/>
  <c r="G33" i="1"/>
  <c r="G34" i="1"/>
  <c r="G35" i="1"/>
  <c r="G36" i="1"/>
  <c r="G37" i="1"/>
  <c r="G38" i="1"/>
  <c r="G39" i="1"/>
  <c r="G40" i="1"/>
  <c r="G41" i="1"/>
  <c r="G42" i="1"/>
  <c r="G43" i="1"/>
  <c r="G44" i="1"/>
  <c r="G45" i="1"/>
  <c r="G46" i="1"/>
  <c r="G47" i="1"/>
  <c r="G48" i="1"/>
  <c r="G49" i="1"/>
  <c r="G50" i="1"/>
  <c r="G51" i="1"/>
  <c r="G52" i="1"/>
  <c r="G53" i="1"/>
  <c r="G54" i="1"/>
  <c r="G55" i="1"/>
  <c r="G56" i="1"/>
  <c r="G57" i="1"/>
  <c r="G58" i="1"/>
  <c r="G59" i="1"/>
  <c r="G60" i="1"/>
  <c r="G61" i="1"/>
  <c r="G62" i="1"/>
  <c r="G63" i="1"/>
  <c r="G64" i="1"/>
  <c r="G65" i="1"/>
  <c r="G66" i="1"/>
  <c r="G67" i="1"/>
  <c r="G68" i="1"/>
  <c r="G69" i="1"/>
  <c r="G70" i="1"/>
  <c r="G71" i="1"/>
  <c r="G72" i="1"/>
  <c r="G73" i="1"/>
  <c r="G74" i="1"/>
  <c r="G75" i="1"/>
  <c r="G76" i="1"/>
  <c r="G77" i="1"/>
  <c r="G78" i="1"/>
  <c r="G79" i="1"/>
  <c r="G80" i="1"/>
  <c r="G81" i="1"/>
  <c r="G82" i="1"/>
  <c r="G83" i="1"/>
  <c r="G84" i="1"/>
  <c r="G85" i="1"/>
  <c r="G86" i="1"/>
  <c r="G87" i="1"/>
  <c r="G88" i="1"/>
  <c r="G89" i="1"/>
  <c r="G90" i="1"/>
  <c r="G91" i="1"/>
  <c r="G92" i="1"/>
  <c r="G93" i="1"/>
  <c r="G94" i="1"/>
  <c r="G95" i="1"/>
  <c r="G96" i="1"/>
  <c r="G97" i="1"/>
  <c r="G98" i="1"/>
  <c r="G99" i="1"/>
  <c r="G100" i="1"/>
  <c r="G101" i="1"/>
  <c r="G102" i="1"/>
  <c r="G103" i="1"/>
  <c r="G104" i="1"/>
  <c r="G105" i="1"/>
  <c r="G106" i="1"/>
  <c r="G107" i="1"/>
  <c r="G108" i="1"/>
  <c r="G109" i="1"/>
  <c r="G110" i="1"/>
  <c r="G111" i="1"/>
  <c r="G112" i="1"/>
  <c r="G113" i="1"/>
  <c r="G114" i="1"/>
  <c r="G115" i="1"/>
  <c r="G116" i="1"/>
  <c r="G117" i="1"/>
  <c r="G118" i="1"/>
  <c r="G119" i="1"/>
  <c r="G120" i="1"/>
  <c r="G121" i="1"/>
  <c r="G122" i="1"/>
  <c r="G123" i="1"/>
  <c r="G124" i="1"/>
  <c r="G125" i="1"/>
  <c r="G126" i="1"/>
  <c r="G127" i="1"/>
  <c r="G128" i="1"/>
  <c r="G129" i="1"/>
  <c r="G130" i="1"/>
  <c r="G131" i="1"/>
  <c r="G132" i="1"/>
  <c r="G133" i="1"/>
  <c r="G134" i="1"/>
  <c r="G135" i="1"/>
  <c r="G136" i="1"/>
  <c r="G137" i="1"/>
  <c r="G138" i="1"/>
  <c r="G139" i="1"/>
  <c r="G140" i="1"/>
  <c r="G141" i="1"/>
  <c r="G142" i="1"/>
  <c r="G143" i="1"/>
  <c r="G144" i="1"/>
  <c r="G145" i="1"/>
  <c r="G146" i="1"/>
  <c r="G147" i="1"/>
  <c r="G148" i="1"/>
  <c r="G149" i="1"/>
  <c r="G150" i="1"/>
  <c r="G151" i="1"/>
  <c r="G152" i="1"/>
  <c r="G153" i="1"/>
  <c r="G154" i="1"/>
  <c r="G155" i="1"/>
  <c r="G156" i="1"/>
  <c r="G157" i="1"/>
  <c r="G158" i="1"/>
  <c r="G159" i="1"/>
  <c r="G160" i="1"/>
  <c r="G161" i="1"/>
  <c r="G162" i="1"/>
  <c r="G163" i="1"/>
  <c r="G164" i="1"/>
  <c r="G165" i="1"/>
  <c r="G166" i="1"/>
  <c r="G167" i="1"/>
  <c r="G168" i="1"/>
  <c r="G169" i="1"/>
  <c r="G170" i="1"/>
  <c r="G171" i="1"/>
  <c r="G172" i="1"/>
  <c r="G173" i="1"/>
  <c r="G174" i="1"/>
  <c r="G175" i="1"/>
  <c r="G176" i="1"/>
  <c r="G177" i="1"/>
  <c r="G178" i="1"/>
  <c r="G179" i="1"/>
  <c r="G180" i="1"/>
  <c r="G181" i="1"/>
  <c r="G182" i="1"/>
  <c r="G183" i="1"/>
  <c r="G184" i="1"/>
  <c r="G185" i="1"/>
  <c r="G186" i="1"/>
  <c r="G187" i="1"/>
  <c r="G188" i="1"/>
  <c r="G189" i="1"/>
  <c r="G190" i="1"/>
  <c r="G191" i="1"/>
  <c r="G192" i="1"/>
  <c r="G193" i="1"/>
  <c r="G194" i="1"/>
  <c r="G195" i="1"/>
  <c r="G196" i="1"/>
  <c r="G197" i="1"/>
  <c r="G198" i="1"/>
  <c r="G199" i="1"/>
  <c r="G200" i="1"/>
  <c r="G201" i="1"/>
  <c r="G202" i="1"/>
  <c r="G203" i="1"/>
  <c r="G204" i="1"/>
  <c r="G205" i="1"/>
  <c r="G206" i="1"/>
  <c r="G207" i="1"/>
  <c r="G208" i="1"/>
  <c r="G209" i="1"/>
  <c r="G210" i="1"/>
  <c r="G211" i="1"/>
  <c r="G212" i="1"/>
  <c r="G213" i="1"/>
  <c r="G214" i="1"/>
  <c r="G215" i="1"/>
  <c r="G216" i="1"/>
  <c r="G217" i="1"/>
  <c r="G218" i="1"/>
  <c r="G219" i="1"/>
  <c r="G220" i="1"/>
  <c r="G221" i="1"/>
  <c r="G222" i="1"/>
  <c r="G223" i="1"/>
  <c r="G224" i="1"/>
  <c r="G225" i="1"/>
  <c r="G226" i="1"/>
  <c r="G227" i="1"/>
  <c r="G228" i="1"/>
  <c r="G229" i="1"/>
  <c r="G230" i="1"/>
  <c r="G231" i="1"/>
  <c r="G232" i="1"/>
  <c r="G233" i="1"/>
  <c r="G234" i="1"/>
  <c r="G235" i="1"/>
  <c r="G236" i="1"/>
  <c r="G237" i="1"/>
  <c r="G238" i="1"/>
  <c r="G239" i="1"/>
  <c r="G240" i="1"/>
  <c r="G241" i="1"/>
  <c r="G242" i="1"/>
  <c r="G243" i="1"/>
  <c r="G244" i="1"/>
  <c r="G245" i="1"/>
  <c r="G246" i="1"/>
  <c r="G247" i="1"/>
  <c r="G248" i="1"/>
  <c r="G249" i="1"/>
  <c r="G250" i="1"/>
  <c r="G251" i="1"/>
  <c r="G252" i="1"/>
  <c r="G253" i="1"/>
  <c r="G254" i="1"/>
  <c r="G255" i="1"/>
  <c r="H4" i="1"/>
  <c r="H5" i="1"/>
  <c r="H6" i="1"/>
  <c r="H7" i="1"/>
  <c r="H8" i="1"/>
  <c r="H9" i="1"/>
  <c r="H10" i="1"/>
  <c r="H11" i="1"/>
  <c r="H12" i="1"/>
  <c r="H13" i="1"/>
  <c r="H14" i="1"/>
  <c r="H15" i="1"/>
  <c r="H16" i="1"/>
  <c r="H17" i="1"/>
  <c r="H18" i="1"/>
  <c r="H19" i="1"/>
  <c r="H20" i="1"/>
  <c r="H21" i="1"/>
  <c r="H22" i="1"/>
  <c r="H23" i="1"/>
  <c r="H24" i="1"/>
  <c r="H25" i="1"/>
  <c r="H26" i="1"/>
  <c r="H27" i="1"/>
  <c r="H28" i="1"/>
  <c r="H29" i="1"/>
  <c r="H30" i="1"/>
  <c r="H31" i="1"/>
  <c r="H32" i="1"/>
  <c r="H33" i="1"/>
  <c r="H34" i="1"/>
  <c r="H35" i="1"/>
  <c r="H36" i="1"/>
  <c r="H37" i="1"/>
  <c r="H38" i="1"/>
  <c r="H39" i="1"/>
  <c r="H40" i="1"/>
  <c r="H41" i="1"/>
  <c r="H42" i="1"/>
  <c r="H43" i="1"/>
  <c r="H44" i="1"/>
  <c r="H45" i="1"/>
  <c r="H46" i="1"/>
  <c r="H47" i="1"/>
  <c r="H48" i="1"/>
  <c r="H49" i="1"/>
  <c r="H50" i="1"/>
  <c r="H51" i="1"/>
  <c r="H52" i="1"/>
  <c r="H53" i="1"/>
  <c r="H54" i="1"/>
  <c r="H55" i="1"/>
  <c r="H56" i="1"/>
  <c r="H57" i="1"/>
  <c r="H58" i="1"/>
  <c r="H59" i="1"/>
  <c r="H60" i="1"/>
  <c r="H61" i="1"/>
  <c r="H62" i="1"/>
  <c r="H63" i="1"/>
  <c r="H64" i="1"/>
  <c r="H65" i="1"/>
  <c r="H66" i="1"/>
  <c r="H67" i="1"/>
  <c r="H68" i="1"/>
  <c r="H69" i="1"/>
  <c r="H70" i="1"/>
  <c r="H71" i="1"/>
  <c r="H72" i="1"/>
  <c r="H73" i="1"/>
  <c r="H74" i="1"/>
  <c r="H75" i="1"/>
  <c r="H76" i="1"/>
  <c r="H77" i="1"/>
  <c r="H78" i="1"/>
  <c r="H79" i="1"/>
  <c r="H80" i="1"/>
  <c r="H81" i="1"/>
  <c r="H82" i="1"/>
  <c r="H83" i="1"/>
  <c r="H84" i="1"/>
  <c r="H85" i="1"/>
  <c r="H86" i="1"/>
  <c r="H87" i="1"/>
  <c r="H88" i="1"/>
  <c r="H89" i="1"/>
  <c r="H90" i="1"/>
  <c r="H91" i="1"/>
  <c r="H92" i="1"/>
  <c r="H93" i="1"/>
  <c r="H94" i="1"/>
  <c r="H95" i="1"/>
  <c r="H96" i="1"/>
  <c r="H97" i="1"/>
  <c r="H98" i="1"/>
  <c r="H99" i="1"/>
  <c r="H100" i="1"/>
  <c r="H101" i="1"/>
  <c r="H102" i="1"/>
  <c r="H103" i="1"/>
  <c r="H104" i="1"/>
  <c r="H105" i="1"/>
  <c r="H106" i="1"/>
  <c r="H107" i="1"/>
  <c r="H108" i="1"/>
  <c r="H109" i="1"/>
  <c r="H110" i="1"/>
  <c r="H111" i="1"/>
  <c r="H112" i="1"/>
  <c r="H113" i="1"/>
  <c r="H114" i="1"/>
  <c r="H115" i="1"/>
  <c r="H116" i="1"/>
  <c r="H117" i="1"/>
  <c r="H118" i="1"/>
  <c r="H119" i="1"/>
  <c r="H120" i="1"/>
  <c r="H121" i="1"/>
  <c r="H122" i="1"/>
  <c r="H123" i="1"/>
  <c r="H124" i="1"/>
  <c r="H125" i="1"/>
  <c r="H126" i="1"/>
  <c r="H127" i="1"/>
  <c r="H128" i="1"/>
  <c r="H129" i="1"/>
  <c r="H130" i="1"/>
  <c r="H131" i="1"/>
  <c r="H132" i="1"/>
  <c r="H133" i="1"/>
  <c r="H134" i="1"/>
  <c r="H135" i="1"/>
  <c r="H136" i="1"/>
  <c r="H137" i="1"/>
  <c r="H138" i="1"/>
  <c r="H139" i="1"/>
  <c r="H140" i="1"/>
  <c r="H141" i="1"/>
  <c r="H142" i="1"/>
  <c r="H143" i="1"/>
  <c r="H144" i="1"/>
  <c r="H145" i="1"/>
  <c r="H146" i="1"/>
  <c r="H147" i="1"/>
  <c r="H148" i="1"/>
  <c r="H149" i="1"/>
  <c r="H150" i="1"/>
  <c r="H151" i="1"/>
  <c r="H152" i="1"/>
  <c r="H153" i="1"/>
  <c r="H154" i="1"/>
  <c r="H155" i="1"/>
  <c r="H156" i="1"/>
  <c r="H157" i="1"/>
  <c r="H158" i="1"/>
  <c r="H159" i="1"/>
  <c r="H160" i="1"/>
  <c r="H161" i="1"/>
  <c r="H162" i="1"/>
  <c r="H163" i="1"/>
  <c r="H164" i="1"/>
  <c r="H165" i="1"/>
  <c r="H166" i="1"/>
  <c r="H167" i="1"/>
  <c r="H168" i="1"/>
  <c r="H169" i="1"/>
  <c r="H170" i="1"/>
  <c r="H171" i="1"/>
  <c r="H172" i="1"/>
  <c r="H173" i="1"/>
  <c r="H174" i="1"/>
  <c r="H175" i="1"/>
  <c r="H176" i="1"/>
  <c r="H177" i="1"/>
  <c r="H178" i="1"/>
  <c r="H179" i="1"/>
  <c r="H180" i="1"/>
  <c r="H181" i="1"/>
  <c r="H182" i="1"/>
  <c r="H183" i="1"/>
  <c r="H184" i="1"/>
  <c r="H185" i="1"/>
  <c r="H186" i="1"/>
  <c r="H187" i="1"/>
  <c r="H188" i="1"/>
  <c r="H189" i="1"/>
  <c r="H190" i="1"/>
  <c r="H191" i="1"/>
  <c r="H192" i="1"/>
  <c r="H193" i="1"/>
  <c r="H194" i="1"/>
  <c r="H195" i="1"/>
  <c r="H196" i="1"/>
  <c r="H197" i="1"/>
  <c r="H198" i="1"/>
  <c r="H199" i="1"/>
  <c r="H200" i="1"/>
  <c r="H201" i="1"/>
  <c r="H202" i="1"/>
  <c r="H203" i="1"/>
  <c r="H204" i="1"/>
  <c r="H205" i="1"/>
  <c r="H206" i="1"/>
  <c r="H207" i="1"/>
  <c r="H208" i="1"/>
  <c r="H209" i="1"/>
  <c r="H210" i="1"/>
  <c r="H211" i="1"/>
  <c r="H212" i="1"/>
  <c r="H213" i="1"/>
  <c r="H214" i="1"/>
  <c r="H215" i="1"/>
  <c r="H216" i="1"/>
  <c r="H217" i="1"/>
  <c r="H218" i="1"/>
  <c r="H219" i="1"/>
  <c r="H220" i="1"/>
  <c r="H221" i="1"/>
  <c r="H222" i="1"/>
  <c r="H223" i="1"/>
  <c r="H224" i="1"/>
  <c r="H225" i="1"/>
  <c r="H226" i="1"/>
  <c r="H227" i="1"/>
  <c r="H228" i="1"/>
  <c r="H229" i="1"/>
  <c r="H230" i="1"/>
  <c r="H231" i="1"/>
  <c r="H232" i="1"/>
  <c r="H233" i="1"/>
  <c r="H234" i="1"/>
  <c r="H235" i="1"/>
  <c r="H236" i="1"/>
  <c r="H237" i="1"/>
  <c r="H238" i="1"/>
  <c r="H239" i="1"/>
  <c r="H240" i="1"/>
  <c r="H241" i="1"/>
  <c r="H242" i="1"/>
  <c r="H243" i="1"/>
  <c r="H244" i="1"/>
  <c r="H245" i="1"/>
  <c r="H246" i="1"/>
  <c r="H247" i="1"/>
  <c r="H248" i="1"/>
  <c r="H249" i="1"/>
  <c r="H250" i="1"/>
  <c r="H251" i="1"/>
  <c r="H252" i="1"/>
  <c r="H253" i="1"/>
  <c r="H254" i="1"/>
  <c r="H255" i="1"/>
  <c r="I4" i="1"/>
  <c r="I5" i="1"/>
  <c r="I6" i="1"/>
  <c r="I7" i="1"/>
  <c r="I8" i="1"/>
  <c r="I9" i="1"/>
  <c r="P9" i="1" s="1" a="1"/>
  <c r="P9" i="1" s="1"/>
  <c r="I10" i="1"/>
  <c r="I11" i="1"/>
  <c r="I12" i="1"/>
  <c r="I13" i="1"/>
  <c r="I14" i="1"/>
  <c r="I15" i="1"/>
  <c r="P15" i="1" s="1" a="1"/>
  <c r="P15" i="1" s="1"/>
  <c r="I16" i="1"/>
  <c r="I17" i="1"/>
  <c r="I18" i="1"/>
  <c r="I19" i="1"/>
  <c r="I20" i="1"/>
  <c r="I21" i="1"/>
  <c r="P21" i="1" s="1" a="1"/>
  <c r="P21" i="1" s="1"/>
  <c r="I22" i="1"/>
  <c r="I23" i="1"/>
  <c r="I24" i="1"/>
  <c r="I25" i="1"/>
  <c r="I26" i="1"/>
  <c r="I27" i="1"/>
  <c r="P27" i="1" s="1" a="1"/>
  <c r="P27" i="1" s="1"/>
  <c r="I28" i="1"/>
  <c r="I29" i="1"/>
  <c r="I30" i="1"/>
  <c r="I31" i="1"/>
  <c r="I32" i="1"/>
  <c r="I33" i="1"/>
  <c r="P33" i="1" s="1" a="1"/>
  <c r="P33" i="1" s="1"/>
  <c r="I34" i="1"/>
  <c r="I35" i="1"/>
  <c r="I36" i="1"/>
  <c r="I37" i="1"/>
  <c r="I38" i="1"/>
  <c r="I39" i="1"/>
  <c r="P39" i="1" s="1" a="1"/>
  <c r="P39" i="1" s="1"/>
  <c r="I40" i="1"/>
  <c r="I41" i="1"/>
  <c r="I42" i="1"/>
  <c r="I43" i="1"/>
  <c r="I44" i="1"/>
  <c r="I45" i="1"/>
  <c r="P45" i="1" s="1" a="1"/>
  <c r="P45" i="1" s="1"/>
  <c r="I46" i="1"/>
  <c r="I47" i="1"/>
  <c r="I48" i="1"/>
  <c r="I49" i="1"/>
  <c r="I50" i="1"/>
  <c r="I51" i="1"/>
  <c r="P51" i="1" s="1" a="1"/>
  <c r="P51" i="1" s="1"/>
  <c r="I52" i="1"/>
  <c r="I53" i="1"/>
  <c r="I54" i="1"/>
  <c r="I55" i="1"/>
  <c r="I56" i="1"/>
  <c r="I57" i="1"/>
  <c r="P57" i="1" s="1" a="1"/>
  <c r="P57" i="1" s="1"/>
  <c r="I58" i="1"/>
  <c r="I59" i="1"/>
  <c r="I60" i="1"/>
  <c r="I61" i="1"/>
  <c r="I62" i="1"/>
  <c r="I63" i="1"/>
  <c r="P63" i="1" s="1" a="1"/>
  <c r="P63" i="1" s="1"/>
  <c r="I64" i="1"/>
  <c r="I65" i="1"/>
  <c r="I66" i="1"/>
  <c r="I67" i="1"/>
  <c r="I68" i="1"/>
  <c r="I69" i="1"/>
  <c r="P69" i="1" s="1" a="1"/>
  <c r="P69" i="1" s="1"/>
  <c r="I70" i="1"/>
  <c r="I71" i="1"/>
  <c r="I72" i="1"/>
  <c r="I73" i="1"/>
  <c r="I74" i="1"/>
  <c r="I75" i="1"/>
  <c r="P75" i="1" s="1" a="1"/>
  <c r="P75" i="1" s="1"/>
  <c r="I76" i="1"/>
  <c r="I77" i="1"/>
  <c r="I78" i="1"/>
  <c r="I79" i="1"/>
  <c r="I80" i="1"/>
  <c r="I81" i="1"/>
  <c r="P81" i="1" s="1" a="1"/>
  <c r="P81" i="1" s="1"/>
  <c r="I82" i="1"/>
  <c r="I83" i="1"/>
  <c r="I84" i="1"/>
  <c r="I85" i="1"/>
  <c r="I86" i="1"/>
  <c r="I87" i="1"/>
  <c r="P87" i="1" s="1" a="1"/>
  <c r="P87" i="1" s="1"/>
  <c r="I88" i="1"/>
  <c r="I89" i="1"/>
  <c r="I90" i="1"/>
  <c r="I91" i="1"/>
  <c r="I92" i="1"/>
  <c r="I93" i="1"/>
  <c r="P93" i="1" s="1" a="1"/>
  <c r="P93" i="1" s="1"/>
  <c r="I94" i="1"/>
  <c r="I95" i="1"/>
  <c r="I96" i="1"/>
  <c r="I97" i="1"/>
  <c r="I98" i="1"/>
  <c r="I99" i="1"/>
  <c r="P99" i="1" s="1" a="1"/>
  <c r="P99" i="1" s="1"/>
  <c r="I100" i="1"/>
  <c r="I101" i="1"/>
  <c r="I102" i="1"/>
  <c r="I103" i="1"/>
  <c r="I104" i="1"/>
  <c r="I105" i="1"/>
  <c r="P105" i="1" s="1" a="1"/>
  <c r="P105" i="1" s="1"/>
  <c r="I106" i="1"/>
  <c r="I107" i="1"/>
  <c r="I108" i="1"/>
  <c r="I109" i="1"/>
  <c r="I110" i="1"/>
  <c r="I111" i="1"/>
  <c r="P111" i="1" s="1" a="1"/>
  <c r="P111" i="1" s="1"/>
  <c r="I112" i="1"/>
  <c r="I113" i="1"/>
  <c r="I114" i="1"/>
  <c r="I115" i="1"/>
  <c r="I116" i="1"/>
  <c r="I117" i="1"/>
  <c r="P117" i="1" s="1" a="1"/>
  <c r="P117" i="1" s="1"/>
  <c r="I118" i="1"/>
  <c r="I119" i="1"/>
  <c r="I120" i="1"/>
  <c r="I121" i="1"/>
  <c r="I122" i="1"/>
  <c r="I123" i="1"/>
  <c r="P123" i="1" s="1" a="1"/>
  <c r="P123" i="1" s="1"/>
  <c r="I124" i="1"/>
  <c r="I125" i="1"/>
  <c r="I126" i="1"/>
  <c r="I127" i="1"/>
  <c r="I128" i="1"/>
  <c r="I129" i="1"/>
  <c r="P129" i="1" s="1" a="1"/>
  <c r="P129" i="1" s="1"/>
  <c r="I130" i="1"/>
  <c r="I131" i="1"/>
  <c r="I132" i="1"/>
  <c r="I133" i="1"/>
  <c r="I134" i="1"/>
  <c r="I135" i="1"/>
  <c r="P135" i="1" s="1" a="1"/>
  <c r="P135" i="1" s="1"/>
  <c r="I136" i="1"/>
  <c r="I137" i="1"/>
  <c r="I138" i="1"/>
  <c r="I139" i="1"/>
  <c r="I140" i="1"/>
  <c r="I141" i="1"/>
  <c r="P141" i="1" s="1" a="1"/>
  <c r="P141" i="1" s="1"/>
  <c r="I142" i="1"/>
  <c r="I143" i="1"/>
  <c r="I144" i="1"/>
  <c r="I145" i="1"/>
  <c r="I146" i="1"/>
  <c r="I147" i="1"/>
  <c r="P147" i="1" s="1" a="1"/>
  <c r="P147" i="1" s="1"/>
  <c r="I148" i="1"/>
  <c r="I149" i="1"/>
  <c r="I150" i="1"/>
  <c r="I151" i="1"/>
  <c r="I152" i="1"/>
  <c r="I153" i="1"/>
  <c r="P153" i="1" s="1" a="1"/>
  <c r="P153" i="1" s="1"/>
  <c r="I154" i="1"/>
  <c r="I155" i="1"/>
  <c r="I156" i="1"/>
  <c r="I157" i="1"/>
  <c r="I158" i="1"/>
  <c r="I159" i="1"/>
  <c r="P159" i="1" s="1" a="1"/>
  <c r="P159" i="1" s="1"/>
  <c r="I160" i="1"/>
  <c r="I161" i="1"/>
  <c r="I162" i="1"/>
  <c r="I163" i="1"/>
  <c r="I164" i="1"/>
  <c r="I165" i="1"/>
  <c r="P165" i="1" s="1" a="1"/>
  <c r="P165" i="1" s="1"/>
  <c r="I166" i="1"/>
  <c r="I167" i="1"/>
  <c r="I168" i="1"/>
  <c r="I169" i="1"/>
  <c r="I170" i="1"/>
  <c r="I171" i="1"/>
  <c r="P171" i="1" s="1" a="1"/>
  <c r="P171" i="1" s="1"/>
  <c r="I172" i="1"/>
  <c r="I173" i="1"/>
  <c r="I174" i="1"/>
  <c r="I175" i="1"/>
  <c r="I176" i="1"/>
  <c r="I177" i="1"/>
  <c r="P177" i="1" s="1" a="1"/>
  <c r="P177" i="1" s="1"/>
  <c r="I178" i="1"/>
  <c r="I179" i="1"/>
  <c r="I180" i="1"/>
  <c r="I181" i="1"/>
  <c r="I182" i="1"/>
  <c r="I183" i="1"/>
  <c r="P183" i="1" s="1" a="1"/>
  <c r="P183" i="1" s="1"/>
  <c r="I184" i="1"/>
  <c r="I185" i="1"/>
  <c r="I186" i="1"/>
  <c r="I187" i="1"/>
  <c r="I188" i="1"/>
  <c r="I189" i="1"/>
  <c r="P189" i="1" s="1" a="1"/>
  <c r="P189" i="1" s="1"/>
  <c r="I190" i="1"/>
  <c r="I191" i="1"/>
  <c r="I192" i="1"/>
  <c r="I193" i="1"/>
  <c r="I194" i="1"/>
  <c r="I195" i="1"/>
  <c r="P195" i="1" s="1" a="1"/>
  <c r="P195" i="1" s="1"/>
  <c r="I196" i="1"/>
  <c r="I197" i="1"/>
  <c r="I198" i="1"/>
  <c r="I199" i="1"/>
  <c r="I200" i="1"/>
  <c r="I201" i="1"/>
  <c r="P201" i="1" s="1" a="1"/>
  <c r="P201" i="1" s="1"/>
  <c r="I202" i="1"/>
  <c r="I203" i="1"/>
  <c r="I204" i="1"/>
  <c r="I205" i="1"/>
  <c r="I206" i="1"/>
  <c r="I207" i="1"/>
  <c r="P207" i="1" s="1" a="1"/>
  <c r="P207" i="1" s="1"/>
  <c r="I208" i="1"/>
  <c r="I209" i="1"/>
  <c r="I210" i="1"/>
  <c r="I211" i="1"/>
  <c r="I212" i="1"/>
  <c r="I213" i="1"/>
  <c r="P213" i="1" s="1" a="1"/>
  <c r="P213" i="1" s="1"/>
  <c r="I214" i="1"/>
  <c r="I215" i="1"/>
  <c r="I216" i="1"/>
  <c r="I217" i="1"/>
  <c r="I218" i="1"/>
  <c r="I219" i="1"/>
  <c r="P219" i="1" s="1" a="1"/>
  <c r="P219" i="1" s="1"/>
  <c r="I220" i="1"/>
  <c r="I221" i="1"/>
  <c r="I222" i="1"/>
  <c r="I223" i="1"/>
  <c r="I224" i="1"/>
  <c r="I225" i="1"/>
  <c r="P225" i="1" s="1" a="1"/>
  <c r="P225" i="1" s="1"/>
  <c r="I226" i="1"/>
  <c r="I227" i="1"/>
  <c r="I228" i="1"/>
  <c r="I229" i="1"/>
  <c r="I230" i="1"/>
  <c r="I231" i="1"/>
  <c r="P231" i="1" s="1" a="1"/>
  <c r="P231" i="1" s="1"/>
  <c r="I232" i="1"/>
  <c r="I233" i="1"/>
  <c r="I234" i="1"/>
  <c r="I235" i="1"/>
  <c r="I236" i="1"/>
  <c r="I237" i="1"/>
  <c r="P237" i="1" s="1" a="1"/>
  <c r="P237" i="1" s="1"/>
  <c r="I238" i="1"/>
  <c r="I239" i="1"/>
  <c r="I240" i="1"/>
  <c r="I241" i="1"/>
  <c r="I242" i="1"/>
  <c r="I243" i="1"/>
  <c r="P243" i="1" s="1" a="1"/>
  <c r="P243" i="1" s="1"/>
  <c r="I244" i="1"/>
  <c r="I245" i="1"/>
  <c r="I246" i="1"/>
  <c r="I247" i="1"/>
  <c r="I248" i="1"/>
  <c r="I249" i="1"/>
  <c r="P249" i="1" s="1" a="1"/>
  <c r="P249" i="1" s="1"/>
  <c r="I250" i="1"/>
  <c r="I251" i="1"/>
  <c r="I252" i="1"/>
  <c r="I253" i="1"/>
  <c r="I254" i="1"/>
  <c r="I255" i="1"/>
  <c r="P255" i="1" s="1" a="1"/>
  <c r="P255" i="1" s="1"/>
  <c r="J4" i="1"/>
  <c r="J5" i="1"/>
  <c r="J6" i="1"/>
  <c r="J7" i="1"/>
  <c r="J8" i="1"/>
  <c r="J9" i="1"/>
  <c r="J10" i="1"/>
  <c r="J11" i="1"/>
  <c r="J12" i="1"/>
  <c r="J13" i="1"/>
  <c r="J14" i="1"/>
  <c r="J15" i="1"/>
  <c r="J16" i="1"/>
  <c r="J17" i="1"/>
  <c r="J18" i="1"/>
  <c r="J19" i="1"/>
  <c r="J20" i="1"/>
  <c r="J21" i="1"/>
  <c r="J22" i="1"/>
  <c r="J23" i="1"/>
  <c r="J24" i="1"/>
  <c r="J25" i="1"/>
  <c r="J26" i="1"/>
  <c r="J27" i="1"/>
  <c r="J28" i="1"/>
  <c r="J29" i="1"/>
  <c r="J30" i="1"/>
  <c r="J31" i="1"/>
  <c r="J32" i="1"/>
  <c r="J33" i="1"/>
  <c r="J34" i="1"/>
  <c r="J35" i="1"/>
  <c r="J36" i="1"/>
  <c r="J37" i="1"/>
  <c r="J38" i="1"/>
  <c r="J39" i="1"/>
  <c r="J40" i="1"/>
  <c r="J41" i="1"/>
  <c r="J42" i="1"/>
  <c r="J43" i="1"/>
  <c r="J44" i="1"/>
  <c r="J45" i="1"/>
  <c r="J46" i="1"/>
  <c r="J47" i="1"/>
  <c r="J48" i="1"/>
  <c r="J49" i="1"/>
  <c r="J50" i="1"/>
  <c r="J51" i="1"/>
  <c r="J52" i="1"/>
  <c r="J53" i="1"/>
  <c r="J54" i="1"/>
  <c r="J55" i="1"/>
  <c r="J56" i="1"/>
  <c r="J57" i="1"/>
  <c r="J58" i="1"/>
  <c r="J59" i="1"/>
  <c r="J60" i="1"/>
  <c r="J61" i="1"/>
  <c r="J62" i="1"/>
  <c r="J63" i="1"/>
  <c r="J64" i="1"/>
  <c r="J65" i="1"/>
  <c r="J66" i="1"/>
  <c r="J67" i="1"/>
  <c r="J68" i="1"/>
  <c r="J69" i="1"/>
  <c r="J70" i="1"/>
  <c r="J71" i="1"/>
  <c r="J72" i="1"/>
  <c r="J73" i="1"/>
  <c r="J74" i="1"/>
  <c r="J75" i="1"/>
  <c r="J76" i="1"/>
  <c r="J77" i="1"/>
  <c r="J78" i="1"/>
  <c r="J79" i="1"/>
  <c r="J80" i="1"/>
  <c r="J81" i="1"/>
  <c r="J82" i="1"/>
  <c r="J83" i="1"/>
  <c r="J84" i="1"/>
  <c r="J85" i="1"/>
  <c r="J86" i="1"/>
  <c r="J87" i="1"/>
  <c r="J88" i="1"/>
  <c r="J89" i="1"/>
  <c r="J90" i="1"/>
  <c r="J91" i="1"/>
  <c r="J92" i="1"/>
  <c r="J93" i="1"/>
  <c r="J94" i="1"/>
  <c r="J95" i="1"/>
  <c r="J96" i="1"/>
  <c r="J97" i="1"/>
  <c r="J98" i="1"/>
  <c r="J99" i="1"/>
  <c r="J100" i="1"/>
  <c r="J101" i="1"/>
  <c r="J102" i="1"/>
  <c r="J103" i="1"/>
  <c r="J104" i="1"/>
  <c r="J105" i="1"/>
  <c r="J106" i="1"/>
  <c r="J107" i="1"/>
  <c r="J108" i="1"/>
  <c r="J109" i="1"/>
  <c r="J110" i="1"/>
  <c r="J111" i="1"/>
  <c r="J112" i="1"/>
  <c r="J113" i="1"/>
  <c r="J114" i="1"/>
  <c r="J115" i="1"/>
  <c r="J116" i="1"/>
  <c r="J117" i="1"/>
  <c r="J118" i="1"/>
  <c r="J119" i="1"/>
  <c r="J120" i="1"/>
  <c r="J121" i="1"/>
  <c r="J122" i="1"/>
  <c r="J123" i="1"/>
  <c r="J124" i="1"/>
  <c r="J125" i="1"/>
  <c r="J126" i="1"/>
  <c r="J127" i="1"/>
  <c r="J128" i="1"/>
  <c r="J129" i="1"/>
  <c r="J130" i="1"/>
  <c r="J131" i="1"/>
  <c r="J132" i="1"/>
  <c r="J133" i="1"/>
  <c r="J134" i="1"/>
  <c r="J135" i="1"/>
  <c r="J136" i="1"/>
  <c r="J137" i="1"/>
  <c r="J138" i="1"/>
  <c r="J139" i="1"/>
  <c r="J140" i="1"/>
  <c r="J141" i="1"/>
  <c r="J142" i="1"/>
  <c r="J143" i="1"/>
  <c r="J144" i="1"/>
  <c r="J145" i="1"/>
  <c r="J146" i="1"/>
  <c r="J147" i="1"/>
  <c r="J148" i="1"/>
  <c r="J149" i="1"/>
  <c r="J150" i="1"/>
  <c r="J151" i="1"/>
  <c r="J152" i="1"/>
  <c r="J153" i="1"/>
  <c r="J154" i="1"/>
  <c r="J155" i="1"/>
  <c r="J156" i="1"/>
  <c r="J157" i="1"/>
  <c r="J158" i="1"/>
  <c r="J159" i="1"/>
  <c r="J160" i="1"/>
  <c r="J161" i="1"/>
  <c r="J162" i="1"/>
  <c r="J163" i="1"/>
  <c r="J164" i="1"/>
  <c r="J165" i="1"/>
  <c r="J166" i="1"/>
  <c r="J167" i="1"/>
  <c r="J168" i="1"/>
  <c r="J169" i="1"/>
  <c r="J170" i="1"/>
  <c r="J171" i="1"/>
  <c r="J172" i="1"/>
  <c r="J173" i="1"/>
  <c r="J174" i="1"/>
  <c r="J175" i="1"/>
  <c r="J176" i="1"/>
  <c r="J177" i="1"/>
  <c r="J178" i="1"/>
  <c r="J179" i="1"/>
  <c r="J180" i="1"/>
  <c r="J181" i="1"/>
  <c r="J182" i="1"/>
  <c r="J183" i="1"/>
  <c r="J184" i="1"/>
  <c r="J185" i="1"/>
  <c r="J186" i="1"/>
  <c r="J187" i="1"/>
  <c r="J188" i="1"/>
  <c r="J189" i="1"/>
  <c r="J190" i="1"/>
  <c r="J191" i="1"/>
  <c r="J192" i="1"/>
  <c r="J193" i="1"/>
  <c r="J194" i="1"/>
  <c r="J195" i="1"/>
  <c r="J196" i="1"/>
  <c r="J197" i="1"/>
  <c r="J198" i="1"/>
  <c r="J199" i="1"/>
  <c r="J200" i="1"/>
  <c r="J201" i="1"/>
  <c r="J202" i="1"/>
  <c r="J203" i="1"/>
  <c r="J204" i="1"/>
  <c r="J205" i="1"/>
  <c r="J206" i="1"/>
  <c r="J207" i="1"/>
  <c r="J208" i="1"/>
  <c r="J209" i="1"/>
  <c r="J210" i="1"/>
  <c r="J211" i="1"/>
  <c r="J212" i="1"/>
  <c r="J213" i="1"/>
  <c r="J214" i="1"/>
  <c r="J215" i="1"/>
  <c r="J216" i="1"/>
  <c r="J217" i="1"/>
  <c r="J218" i="1"/>
  <c r="J219" i="1"/>
  <c r="J220" i="1"/>
  <c r="J221" i="1"/>
  <c r="J222" i="1"/>
  <c r="J223" i="1"/>
  <c r="J224" i="1"/>
  <c r="J225" i="1"/>
  <c r="J226" i="1"/>
  <c r="J227" i="1"/>
  <c r="J228" i="1"/>
  <c r="J229" i="1"/>
  <c r="J230" i="1"/>
  <c r="J231" i="1"/>
  <c r="J232" i="1"/>
  <c r="J233" i="1"/>
  <c r="J234" i="1"/>
  <c r="J235" i="1"/>
  <c r="J236" i="1"/>
  <c r="J237" i="1"/>
  <c r="J238" i="1"/>
  <c r="J239" i="1"/>
  <c r="J240" i="1"/>
  <c r="J241" i="1"/>
  <c r="J242" i="1"/>
  <c r="J243" i="1"/>
  <c r="J244" i="1"/>
  <c r="J245" i="1"/>
  <c r="J246" i="1"/>
  <c r="J247" i="1"/>
  <c r="J248" i="1"/>
  <c r="J249" i="1"/>
  <c r="J250" i="1"/>
  <c r="J251" i="1"/>
  <c r="J252" i="1"/>
  <c r="J253" i="1"/>
  <c r="J254" i="1"/>
  <c r="J255" i="1"/>
  <c r="K4" i="1"/>
  <c r="K5" i="1"/>
  <c r="K6" i="1"/>
  <c r="K7" i="1"/>
  <c r="K8" i="1"/>
  <c r="K9" i="1"/>
  <c r="K10" i="1"/>
  <c r="K11" i="1"/>
  <c r="K12" i="1"/>
  <c r="K13" i="1"/>
  <c r="K14" i="1"/>
  <c r="K15" i="1"/>
  <c r="K16" i="1"/>
  <c r="K17" i="1"/>
  <c r="K18" i="1"/>
  <c r="K19" i="1"/>
  <c r="K20" i="1"/>
  <c r="K21" i="1"/>
  <c r="K22" i="1"/>
  <c r="K23" i="1"/>
  <c r="K24" i="1"/>
  <c r="K25" i="1"/>
  <c r="K26" i="1"/>
  <c r="K27" i="1"/>
  <c r="K28" i="1"/>
  <c r="K29" i="1"/>
  <c r="K30" i="1"/>
  <c r="K31" i="1"/>
  <c r="K32" i="1"/>
  <c r="K33" i="1"/>
  <c r="K34" i="1"/>
  <c r="K35" i="1"/>
  <c r="K36" i="1"/>
  <c r="K37" i="1"/>
  <c r="K38" i="1"/>
  <c r="K39" i="1"/>
  <c r="K40" i="1"/>
  <c r="K41" i="1"/>
  <c r="K42" i="1"/>
  <c r="K43" i="1"/>
  <c r="K44" i="1"/>
  <c r="K45" i="1"/>
  <c r="K46" i="1"/>
  <c r="K47" i="1"/>
  <c r="K48" i="1"/>
  <c r="K49" i="1"/>
  <c r="K50" i="1"/>
  <c r="K51" i="1"/>
  <c r="K52" i="1"/>
  <c r="K53" i="1"/>
  <c r="K54" i="1"/>
  <c r="K55" i="1"/>
  <c r="K56" i="1"/>
  <c r="K57" i="1"/>
  <c r="K58" i="1"/>
  <c r="K59" i="1"/>
  <c r="K60" i="1"/>
  <c r="K61" i="1"/>
  <c r="K62" i="1"/>
  <c r="K63" i="1"/>
  <c r="K64" i="1"/>
  <c r="K65" i="1"/>
  <c r="K66" i="1"/>
  <c r="K67" i="1"/>
  <c r="K68" i="1"/>
  <c r="K69" i="1"/>
  <c r="K70" i="1"/>
  <c r="K71" i="1"/>
  <c r="K72" i="1"/>
  <c r="K73" i="1"/>
  <c r="K74" i="1"/>
  <c r="K75" i="1"/>
  <c r="K76" i="1"/>
  <c r="K77" i="1"/>
  <c r="K78" i="1"/>
  <c r="K79" i="1"/>
  <c r="K80" i="1"/>
  <c r="K81" i="1"/>
  <c r="K82" i="1"/>
  <c r="K83" i="1"/>
  <c r="K84" i="1"/>
  <c r="K85" i="1"/>
  <c r="K86" i="1"/>
  <c r="K87" i="1"/>
  <c r="K88" i="1"/>
  <c r="K89" i="1"/>
  <c r="K90" i="1"/>
  <c r="K91" i="1"/>
  <c r="K92" i="1"/>
  <c r="K93" i="1"/>
  <c r="K94" i="1"/>
  <c r="K95" i="1"/>
  <c r="K96" i="1"/>
  <c r="K97" i="1"/>
  <c r="K98" i="1"/>
  <c r="K99" i="1"/>
  <c r="K100" i="1"/>
  <c r="K101" i="1"/>
  <c r="K102" i="1"/>
  <c r="K103" i="1"/>
  <c r="K104" i="1"/>
  <c r="K105" i="1"/>
  <c r="K106" i="1"/>
  <c r="K107" i="1"/>
  <c r="K108" i="1"/>
  <c r="K109" i="1"/>
  <c r="K110" i="1"/>
  <c r="K111" i="1"/>
  <c r="K112" i="1"/>
  <c r="K113" i="1"/>
  <c r="K114" i="1"/>
  <c r="K115" i="1"/>
  <c r="K116" i="1"/>
  <c r="K117" i="1"/>
  <c r="K118" i="1"/>
  <c r="K119" i="1"/>
  <c r="K120" i="1"/>
  <c r="K121" i="1"/>
  <c r="K122" i="1"/>
  <c r="K123" i="1"/>
  <c r="K124" i="1"/>
  <c r="K125" i="1"/>
  <c r="K126" i="1"/>
  <c r="K127" i="1"/>
  <c r="K128" i="1"/>
  <c r="K129" i="1"/>
  <c r="K130" i="1"/>
  <c r="K131" i="1"/>
  <c r="K132" i="1"/>
  <c r="K133" i="1"/>
  <c r="K134" i="1"/>
  <c r="K135" i="1"/>
  <c r="K136" i="1"/>
  <c r="K137" i="1"/>
  <c r="K138" i="1"/>
  <c r="K139" i="1"/>
  <c r="K140" i="1"/>
  <c r="K141" i="1"/>
  <c r="K142" i="1"/>
  <c r="K143" i="1"/>
  <c r="K144" i="1"/>
  <c r="K145" i="1"/>
  <c r="K146" i="1"/>
  <c r="K147" i="1"/>
  <c r="K148" i="1"/>
  <c r="K149" i="1"/>
  <c r="K150" i="1"/>
  <c r="K151" i="1"/>
  <c r="K152" i="1"/>
  <c r="K153" i="1"/>
  <c r="K154" i="1"/>
  <c r="K155" i="1"/>
  <c r="K156" i="1"/>
  <c r="K157" i="1"/>
  <c r="K158" i="1"/>
  <c r="K159" i="1"/>
  <c r="K160" i="1"/>
  <c r="K161" i="1"/>
  <c r="K162" i="1"/>
  <c r="K163" i="1"/>
  <c r="K164" i="1"/>
  <c r="K165" i="1"/>
  <c r="K166" i="1"/>
  <c r="K167" i="1"/>
  <c r="K168" i="1"/>
  <c r="K169" i="1"/>
  <c r="K170" i="1"/>
  <c r="K171" i="1"/>
  <c r="K172" i="1"/>
  <c r="K173" i="1"/>
  <c r="K174" i="1"/>
  <c r="K175" i="1"/>
  <c r="K176" i="1"/>
  <c r="K177" i="1"/>
  <c r="K178" i="1"/>
  <c r="K179" i="1"/>
  <c r="K180" i="1"/>
  <c r="K181" i="1"/>
  <c r="K182" i="1"/>
  <c r="K183" i="1"/>
  <c r="K184" i="1"/>
  <c r="K185" i="1"/>
  <c r="K186" i="1"/>
  <c r="K187" i="1"/>
  <c r="K188" i="1"/>
  <c r="K189" i="1"/>
  <c r="K190" i="1"/>
  <c r="K191" i="1"/>
  <c r="K192" i="1"/>
  <c r="K193" i="1"/>
  <c r="K194" i="1"/>
  <c r="K195" i="1"/>
  <c r="K196" i="1"/>
  <c r="K197" i="1"/>
  <c r="K198" i="1"/>
  <c r="K199" i="1"/>
  <c r="K200" i="1"/>
  <c r="K201" i="1"/>
  <c r="K202" i="1"/>
  <c r="K203" i="1"/>
  <c r="K204" i="1"/>
  <c r="K205" i="1"/>
  <c r="K206" i="1"/>
  <c r="K207" i="1"/>
  <c r="K208" i="1"/>
  <c r="K209" i="1"/>
  <c r="K210" i="1"/>
  <c r="K211" i="1"/>
  <c r="K212" i="1"/>
  <c r="K213" i="1"/>
  <c r="K214" i="1"/>
  <c r="K215" i="1"/>
  <c r="K216" i="1"/>
  <c r="K217" i="1"/>
  <c r="K218" i="1"/>
  <c r="K219" i="1"/>
  <c r="K220" i="1"/>
  <c r="K221" i="1"/>
  <c r="K222" i="1"/>
  <c r="K223" i="1"/>
  <c r="K224" i="1"/>
  <c r="K225" i="1"/>
  <c r="K226" i="1"/>
  <c r="K227" i="1"/>
  <c r="K228" i="1"/>
  <c r="K229" i="1"/>
  <c r="K230" i="1"/>
  <c r="K231" i="1"/>
  <c r="K232" i="1"/>
  <c r="K233" i="1"/>
  <c r="K234" i="1"/>
  <c r="K235" i="1"/>
  <c r="K236" i="1"/>
  <c r="K237" i="1"/>
  <c r="K238" i="1"/>
  <c r="K239" i="1"/>
  <c r="K240" i="1"/>
  <c r="K241" i="1"/>
  <c r="K242" i="1"/>
  <c r="K243" i="1"/>
  <c r="K244" i="1"/>
  <c r="K245" i="1"/>
  <c r="K246" i="1"/>
  <c r="K247" i="1"/>
  <c r="K248" i="1"/>
  <c r="K249" i="1"/>
  <c r="K250" i="1"/>
  <c r="K251" i="1"/>
  <c r="K252" i="1"/>
  <c r="K253" i="1"/>
  <c r="K254" i="1"/>
  <c r="K255" i="1"/>
  <c r="L4" i="1"/>
  <c r="L5" i="1"/>
  <c r="L6" i="1"/>
  <c r="L7" i="1"/>
  <c r="L8" i="1"/>
  <c r="L9" i="1"/>
  <c r="L10" i="1"/>
  <c r="L11" i="1"/>
  <c r="L12" i="1"/>
  <c r="L13" i="1"/>
  <c r="L14" i="1"/>
  <c r="L15" i="1"/>
  <c r="L16" i="1"/>
  <c r="L17" i="1"/>
  <c r="L18" i="1"/>
  <c r="L19" i="1"/>
  <c r="L20" i="1"/>
  <c r="L21" i="1"/>
  <c r="L22" i="1"/>
  <c r="L23" i="1"/>
  <c r="L24" i="1"/>
  <c r="L25" i="1"/>
  <c r="L26" i="1"/>
  <c r="L27" i="1"/>
  <c r="L28" i="1"/>
  <c r="L29" i="1"/>
  <c r="L30" i="1"/>
  <c r="L31" i="1"/>
  <c r="L32" i="1"/>
  <c r="L33" i="1"/>
  <c r="L34" i="1"/>
  <c r="L35" i="1"/>
  <c r="L36" i="1"/>
  <c r="L37" i="1"/>
  <c r="L38" i="1"/>
  <c r="L39" i="1"/>
  <c r="L40" i="1"/>
  <c r="L41" i="1"/>
  <c r="L42" i="1"/>
  <c r="L43" i="1"/>
  <c r="L44" i="1"/>
  <c r="L45" i="1"/>
  <c r="L46" i="1"/>
  <c r="L47" i="1"/>
  <c r="L48" i="1"/>
  <c r="L49" i="1"/>
  <c r="L50" i="1"/>
  <c r="L51" i="1"/>
  <c r="L52" i="1"/>
  <c r="L53" i="1"/>
  <c r="L54" i="1"/>
  <c r="L55" i="1"/>
  <c r="L56" i="1"/>
  <c r="L57" i="1"/>
  <c r="L58" i="1"/>
  <c r="L59" i="1"/>
  <c r="L60" i="1"/>
  <c r="L61" i="1"/>
  <c r="L62" i="1"/>
  <c r="L63" i="1"/>
  <c r="L64" i="1"/>
  <c r="L65" i="1"/>
  <c r="L66" i="1"/>
  <c r="L67" i="1"/>
  <c r="L68" i="1"/>
  <c r="L69" i="1"/>
  <c r="L70" i="1"/>
  <c r="L71" i="1"/>
  <c r="L72" i="1"/>
  <c r="L73" i="1"/>
  <c r="L74" i="1"/>
  <c r="L75" i="1"/>
  <c r="L76" i="1"/>
  <c r="L77" i="1"/>
  <c r="L78" i="1"/>
  <c r="L79" i="1"/>
  <c r="L80" i="1"/>
  <c r="L81" i="1"/>
  <c r="L82" i="1"/>
  <c r="L83" i="1"/>
  <c r="L84" i="1"/>
  <c r="L85" i="1"/>
  <c r="L86" i="1"/>
  <c r="L87" i="1"/>
  <c r="L88" i="1"/>
  <c r="L89" i="1"/>
  <c r="L90" i="1"/>
  <c r="L91" i="1"/>
  <c r="L92" i="1"/>
  <c r="L93" i="1"/>
  <c r="L94" i="1"/>
  <c r="L95" i="1"/>
  <c r="L96" i="1"/>
  <c r="L97" i="1"/>
  <c r="L98" i="1"/>
  <c r="L99" i="1"/>
  <c r="L100" i="1"/>
  <c r="L101" i="1"/>
  <c r="L102" i="1"/>
  <c r="L103" i="1"/>
  <c r="L104" i="1"/>
  <c r="L105" i="1"/>
  <c r="L106" i="1"/>
  <c r="L107" i="1"/>
  <c r="L108" i="1"/>
  <c r="L109" i="1"/>
  <c r="L110" i="1"/>
  <c r="L111" i="1"/>
  <c r="L112" i="1"/>
  <c r="L113" i="1"/>
  <c r="L114" i="1"/>
  <c r="L115" i="1"/>
  <c r="L116" i="1"/>
  <c r="L117" i="1"/>
  <c r="L118" i="1"/>
  <c r="L119" i="1"/>
  <c r="L120" i="1"/>
  <c r="L121" i="1"/>
  <c r="L122" i="1"/>
  <c r="L123" i="1"/>
  <c r="L124" i="1"/>
  <c r="L125" i="1"/>
  <c r="L126" i="1"/>
  <c r="L127" i="1"/>
  <c r="L128" i="1"/>
  <c r="L129" i="1"/>
  <c r="L130" i="1"/>
  <c r="L131" i="1"/>
  <c r="L132" i="1"/>
  <c r="L133" i="1"/>
  <c r="L134" i="1"/>
  <c r="L135" i="1"/>
  <c r="L136" i="1"/>
  <c r="L137" i="1"/>
  <c r="L138" i="1"/>
  <c r="L139" i="1"/>
  <c r="L140" i="1"/>
  <c r="L141" i="1"/>
  <c r="L142" i="1"/>
  <c r="L143" i="1"/>
  <c r="L144" i="1"/>
  <c r="L145" i="1"/>
  <c r="L146" i="1"/>
  <c r="L147" i="1"/>
  <c r="L148" i="1"/>
  <c r="L149" i="1"/>
  <c r="L150" i="1"/>
  <c r="L151" i="1"/>
  <c r="L152" i="1"/>
  <c r="L153" i="1"/>
  <c r="L154" i="1"/>
  <c r="L155" i="1"/>
  <c r="L156" i="1"/>
  <c r="L157" i="1"/>
  <c r="L158" i="1"/>
  <c r="L159" i="1"/>
  <c r="L160" i="1"/>
  <c r="L161" i="1"/>
  <c r="L162" i="1"/>
  <c r="L163" i="1"/>
  <c r="L164" i="1"/>
  <c r="L165" i="1"/>
  <c r="L166" i="1"/>
  <c r="L167" i="1"/>
  <c r="L168" i="1"/>
  <c r="L169" i="1"/>
  <c r="L170" i="1"/>
  <c r="L171" i="1"/>
  <c r="L172" i="1"/>
  <c r="L173" i="1"/>
  <c r="L174" i="1"/>
  <c r="L175" i="1"/>
  <c r="L176" i="1"/>
  <c r="L177" i="1"/>
  <c r="L178" i="1"/>
  <c r="L179" i="1"/>
  <c r="L180" i="1"/>
  <c r="L181" i="1"/>
  <c r="L182" i="1"/>
  <c r="L183" i="1"/>
  <c r="L184" i="1"/>
  <c r="L185" i="1"/>
  <c r="L186" i="1"/>
  <c r="L187" i="1"/>
  <c r="L188" i="1"/>
  <c r="L189" i="1"/>
  <c r="L190" i="1"/>
  <c r="L191" i="1"/>
  <c r="L192" i="1"/>
  <c r="L193" i="1"/>
  <c r="L194" i="1"/>
  <c r="L195" i="1"/>
  <c r="L196" i="1"/>
  <c r="L197" i="1"/>
  <c r="L198" i="1"/>
  <c r="L199" i="1"/>
  <c r="L200" i="1"/>
  <c r="L201" i="1"/>
  <c r="L202" i="1"/>
  <c r="L203" i="1"/>
  <c r="L204" i="1"/>
  <c r="L205" i="1"/>
  <c r="L206" i="1"/>
  <c r="L207" i="1"/>
  <c r="L208" i="1"/>
  <c r="L209" i="1"/>
  <c r="L210" i="1"/>
  <c r="L211" i="1"/>
  <c r="L212" i="1"/>
  <c r="L213" i="1"/>
  <c r="L214" i="1"/>
  <c r="L215" i="1"/>
  <c r="L216" i="1"/>
  <c r="L217" i="1"/>
  <c r="L218" i="1"/>
  <c r="L219" i="1"/>
  <c r="L220" i="1"/>
  <c r="L221" i="1"/>
  <c r="L222" i="1"/>
  <c r="L223" i="1"/>
  <c r="L224" i="1"/>
  <c r="L225" i="1"/>
  <c r="L226" i="1"/>
  <c r="L227" i="1"/>
  <c r="L228" i="1"/>
  <c r="L229" i="1"/>
  <c r="L230" i="1"/>
  <c r="L231" i="1"/>
  <c r="L232" i="1"/>
  <c r="L233" i="1"/>
  <c r="L234" i="1"/>
  <c r="L235" i="1"/>
  <c r="L236" i="1"/>
  <c r="L237" i="1"/>
  <c r="L238" i="1"/>
  <c r="L239" i="1"/>
  <c r="L240" i="1"/>
  <c r="L241" i="1"/>
  <c r="L242" i="1"/>
  <c r="L243" i="1"/>
  <c r="L244" i="1"/>
  <c r="L245" i="1"/>
  <c r="L246" i="1"/>
  <c r="L247" i="1"/>
  <c r="L248" i="1"/>
  <c r="L249" i="1"/>
  <c r="L250" i="1"/>
  <c r="L251" i="1"/>
  <c r="L252" i="1"/>
  <c r="L253" i="1"/>
  <c r="L254" i="1"/>
  <c r="L255" i="1"/>
  <c r="M4" i="1"/>
  <c r="M5" i="1"/>
  <c r="M6" i="1"/>
  <c r="M7" i="1"/>
  <c r="M8" i="1"/>
  <c r="M9" i="1"/>
  <c r="M10" i="1"/>
  <c r="M11" i="1"/>
  <c r="M12" i="1"/>
  <c r="M13" i="1"/>
  <c r="M14" i="1"/>
  <c r="M15" i="1"/>
  <c r="M16" i="1"/>
  <c r="M17" i="1"/>
  <c r="M18" i="1"/>
  <c r="M19" i="1"/>
  <c r="M20" i="1"/>
  <c r="M21" i="1"/>
  <c r="M22" i="1"/>
  <c r="M23" i="1"/>
  <c r="M24" i="1"/>
  <c r="M25" i="1"/>
  <c r="M26" i="1"/>
  <c r="M27" i="1"/>
  <c r="M28" i="1"/>
  <c r="M29" i="1"/>
  <c r="M30" i="1"/>
  <c r="M31" i="1"/>
  <c r="M32" i="1"/>
  <c r="M33" i="1"/>
  <c r="M34" i="1"/>
  <c r="M35" i="1"/>
  <c r="M36" i="1"/>
  <c r="M37" i="1"/>
  <c r="M38" i="1"/>
  <c r="M39" i="1"/>
  <c r="M40" i="1"/>
  <c r="M41" i="1"/>
  <c r="M42" i="1"/>
  <c r="M43" i="1"/>
  <c r="M44" i="1"/>
  <c r="M45" i="1"/>
  <c r="M46" i="1"/>
  <c r="M47" i="1"/>
  <c r="M48" i="1"/>
  <c r="M49" i="1"/>
  <c r="M50" i="1"/>
  <c r="M51" i="1"/>
  <c r="M52" i="1"/>
  <c r="M53" i="1"/>
  <c r="M54" i="1"/>
  <c r="M55" i="1"/>
  <c r="M56" i="1"/>
  <c r="M57" i="1"/>
  <c r="M58" i="1"/>
  <c r="M59" i="1"/>
  <c r="M60" i="1"/>
  <c r="M61" i="1"/>
  <c r="M62" i="1"/>
  <c r="M63" i="1"/>
  <c r="M64" i="1"/>
  <c r="M65" i="1"/>
  <c r="M66" i="1"/>
  <c r="M67" i="1"/>
  <c r="M68" i="1"/>
  <c r="M69" i="1"/>
  <c r="M70" i="1"/>
  <c r="M71" i="1"/>
  <c r="M72" i="1"/>
  <c r="M73" i="1"/>
  <c r="M74" i="1"/>
  <c r="M75" i="1"/>
  <c r="M76" i="1"/>
  <c r="M77" i="1"/>
  <c r="M78" i="1"/>
  <c r="M79" i="1"/>
  <c r="M80" i="1"/>
  <c r="M81" i="1"/>
  <c r="M82" i="1"/>
  <c r="M83" i="1"/>
  <c r="M84" i="1"/>
  <c r="M85" i="1"/>
  <c r="M86" i="1"/>
  <c r="M87" i="1"/>
  <c r="M88" i="1"/>
  <c r="M89" i="1"/>
  <c r="M90" i="1"/>
  <c r="M91" i="1"/>
  <c r="M92" i="1"/>
  <c r="M93" i="1"/>
  <c r="M94" i="1"/>
  <c r="M95" i="1"/>
  <c r="M96" i="1"/>
  <c r="M97" i="1"/>
  <c r="M98" i="1"/>
  <c r="M99" i="1"/>
  <c r="M100" i="1"/>
  <c r="M101" i="1"/>
  <c r="M102" i="1"/>
  <c r="M103" i="1"/>
  <c r="M104" i="1"/>
  <c r="M105" i="1"/>
  <c r="M106" i="1"/>
  <c r="M107" i="1"/>
  <c r="M108" i="1"/>
  <c r="M109" i="1"/>
  <c r="M110" i="1"/>
  <c r="M111" i="1"/>
  <c r="M112" i="1"/>
  <c r="M113" i="1"/>
  <c r="M114" i="1"/>
  <c r="M115" i="1"/>
  <c r="M116" i="1"/>
  <c r="M117" i="1"/>
  <c r="M118" i="1"/>
  <c r="M119" i="1"/>
  <c r="M120" i="1"/>
  <c r="M121" i="1"/>
  <c r="M122" i="1"/>
  <c r="M123" i="1"/>
  <c r="M124" i="1"/>
  <c r="M125" i="1"/>
  <c r="M126" i="1"/>
  <c r="M127" i="1"/>
  <c r="M128" i="1"/>
  <c r="M129" i="1"/>
  <c r="M130" i="1"/>
  <c r="M131" i="1"/>
  <c r="M132" i="1"/>
  <c r="M133" i="1"/>
  <c r="M134" i="1"/>
  <c r="M135" i="1"/>
  <c r="M136" i="1"/>
  <c r="M137" i="1"/>
  <c r="M138" i="1"/>
  <c r="M139" i="1"/>
  <c r="M140" i="1"/>
  <c r="M141" i="1"/>
  <c r="M142" i="1"/>
  <c r="M143" i="1"/>
  <c r="M144" i="1"/>
  <c r="M145" i="1"/>
  <c r="M146" i="1"/>
  <c r="M147" i="1"/>
  <c r="M148" i="1"/>
  <c r="M149" i="1"/>
  <c r="M150" i="1"/>
  <c r="M151" i="1"/>
  <c r="M152" i="1"/>
  <c r="M153" i="1"/>
  <c r="M154" i="1"/>
  <c r="M155" i="1"/>
  <c r="M156" i="1"/>
  <c r="M157" i="1"/>
  <c r="M158" i="1"/>
  <c r="M159" i="1"/>
  <c r="M160" i="1"/>
  <c r="M161" i="1"/>
  <c r="M162" i="1"/>
  <c r="M163" i="1"/>
  <c r="M164" i="1"/>
  <c r="M165" i="1"/>
  <c r="M166" i="1"/>
  <c r="M167" i="1"/>
  <c r="M168" i="1"/>
  <c r="M169" i="1"/>
  <c r="M170" i="1"/>
  <c r="M171" i="1"/>
  <c r="M172" i="1"/>
  <c r="M173" i="1"/>
  <c r="M174" i="1"/>
  <c r="M175" i="1"/>
  <c r="M176" i="1"/>
  <c r="M177" i="1"/>
  <c r="M178" i="1"/>
  <c r="M179" i="1"/>
  <c r="M180" i="1"/>
  <c r="M181" i="1"/>
  <c r="M182" i="1"/>
  <c r="M183" i="1"/>
  <c r="M184" i="1"/>
  <c r="M185" i="1"/>
  <c r="M186" i="1"/>
  <c r="M187" i="1"/>
  <c r="M188" i="1"/>
  <c r="M189" i="1"/>
  <c r="M190" i="1"/>
  <c r="M191" i="1"/>
  <c r="M192" i="1"/>
  <c r="M193" i="1"/>
  <c r="M194" i="1"/>
  <c r="M195" i="1"/>
  <c r="M196" i="1"/>
  <c r="M197" i="1"/>
  <c r="M198" i="1"/>
  <c r="M199" i="1"/>
  <c r="M200" i="1"/>
  <c r="M201" i="1"/>
  <c r="M202" i="1"/>
  <c r="M203" i="1"/>
  <c r="M204" i="1"/>
  <c r="M205" i="1"/>
  <c r="M206" i="1"/>
  <c r="M207" i="1"/>
  <c r="M208" i="1"/>
  <c r="M209" i="1"/>
  <c r="M210" i="1"/>
  <c r="M211" i="1"/>
  <c r="M212" i="1"/>
  <c r="M213" i="1"/>
  <c r="M214" i="1"/>
  <c r="M215" i="1"/>
  <c r="M216" i="1"/>
  <c r="M217" i="1"/>
  <c r="M218" i="1"/>
  <c r="M219" i="1"/>
  <c r="M220" i="1"/>
  <c r="M221" i="1"/>
  <c r="M222" i="1"/>
  <c r="M223" i="1"/>
  <c r="M224" i="1"/>
  <c r="M225" i="1"/>
  <c r="M226" i="1"/>
  <c r="M227" i="1"/>
  <c r="M228" i="1"/>
  <c r="M229" i="1"/>
  <c r="M230" i="1"/>
  <c r="M231" i="1"/>
  <c r="M232" i="1"/>
  <c r="M233" i="1"/>
  <c r="M234" i="1"/>
  <c r="M235" i="1"/>
  <c r="M236" i="1"/>
  <c r="M237" i="1"/>
  <c r="M238" i="1"/>
  <c r="M239" i="1"/>
  <c r="M240" i="1"/>
  <c r="M241" i="1"/>
  <c r="M242" i="1"/>
  <c r="M243" i="1"/>
  <c r="M244" i="1"/>
  <c r="M245" i="1"/>
  <c r="M246" i="1"/>
  <c r="M247" i="1"/>
  <c r="M248" i="1"/>
  <c r="M249" i="1"/>
  <c r="M250" i="1"/>
  <c r="M251" i="1"/>
  <c r="M252" i="1"/>
  <c r="M253" i="1"/>
  <c r="M254" i="1"/>
  <c r="M255" i="1"/>
  <c r="O4" i="1"/>
  <c r="O5" i="1"/>
  <c r="O6" i="1"/>
  <c r="O7" i="1"/>
  <c r="O8" i="1"/>
  <c r="O9" i="1"/>
  <c r="O10" i="1"/>
  <c r="O11" i="1"/>
  <c r="O12" i="1"/>
  <c r="O13" i="1"/>
  <c r="O14" i="1"/>
  <c r="O15" i="1"/>
  <c r="O16" i="1"/>
  <c r="O17" i="1"/>
  <c r="O18" i="1"/>
  <c r="O19" i="1"/>
  <c r="O20" i="1"/>
  <c r="O21" i="1"/>
  <c r="O22" i="1"/>
  <c r="O23" i="1"/>
  <c r="O24" i="1"/>
  <c r="O25" i="1"/>
  <c r="O26" i="1"/>
  <c r="O27" i="1"/>
  <c r="O28" i="1"/>
  <c r="O29" i="1"/>
  <c r="O30" i="1"/>
  <c r="O31" i="1"/>
  <c r="O32" i="1"/>
  <c r="O33" i="1"/>
  <c r="O34" i="1"/>
  <c r="O35" i="1"/>
  <c r="O36" i="1"/>
  <c r="O37" i="1"/>
  <c r="O38" i="1"/>
  <c r="O39" i="1"/>
  <c r="O40" i="1"/>
  <c r="O41" i="1"/>
  <c r="O42" i="1"/>
  <c r="O43" i="1"/>
  <c r="O44" i="1"/>
  <c r="O45" i="1"/>
  <c r="O46" i="1"/>
  <c r="O47" i="1"/>
  <c r="O48" i="1"/>
  <c r="O49" i="1"/>
  <c r="O50" i="1"/>
  <c r="O51" i="1"/>
  <c r="O52" i="1"/>
  <c r="O53" i="1"/>
  <c r="O54" i="1"/>
  <c r="O55" i="1"/>
  <c r="O56" i="1"/>
  <c r="O57" i="1"/>
  <c r="O58" i="1"/>
  <c r="O59" i="1"/>
  <c r="O60" i="1"/>
  <c r="O61" i="1"/>
  <c r="O62" i="1"/>
  <c r="O63" i="1"/>
  <c r="O64" i="1"/>
  <c r="O65" i="1"/>
  <c r="O66" i="1"/>
  <c r="O67" i="1"/>
  <c r="O68" i="1"/>
  <c r="O69" i="1"/>
  <c r="O70" i="1"/>
  <c r="O71" i="1"/>
  <c r="O72" i="1"/>
  <c r="O73" i="1"/>
  <c r="O74" i="1"/>
  <c r="O75" i="1"/>
  <c r="O76" i="1"/>
  <c r="O77" i="1"/>
  <c r="O78" i="1"/>
  <c r="O79" i="1"/>
  <c r="O80" i="1"/>
  <c r="O81" i="1"/>
  <c r="O82" i="1"/>
  <c r="O83" i="1"/>
  <c r="O84" i="1"/>
  <c r="O85" i="1"/>
  <c r="O86" i="1"/>
  <c r="O87" i="1"/>
  <c r="O88" i="1"/>
  <c r="O89" i="1"/>
  <c r="O90" i="1"/>
  <c r="O91" i="1"/>
  <c r="O92" i="1"/>
  <c r="O93" i="1"/>
  <c r="O94" i="1"/>
  <c r="O95" i="1"/>
  <c r="O96" i="1"/>
  <c r="O97" i="1"/>
  <c r="O98" i="1"/>
  <c r="O99" i="1"/>
  <c r="O100" i="1"/>
  <c r="O101" i="1"/>
  <c r="O102" i="1"/>
  <c r="O103" i="1"/>
  <c r="O104" i="1"/>
  <c r="O105" i="1"/>
  <c r="O106" i="1"/>
  <c r="O107" i="1"/>
  <c r="O108" i="1"/>
  <c r="O109" i="1"/>
  <c r="O110" i="1"/>
  <c r="O111" i="1"/>
  <c r="O112" i="1"/>
  <c r="O113" i="1"/>
  <c r="O114" i="1"/>
  <c r="O115" i="1"/>
  <c r="O116" i="1"/>
  <c r="O117" i="1"/>
  <c r="O118" i="1"/>
  <c r="O119" i="1"/>
  <c r="O120" i="1"/>
  <c r="O121" i="1"/>
  <c r="O122" i="1"/>
  <c r="O123" i="1"/>
  <c r="O124" i="1"/>
  <c r="O125" i="1"/>
  <c r="O126" i="1"/>
  <c r="O127" i="1"/>
  <c r="O128" i="1"/>
  <c r="O129" i="1"/>
  <c r="O130" i="1"/>
  <c r="O131" i="1"/>
  <c r="O132" i="1"/>
  <c r="O133" i="1"/>
  <c r="O134" i="1"/>
  <c r="O135" i="1"/>
  <c r="O136" i="1"/>
  <c r="O137" i="1"/>
  <c r="O138" i="1"/>
  <c r="O139" i="1"/>
  <c r="O140" i="1"/>
  <c r="O141" i="1"/>
  <c r="O142" i="1"/>
  <c r="O143" i="1"/>
  <c r="O144" i="1"/>
  <c r="O145" i="1"/>
  <c r="O146" i="1"/>
  <c r="O147" i="1"/>
  <c r="O148" i="1"/>
  <c r="O149" i="1"/>
  <c r="O150" i="1"/>
  <c r="O151" i="1"/>
  <c r="O152" i="1"/>
  <c r="O153" i="1"/>
  <c r="O154" i="1"/>
  <c r="O155" i="1"/>
  <c r="O156" i="1"/>
  <c r="O157" i="1"/>
  <c r="O158" i="1"/>
  <c r="O159" i="1"/>
  <c r="O160" i="1"/>
  <c r="O161" i="1"/>
  <c r="O162" i="1"/>
  <c r="O163" i="1"/>
  <c r="O164" i="1"/>
  <c r="O165" i="1"/>
  <c r="O166" i="1"/>
  <c r="O167" i="1"/>
  <c r="O168" i="1"/>
  <c r="O169" i="1"/>
  <c r="O170" i="1"/>
  <c r="O171" i="1"/>
  <c r="O172" i="1"/>
  <c r="O173" i="1"/>
  <c r="O174" i="1"/>
  <c r="O175" i="1"/>
  <c r="O176" i="1"/>
  <c r="O177" i="1"/>
  <c r="O178" i="1"/>
  <c r="O179" i="1"/>
  <c r="O180" i="1"/>
  <c r="O181" i="1"/>
  <c r="O182" i="1"/>
  <c r="O183" i="1"/>
  <c r="O184" i="1"/>
  <c r="O185" i="1"/>
  <c r="O186" i="1"/>
  <c r="O187" i="1"/>
  <c r="O188" i="1"/>
  <c r="O189" i="1"/>
  <c r="O190" i="1"/>
  <c r="O191" i="1"/>
  <c r="O192" i="1"/>
  <c r="O193" i="1"/>
  <c r="O194" i="1"/>
  <c r="O195" i="1"/>
  <c r="O196" i="1"/>
  <c r="O197" i="1"/>
  <c r="O198" i="1"/>
  <c r="O199" i="1"/>
  <c r="O200" i="1"/>
  <c r="O201" i="1"/>
  <c r="O202" i="1"/>
  <c r="O203" i="1"/>
  <c r="O204" i="1"/>
  <c r="O205" i="1"/>
  <c r="O206" i="1"/>
  <c r="O207" i="1"/>
  <c r="O208" i="1"/>
  <c r="O209" i="1"/>
  <c r="O210" i="1"/>
  <c r="O211" i="1"/>
  <c r="O212" i="1"/>
  <c r="O213" i="1"/>
  <c r="O214" i="1"/>
  <c r="O215" i="1"/>
  <c r="O216" i="1"/>
  <c r="O217" i="1"/>
  <c r="O218" i="1"/>
  <c r="O219" i="1"/>
  <c r="O220" i="1"/>
  <c r="O221" i="1"/>
  <c r="O222" i="1"/>
  <c r="O223" i="1"/>
  <c r="O224" i="1"/>
  <c r="O225" i="1"/>
  <c r="O226" i="1"/>
  <c r="O227" i="1"/>
  <c r="O228" i="1"/>
  <c r="O229" i="1"/>
  <c r="O230" i="1"/>
  <c r="O231" i="1"/>
  <c r="O232" i="1"/>
  <c r="O233" i="1"/>
  <c r="O234" i="1"/>
  <c r="O235" i="1"/>
  <c r="O236" i="1"/>
  <c r="O237" i="1"/>
  <c r="O238" i="1"/>
  <c r="O239" i="1"/>
  <c r="O240" i="1"/>
  <c r="O241" i="1"/>
  <c r="O242" i="1"/>
  <c r="O243" i="1"/>
  <c r="O244" i="1"/>
  <c r="O245" i="1"/>
  <c r="O246" i="1"/>
  <c r="O247" i="1"/>
  <c r="O248" i="1"/>
  <c r="O249" i="1"/>
  <c r="O250" i="1"/>
  <c r="O251" i="1"/>
  <c r="O252" i="1"/>
  <c r="O253" i="1"/>
  <c r="O254" i="1"/>
  <c r="O255" i="1"/>
  <c r="P4" i="1" a="1"/>
  <c r="P4" i="1" s="1"/>
  <c r="P5" i="1" a="1"/>
  <c r="P5" i="1" s="1"/>
  <c r="P6" i="1" a="1"/>
  <c r="P6" i="1"/>
  <c r="P7" i="1" a="1"/>
  <c r="P7" i="1" s="1"/>
  <c r="P8" i="1" a="1"/>
  <c r="P8" i="1" s="1"/>
  <c r="P10" i="1" a="1"/>
  <c r="P10" i="1" s="1"/>
  <c r="P11" i="1" a="1"/>
  <c r="P11" i="1"/>
  <c r="P12" i="1" a="1"/>
  <c r="P12" i="1" s="1"/>
  <c r="P13" i="1" a="1"/>
  <c r="P13" i="1" s="1"/>
  <c r="P14" i="1" a="1"/>
  <c r="P14" i="1" s="1"/>
  <c r="P16" i="1" a="1"/>
  <c r="P16" i="1" s="1"/>
  <c r="P17" i="1" a="1"/>
  <c r="P17" i="1"/>
  <c r="P18" i="1" a="1"/>
  <c r="P18" i="1" s="1"/>
  <c r="P19" i="1" a="1"/>
  <c r="P19" i="1" s="1"/>
  <c r="P20" i="1" a="1"/>
  <c r="P20" i="1"/>
  <c r="P22" i="1" a="1"/>
  <c r="P22" i="1" s="1"/>
  <c r="P23" i="1" a="1"/>
  <c r="P23" i="1" s="1"/>
  <c r="P24" i="1" a="1"/>
  <c r="P24" i="1" s="1"/>
  <c r="P25" i="1" a="1"/>
  <c r="P25" i="1" s="1"/>
  <c r="P26" i="1" a="1"/>
  <c r="P26" i="1"/>
  <c r="P28" i="1" a="1"/>
  <c r="P28" i="1" s="1"/>
  <c r="P29" i="1" a="1"/>
  <c r="P29" i="1" s="1"/>
  <c r="P30" i="1" a="1"/>
  <c r="P30" i="1" s="1"/>
  <c r="P31" i="1" a="1"/>
  <c r="P31" i="1" s="1"/>
  <c r="P32" i="1" a="1"/>
  <c r="P32" i="1" s="1"/>
  <c r="P34" i="1" a="1"/>
  <c r="P34" i="1" s="1"/>
  <c r="P35" i="1" a="1"/>
  <c r="P35" i="1"/>
  <c r="P36" i="1" a="1"/>
  <c r="P36" i="1" s="1"/>
  <c r="P37" i="1" a="1"/>
  <c r="P37" i="1" s="1"/>
  <c r="P38" i="1" a="1"/>
  <c r="P38" i="1" s="1"/>
  <c r="P40" i="1" a="1"/>
  <c r="P40" i="1" s="1"/>
  <c r="P41" i="1" a="1"/>
  <c r="P41" i="1" s="1"/>
  <c r="P42" i="1" a="1"/>
  <c r="P42" i="1" s="1"/>
  <c r="P43" i="1" a="1"/>
  <c r="P43" i="1" s="1"/>
  <c r="P44" i="1" a="1"/>
  <c r="P44" i="1" s="1"/>
  <c r="P46" i="1" a="1"/>
  <c r="P46" i="1" s="1"/>
  <c r="P47" i="1" a="1"/>
  <c r="P47" i="1" s="1"/>
  <c r="P48" i="1" a="1"/>
  <c r="P48" i="1"/>
  <c r="P49" i="1" a="1"/>
  <c r="P49" i="1" s="1"/>
  <c r="P50" i="1" a="1"/>
  <c r="P50" i="1" s="1"/>
  <c r="P52" i="1" a="1"/>
  <c r="P52" i="1" s="1"/>
  <c r="P53" i="1" a="1"/>
  <c r="P53" i="1" s="1"/>
  <c r="P54" i="1" a="1"/>
  <c r="P54" i="1" s="1"/>
  <c r="P55" i="1" a="1"/>
  <c r="P55" i="1" s="1"/>
  <c r="P56" i="1" a="1"/>
  <c r="P56" i="1" s="1"/>
  <c r="P58" i="1" a="1"/>
  <c r="P58" i="1" s="1"/>
  <c r="P59" i="1" a="1"/>
  <c r="P59" i="1" s="1"/>
  <c r="P60" i="1" a="1"/>
  <c r="P60" i="1" s="1"/>
  <c r="P61" i="1" a="1"/>
  <c r="P61" i="1" s="1"/>
  <c r="P62" i="1" a="1"/>
  <c r="P62" i="1" s="1"/>
  <c r="P64" i="1" a="1"/>
  <c r="P64" i="1" s="1"/>
  <c r="P65" i="1" a="1"/>
  <c r="P65" i="1" s="1"/>
  <c r="P66" i="1" a="1"/>
  <c r="P66" i="1"/>
  <c r="P67" i="1" a="1"/>
  <c r="P67" i="1" s="1"/>
  <c r="P68" i="1" a="1"/>
  <c r="P68" i="1" s="1"/>
  <c r="P70" i="1" a="1"/>
  <c r="P70" i="1" s="1"/>
  <c r="P71" i="1" a="1"/>
  <c r="P71" i="1" s="1"/>
  <c r="P72" i="1" a="1"/>
  <c r="P72" i="1" s="1"/>
  <c r="P73" i="1" a="1"/>
  <c r="P73" i="1" s="1"/>
  <c r="P74" i="1" a="1"/>
  <c r="P74" i="1" s="1"/>
  <c r="P76" i="1" a="1"/>
  <c r="P76" i="1" s="1"/>
  <c r="P77" i="1" a="1"/>
  <c r="P77" i="1" s="1"/>
  <c r="P78" i="1" a="1"/>
  <c r="P78" i="1" s="1"/>
  <c r="P79" i="1" a="1"/>
  <c r="P79" i="1" s="1"/>
  <c r="P80" i="1" a="1"/>
  <c r="P80" i="1" s="1"/>
  <c r="P82" i="1" a="1"/>
  <c r="P82" i="1" s="1"/>
  <c r="P83" i="1" a="1"/>
  <c r="P83" i="1" s="1"/>
  <c r="P84" i="1" a="1"/>
  <c r="P84" i="1"/>
  <c r="P85" i="1" a="1"/>
  <c r="P85" i="1" s="1"/>
  <c r="P86" i="1" a="1"/>
  <c r="P86" i="1" s="1"/>
  <c r="P88" i="1" a="1"/>
  <c r="P88" i="1" s="1"/>
  <c r="P89" i="1" a="1"/>
  <c r="P89" i="1" s="1"/>
  <c r="P90" i="1" a="1"/>
  <c r="P90" i="1" s="1"/>
  <c r="P91" i="1" a="1"/>
  <c r="P91" i="1" s="1"/>
  <c r="P92" i="1" a="1"/>
  <c r="P92" i="1" s="1"/>
  <c r="P94" i="1" a="1"/>
  <c r="P94" i="1" s="1"/>
  <c r="P95" i="1" a="1"/>
  <c r="P95" i="1" s="1"/>
  <c r="P96" i="1" a="1"/>
  <c r="P96" i="1" s="1"/>
  <c r="P97" i="1" a="1"/>
  <c r="P97" i="1" s="1"/>
  <c r="P98" i="1" a="1"/>
  <c r="P98" i="1" s="1"/>
  <c r="P100" i="1" a="1"/>
  <c r="P100" i="1" s="1"/>
  <c r="P101" i="1" a="1"/>
  <c r="P101" i="1" s="1"/>
  <c r="P102" i="1" a="1"/>
  <c r="P102" i="1"/>
  <c r="P103" i="1" a="1"/>
  <c r="P103" i="1" s="1"/>
  <c r="P104" i="1" a="1"/>
  <c r="P104" i="1" s="1"/>
  <c r="P106" i="1" a="1"/>
  <c r="P106" i="1" s="1"/>
  <c r="P107" i="1" a="1"/>
  <c r="P107" i="1" s="1"/>
  <c r="P108" i="1" a="1"/>
  <c r="P108" i="1" s="1"/>
  <c r="P109" i="1" a="1"/>
  <c r="P109" i="1" s="1"/>
  <c r="P110" i="1" a="1"/>
  <c r="P110" i="1" s="1"/>
  <c r="P112" i="1" a="1"/>
  <c r="P112" i="1" s="1"/>
  <c r="P113" i="1" a="1"/>
  <c r="P113" i="1" s="1"/>
  <c r="P114" i="1" a="1"/>
  <c r="P114" i="1" s="1"/>
  <c r="P115" i="1" a="1"/>
  <c r="P115" i="1" s="1"/>
  <c r="P116" i="1" a="1"/>
  <c r="P116" i="1" s="1"/>
  <c r="P118" i="1" a="1"/>
  <c r="P118" i="1" s="1"/>
  <c r="P119" i="1" a="1"/>
  <c r="P119" i="1" s="1"/>
  <c r="P120" i="1" a="1"/>
  <c r="P120" i="1" s="1"/>
  <c r="P121" i="1" a="1"/>
  <c r="P121" i="1" s="1"/>
  <c r="P122" i="1" a="1"/>
  <c r="P122" i="1" s="1"/>
  <c r="P124" i="1" a="1"/>
  <c r="P124" i="1" s="1"/>
  <c r="P125" i="1" a="1"/>
  <c r="P125" i="1" s="1"/>
  <c r="P126" i="1" a="1"/>
  <c r="P126" i="1" s="1"/>
  <c r="P127" i="1" a="1"/>
  <c r="P127" i="1" s="1"/>
  <c r="P128" i="1" a="1"/>
  <c r="P128" i="1" s="1"/>
  <c r="P130" i="1" a="1"/>
  <c r="P130" i="1" s="1"/>
  <c r="P131" i="1" a="1"/>
  <c r="P131" i="1" s="1"/>
  <c r="P132" i="1" a="1"/>
  <c r="P132" i="1" s="1"/>
  <c r="P133" i="1" a="1"/>
  <c r="P133" i="1" s="1"/>
  <c r="P134" i="1" a="1"/>
  <c r="P134" i="1" s="1"/>
  <c r="P136" i="1" a="1"/>
  <c r="P136" i="1" s="1"/>
  <c r="P137" i="1" a="1"/>
  <c r="P137" i="1" s="1"/>
  <c r="P138" i="1" a="1"/>
  <c r="P138" i="1"/>
  <c r="P139" i="1" a="1"/>
  <c r="P139" i="1" s="1"/>
  <c r="P140" i="1" a="1"/>
  <c r="P140" i="1" s="1"/>
  <c r="P142" i="1" a="1"/>
  <c r="P142" i="1" s="1"/>
  <c r="P143" i="1" a="1"/>
  <c r="P143" i="1" s="1"/>
  <c r="P144" i="1" a="1"/>
  <c r="P144" i="1" s="1"/>
  <c r="P145" i="1" a="1"/>
  <c r="P145" i="1" s="1"/>
  <c r="P146" i="1" a="1"/>
  <c r="P146" i="1" s="1"/>
  <c r="P148" i="1" a="1"/>
  <c r="P148" i="1" s="1"/>
  <c r="P149" i="1" a="1"/>
  <c r="P149" i="1" s="1"/>
  <c r="P150" i="1" a="1"/>
  <c r="P150" i="1" s="1"/>
  <c r="P151" i="1" a="1"/>
  <c r="P151" i="1" s="1"/>
  <c r="P152" i="1" a="1"/>
  <c r="P152" i="1" s="1"/>
  <c r="P154" i="1" a="1"/>
  <c r="P154" i="1" s="1"/>
  <c r="P155" i="1" a="1"/>
  <c r="P155" i="1" s="1"/>
  <c r="P156" i="1" a="1"/>
  <c r="P156" i="1"/>
  <c r="P157" i="1" a="1"/>
  <c r="P157" i="1" s="1"/>
  <c r="P158" i="1" a="1"/>
  <c r="P158" i="1" s="1"/>
  <c r="P160" i="1" a="1"/>
  <c r="P160" i="1" s="1"/>
  <c r="P161" i="1" a="1"/>
  <c r="P161" i="1" s="1"/>
  <c r="P162" i="1" a="1"/>
  <c r="P162" i="1" s="1"/>
  <c r="P163" i="1" a="1"/>
  <c r="P163" i="1" s="1"/>
  <c r="P164" i="1" a="1"/>
  <c r="P164" i="1" s="1"/>
  <c r="P166" i="1" a="1"/>
  <c r="P166" i="1" s="1"/>
  <c r="P167" i="1" a="1"/>
  <c r="P167" i="1" s="1"/>
  <c r="P168" i="1" a="1"/>
  <c r="P168" i="1" s="1"/>
  <c r="P169" i="1" a="1"/>
  <c r="P169" i="1" s="1"/>
  <c r="P170" i="1" a="1"/>
  <c r="P170" i="1" s="1"/>
  <c r="P172" i="1" a="1"/>
  <c r="P172" i="1" s="1"/>
  <c r="P173" i="1" a="1"/>
  <c r="P173" i="1" s="1"/>
  <c r="P174" i="1" a="1"/>
  <c r="P174" i="1" s="1"/>
  <c r="P175" i="1" a="1"/>
  <c r="P175" i="1" s="1"/>
  <c r="P176" i="1" a="1"/>
  <c r="P176" i="1" s="1"/>
  <c r="P178" i="1" a="1"/>
  <c r="P178" i="1" s="1"/>
  <c r="P179" i="1" a="1"/>
  <c r="P179" i="1" s="1"/>
  <c r="P180" i="1" a="1"/>
  <c r="P180" i="1" s="1"/>
  <c r="P181" i="1" a="1"/>
  <c r="P181" i="1" s="1"/>
  <c r="P182" i="1" a="1"/>
  <c r="P182" i="1" s="1"/>
  <c r="P184" i="1" a="1"/>
  <c r="P184" i="1" s="1"/>
  <c r="P185" i="1" a="1"/>
  <c r="P185" i="1" s="1"/>
  <c r="P186" i="1" a="1"/>
  <c r="P186" i="1" s="1"/>
  <c r="P187" i="1" a="1"/>
  <c r="P187" i="1" s="1"/>
  <c r="P188" i="1" a="1"/>
  <c r="P188" i="1" s="1"/>
  <c r="P190" i="1" a="1"/>
  <c r="P190" i="1" s="1"/>
  <c r="P191" i="1" a="1"/>
  <c r="P191" i="1" s="1"/>
  <c r="P192" i="1" a="1"/>
  <c r="P192" i="1"/>
  <c r="P193" i="1" a="1"/>
  <c r="P193" i="1" s="1"/>
  <c r="P194" i="1" a="1"/>
  <c r="P194" i="1" s="1"/>
  <c r="P196" i="1" a="1"/>
  <c r="P196" i="1" s="1"/>
  <c r="P197" i="1" a="1"/>
  <c r="P197" i="1" s="1"/>
  <c r="P198" i="1" a="1"/>
  <c r="P198" i="1" s="1"/>
  <c r="P199" i="1" a="1"/>
  <c r="P199" i="1" s="1"/>
  <c r="P200" i="1" a="1"/>
  <c r="P200" i="1" s="1"/>
  <c r="P202" i="1" a="1"/>
  <c r="P202" i="1" s="1"/>
  <c r="P203" i="1" a="1"/>
  <c r="P203" i="1" s="1"/>
  <c r="P204" i="1" a="1"/>
  <c r="P204" i="1" s="1"/>
  <c r="P205" i="1" a="1"/>
  <c r="P205" i="1" s="1"/>
  <c r="P206" i="1" a="1"/>
  <c r="P206" i="1" s="1"/>
  <c r="P208" i="1" a="1"/>
  <c r="P208" i="1" s="1"/>
  <c r="P209" i="1" a="1"/>
  <c r="P209" i="1" s="1"/>
  <c r="P210" i="1" a="1"/>
  <c r="P210" i="1" s="1"/>
  <c r="P211" i="1" a="1"/>
  <c r="P211" i="1" s="1"/>
  <c r="P212" i="1" a="1"/>
  <c r="P212" i="1" s="1"/>
  <c r="P214" i="1" a="1"/>
  <c r="P214" i="1" s="1"/>
  <c r="P215" i="1" a="1"/>
  <c r="P215" i="1" s="1"/>
  <c r="P216" i="1" a="1"/>
  <c r="P216" i="1" s="1"/>
  <c r="P217" i="1" a="1"/>
  <c r="P217" i="1" s="1"/>
  <c r="P218" i="1" a="1"/>
  <c r="P218" i="1" s="1"/>
  <c r="P220" i="1" a="1"/>
  <c r="P220" i="1" s="1"/>
  <c r="P221" i="1" a="1"/>
  <c r="P221" i="1" s="1"/>
  <c r="P222" i="1" a="1"/>
  <c r="P222" i="1" s="1"/>
  <c r="P223" i="1" a="1"/>
  <c r="P223" i="1" s="1"/>
  <c r="P224" i="1" a="1"/>
  <c r="P224" i="1" s="1"/>
  <c r="P226" i="1" a="1"/>
  <c r="P226" i="1" s="1"/>
  <c r="P227" i="1" a="1"/>
  <c r="P227" i="1" s="1"/>
  <c r="P228" i="1" a="1"/>
  <c r="P228" i="1" s="1"/>
  <c r="P229" i="1" a="1"/>
  <c r="P229" i="1" s="1"/>
  <c r="P230" i="1" a="1"/>
  <c r="P230" i="1" s="1"/>
  <c r="P232" i="1" a="1"/>
  <c r="P232" i="1" s="1"/>
  <c r="P233" i="1" a="1"/>
  <c r="P233" i="1" s="1"/>
  <c r="P234" i="1" a="1"/>
  <c r="P234" i="1" s="1"/>
  <c r="P235" i="1" a="1"/>
  <c r="P235" i="1" s="1"/>
  <c r="P236" i="1" a="1"/>
  <c r="P236" i="1" s="1"/>
  <c r="P238" i="1" a="1"/>
  <c r="P238" i="1" s="1"/>
  <c r="P239" i="1" a="1"/>
  <c r="P239" i="1" s="1"/>
  <c r="P240" i="1" a="1"/>
  <c r="P240" i="1" s="1"/>
  <c r="P241" i="1" a="1"/>
  <c r="P241" i="1" s="1"/>
  <c r="P242" i="1" a="1"/>
  <c r="P242" i="1" s="1"/>
  <c r="P244" i="1" a="1"/>
  <c r="P244" i="1" s="1"/>
  <c r="P245" i="1" a="1"/>
  <c r="P245" i="1" s="1"/>
  <c r="P246" i="1" a="1"/>
  <c r="P246" i="1"/>
  <c r="P247" i="1" a="1"/>
  <c r="P247" i="1" s="1"/>
  <c r="P248" i="1" a="1"/>
  <c r="P248" i="1" s="1"/>
  <c r="P250" i="1" a="1"/>
  <c r="P250" i="1" s="1"/>
  <c r="P251" i="1" a="1"/>
  <c r="P251" i="1" s="1"/>
  <c r="P252" i="1" a="1"/>
  <c r="P252" i="1" s="1"/>
  <c r="P253" i="1" a="1"/>
  <c r="P253" i="1" s="1"/>
  <c r="P254" i="1" a="1"/>
  <c r="P254" i="1" s="1"/>
  <c r="Q4" i="1"/>
  <c r="Q5" i="1"/>
  <c r="Q6" i="1"/>
  <c r="Q7" i="1"/>
  <c r="Q8" i="1"/>
  <c r="Q9" i="1"/>
  <c r="Q10" i="1"/>
  <c r="Q11" i="1"/>
  <c r="Q12" i="1"/>
  <c r="Q13" i="1"/>
  <c r="Q14" i="1"/>
  <c r="Q15" i="1"/>
  <c r="Q16" i="1"/>
  <c r="Q17" i="1"/>
  <c r="Q18" i="1"/>
  <c r="Q19" i="1"/>
  <c r="Q20" i="1"/>
  <c r="Q21" i="1"/>
  <c r="Q22" i="1"/>
  <c r="Q23" i="1"/>
  <c r="Q24" i="1"/>
  <c r="Q25" i="1"/>
  <c r="Q26" i="1"/>
  <c r="Q27" i="1"/>
  <c r="Q28" i="1"/>
  <c r="Q29" i="1"/>
  <c r="Q30" i="1"/>
  <c r="Q31" i="1"/>
  <c r="Q32" i="1"/>
  <c r="Q33" i="1"/>
  <c r="Q34" i="1"/>
  <c r="Q35" i="1"/>
  <c r="Q36" i="1"/>
  <c r="Q37" i="1"/>
  <c r="Q38" i="1"/>
  <c r="Q39" i="1"/>
  <c r="Q40" i="1"/>
  <c r="Q41" i="1"/>
  <c r="Q42" i="1"/>
  <c r="Q43" i="1"/>
  <c r="Q44" i="1"/>
  <c r="Q45" i="1"/>
  <c r="Q46" i="1"/>
  <c r="Q47" i="1"/>
  <c r="Q48" i="1"/>
  <c r="Q49" i="1"/>
  <c r="Q50" i="1"/>
  <c r="Q51" i="1"/>
  <c r="Q52" i="1"/>
  <c r="Q53" i="1"/>
  <c r="Q54" i="1"/>
  <c r="Q55" i="1"/>
  <c r="Q56" i="1"/>
  <c r="Q57" i="1"/>
  <c r="Q58" i="1"/>
  <c r="Q59" i="1"/>
  <c r="Q60" i="1"/>
  <c r="Q61" i="1"/>
  <c r="Q62" i="1"/>
  <c r="Q63" i="1"/>
  <c r="Q64" i="1"/>
  <c r="Q65" i="1"/>
  <c r="Q66" i="1"/>
  <c r="Q67" i="1"/>
  <c r="Q68" i="1"/>
  <c r="Q69" i="1"/>
  <c r="Q70" i="1"/>
  <c r="Q71" i="1"/>
  <c r="Q72" i="1"/>
  <c r="Q73" i="1"/>
  <c r="Q74" i="1"/>
  <c r="Q75" i="1"/>
  <c r="Q76" i="1"/>
  <c r="Q77" i="1"/>
  <c r="Q78" i="1"/>
  <c r="Q79" i="1"/>
  <c r="Q80" i="1"/>
  <c r="Q81" i="1"/>
  <c r="Q82" i="1"/>
  <c r="Q83" i="1"/>
  <c r="Q84" i="1"/>
  <c r="Q85" i="1"/>
  <c r="Q86" i="1"/>
  <c r="Q87" i="1"/>
  <c r="Q88" i="1"/>
  <c r="Q89" i="1"/>
  <c r="Q90" i="1"/>
  <c r="Q91" i="1"/>
  <c r="Q92" i="1"/>
  <c r="Q93" i="1"/>
  <c r="Q94" i="1"/>
  <c r="Q95" i="1"/>
  <c r="Q96" i="1"/>
  <c r="Q97" i="1"/>
  <c r="Q98" i="1"/>
  <c r="Q99" i="1"/>
  <c r="Q100" i="1"/>
  <c r="Q101" i="1"/>
  <c r="Q102" i="1"/>
  <c r="Q103" i="1"/>
  <c r="Q104" i="1"/>
  <c r="Q105" i="1"/>
  <c r="Q106" i="1"/>
  <c r="Q107" i="1"/>
  <c r="Q108" i="1"/>
  <c r="Q109" i="1"/>
  <c r="Q110" i="1"/>
  <c r="Q111" i="1"/>
  <c r="Q112" i="1"/>
  <c r="Q113" i="1"/>
  <c r="Q114" i="1"/>
  <c r="Q115" i="1"/>
  <c r="Q116" i="1"/>
  <c r="Q117" i="1"/>
  <c r="Q118" i="1"/>
  <c r="Q119" i="1"/>
  <c r="Q120" i="1"/>
  <c r="Q121" i="1"/>
  <c r="Q122" i="1"/>
  <c r="Q123" i="1"/>
  <c r="Q124" i="1"/>
  <c r="Q125" i="1"/>
  <c r="Q126" i="1"/>
  <c r="Q127" i="1"/>
  <c r="Q128" i="1"/>
  <c r="Q129" i="1"/>
  <c r="Q130" i="1"/>
  <c r="Q131" i="1"/>
  <c r="Q132" i="1"/>
  <c r="Q133" i="1"/>
  <c r="Q134" i="1"/>
  <c r="Q135" i="1"/>
  <c r="Q136" i="1"/>
  <c r="Q137" i="1"/>
  <c r="Q138" i="1"/>
  <c r="Q139" i="1"/>
  <c r="Q140" i="1"/>
  <c r="Q141" i="1"/>
  <c r="Q142" i="1"/>
  <c r="Q143" i="1"/>
  <c r="Q144" i="1"/>
  <c r="Q145" i="1"/>
  <c r="Q146" i="1"/>
  <c r="Q147" i="1"/>
  <c r="Q148" i="1"/>
  <c r="Q149" i="1"/>
  <c r="Q150" i="1"/>
  <c r="Q151" i="1"/>
  <c r="Q152" i="1"/>
  <c r="Q153" i="1"/>
  <c r="Q154" i="1"/>
  <c r="Q155" i="1"/>
  <c r="Q156" i="1"/>
  <c r="Q157" i="1"/>
  <c r="Q158" i="1"/>
  <c r="Q159" i="1"/>
  <c r="Q160" i="1"/>
  <c r="Q161" i="1"/>
  <c r="Q162" i="1"/>
  <c r="Q163" i="1"/>
  <c r="Q164" i="1"/>
  <c r="Q165" i="1"/>
  <c r="Q166" i="1"/>
  <c r="Q167" i="1"/>
  <c r="Q168" i="1"/>
  <c r="Q169" i="1"/>
  <c r="Q170" i="1"/>
  <c r="Q171" i="1"/>
  <c r="Q172" i="1"/>
  <c r="Q173" i="1"/>
  <c r="Q174" i="1"/>
  <c r="Q175" i="1"/>
  <c r="Q176" i="1"/>
  <c r="Q177" i="1"/>
  <c r="Q178" i="1"/>
  <c r="Q179" i="1"/>
  <c r="Q180" i="1"/>
  <c r="Q181" i="1"/>
  <c r="Q182" i="1"/>
  <c r="Q183" i="1"/>
  <c r="Q184" i="1"/>
  <c r="Q185" i="1"/>
  <c r="Q186" i="1"/>
  <c r="Q187" i="1"/>
  <c r="Q188" i="1"/>
  <c r="Q189" i="1"/>
  <c r="Q190" i="1"/>
  <c r="Q191" i="1"/>
  <c r="Q192" i="1"/>
  <c r="Q193" i="1"/>
  <c r="Q194" i="1"/>
  <c r="Q195" i="1"/>
  <c r="Q196" i="1"/>
  <c r="Q197" i="1"/>
  <c r="Q198" i="1"/>
  <c r="Q199" i="1"/>
  <c r="Q200" i="1"/>
  <c r="Q201" i="1"/>
  <c r="Q202" i="1"/>
  <c r="Q203" i="1"/>
  <c r="Q204" i="1"/>
  <c r="Q205" i="1"/>
  <c r="Q206" i="1"/>
  <c r="Q207" i="1"/>
  <c r="Q208" i="1"/>
  <c r="Q209" i="1"/>
  <c r="Q210" i="1"/>
  <c r="Q211" i="1"/>
  <c r="Q212" i="1"/>
  <c r="Q213" i="1"/>
  <c r="Q214" i="1"/>
  <c r="Q215" i="1"/>
  <c r="Q216" i="1"/>
  <c r="Q217" i="1"/>
  <c r="Q218" i="1"/>
  <c r="Q219" i="1"/>
  <c r="Q220" i="1"/>
  <c r="Q221" i="1"/>
  <c r="Q222" i="1"/>
  <c r="Q223" i="1"/>
  <c r="Q224" i="1"/>
  <c r="Q225" i="1"/>
  <c r="Q226" i="1"/>
  <c r="Q227" i="1"/>
  <c r="Q228" i="1"/>
  <c r="Q229" i="1"/>
  <c r="Q230" i="1"/>
  <c r="Q231" i="1"/>
  <c r="Q232" i="1"/>
  <c r="Q233" i="1"/>
  <c r="Q234" i="1"/>
  <c r="Q235" i="1"/>
  <c r="Q236" i="1"/>
  <c r="Q237" i="1"/>
  <c r="Q238" i="1"/>
  <c r="Q239" i="1"/>
  <c r="Q240" i="1"/>
  <c r="Q241" i="1"/>
  <c r="Q242" i="1"/>
  <c r="Q243" i="1"/>
  <c r="Q244" i="1"/>
  <c r="Q245" i="1"/>
  <c r="Q246" i="1"/>
  <c r="Q247" i="1"/>
  <c r="Q248" i="1"/>
  <c r="Q249" i="1"/>
  <c r="Q250" i="1"/>
  <c r="Q251" i="1"/>
  <c r="Q252" i="1"/>
  <c r="Q253" i="1"/>
  <c r="Q254" i="1"/>
  <c r="Q255" i="1"/>
  <c r="R4" i="1"/>
  <c r="R5" i="1"/>
  <c r="R6" i="1"/>
  <c r="R7" i="1"/>
  <c r="R8" i="1"/>
  <c r="R9" i="1"/>
  <c r="R10" i="1"/>
  <c r="R11" i="1"/>
  <c r="R12" i="1"/>
  <c r="R13" i="1"/>
  <c r="R14" i="1"/>
  <c r="R15" i="1"/>
  <c r="R16" i="1"/>
  <c r="R17" i="1"/>
  <c r="R18" i="1"/>
  <c r="R19" i="1"/>
  <c r="R20" i="1"/>
  <c r="R21" i="1"/>
  <c r="R22" i="1"/>
  <c r="R23" i="1"/>
  <c r="R24" i="1"/>
  <c r="R25" i="1"/>
  <c r="R26" i="1"/>
  <c r="R27" i="1"/>
  <c r="R28" i="1"/>
  <c r="R29" i="1"/>
  <c r="R30" i="1"/>
  <c r="R31" i="1"/>
  <c r="R32" i="1"/>
  <c r="R33" i="1"/>
  <c r="R34" i="1"/>
  <c r="R35" i="1"/>
  <c r="R36" i="1"/>
  <c r="R37" i="1"/>
  <c r="R38" i="1"/>
  <c r="R39" i="1"/>
  <c r="R40" i="1"/>
  <c r="R41" i="1"/>
  <c r="R42" i="1"/>
  <c r="R43" i="1"/>
  <c r="R44" i="1"/>
  <c r="R45" i="1"/>
  <c r="R46" i="1"/>
  <c r="R47" i="1"/>
  <c r="R48" i="1"/>
  <c r="R49" i="1"/>
  <c r="R50" i="1"/>
  <c r="R51" i="1"/>
  <c r="R52" i="1"/>
  <c r="R53" i="1"/>
  <c r="R54" i="1"/>
  <c r="R55" i="1"/>
  <c r="R56" i="1"/>
  <c r="R57" i="1"/>
  <c r="R58" i="1"/>
  <c r="R59" i="1"/>
  <c r="R60" i="1"/>
  <c r="R61" i="1"/>
  <c r="R62" i="1"/>
  <c r="R63" i="1"/>
  <c r="R64" i="1"/>
  <c r="R65" i="1"/>
  <c r="R66" i="1"/>
  <c r="R67" i="1"/>
  <c r="R68" i="1"/>
  <c r="R69" i="1"/>
  <c r="R70" i="1"/>
  <c r="R71" i="1"/>
  <c r="R72" i="1"/>
  <c r="R73" i="1"/>
  <c r="R74" i="1"/>
  <c r="R75" i="1"/>
  <c r="R76" i="1"/>
  <c r="R77" i="1"/>
  <c r="R78" i="1"/>
  <c r="R79" i="1"/>
  <c r="R80" i="1"/>
  <c r="R81" i="1"/>
  <c r="R82" i="1"/>
  <c r="R83" i="1"/>
  <c r="R84" i="1"/>
  <c r="R85" i="1"/>
  <c r="R86" i="1"/>
  <c r="R87" i="1"/>
  <c r="R88" i="1"/>
  <c r="R89" i="1"/>
  <c r="R90" i="1"/>
  <c r="R91" i="1"/>
  <c r="R92" i="1"/>
  <c r="R93" i="1"/>
  <c r="R94" i="1"/>
  <c r="R95" i="1"/>
  <c r="R96" i="1"/>
  <c r="R97" i="1"/>
  <c r="R98" i="1"/>
  <c r="R99" i="1"/>
  <c r="R100" i="1"/>
  <c r="R101" i="1"/>
  <c r="R102" i="1"/>
  <c r="R103" i="1"/>
  <c r="R104" i="1"/>
  <c r="R105" i="1"/>
  <c r="R106" i="1"/>
  <c r="R107" i="1"/>
  <c r="R108" i="1"/>
  <c r="R109" i="1"/>
  <c r="R110" i="1"/>
  <c r="R111" i="1"/>
  <c r="R112" i="1"/>
  <c r="R113" i="1"/>
  <c r="R114" i="1"/>
  <c r="R115" i="1"/>
  <c r="R116" i="1"/>
  <c r="R117" i="1"/>
  <c r="R118" i="1"/>
  <c r="R119" i="1"/>
  <c r="R120" i="1"/>
  <c r="R121" i="1"/>
  <c r="R122" i="1"/>
  <c r="R123" i="1"/>
  <c r="R124" i="1"/>
  <c r="R125" i="1"/>
  <c r="R126" i="1"/>
  <c r="R127" i="1"/>
  <c r="R128" i="1"/>
  <c r="R129" i="1"/>
  <c r="R130" i="1"/>
  <c r="R131" i="1"/>
  <c r="R132" i="1"/>
  <c r="R133" i="1"/>
  <c r="R134" i="1"/>
  <c r="R135" i="1"/>
  <c r="R136" i="1"/>
  <c r="R137" i="1"/>
  <c r="R138" i="1"/>
  <c r="R139" i="1"/>
  <c r="R140" i="1"/>
  <c r="R141" i="1"/>
  <c r="R142" i="1"/>
  <c r="R143" i="1"/>
  <c r="R144" i="1"/>
  <c r="R145" i="1"/>
  <c r="R146" i="1"/>
  <c r="R147" i="1"/>
  <c r="R148" i="1"/>
  <c r="R149" i="1"/>
  <c r="R150" i="1"/>
  <c r="R151" i="1"/>
  <c r="R152" i="1"/>
  <c r="R153" i="1"/>
  <c r="R154" i="1"/>
  <c r="R155" i="1"/>
  <c r="R156" i="1"/>
  <c r="R157" i="1"/>
  <c r="R158" i="1"/>
  <c r="R159" i="1"/>
  <c r="R160" i="1"/>
  <c r="R161" i="1"/>
  <c r="R162" i="1"/>
  <c r="R163" i="1"/>
  <c r="R164" i="1"/>
  <c r="R165" i="1"/>
  <c r="R166" i="1"/>
  <c r="R167" i="1"/>
  <c r="R168" i="1"/>
  <c r="R169" i="1"/>
  <c r="R170" i="1"/>
  <c r="R171" i="1"/>
  <c r="R172" i="1"/>
  <c r="R173" i="1"/>
  <c r="R174" i="1"/>
  <c r="R175" i="1"/>
  <c r="R176" i="1"/>
  <c r="R177" i="1"/>
  <c r="R178" i="1"/>
  <c r="R179" i="1"/>
  <c r="R180" i="1"/>
  <c r="R181" i="1"/>
  <c r="R182" i="1"/>
  <c r="R183" i="1"/>
  <c r="R184" i="1"/>
  <c r="R185" i="1"/>
  <c r="R186" i="1"/>
  <c r="R187" i="1"/>
  <c r="R188" i="1"/>
  <c r="R189" i="1"/>
  <c r="R190" i="1"/>
  <c r="R191" i="1"/>
  <c r="R192" i="1"/>
  <c r="R193" i="1"/>
  <c r="R194" i="1"/>
  <c r="R195" i="1"/>
  <c r="R196" i="1"/>
  <c r="R197" i="1"/>
  <c r="R198" i="1"/>
  <c r="R199" i="1"/>
  <c r="R200" i="1"/>
  <c r="R201" i="1"/>
  <c r="R202" i="1"/>
  <c r="R203" i="1"/>
  <c r="R204" i="1"/>
  <c r="R205" i="1"/>
  <c r="R206" i="1"/>
  <c r="R207" i="1"/>
  <c r="R208" i="1"/>
  <c r="R209" i="1"/>
  <c r="R210" i="1"/>
  <c r="R211" i="1"/>
  <c r="R212" i="1"/>
  <c r="R213" i="1"/>
  <c r="R214" i="1"/>
  <c r="R215" i="1"/>
  <c r="R216" i="1"/>
  <c r="R217" i="1"/>
  <c r="R218" i="1"/>
  <c r="R219" i="1"/>
  <c r="R220" i="1"/>
  <c r="R221" i="1"/>
  <c r="R222" i="1"/>
  <c r="R223" i="1"/>
  <c r="R224" i="1"/>
  <c r="R225" i="1"/>
  <c r="R226" i="1"/>
  <c r="R227" i="1"/>
  <c r="R228" i="1"/>
  <c r="R229" i="1"/>
  <c r="R230" i="1"/>
  <c r="R231" i="1"/>
  <c r="R232" i="1"/>
  <c r="R233" i="1"/>
  <c r="R234" i="1"/>
  <c r="R235" i="1"/>
  <c r="R236" i="1"/>
  <c r="R237" i="1"/>
  <c r="R238" i="1"/>
  <c r="R239" i="1"/>
  <c r="R240" i="1"/>
  <c r="R241" i="1"/>
  <c r="R242" i="1"/>
  <c r="R243" i="1"/>
  <c r="R244" i="1"/>
  <c r="R245" i="1"/>
  <c r="R246" i="1"/>
  <c r="R247" i="1"/>
  <c r="R248" i="1"/>
  <c r="R249" i="1"/>
  <c r="R250" i="1"/>
  <c r="R251" i="1"/>
  <c r="R252" i="1"/>
  <c r="R253" i="1"/>
  <c r="R254" i="1"/>
  <c r="R255" i="1"/>
  <c r="S4" i="1"/>
  <c r="S5" i="1"/>
  <c r="S6" i="1"/>
  <c r="S7" i="1"/>
  <c r="S8" i="1"/>
  <c r="S9" i="1"/>
  <c r="S10" i="1"/>
  <c r="S11" i="1"/>
  <c r="S12" i="1"/>
  <c r="S13" i="1"/>
  <c r="S14" i="1"/>
  <c r="S15" i="1"/>
  <c r="S16" i="1"/>
  <c r="S17" i="1"/>
  <c r="S18" i="1"/>
  <c r="S19" i="1"/>
  <c r="S20" i="1"/>
  <c r="S21" i="1"/>
  <c r="S22" i="1"/>
  <c r="S23" i="1"/>
  <c r="S24" i="1"/>
  <c r="S25" i="1"/>
  <c r="S26" i="1"/>
  <c r="S27" i="1"/>
  <c r="S28" i="1"/>
  <c r="S29" i="1"/>
  <c r="S30" i="1"/>
  <c r="S31" i="1"/>
  <c r="S32" i="1"/>
  <c r="S33" i="1"/>
  <c r="S34" i="1"/>
  <c r="S35" i="1"/>
  <c r="S36" i="1"/>
  <c r="S37" i="1"/>
  <c r="S38" i="1"/>
  <c r="S39" i="1"/>
  <c r="S40" i="1"/>
  <c r="S41" i="1"/>
  <c r="S42" i="1"/>
  <c r="S43" i="1"/>
  <c r="S44" i="1"/>
  <c r="S45" i="1"/>
  <c r="S46" i="1"/>
  <c r="S47" i="1"/>
  <c r="S48" i="1"/>
  <c r="S49" i="1"/>
  <c r="S50" i="1"/>
  <c r="S51" i="1"/>
  <c r="S52" i="1"/>
  <c r="S53" i="1"/>
  <c r="S54" i="1"/>
  <c r="S55" i="1"/>
  <c r="S56" i="1"/>
  <c r="S57" i="1"/>
  <c r="S58" i="1"/>
  <c r="S59" i="1"/>
  <c r="S60" i="1"/>
  <c r="S61" i="1"/>
  <c r="S62" i="1"/>
  <c r="S63" i="1"/>
  <c r="S64" i="1"/>
  <c r="S65" i="1"/>
  <c r="S66" i="1"/>
  <c r="S67" i="1"/>
  <c r="S68" i="1"/>
  <c r="S69" i="1"/>
  <c r="S70" i="1"/>
  <c r="S71" i="1"/>
  <c r="S72" i="1"/>
  <c r="S73" i="1"/>
  <c r="S74" i="1"/>
  <c r="S75" i="1"/>
  <c r="S76" i="1"/>
  <c r="S77" i="1"/>
  <c r="S78" i="1"/>
  <c r="S79" i="1"/>
  <c r="S80" i="1"/>
  <c r="S81" i="1"/>
  <c r="S82" i="1"/>
  <c r="S83" i="1"/>
  <c r="S84" i="1"/>
  <c r="S85" i="1"/>
  <c r="S86" i="1"/>
  <c r="S87" i="1"/>
  <c r="S88" i="1"/>
  <c r="S89" i="1"/>
  <c r="S90" i="1"/>
  <c r="S91" i="1"/>
  <c r="S92" i="1"/>
  <c r="S93" i="1"/>
  <c r="S94" i="1"/>
  <c r="S95" i="1"/>
  <c r="S96" i="1"/>
  <c r="S97" i="1"/>
  <c r="S98" i="1"/>
  <c r="S99" i="1"/>
  <c r="S100" i="1"/>
  <c r="S101" i="1"/>
  <c r="S102" i="1"/>
  <c r="S103" i="1"/>
  <c r="S104" i="1"/>
  <c r="S105" i="1"/>
  <c r="S106" i="1"/>
  <c r="S107" i="1"/>
  <c r="S108" i="1"/>
  <c r="S109" i="1"/>
  <c r="S110" i="1"/>
  <c r="S111" i="1"/>
  <c r="S112" i="1"/>
  <c r="S113" i="1"/>
  <c r="S114" i="1"/>
  <c r="S115" i="1"/>
  <c r="S116" i="1"/>
  <c r="S117" i="1"/>
  <c r="S118" i="1"/>
  <c r="S119" i="1"/>
  <c r="S120" i="1"/>
  <c r="S121" i="1"/>
  <c r="S122" i="1"/>
  <c r="S123" i="1"/>
  <c r="S124" i="1"/>
  <c r="S125" i="1"/>
  <c r="S126" i="1"/>
  <c r="S127" i="1"/>
  <c r="S128" i="1"/>
  <c r="S129" i="1"/>
  <c r="S130" i="1"/>
  <c r="S131" i="1"/>
  <c r="S132" i="1"/>
  <c r="S133" i="1"/>
  <c r="S134" i="1"/>
  <c r="S135" i="1"/>
  <c r="S136" i="1"/>
  <c r="S137" i="1"/>
  <c r="S138" i="1"/>
  <c r="S139" i="1"/>
  <c r="S140" i="1"/>
  <c r="S141" i="1"/>
  <c r="S142" i="1"/>
  <c r="S143" i="1"/>
  <c r="S144" i="1"/>
  <c r="S145" i="1"/>
  <c r="S146" i="1"/>
  <c r="S147" i="1"/>
  <c r="S148" i="1"/>
  <c r="S149" i="1"/>
  <c r="S150" i="1"/>
  <c r="S151" i="1"/>
  <c r="S152" i="1"/>
  <c r="S153" i="1"/>
  <c r="S154" i="1"/>
  <c r="S155" i="1"/>
  <c r="S156" i="1"/>
  <c r="S157" i="1"/>
  <c r="S158" i="1"/>
  <c r="S159" i="1"/>
  <c r="S160" i="1"/>
  <c r="S161" i="1"/>
  <c r="S162" i="1"/>
  <c r="S163" i="1"/>
  <c r="S164" i="1"/>
  <c r="S165" i="1"/>
  <c r="S166" i="1"/>
  <c r="S167" i="1"/>
  <c r="S168" i="1"/>
  <c r="S169" i="1"/>
  <c r="S170" i="1"/>
  <c r="S171" i="1"/>
  <c r="S172" i="1"/>
  <c r="S173" i="1"/>
  <c r="S174" i="1"/>
  <c r="S175" i="1"/>
  <c r="S176" i="1"/>
  <c r="S177" i="1"/>
  <c r="S178" i="1"/>
  <c r="S179" i="1"/>
  <c r="S180" i="1"/>
  <c r="S181" i="1"/>
  <c r="S182" i="1"/>
  <c r="S183" i="1"/>
  <c r="S184" i="1"/>
  <c r="S185" i="1"/>
  <c r="S186" i="1"/>
  <c r="S187" i="1"/>
  <c r="S188" i="1"/>
  <c r="S189" i="1"/>
  <c r="S190" i="1"/>
  <c r="S191" i="1"/>
  <c r="S192" i="1"/>
  <c r="S193" i="1"/>
  <c r="S194" i="1"/>
  <c r="S195" i="1"/>
  <c r="S196" i="1"/>
  <c r="S197" i="1"/>
  <c r="S198" i="1"/>
  <c r="S199" i="1"/>
  <c r="S200" i="1"/>
  <c r="S201" i="1"/>
  <c r="S202" i="1"/>
  <c r="S203" i="1"/>
  <c r="S204" i="1"/>
  <c r="S205" i="1"/>
  <c r="S206" i="1"/>
  <c r="S207" i="1"/>
  <c r="S208" i="1"/>
  <c r="S209" i="1"/>
  <c r="S210" i="1"/>
  <c r="S211" i="1"/>
  <c r="S212" i="1"/>
  <c r="S213" i="1"/>
  <c r="S214" i="1"/>
  <c r="S215" i="1"/>
  <c r="S216" i="1"/>
  <c r="S217" i="1"/>
  <c r="S218" i="1"/>
  <c r="S219" i="1"/>
  <c r="S220" i="1"/>
  <c r="S221" i="1"/>
  <c r="S222" i="1"/>
  <c r="S223" i="1"/>
  <c r="S224" i="1"/>
  <c r="S225" i="1"/>
  <c r="S226" i="1"/>
  <c r="S227" i="1"/>
  <c r="S228" i="1"/>
  <c r="S229" i="1"/>
  <c r="S230" i="1"/>
  <c r="S231" i="1"/>
  <c r="S232" i="1"/>
  <c r="S233" i="1"/>
  <c r="S234" i="1"/>
  <c r="S235" i="1"/>
  <c r="S236" i="1"/>
  <c r="S237" i="1"/>
  <c r="S238" i="1"/>
  <c r="S239" i="1"/>
  <c r="S240" i="1"/>
  <c r="S241" i="1"/>
  <c r="S242" i="1"/>
  <c r="S243" i="1"/>
  <c r="S244" i="1"/>
  <c r="S245" i="1"/>
  <c r="S246" i="1"/>
  <c r="S247" i="1"/>
  <c r="S248" i="1"/>
  <c r="S249" i="1"/>
  <c r="S250" i="1"/>
  <c r="S251" i="1"/>
  <c r="S252" i="1"/>
  <c r="S253" i="1"/>
  <c r="S254" i="1"/>
  <c r="S255" i="1"/>
  <c r="T4" i="1"/>
  <c r="T5" i="1"/>
  <c r="T6" i="1"/>
  <c r="T7" i="1"/>
  <c r="T8" i="1"/>
  <c r="T9" i="1"/>
  <c r="T10" i="1"/>
  <c r="T11" i="1"/>
  <c r="T12" i="1"/>
  <c r="T13" i="1"/>
  <c r="T14" i="1"/>
  <c r="T15" i="1"/>
  <c r="T16" i="1"/>
  <c r="T17" i="1"/>
  <c r="T18" i="1"/>
  <c r="T19" i="1"/>
  <c r="T20" i="1"/>
  <c r="T21" i="1"/>
  <c r="T22" i="1"/>
  <c r="T23" i="1"/>
  <c r="T24" i="1"/>
  <c r="T25" i="1"/>
  <c r="T26" i="1"/>
  <c r="T27" i="1"/>
  <c r="T28" i="1"/>
  <c r="T29" i="1"/>
  <c r="T30" i="1"/>
  <c r="T31" i="1"/>
  <c r="T32" i="1"/>
  <c r="T33" i="1"/>
  <c r="T34" i="1"/>
  <c r="T35" i="1"/>
  <c r="T36" i="1"/>
  <c r="T37" i="1"/>
  <c r="T38" i="1"/>
  <c r="T39" i="1"/>
  <c r="T40" i="1"/>
  <c r="T41" i="1"/>
  <c r="T42" i="1"/>
  <c r="T43" i="1"/>
  <c r="T44" i="1"/>
  <c r="T45" i="1"/>
  <c r="T46" i="1"/>
  <c r="T47" i="1"/>
  <c r="T48" i="1"/>
  <c r="T49" i="1"/>
  <c r="T50" i="1"/>
  <c r="T51" i="1"/>
  <c r="T52" i="1"/>
  <c r="T53" i="1"/>
  <c r="T54" i="1"/>
  <c r="T55" i="1"/>
  <c r="T56" i="1"/>
  <c r="T57" i="1"/>
  <c r="T58" i="1"/>
  <c r="T59" i="1"/>
  <c r="T60" i="1"/>
  <c r="T61" i="1"/>
  <c r="T62" i="1"/>
  <c r="T63" i="1"/>
  <c r="T64" i="1"/>
  <c r="T65" i="1"/>
  <c r="T66" i="1"/>
  <c r="T67" i="1"/>
  <c r="T68" i="1"/>
  <c r="T69" i="1"/>
  <c r="T70" i="1"/>
  <c r="T71" i="1"/>
  <c r="T72" i="1"/>
  <c r="T73" i="1"/>
  <c r="T74" i="1"/>
  <c r="T75" i="1"/>
  <c r="T76" i="1"/>
  <c r="T77" i="1"/>
  <c r="T78" i="1"/>
  <c r="T79" i="1"/>
  <c r="T80" i="1"/>
  <c r="T81" i="1"/>
  <c r="T82" i="1"/>
  <c r="T83" i="1"/>
  <c r="T84" i="1"/>
  <c r="T85" i="1"/>
  <c r="T86" i="1"/>
  <c r="T87" i="1"/>
  <c r="T88" i="1"/>
  <c r="T89" i="1"/>
  <c r="T90" i="1"/>
  <c r="T91" i="1"/>
  <c r="T92" i="1"/>
  <c r="T93" i="1"/>
  <c r="T94" i="1"/>
  <c r="T95" i="1"/>
  <c r="T96" i="1"/>
  <c r="T97" i="1"/>
  <c r="T98" i="1"/>
  <c r="T99" i="1"/>
  <c r="T100" i="1"/>
  <c r="T101" i="1"/>
  <c r="T102" i="1"/>
  <c r="T103" i="1"/>
  <c r="T104" i="1"/>
  <c r="T105" i="1"/>
  <c r="T106" i="1"/>
  <c r="T107" i="1"/>
  <c r="T108" i="1"/>
  <c r="T109" i="1"/>
  <c r="T110" i="1"/>
  <c r="T111" i="1"/>
  <c r="T112" i="1"/>
  <c r="T113" i="1"/>
  <c r="T114" i="1"/>
  <c r="T115" i="1"/>
  <c r="T116" i="1"/>
  <c r="T117" i="1"/>
  <c r="T118" i="1"/>
  <c r="T119" i="1"/>
  <c r="T120" i="1"/>
  <c r="T121" i="1"/>
  <c r="T122" i="1"/>
  <c r="T123" i="1"/>
  <c r="T124" i="1"/>
  <c r="T125" i="1"/>
  <c r="T126" i="1"/>
  <c r="T127" i="1"/>
  <c r="T128" i="1"/>
  <c r="T129" i="1"/>
  <c r="T130" i="1"/>
  <c r="T131" i="1"/>
  <c r="T132" i="1"/>
  <c r="T133" i="1"/>
  <c r="T134" i="1"/>
  <c r="T135" i="1"/>
  <c r="T136" i="1"/>
  <c r="T137" i="1"/>
  <c r="T138" i="1"/>
  <c r="T139" i="1"/>
  <c r="T140" i="1"/>
  <c r="T141" i="1"/>
  <c r="T142" i="1"/>
  <c r="T143" i="1"/>
  <c r="T144" i="1"/>
  <c r="T145" i="1"/>
  <c r="T146" i="1"/>
  <c r="T147" i="1"/>
  <c r="T148" i="1"/>
  <c r="T149" i="1"/>
  <c r="T150" i="1"/>
  <c r="T151" i="1"/>
  <c r="T152" i="1"/>
  <c r="T153" i="1"/>
  <c r="T154" i="1"/>
  <c r="T155" i="1"/>
  <c r="T156" i="1"/>
  <c r="T157" i="1"/>
  <c r="T158" i="1"/>
  <c r="T159" i="1"/>
  <c r="T160" i="1"/>
  <c r="T161" i="1"/>
  <c r="T162" i="1"/>
  <c r="T163" i="1"/>
  <c r="T164" i="1"/>
  <c r="T165" i="1"/>
  <c r="T166" i="1"/>
  <c r="T167" i="1"/>
  <c r="T168" i="1"/>
  <c r="T169" i="1"/>
  <c r="T170" i="1"/>
  <c r="T171" i="1"/>
  <c r="T172" i="1"/>
  <c r="T173" i="1"/>
  <c r="T174" i="1"/>
  <c r="T175" i="1"/>
  <c r="T176" i="1"/>
  <c r="T177" i="1"/>
  <c r="T178" i="1"/>
  <c r="T179" i="1"/>
  <c r="T180" i="1"/>
  <c r="T181" i="1"/>
  <c r="T182" i="1"/>
  <c r="T183" i="1"/>
  <c r="T184" i="1"/>
  <c r="T185" i="1"/>
  <c r="T186" i="1"/>
  <c r="T187" i="1"/>
  <c r="T188" i="1"/>
  <c r="T189" i="1"/>
  <c r="T190" i="1"/>
  <c r="T191" i="1"/>
  <c r="T192" i="1"/>
  <c r="T193" i="1"/>
  <c r="T194" i="1"/>
  <c r="T195" i="1"/>
  <c r="T196" i="1"/>
  <c r="T197" i="1"/>
  <c r="T198" i="1"/>
  <c r="T199" i="1"/>
  <c r="T200" i="1"/>
  <c r="T201" i="1"/>
  <c r="T202" i="1"/>
  <c r="T203" i="1"/>
  <c r="T204" i="1"/>
  <c r="T205" i="1"/>
  <c r="T206" i="1"/>
  <c r="T207" i="1"/>
  <c r="T208" i="1"/>
  <c r="T209" i="1"/>
  <c r="T210" i="1"/>
  <c r="T211" i="1"/>
  <c r="T212" i="1"/>
  <c r="T213" i="1"/>
  <c r="T214" i="1"/>
  <c r="T215" i="1"/>
  <c r="T216" i="1"/>
  <c r="T217" i="1"/>
  <c r="T218" i="1"/>
  <c r="T219" i="1"/>
  <c r="T220" i="1"/>
  <c r="T221" i="1"/>
  <c r="T222" i="1"/>
  <c r="T223" i="1"/>
  <c r="T224" i="1"/>
  <c r="T225" i="1"/>
  <c r="T226" i="1"/>
  <c r="T227" i="1"/>
  <c r="T228" i="1"/>
  <c r="T229" i="1"/>
  <c r="T230" i="1"/>
  <c r="T231" i="1"/>
  <c r="T232" i="1"/>
  <c r="T233" i="1"/>
  <c r="T234" i="1"/>
  <c r="T235" i="1"/>
  <c r="T236" i="1"/>
  <c r="T237" i="1"/>
  <c r="T238" i="1"/>
  <c r="T239" i="1"/>
  <c r="T240" i="1"/>
  <c r="T241" i="1"/>
  <c r="T242" i="1"/>
  <c r="T243" i="1"/>
  <c r="T244" i="1"/>
  <c r="T245" i="1"/>
  <c r="T246" i="1"/>
  <c r="T247" i="1"/>
  <c r="T248" i="1"/>
  <c r="T249" i="1"/>
  <c r="T250" i="1"/>
  <c r="T251" i="1"/>
  <c r="T252" i="1"/>
  <c r="T253" i="1"/>
  <c r="T254" i="1"/>
  <c r="T255" i="1"/>
  <c r="U4" i="1"/>
  <c r="U5" i="1"/>
  <c r="U6" i="1"/>
  <c r="U7" i="1"/>
  <c r="U8" i="1"/>
  <c r="U9" i="1"/>
  <c r="U10" i="1"/>
  <c r="U11" i="1"/>
  <c r="U12" i="1"/>
  <c r="U13" i="1"/>
  <c r="U14" i="1"/>
  <c r="U15" i="1"/>
  <c r="U16" i="1"/>
  <c r="U17" i="1"/>
  <c r="U18" i="1"/>
  <c r="U19" i="1"/>
  <c r="U20" i="1"/>
  <c r="U21" i="1"/>
  <c r="U22" i="1"/>
  <c r="U23" i="1"/>
  <c r="U24" i="1"/>
  <c r="U25" i="1"/>
  <c r="U26" i="1"/>
  <c r="U27" i="1"/>
  <c r="U28" i="1"/>
  <c r="U29" i="1"/>
  <c r="U30" i="1"/>
  <c r="U31" i="1"/>
  <c r="U32" i="1"/>
  <c r="U33" i="1"/>
  <c r="U34" i="1"/>
  <c r="U35" i="1"/>
  <c r="U36" i="1"/>
  <c r="U37" i="1"/>
  <c r="U38" i="1"/>
  <c r="U39" i="1"/>
  <c r="U40" i="1"/>
  <c r="U41" i="1"/>
  <c r="U42" i="1"/>
  <c r="U43" i="1"/>
  <c r="U44" i="1"/>
  <c r="U45" i="1"/>
  <c r="U46" i="1"/>
  <c r="U47" i="1"/>
  <c r="U48" i="1"/>
  <c r="U49" i="1"/>
  <c r="U50" i="1"/>
  <c r="U51" i="1"/>
  <c r="U52" i="1"/>
  <c r="U53" i="1"/>
  <c r="U54" i="1"/>
  <c r="U55" i="1"/>
  <c r="U56" i="1"/>
  <c r="U57" i="1"/>
  <c r="U58" i="1"/>
  <c r="U59" i="1"/>
  <c r="U60" i="1"/>
  <c r="U61" i="1"/>
  <c r="U62" i="1"/>
  <c r="U63" i="1"/>
  <c r="U64" i="1"/>
  <c r="U65" i="1"/>
  <c r="U66" i="1"/>
  <c r="U67" i="1"/>
  <c r="U68" i="1"/>
  <c r="U69" i="1"/>
  <c r="U70" i="1"/>
  <c r="U71" i="1"/>
  <c r="U72" i="1"/>
  <c r="U73" i="1"/>
  <c r="U74" i="1"/>
  <c r="U75" i="1"/>
  <c r="U76" i="1"/>
  <c r="U77" i="1"/>
  <c r="U78" i="1"/>
  <c r="U79" i="1"/>
  <c r="U80" i="1"/>
  <c r="U81" i="1"/>
  <c r="U82" i="1"/>
  <c r="U83" i="1"/>
  <c r="U84" i="1"/>
  <c r="U85" i="1"/>
  <c r="U86" i="1"/>
  <c r="U87" i="1"/>
  <c r="U88" i="1"/>
  <c r="U89" i="1"/>
  <c r="U90" i="1"/>
  <c r="U91" i="1"/>
  <c r="U92" i="1"/>
  <c r="U93" i="1"/>
  <c r="U94" i="1"/>
  <c r="U95" i="1"/>
  <c r="U96" i="1"/>
  <c r="U97" i="1"/>
  <c r="U98" i="1"/>
  <c r="U99" i="1"/>
  <c r="U100" i="1"/>
  <c r="U101" i="1"/>
  <c r="U102" i="1"/>
  <c r="U103" i="1"/>
  <c r="U104" i="1"/>
  <c r="U105" i="1"/>
  <c r="U106" i="1"/>
  <c r="U107" i="1"/>
  <c r="U108" i="1"/>
  <c r="U109" i="1"/>
  <c r="U110" i="1"/>
  <c r="U111" i="1"/>
  <c r="U112" i="1"/>
  <c r="U113" i="1"/>
  <c r="U114" i="1"/>
  <c r="U115" i="1"/>
  <c r="U116" i="1"/>
  <c r="U117" i="1"/>
  <c r="U118" i="1"/>
  <c r="U119" i="1"/>
  <c r="U120" i="1"/>
  <c r="U121" i="1"/>
  <c r="U122" i="1"/>
  <c r="U123" i="1"/>
  <c r="U124" i="1"/>
  <c r="U125" i="1"/>
  <c r="U126" i="1"/>
  <c r="U127" i="1"/>
  <c r="U128" i="1"/>
  <c r="U129" i="1"/>
  <c r="U130" i="1"/>
  <c r="U131" i="1"/>
  <c r="U132" i="1"/>
  <c r="U133" i="1"/>
  <c r="U134" i="1"/>
  <c r="U135" i="1"/>
  <c r="U136" i="1"/>
  <c r="U137" i="1"/>
  <c r="U138" i="1"/>
  <c r="U139" i="1"/>
  <c r="U140" i="1"/>
  <c r="U141" i="1"/>
  <c r="U142" i="1"/>
  <c r="U143" i="1"/>
  <c r="U144" i="1"/>
  <c r="U145" i="1"/>
  <c r="U146" i="1"/>
  <c r="U147" i="1"/>
  <c r="U148" i="1"/>
  <c r="U149" i="1"/>
  <c r="U150" i="1"/>
  <c r="U151" i="1"/>
  <c r="U152" i="1"/>
  <c r="U153" i="1"/>
  <c r="U154" i="1"/>
  <c r="U155" i="1"/>
  <c r="U156" i="1"/>
  <c r="U157" i="1"/>
  <c r="U158" i="1"/>
  <c r="U159" i="1"/>
  <c r="U160" i="1"/>
  <c r="U161" i="1"/>
  <c r="U162" i="1"/>
  <c r="U163" i="1"/>
  <c r="U164" i="1"/>
  <c r="U165" i="1"/>
  <c r="U166" i="1"/>
  <c r="U167" i="1"/>
  <c r="U168" i="1"/>
  <c r="U169" i="1"/>
  <c r="U170" i="1"/>
  <c r="U171" i="1"/>
  <c r="U172" i="1"/>
  <c r="U173" i="1"/>
  <c r="U174" i="1"/>
  <c r="U175" i="1"/>
  <c r="U176" i="1"/>
  <c r="U177" i="1"/>
  <c r="U178" i="1"/>
  <c r="U179" i="1"/>
  <c r="U180" i="1"/>
  <c r="U181" i="1"/>
  <c r="U182" i="1"/>
  <c r="U183" i="1"/>
  <c r="U184" i="1"/>
  <c r="U185" i="1"/>
  <c r="U186" i="1"/>
  <c r="U187" i="1"/>
  <c r="U188" i="1"/>
  <c r="U189" i="1"/>
  <c r="U190" i="1"/>
  <c r="U191" i="1"/>
  <c r="U192" i="1"/>
  <c r="U193" i="1"/>
  <c r="U194" i="1"/>
  <c r="U195" i="1"/>
  <c r="U196" i="1"/>
  <c r="U197" i="1"/>
  <c r="U198" i="1"/>
  <c r="U199" i="1"/>
  <c r="U200" i="1"/>
  <c r="U201" i="1"/>
  <c r="U202" i="1"/>
  <c r="U203" i="1"/>
  <c r="U204" i="1"/>
  <c r="U205" i="1"/>
  <c r="U206" i="1"/>
  <c r="U207" i="1"/>
  <c r="U208" i="1"/>
  <c r="U209" i="1"/>
  <c r="U210" i="1"/>
  <c r="U211" i="1"/>
  <c r="U212" i="1"/>
  <c r="U213" i="1"/>
  <c r="U214" i="1"/>
  <c r="U215" i="1"/>
  <c r="U216" i="1"/>
  <c r="U217" i="1"/>
  <c r="U218" i="1"/>
  <c r="U219" i="1"/>
  <c r="U220" i="1"/>
  <c r="U221" i="1"/>
  <c r="U222" i="1"/>
  <c r="U223" i="1"/>
  <c r="U224" i="1"/>
  <c r="U225" i="1"/>
  <c r="U226" i="1"/>
  <c r="U227" i="1"/>
  <c r="U228" i="1"/>
  <c r="U229" i="1"/>
  <c r="U230" i="1"/>
  <c r="U231" i="1"/>
  <c r="U232" i="1"/>
  <c r="U233" i="1"/>
  <c r="U234" i="1"/>
  <c r="U235" i="1"/>
  <c r="U236" i="1"/>
  <c r="U237" i="1"/>
  <c r="U238" i="1"/>
  <c r="U239" i="1"/>
  <c r="U240" i="1"/>
  <c r="U241" i="1"/>
  <c r="U242" i="1"/>
  <c r="U243" i="1"/>
  <c r="U244" i="1"/>
  <c r="U245" i="1"/>
  <c r="U246" i="1"/>
  <c r="U247" i="1"/>
  <c r="U248" i="1"/>
  <c r="U249" i="1"/>
  <c r="U250" i="1"/>
  <c r="U251" i="1"/>
  <c r="U252" i="1"/>
  <c r="U253" i="1"/>
  <c r="U254" i="1"/>
  <c r="U255" i="1"/>
  <c r="V4" i="1"/>
  <c r="V5" i="1"/>
  <c r="V6" i="1"/>
  <c r="V7" i="1"/>
  <c r="V8" i="1"/>
  <c r="V9" i="1"/>
  <c r="V10" i="1"/>
  <c r="V11" i="1"/>
  <c r="V12" i="1"/>
  <c r="V13" i="1"/>
  <c r="V14" i="1"/>
  <c r="V15" i="1"/>
  <c r="V16" i="1"/>
  <c r="V17" i="1"/>
  <c r="V18" i="1"/>
  <c r="V19" i="1"/>
  <c r="V20" i="1"/>
  <c r="V21" i="1"/>
  <c r="V22" i="1"/>
  <c r="V23" i="1"/>
  <c r="V24" i="1"/>
  <c r="V25" i="1"/>
  <c r="V26" i="1"/>
  <c r="V27" i="1"/>
  <c r="V28" i="1"/>
  <c r="V29" i="1"/>
  <c r="V30" i="1"/>
  <c r="V31" i="1"/>
  <c r="V32" i="1"/>
  <c r="V33" i="1"/>
  <c r="V34" i="1"/>
  <c r="V35" i="1"/>
  <c r="V36" i="1"/>
  <c r="V37" i="1"/>
  <c r="V38" i="1"/>
  <c r="V39" i="1"/>
  <c r="V40" i="1"/>
  <c r="V41" i="1"/>
  <c r="V42" i="1"/>
  <c r="V43" i="1"/>
  <c r="V44" i="1"/>
  <c r="V45" i="1"/>
  <c r="V46" i="1"/>
  <c r="V47" i="1"/>
  <c r="V48" i="1"/>
  <c r="V49" i="1"/>
  <c r="V50" i="1"/>
  <c r="V51" i="1"/>
  <c r="V52" i="1"/>
  <c r="V53" i="1"/>
  <c r="V54" i="1"/>
  <c r="V55" i="1"/>
  <c r="V56" i="1"/>
  <c r="V57" i="1"/>
  <c r="V58" i="1"/>
  <c r="V59" i="1"/>
  <c r="V60" i="1"/>
  <c r="V61" i="1"/>
  <c r="V62" i="1"/>
  <c r="V63" i="1"/>
  <c r="V64" i="1"/>
  <c r="V65" i="1"/>
  <c r="V66" i="1"/>
  <c r="V67" i="1"/>
  <c r="V68" i="1"/>
  <c r="V69" i="1"/>
  <c r="V70" i="1"/>
  <c r="V71" i="1"/>
  <c r="V72" i="1"/>
  <c r="V73" i="1"/>
  <c r="V74" i="1"/>
  <c r="V75" i="1"/>
  <c r="V76" i="1"/>
  <c r="V77" i="1"/>
  <c r="V78" i="1"/>
  <c r="V79" i="1"/>
  <c r="V80" i="1"/>
  <c r="V81" i="1"/>
  <c r="V82" i="1"/>
  <c r="V83" i="1"/>
  <c r="V84" i="1"/>
  <c r="V85" i="1"/>
  <c r="V86" i="1"/>
  <c r="V87" i="1"/>
  <c r="V88" i="1"/>
  <c r="V89" i="1"/>
  <c r="V90" i="1"/>
  <c r="V91" i="1"/>
  <c r="V92" i="1"/>
  <c r="V93" i="1"/>
  <c r="V94" i="1"/>
  <c r="V95" i="1"/>
  <c r="V96" i="1"/>
  <c r="V97" i="1"/>
  <c r="V98" i="1"/>
  <c r="V99" i="1"/>
  <c r="V100" i="1"/>
  <c r="V101" i="1"/>
  <c r="V102" i="1"/>
  <c r="V103" i="1"/>
  <c r="V104" i="1"/>
  <c r="V105" i="1"/>
  <c r="V106" i="1"/>
  <c r="V107" i="1"/>
  <c r="V108" i="1"/>
  <c r="V109" i="1"/>
  <c r="V110" i="1"/>
  <c r="V111" i="1"/>
  <c r="V112" i="1"/>
  <c r="V113" i="1"/>
  <c r="V114" i="1"/>
  <c r="V115" i="1"/>
  <c r="V116" i="1"/>
  <c r="V117" i="1"/>
  <c r="V118" i="1"/>
  <c r="V119" i="1"/>
  <c r="V120" i="1"/>
  <c r="V121" i="1"/>
  <c r="V122" i="1"/>
  <c r="V123" i="1"/>
  <c r="V124" i="1"/>
  <c r="V125" i="1"/>
  <c r="V126" i="1"/>
  <c r="V127" i="1"/>
  <c r="V128" i="1"/>
  <c r="V129" i="1"/>
  <c r="V130" i="1"/>
  <c r="V131" i="1"/>
  <c r="V132" i="1"/>
  <c r="V133" i="1"/>
  <c r="V134" i="1"/>
  <c r="V135" i="1"/>
  <c r="V136" i="1"/>
  <c r="V137" i="1"/>
  <c r="V138" i="1"/>
  <c r="V139" i="1"/>
  <c r="V140" i="1"/>
  <c r="V141" i="1"/>
  <c r="V142" i="1"/>
  <c r="V143" i="1"/>
  <c r="V144" i="1"/>
  <c r="V145" i="1"/>
  <c r="V146" i="1"/>
  <c r="V147" i="1"/>
  <c r="V148" i="1"/>
  <c r="V149" i="1"/>
  <c r="V150" i="1"/>
  <c r="V151" i="1"/>
  <c r="V152" i="1"/>
  <c r="V153" i="1"/>
  <c r="V154" i="1"/>
  <c r="V155" i="1"/>
  <c r="V156" i="1"/>
  <c r="V157" i="1"/>
  <c r="V158" i="1"/>
  <c r="V159" i="1"/>
  <c r="V160" i="1"/>
  <c r="V161" i="1"/>
  <c r="V162" i="1"/>
  <c r="V163" i="1"/>
  <c r="V164" i="1"/>
  <c r="V165" i="1"/>
  <c r="V166" i="1"/>
  <c r="V167" i="1"/>
  <c r="V168" i="1"/>
  <c r="V169" i="1"/>
  <c r="V170" i="1"/>
  <c r="V171" i="1"/>
  <c r="V172" i="1"/>
  <c r="V173" i="1"/>
  <c r="V174" i="1"/>
  <c r="V175" i="1"/>
  <c r="V176" i="1"/>
  <c r="V177" i="1"/>
  <c r="V178" i="1"/>
  <c r="V179" i="1"/>
  <c r="V180" i="1"/>
  <c r="V181" i="1"/>
  <c r="V182" i="1"/>
  <c r="V183" i="1"/>
  <c r="V184" i="1"/>
  <c r="V185" i="1"/>
  <c r="V186" i="1"/>
  <c r="V187" i="1"/>
  <c r="V188" i="1"/>
  <c r="V189" i="1"/>
  <c r="V190" i="1"/>
  <c r="V191" i="1"/>
  <c r="V192" i="1"/>
  <c r="V193" i="1"/>
  <c r="V194" i="1"/>
  <c r="V195" i="1"/>
  <c r="V196" i="1"/>
  <c r="V197" i="1"/>
  <c r="V198" i="1"/>
  <c r="V199" i="1"/>
  <c r="V200" i="1"/>
  <c r="V201" i="1"/>
  <c r="V202" i="1"/>
  <c r="V203" i="1"/>
  <c r="V204" i="1"/>
  <c r="V205" i="1"/>
  <c r="V206" i="1"/>
  <c r="V207" i="1"/>
  <c r="V208" i="1"/>
  <c r="V209" i="1"/>
  <c r="V210" i="1"/>
  <c r="V211" i="1"/>
  <c r="V212" i="1"/>
  <c r="V213" i="1"/>
  <c r="V214" i="1"/>
  <c r="V215" i="1"/>
  <c r="V216" i="1"/>
  <c r="V217" i="1"/>
  <c r="V218" i="1"/>
  <c r="V219" i="1"/>
  <c r="V220" i="1"/>
  <c r="V221" i="1"/>
  <c r="V222" i="1"/>
  <c r="V223" i="1"/>
  <c r="V224" i="1"/>
  <c r="V225" i="1"/>
  <c r="V226" i="1"/>
  <c r="V227" i="1"/>
  <c r="V228" i="1"/>
  <c r="V229" i="1"/>
  <c r="V230" i="1"/>
  <c r="V231" i="1"/>
  <c r="V232" i="1"/>
  <c r="V233" i="1"/>
  <c r="V234" i="1"/>
  <c r="V235" i="1"/>
  <c r="V236" i="1"/>
  <c r="V237" i="1"/>
  <c r="V238" i="1"/>
  <c r="V239" i="1"/>
  <c r="V240" i="1"/>
  <c r="V241" i="1"/>
  <c r="V242" i="1"/>
  <c r="V243" i="1"/>
  <c r="V244" i="1"/>
  <c r="V245" i="1"/>
  <c r="V246" i="1"/>
  <c r="V247" i="1"/>
  <c r="V248" i="1"/>
  <c r="V249" i="1"/>
  <c r="V250" i="1"/>
  <c r="V251" i="1"/>
  <c r="V252" i="1"/>
  <c r="V253" i="1"/>
  <c r="V254" i="1"/>
  <c r="V255" i="1"/>
  <c r="W4" i="1"/>
  <c r="W5" i="1"/>
  <c r="W6" i="1"/>
  <c r="W7" i="1"/>
  <c r="W8" i="1"/>
  <c r="W9" i="1"/>
  <c r="W10" i="1"/>
  <c r="W11" i="1"/>
  <c r="W12" i="1"/>
  <c r="W13" i="1"/>
  <c r="W14" i="1"/>
  <c r="W15" i="1"/>
  <c r="W16" i="1"/>
  <c r="W17" i="1"/>
  <c r="W18" i="1"/>
  <c r="W19" i="1"/>
  <c r="W20" i="1"/>
  <c r="W21" i="1"/>
  <c r="W22" i="1"/>
  <c r="W23" i="1"/>
  <c r="W24" i="1"/>
  <c r="W25" i="1"/>
  <c r="W26" i="1"/>
  <c r="W27" i="1"/>
  <c r="W28" i="1"/>
  <c r="W29" i="1"/>
  <c r="W30" i="1"/>
  <c r="W31" i="1"/>
  <c r="W32" i="1"/>
  <c r="W33" i="1"/>
  <c r="W34" i="1"/>
  <c r="W35" i="1"/>
  <c r="W36" i="1"/>
  <c r="W37" i="1"/>
  <c r="W38" i="1"/>
  <c r="W39" i="1"/>
  <c r="W40" i="1"/>
  <c r="W41" i="1"/>
  <c r="W42" i="1"/>
  <c r="W43" i="1"/>
  <c r="W44" i="1"/>
  <c r="W45" i="1"/>
  <c r="W46" i="1"/>
  <c r="W47" i="1"/>
  <c r="W48" i="1"/>
  <c r="W49" i="1"/>
  <c r="W50" i="1"/>
  <c r="W51" i="1"/>
  <c r="W52" i="1"/>
  <c r="W53" i="1"/>
  <c r="W54" i="1"/>
  <c r="W55" i="1"/>
  <c r="W56" i="1"/>
  <c r="W57" i="1"/>
  <c r="W58" i="1"/>
  <c r="W59" i="1"/>
  <c r="W60" i="1"/>
  <c r="W61" i="1"/>
  <c r="W62" i="1"/>
  <c r="W63" i="1"/>
  <c r="W64" i="1"/>
  <c r="W65" i="1"/>
  <c r="W66" i="1"/>
  <c r="W67" i="1"/>
  <c r="W68" i="1"/>
  <c r="W69" i="1"/>
  <c r="W70" i="1"/>
  <c r="W71" i="1"/>
  <c r="W72" i="1"/>
  <c r="W73" i="1"/>
  <c r="W74" i="1"/>
  <c r="W75" i="1"/>
  <c r="W76" i="1"/>
  <c r="W77" i="1"/>
  <c r="W78" i="1"/>
  <c r="W79" i="1"/>
  <c r="W80" i="1"/>
  <c r="W81" i="1"/>
  <c r="W82" i="1"/>
  <c r="W83" i="1"/>
  <c r="W84" i="1"/>
  <c r="W85" i="1"/>
  <c r="W86" i="1"/>
  <c r="W87" i="1"/>
  <c r="W88" i="1"/>
  <c r="W89" i="1"/>
  <c r="W90" i="1"/>
  <c r="W91" i="1"/>
  <c r="W92" i="1"/>
  <c r="W93" i="1"/>
  <c r="W94" i="1"/>
  <c r="W95" i="1"/>
  <c r="W96" i="1"/>
  <c r="W97" i="1"/>
  <c r="W98" i="1"/>
  <c r="W99" i="1"/>
  <c r="W100" i="1"/>
  <c r="W101" i="1"/>
  <c r="W102" i="1"/>
  <c r="W103" i="1"/>
  <c r="W104" i="1"/>
  <c r="W105" i="1"/>
  <c r="W106" i="1"/>
  <c r="W107" i="1"/>
  <c r="W108" i="1"/>
  <c r="W109" i="1"/>
  <c r="W110" i="1"/>
  <c r="W111" i="1"/>
  <c r="W112" i="1"/>
  <c r="W113" i="1"/>
  <c r="W114" i="1"/>
  <c r="W115" i="1"/>
  <c r="W116" i="1"/>
  <c r="W117" i="1"/>
  <c r="W118" i="1"/>
  <c r="W119" i="1"/>
  <c r="W120" i="1"/>
  <c r="W121" i="1"/>
  <c r="W122" i="1"/>
  <c r="W123" i="1"/>
  <c r="W124" i="1"/>
  <c r="W125" i="1"/>
  <c r="W126" i="1"/>
  <c r="W127" i="1"/>
  <c r="W128" i="1"/>
  <c r="W129" i="1"/>
  <c r="W130" i="1"/>
  <c r="W131" i="1"/>
  <c r="W132" i="1"/>
  <c r="W133" i="1"/>
  <c r="W134" i="1"/>
  <c r="W135" i="1"/>
  <c r="W136" i="1"/>
  <c r="W137" i="1"/>
  <c r="W138" i="1"/>
  <c r="W139" i="1"/>
  <c r="W140" i="1"/>
  <c r="W141" i="1"/>
  <c r="W142" i="1"/>
  <c r="W143" i="1"/>
  <c r="W144" i="1"/>
  <c r="W145" i="1"/>
  <c r="W146" i="1"/>
  <c r="W147" i="1"/>
  <c r="W148" i="1"/>
  <c r="W149" i="1"/>
  <c r="W150" i="1"/>
  <c r="W151" i="1"/>
  <c r="W152" i="1"/>
  <c r="W153" i="1"/>
  <c r="W154" i="1"/>
  <c r="W155" i="1"/>
  <c r="W156" i="1"/>
  <c r="W157" i="1"/>
  <c r="W158" i="1"/>
  <c r="W159" i="1"/>
  <c r="W160" i="1"/>
  <c r="W161" i="1"/>
  <c r="W162" i="1"/>
  <c r="W163" i="1"/>
  <c r="W164" i="1"/>
  <c r="W165" i="1"/>
  <c r="W166" i="1"/>
  <c r="W167" i="1"/>
  <c r="W168" i="1"/>
  <c r="W169" i="1"/>
  <c r="W170" i="1"/>
  <c r="W171" i="1"/>
  <c r="W172" i="1"/>
  <c r="W173" i="1"/>
  <c r="W174" i="1"/>
  <c r="W175" i="1"/>
  <c r="W176" i="1"/>
  <c r="W177" i="1"/>
  <c r="W178" i="1"/>
  <c r="W179" i="1"/>
  <c r="W180" i="1"/>
  <c r="W181" i="1"/>
  <c r="W182" i="1"/>
  <c r="W183" i="1"/>
  <c r="W184" i="1"/>
  <c r="W185" i="1"/>
  <c r="W186" i="1"/>
  <c r="W187" i="1"/>
  <c r="W188" i="1"/>
  <c r="W189" i="1"/>
  <c r="W190" i="1"/>
  <c r="W191" i="1"/>
  <c r="W192" i="1"/>
  <c r="W193" i="1"/>
  <c r="W194" i="1"/>
  <c r="W195" i="1"/>
  <c r="W196" i="1"/>
  <c r="W197" i="1"/>
  <c r="W198" i="1"/>
  <c r="W199" i="1"/>
  <c r="W200" i="1"/>
  <c r="W201" i="1"/>
  <c r="W202" i="1"/>
  <c r="W203" i="1"/>
  <c r="W204" i="1"/>
  <c r="W205" i="1"/>
  <c r="W206" i="1"/>
  <c r="W207" i="1"/>
  <c r="W208" i="1"/>
  <c r="W209" i="1"/>
  <c r="W210" i="1"/>
  <c r="W211" i="1"/>
  <c r="W212" i="1"/>
  <c r="W213" i="1"/>
  <c r="W214" i="1"/>
  <c r="W215" i="1"/>
  <c r="W216" i="1"/>
  <c r="W217" i="1"/>
  <c r="W218" i="1"/>
  <c r="W219" i="1"/>
  <c r="W220" i="1"/>
  <c r="W221" i="1"/>
  <c r="W222" i="1"/>
  <c r="W223" i="1"/>
  <c r="W224" i="1"/>
  <c r="W225" i="1"/>
  <c r="W226" i="1"/>
  <c r="W227" i="1"/>
  <c r="W228" i="1"/>
  <c r="W229" i="1"/>
  <c r="W230" i="1"/>
  <c r="W231" i="1"/>
  <c r="W232" i="1"/>
  <c r="W233" i="1"/>
  <c r="W234" i="1"/>
  <c r="W235" i="1"/>
  <c r="W236" i="1"/>
  <c r="W237" i="1"/>
  <c r="W238" i="1"/>
  <c r="W239" i="1"/>
  <c r="W240" i="1"/>
  <c r="W241" i="1"/>
  <c r="W242" i="1"/>
  <c r="W243" i="1"/>
  <c r="W244" i="1"/>
  <c r="W245" i="1"/>
  <c r="W246" i="1"/>
  <c r="W247" i="1"/>
  <c r="W248" i="1"/>
  <c r="W249" i="1"/>
  <c r="W250" i="1"/>
  <c r="W251" i="1"/>
  <c r="W252" i="1"/>
  <c r="W253" i="1"/>
  <c r="W254" i="1"/>
  <c r="W255" i="1"/>
  <c r="X4" i="1"/>
  <c r="X5" i="1"/>
  <c r="X6" i="1"/>
  <c r="X7" i="1"/>
  <c r="X8" i="1"/>
  <c r="X9" i="1"/>
  <c r="X10" i="1"/>
  <c r="X11" i="1"/>
  <c r="X12" i="1"/>
  <c r="X13" i="1"/>
  <c r="X14" i="1"/>
  <c r="X15" i="1"/>
  <c r="X16" i="1"/>
  <c r="X17" i="1"/>
  <c r="X18" i="1"/>
  <c r="X19" i="1"/>
  <c r="X20" i="1"/>
  <c r="X21" i="1"/>
  <c r="X22" i="1"/>
  <c r="X23" i="1"/>
  <c r="X24" i="1"/>
  <c r="X25" i="1"/>
  <c r="X26" i="1"/>
  <c r="X27" i="1"/>
  <c r="X28" i="1"/>
  <c r="X29" i="1"/>
  <c r="X30" i="1"/>
  <c r="X31" i="1"/>
  <c r="X32" i="1"/>
  <c r="X33" i="1"/>
  <c r="X34" i="1"/>
  <c r="X35" i="1"/>
  <c r="X36" i="1"/>
  <c r="X37" i="1"/>
  <c r="X38" i="1"/>
  <c r="X39" i="1"/>
  <c r="X40" i="1"/>
  <c r="X41" i="1"/>
  <c r="X42" i="1"/>
  <c r="X43" i="1"/>
  <c r="X44" i="1"/>
  <c r="X45" i="1"/>
  <c r="X46" i="1"/>
  <c r="X47" i="1"/>
  <c r="X48" i="1"/>
  <c r="X49" i="1"/>
  <c r="X50" i="1"/>
  <c r="X51" i="1"/>
  <c r="X52" i="1"/>
  <c r="X53" i="1"/>
  <c r="X54" i="1"/>
  <c r="X55" i="1"/>
  <c r="X56" i="1"/>
  <c r="X57" i="1"/>
  <c r="X58" i="1"/>
  <c r="X59" i="1"/>
  <c r="X60" i="1"/>
  <c r="X61" i="1"/>
  <c r="X62" i="1"/>
  <c r="X63" i="1"/>
  <c r="X64" i="1"/>
  <c r="X65" i="1"/>
  <c r="X66" i="1"/>
  <c r="X67" i="1"/>
  <c r="X68" i="1"/>
  <c r="X69" i="1"/>
  <c r="X70" i="1"/>
  <c r="X71" i="1"/>
  <c r="X72" i="1"/>
  <c r="X73" i="1"/>
  <c r="X74" i="1"/>
  <c r="X75" i="1"/>
  <c r="X76" i="1"/>
  <c r="X77" i="1"/>
  <c r="X78" i="1"/>
  <c r="X79" i="1"/>
  <c r="X80" i="1"/>
  <c r="X81" i="1"/>
  <c r="X82" i="1"/>
  <c r="X83" i="1"/>
  <c r="X84" i="1"/>
  <c r="X85" i="1"/>
  <c r="X86" i="1"/>
  <c r="X87" i="1"/>
  <c r="X88" i="1"/>
  <c r="X89" i="1"/>
  <c r="X90" i="1"/>
  <c r="X91" i="1"/>
  <c r="X92" i="1"/>
  <c r="X93" i="1"/>
  <c r="X94" i="1"/>
  <c r="X95" i="1"/>
  <c r="X96" i="1"/>
  <c r="X97" i="1"/>
  <c r="X98" i="1"/>
  <c r="X99" i="1"/>
  <c r="X100" i="1"/>
  <c r="X101" i="1"/>
  <c r="X102" i="1"/>
  <c r="X103" i="1"/>
  <c r="X104" i="1"/>
  <c r="X105" i="1"/>
  <c r="X106" i="1"/>
  <c r="X107" i="1"/>
  <c r="X108" i="1"/>
  <c r="X109" i="1"/>
  <c r="X110" i="1"/>
  <c r="X111" i="1"/>
  <c r="X112" i="1"/>
  <c r="X113" i="1"/>
  <c r="X114" i="1"/>
  <c r="X115" i="1"/>
  <c r="X116" i="1"/>
  <c r="X117" i="1"/>
  <c r="X118" i="1"/>
  <c r="X119" i="1"/>
  <c r="X120" i="1"/>
  <c r="X121" i="1"/>
  <c r="X122" i="1"/>
  <c r="X123" i="1"/>
  <c r="X124" i="1"/>
  <c r="X125" i="1"/>
  <c r="X126" i="1"/>
  <c r="X127" i="1"/>
  <c r="X128" i="1"/>
  <c r="X129" i="1"/>
  <c r="X130" i="1"/>
  <c r="X131" i="1"/>
  <c r="X132" i="1"/>
  <c r="X133" i="1"/>
  <c r="X134" i="1"/>
  <c r="X135" i="1"/>
  <c r="X136" i="1"/>
  <c r="X137" i="1"/>
  <c r="X138" i="1"/>
  <c r="X139" i="1"/>
  <c r="X140" i="1"/>
  <c r="X141" i="1"/>
  <c r="X142" i="1"/>
  <c r="X143" i="1"/>
  <c r="X144" i="1"/>
  <c r="X145" i="1"/>
  <c r="X146" i="1"/>
  <c r="X147" i="1"/>
  <c r="X148" i="1"/>
  <c r="X149" i="1"/>
  <c r="X150" i="1"/>
  <c r="X151" i="1"/>
  <c r="X152" i="1"/>
  <c r="X153" i="1"/>
  <c r="X154" i="1"/>
  <c r="X155" i="1"/>
  <c r="X156" i="1"/>
  <c r="X157" i="1"/>
  <c r="X158" i="1"/>
  <c r="X159" i="1"/>
  <c r="X160" i="1"/>
  <c r="X161" i="1"/>
  <c r="X162" i="1"/>
  <c r="X163" i="1"/>
  <c r="X164" i="1"/>
  <c r="X165" i="1"/>
  <c r="X166" i="1"/>
  <c r="X167" i="1"/>
  <c r="X168" i="1"/>
  <c r="X169" i="1"/>
  <c r="X170" i="1"/>
  <c r="X171" i="1"/>
  <c r="X172" i="1"/>
  <c r="X173" i="1"/>
  <c r="X174" i="1"/>
  <c r="X175" i="1"/>
  <c r="X176" i="1"/>
  <c r="X177" i="1"/>
  <c r="X178" i="1"/>
  <c r="X179" i="1"/>
  <c r="X180" i="1"/>
  <c r="X181" i="1"/>
  <c r="X182" i="1"/>
  <c r="X183" i="1"/>
  <c r="X184" i="1"/>
  <c r="X185" i="1"/>
  <c r="X186" i="1"/>
  <c r="X187" i="1"/>
  <c r="X188" i="1"/>
  <c r="X189" i="1"/>
  <c r="X190" i="1"/>
  <c r="X191" i="1"/>
  <c r="X192" i="1"/>
  <c r="X193" i="1"/>
  <c r="X194" i="1"/>
  <c r="X195" i="1"/>
  <c r="X196" i="1"/>
  <c r="X197" i="1"/>
  <c r="X198" i="1"/>
  <c r="X199" i="1"/>
  <c r="X200" i="1"/>
  <c r="X201" i="1"/>
  <c r="X202" i="1"/>
  <c r="X203" i="1"/>
  <c r="X204" i="1"/>
  <c r="X205" i="1"/>
  <c r="X206" i="1"/>
  <c r="X207" i="1"/>
  <c r="X208" i="1"/>
  <c r="X209" i="1"/>
  <c r="X210" i="1"/>
  <c r="X211" i="1"/>
  <c r="X212" i="1"/>
  <c r="X213" i="1"/>
  <c r="X214" i="1"/>
  <c r="X215" i="1"/>
  <c r="X216" i="1"/>
  <c r="X217" i="1"/>
  <c r="X218" i="1"/>
  <c r="X219" i="1"/>
  <c r="X220" i="1"/>
  <c r="X221" i="1"/>
  <c r="X222" i="1"/>
  <c r="X223" i="1"/>
  <c r="X224" i="1"/>
  <c r="X225" i="1"/>
  <c r="X226" i="1"/>
  <c r="X227" i="1"/>
  <c r="X228" i="1"/>
  <c r="X229" i="1"/>
  <c r="X230" i="1"/>
  <c r="X231" i="1"/>
  <c r="X232" i="1"/>
  <c r="X233" i="1"/>
  <c r="X234" i="1"/>
  <c r="X235" i="1"/>
  <c r="X236" i="1"/>
  <c r="X237" i="1"/>
  <c r="X238" i="1"/>
  <c r="X239" i="1"/>
  <c r="X240" i="1"/>
  <c r="X241" i="1"/>
  <c r="X242" i="1"/>
  <c r="X243" i="1"/>
  <c r="X244" i="1"/>
  <c r="X245" i="1"/>
  <c r="X246" i="1"/>
  <c r="X247" i="1"/>
  <c r="X248" i="1"/>
  <c r="X249" i="1"/>
  <c r="X250" i="1"/>
  <c r="X251" i="1"/>
  <c r="X252" i="1"/>
  <c r="X253" i="1"/>
  <c r="X254" i="1"/>
  <c r="X255" i="1"/>
  <c r="Y4" i="1"/>
  <c r="Y5" i="1"/>
  <c r="Y6" i="1"/>
  <c r="Y7" i="1"/>
  <c r="Y8" i="1"/>
  <c r="Y9" i="1"/>
  <c r="Y10" i="1"/>
  <c r="Y11" i="1"/>
  <c r="Y12" i="1"/>
  <c r="Y13" i="1"/>
  <c r="Y14" i="1"/>
  <c r="Y15" i="1"/>
  <c r="Y16" i="1"/>
  <c r="Y17" i="1"/>
  <c r="Y18" i="1"/>
  <c r="Y19" i="1"/>
  <c r="Y20" i="1"/>
  <c r="Y21" i="1"/>
  <c r="Y22" i="1"/>
  <c r="Y23" i="1"/>
  <c r="Y24" i="1"/>
  <c r="Y25" i="1"/>
  <c r="Y26" i="1"/>
  <c r="Y27" i="1"/>
  <c r="Y28" i="1"/>
  <c r="Y29" i="1"/>
  <c r="Y30" i="1"/>
  <c r="Y31" i="1"/>
  <c r="Y32" i="1"/>
  <c r="Y33" i="1"/>
  <c r="Y34" i="1"/>
  <c r="Y35" i="1"/>
  <c r="Y36" i="1"/>
  <c r="Y37" i="1"/>
  <c r="Y38" i="1"/>
  <c r="Y39" i="1"/>
  <c r="Y40" i="1"/>
  <c r="Y41" i="1"/>
  <c r="Y42" i="1"/>
  <c r="Y43" i="1"/>
  <c r="Y44" i="1"/>
  <c r="Y45" i="1"/>
  <c r="Y46" i="1"/>
  <c r="Y47" i="1"/>
  <c r="Y48" i="1"/>
  <c r="Y49" i="1"/>
  <c r="Y50" i="1"/>
  <c r="Y51" i="1"/>
  <c r="Y52" i="1"/>
  <c r="Y53" i="1"/>
  <c r="Y54" i="1"/>
  <c r="Y55" i="1"/>
  <c r="Y56" i="1"/>
  <c r="Y57" i="1"/>
  <c r="Y58" i="1"/>
  <c r="Y59" i="1"/>
  <c r="Y60" i="1"/>
  <c r="Y61" i="1"/>
  <c r="Y62" i="1"/>
  <c r="Y63" i="1"/>
  <c r="Y64" i="1"/>
  <c r="Y65" i="1"/>
  <c r="Y66" i="1"/>
  <c r="Y67" i="1"/>
  <c r="Y68" i="1"/>
  <c r="Y69" i="1"/>
  <c r="Y70" i="1"/>
  <c r="Y71" i="1"/>
  <c r="Y72" i="1"/>
  <c r="Y73" i="1"/>
  <c r="Y74" i="1"/>
  <c r="Y75" i="1"/>
  <c r="Y76" i="1"/>
  <c r="Y77" i="1"/>
  <c r="Y78" i="1"/>
  <c r="Y79" i="1"/>
  <c r="Y80" i="1"/>
  <c r="Y81" i="1"/>
  <c r="Y82" i="1"/>
  <c r="Y83" i="1"/>
  <c r="Y84" i="1"/>
  <c r="Y85" i="1"/>
  <c r="Y86" i="1"/>
  <c r="Y87" i="1"/>
  <c r="Y88" i="1"/>
  <c r="Y89" i="1"/>
  <c r="Y90" i="1"/>
  <c r="Y91" i="1"/>
  <c r="Y92" i="1"/>
  <c r="Y93" i="1"/>
  <c r="Y94" i="1"/>
  <c r="Y95" i="1"/>
  <c r="Y96" i="1"/>
  <c r="Y97" i="1"/>
  <c r="Y98" i="1"/>
  <c r="Y99" i="1"/>
  <c r="Y100" i="1"/>
  <c r="Y101" i="1"/>
  <c r="Y102" i="1"/>
  <c r="Y103" i="1"/>
  <c r="Y104" i="1"/>
  <c r="Y105" i="1"/>
  <c r="Y106" i="1"/>
  <c r="Y107" i="1"/>
  <c r="Y108" i="1"/>
  <c r="Y109" i="1"/>
  <c r="Y110" i="1"/>
  <c r="Y111" i="1"/>
  <c r="Y112" i="1"/>
  <c r="Y113" i="1"/>
  <c r="Y114" i="1"/>
  <c r="Y115" i="1"/>
  <c r="Y116" i="1"/>
  <c r="Y117" i="1"/>
  <c r="Y118" i="1"/>
  <c r="Y119" i="1"/>
  <c r="Y120" i="1"/>
  <c r="Y121" i="1"/>
  <c r="Y122" i="1"/>
  <c r="Y123" i="1"/>
  <c r="Y124" i="1"/>
  <c r="Y125" i="1"/>
  <c r="Y126" i="1"/>
  <c r="Y127" i="1"/>
  <c r="Y128" i="1"/>
  <c r="Y129" i="1"/>
  <c r="Y130" i="1"/>
  <c r="Y131" i="1"/>
  <c r="Y132" i="1"/>
  <c r="Y133" i="1"/>
  <c r="Y134" i="1"/>
  <c r="Y135" i="1"/>
  <c r="Y136" i="1"/>
  <c r="Y137" i="1"/>
  <c r="Y138" i="1"/>
  <c r="Y139" i="1"/>
  <c r="Y140" i="1"/>
  <c r="Y141" i="1"/>
  <c r="Y142" i="1"/>
  <c r="Y143" i="1"/>
  <c r="Y144" i="1"/>
  <c r="Y145" i="1"/>
  <c r="Y146" i="1"/>
  <c r="Y147" i="1"/>
  <c r="Y148" i="1"/>
  <c r="Y149" i="1"/>
  <c r="Y150" i="1"/>
  <c r="Y151" i="1"/>
  <c r="Y152" i="1"/>
  <c r="Y153" i="1"/>
  <c r="Y154" i="1"/>
  <c r="Y155" i="1"/>
  <c r="Y156" i="1"/>
  <c r="Y157" i="1"/>
  <c r="Y158" i="1"/>
  <c r="Y159" i="1"/>
  <c r="Y160" i="1"/>
  <c r="Y161" i="1"/>
  <c r="Y162" i="1"/>
  <c r="Y163" i="1"/>
  <c r="Y164" i="1"/>
  <c r="Y165" i="1"/>
  <c r="Y166" i="1"/>
  <c r="Y167" i="1"/>
  <c r="Y168" i="1"/>
  <c r="Y169" i="1"/>
  <c r="Y170" i="1"/>
  <c r="Y171" i="1"/>
  <c r="Y172" i="1"/>
  <c r="Y173" i="1"/>
  <c r="Y174" i="1"/>
  <c r="Y175" i="1"/>
  <c r="Y176" i="1"/>
  <c r="Y177" i="1"/>
  <c r="Y178" i="1"/>
  <c r="Y179" i="1"/>
  <c r="Y180" i="1"/>
  <c r="Y181" i="1"/>
  <c r="Y182" i="1"/>
  <c r="Y183" i="1"/>
  <c r="Y184" i="1"/>
  <c r="Y185" i="1"/>
  <c r="Y186" i="1"/>
  <c r="Y187" i="1"/>
  <c r="Y188" i="1"/>
  <c r="Y189" i="1"/>
  <c r="Y190" i="1"/>
  <c r="Y191" i="1"/>
  <c r="Y192" i="1"/>
  <c r="Y193" i="1"/>
  <c r="Y194" i="1"/>
  <c r="Y195" i="1"/>
  <c r="Y196" i="1"/>
  <c r="Y197" i="1"/>
  <c r="Y198" i="1"/>
  <c r="Y199" i="1"/>
  <c r="Y200" i="1"/>
  <c r="Y201" i="1"/>
  <c r="Y202" i="1"/>
  <c r="Y203" i="1"/>
  <c r="Y204" i="1"/>
  <c r="Y205" i="1"/>
  <c r="Y206" i="1"/>
  <c r="Y207" i="1"/>
  <c r="Y208" i="1"/>
  <c r="Y209" i="1"/>
  <c r="Y210" i="1"/>
  <c r="Y211" i="1"/>
  <c r="Y212" i="1"/>
  <c r="Y213" i="1"/>
  <c r="Y214" i="1"/>
  <c r="Y215" i="1"/>
  <c r="Y216" i="1"/>
  <c r="Y217" i="1"/>
  <c r="Y218" i="1"/>
  <c r="Y219" i="1"/>
  <c r="Y220" i="1"/>
  <c r="Y221" i="1"/>
  <c r="Y222" i="1"/>
  <c r="Y223" i="1"/>
  <c r="Y224" i="1"/>
  <c r="Y225" i="1"/>
  <c r="Y226" i="1"/>
  <c r="Y227" i="1"/>
  <c r="Y228" i="1"/>
  <c r="Y229" i="1"/>
  <c r="Y230" i="1"/>
  <c r="Y231" i="1"/>
  <c r="Y232" i="1"/>
  <c r="Y233" i="1"/>
  <c r="Y234" i="1"/>
  <c r="Y235" i="1"/>
  <c r="Y236" i="1"/>
  <c r="Y237" i="1"/>
  <c r="Y238" i="1"/>
  <c r="Y239" i="1"/>
  <c r="Y240" i="1"/>
  <c r="Y241" i="1"/>
  <c r="Y242" i="1"/>
  <c r="Y243" i="1"/>
  <c r="Y244" i="1"/>
  <c r="Y245" i="1"/>
  <c r="Y246" i="1"/>
  <c r="Y247" i="1"/>
  <c r="Y248" i="1"/>
  <c r="Y249" i="1"/>
  <c r="Y250" i="1"/>
  <c r="Y251" i="1"/>
  <c r="Y252" i="1"/>
  <c r="Y253" i="1"/>
  <c r="Y254" i="1"/>
  <c r="Y255" i="1"/>
  <c r="Z4" i="1"/>
  <c r="Z5" i="1"/>
  <c r="Z6" i="1"/>
  <c r="Z7" i="1"/>
  <c r="Z8" i="1"/>
  <c r="Z9" i="1"/>
  <c r="Z10" i="1"/>
  <c r="Z11" i="1"/>
  <c r="Z12" i="1"/>
  <c r="Z13" i="1"/>
  <c r="Z14" i="1"/>
  <c r="Z15" i="1"/>
  <c r="Z16" i="1"/>
  <c r="Z17" i="1"/>
  <c r="Z18" i="1"/>
  <c r="Z19" i="1"/>
  <c r="Z20" i="1"/>
  <c r="Z21" i="1"/>
  <c r="Z22" i="1"/>
  <c r="Z23" i="1"/>
  <c r="Z24" i="1"/>
  <c r="Z25" i="1"/>
  <c r="Z26" i="1"/>
  <c r="Z27" i="1"/>
  <c r="Z28" i="1"/>
  <c r="Z29" i="1"/>
  <c r="Z30" i="1"/>
  <c r="Z31" i="1"/>
  <c r="Z32" i="1"/>
  <c r="Z33" i="1"/>
  <c r="Z34" i="1"/>
  <c r="Z35" i="1"/>
  <c r="Z36" i="1"/>
  <c r="Z37" i="1"/>
  <c r="Z38" i="1"/>
  <c r="Z39" i="1"/>
  <c r="Z40" i="1"/>
  <c r="Z41" i="1"/>
  <c r="Z42" i="1"/>
  <c r="Z43" i="1"/>
  <c r="Z44" i="1"/>
  <c r="Z45" i="1"/>
  <c r="Z46" i="1"/>
  <c r="Z47" i="1"/>
  <c r="Z48" i="1"/>
  <c r="Z49" i="1"/>
  <c r="Z50" i="1"/>
  <c r="Z51" i="1"/>
  <c r="Z52" i="1"/>
  <c r="Z53" i="1"/>
  <c r="Z54" i="1"/>
  <c r="Z55" i="1"/>
  <c r="Z56" i="1"/>
  <c r="Z57" i="1"/>
  <c r="Z58" i="1"/>
  <c r="Z59" i="1"/>
  <c r="Z60" i="1"/>
  <c r="Z61" i="1"/>
  <c r="Z62" i="1"/>
  <c r="Z63" i="1"/>
  <c r="Z64" i="1"/>
  <c r="Z65" i="1"/>
  <c r="Z66" i="1"/>
  <c r="Z67" i="1"/>
  <c r="Z68" i="1"/>
  <c r="Z69" i="1"/>
  <c r="Z70" i="1"/>
  <c r="Z71" i="1"/>
  <c r="Z72" i="1"/>
  <c r="Z73" i="1"/>
  <c r="Z74" i="1"/>
  <c r="Z75" i="1"/>
  <c r="Z76" i="1"/>
  <c r="Z77" i="1"/>
  <c r="Z78" i="1"/>
  <c r="Z79" i="1"/>
  <c r="Z80" i="1"/>
  <c r="Z81" i="1"/>
  <c r="Z82" i="1"/>
  <c r="Z83" i="1"/>
  <c r="Z84" i="1"/>
  <c r="Z85" i="1"/>
  <c r="Z86" i="1"/>
  <c r="Z87" i="1"/>
  <c r="Z88" i="1"/>
  <c r="Z89" i="1"/>
  <c r="Z90" i="1"/>
  <c r="Z91" i="1"/>
  <c r="Z92" i="1"/>
  <c r="Z93" i="1"/>
  <c r="Z94" i="1"/>
  <c r="Z95" i="1"/>
  <c r="Z96" i="1"/>
  <c r="Z97" i="1"/>
  <c r="Z98" i="1"/>
  <c r="Z99" i="1"/>
  <c r="Z100" i="1"/>
  <c r="Z101" i="1"/>
  <c r="Z102" i="1"/>
  <c r="Z103" i="1"/>
  <c r="Z104" i="1"/>
  <c r="Z105" i="1"/>
  <c r="Z106" i="1"/>
  <c r="Z107" i="1"/>
  <c r="Z108" i="1"/>
  <c r="Z109" i="1"/>
  <c r="Z110" i="1"/>
  <c r="Z111" i="1"/>
  <c r="Z112" i="1"/>
  <c r="Z113" i="1"/>
  <c r="Z114" i="1"/>
  <c r="Z115" i="1"/>
  <c r="Z116" i="1"/>
  <c r="Z117" i="1"/>
  <c r="Z118" i="1"/>
  <c r="Z119" i="1"/>
  <c r="Z120" i="1"/>
  <c r="Z121" i="1"/>
  <c r="Z122" i="1"/>
  <c r="Z123" i="1"/>
  <c r="Z124" i="1"/>
  <c r="Z125" i="1"/>
  <c r="Z126" i="1"/>
  <c r="Z127" i="1"/>
  <c r="Z128" i="1"/>
  <c r="Z129" i="1"/>
  <c r="Z130" i="1"/>
  <c r="Z131" i="1"/>
  <c r="Z132" i="1"/>
  <c r="Z133" i="1"/>
  <c r="Z134" i="1"/>
  <c r="Z135" i="1"/>
  <c r="Z136" i="1"/>
  <c r="Z137" i="1"/>
  <c r="Z138" i="1"/>
  <c r="Z139" i="1"/>
  <c r="Z140" i="1"/>
  <c r="Z141" i="1"/>
  <c r="Z142" i="1"/>
  <c r="Z143" i="1"/>
  <c r="Z144" i="1"/>
  <c r="Z145" i="1"/>
  <c r="Z146" i="1"/>
  <c r="Z147" i="1"/>
  <c r="Z148" i="1"/>
  <c r="Z149" i="1"/>
  <c r="Z150" i="1"/>
  <c r="Z151" i="1"/>
  <c r="Z152" i="1"/>
  <c r="Z153" i="1"/>
  <c r="Z154" i="1"/>
  <c r="Z155" i="1"/>
  <c r="Z156" i="1"/>
  <c r="Z157" i="1"/>
  <c r="Z158" i="1"/>
  <c r="Z159" i="1"/>
  <c r="Z160" i="1"/>
  <c r="Z161" i="1"/>
  <c r="Z162" i="1"/>
  <c r="Z163" i="1"/>
  <c r="Z164" i="1"/>
  <c r="Z165" i="1"/>
  <c r="Z166" i="1"/>
  <c r="Z167" i="1"/>
  <c r="Z168" i="1"/>
  <c r="Z169" i="1"/>
  <c r="Z170" i="1"/>
  <c r="Z171" i="1"/>
  <c r="Z172" i="1"/>
  <c r="Z173" i="1"/>
  <c r="Z174" i="1"/>
  <c r="Z175" i="1"/>
  <c r="Z176" i="1"/>
  <c r="Z177" i="1"/>
  <c r="Z178" i="1"/>
  <c r="Z179" i="1"/>
  <c r="Z180" i="1"/>
  <c r="Z181" i="1"/>
  <c r="Z182" i="1"/>
  <c r="Z183" i="1"/>
  <c r="Z184" i="1"/>
  <c r="Z185" i="1"/>
  <c r="Z186" i="1"/>
  <c r="Z187" i="1"/>
  <c r="Z188" i="1"/>
  <c r="Z189" i="1"/>
  <c r="Z190" i="1"/>
  <c r="Z191" i="1"/>
  <c r="Z192" i="1"/>
  <c r="Z193" i="1"/>
  <c r="Z194" i="1"/>
  <c r="Z195" i="1"/>
  <c r="Z196" i="1"/>
  <c r="Z197" i="1"/>
  <c r="Z198" i="1"/>
  <c r="Z199" i="1"/>
  <c r="Z200" i="1"/>
  <c r="Z201" i="1"/>
  <c r="Z202" i="1"/>
  <c r="Z203" i="1"/>
  <c r="Z204" i="1"/>
  <c r="Z205" i="1"/>
  <c r="Z206" i="1"/>
  <c r="Z207" i="1"/>
  <c r="Z208" i="1"/>
  <c r="Z209" i="1"/>
  <c r="Z210" i="1"/>
  <c r="Z211" i="1"/>
  <c r="Z212" i="1"/>
  <c r="Z213" i="1"/>
  <c r="Z214" i="1"/>
  <c r="Z215" i="1"/>
  <c r="Z216" i="1"/>
  <c r="Z217" i="1"/>
  <c r="Z218" i="1"/>
  <c r="Z219" i="1"/>
  <c r="Z220" i="1"/>
  <c r="Z221" i="1"/>
  <c r="Z222" i="1"/>
  <c r="Z223" i="1"/>
  <c r="Z224" i="1"/>
  <c r="Z225" i="1"/>
  <c r="Z226" i="1"/>
  <c r="Z227" i="1"/>
  <c r="Z228" i="1"/>
  <c r="Z229" i="1"/>
  <c r="Z230" i="1"/>
  <c r="Z231" i="1"/>
  <c r="Z232" i="1"/>
  <c r="Z233" i="1"/>
  <c r="Z234" i="1"/>
  <c r="Z235" i="1"/>
  <c r="Z236" i="1"/>
  <c r="Z237" i="1"/>
  <c r="Z238" i="1"/>
  <c r="Z239" i="1"/>
  <c r="Z240" i="1"/>
  <c r="Z241" i="1"/>
  <c r="Z242" i="1"/>
  <c r="Z243" i="1"/>
  <c r="Z244" i="1"/>
  <c r="Z245" i="1"/>
  <c r="Z246" i="1"/>
  <c r="Z247" i="1"/>
  <c r="Z248" i="1"/>
  <c r="Z249" i="1"/>
  <c r="Z250" i="1"/>
  <c r="Z251" i="1"/>
  <c r="Z252" i="1"/>
  <c r="Z253" i="1"/>
  <c r="Z254" i="1"/>
  <c r="Z255" i="1"/>
  <c r="AA4" i="1"/>
  <c r="AA5" i="1"/>
  <c r="AA6" i="1"/>
  <c r="AA7" i="1"/>
  <c r="AA8" i="1"/>
  <c r="AA9" i="1"/>
  <c r="AA10" i="1"/>
  <c r="AA11" i="1"/>
  <c r="AA12" i="1"/>
  <c r="AA13" i="1"/>
  <c r="AA14" i="1"/>
  <c r="AA15" i="1"/>
  <c r="AA16" i="1"/>
  <c r="AA17" i="1"/>
  <c r="AA18" i="1"/>
  <c r="AA19" i="1"/>
  <c r="AA20" i="1"/>
  <c r="AA21" i="1"/>
  <c r="AA22" i="1"/>
  <c r="AA23" i="1"/>
  <c r="AA24" i="1"/>
  <c r="AA25" i="1"/>
  <c r="AA26" i="1"/>
  <c r="AA27" i="1"/>
  <c r="AA28" i="1"/>
  <c r="AA29" i="1"/>
  <c r="AA30" i="1"/>
  <c r="AA31" i="1"/>
  <c r="AA32" i="1"/>
  <c r="AA33" i="1"/>
  <c r="AA34" i="1"/>
  <c r="AA35" i="1"/>
  <c r="AA36" i="1"/>
  <c r="AA37" i="1"/>
  <c r="AA38" i="1"/>
  <c r="AA39" i="1"/>
  <c r="AA40" i="1"/>
  <c r="AA41" i="1"/>
  <c r="AA42" i="1"/>
  <c r="AA43" i="1"/>
  <c r="AA44" i="1"/>
  <c r="AA45" i="1"/>
  <c r="AA46" i="1"/>
  <c r="AA47" i="1"/>
  <c r="AA48" i="1"/>
  <c r="AA49" i="1"/>
  <c r="AA50" i="1"/>
  <c r="AA51" i="1"/>
  <c r="AA52" i="1"/>
  <c r="AA53" i="1"/>
  <c r="AA54" i="1"/>
  <c r="AA55" i="1"/>
  <c r="AA56" i="1"/>
  <c r="AA57" i="1"/>
  <c r="AA58" i="1"/>
  <c r="AA59" i="1"/>
  <c r="AA60" i="1"/>
  <c r="AA61" i="1"/>
  <c r="AA62" i="1"/>
  <c r="AA63" i="1"/>
  <c r="AA64" i="1"/>
  <c r="AA65" i="1"/>
  <c r="AA66" i="1"/>
  <c r="AA67" i="1"/>
  <c r="AA68" i="1"/>
  <c r="AA69" i="1"/>
  <c r="AA70" i="1"/>
  <c r="AA71" i="1"/>
  <c r="AA72" i="1"/>
  <c r="AA73" i="1"/>
  <c r="AA74" i="1"/>
  <c r="AA75" i="1"/>
  <c r="AA76" i="1"/>
  <c r="AA77" i="1"/>
  <c r="AA78" i="1"/>
  <c r="AA79" i="1"/>
  <c r="AA80" i="1"/>
  <c r="AA81" i="1"/>
  <c r="AA82" i="1"/>
  <c r="AA83" i="1"/>
  <c r="AA84" i="1"/>
  <c r="AA85" i="1"/>
  <c r="AA86" i="1"/>
  <c r="AA87" i="1"/>
  <c r="AA88" i="1"/>
  <c r="AA89" i="1"/>
  <c r="AA90" i="1"/>
  <c r="AA91" i="1"/>
  <c r="AA92" i="1"/>
  <c r="AA93" i="1"/>
  <c r="AA94" i="1"/>
  <c r="AA95" i="1"/>
  <c r="AA96" i="1"/>
  <c r="AA97" i="1"/>
  <c r="AA98" i="1"/>
  <c r="AA99" i="1"/>
  <c r="AA100" i="1"/>
  <c r="AA101" i="1"/>
  <c r="AA102" i="1"/>
  <c r="AA103" i="1"/>
  <c r="AA104" i="1"/>
  <c r="AA105" i="1"/>
  <c r="AA106" i="1"/>
  <c r="AA107" i="1"/>
  <c r="AA108" i="1"/>
  <c r="AA109" i="1"/>
  <c r="AA110" i="1"/>
  <c r="AA111" i="1"/>
  <c r="AA112" i="1"/>
  <c r="AA113" i="1"/>
  <c r="AA114" i="1"/>
  <c r="AA115" i="1"/>
  <c r="AA116" i="1"/>
  <c r="AA117" i="1"/>
  <c r="AA118" i="1"/>
  <c r="AA119" i="1"/>
  <c r="AA120" i="1"/>
  <c r="AA121" i="1"/>
  <c r="AA122" i="1"/>
  <c r="AA123" i="1"/>
  <c r="AA124" i="1"/>
  <c r="AA125" i="1"/>
  <c r="AA126" i="1"/>
  <c r="AA127" i="1"/>
  <c r="AA128" i="1"/>
  <c r="AA129" i="1"/>
  <c r="AA130" i="1"/>
  <c r="AA131" i="1"/>
  <c r="AA132" i="1"/>
  <c r="AA133" i="1"/>
  <c r="AA134" i="1"/>
  <c r="AA135" i="1"/>
  <c r="AA136" i="1"/>
  <c r="AA137" i="1"/>
  <c r="AA138" i="1"/>
  <c r="AA139" i="1"/>
  <c r="AA140" i="1"/>
  <c r="AA141" i="1"/>
  <c r="AA142" i="1"/>
  <c r="AA143" i="1"/>
  <c r="AA144" i="1"/>
  <c r="AA145" i="1"/>
  <c r="AA146" i="1"/>
  <c r="AA147" i="1"/>
  <c r="AA148" i="1"/>
  <c r="AA149" i="1"/>
  <c r="AA150" i="1"/>
  <c r="AA151" i="1"/>
  <c r="AA152" i="1"/>
  <c r="AA153" i="1"/>
  <c r="AA154" i="1"/>
  <c r="AA155" i="1"/>
  <c r="AA156" i="1"/>
  <c r="AA157" i="1"/>
  <c r="AA158" i="1"/>
  <c r="AA159" i="1"/>
  <c r="AA160" i="1"/>
  <c r="AA161" i="1"/>
  <c r="AA162" i="1"/>
  <c r="AA163" i="1"/>
  <c r="AA164" i="1"/>
  <c r="AA165" i="1"/>
  <c r="AA166" i="1"/>
  <c r="AA167" i="1"/>
  <c r="AA168" i="1"/>
  <c r="AA169" i="1"/>
  <c r="AA170" i="1"/>
  <c r="AA171" i="1"/>
  <c r="AA172" i="1"/>
  <c r="AA173" i="1"/>
  <c r="AA174" i="1"/>
  <c r="AA175" i="1"/>
  <c r="AA176" i="1"/>
  <c r="AA177" i="1"/>
  <c r="AA178" i="1"/>
  <c r="AA179" i="1"/>
  <c r="AA180" i="1"/>
  <c r="AA181" i="1"/>
  <c r="AA182" i="1"/>
  <c r="AA183" i="1"/>
  <c r="AA184" i="1"/>
  <c r="AA185" i="1"/>
  <c r="AA186" i="1"/>
  <c r="AA187" i="1"/>
  <c r="AA188" i="1"/>
  <c r="AA189" i="1"/>
  <c r="AA190" i="1"/>
  <c r="AA191" i="1"/>
  <c r="AA192" i="1"/>
  <c r="AA193" i="1"/>
  <c r="AA194" i="1"/>
  <c r="AA195" i="1"/>
  <c r="AA196" i="1"/>
  <c r="AA197" i="1"/>
  <c r="AA198" i="1"/>
  <c r="AA199" i="1"/>
  <c r="AA200" i="1"/>
  <c r="AA201" i="1"/>
  <c r="AA202" i="1"/>
  <c r="AA203" i="1"/>
  <c r="AA204" i="1"/>
  <c r="AA205" i="1"/>
  <c r="AA206" i="1"/>
  <c r="AA207" i="1"/>
  <c r="AA208" i="1"/>
  <c r="AA209" i="1"/>
  <c r="AA210" i="1"/>
  <c r="AA211" i="1"/>
  <c r="AA212" i="1"/>
  <c r="AA213" i="1"/>
  <c r="AA214" i="1"/>
  <c r="AA215" i="1"/>
  <c r="AA216" i="1"/>
  <c r="AA217" i="1"/>
  <c r="AA218" i="1"/>
  <c r="AA219" i="1"/>
  <c r="AA220" i="1"/>
  <c r="AA221" i="1"/>
  <c r="AA222" i="1"/>
  <c r="AA223" i="1"/>
  <c r="AA224" i="1"/>
  <c r="AA225" i="1"/>
  <c r="AA226" i="1"/>
  <c r="AA227" i="1"/>
  <c r="AA228" i="1"/>
  <c r="AA229" i="1"/>
  <c r="AA230" i="1"/>
  <c r="AA231" i="1"/>
  <c r="AA232" i="1"/>
  <c r="AA233" i="1"/>
  <c r="AA234" i="1"/>
  <c r="AA235" i="1"/>
  <c r="AA236" i="1"/>
  <c r="AA237" i="1"/>
  <c r="AA238" i="1"/>
  <c r="AA239" i="1"/>
  <c r="AA240" i="1"/>
  <c r="AA241" i="1"/>
  <c r="AA242" i="1"/>
  <c r="AA243" i="1"/>
  <c r="AA244" i="1"/>
  <c r="AA245" i="1"/>
  <c r="AA246" i="1"/>
  <c r="AA247" i="1"/>
  <c r="AA248" i="1"/>
  <c r="AA249" i="1"/>
  <c r="AA250" i="1"/>
  <c r="AA251" i="1"/>
  <c r="AA252" i="1"/>
  <c r="AA253" i="1"/>
  <c r="AA254" i="1"/>
  <c r="AA255" i="1"/>
  <c r="AB4" i="1"/>
  <c r="AB5" i="1"/>
  <c r="AB6" i="1"/>
  <c r="AB7" i="1"/>
  <c r="AB8" i="1"/>
  <c r="AB10" i="1"/>
  <c r="AB11" i="1"/>
  <c r="AB12" i="1"/>
  <c r="AB13" i="1"/>
  <c r="AB14" i="1"/>
  <c r="AB16" i="1"/>
  <c r="AB17" i="1"/>
  <c r="AB18" i="1"/>
  <c r="AB19" i="1"/>
  <c r="AB20" i="1"/>
  <c r="AB22" i="1"/>
  <c r="AB23" i="1"/>
  <c r="AB24" i="1"/>
  <c r="AB25" i="1"/>
  <c r="AB26" i="1"/>
  <c r="AB28" i="1"/>
  <c r="AB29" i="1"/>
  <c r="AB30" i="1"/>
  <c r="AB31" i="1"/>
  <c r="AB32" i="1"/>
  <c r="AB34" i="1"/>
  <c r="AB35" i="1"/>
  <c r="AB36" i="1"/>
  <c r="AB37" i="1"/>
  <c r="AB38" i="1"/>
  <c r="AB40" i="1"/>
  <c r="AB41" i="1"/>
  <c r="AB42" i="1"/>
  <c r="AB43" i="1"/>
  <c r="AB44" i="1"/>
  <c r="AB46" i="1"/>
  <c r="AB47" i="1"/>
  <c r="AB48" i="1"/>
  <c r="AB49" i="1"/>
  <c r="AB50" i="1"/>
  <c r="AB52" i="1"/>
  <c r="AB53" i="1"/>
  <c r="AB54" i="1"/>
  <c r="AB55" i="1"/>
  <c r="AB56" i="1"/>
  <c r="AB58" i="1"/>
  <c r="AB59" i="1"/>
  <c r="AB60" i="1"/>
  <c r="AB61" i="1"/>
  <c r="AB62" i="1"/>
  <c r="AB64" i="1"/>
  <c r="AB65" i="1"/>
  <c r="AB66" i="1"/>
  <c r="AB67" i="1"/>
  <c r="AB68" i="1"/>
  <c r="AB70" i="1"/>
  <c r="AB71" i="1"/>
  <c r="AB72" i="1"/>
  <c r="AB73" i="1"/>
  <c r="AB74" i="1"/>
  <c r="AB76" i="1"/>
  <c r="AB77" i="1"/>
  <c r="AB78" i="1"/>
  <c r="AB79" i="1"/>
  <c r="AB80" i="1"/>
  <c r="AB82" i="1"/>
  <c r="AB83" i="1"/>
  <c r="AB84" i="1"/>
  <c r="AB85" i="1"/>
  <c r="AB86" i="1"/>
  <c r="AB88" i="1"/>
  <c r="AB89" i="1"/>
  <c r="AB90" i="1"/>
  <c r="AB91" i="1"/>
  <c r="AB92" i="1"/>
  <c r="AB94" i="1"/>
  <c r="AB95" i="1"/>
  <c r="AB96" i="1"/>
  <c r="AB97" i="1"/>
  <c r="AB98" i="1"/>
  <c r="AB100" i="1"/>
  <c r="AB101" i="1"/>
  <c r="AB102" i="1"/>
  <c r="AB103" i="1"/>
  <c r="AB104" i="1"/>
  <c r="AB106" i="1"/>
  <c r="AB107" i="1"/>
  <c r="AB108" i="1"/>
  <c r="AB109" i="1"/>
  <c r="AB110" i="1"/>
  <c r="AB112" i="1"/>
  <c r="AB113" i="1"/>
  <c r="AB114" i="1"/>
  <c r="AB115" i="1"/>
  <c r="AB116" i="1"/>
  <c r="AB118" i="1"/>
  <c r="AB119" i="1"/>
  <c r="AB120" i="1"/>
  <c r="AB121" i="1"/>
  <c r="AB122" i="1"/>
  <c r="AB124" i="1"/>
  <c r="AB125" i="1"/>
  <c r="AB126" i="1"/>
  <c r="AB127" i="1"/>
  <c r="AB128" i="1"/>
  <c r="AB130" i="1"/>
  <c r="AB131" i="1"/>
  <c r="AB132" i="1"/>
  <c r="AB133" i="1"/>
  <c r="AB134" i="1"/>
  <c r="AB136" i="1"/>
  <c r="AB137" i="1"/>
  <c r="AB138" i="1"/>
  <c r="AB139" i="1"/>
  <c r="AB140" i="1"/>
  <c r="AB142" i="1"/>
  <c r="AB143" i="1"/>
  <c r="AB144" i="1"/>
  <c r="AB145" i="1"/>
  <c r="AB146" i="1"/>
  <c r="AB148" i="1"/>
  <c r="AB149" i="1"/>
  <c r="AB150" i="1"/>
  <c r="AB151" i="1"/>
  <c r="AB152" i="1"/>
  <c r="AB154" i="1"/>
  <c r="AB155" i="1"/>
  <c r="AB156" i="1"/>
  <c r="AB157" i="1"/>
  <c r="AB158" i="1"/>
  <c r="AB160" i="1"/>
  <c r="AB161" i="1"/>
  <c r="AB162" i="1"/>
  <c r="AB163" i="1"/>
  <c r="AB164" i="1"/>
  <c r="AB166" i="1"/>
  <c r="AB167" i="1"/>
  <c r="AB168" i="1"/>
  <c r="AB169" i="1"/>
  <c r="AB170" i="1"/>
  <c r="AB172" i="1"/>
  <c r="AB173" i="1"/>
  <c r="AB174" i="1"/>
  <c r="AB175" i="1"/>
  <c r="AB176" i="1"/>
  <c r="AB178" i="1"/>
  <c r="AB179" i="1"/>
  <c r="AB180" i="1"/>
  <c r="AB181" i="1"/>
  <c r="AB182" i="1"/>
  <c r="AB184" i="1"/>
  <c r="AB185" i="1"/>
  <c r="AB186" i="1"/>
  <c r="AB187" i="1"/>
  <c r="AB188" i="1"/>
  <c r="AB190" i="1"/>
  <c r="AB191" i="1"/>
  <c r="AB192" i="1"/>
  <c r="AB193" i="1"/>
  <c r="AB194" i="1"/>
  <c r="AB196" i="1"/>
  <c r="AB197" i="1"/>
  <c r="AB198" i="1"/>
  <c r="AB199" i="1"/>
  <c r="AB200" i="1"/>
  <c r="AB202" i="1"/>
  <c r="AB203" i="1"/>
  <c r="AB204" i="1"/>
  <c r="AB205" i="1"/>
  <c r="AB206" i="1"/>
  <c r="AB208" i="1"/>
  <c r="AB209" i="1"/>
  <c r="AB210" i="1"/>
  <c r="AB211" i="1"/>
  <c r="AB212" i="1"/>
  <c r="AB214" i="1"/>
  <c r="AB215" i="1"/>
  <c r="AB216" i="1"/>
  <c r="AB217" i="1"/>
  <c r="AB218" i="1"/>
  <c r="AB220" i="1"/>
  <c r="AB221" i="1"/>
  <c r="AB222" i="1"/>
  <c r="AB223" i="1"/>
  <c r="AB224" i="1"/>
  <c r="AB226" i="1"/>
  <c r="AB227" i="1"/>
  <c r="AB228" i="1"/>
  <c r="AB229" i="1"/>
  <c r="AB230" i="1"/>
  <c r="AB232" i="1"/>
  <c r="AB233" i="1"/>
  <c r="AB234" i="1"/>
  <c r="AB235" i="1"/>
  <c r="AB236" i="1"/>
  <c r="AB238" i="1"/>
  <c r="AB239" i="1"/>
  <c r="AB240" i="1"/>
  <c r="AB241" i="1"/>
  <c r="AB242" i="1"/>
  <c r="AB244" i="1"/>
  <c r="AB245" i="1"/>
  <c r="AB246" i="1"/>
  <c r="AB247" i="1"/>
  <c r="AB248" i="1"/>
  <c r="AB250" i="1"/>
  <c r="AB251" i="1"/>
  <c r="AB252" i="1"/>
  <c r="AB253" i="1"/>
  <c r="AB254" i="1"/>
  <c r="AC4" i="1"/>
  <c r="AC5" i="1"/>
  <c r="AC6" i="1"/>
  <c r="AC7" i="1"/>
  <c r="AC8" i="1"/>
  <c r="AC10" i="1"/>
  <c r="AC11" i="1"/>
  <c r="AC12" i="1"/>
  <c r="AC13" i="1"/>
  <c r="AC14" i="1"/>
  <c r="AC16" i="1"/>
  <c r="AC17" i="1"/>
  <c r="AC18" i="1"/>
  <c r="AC19" i="1"/>
  <c r="AC20" i="1"/>
  <c r="AC22" i="1"/>
  <c r="AC23" i="1"/>
  <c r="AC24" i="1"/>
  <c r="AC25" i="1"/>
  <c r="AC26" i="1"/>
  <c r="AC28" i="1"/>
  <c r="AC29" i="1"/>
  <c r="AC30" i="1"/>
  <c r="AC31" i="1"/>
  <c r="AC32" i="1"/>
  <c r="AC34" i="1"/>
  <c r="AC35" i="1"/>
  <c r="AC36" i="1"/>
  <c r="AC37" i="1"/>
  <c r="AC38" i="1"/>
  <c r="AC40" i="1"/>
  <c r="AC41" i="1"/>
  <c r="AC42" i="1"/>
  <c r="AC43" i="1"/>
  <c r="AC44" i="1"/>
  <c r="AC46" i="1"/>
  <c r="AC47" i="1"/>
  <c r="AC48" i="1"/>
  <c r="AC49" i="1"/>
  <c r="AC50" i="1"/>
  <c r="AC52" i="1"/>
  <c r="AC53" i="1"/>
  <c r="AC54" i="1"/>
  <c r="AC55" i="1"/>
  <c r="AC56" i="1"/>
  <c r="AC58" i="1"/>
  <c r="AC59" i="1"/>
  <c r="AC60" i="1"/>
  <c r="AC61" i="1"/>
  <c r="AC62" i="1"/>
  <c r="AC64" i="1"/>
  <c r="AC65" i="1"/>
  <c r="AC66" i="1"/>
  <c r="AC67" i="1"/>
  <c r="AC68" i="1"/>
  <c r="AC70" i="1"/>
  <c r="AC71" i="1"/>
  <c r="AC72" i="1"/>
  <c r="AC73" i="1"/>
  <c r="AC74" i="1"/>
  <c r="AC76" i="1"/>
  <c r="AC77" i="1"/>
  <c r="AC78" i="1"/>
  <c r="AC79" i="1"/>
  <c r="AC80" i="1"/>
  <c r="AC82" i="1"/>
  <c r="AC83" i="1"/>
  <c r="AC84" i="1"/>
  <c r="AC85" i="1"/>
  <c r="AC86" i="1"/>
  <c r="AC88" i="1"/>
  <c r="AC89" i="1"/>
  <c r="AC90" i="1"/>
  <c r="AC91" i="1"/>
  <c r="AC92" i="1"/>
  <c r="AC94" i="1"/>
  <c r="AC95" i="1"/>
  <c r="AC96" i="1"/>
  <c r="AC97" i="1"/>
  <c r="AC98" i="1"/>
  <c r="AC100" i="1"/>
  <c r="AC101" i="1"/>
  <c r="AC102" i="1"/>
  <c r="AC103" i="1"/>
  <c r="AC104" i="1"/>
  <c r="AC106" i="1"/>
  <c r="AC107" i="1"/>
  <c r="AC108" i="1"/>
  <c r="AC109" i="1"/>
  <c r="AC110" i="1"/>
  <c r="AC112" i="1"/>
  <c r="AC113" i="1"/>
  <c r="AC114" i="1"/>
  <c r="AC115" i="1"/>
  <c r="AC116" i="1"/>
  <c r="AC118" i="1"/>
  <c r="AC119" i="1"/>
  <c r="AC120" i="1"/>
  <c r="AC121" i="1"/>
  <c r="AC122" i="1"/>
  <c r="AC124" i="1"/>
  <c r="AC125" i="1"/>
  <c r="AC126" i="1"/>
  <c r="AC127" i="1"/>
  <c r="AC128" i="1"/>
  <c r="AC130" i="1"/>
  <c r="AC131" i="1"/>
  <c r="AC132" i="1"/>
  <c r="AC133" i="1"/>
  <c r="AC134" i="1"/>
  <c r="AC136" i="1"/>
  <c r="AC137" i="1"/>
  <c r="AC138" i="1"/>
  <c r="AC139" i="1"/>
  <c r="AC140" i="1"/>
  <c r="AC142" i="1"/>
  <c r="AC143" i="1"/>
  <c r="AC144" i="1"/>
  <c r="AC145" i="1"/>
  <c r="AC146" i="1"/>
  <c r="AC148" i="1"/>
  <c r="AC149" i="1"/>
  <c r="AC150" i="1"/>
  <c r="AC151" i="1"/>
  <c r="AC152" i="1"/>
  <c r="AC154" i="1"/>
  <c r="AC155" i="1"/>
  <c r="AC156" i="1"/>
  <c r="AC157" i="1"/>
  <c r="AC158" i="1"/>
  <c r="AC160" i="1"/>
  <c r="AC161" i="1"/>
  <c r="AC162" i="1"/>
  <c r="AC163" i="1"/>
  <c r="AC164" i="1"/>
  <c r="AC166" i="1"/>
  <c r="AC167" i="1"/>
  <c r="AC168" i="1"/>
  <c r="AC169" i="1"/>
  <c r="AC170" i="1"/>
  <c r="AC172" i="1"/>
  <c r="AC173" i="1"/>
  <c r="AC174" i="1"/>
  <c r="AC175" i="1"/>
  <c r="AC176" i="1"/>
  <c r="AC178" i="1"/>
  <c r="AC179" i="1"/>
  <c r="AC180" i="1"/>
  <c r="AC181" i="1"/>
  <c r="AC182" i="1"/>
  <c r="AC184" i="1"/>
  <c r="AC185" i="1"/>
  <c r="AC186" i="1"/>
  <c r="AC187" i="1"/>
  <c r="AC188" i="1"/>
  <c r="AC190" i="1"/>
  <c r="AC191" i="1"/>
  <c r="AC192" i="1"/>
  <c r="AC193" i="1"/>
  <c r="AC194" i="1"/>
  <c r="AC196" i="1"/>
  <c r="AC197" i="1"/>
  <c r="AC198" i="1"/>
  <c r="AC199" i="1"/>
  <c r="AC200" i="1"/>
  <c r="AC202" i="1"/>
  <c r="AC203" i="1"/>
  <c r="AC204" i="1"/>
  <c r="AC205" i="1"/>
  <c r="AC206" i="1"/>
  <c r="AC208" i="1"/>
  <c r="AC209" i="1"/>
  <c r="AC210" i="1"/>
  <c r="AC211" i="1"/>
  <c r="AC212" i="1"/>
  <c r="AC214" i="1"/>
  <c r="AC215" i="1"/>
  <c r="AC216" i="1"/>
  <c r="AC217" i="1"/>
  <c r="AC218" i="1"/>
  <c r="AC220" i="1"/>
  <c r="AC221" i="1"/>
  <c r="AC222" i="1"/>
  <c r="AC223" i="1"/>
  <c r="AC224" i="1"/>
  <c r="AC226" i="1"/>
  <c r="AC227" i="1"/>
  <c r="AC228" i="1"/>
  <c r="AC229" i="1"/>
  <c r="AC230" i="1"/>
  <c r="AC232" i="1"/>
  <c r="AC233" i="1"/>
  <c r="AC234" i="1"/>
  <c r="AC235" i="1"/>
  <c r="AC236" i="1"/>
  <c r="AC238" i="1"/>
  <c r="AC239" i="1"/>
  <c r="AC240" i="1"/>
  <c r="AC241" i="1"/>
  <c r="AC242" i="1"/>
  <c r="AC244" i="1"/>
  <c r="AC245" i="1"/>
  <c r="AC246" i="1"/>
  <c r="AC247" i="1"/>
  <c r="AC248" i="1"/>
  <c r="AC250" i="1"/>
  <c r="AC251" i="1"/>
  <c r="AC252" i="1"/>
  <c r="AC253" i="1"/>
  <c r="AC254" i="1"/>
  <c r="AD4" i="1" a="1"/>
  <c r="AD4" i="1" s="1"/>
  <c r="AD5" i="1" a="1"/>
  <c r="AD5" i="1" s="1"/>
  <c r="AD6" i="1" a="1"/>
  <c r="AD6" i="1"/>
  <c r="AD7" i="1" a="1"/>
  <c r="AD7" i="1" s="1"/>
  <c r="AD8" i="1" a="1"/>
  <c r="AD8" i="1" s="1"/>
  <c r="AD10" i="1" a="1"/>
  <c r="AD10" i="1" s="1"/>
  <c r="AD11" i="1" a="1"/>
  <c r="AD11" i="1"/>
  <c r="AD12" i="1" a="1"/>
  <c r="AD12" i="1" s="1"/>
  <c r="AD13" i="1" a="1"/>
  <c r="AD13" i="1" s="1"/>
  <c r="AD14" i="1" a="1"/>
  <c r="AD14" i="1"/>
  <c r="AD16" i="1" a="1"/>
  <c r="AD16" i="1" s="1"/>
  <c r="AD17" i="1" a="1"/>
  <c r="AD17" i="1" s="1"/>
  <c r="AD18" i="1" a="1"/>
  <c r="AD18" i="1" s="1"/>
  <c r="AD19" i="1" a="1"/>
  <c r="AD19" i="1" s="1"/>
  <c r="AD20" i="1" a="1"/>
  <c r="AD20" i="1" s="1"/>
  <c r="AD22" i="1" a="1"/>
  <c r="AD22" i="1" s="1"/>
  <c r="AD23" i="1" a="1"/>
  <c r="AD23" i="1" s="1"/>
  <c r="AD24" i="1" a="1"/>
  <c r="AD24" i="1" s="1"/>
  <c r="AD25" i="1" a="1"/>
  <c r="AD25" i="1"/>
  <c r="AD26" i="1" a="1"/>
  <c r="AD26" i="1" s="1"/>
  <c r="AD28" i="1" a="1"/>
  <c r="AD28" i="1" s="1"/>
  <c r="AD29" i="1" a="1"/>
  <c r="AD29" i="1" s="1"/>
  <c r="AD30" i="1" a="1"/>
  <c r="AD30" i="1" s="1"/>
  <c r="AD31" i="1" a="1"/>
  <c r="AD31" i="1" s="1"/>
  <c r="AD32" i="1" a="1"/>
  <c r="AD32" i="1" s="1"/>
  <c r="AD34" i="1" a="1"/>
  <c r="AD34" i="1" s="1"/>
  <c r="AD35" i="1" a="1"/>
  <c r="AD35" i="1" s="1"/>
  <c r="AD36" i="1" a="1"/>
  <c r="AD36" i="1" s="1"/>
  <c r="AD37" i="1" a="1"/>
  <c r="AD37" i="1" s="1"/>
  <c r="AD38" i="1" a="1"/>
  <c r="AD38" i="1" s="1"/>
  <c r="AD40" i="1" a="1"/>
  <c r="AD40" i="1" s="1"/>
  <c r="AD41" i="1" a="1"/>
  <c r="AD41" i="1"/>
  <c r="AD42" i="1" a="1"/>
  <c r="AD42" i="1" s="1"/>
  <c r="AD43" i="1" a="1"/>
  <c r="AD43" i="1" s="1"/>
  <c r="AD44" i="1" a="1"/>
  <c r="AD44" i="1" s="1"/>
  <c r="AD46" i="1" a="1"/>
  <c r="AD46" i="1" s="1"/>
  <c r="AD47" i="1" a="1"/>
  <c r="AD47" i="1" s="1"/>
  <c r="AD48" i="1" a="1"/>
  <c r="AD48" i="1" s="1"/>
  <c r="AD49" i="1" a="1"/>
  <c r="AD49" i="1" s="1"/>
  <c r="AD50" i="1" a="1"/>
  <c r="AD50" i="1" s="1"/>
  <c r="AD52" i="1" a="1"/>
  <c r="AD52" i="1"/>
  <c r="AD53" i="1" a="1"/>
  <c r="AD53" i="1" s="1"/>
  <c r="AD54" i="1" a="1"/>
  <c r="AD54" i="1" s="1"/>
  <c r="AD55" i="1" a="1"/>
  <c r="AD55" i="1" s="1"/>
  <c r="AD56" i="1" a="1"/>
  <c r="AD56" i="1" s="1"/>
  <c r="AD58" i="1" a="1"/>
  <c r="AD58" i="1" s="1"/>
  <c r="AD59" i="1" a="1"/>
  <c r="AD59" i="1"/>
  <c r="AD60" i="1" a="1"/>
  <c r="AD60" i="1" s="1"/>
  <c r="AD61" i="1" a="1"/>
  <c r="AD61" i="1" s="1"/>
  <c r="AD62" i="1" a="1"/>
  <c r="AD62" i="1" s="1"/>
  <c r="AD64" i="1" a="1"/>
  <c r="AD64" i="1" s="1"/>
  <c r="AD65" i="1" a="1"/>
  <c r="AD65" i="1" s="1"/>
  <c r="AD66" i="1" a="1"/>
  <c r="AD66" i="1" s="1"/>
  <c r="AD67" i="1" a="1"/>
  <c r="AD67" i="1" s="1"/>
  <c r="AD68" i="1" a="1"/>
  <c r="AD68" i="1"/>
  <c r="AD70" i="1" a="1"/>
  <c r="AD70" i="1"/>
  <c r="AD71" i="1" a="1"/>
  <c r="AD71" i="1" s="1"/>
  <c r="AD72" i="1" a="1"/>
  <c r="AD72" i="1" s="1"/>
  <c r="AD73" i="1" a="1"/>
  <c r="AD73" i="1" s="1"/>
  <c r="AD74" i="1" a="1"/>
  <c r="AD74" i="1" s="1"/>
  <c r="AD76" i="1" a="1"/>
  <c r="AD76" i="1" s="1"/>
  <c r="AD77" i="1" a="1"/>
  <c r="AD77" i="1" s="1"/>
  <c r="AD78" i="1" a="1"/>
  <c r="AD78" i="1" s="1"/>
  <c r="AD79" i="1" a="1"/>
  <c r="AD79" i="1"/>
  <c r="AD80" i="1" a="1"/>
  <c r="AD80" i="1" s="1"/>
  <c r="AD82" i="1" a="1"/>
  <c r="AD82" i="1" s="1"/>
  <c r="AD83" i="1" a="1"/>
  <c r="AD83" i="1" s="1"/>
  <c r="AD84" i="1" a="1"/>
  <c r="AD84" i="1" s="1"/>
  <c r="AD85" i="1" a="1"/>
  <c r="AD85" i="1" s="1"/>
  <c r="AD86" i="1" a="1"/>
  <c r="AD86" i="1"/>
  <c r="AD88" i="1" a="1"/>
  <c r="AD88" i="1" s="1"/>
  <c r="AD89" i="1" a="1"/>
  <c r="AD89" i="1" s="1"/>
  <c r="AD90" i="1" a="1"/>
  <c r="AD90" i="1" s="1"/>
  <c r="AD91" i="1" a="1"/>
  <c r="AD91" i="1" s="1"/>
  <c r="AD92" i="1" a="1"/>
  <c r="AD92" i="1" s="1"/>
  <c r="AD94" i="1" a="1"/>
  <c r="AD94" i="1" s="1"/>
  <c r="AD95" i="1" a="1"/>
  <c r="AD95" i="1"/>
  <c r="AD96" i="1" a="1"/>
  <c r="AD96" i="1" s="1"/>
  <c r="AD97" i="1" a="1"/>
  <c r="AD97" i="1"/>
  <c r="AD98" i="1" a="1"/>
  <c r="AD98" i="1" s="1"/>
  <c r="AD100" i="1" a="1"/>
  <c r="AD100" i="1" s="1"/>
  <c r="AD101" i="1" a="1"/>
  <c r="AD101" i="1" s="1"/>
  <c r="AD102" i="1" a="1"/>
  <c r="AD102" i="1" s="1"/>
  <c r="AD103" i="1" a="1"/>
  <c r="AD103" i="1" s="1"/>
  <c r="AD104" i="1" a="1"/>
  <c r="AD104" i="1" s="1"/>
  <c r="AD106" i="1" a="1"/>
  <c r="AD106" i="1" s="1"/>
  <c r="AD107" i="1" a="1"/>
  <c r="AD107" i="1" s="1"/>
  <c r="AD108" i="1" a="1"/>
  <c r="AD108" i="1" s="1"/>
  <c r="AD109" i="1" a="1"/>
  <c r="AD109" i="1" s="1"/>
  <c r="AD110" i="1" a="1"/>
  <c r="AD110" i="1" s="1"/>
  <c r="AD112" i="1" a="1"/>
  <c r="AD112" i="1" s="1"/>
  <c r="AD113" i="1" a="1"/>
  <c r="AD113" i="1"/>
  <c r="AD114" i="1" a="1"/>
  <c r="AD114" i="1" s="1"/>
  <c r="AD115" i="1" a="1"/>
  <c r="AD115" i="1" s="1"/>
  <c r="AD116" i="1" a="1"/>
  <c r="AD116" i="1" s="1"/>
  <c r="AD118" i="1" a="1"/>
  <c r="AD118" i="1" s="1"/>
  <c r="AD119" i="1" a="1"/>
  <c r="AD119" i="1" s="1"/>
  <c r="AD120" i="1" a="1"/>
  <c r="AD120" i="1" s="1"/>
  <c r="AD121" i="1" a="1"/>
  <c r="AD121" i="1" s="1"/>
  <c r="AD122" i="1" a="1"/>
  <c r="AD122" i="1"/>
  <c r="AD124" i="1" a="1"/>
  <c r="AD124" i="1"/>
  <c r="AD125" i="1" a="1"/>
  <c r="AD125" i="1" s="1"/>
  <c r="AD126" i="1" a="1"/>
  <c r="AD126" i="1" s="1"/>
  <c r="AD127" i="1" a="1"/>
  <c r="AD127" i="1" s="1"/>
  <c r="AD128" i="1" a="1"/>
  <c r="AD128" i="1" s="1"/>
  <c r="AD130" i="1" a="1"/>
  <c r="AD130" i="1" s="1"/>
  <c r="AD131" i="1" a="1"/>
  <c r="AD131" i="1"/>
  <c r="AD132" i="1" a="1"/>
  <c r="AD132" i="1" s="1"/>
  <c r="AD133" i="1" a="1"/>
  <c r="AD133" i="1"/>
  <c r="AD134" i="1" a="1"/>
  <c r="AD134" i="1" s="1"/>
  <c r="AD136" i="1" a="1"/>
  <c r="AD136" i="1" s="1"/>
  <c r="AD137" i="1" a="1"/>
  <c r="AD137" i="1" s="1"/>
  <c r="AD138" i="1" a="1"/>
  <c r="AD138" i="1" s="1"/>
  <c r="AD139" i="1" a="1"/>
  <c r="AD139" i="1" s="1"/>
  <c r="AD140" i="1" a="1"/>
  <c r="AD140" i="1" s="1"/>
  <c r="AD142" i="1" a="1"/>
  <c r="AD142" i="1"/>
  <c r="AD143" i="1" a="1"/>
  <c r="AD143" i="1" s="1"/>
  <c r="AD144" i="1" a="1"/>
  <c r="AD144" i="1" s="1"/>
  <c r="AD145" i="1" a="1"/>
  <c r="AD145" i="1" s="1"/>
  <c r="AD146" i="1" a="1"/>
  <c r="AD146" i="1" s="1"/>
  <c r="AD148" i="1" a="1"/>
  <c r="AD148" i="1" s="1"/>
  <c r="AD149" i="1" a="1"/>
  <c r="AD149" i="1"/>
  <c r="AD150" i="1" a="1"/>
  <c r="AD150" i="1" s="1"/>
  <c r="AD151" i="1" a="1"/>
  <c r="AD151" i="1" s="1"/>
  <c r="AD152" i="1" a="1"/>
  <c r="AD152" i="1" s="1"/>
  <c r="AD154" i="1" a="1"/>
  <c r="AD154" i="1" s="1"/>
  <c r="AW154" i="1" s="1"/>
  <c r="BD154" i="4" s="1"/>
  <c r="BE154" i="4" s="1"/>
  <c r="AD155" i="1" a="1"/>
  <c r="AD155" i="1" s="1"/>
  <c r="AD156" i="1" a="1"/>
  <c r="AD156" i="1" s="1"/>
  <c r="AD157" i="1" a="1"/>
  <c r="AD157" i="1" s="1"/>
  <c r="AD158" i="1" a="1"/>
  <c r="AD158" i="1"/>
  <c r="AD160" i="1" a="1"/>
  <c r="AD160" i="1" s="1"/>
  <c r="AD161" i="1" a="1"/>
  <c r="AD161" i="1" s="1"/>
  <c r="AD162" i="1" a="1"/>
  <c r="AD162" i="1" s="1"/>
  <c r="AD163" i="1" a="1"/>
  <c r="AD163" i="1" s="1"/>
  <c r="AD164" i="1" a="1"/>
  <c r="AD164" i="1" s="1"/>
  <c r="AD166" i="1" a="1"/>
  <c r="AD166" i="1" s="1"/>
  <c r="AD167" i="1" a="1"/>
  <c r="AD167" i="1"/>
  <c r="AD168" i="1" a="1"/>
  <c r="AD168" i="1" s="1"/>
  <c r="AD169" i="1" a="1"/>
  <c r="AD169" i="1"/>
  <c r="AD170" i="1" a="1"/>
  <c r="AD170" i="1" s="1"/>
  <c r="AD172" i="1" a="1"/>
  <c r="AD172" i="1" s="1"/>
  <c r="AD173" i="1" a="1"/>
  <c r="AD173" i="1" s="1"/>
  <c r="AD174" i="1" a="1"/>
  <c r="AD174" i="1" s="1"/>
  <c r="AD175" i="1" a="1"/>
  <c r="AD175" i="1" s="1"/>
  <c r="AD176" i="1" a="1"/>
  <c r="AD176" i="1"/>
  <c r="AD178" i="1" a="1"/>
  <c r="AD178" i="1"/>
  <c r="AD179" i="1" a="1"/>
  <c r="AD179" i="1" s="1"/>
  <c r="AD180" i="1" a="1"/>
  <c r="AD180" i="1" s="1"/>
  <c r="AD181" i="1" a="1"/>
  <c r="AD181" i="1" s="1"/>
  <c r="AD182" i="1" a="1"/>
  <c r="AD182" i="1" s="1"/>
  <c r="AD184" i="1" a="1"/>
  <c r="AD184" i="1" s="1"/>
  <c r="AD185" i="1" a="1"/>
  <c r="AD185" i="1" s="1"/>
  <c r="AD186" i="1" a="1"/>
  <c r="AD186" i="1" s="1"/>
  <c r="AD187" i="1" a="1"/>
  <c r="AD187" i="1"/>
  <c r="AD188" i="1" a="1"/>
  <c r="AD188" i="1" s="1"/>
  <c r="AD190" i="1" a="1"/>
  <c r="AD190" i="1" s="1"/>
  <c r="AD191" i="1" a="1"/>
  <c r="AD191" i="1" s="1"/>
  <c r="AD192" i="1" a="1"/>
  <c r="AD192" i="1" s="1"/>
  <c r="AD193" i="1" a="1"/>
  <c r="AD193" i="1" s="1"/>
  <c r="AD194" i="1" a="1"/>
  <c r="AD194" i="1" s="1"/>
  <c r="AD196" i="1" a="1"/>
  <c r="AD196" i="1" s="1"/>
  <c r="AD197" i="1" a="1"/>
  <c r="AD197" i="1" s="1"/>
  <c r="AD198" i="1" a="1"/>
  <c r="AD198" i="1" s="1"/>
  <c r="AD199" i="1" a="1"/>
  <c r="AD199" i="1" s="1"/>
  <c r="AD200" i="1" a="1"/>
  <c r="AD200" i="1" s="1"/>
  <c r="AD202" i="1" a="1"/>
  <c r="AD202" i="1" s="1"/>
  <c r="AD203" i="1" a="1"/>
  <c r="AD203" i="1"/>
  <c r="AD204" i="1" a="1"/>
  <c r="AD204" i="1" s="1"/>
  <c r="AD205" i="1" a="1"/>
  <c r="AD205" i="1" s="1"/>
  <c r="AD206" i="1" a="1"/>
  <c r="AD206" i="1" s="1"/>
  <c r="AD208" i="1" a="1"/>
  <c r="AD208" i="1" s="1"/>
  <c r="AD209" i="1" a="1"/>
  <c r="AD209" i="1" s="1"/>
  <c r="AD210" i="1" a="1"/>
  <c r="AD210" i="1" s="1"/>
  <c r="AD211" i="1" a="1"/>
  <c r="AD211" i="1" s="1"/>
  <c r="AD212" i="1" a="1"/>
  <c r="AD212" i="1" s="1"/>
  <c r="AD214" i="1" a="1"/>
  <c r="AD214" i="1"/>
  <c r="AD215" i="1" a="1"/>
  <c r="AD215" i="1" s="1"/>
  <c r="AD216" i="1" a="1"/>
  <c r="AD216" i="1" s="1"/>
  <c r="AD217" i="1" a="1"/>
  <c r="AD217" i="1" s="1"/>
  <c r="AD218" i="1" a="1"/>
  <c r="AD218" i="1"/>
  <c r="AD220" i="1" a="1"/>
  <c r="AD220" i="1" s="1"/>
  <c r="AD221" i="1" a="1"/>
  <c r="AD221" i="1" s="1"/>
  <c r="AD222" i="1" a="1"/>
  <c r="AD222" i="1" s="1"/>
  <c r="AD223" i="1" a="1"/>
  <c r="AD223" i="1" s="1"/>
  <c r="AD224" i="1" a="1"/>
  <c r="AD224" i="1" s="1"/>
  <c r="AD226" i="1" a="1"/>
  <c r="AD226" i="1"/>
  <c r="AD227" i="1" a="1"/>
  <c r="AD227" i="1"/>
  <c r="AD228" i="1" a="1"/>
  <c r="AD228" i="1" s="1"/>
  <c r="AD229" i="1" a="1"/>
  <c r="AD229" i="1" s="1"/>
  <c r="AD230" i="1" a="1"/>
  <c r="AD230" i="1" s="1"/>
  <c r="AD232" i="1" a="1"/>
  <c r="AD232" i="1"/>
  <c r="AD233" i="1" a="1"/>
  <c r="AD233" i="1"/>
  <c r="AD234" i="1" a="1"/>
  <c r="AD234" i="1" s="1"/>
  <c r="AD235" i="1" a="1"/>
  <c r="AD235" i="1" s="1"/>
  <c r="AD236" i="1" a="1"/>
  <c r="AD236" i="1" s="1"/>
  <c r="AD238" i="1" a="1"/>
  <c r="AD238" i="1"/>
  <c r="AD239" i="1" a="1"/>
  <c r="AD239" i="1" s="1"/>
  <c r="AD240" i="1" a="1"/>
  <c r="AD240" i="1" s="1"/>
  <c r="AD241" i="1" a="1"/>
  <c r="AD241" i="1" s="1"/>
  <c r="AD242" i="1" a="1"/>
  <c r="AD242" i="1" s="1"/>
  <c r="AD244" i="1" a="1"/>
  <c r="AD244" i="1"/>
  <c r="AW244" i="1" s="1"/>
  <c r="BD244" i="4" s="1"/>
  <c r="BE244" i="4" s="1"/>
  <c r="AD245" i="1" a="1"/>
  <c r="AD245" i="1"/>
  <c r="AD246" i="1" a="1"/>
  <c r="AD246" i="1" s="1"/>
  <c r="AD247" i="1" a="1"/>
  <c r="AD247" i="1" s="1"/>
  <c r="AD248" i="1" a="1"/>
  <c r="AD248" i="1" s="1"/>
  <c r="AD250" i="1" a="1"/>
  <c r="AD250" i="1"/>
  <c r="AD251" i="1" a="1"/>
  <c r="AD251" i="1"/>
  <c r="AD252" i="1" a="1"/>
  <c r="AD252" i="1" s="1"/>
  <c r="AD253" i="1" a="1"/>
  <c r="AD253" i="1" s="1"/>
  <c r="AD254" i="1" a="1"/>
  <c r="AD254" i="1" s="1"/>
  <c r="AE4" i="1"/>
  <c r="AE5" i="1"/>
  <c r="AE6" i="1"/>
  <c r="AE7" i="1"/>
  <c r="AE8" i="1"/>
  <c r="AE10" i="1"/>
  <c r="AE11" i="1"/>
  <c r="AE12" i="1"/>
  <c r="AE13" i="1"/>
  <c r="AE14" i="1"/>
  <c r="AE16" i="1"/>
  <c r="AE17" i="1"/>
  <c r="AE18" i="1"/>
  <c r="AE19" i="1"/>
  <c r="AE20" i="1"/>
  <c r="AE22" i="1"/>
  <c r="AE23" i="1"/>
  <c r="AE24" i="1"/>
  <c r="AE25" i="1"/>
  <c r="AE26" i="1"/>
  <c r="AE28" i="1"/>
  <c r="AE29" i="1"/>
  <c r="AE30" i="1"/>
  <c r="AE31" i="1"/>
  <c r="AE32" i="1"/>
  <c r="AE34" i="1"/>
  <c r="AE35" i="1"/>
  <c r="AE36" i="1"/>
  <c r="AE37" i="1"/>
  <c r="AE38" i="1"/>
  <c r="AE40" i="1"/>
  <c r="AE41" i="1"/>
  <c r="AE42" i="1"/>
  <c r="AE43" i="1"/>
  <c r="AE44" i="1"/>
  <c r="AE46" i="1"/>
  <c r="AE47" i="1"/>
  <c r="AE48" i="1"/>
  <c r="AE49" i="1"/>
  <c r="AE50" i="1"/>
  <c r="AE52" i="1"/>
  <c r="AE53" i="1"/>
  <c r="AE54" i="1"/>
  <c r="AE55" i="1"/>
  <c r="AE56" i="1"/>
  <c r="AE58" i="1"/>
  <c r="AE59" i="1"/>
  <c r="AE60" i="1"/>
  <c r="AE61" i="1"/>
  <c r="AE62" i="1"/>
  <c r="AE64" i="1"/>
  <c r="AE65" i="1"/>
  <c r="AE66" i="1"/>
  <c r="AE67" i="1"/>
  <c r="AE68" i="1"/>
  <c r="AE70" i="1"/>
  <c r="AE71" i="1"/>
  <c r="AE72" i="1"/>
  <c r="AE73" i="1"/>
  <c r="AE74" i="1"/>
  <c r="AE76" i="1"/>
  <c r="AE77" i="1"/>
  <c r="AE78" i="1"/>
  <c r="AE79" i="1"/>
  <c r="AE80" i="1"/>
  <c r="AE82" i="1"/>
  <c r="AE83" i="1"/>
  <c r="AE84" i="1"/>
  <c r="AE85" i="1"/>
  <c r="AE86" i="1"/>
  <c r="AE88" i="1"/>
  <c r="AE89" i="1"/>
  <c r="AE90" i="1"/>
  <c r="AE91" i="1"/>
  <c r="AE92" i="1"/>
  <c r="AE94" i="1"/>
  <c r="AE95" i="1"/>
  <c r="AE96" i="1"/>
  <c r="AE97" i="1"/>
  <c r="AE98" i="1"/>
  <c r="AE100" i="1"/>
  <c r="AE101" i="1"/>
  <c r="AE102" i="1"/>
  <c r="AE103" i="1"/>
  <c r="AE104" i="1"/>
  <c r="AE106" i="1"/>
  <c r="AE107" i="1"/>
  <c r="AE108" i="1"/>
  <c r="AE109" i="1"/>
  <c r="AE110" i="1"/>
  <c r="AE112" i="1"/>
  <c r="AE113" i="1"/>
  <c r="AE114" i="1"/>
  <c r="AE115" i="1"/>
  <c r="AE116" i="1"/>
  <c r="AE118" i="1"/>
  <c r="AE119" i="1"/>
  <c r="AE120" i="1"/>
  <c r="AE121" i="1"/>
  <c r="AE122" i="1"/>
  <c r="AE124" i="1"/>
  <c r="AE125" i="1"/>
  <c r="AE126" i="1"/>
  <c r="AE127" i="1"/>
  <c r="AE128" i="1"/>
  <c r="AE130" i="1"/>
  <c r="AE131" i="1"/>
  <c r="AE132" i="1"/>
  <c r="AE133" i="1"/>
  <c r="AE134" i="1"/>
  <c r="AE136" i="1"/>
  <c r="AE137" i="1"/>
  <c r="AE138" i="1"/>
  <c r="AE139" i="1"/>
  <c r="AE140" i="1"/>
  <c r="AE142" i="1"/>
  <c r="AE143" i="1"/>
  <c r="AE144" i="1"/>
  <c r="AE145" i="1"/>
  <c r="AE146" i="1"/>
  <c r="AE148" i="1"/>
  <c r="AE149" i="1"/>
  <c r="AE150" i="1"/>
  <c r="AE151" i="1"/>
  <c r="AE152" i="1"/>
  <c r="AE154" i="1"/>
  <c r="AE155" i="1"/>
  <c r="AE156" i="1"/>
  <c r="AE157" i="1"/>
  <c r="AE158" i="1"/>
  <c r="AE160" i="1"/>
  <c r="AE161" i="1"/>
  <c r="AE162" i="1"/>
  <c r="AE163" i="1"/>
  <c r="AE164" i="1"/>
  <c r="AE166" i="1"/>
  <c r="AE167" i="1"/>
  <c r="AE168" i="1"/>
  <c r="AE169" i="1"/>
  <c r="AE170" i="1"/>
  <c r="AE172" i="1"/>
  <c r="AE173" i="1"/>
  <c r="AE174" i="1"/>
  <c r="AE175" i="1"/>
  <c r="AE176" i="1"/>
  <c r="AE178" i="1"/>
  <c r="AE179" i="1"/>
  <c r="AE180" i="1"/>
  <c r="AE181" i="1"/>
  <c r="AE182" i="1"/>
  <c r="AE184" i="1"/>
  <c r="AE185" i="1"/>
  <c r="AE186" i="1"/>
  <c r="AE187" i="1"/>
  <c r="AE188" i="1"/>
  <c r="AE190" i="1"/>
  <c r="AE191" i="1"/>
  <c r="AE192" i="1"/>
  <c r="AE193" i="1"/>
  <c r="AE194" i="1"/>
  <c r="AE196" i="1"/>
  <c r="AE197" i="1"/>
  <c r="AE198" i="1"/>
  <c r="AE199" i="1"/>
  <c r="AE200" i="1"/>
  <c r="AE202" i="1"/>
  <c r="AE203" i="1"/>
  <c r="AE204" i="1"/>
  <c r="AE205" i="1"/>
  <c r="AE206" i="1"/>
  <c r="AE208" i="1"/>
  <c r="AE209" i="1"/>
  <c r="AE210" i="1"/>
  <c r="AE211" i="1"/>
  <c r="AE212" i="1"/>
  <c r="AE214" i="1"/>
  <c r="AE215" i="1"/>
  <c r="AE216" i="1"/>
  <c r="AE217" i="1"/>
  <c r="AE218" i="1"/>
  <c r="AE220" i="1"/>
  <c r="AE221" i="1"/>
  <c r="AE222" i="1"/>
  <c r="AE223" i="1"/>
  <c r="AE224" i="1"/>
  <c r="AE226" i="1"/>
  <c r="AE227" i="1"/>
  <c r="AE228" i="1"/>
  <c r="AE229" i="1"/>
  <c r="AE230" i="1"/>
  <c r="AE232" i="1"/>
  <c r="AE233" i="1"/>
  <c r="AE234" i="1"/>
  <c r="AE235" i="1"/>
  <c r="AE236" i="1"/>
  <c r="AE238" i="1"/>
  <c r="AE239" i="1"/>
  <c r="AE240" i="1"/>
  <c r="AE241" i="1"/>
  <c r="AE242" i="1"/>
  <c r="AE244" i="1"/>
  <c r="AE245" i="1"/>
  <c r="AE246" i="1"/>
  <c r="AE247" i="1"/>
  <c r="AE248" i="1"/>
  <c r="AE250" i="1"/>
  <c r="AE251" i="1"/>
  <c r="AE252" i="1"/>
  <c r="AE253" i="1"/>
  <c r="AE254" i="1"/>
  <c r="AF4" i="1"/>
  <c r="AF5" i="1"/>
  <c r="AF6" i="1"/>
  <c r="AF7" i="1"/>
  <c r="AF8" i="1"/>
  <c r="AF10" i="1"/>
  <c r="AF11" i="1"/>
  <c r="AF12" i="1"/>
  <c r="AF13" i="1"/>
  <c r="AF14" i="1"/>
  <c r="AF16" i="1"/>
  <c r="AF17" i="1"/>
  <c r="AF18" i="1"/>
  <c r="AF19" i="1"/>
  <c r="AF20" i="1"/>
  <c r="AF22" i="1"/>
  <c r="AF23" i="1"/>
  <c r="AF24" i="1"/>
  <c r="AF25" i="1"/>
  <c r="AF26" i="1"/>
  <c r="AF28" i="1"/>
  <c r="AF29" i="1"/>
  <c r="AF30" i="1"/>
  <c r="AF31" i="1"/>
  <c r="AF32" i="1"/>
  <c r="AF34" i="1"/>
  <c r="AF35" i="1"/>
  <c r="AF36" i="1"/>
  <c r="AF37" i="1"/>
  <c r="AF38" i="1"/>
  <c r="AF40" i="1"/>
  <c r="AF41" i="1"/>
  <c r="AF42" i="1"/>
  <c r="AF43" i="1"/>
  <c r="AF44" i="1"/>
  <c r="AF46" i="1"/>
  <c r="AF47" i="1"/>
  <c r="AF48" i="1"/>
  <c r="AF49" i="1"/>
  <c r="AF50" i="1"/>
  <c r="AF52" i="1"/>
  <c r="AF53" i="1"/>
  <c r="AF54" i="1"/>
  <c r="AF55" i="1"/>
  <c r="AF56" i="1"/>
  <c r="AF58" i="1"/>
  <c r="AF59" i="1"/>
  <c r="AF60" i="1"/>
  <c r="AF61" i="1"/>
  <c r="AF62" i="1"/>
  <c r="AF64" i="1"/>
  <c r="AF65" i="1"/>
  <c r="AF66" i="1"/>
  <c r="AF67" i="1"/>
  <c r="AF68" i="1"/>
  <c r="AF70" i="1"/>
  <c r="AF71" i="1"/>
  <c r="AF72" i="1"/>
  <c r="AF73" i="1"/>
  <c r="AF74" i="1"/>
  <c r="AF76" i="1"/>
  <c r="AF77" i="1"/>
  <c r="AF78" i="1"/>
  <c r="AF79" i="1"/>
  <c r="AF80" i="1"/>
  <c r="AF82" i="1"/>
  <c r="AF83" i="1"/>
  <c r="AF84" i="1"/>
  <c r="AF85" i="1"/>
  <c r="AF86" i="1"/>
  <c r="AF88" i="1"/>
  <c r="AF89" i="1"/>
  <c r="AF90" i="1"/>
  <c r="AF91" i="1"/>
  <c r="AF92" i="1"/>
  <c r="AF94" i="1"/>
  <c r="AF95" i="1"/>
  <c r="AF96" i="1"/>
  <c r="AF97" i="1"/>
  <c r="AF98" i="1"/>
  <c r="AF100" i="1"/>
  <c r="AF101" i="1"/>
  <c r="AF102" i="1"/>
  <c r="AF103" i="1"/>
  <c r="AF104" i="1"/>
  <c r="AF106" i="1"/>
  <c r="AF107" i="1"/>
  <c r="AF108" i="1"/>
  <c r="AF109" i="1"/>
  <c r="AF110" i="1"/>
  <c r="AF112" i="1"/>
  <c r="AF113" i="1"/>
  <c r="AF114" i="1"/>
  <c r="AF115" i="1"/>
  <c r="AF116" i="1"/>
  <c r="AF118" i="1"/>
  <c r="AF119" i="1"/>
  <c r="AF120" i="1"/>
  <c r="AF121" i="1"/>
  <c r="AF122" i="1"/>
  <c r="AF124" i="1"/>
  <c r="AF125" i="1"/>
  <c r="AF126" i="1"/>
  <c r="AF127" i="1"/>
  <c r="AF128" i="1"/>
  <c r="AF130" i="1"/>
  <c r="AF131" i="1"/>
  <c r="AF132" i="1"/>
  <c r="AF133" i="1"/>
  <c r="AF134" i="1"/>
  <c r="AF136" i="1"/>
  <c r="AF137" i="1"/>
  <c r="AF138" i="1"/>
  <c r="AF139" i="1"/>
  <c r="AF140" i="1"/>
  <c r="AF142" i="1"/>
  <c r="AF143" i="1"/>
  <c r="AF144" i="1"/>
  <c r="AF145" i="1"/>
  <c r="AF146" i="1"/>
  <c r="AF148" i="1"/>
  <c r="AF149" i="1"/>
  <c r="AF150" i="1"/>
  <c r="AF151" i="1"/>
  <c r="AF152" i="1"/>
  <c r="AF154" i="1"/>
  <c r="AF155" i="1"/>
  <c r="AF156" i="1"/>
  <c r="AF157" i="1"/>
  <c r="AF158" i="1"/>
  <c r="AF160" i="1"/>
  <c r="AF161" i="1"/>
  <c r="AF162" i="1"/>
  <c r="AF163" i="1"/>
  <c r="AF164" i="1"/>
  <c r="AF166" i="1"/>
  <c r="AF167" i="1"/>
  <c r="AF168" i="1"/>
  <c r="AF169" i="1"/>
  <c r="AF170" i="1"/>
  <c r="AF172" i="1"/>
  <c r="AF173" i="1"/>
  <c r="AF174" i="1"/>
  <c r="AF175" i="1"/>
  <c r="AF176" i="1"/>
  <c r="AF178" i="1"/>
  <c r="AF179" i="1"/>
  <c r="AF180" i="1"/>
  <c r="AF181" i="1"/>
  <c r="AF182" i="1"/>
  <c r="AF184" i="1"/>
  <c r="AF185" i="1"/>
  <c r="AF186" i="1"/>
  <c r="AF187" i="1"/>
  <c r="AF188" i="1"/>
  <c r="AF190" i="1"/>
  <c r="AF191" i="1"/>
  <c r="AF192" i="1"/>
  <c r="AF193" i="1"/>
  <c r="AF194" i="1"/>
  <c r="AF196" i="1"/>
  <c r="AF197" i="1"/>
  <c r="AF198" i="1"/>
  <c r="AF199" i="1"/>
  <c r="AF200" i="1"/>
  <c r="AF202" i="1"/>
  <c r="AF203" i="1"/>
  <c r="AF204" i="1"/>
  <c r="AF205" i="1"/>
  <c r="AF206" i="1"/>
  <c r="AF208" i="1"/>
  <c r="AF209" i="1"/>
  <c r="AF210" i="1"/>
  <c r="AF211" i="1"/>
  <c r="AF212" i="1"/>
  <c r="AF214" i="1"/>
  <c r="AF215" i="1"/>
  <c r="AF216" i="1"/>
  <c r="AF217" i="1"/>
  <c r="AF218" i="1"/>
  <c r="AF220" i="1"/>
  <c r="AF221" i="1"/>
  <c r="AF222" i="1"/>
  <c r="AF223" i="1"/>
  <c r="AF224" i="1"/>
  <c r="AF226" i="1"/>
  <c r="AF227" i="1"/>
  <c r="AF228" i="1"/>
  <c r="AF229" i="1"/>
  <c r="AF230" i="1"/>
  <c r="AF232" i="1"/>
  <c r="AF233" i="1"/>
  <c r="AF234" i="1"/>
  <c r="AF235" i="1"/>
  <c r="AF236" i="1"/>
  <c r="AF238" i="1"/>
  <c r="AF239" i="1"/>
  <c r="AF240" i="1"/>
  <c r="AF241" i="1"/>
  <c r="AF242" i="1"/>
  <c r="AF244" i="1"/>
  <c r="AF245" i="1"/>
  <c r="AF246" i="1"/>
  <c r="AF247" i="1"/>
  <c r="AF248" i="1"/>
  <c r="AF250" i="1"/>
  <c r="AF251" i="1"/>
  <c r="AF252" i="1"/>
  <c r="AF253" i="1"/>
  <c r="AF254" i="1"/>
  <c r="AG4" i="1"/>
  <c r="AI4" i="4" s="1"/>
  <c r="AK4" i="4" s="1"/>
  <c r="AL4" i="4" s="1"/>
  <c r="AG5" i="1"/>
  <c r="AI5" i="4" s="1"/>
  <c r="AK5" i="4" s="1"/>
  <c r="AL5" i="4" s="1"/>
  <c r="AG6" i="1"/>
  <c r="AI6" i="4" s="1"/>
  <c r="AK6" i="4" s="1"/>
  <c r="AL6" i="4" s="1"/>
  <c r="AG7" i="1"/>
  <c r="AI7" i="4" s="1"/>
  <c r="AG8" i="1"/>
  <c r="AI8" i="4" s="1"/>
  <c r="AK8" i="4" s="1"/>
  <c r="AG9" i="1"/>
  <c r="AI9" i="4" s="1"/>
  <c r="AK9" i="4" s="1"/>
  <c r="AL9" i="4" s="1"/>
  <c r="AG10" i="1"/>
  <c r="AI10" i="4" s="1"/>
  <c r="AK10" i="4" s="1"/>
  <c r="AL10" i="4" s="1"/>
  <c r="AG11" i="1"/>
  <c r="AI11" i="4" s="1"/>
  <c r="AK11" i="4" s="1"/>
  <c r="AL11" i="4" s="1"/>
  <c r="AG12" i="1"/>
  <c r="AI12" i="4" s="1"/>
  <c r="AK12" i="4" s="1"/>
  <c r="AL12" i="4" s="1"/>
  <c r="AG13" i="1"/>
  <c r="AG14" i="1"/>
  <c r="AI14" i="4" s="1"/>
  <c r="AK14" i="4" s="1"/>
  <c r="AG15" i="1"/>
  <c r="AI15" i="4" s="1"/>
  <c r="AK15" i="4" s="1"/>
  <c r="AL15" i="4" s="1"/>
  <c r="AG16" i="1"/>
  <c r="AI16" i="4" s="1"/>
  <c r="AK16" i="4" s="1"/>
  <c r="AL16" i="4" s="1"/>
  <c r="AG17" i="1"/>
  <c r="AI17" i="4" s="1"/>
  <c r="AK17" i="4" s="1"/>
  <c r="AG18" i="1"/>
  <c r="AI18" i="4" s="1"/>
  <c r="AK18" i="4" s="1"/>
  <c r="AL18" i="4" s="1"/>
  <c r="AG19" i="1"/>
  <c r="AG20" i="1"/>
  <c r="AI20" i="4" s="1"/>
  <c r="AK20" i="4" s="1"/>
  <c r="AG21" i="1"/>
  <c r="AI21" i="4" s="1"/>
  <c r="AK21" i="4" s="1"/>
  <c r="AL21" i="4" s="1"/>
  <c r="AG22" i="1"/>
  <c r="AI22" i="4" s="1"/>
  <c r="AK22" i="4" s="1"/>
  <c r="AL22" i="4" s="1"/>
  <c r="AG23" i="1"/>
  <c r="AI23" i="4" s="1"/>
  <c r="AK23" i="4" s="1"/>
  <c r="AG24" i="1"/>
  <c r="AI24" i="4" s="1"/>
  <c r="AK24" i="4" s="1"/>
  <c r="AL24" i="4" s="1"/>
  <c r="AG25" i="1"/>
  <c r="AI25" i="4" s="1"/>
  <c r="AG26" i="1"/>
  <c r="AI26" i="4" s="1"/>
  <c r="AK26" i="4" s="1"/>
  <c r="AG27" i="1"/>
  <c r="AI27" i="4" s="1"/>
  <c r="AK27" i="4" s="1"/>
  <c r="AL27" i="4" s="1"/>
  <c r="AG28" i="1"/>
  <c r="AI28" i="4" s="1"/>
  <c r="AK28" i="4" s="1"/>
  <c r="AL28" i="4" s="1"/>
  <c r="AG29" i="1"/>
  <c r="AI29" i="4" s="1"/>
  <c r="AK29" i="4" s="1"/>
  <c r="AG30" i="1"/>
  <c r="AI30" i="4" s="1"/>
  <c r="AK30" i="4" s="1"/>
  <c r="AL30" i="4" s="1"/>
  <c r="AG31" i="1"/>
  <c r="AG32" i="1"/>
  <c r="AI32" i="4" s="1"/>
  <c r="AK32" i="4" s="1"/>
  <c r="AG33" i="1"/>
  <c r="AI33" i="4" s="1"/>
  <c r="AK33" i="4" s="1"/>
  <c r="AL33" i="4" s="1"/>
  <c r="AG34" i="1"/>
  <c r="AI34" i="4" s="1"/>
  <c r="AK34" i="4" s="1"/>
  <c r="AL34" i="4" s="1"/>
  <c r="AG35" i="1"/>
  <c r="AI35" i="4" s="1"/>
  <c r="AK35" i="4" s="1"/>
  <c r="AL35" i="4" s="1"/>
  <c r="AG36" i="1"/>
  <c r="AI36" i="4" s="1"/>
  <c r="AK36" i="4" s="1"/>
  <c r="AL36" i="4" s="1"/>
  <c r="AG37" i="1"/>
  <c r="AI37" i="4" s="1"/>
  <c r="AG38" i="1"/>
  <c r="AG39" i="1"/>
  <c r="AI39" i="4" s="1"/>
  <c r="AK39" i="4" s="1"/>
  <c r="AL39" i="4" s="1"/>
  <c r="AG40" i="1"/>
  <c r="AI40" i="4" s="1"/>
  <c r="AK40" i="4" s="1"/>
  <c r="AL40" i="4" s="1"/>
  <c r="AG41" i="1"/>
  <c r="AI41" i="4" s="1"/>
  <c r="AK41" i="4" s="1"/>
  <c r="AG42" i="1"/>
  <c r="AI42" i="4" s="1"/>
  <c r="AK42" i="4" s="1"/>
  <c r="AL42" i="4" s="1"/>
  <c r="AG43" i="1"/>
  <c r="AI43" i="4" s="1"/>
  <c r="AG44" i="1"/>
  <c r="AI44" i="4" s="1"/>
  <c r="AK44" i="4" s="1"/>
  <c r="AG45" i="1"/>
  <c r="AI45" i="4" s="1"/>
  <c r="AK45" i="4" s="1"/>
  <c r="AL45" i="4" s="1"/>
  <c r="AG46" i="1"/>
  <c r="AI46" i="4" s="1"/>
  <c r="AK46" i="4" s="1"/>
  <c r="AL46" i="4" s="1"/>
  <c r="AG47" i="1"/>
  <c r="AI47" i="4" s="1"/>
  <c r="AK47" i="4" s="1"/>
  <c r="AL47" i="4" s="1"/>
  <c r="AG48" i="1"/>
  <c r="AI48" i="4" s="1"/>
  <c r="AK48" i="4" s="1"/>
  <c r="AL48" i="4" s="1"/>
  <c r="AG49" i="1"/>
  <c r="AG50" i="1"/>
  <c r="AI50" i="4" s="1"/>
  <c r="AK50" i="4" s="1"/>
  <c r="AG51" i="1"/>
  <c r="AI51" i="4" s="1"/>
  <c r="AK51" i="4" s="1"/>
  <c r="AL51" i="4" s="1"/>
  <c r="AG52" i="1"/>
  <c r="AI52" i="4" s="1"/>
  <c r="AK52" i="4" s="1"/>
  <c r="AL52" i="4" s="1"/>
  <c r="AG53" i="1"/>
  <c r="AI53" i="4" s="1"/>
  <c r="AK53" i="4" s="1"/>
  <c r="AG54" i="1"/>
  <c r="AI54" i="4" s="1"/>
  <c r="AK54" i="4" s="1"/>
  <c r="AL54" i="4" s="1"/>
  <c r="AG55" i="1"/>
  <c r="AI55" i="4" s="1"/>
  <c r="AG56" i="1"/>
  <c r="AI56" i="4" s="1"/>
  <c r="AK56" i="4" s="1"/>
  <c r="AG57" i="1"/>
  <c r="AI57" i="4" s="1"/>
  <c r="AK57" i="4" s="1"/>
  <c r="AL57" i="4" s="1"/>
  <c r="AG58" i="1"/>
  <c r="AI58" i="4" s="1"/>
  <c r="AK58" i="4" s="1"/>
  <c r="AL58" i="4" s="1"/>
  <c r="AG59" i="1"/>
  <c r="AI59" i="4" s="1"/>
  <c r="AK59" i="4" s="1"/>
  <c r="AG60" i="1"/>
  <c r="AG61" i="1"/>
  <c r="AI61" i="4" s="1"/>
  <c r="AG62" i="1"/>
  <c r="AI62" i="4" s="1"/>
  <c r="AK62" i="4" s="1"/>
  <c r="AG63" i="1"/>
  <c r="AI63" i="4" s="1"/>
  <c r="AK63" i="4" s="1"/>
  <c r="AL63" i="4" s="1"/>
  <c r="AG64" i="1"/>
  <c r="AI64" i="4" s="1"/>
  <c r="AK64" i="4" s="1"/>
  <c r="AL64" i="4" s="1"/>
  <c r="AG65" i="1"/>
  <c r="AI65" i="4" s="1"/>
  <c r="AK65" i="4" s="1"/>
  <c r="AG66" i="1"/>
  <c r="AI66" i="4" s="1"/>
  <c r="AK66" i="4" s="1"/>
  <c r="AL66" i="4" s="1"/>
  <c r="AG67" i="1"/>
  <c r="AG68" i="1"/>
  <c r="AG69" i="1"/>
  <c r="AI69" i="4" s="1"/>
  <c r="AK69" i="4" s="1"/>
  <c r="AL69" i="4" s="1"/>
  <c r="AG70" i="1"/>
  <c r="AI70" i="4" s="1"/>
  <c r="AK70" i="4" s="1"/>
  <c r="AL70" i="4" s="1"/>
  <c r="AG71" i="1"/>
  <c r="AI71" i="4" s="1"/>
  <c r="AK71" i="4" s="1"/>
  <c r="AL71" i="4" s="1"/>
  <c r="AG72" i="1"/>
  <c r="AI72" i="4" s="1"/>
  <c r="AK72" i="4" s="1"/>
  <c r="AL72" i="4" s="1"/>
  <c r="AG73" i="1"/>
  <c r="AI73" i="4" s="1"/>
  <c r="AG74" i="1"/>
  <c r="AI74" i="4" s="1"/>
  <c r="AK74" i="4" s="1"/>
  <c r="AG75" i="1"/>
  <c r="AI75" i="4" s="1"/>
  <c r="AK75" i="4" s="1"/>
  <c r="AL75" i="4" s="1"/>
  <c r="AG76" i="1"/>
  <c r="AI76" i="4" s="1"/>
  <c r="AK76" i="4" s="1"/>
  <c r="AL76" i="4" s="1"/>
  <c r="AG77" i="1"/>
  <c r="AI77" i="4" s="1"/>
  <c r="AK77" i="4" s="1"/>
  <c r="AG78" i="1"/>
  <c r="AI78" i="4" s="1"/>
  <c r="AK78" i="4" s="1"/>
  <c r="AL78" i="4" s="1"/>
  <c r="AG79" i="1"/>
  <c r="AI79" i="4" s="1"/>
  <c r="AG80" i="1"/>
  <c r="AI80" i="4" s="1"/>
  <c r="AK80" i="4" s="1"/>
  <c r="AG81" i="1"/>
  <c r="AI81" i="4" s="1"/>
  <c r="AK81" i="4" s="1"/>
  <c r="AL81" i="4" s="1"/>
  <c r="AG82" i="1"/>
  <c r="AI82" i="4" s="1"/>
  <c r="AK82" i="4" s="1"/>
  <c r="AL82" i="4" s="1"/>
  <c r="AG83" i="1"/>
  <c r="AI83" i="4" s="1"/>
  <c r="AK83" i="4" s="1"/>
  <c r="AG84" i="1"/>
  <c r="AI84" i="4" s="1"/>
  <c r="AK84" i="4" s="1"/>
  <c r="AL84" i="4" s="1"/>
  <c r="AG85" i="1"/>
  <c r="AG86" i="1"/>
  <c r="AG87" i="1"/>
  <c r="AI87" i="4" s="1"/>
  <c r="AK87" i="4" s="1"/>
  <c r="AL87" i="4" s="1"/>
  <c r="AG88" i="1"/>
  <c r="AI88" i="4" s="1"/>
  <c r="AK88" i="4" s="1"/>
  <c r="AL88" i="4" s="1"/>
  <c r="AG89" i="1"/>
  <c r="AI89" i="4" s="1"/>
  <c r="AK89" i="4" s="1"/>
  <c r="AG90" i="1"/>
  <c r="AI90" i="4" s="1"/>
  <c r="AK90" i="4" s="1"/>
  <c r="AL90" i="4" s="1"/>
  <c r="AG91" i="1"/>
  <c r="AI91" i="4" s="1"/>
  <c r="AG92" i="1"/>
  <c r="AI92" i="4" s="1"/>
  <c r="AK92" i="4" s="1"/>
  <c r="AG93" i="1"/>
  <c r="AI93" i="4" s="1"/>
  <c r="AK93" i="4" s="1"/>
  <c r="AL93" i="4" s="1"/>
  <c r="AG94" i="1"/>
  <c r="AI94" i="4" s="1"/>
  <c r="AK94" i="4" s="1"/>
  <c r="AL94" i="4" s="1"/>
  <c r="AG95" i="1"/>
  <c r="AI95" i="4" s="1"/>
  <c r="AK95" i="4" s="1"/>
  <c r="AG96" i="1"/>
  <c r="AI96" i="4" s="1"/>
  <c r="AK96" i="4" s="1"/>
  <c r="AL96" i="4" s="1"/>
  <c r="AG97" i="1"/>
  <c r="AG98" i="1"/>
  <c r="AI98" i="4" s="1"/>
  <c r="AK98" i="4" s="1"/>
  <c r="AG99" i="1"/>
  <c r="AI99" i="4" s="1"/>
  <c r="AK99" i="4" s="1"/>
  <c r="AL99" i="4" s="1"/>
  <c r="AG100" i="1"/>
  <c r="AI100" i="4" s="1"/>
  <c r="AK100" i="4" s="1"/>
  <c r="AL100" i="4" s="1"/>
  <c r="AG101" i="1"/>
  <c r="AI101" i="4" s="1"/>
  <c r="AK101" i="4" s="1"/>
  <c r="AG102" i="1"/>
  <c r="AI102" i="4" s="1"/>
  <c r="AK102" i="4" s="1"/>
  <c r="AL102" i="4" s="1"/>
  <c r="AG103" i="1"/>
  <c r="AI103" i="4" s="1"/>
  <c r="AG104" i="1"/>
  <c r="AI104" i="4" s="1"/>
  <c r="AK104" i="4" s="1"/>
  <c r="AG105" i="1"/>
  <c r="AI105" i="4" s="1"/>
  <c r="AK105" i="4" s="1"/>
  <c r="AL105" i="4" s="1"/>
  <c r="AG106" i="1"/>
  <c r="AI106" i="4" s="1"/>
  <c r="AK106" i="4" s="1"/>
  <c r="AL106" i="4" s="1"/>
  <c r="AG107" i="1"/>
  <c r="AI107" i="4" s="1"/>
  <c r="AK107" i="4" s="1"/>
  <c r="AG108" i="1"/>
  <c r="AI108" i="4" s="1"/>
  <c r="AK108" i="4" s="1"/>
  <c r="AL108" i="4" s="1"/>
  <c r="AG109" i="1"/>
  <c r="AI109" i="4" s="1"/>
  <c r="AG110" i="1"/>
  <c r="AG111" i="1"/>
  <c r="AI111" i="4" s="1"/>
  <c r="AK111" i="4" s="1"/>
  <c r="AL111" i="4" s="1"/>
  <c r="AG112" i="1"/>
  <c r="AI112" i="4" s="1"/>
  <c r="AK112" i="4" s="1"/>
  <c r="AL112" i="4" s="1"/>
  <c r="AG113" i="1"/>
  <c r="AI113" i="4" s="1"/>
  <c r="AK113" i="4" s="1"/>
  <c r="AG114" i="1"/>
  <c r="AI114" i="4" s="1"/>
  <c r="AK114" i="4" s="1"/>
  <c r="AL114" i="4" s="1"/>
  <c r="AG115" i="1"/>
  <c r="AI115" i="4" s="1"/>
  <c r="AG116" i="1"/>
  <c r="AI116" i="4" s="1"/>
  <c r="AK116" i="4" s="1"/>
  <c r="AG117" i="1"/>
  <c r="AI117" i="4" s="1"/>
  <c r="AK117" i="4" s="1"/>
  <c r="AL117" i="4" s="1"/>
  <c r="AG118" i="1"/>
  <c r="AG119" i="1"/>
  <c r="AI119" i="4" s="1"/>
  <c r="AK119" i="4" s="1"/>
  <c r="AG120" i="1"/>
  <c r="AI120" i="4" s="1"/>
  <c r="AK120" i="4" s="1"/>
  <c r="AL120" i="4" s="1"/>
  <c r="AG121" i="1"/>
  <c r="AI121" i="4" s="1"/>
  <c r="AG122" i="1"/>
  <c r="AI122" i="4" s="1"/>
  <c r="AK122" i="4" s="1"/>
  <c r="AG123" i="1"/>
  <c r="AI123" i="4" s="1"/>
  <c r="AK123" i="4" s="1"/>
  <c r="AL123" i="4" s="1"/>
  <c r="AG124" i="1"/>
  <c r="AI124" i="4" s="1"/>
  <c r="AK124" i="4" s="1"/>
  <c r="AL124" i="4" s="1"/>
  <c r="AG125" i="1"/>
  <c r="AI125" i="4" s="1"/>
  <c r="AK125" i="4" s="1"/>
  <c r="AG126" i="1"/>
  <c r="AI126" i="4" s="1"/>
  <c r="AK126" i="4" s="1"/>
  <c r="AL126" i="4" s="1"/>
  <c r="AG127" i="1"/>
  <c r="AG128" i="1"/>
  <c r="AI128" i="4" s="1"/>
  <c r="AK128" i="4" s="1"/>
  <c r="AG129" i="1"/>
  <c r="AI129" i="4" s="1"/>
  <c r="AK129" i="4" s="1"/>
  <c r="AL129" i="4" s="1"/>
  <c r="AG130" i="1"/>
  <c r="AI130" i="4" s="1"/>
  <c r="AK130" i="4" s="1"/>
  <c r="AL130" i="4" s="1"/>
  <c r="AG131" i="1"/>
  <c r="AI131" i="4" s="1"/>
  <c r="AK131" i="4" s="1"/>
  <c r="AG132" i="1"/>
  <c r="AI132" i="4" s="1"/>
  <c r="AK132" i="4" s="1"/>
  <c r="AL132" i="4" s="1"/>
  <c r="AG133" i="1"/>
  <c r="AG134" i="1"/>
  <c r="AG135" i="1"/>
  <c r="AI135" i="4" s="1"/>
  <c r="AK135" i="4" s="1"/>
  <c r="AL135" i="4" s="1"/>
  <c r="AG136" i="1"/>
  <c r="AI136" i="4" s="1"/>
  <c r="AK136" i="4" s="1"/>
  <c r="AL136" i="4" s="1"/>
  <c r="AG137" i="1"/>
  <c r="AI137" i="4" s="1"/>
  <c r="AK137" i="4" s="1"/>
  <c r="AG138" i="1"/>
  <c r="AI138" i="4" s="1"/>
  <c r="AK138" i="4" s="1"/>
  <c r="AL138" i="4" s="1"/>
  <c r="AG139" i="1"/>
  <c r="AG140" i="1"/>
  <c r="AI140" i="4" s="1"/>
  <c r="AK140" i="4" s="1"/>
  <c r="AG141" i="1"/>
  <c r="AI141" i="4" s="1"/>
  <c r="AK141" i="4" s="1"/>
  <c r="AL141" i="4" s="1"/>
  <c r="AG142" i="1"/>
  <c r="AI142" i="4" s="1"/>
  <c r="AK142" i="4" s="1"/>
  <c r="AL142" i="4" s="1"/>
  <c r="AG143" i="1"/>
  <c r="AI143" i="4" s="1"/>
  <c r="AK143" i="4" s="1"/>
  <c r="AG144" i="1"/>
  <c r="AI144" i="4" s="1"/>
  <c r="AK144" i="4" s="1"/>
  <c r="AL144" i="4" s="1"/>
  <c r="AG145" i="1"/>
  <c r="AI145" i="4" s="1"/>
  <c r="AG146" i="1"/>
  <c r="AI146" i="4" s="1"/>
  <c r="AK146" i="4" s="1"/>
  <c r="AG147" i="1"/>
  <c r="AI147" i="4" s="1"/>
  <c r="AK147" i="4" s="1"/>
  <c r="AL147" i="4" s="1"/>
  <c r="AG148" i="1"/>
  <c r="AI148" i="4" s="1"/>
  <c r="AK148" i="4" s="1"/>
  <c r="AL148" i="4" s="1"/>
  <c r="AG149" i="1"/>
  <c r="AI149" i="4" s="1"/>
  <c r="AK149" i="4" s="1"/>
  <c r="AG150" i="1"/>
  <c r="AI150" i="4" s="1"/>
  <c r="AK150" i="4" s="1"/>
  <c r="AL150" i="4" s="1"/>
  <c r="AG151" i="1"/>
  <c r="AI151" i="4" s="1"/>
  <c r="AG152" i="1"/>
  <c r="AI152" i="4" s="1"/>
  <c r="AK152" i="4" s="1"/>
  <c r="AG153" i="1"/>
  <c r="AI153" i="4" s="1"/>
  <c r="AK153" i="4" s="1"/>
  <c r="AL153" i="4" s="1"/>
  <c r="AG154" i="1"/>
  <c r="AI154" i="4" s="1"/>
  <c r="AK154" i="4" s="1"/>
  <c r="AL154" i="4" s="1"/>
  <c r="AG155" i="1"/>
  <c r="AI155" i="4" s="1"/>
  <c r="AK155" i="4" s="1"/>
  <c r="AG156" i="1"/>
  <c r="AI156" i="4" s="1"/>
  <c r="AK156" i="4" s="1"/>
  <c r="AL156" i="4" s="1"/>
  <c r="AG157" i="1"/>
  <c r="AG158" i="1"/>
  <c r="AG159" i="1"/>
  <c r="AI159" i="4" s="1"/>
  <c r="AK159" i="4" s="1"/>
  <c r="AL159" i="4" s="1"/>
  <c r="AG160" i="1"/>
  <c r="AI160" i="4" s="1"/>
  <c r="AK160" i="4" s="1"/>
  <c r="AL160" i="4" s="1"/>
  <c r="AG161" i="1"/>
  <c r="AI161" i="4" s="1"/>
  <c r="AK161" i="4" s="1"/>
  <c r="AG162" i="1"/>
  <c r="AI162" i="4" s="1"/>
  <c r="AK162" i="4" s="1"/>
  <c r="AL162" i="4" s="1"/>
  <c r="AG163" i="1"/>
  <c r="AG164" i="1"/>
  <c r="AI164" i="4" s="1"/>
  <c r="AK164" i="4" s="1"/>
  <c r="AG165" i="1"/>
  <c r="AI165" i="4" s="1"/>
  <c r="AK165" i="4" s="1"/>
  <c r="AL165" i="4" s="1"/>
  <c r="AG166" i="1"/>
  <c r="AI166" i="4" s="1"/>
  <c r="AK166" i="4" s="1"/>
  <c r="AL166" i="4" s="1"/>
  <c r="AG167" i="1"/>
  <c r="AI167" i="4" s="1"/>
  <c r="AK167" i="4" s="1"/>
  <c r="AG168" i="1"/>
  <c r="AI168" i="4" s="1"/>
  <c r="AK168" i="4" s="1"/>
  <c r="AL168" i="4" s="1"/>
  <c r="AG169" i="1"/>
  <c r="AG170" i="1"/>
  <c r="AI170" i="4" s="1"/>
  <c r="AK170" i="4" s="1"/>
  <c r="AG171" i="1"/>
  <c r="AI171" i="4" s="1"/>
  <c r="AK171" i="4" s="1"/>
  <c r="AL171" i="4" s="1"/>
  <c r="AG172" i="1"/>
  <c r="AI172" i="4" s="1"/>
  <c r="AK172" i="4" s="1"/>
  <c r="AL172" i="4" s="1"/>
  <c r="AG173" i="1"/>
  <c r="AI173" i="4" s="1"/>
  <c r="AK173" i="4" s="1"/>
  <c r="AG174" i="1"/>
  <c r="AI174" i="4" s="1"/>
  <c r="AK174" i="4" s="1"/>
  <c r="AL174" i="4" s="1"/>
  <c r="AG175" i="1"/>
  <c r="AG176" i="1"/>
  <c r="AI176" i="4" s="1"/>
  <c r="AK176" i="4" s="1"/>
  <c r="AG177" i="1"/>
  <c r="AI177" i="4" s="1"/>
  <c r="AK177" i="4" s="1"/>
  <c r="AL177" i="4" s="1"/>
  <c r="AG178" i="1"/>
  <c r="AI178" i="4" s="1"/>
  <c r="AK178" i="4" s="1"/>
  <c r="AL178" i="4" s="1"/>
  <c r="AG179" i="1"/>
  <c r="AI179" i="4" s="1"/>
  <c r="AK179" i="4" s="1"/>
  <c r="AG180" i="1"/>
  <c r="AI180" i="4" s="1"/>
  <c r="AK180" i="4" s="1"/>
  <c r="AL180" i="4" s="1"/>
  <c r="AG181" i="1"/>
  <c r="AI181" i="4" s="1"/>
  <c r="AG182" i="1"/>
  <c r="AI182" i="4" s="1"/>
  <c r="AK182" i="4" s="1"/>
  <c r="AG183" i="1"/>
  <c r="AI183" i="4" s="1"/>
  <c r="AK183" i="4" s="1"/>
  <c r="AL183" i="4" s="1"/>
  <c r="AG184" i="1"/>
  <c r="AI184" i="4" s="1"/>
  <c r="AK184" i="4" s="1"/>
  <c r="AL184" i="4" s="1"/>
  <c r="AG185" i="1"/>
  <c r="AI185" i="4" s="1"/>
  <c r="AK185" i="4" s="1"/>
  <c r="AG186" i="1"/>
  <c r="AI186" i="4" s="1"/>
  <c r="AK186" i="4" s="1"/>
  <c r="AL186" i="4" s="1"/>
  <c r="AG187" i="1"/>
  <c r="AI187" i="4" s="1"/>
  <c r="AG188" i="1"/>
  <c r="AI188" i="4" s="1"/>
  <c r="AK188" i="4" s="1"/>
  <c r="AG189" i="1"/>
  <c r="AI189" i="4" s="1"/>
  <c r="AK189" i="4" s="1"/>
  <c r="AL189" i="4" s="1"/>
  <c r="AG190" i="1"/>
  <c r="AI190" i="4" s="1"/>
  <c r="AK190" i="4" s="1"/>
  <c r="AL190" i="4" s="1"/>
  <c r="AG191" i="1"/>
  <c r="AI191" i="4" s="1"/>
  <c r="AK191" i="4" s="1"/>
  <c r="AG192" i="1"/>
  <c r="AI192" i="4" s="1"/>
  <c r="AK192" i="4" s="1"/>
  <c r="AL192" i="4" s="1"/>
  <c r="AG193" i="1"/>
  <c r="AI193" i="4" s="1"/>
  <c r="AG194" i="1"/>
  <c r="AI194" i="4" s="1"/>
  <c r="AK194" i="4" s="1"/>
  <c r="AG195" i="1"/>
  <c r="AI195" i="4" s="1"/>
  <c r="AK195" i="4" s="1"/>
  <c r="AL195" i="4" s="1"/>
  <c r="AG196" i="1"/>
  <c r="AI196" i="4" s="1"/>
  <c r="AK196" i="4" s="1"/>
  <c r="AL196" i="4" s="1"/>
  <c r="AG197" i="1"/>
  <c r="AI197" i="4" s="1"/>
  <c r="AK197" i="4" s="1"/>
  <c r="AG198" i="1"/>
  <c r="AI198" i="4" s="1"/>
  <c r="AK198" i="4" s="1"/>
  <c r="AL198" i="4" s="1"/>
  <c r="AG199" i="1"/>
  <c r="AI199" i="4" s="1"/>
  <c r="AG200" i="1"/>
  <c r="AI200" i="4" s="1"/>
  <c r="AK200" i="4" s="1"/>
  <c r="AG201" i="1"/>
  <c r="AI201" i="4" s="1"/>
  <c r="AK201" i="4" s="1"/>
  <c r="AL201" i="4" s="1"/>
  <c r="AG202" i="1"/>
  <c r="AI202" i="4" s="1"/>
  <c r="AK202" i="4" s="1"/>
  <c r="AL202" i="4" s="1"/>
  <c r="AG203" i="1"/>
  <c r="AI203" i="4" s="1"/>
  <c r="AK203" i="4" s="1"/>
  <c r="AG204" i="1"/>
  <c r="AI204" i="4" s="1"/>
  <c r="AK204" i="4" s="1"/>
  <c r="AL204" i="4" s="1"/>
  <c r="AG205" i="1"/>
  <c r="AI205" i="4" s="1"/>
  <c r="AG206" i="1"/>
  <c r="AI206" i="4" s="1"/>
  <c r="AK206" i="4" s="1"/>
  <c r="AG207" i="1"/>
  <c r="AI207" i="4" s="1"/>
  <c r="AK207" i="4" s="1"/>
  <c r="AL207" i="4" s="1"/>
  <c r="AG208" i="1"/>
  <c r="AI208" i="4" s="1"/>
  <c r="AK208" i="4" s="1"/>
  <c r="AL208" i="4" s="1"/>
  <c r="AG209" i="1"/>
  <c r="AI209" i="4" s="1"/>
  <c r="AK209" i="4" s="1"/>
  <c r="AG210" i="1"/>
  <c r="AI210" i="4" s="1"/>
  <c r="AK210" i="4" s="1"/>
  <c r="AL210" i="4" s="1"/>
  <c r="AG211" i="1"/>
  <c r="AI211" i="4" s="1"/>
  <c r="AG212" i="1"/>
  <c r="AI212" i="4" s="1"/>
  <c r="AK212" i="4" s="1"/>
  <c r="AG213" i="1"/>
  <c r="AI213" i="4" s="1"/>
  <c r="AK213" i="4" s="1"/>
  <c r="AL213" i="4" s="1"/>
  <c r="AG214" i="1"/>
  <c r="AG215" i="1"/>
  <c r="AI215" i="4" s="1"/>
  <c r="AK215" i="4" s="1"/>
  <c r="AG216" i="1"/>
  <c r="AI216" i="4" s="1"/>
  <c r="AK216" i="4" s="1"/>
  <c r="AL216" i="4" s="1"/>
  <c r="AG217" i="1"/>
  <c r="AI217" i="4" s="1"/>
  <c r="AG218" i="1"/>
  <c r="AI218" i="4" s="1"/>
  <c r="AK218" i="4" s="1"/>
  <c r="AG219" i="1"/>
  <c r="AI219" i="4" s="1"/>
  <c r="AK219" i="4" s="1"/>
  <c r="AL219" i="4" s="1"/>
  <c r="AG220" i="1"/>
  <c r="AI220" i="4" s="1"/>
  <c r="AK220" i="4" s="1"/>
  <c r="AL220" i="4" s="1"/>
  <c r="AG221" i="1"/>
  <c r="AI221" i="4" s="1"/>
  <c r="AK221" i="4" s="1"/>
  <c r="AG222" i="1"/>
  <c r="AI222" i="4" s="1"/>
  <c r="AK222" i="4" s="1"/>
  <c r="AL222" i="4" s="1"/>
  <c r="AG223" i="1"/>
  <c r="AI223" i="4" s="1"/>
  <c r="AG224" i="1"/>
  <c r="AI224" i="4" s="1"/>
  <c r="AK224" i="4" s="1"/>
  <c r="AG225" i="1"/>
  <c r="AI225" i="4" s="1"/>
  <c r="AK225" i="4" s="1"/>
  <c r="AL225" i="4" s="1"/>
  <c r="AG226" i="1"/>
  <c r="AI226" i="4" s="1"/>
  <c r="AK226" i="4" s="1"/>
  <c r="AL226" i="4" s="1"/>
  <c r="AG227" i="1"/>
  <c r="AI227" i="4" s="1"/>
  <c r="AK227" i="4" s="1"/>
  <c r="AG228" i="1"/>
  <c r="AI228" i="4" s="1"/>
  <c r="AK228" i="4" s="1"/>
  <c r="AL228" i="4" s="1"/>
  <c r="AG229" i="1"/>
  <c r="AI229" i="4" s="1"/>
  <c r="AG230" i="1"/>
  <c r="AI230" i="4" s="1"/>
  <c r="AK230" i="4" s="1"/>
  <c r="AG231" i="1"/>
  <c r="AI231" i="4" s="1"/>
  <c r="AK231" i="4" s="1"/>
  <c r="AG232" i="1"/>
  <c r="AI232" i="4" s="1"/>
  <c r="AK232" i="4" s="1"/>
  <c r="AL232" i="4" s="1"/>
  <c r="AG233" i="1"/>
  <c r="AI233" i="4" s="1"/>
  <c r="AK233" i="4" s="1"/>
  <c r="AG234" i="1"/>
  <c r="AI234" i="4" s="1"/>
  <c r="AK234" i="4" s="1"/>
  <c r="AL234" i="4" s="1"/>
  <c r="AG235" i="1"/>
  <c r="AG236" i="1"/>
  <c r="AI236" i="4" s="1"/>
  <c r="AK236" i="4" s="1"/>
  <c r="AG237" i="1"/>
  <c r="AI237" i="4" s="1"/>
  <c r="AK237" i="4" s="1"/>
  <c r="AG238" i="1"/>
  <c r="AI238" i="4" s="1"/>
  <c r="AK238" i="4" s="1"/>
  <c r="AL238" i="4" s="1"/>
  <c r="AG239" i="1"/>
  <c r="AI239" i="4" s="1"/>
  <c r="AK239" i="4" s="1"/>
  <c r="AG240" i="1"/>
  <c r="AI240" i="4" s="1"/>
  <c r="AK240" i="4" s="1"/>
  <c r="AL240" i="4" s="1"/>
  <c r="AG241" i="1"/>
  <c r="AG242" i="1"/>
  <c r="AI242" i="4" s="1"/>
  <c r="AK242" i="4" s="1"/>
  <c r="AG243" i="1"/>
  <c r="AI243" i="4" s="1"/>
  <c r="AK243" i="4" s="1"/>
  <c r="AG244" i="1"/>
  <c r="AI244" i="4" s="1"/>
  <c r="AK244" i="4" s="1"/>
  <c r="AL244" i="4" s="1"/>
  <c r="AG245" i="1"/>
  <c r="AI245" i="4" s="1"/>
  <c r="AK245" i="4" s="1"/>
  <c r="AG246" i="1"/>
  <c r="AI246" i="4" s="1"/>
  <c r="AK246" i="4" s="1"/>
  <c r="AL246" i="4" s="1"/>
  <c r="AG247" i="1"/>
  <c r="AG248" i="1"/>
  <c r="AI248" i="4" s="1"/>
  <c r="AK248" i="4" s="1"/>
  <c r="AG249" i="1"/>
  <c r="AI249" i="4" s="1"/>
  <c r="AK249" i="4" s="1"/>
  <c r="AL249" i="4" s="1"/>
  <c r="AG250" i="1"/>
  <c r="AI250" i="4" s="1"/>
  <c r="AK250" i="4" s="1"/>
  <c r="AL250" i="4" s="1"/>
  <c r="AG251" i="1"/>
  <c r="AI251" i="4" s="1"/>
  <c r="AK251" i="4" s="1"/>
  <c r="AG252" i="1"/>
  <c r="AI252" i="4" s="1"/>
  <c r="AK252" i="4" s="1"/>
  <c r="AL252" i="4" s="1"/>
  <c r="AG253" i="1"/>
  <c r="AI253" i="4" s="1"/>
  <c r="AG254" i="1"/>
  <c r="AI254" i="4" s="1"/>
  <c r="AK254" i="4" s="1"/>
  <c r="AG255" i="1"/>
  <c r="AI255" i="4" s="1"/>
  <c r="AK255" i="4" s="1"/>
  <c r="AH4" i="1"/>
  <c r="AH5" i="1"/>
  <c r="AH6" i="1"/>
  <c r="AH7" i="1"/>
  <c r="AH8" i="1"/>
  <c r="AH9" i="1"/>
  <c r="AH10" i="1"/>
  <c r="AH11" i="1"/>
  <c r="AH12" i="1"/>
  <c r="AH13" i="1"/>
  <c r="AH14" i="1"/>
  <c r="AH15" i="1"/>
  <c r="AH16" i="1"/>
  <c r="AH17" i="1"/>
  <c r="AH18" i="1"/>
  <c r="AH19" i="1"/>
  <c r="AH20" i="1"/>
  <c r="AH21" i="1"/>
  <c r="AH22" i="1"/>
  <c r="AH23" i="1"/>
  <c r="AH24" i="1"/>
  <c r="AH25" i="1"/>
  <c r="AH26" i="1"/>
  <c r="AH27" i="1"/>
  <c r="AH28" i="1"/>
  <c r="AH29" i="1"/>
  <c r="AH30" i="1"/>
  <c r="AH31" i="1"/>
  <c r="AH32" i="1"/>
  <c r="AH33" i="1"/>
  <c r="AH34" i="1"/>
  <c r="AH35" i="1"/>
  <c r="AH36" i="1"/>
  <c r="AH37" i="1"/>
  <c r="AH38" i="1"/>
  <c r="AH39" i="1"/>
  <c r="AH40" i="1"/>
  <c r="AH41" i="1"/>
  <c r="AH42" i="1"/>
  <c r="AH43" i="1"/>
  <c r="AH44" i="1"/>
  <c r="AH45" i="1"/>
  <c r="AH46" i="1"/>
  <c r="AH47" i="1"/>
  <c r="AH48" i="1"/>
  <c r="AH49" i="1"/>
  <c r="AH50" i="1"/>
  <c r="AH51" i="1"/>
  <c r="AH52" i="1"/>
  <c r="AH53" i="1"/>
  <c r="AH54" i="1"/>
  <c r="AH55" i="1"/>
  <c r="AH56" i="1"/>
  <c r="AH57" i="1"/>
  <c r="AH58" i="1"/>
  <c r="AH59" i="1"/>
  <c r="AH60" i="1"/>
  <c r="AH61" i="1"/>
  <c r="AH62" i="1"/>
  <c r="AH63" i="1"/>
  <c r="AH64" i="1"/>
  <c r="AH65" i="1"/>
  <c r="AH66" i="1"/>
  <c r="AH67" i="1"/>
  <c r="AH68" i="1"/>
  <c r="AH69" i="1"/>
  <c r="AH70" i="1"/>
  <c r="AH71" i="1"/>
  <c r="AH72" i="1"/>
  <c r="AH73" i="1"/>
  <c r="AH74" i="1"/>
  <c r="AH75" i="1"/>
  <c r="AH76" i="1"/>
  <c r="AH77" i="1"/>
  <c r="AH78" i="1"/>
  <c r="AH79" i="1"/>
  <c r="AH80" i="1"/>
  <c r="AH81" i="1"/>
  <c r="AH82" i="1"/>
  <c r="AH83" i="1"/>
  <c r="AH84" i="1"/>
  <c r="AH85" i="1"/>
  <c r="AH86" i="1"/>
  <c r="AH87" i="1"/>
  <c r="AH88" i="1"/>
  <c r="AH89" i="1"/>
  <c r="AH90" i="1"/>
  <c r="AH91" i="1"/>
  <c r="AH92" i="1"/>
  <c r="AH93" i="1"/>
  <c r="AH94" i="1"/>
  <c r="AH95" i="1"/>
  <c r="AH96" i="1"/>
  <c r="AH97" i="1"/>
  <c r="AH98" i="1"/>
  <c r="AH99" i="1"/>
  <c r="AH100" i="1"/>
  <c r="AH101" i="1"/>
  <c r="AH102" i="1"/>
  <c r="AH103" i="1"/>
  <c r="AH104" i="1"/>
  <c r="AH105" i="1"/>
  <c r="AH106" i="1"/>
  <c r="AH107" i="1"/>
  <c r="AH108" i="1"/>
  <c r="AH109" i="1"/>
  <c r="AH110" i="1"/>
  <c r="AH111" i="1"/>
  <c r="AH112" i="1"/>
  <c r="AH113" i="1"/>
  <c r="AH114" i="1"/>
  <c r="AH115" i="1"/>
  <c r="AH116" i="1"/>
  <c r="AH117" i="1"/>
  <c r="AH118" i="1"/>
  <c r="AH119" i="1"/>
  <c r="AH120" i="1"/>
  <c r="AH121" i="1"/>
  <c r="AH122" i="1"/>
  <c r="AH123" i="1"/>
  <c r="AH124" i="1"/>
  <c r="AH125" i="1"/>
  <c r="AH126" i="1"/>
  <c r="AH127" i="1"/>
  <c r="AH128" i="1"/>
  <c r="AH129" i="1"/>
  <c r="AH130" i="1"/>
  <c r="AH131" i="1"/>
  <c r="AH132" i="1"/>
  <c r="AH133" i="1"/>
  <c r="AH134" i="1"/>
  <c r="AH135" i="1"/>
  <c r="AH136" i="1"/>
  <c r="AH137" i="1"/>
  <c r="AH138" i="1"/>
  <c r="AH139" i="1"/>
  <c r="AH140" i="1"/>
  <c r="AH141" i="1"/>
  <c r="AH142" i="1"/>
  <c r="AH143" i="1"/>
  <c r="AH144" i="1"/>
  <c r="AH145" i="1"/>
  <c r="AH146" i="1"/>
  <c r="AH147" i="1"/>
  <c r="AH148" i="1"/>
  <c r="AH149" i="1"/>
  <c r="AH150" i="1"/>
  <c r="AH151" i="1"/>
  <c r="AH152" i="1"/>
  <c r="AH153" i="1"/>
  <c r="AH154" i="1"/>
  <c r="AH155" i="1"/>
  <c r="AH156" i="1"/>
  <c r="AH157" i="1"/>
  <c r="AH158" i="1"/>
  <c r="AH159" i="1"/>
  <c r="AH160" i="1"/>
  <c r="AH161" i="1"/>
  <c r="AH162" i="1"/>
  <c r="AH163" i="1"/>
  <c r="AH164" i="1"/>
  <c r="AH165" i="1"/>
  <c r="AH166" i="1"/>
  <c r="AH167" i="1"/>
  <c r="AH168" i="1"/>
  <c r="AH169" i="1"/>
  <c r="AH170" i="1"/>
  <c r="AH171" i="1"/>
  <c r="AH172" i="1"/>
  <c r="AH173" i="1"/>
  <c r="AH174" i="1"/>
  <c r="AH175" i="1"/>
  <c r="AH176" i="1"/>
  <c r="AH177" i="1"/>
  <c r="AH178" i="1"/>
  <c r="AH179" i="1"/>
  <c r="AH180" i="1"/>
  <c r="AH181" i="1"/>
  <c r="AH182" i="1"/>
  <c r="AH183" i="1"/>
  <c r="AH184" i="1"/>
  <c r="AH185" i="1"/>
  <c r="AH186" i="1"/>
  <c r="AH187" i="1"/>
  <c r="AH188" i="1"/>
  <c r="AH189" i="1"/>
  <c r="AH190" i="1"/>
  <c r="AH191" i="1"/>
  <c r="AH192" i="1"/>
  <c r="AH193" i="1"/>
  <c r="AH194" i="1"/>
  <c r="AH195" i="1"/>
  <c r="AH196" i="1"/>
  <c r="AH197" i="1"/>
  <c r="AH198" i="1"/>
  <c r="AH199" i="1"/>
  <c r="AH200" i="1"/>
  <c r="AH201" i="1"/>
  <c r="AH202" i="1"/>
  <c r="AH203" i="1"/>
  <c r="AH204" i="1"/>
  <c r="AH205" i="1"/>
  <c r="AH206" i="1"/>
  <c r="AH207" i="1"/>
  <c r="AH208" i="1"/>
  <c r="AH209" i="1"/>
  <c r="AH210" i="1"/>
  <c r="AH211" i="1"/>
  <c r="AH212" i="1"/>
  <c r="AH213" i="1"/>
  <c r="AH214" i="1"/>
  <c r="AH215" i="1"/>
  <c r="AH216" i="1"/>
  <c r="AH217" i="1"/>
  <c r="AH218" i="1"/>
  <c r="AH219" i="1"/>
  <c r="AH220" i="1"/>
  <c r="AH221" i="1"/>
  <c r="AH222" i="1"/>
  <c r="AH223" i="1"/>
  <c r="AH224" i="1"/>
  <c r="AH225" i="1"/>
  <c r="AH226" i="1"/>
  <c r="AH227" i="1"/>
  <c r="AH228" i="1"/>
  <c r="AH229" i="1"/>
  <c r="AH230" i="1"/>
  <c r="AH231" i="1"/>
  <c r="AH232" i="1"/>
  <c r="AH233" i="1"/>
  <c r="AH234" i="1"/>
  <c r="AH235" i="1"/>
  <c r="AH236" i="1"/>
  <c r="AH237" i="1"/>
  <c r="AH238" i="1"/>
  <c r="AH239" i="1"/>
  <c r="AH240" i="1"/>
  <c r="AH241" i="1"/>
  <c r="AH242" i="1"/>
  <c r="AH243" i="1"/>
  <c r="AH244" i="1"/>
  <c r="AH245" i="1"/>
  <c r="AH246" i="1"/>
  <c r="AH247" i="1"/>
  <c r="AH248" i="1"/>
  <c r="AH249" i="1"/>
  <c r="AH250" i="1"/>
  <c r="AH251" i="1"/>
  <c r="AH252" i="1"/>
  <c r="AH253" i="1"/>
  <c r="AH254" i="1"/>
  <c r="AH255" i="1"/>
  <c r="AI4" i="1"/>
  <c r="AI5" i="1"/>
  <c r="AI6" i="1"/>
  <c r="AI7" i="1"/>
  <c r="AI8" i="1"/>
  <c r="AI9" i="1"/>
  <c r="AI10" i="1"/>
  <c r="AI11" i="1"/>
  <c r="AI12" i="1"/>
  <c r="AI13" i="1"/>
  <c r="AI14" i="1"/>
  <c r="AI15" i="1"/>
  <c r="AI16" i="1"/>
  <c r="AI17" i="1"/>
  <c r="AI18" i="1"/>
  <c r="AI19" i="1"/>
  <c r="AI20" i="1"/>
  <c r="AI21" i="1"/>
  <c r="AI22" i="1"/>
  <c r="AI23" i="1"/>
  <c r="AI24" i="1"/>
  <c r="AI25" i="1"/>
  <c r="AI26" i="1"/>
  <c r="AI27" i="1"/>
  <c r="AI28" i="1"/>
  <c r="AI29" i="1"/>
  <c r="AI30" i="1"/>
  <c r="AI31" i="1"/>
  <c r="AI32" i="1"/>
  <c r="AI33" i="1"/>
  <c r="AI34" i="1"/>
  <c r="AI35" i="1"/>
  <c r="AI36" i="1"/>
  <c r="AI37" i="1"/>
  <c r="AI38" i="1"/>
  <c r="AI39" i="1"/>
  <c r="AI40" i="1"/>
  <c r="AI41" i="1"/>
  <c r="AI42" i="1"/>
  <c r="AI43" i="1"/>
  <c r="AI44" i="1"/>
  <c r="AI45" i="1"/>
  <c r="AI46" i="1"/>
  <c r="AI47" i="1"/>
  <c r="AI48" i="1"/>
  <c r="AI49" i="1"/>
  <c r="AI50" i="1"/>
  <c r="AI51" i="1"/>
  <c r="AI52" i="1"/>
  <c r="AI53" i="1"/>
  <c r="AI54" i="1"/>
  <c r="AI55" i="1"/>
  <c r="AI56" i="1"/>
  <c r="AI57" i="1"/>
  <c r="AI58" i="1"/>
  <c r="AI59" i="1"/>
  <c r="AI60" i="1"/>
  <c r="AI61" i="1"/>
  <c r="AI62" i="1"/>
  <c r="AI63" i="1"/>
  <c r="AI64" i="1"/>
  <c r="AI65" i="1"/>
  <c r="AI66" i="1"/>
  <c r="AI67" i="1"/>
  <c r="AI68" i="1"/>
  <c r="AI69" i="1"/>
  <c r="AI70" i="1"/>
  <c r="AI71" i="1"/>
  <c r="AI72" i="1"/>
  <c r="AI73" i="1"/>
  <c r="AI74" i="1"/>
  <c r="AI75" i="1"/>
  <c r="AI76" i="1"/>
  <c r="AI77" i="1"/>
  <c r="AI78" i="1"/>
  <c r="AI79" i="1"/>
  <c r="AI80" i="1"/>
  <c r="AI81" i="1"/>
  <c r="AI82" i="1"/>
  <c r="AI83" i="1"/>
  <c r="AI84" i="1"/>
  <c r="AI85" i="1"/>
  <c r="AI86" i="1"/>
  <c r="AI87" i="1"/>
  <c r="AI88" i="1"/>
  <c r="AI89" i="1"/>
  <c r="AI90" i="1"/>
  <c r="AI91" i="1"/>
  <c r="AI92" i="1"/>
  <c r="AI93" i="1"/>
  <c r="AI94" i="1"/>
  <c r="AI95" i="1"/>
  <c r="AI96" i="1"/>
  <c r="AI97" i="1"/>
  <c r="AI98" i="1"/>
  <c r="AI99" i="1"/>
  <c r="AI100" i="1"/>
  <c r="AI101" i="1"/>
  <c r="AI102" i="1"/>
  <c r="AI103" i="1"/>
  <c r="AI104" i="1"/>
  <c r="AI105" i="1"/>
  <c r="AI106" i="1"/>
  <c r="AI107" i="1"/>
  <c r="AI108" i="1"/>
  <c r="AI109" i="1"/>
  <c r="AI110" i="1"/>
  <c r="AI111" i="1"/>
  <c r="AI112" i="1"/>
  <c r="AI113" i="1"/>
  <c r="AI114" i="1"/>
  <c r="AI115" i="1"/>
  <c r="AI116" i="1"/>
  <c r="AI117" i="1"/>
  <c r="AI118" i="1"/>
  <c r="AI119" i="1"/>
  <c r="AI120" i="1"/>
  <c r="AI121" i="1"/>
  <c r="AI122" i="1"/>
  <c r="AI123" i="1"/>
  <c r="AI124" i="1"/>
  <c r="AI125" i="1"/>
  <c r="AI126" i="1"/>
  <c r="AI127" i="1"/>
  <c r="AI128" i="1"/>
  <c r="AI129" i="1"/>
  <c r="AI130" i="1"/>
  <c r="AI131" i="1"/>
  <c r="AI132" i="1"/>
  <c r="AI133" i="1"/>
  <c r="AI134" i="1"/>
  <c r="AI135" i="1"/>
  <c r="AI136" i="1"/>
  <c r="AI137" i="1"/>
  <c r="AI138" i="1"/>
  <c r="AI139" i="1"/>
  <c r="AI140" i="1"/>
  <c r="AI141" i="1"/>
  <c r="AI142" i="1"/>
  <c r="AI143" i="1"/>
  <c r="AI144" i="1"/>
  <c r="AI145" i="1"/>
  <c r="AI146" i="1"/>
  <c r="AI147" i="1"/>
  <c r="AI148" i="1"/>
  <c r="AI149" i="1"/>
  <c r="AI150" i="1"/>
  <c r="AI151" i="1"/>
  <c r="AI152" i="1"/>
  <c r="AI153" i="1"/>
  <c r="AI154" i="1"/>
  <c r="AI155" i="1"/>
  <c r="AI156" i="1"/>
  <c r="AI157" i="1"/>
  <c r="AI158" i="1"/>
  <c r="AI159" i="1"/>
  <c r="AI160" i="1"/>
  <c r="AI161" i="1"/>
  <c r="AI162" i="1"/>
  <c r="AI163" i="1"/>
  <c r="AI164" i="1"/>
  <c r="AI165" i="1"/>
  <c r="AI166" i="1"/>
  <c r="AI167" i="1"/>
  <c r="AI168" i="1"/>
  <c r="AI169" i="1"/>
  <c r="AI170" i="1"/>
  <c r="AI171" i="1"/>
  <c r="AI172" i="1"/>
  <c r="AI173" i="1"/>
  <c r="AI174" i="1"/>
  <c r="AI175" i="1"/>
  <c r="AI176" i="1"/>
  <c r="AI177" i="1"/>
  <c r="AI178" i="1"/>
  <c r="AI179" i="1"/>
  <c r="AI180" i="1"/>
  <c r="AI181" i="1"/>
  <c r="AI182" i="1"/>
  <c r="AI183" i="1"/>
  <c r="AI184" i="1"/>
  <c r="AI185" i="1"/>
  <c r="AI186" i="1"/>
  <c r="AI187" i="1"/>
  <c r="AI188" i="1"/>
  <c r="AI189" i="1"/>
  <c r="AI190" i="1"/>
  <c r="AI191" i="1"/>
  <c r="AI192" i="1"/>
  <c r="AI193" i="1"/>
  <c r="AI194" i="1"/>
  <c r="AI195" i="1"/>
  <c r="AI196" i="1"/>
  <c r="AI197" i="1"/>
  <c r="AI198" i="1"/>
  <c r="AI199" i="1"/>
  <c r="AI200" i="1"/>
  <c r="AI201" i="1"/>
  <c r="AI202" i="1"/>
  <c r="AI203" i="1"/>
  <c r="AI204" i="1"/>
  <c r="AI205" i="1"/>
  <c r="AI206" i="1"/>
  <c r="AI207" i="1"/>
  <c r="AI208" i="1"/>
  <c r="AI209" i="1"/>
  <c r="AI210" i="1"/>
  <c r="AI211" i="1"/>
  <c r="AI212" i="1"/>
  <c r="AI213" i="1"/>
  <c r="AI214" i="1"/>
  <c r="AI215" i="1"/>
  <c r="AI216" i="1"/>
  <c r="AI217" i="1"/>
  <c r="AI218" i="1"/>
  <c r="AI219" i="1"/>
  <c r="AI220" i="1"/>
  <c r="AI221" i="1"/>
  <c r="AI222" i="1"/>
  <c r="AI223" i="1"/>
  <c r="AI224" i="1"/>
  <c r="AI225" i="1"/>
  <c r="AI226" i="1"/>
  <c r="AI227" i="1"/>
  <c r="AI228" i="1"/>
  <c r="AI229" i="1"/>
  <c r="AI230" i="1"/>
  <c r="AI231" i="1"/>
  <c r="AI232" i="1"/>
  <c r="AI233" i="1"/>
  <c r="AI234" i="1"/>
  <c r="AI235" i="1"/>
  <c r="AI236" i="1"/>
  <c r="AI237" i="1"/>
  <c r="AI238" i="1"/>
  <c r="AI239" i="1"/>
  <c r="AI240" i="1"/>
  <c r="AI241" i="1"/>
  <c r="AI242" i="1"/>
  <c r="AI243" i="1"/>
  <c r="AI244" i="1"/>
  <c r="AI245" i="1"/>
  <c r="AI246" i="1"/>
  <c r="AI247" i="1"/>
  <c r="AI248" i="1"/>
  <c r="AI249" i="1"/>
  <c r="AI250" i="1"/>
  <c r="AI251" i="1"/>
  <c r="AI252" i="1"/>
  <c r="AI253" i="1"/>
  <c r="AI254" i="1"/>
  <c r="AI255" i="1"/>
  <c r="AJ4" i="1"/>
  <c r="AJ5" i="1"/>
  <c r="AJ6" i="1"/>
  <c r="AJ7" i="1"/>
  <c r="AJ8" i="1"/>
  <c r="AJ9" i="1"/>
  <c r="AJ10" i="1"/>
  <c r="AJ11" i="1"/>
  <c r="AJ12" i="1"/>
  <c r="AJ13" i="1"/>
  <c r="AJ14" i="1"/>
  <c r="AJ15" i="1"/>
  <c r="AJ16" i="1"/>
  <c r="AJ17" i="1"/>
  <c r="AJ18" i="1"/>
  <c r="AJ19" i="1"/>
  <c r="AJ20" i="1"/>
  <c r="AJ21" i="1"/>
  <c r="AJ22" i="1"/>
  <c r="AJ23" i="1"/>
  <c r="AJ24" i="1"/>
  <c r="AJ25" i="1"/>
  <c r="AJ26" i="1"/>
  <c r="AJ27" i="1"/>
  <c r="AJ28" i="1"/>
  <c r="AJ29" i="1"/>
  <c r="AJ30" i="1"/>
  <c r="AJ31" i="1"/>
  <c r="AJ32" i="1"/>
  <c r="AJ33" i="1"/>
  <c r="AJ34" i="1"/>
  <c r="AJ35" i="1"/>
  <c r="AJ36" i="1"/>
  <c r="AJ37" i="1"/>
  <c r="AJ38" i="1"/>
  <c r="AJ39" i="1"/>
  <c r="AJ40" i="1"/>
  <c r="AJ41" i="1"/>
  <c r="AJ42" i="1"/>
  <c r="AJ43" i="1"/>
  <c r="AJ44" i="1"/>
  <c r="AJ45" i="1"/>
  <c r="AJ46" i="1"/>
  <c r="AJ47" i="1"/>
  <c r="AJ48" i="1"/>
  <c r="AJ49" i="1"/>
  <c r="AJ50" i="1"/>
  <c r="AJ51" i="1"/>
  <c r="AJ52" i="1"/>
  <c r="AJ53" i="1"/>
  <c r="AJ54" i="1"/>
  <c r="AJ55" i="1"/>
  <c r="AJ56" i="1"/>
  <c r="AJ57" i="1"/>
  <c r="AJ58" i="1"/>
  <c r="AJ59" i="1"/>
  <c r="AJ60" i="1"/>
  <c r="AJ61" i="1"/>
  <c r="AJ62" i="1"/>
  <c r="AJ63" i="1"/>
  <c r="AJ64" i="1"/>
  <c r="AJ65" i="1"/>
  <c r="AJ66" i="1"/>
  <c r="AJ67" i="1"/>
  <c r="AJ68" i="1"/>
  <c r="AJ69" i="1"/>
  <c r="AJ70" i="1"/>
  <c r="AJ71" i="1"/>
  <c r="AJ72" i="1"/>
  <c r="AJ73" i="1"/>
  <c r="AJ74" i="1"/>
  <c r="AJ75" i="1"/>
  <c r="AJ76" i="1"/>
  <c r="AJ77" i="1"/>
  <c r="AJ78" i="1"/>
  <c r="AJ79" i="1"/>
  <c r="AJ80" i="1"/>
  <c r="AJ81" i="1"/>
  <c r="AJ82" i="1"/>
  <c r="AJ83" i="1"/>
  <c r="AJ84" i="1"/>
  <c r="AJ85" i="1"/>
  <c r="AJ86" i="1"/>
  <c r="AJ87" i="1"/>
  <c r="AJ88" i="1"/>
  <c r="AJ89" i="1"/>
  <c r="AJ90" i="1"/>
  <c r="AJ91" i="1"/>
  <c r="AJ92" i="1"/>
  <c r="AJ93" i="1"/>
  <c r="AJ94" i="1"/>
  <c r="AJ95" i="1"/>
  <c r="AJ96" i="1"/>
  <c r="AJ97" i="1"/>
  <c r="AJ98" i="1"/>
  <c r="AJ99" i="1"/>
  <c r="AJ100" i="1"/>
  <c r="AJ101" i="1"/>
  <c r="AJ102" i="1"/>
  <c r="AJ103" i="1"/>
  <c r="AJ104" i="1"/>
  <c r="AJ105" i="1"/>
  <c r="AJ106" i="1"/>
  <c r="AJ107" i="1"/>
  <c r="AJ108" i="1"/>
  <c r="AJ109" i="1"/>
  <c r="AJ110" i="1"/>
  <c r="AJ111" i="1"/>
  <c r="AJ112" i="1"/>
  <c r="AJ113" i="1"/>
  <c r="AJ114" i="1"/>
  <c r="AJ115" i="1"/>
  <c r="AJ116" i="1"/>
  <c r="AJ117" i="1"/>
  <c r="AJ118" i="1"/>
  <c r="AJ119" i="1"/>
  <c r="AJ120" i="1"/>
  <c r="AJ121" i="1"/>
  <c r="AJ122" i="1"/>
  <c r="AJ123" i="1"/>
  <c r="AJ124" i="1"/>
  <c r="AJ125" i="1"/>
  <c r="AJ126" i="1"/>
  <c r="AJ127" i="1"/>
  <c r="AJ128" i="1"/>
  <c r="AJ129" i="1"/>
  <c r="AJ130" i="1"/>
  <c r="AJ131" i="1"/>
  <c r="AJ132" i="1"/>
  <c r="AJ133" i="1"/>
  <c r="AJ134" i="1"/>
  <c r="AJ135" i="1"/>
  <c r="AJ136" i="1"/>
  <c r="AJ137" i="1"/>
  <c r="AJ138" i="1"/>
  <c r="AJ139" i="1"/>
  <c r="AJ140" i="1"/>
  <c r="AJ141" i="1"/>
  <c r="AJ142" i="1"/>
  <c r="AJ143" i="1"/>
  <c r="AJ144" i="1"/>
  <c r="AJ145" i="1"/>
  <c r="AJ146" i="1"/>
  <c r="AJ147" i="1"/>
  <c r="AJ148" i="1"/>
  <c r="AJ149" i="1"/>
  <c r="AJ150" i="1"/>
  <c r="AJ151" i="1"/>
  <c r="AJ152" i="1"/>
  <c r="AJ153" i="1"/>
  <c r="AJ154" i="1"/>
  <c r="AJ155" i="1"/>
  <c r="AJ156" i="1"/>
  <c r="AJ157" i="1"/>
  <c r="AJ158" i="1"/>
  <c r="AJ159" i="1"/>
  <c r="AJ160" i="1"/>
  <c r="AJ161" i="1"/>
  <c r="AJ162" i="1"/>
  <c r="AJ163" i="1"/>
  <c r="AJ164" i="1"/>
  <c r="AJ165" i="1"/>
  <c r="AJ166" i="1"/>
  <c r="AJ167" i="1"/>
  <c r="AJ168" i="1"/>
  <c r="AJ169" i="1"/>
  <c r="AJ170" i="1"/>
  <c r="AJ171" i="1"/>
  <c r="AJ172" i="1"/>
  <c r="AJ173" i="1"/>
  <c r="AJ174" i="1"/>
  <c r="AJ175" i="1"/>
  <c r="AJ176" i="1"/>
  <c r="AJ177" i="1"/>
  <c r="AJ178" i="1"/>
  <c r="AJ179" i="1"/>
  <c r="AJ180" i="1"/>
  <c r="AJ181" i="1"/>
  <c r="AJ182" i="1"/>
  <c r="AJ183" i="1"/>
  <c r="AJ184" i="1"/>
  <c r="AJ185" i="1"/>
  <c r="AJ186" i="1"/>
  <c r="AJ187" i="1"/>
  <c r="AJ188" i="1"/>
  <c r="AJ189" i="1"/>
  <c r="AJ190" i="1"/>
  <c r="AJ191" i="1"/>
  <c r="AJ192" i="1"/>
  <c r="AJ193" i="1"/>
  <c r="AJ194" i="1"/>
  <c r="AJ195" i="1"/>
  <c r="AJ196" i="1"/>
  <c r="AJ197" i="1"/>
  <c r="AJ198" i="1"/>
  <c r="AJ199" i="1"/>
  <c r="AJ200" i="1"/>
  <c r="AJ201" i="1"/>
  <c r="AJ202" i="1"/>
  <c r="AJ203" i="1"/>
  <c r="AJ204" i="1"/>
  <c r="AJ205" i="1"/>
  <c r="AJ206" i="1"/>
  <c r="AJ207" i="1"/>
  <c r="AJ208" i="1"/>
  <c r="AJ209" i="1"/>
  <c r="AJ210" i="1"/>
  <c r="AJ211" i="1"/>
  <c r="AJ212" i="1"/>
  <c r="AJ213" i="1"/>
  <c r="AJ214" i="1"/>
  <c r="AJ215" i="1"/>
  <c r="AJ216" i="1"/>
  <c r="AJ217" i="1"/>
  <c r="AJ218" i="1"/>
  <c r="AJ219" i="1"/>
  <c r="AJ220" i="1"/>
  <c r="AJ221" i="1"/>
  <c r="AJ222" i="1"/>
  <c r="AJ223" i="1"/>
  <c r="AJ224" i="1"/>
  <c r="AJ225" i="1"/>
  <c r="AJ226" i="1"/>
  <c r="AJ227" i="1"/>
  <c r="AJ228" i="1"/>
  <c r="AJ229" i="1"/>
  <c r="AJ230" i="1"/>
  <c r="AJ231" i="1"/>
  <c r="AJ232" i="1"/>
  <c r="AJ233" i="1"/>
  <c r="AJ234" i="1"/>
  <c r="AJ235" i="1"/>
  <c r="AJ236" i="1"/>
  <c r="AJ237" i="1"/>
  <c r="AJ238" i="1"/>
  <c r="AJ239" i="1"/>
  <c r="AJ240" i="1"/>
  <c r="AJ241" i="1"/>
  <c r="AJ242" i="1"/>
  <c r="AJ243" i="1"/>
  <c r="AJ244" i="1"/>
  <c r="AJ245" i="1"/>
  <c r="AJ246" i="1"/>
  <c r="AJ247" i="1"/>
  <c r="AJ248" i="1"/>
  <c r="AJ249" i="1"/>
  <c r="AJ250" i="1"/>
  <c r="AJ251" i="1"/>
  <c r="AJ252" i="1"/>
  <c r="AJ253" i="1"/>
  <c r="AJ254" i="1"/>
  <c r="AJ255" i="1"/>
  <c r="AK4" i="1"/>
  <c r="AK5" i="1"/>
  <c r="AK6" i="1"/>
  <c r="AK7" i="1"/>
  <c r="AK8" i="1"/>
  <c r="AK9" i="1"/>
  <c r="AK10" i="1"/>
  <c r="AK11" i="1"/>
  <c r="AK12" i="1"/>
  <c r="AK13" i="1"/>
  <c r="AK14" i="1"/>
  <c r="AK15" i="1"/>
  <c r="AK16" i="1"/>
  <c r="AK17" i="1"/>
  <c r="AK18" i="1"/>
  <c r="AK19" i="1"/>
  <c r="AK20" i="1"/>
  <c r="AK21" i="1"/>
  <c r="AK22" i="1"/>
  <c r="AK23" i="1"/>
  <c r="AK24" i="1"/>
  <c r="AK25" i="1"/>
  <c r="AK26" i="1"/>
  <c r="AK27" i="1"/>
  <c r="AK28" i="1"/>
  <c r="AK29" i="1"/>
  <c r="AK30" i="1"/>
  <c r="AK31" i="1"/>
  <c r="AK32" i="1"/>
  <c r="AK33" i="1"/>
  <c r="AK34" i="1"/>
  <c r="AK35" i="1"/>
  <c r="AK36" i="1"/>
  <c r="AK37" i="1"/>
  <c r="AK38" i="1"/>
  <c r="AK39" i="1"/>
  <c r="AK40" i="1"/>
  <c r="AK41" i="1"/>
  <c r="AK42" i="1"/>
  <c r="AK43" i="1"/>
  <c r="AK44" i="1"/>
  <c r="AK45" i="1"/>
  <c r="AK46" i="1"/>
  <c r="AK47" i="1"/>
  <c r="AK48" i="1"/>
  <c r="AK49" i="1"/>
  <c r="AK50" i="1"/>
  <c r="AK51" i="1"/>
  <c r="AK52" i="1"/>
  <c r="AK53" i="1"/>
  <c r="AK54" i="1"/>
  <c r="AK55" i="1"/>
  <c r="AK56" i="1"/>
  <c r="AK57" i="1"/>
  <c r="AK58" i="1"/>
  <c r="AK59" i="1"/>
  <c r="AK60" i="1"/>
  <c r="AK61" i="1"/>
  <c r="AK62" i="1"/>
  <c r="AK63" i="1"/>
  <c r="AK64" i="1"/>
  <c r="AK65" i="1"/>
  <c r="AK66" i="1"/>
  <c r="AK67" i="1"/>
  <c r="AK68" i="1"/>
  <c r="AK69" i="1"/>
  <c r="AK70" i="1"/>
  <c r="AK71" i="1"/>
  <c r="AK72" i="1"/>
  <c r="AK73" i="1"/>
  <c r="AK74" i="1"/>
  <c r="AK75" i="1"/>
  <c r="AK76" i="1"/>
  <c r="AK77" i="1"/>
  <c r="AK78" i="1"/>
  <c r="AK79" i="1"/>
  <c r="AK80" i="1"/>
  <c r="AK81" i="1"/>
  <c r="AK82" i="1"/>
  <c r="AK83" i="1"/>
  <c r="AK84" i="1"/>
  <c r="AK85" i="1"/>
  <c r="AK86" i="1"/>
  <c r="AK87" i="1"/>
  <c r="AK88" i="1"/>
  <c r="AK89" i="1"/>
  <c r="AK90" i="1"/>
  <c r="AK91" i="1"/>
  <c r="AK92" i="1"/>
  <c r="AK93" i="1"/>
  <c r="AK94" i="1"/>
  <c r="AK95" i="1"/>
  <c r="AK96" i="1"/>
  <c r="AK97" i="1"/>
  <c r="AK98" i="1"/>
  <c r="AK99" i="1"/>
  <c r="AK100" i="1"/>
  <c r="AK101" i="1"/>
  <c r="AK102" i="1"/>
  <c r="AK103" i="1"/>
  <c r="AK104" i="1"/>
  <c r="AK105" i="1"/>
  <c r="AK106" i="1"/>
  <c r="AK107" i="1"/>
  <c r="AK108" i="1"/>
  <c r="AK109" i="1"/>
  <c r="AK110" i="1"/>
  <c r="AK111" i="1"/>
  <c r="AK112" i="1"/>
  <c r="AK113" i="1"/>
  <c r="AK114" i="1"/>
  <c r="AK115" i="1"/>
  <c r="AK116" i="1"/>
  <c r="AK117" i="1"/>
  <c r="AK118" i="1"/>
  <c r="AK119" i="1"/>
  <c r="AK120" i="1"/>
  <c r="AK121" i="1"/>
  <c r="AK122" i="1"/>
  <c r="AK123" i="1"/>
  <c r="AK124" i="1"/>
  <c r="AK125" i="1"/>
  <c r="AK126" i="1"/>
  <c r="AK127" i="1"/>
  <c r="AK128" i="1"/>
  <c r="AK129" i="1"/>
  <c r="AK130" i="1"/>
  <c r="AK131" i="1"/>
  <c r="AK132" i="1"/>
  <c r="AK133" i="1"/>
  <c r="AK134" i="1"/>
  <c r="AK135" i="1"/>
  <c r="AK136" i="1"/>
  <c r="AK137" i="1"/>
  <c r="AK138" i="1"/>
  <c r="AK139" i="1"/>
  <c r="AK140" i="1"/>
  <c r="AK141" i="1"/>
  <c r="AK142" i="1"/>
  <c r="AK143" i="1"/>
  <c r="AK144" i="1"/>
  <c r="AK145" i="1"/>
  <c r="AK146" i="1"/>
  <c r="AK147" i="1"/>
  <c r="AK148" i="1"/>
  <c r="AK149" i="1"/>
  <c r="AK150" i="1"/>
  <c r="AK151" i="1"/>
  <c r="AK152" i="1"/>
  <c r="AK153" i="1"/>
  <c r="AK154" i="1"/>
  <c r="AK155" i="1"/>
  <c r="AK156" i="1"/>
  <c r="AK157" i="1"/>
  <c r="AK158" i="1"/>
  <c r="AK159" i="1"/>
  <c r="AK160" i="1"/>
  <c r="AK161" i="1"/>
  <c r="AK162" i="1"/>
  <c r="AK163" i="1"/>
  <c r="AK164" i="1"/>
  <c r="AK165" i="1"/>
  <c r="AK166" i="1"/>
  <c r="AK167" i="1"/>
  <c r="AK168" i="1"/>
  <c r="AK169" i="1"/>
  <c r="AK170" i="1"/>
  <c r="AK171" i="1"/>
  <c r="AK172" i="1"/>
  <c r="AK173" i="1"/>
  <c r="AK174" i="1"/>
  <c r="AK175" i="1"/>
  <c r="AK176" i="1"/>
  <c r="AK177" i="1"/>
  <c r="AK178" i="1"/>
  <c r="AK179" i="1"/>
  <c r="AK180" i="1"/>
  <c r="AK181" i="1"/>
  <c r="AK182" i="1"/>
  <c r="AK183" i="1"/>
  <c r="AK184" i="1"/>
  <c r="AK185" i="1"/>
  <c r="AK186" i="1"/>
  <c r="AK187" i="1"/>
  <c r="AK188" i="1"/>
  <c r="AK189" i="1"/>
  <c r="AK190" i="1"/>
  <c r="AK191" i="1"/>
  <c r="AK192" i="1"/>
  <c r="AK193" i="1"/>
  <c r="AK194" i="1"/>
  <c r="AK195" i="1"/>
  <c r="AK196" i="1"/>
  <c r="AK197" i="1"/>
  <c r="AK198" i="1"/>
  <c r="AK199" i="1"/>
  <c r="AK200" i="1"/>
  <c r="AK201" i="1"/>
  <c r="AK202" i="1"/>
  <c r="AK203" i="1"/>
  <c r="AK204" i="1"/>
  <c r="AK205" i="1"/>
  <c r="AK206" i="1"/>
  <c r="AK207" i="1"/>
  <c r="AK208" i="1"/>
  <c r="AK209" i="1"/>
  <c r="AK210" i="1"/>
  <c r="AK211" i="1"/>
  <c r="AK212" i="1"/>
  <c r="AK213" i="1"/>
  <c r="AK214" i="1"/>
  <c r="AK215" i="1"/>
  <c r="AK216" i="1"/>
  <c r="AK217" i="1"/>
  <c r="AK218" i="1"/>
  <c r="AK219" i="1"/>
  <c r="AK220" i="1"/>
  <c r="AK221" i="1"/>
  <c r="AK222" i="1"/>
  <c r="AK223" i="1"/>
  <c r="AK224" i="1"/>
  <c r="AK225" i="1"/>
  <c r="AK226" i="1"/>
  <c r="AK227" i="1"/>
  <c r="AK228" i="1"/>
  <c r="AK229" i="1"/>
  <c r="AK230" i="1"/>
  <c r="AK231" i="1"/>
  <c r="AK232" i="1"/>
  <c r="AK233" i="1"/>
  <c r="AK234" i="1"/>
  <c r="AK235" i="1"/>
  <c r="AK236" i="1"/>
  <c r="AK237" i="1"/>
  <c r="AK238" i="1"/>
  <c r="AK239" i="1"/>
  <c r="AK240" i="1"/>
  <c r="AK241" i="1"/>
  <c r="AK242" i="1"/>
  <c r="AK243" i="1"/>
  <c r="AK244" i="1"/>
  <c r="AK245" i="1"/>
  <c r="AK246" i="1"/>
  <c r="AK247" i="1"/>
  <c r="AK248" i="1"/>
  <c r="AK249" i="1"/>
  <c r="AK250" i="1"/>
  <c r="AK251" i="1"/>
  <c r="AK252" i="1"/>
  <c r="AK253" i="1"/>
  <c r="AK254" i="1"/>
  <c r="AK255" i="1"/>
  <c r="AL4" i="1"/>
  <c r="AL5" i="1"/>
  <c r="AL6" i="1"/>
  <c r="AL7" i="1"/>
  <c r="AL8" i="1"/>
  <c r="AL9" i="1"/>
  <c r="AL10" i="1"/>
  <c r="AL11" i="1"/>
  <c r="AL12" i="1"/>
  <c r="AL13" i="1"/>
  <c r="AL14" i="1"/>
  <c r="AL15" i="1"/>
  <c r="AL16" i="1"/>
  <c r="AL17" i="1"/>
  <c r="AL18" i="1"/>
  <c r="AL19" i="1"/>
  <c r="AL20" i="1"/>
  <c r="AL21" i="1"/>
  <c r="AL22" i="1"/>
  <c r="AL23" i="1"/>
  <c r="AL24" i="1"/>
  <c r="AL25" i="1"/>
  <c r="AL26" i="1"/>
  <c r="AL27" i="1"/>
  <c r="AL28" i="1"/>
  <c r="AL29" i="1"/>
  <c r="AL30" i="1"/>
  <c r="AL31" i="1"/>
  <c r="AL32" i="1"/>
  <c r="AL33" i="1"/>
  <c r="AL34" i="1"/>
  <c r="AL35" i="1"/>
  <c r="AL36" i="1"/>
  <c r="AL37" i="1"/>
  <c r="AL38" i="1"/>
  <c r="AL39" i="1"/>
  <c r="AL40" i="1"/>
  <c r="AL41" i="1"/>
  <c r="AL42" i="1"/>
  <c r="AL43" i="1"/>
  <c r="AL44" i="1"/>
  <c r="AL45" i="1"/>
  <c r="AL46" i="1"/>
  <c r="AL47" i="1"/>
  <c r="AL48" i="1"/>
  <c r="AL49" i="1"/>
  <c r="AL50" i="1"/>
  <c r="AL51" i="1"/>
  <c r="AL52" i="1"/>
  <c r="AL53" i="1"/>
  <c r="AL54" i="1"/>
  <c r="AL55" i="1"/>
  <c r="AL56" i="1"/>
  <c r="AL57" i="1"/>
  <c r="AL58" i="1"/>
  <c r="AL59" i="1"/>
  <c r="AL60" i="1"/>
  <c r="AL61" i="1"/>
  <c r="AL62" i="1"/>
  <c r="AL63" i="1"/>
  <c r="AL64" i="1"/>
  <c r="AL65" i="1"/>
  <c r="AL66" i="1"/>
  <c r="AL67" i="1"/>
  <c r="AL68" i="1"/>
  <c r="AL69" i="1"/>
  <c r="AL70" i="1"/>
  <c r="AL71" i="1"/>
  <c r="AL72" i="1"/>
  <c r="AL73" i="1"/>
  <c r="AL74" i="1"/>
  <c r="AL75" i="1"/>
  <c r="AL76" i="1"/>
  <c r="AL77" i="1"/>
  <c r="AL78" i="1"/>
  <c r="AL79" i="1"/>
  <c r="AL80" i="1"/>
  <c r="AL81" i="1"/>
  <c r="AL82" i="1"/>
  <c r="AL83" i="1"/>
  <c r="AL84" i="1"/>
  <c r="AL85" i="1"/>
  <c r="AL86" i="1"/>
  <c r="AL87" i="1"/>
  <c r="AL88" i="1"/>
  <c r="AL89" i="1"/>
  <c r="AL90" i="1"/>
  <c r="AL91" i="1"/>
  <c r="AL92" i="1"/>
  <c r="AL93" i="1"/>
  <c r="AL94" i="1"/>
  <c r="AL95" i="1"/>
  <c r="AL96" i="1"/>
  <c r="AL97" i="1"/>
  <c r="AL98" i="1"/>
  <c r="AL99" i="1"/>
  <c r="AL100" i="1"/>
  <c r="AL101" i="1"/>
  <c r="AL102" i="1"/>
  <c r="AL103" i="1"/>
  <c r="AL104" i="1"/>
  <c r="AL105" i="1"/>
  <c r="AL106" i="1"/>
  <c r="AL107" i="1"/>
  <c r="AL108" i="1"/>
  <c r="AL109" i="1"/>
  <c r="AL110" i="1"/>
  <c r="AL111" i="1"/>
  <c r="AL112" i="1"/>
  <c r="AL113" i="1"/>
  <c r="AL114" i="1"/>
  <c r="AL115" i="1"/>
  <c r="AL116" i="1"/>
  <c r="AL117" i="1"/>
  <c r="AL118" i="1"/>
  <c r="AL119" i="1"/>
  <c r="AL120" i="1"/>
  <c r="AL121" i="1"/>
  <c r="AL122" i="1"/>
  <c r="AL123" i="1"/>
  <c r="AL124" i="1"/>
  <c r="AL125" i="1"/>
  <c r="AL126" i="1"/>
  <c r="AL127" i="1"/>
  <c r="AL128" i="1"/>
  <c r="AL129" i="1"/>
  <c r="AL130" i="1"/>
  <c r="AL131" i="1"/>
  <c r="AL132" i="1"/>
  <c r="AL133" i="1"/>
  <c r="AL134" i="1"/>
  <c r="AL135" i="1"/>
  <c r="AL136" i="1"/>
  <c r="AL137" i="1"/>
  <c r="AL138" i="1"/>
  <c r="AL139" i="1"/>
  <c r="AL140" i="1"/>
  <c r="AL141" i="1"/>
  <c r="AL142" i="1"/>
  <c r="AL143" i="1"/>
  <c r="AL144" i="1"/>
  <c r="AL145" i="1"/>
  <c r="AL146" i="1"/>
  <c r="AL147" i="1"/>
  <c r="AL148" i="1"/>
  <c r="AL149" i="1"/>
  <c r="AL150" i="1"/>
  <c r="AL151" i="1"/>
  <c r="AL152" i="1"/>
  <c r="AL153" i="1"/>
  <c r="AL154" i="1"/>
  <c r="AL155" i="1"/>
  <c r="AL156" i="1"/>
  <c r="AL157" i="1"/>
  <c r="AL158" i="1"/>
  <c r="AL159" i="1"/>
  <c r="AL160" i="1"/>
  <c r="AL161" i="1"/>
  <c r="AL162" i="1"/>
  <c r="AL163" i="1"/>
  <c r="AL164" i="1"/>
  <c r="AL165" i="1"/>
  <c r="AL166" i="1"/>
  <c r="AL167" i="1"/>
  <c r="AL168" i="1"/>
  <c r="AL169" i="1"/>
  <c r="AL170" i="1"/>
  <c r="AL171" i="1"/>
  <c r="AL172" i="1"/>
  <c r="AL173" i="1"/>
  <c r="AL174" i="1"/>
  <c r="AL175" i="1"/>
  <c r="AL176" i="1"/>
  <c r="AL177" i="1"/>
  <c r="AL178" i="1"/>
  <c r="AL179" i="1"/>
  <c r="AL180" i="1"/>
  <c r="AL181" i="1"/>
  <c r="AL182" i="1"/>
  <c r="AL183" i="1"/>
  <c r="AL184" i="1"/>
  <c r="AL185" i="1"/>
  <c r="AL186" i="1"/>
  <c r="AL187" i="1"/>
  <c r="AL188" i="1"/>
  <c r="AL189" i="1"/>
  <c r="AL190" i="1"/>
  <c r="AL191" i="1"/>
  <c r="AL192" i="1"/>
  <c r="AL193" i="1"/>
  <c r="AL194" i="1"/>
  <c r="AL195" i="1"/>
  <c r="AL196" i="1"/>
  <c r="AL197" i="1"/>
  <c r="AL198" i="1"/>
  <c r="AL199" i="1"/>
  <c r="AL200" i="1"/>
  <c r="AL201" i="1"/>
  <c r="AL202" i="1"/>
  <c r="AL203" i="1"/>
  <c r="AL204" i="1"/>
  <c r="AL205" i="1"/>
  <c r="AL206" i="1"/>
  <c r="AL207" i="1"/>
  <c r="AL208" i="1"/>
  <c r="AL209" i="1"/>
  <c r="AL210" i="1"/>
  <c r="AL211" i="1"/>
  <c r="AL212" i="1"/>
  <c r="AL213" i="1"/>
  <c r="AL214" i="1"/>
  <c r="AL215" i="1"/>
  <c r="AL216" i="1"/>
  <c r="AL217" i="1"/>
  <c r="AL218" i="1"/>
  <c r="AL219" i="1"/>
  <c r="AL220" i="1"/>
  <c r="AL221" i="1"/>
  <c r="AL222" i="1"/>
  <c r="AL223" i="1"/>
  <c r="AL224" i="1"/>
  <c r="AL225" i="1"/>
  <c r="AL226" i="1"/>
  <c r="AL227" i="1"/>
  <c r="AL228" i="1"/>
  <c r="AL229" i="1"/>
  <c r="AL230" i="1"/>
  <c r="AL231" i="1"/>
  <c r="AL232" i="1"/>
  <c r="AL233" i="1"/>
  <c r="AL234" i="1"/>
  <c r="AL235" i="1"/>
  <c r="AL236" i="1"/>
  <c r="AL237" i="1"/>
  <c r="AL238" i="1"/>
  <c r="AL239" i="1"/>
  <c r="AL240" i="1"/>
  <c r="AL241" i="1"/>
  <c r="AL242" i="1"/>
  <c r="AL243" i="1"/>
  <c r="AL244" i="1"/>
  <c r="AL245" i="1"/>
  <c r="AL246" i="1"/>
  <c r="AL247" i="1"/>
  <c r="AL248" i="1"/>
  <c r="AL249" i="1"/>
  <c r="AL250" i="1"/>
  <c r="AL251" i="1"/>
  <c r="AL252" i="1"/>
  <c r="AL253" i="1"/>
  <c r="AL254" i="1"/>
  <c r="AL255" i="1"/>
  <c r="AM4" i="1"/>
  <c r="AQ4" i="4" s="1"/>
  <c r="AT4" i="4" s="1"/>
  <c r="AM5" i="1"/>
  <c r="AQ5" i="4" s="1"/>
  <c r="AT5" i="4" s="1"/>
  <c r="AM6" i="1"/>
  <c r="AQ6" i="4" s="1"/>
  <c r="AT6" i="4" s="1"/>
  <c r="AM7" i="1"/>
  <c r="AM8" i="1"/>
  <c r="AQ8" i="4" s="1"/>
  <c r="AT8" i="4" s="1"/>
  <c r="AM9" i="1"/>
  <c r="AQ9" i="4" s="1"/>
  <c r="AT9" i="4" s="1"/>
  <c r="AM10" i="1"/>
  <c r="AQ10" i="4" s="1"/>
  <c r="AT10" i="4" s="1"/>
  <c r="AM11" i="1"/>
  <c r="AQ11" i="4" s="1"/>
  <c r="AT11" i="4" s="1"/>
  <c r="AM12" i="1"/>
  <c r="AQ12" i="4" s="1"/>
  <c r="AT12" i="4" s="1"/>
  <c r="AM13" i="1"/>
  <c r="AM14" i="1"/>
  <c r="AQ14" i="4" s="1"/>
  <c r="AT14" i="4" s="1"/>
  <c r="AM15" i="1"/>
  <c r="AQ15" i="4" s="1"/>
  <c r="AT15" i="4" s="1"/>
  <c r="AM16" i="1"/>
  <c r="AQ16" i="4" s="1"/>
  <c r="AT16" i="4" s="1"/>
  <c r="AM17" i="1"/>
  <c r="AQ17" i="4" s="1"/>
  <c r="AT17" i="4" s="1"/>
  <c r="AM18" i="1"/>
  <c r="AQ18" i="4" s="1"/>
  <c r="AT18" i="4" s="1"/>
  <c r="AM19" i="1"/>
  <c r="AM20" i="1"/>
  <c r="AQ20" i="4" s="1"/>
  <c r="AT20" i="4" s="1"/>
  <c r="AM21" i="1"/>
  <c r="AQ21" i="4" s="1"/>
  <c r="AT21" i="4" s="1"/>
  <c r="AM22" i="1"/>
  <c r="AQ22" i="4" s="1"/>
  <c r="AT22" i="4" s="1"/>
  <c r="AM23" i="1"/>
  <c r="AQ23" i="4" s="1"/>
  <c r="AT23" i="4" s="1"/>
  <c r="AM24" i="1"/>
  <c r="AQ24" i="4" s="1"/>
  <c r="AT24" i="4" s="1"/>
  <c r="AM25" i="1"/>
  <c r="AM26" i="1"/>
  <c r="AQ26" i="4" s="1"/>
  <c r="AT26" i="4" s="1"/>
  <c r="AM27" i="1"/>
  <c r="AQ27" i="4" s="1"/>
  <c r="AM28" i="1"/>
  <c r="AQ28" i="4" s="1"/>
  <c r="AT28" i="4" s="1"/>
  <c r="AM29" i="1"/>
  <c r="AQ29" i="4" s="1"/>
  <c r="AT29" i="4" s="1"/>
  <c r="AM30" i="1"/>
  <c r="AQ30" i="4" s="1"/>
  <c r="AT30" i="4" s="1"/>
  <c r="AM31" i="1"/>
  <c r="AM32" i="1"/>
  <c r="AQ32" i="4" s="1"/>
  <c r="AT32" i="4" s="1"/>
  <c r="AM33" i="1"/>
  <c r="AQ33" i="4" s="1"/>
  <c r="AT33" i="4" s="1"/>
  <c r="AM34" i="1"/>
  <c r="AQ34" i="4" s="1"/>
  <c r="AM35" i="1"/>
  <c r="AQ35" i="4" s="1"/>
  <c r="AT35" i="4" s="1"/>
  <c r="AM36" i="1"/>
  <c r="AQ36" i="4" s="1"/>
  <c r="AT36" i="4" s="1"/>
  <c r="AM37" i="1"/>
  <c r="AM38" i="1"/>
  <c r="AQ38" i="4" s="1"/>
  <c r="AT38" i="4" s="1"/>
  <c r="AM39" i="1"/>
  <c r="AQ39" i="4" s="1"/>
  <c r="AT39" i="4" s="1"/>
  <c r="AM40" i="1"/>
  <c r="AQ40" i="4" s="1"/>
  <c r="AT40" i="4" s="1"/>
  <c r="AM41" i="1"/>
  <c r="AQ41" i="4" s="1"/>
  <c r="AT41" i="4" s="1"/>
  <c r="AM42" i="1"/>
  <c r="AQ42" i="4" s="1"/>
  <c r="AT42" i="4" s="1"/>
  <c r="AM43" i="1"/>
  <c r="AM44" i="1"/>
  <c r="AQ44" i="4" s="1"/>
  <c r="AT44" i="4" s="1"/>
  <c r="AM45" i="1"/>
  <c r="AQ45" i="4" s="1"/>
  <c r="AT45" i="4" s="1"/>
  <c r="AM46" i="1"/>
  <c r="AQ46" i="4" s="1"/>
  <c r="AT46" i="4" s="1"/>
  <c r="AM47" i="1"/>
  <c r="AQ47" i="4" s="1"/>
  <c r="AT47" i="4" s="1"/>
  <c r="AM48" i="1"/>
  <c r="AQ48" i="4" s="1"/>
  <c r="AT48" i="4" s="1"/>
  <c r="AM49" i="1"/>
  <c r="AM50" i="1"/>
  <c r="AQ50" i="4" s="1"/>
  <c r="AT50" i="4" s="1"/>
  <c r="AM51" i="1"/>
  <c r="AQ51" i="4" s="1"/>
  <c r="AT51" i="4" s="1"/>
  <c r="AM52" i="1"/>
  <c r="AQ52" i="4" s="1"/>
  <c r="AT52" i="4" s="1"/>
  <c r="AM53" i="1"/>
  <c r="AQ53" i="4" s="1"/>
  <c r="AT53" i="4" s="1"/>
  <c r="AM54" i="1"/>
  <c r="AQ54" i="4" s="1"/>
  <c r="AT54" i="4" s="1"/>
  <c r="AM55" i="1"/>
  <c r="AM56" i="1"/>
  <c r="AQ56" i="4" s="1"/>
  <c r="AT56" i="4" s="1"/>
  <c r="AM57" i="1"/>
  <c r="AQ57" i="4" s="1"/>
  <c r="AT57" i="4" s="1"/>
  <c r="AM58" i="1"/>
  <c r="AQ58" i="4" s="1"/>
  <c r="AT58" i="4" s="1"/>
  <c r="AM59" i="1"/>
  <c r="AQ59" i="4" s="1"/>
  <c r="AT59" i="4" s="1"/>
  <c r="AM60" i="1"/>
  <c r="AQ60" i="4" s="1"/>
  <c r="AT60" i="4" s="1"/>
  <c r="AM61" i="1"/>
  <c r="AM62" i="1"/>
  <c r="AQ62" i="4" s="1"/>
  <c r="AT62" i="4" s="1"/>
  <c r="AM63" i="1"/>
  <c r="AQ63" i="4" s="1"/>
  <c r="AM64" i="1"/>
  <c r="AQ64" i="4" s="1"/>
  <c r="AT64" i="4" s="1"/>
  <c r="AM65" i="1"/>
  <c r="AQ65" i="4" s="1"/>
  <c r="AT65" i="4" s="1"/>
  <c r="AM66" i="1"/>
  <c r="AQ66" i="4" s="1"/>
  <c r="AT66" i="4" s="1"/>
  <c r="AM67" i="1"/>
  <c r="AM68" i="1"/>
  <c r="AQ68" i="4" s="1"/>
  <c r="AT68" i="4" s="1"/>
  <c r="AM69" i="1"/>
  <c r="AQ69" i="4" s="1"/>
  <c r="AT69" i="4" s="1"/>
  <c r="AM70" i="1"/>
  <c r="AQ70" i="4" s="1"/>
  <c r="AM71" i="1"/>
  <c r="AQ71" i="4" s="1"/>
  <c r="AT71" i="4" s="1"/>
  <c r="AM72" i="1"/>
  <c r="AQ72" i="4" s="1"/>
  <c r="AT72" i="4" s="1"/>
  <c r="AM73" i="1"/>
  <c r="AM74" i="1"/>
  <c r="AQ74" i="4" s="1"/>
  <c r="AT74" i="4" s="1"/>
  <c r="AM75" i="1"/>
  <c r="AQ75" i="4" s="1"/>
  <c r="AT75" i="4" s="1"/>
  <c r="AM76" i="1"/>
  <c r="AQ76" i="4" s="1"/>
  <c r="AT76" i="4" s="1"/>
  <c r="AM77" i="1"/>
  <c r="AQ77" i="4" s="1"/>
  <c r="AT77" i="4" s="1"/>
  <c r="AM78" i="1"/>
  <c r="AQ78" i="4" s="1"/>
  <c r="AT78" i="4" s="1"/>
  <c r="AM79" i="1"/>
  <c r="AM80" i="1"/>
  <c r="AQ80" i="4" s="1"/>
  <c r="AT80" i="4" s="1"/>
  <c r="AM81" i="1"/>
  <c r="AQ81" i="4" s="1"/>
  <c r="AT81" i="4" s="1"/>
  <c r="AM82" i="1"/>
  <c r="AQ82" i="4" s="1"/>
  <c r="AT82" i="4" s="1"/>
  <c r="AM83" i="1"/>
  <c r="AQ83" i="4" s="1"/>
  <c r="AT83" i="4" s="1"/>
  <c r="AM84" i="1"/>
  <c r="AQ84" i="4" s="1"/>
  <c r="AT84" i="4" s="1"/>
  <c r="AM85" i="1"/>
  <c r="AM86" i="1"/>
  <c r="AQ86" i="4" s="1"/>
  <c r="AT86" i="4" s="1"/>
  <c r="AM87" i="1"/>
  <c r="AQ87" i="4" s="1"/>
  <c r="AT87" i="4" s="1"/>
  <c r="AM88" i="1"/>
  <c r="AQ88" i="4" s="1"/>
  <c r="AT88" i="4" s="1"/>
  <c r="AM89" i="1"/>
  <c r="AQ89" i="4" s="1"/>
  <c r="AT89" i="4" s="1"/>
  <c r="AM90" i="1"/>
  <c r="AQ90" i="4" s="1"/>
  <c r="AT90" i="4" s="1"/>
  <c r="AM91" i="1"/>
  <c r="AM92" i="1"/>
  <c r="AQ92" i="4" s="1"/>
  <c r="AT92" i="4" s="1"/>
  <c r="AM93" i="1"/>
  <c r="AQ93" i="4" s="1"/>
  <c r="AT93" i="4" s="1"/>
  <c r="AM94" i="1"/>
  <c r="AQ94" i="4" s="1"/>
  <c r="AT94" i="4" s="1"/>
  <c r="AM95" i="1"/>
  <c r="AQ95" i="4" s="1"/>
  <c r="AT95" i="4" s="1"/>
  <c r="AM96" i="1"/>
  <c r="AQ96" i="4" s="1"/>
  <c r="AT96" i="4" s="1"/>
  <c r="AM97" i="1"/>
  <c r="AM98" i="1"/>
  <c r="AQ98" i="4" s="1"/>
  <c r="AT98" i="4" s="1"/>
  <c r="AM99" i="1"/>
  <c r="AQ99" i="4" s="1"/>
  <c r="AM100" i="1"/>
  <c r="AQ100" i="4" s="1"/>
  <c r="AT100" i="4" s="1"/>
  <c r="AM101" i="1"/>
  <c r="AQ101" i="4" s="1"/>
  <c r="AT101" i="4" s="1"/>
  <c r="AM102" i="1"/>
  <c r="AQ102" i="4" s="1"/>
  <c r="AT102" i="4" s="1"/>
  <c r="AM103" i="1"/>
  <c r="AM104" i="1"/>
  <c r="AQ104" i="4" s="1"/>
  <c r="AT104" i="4" s="1"/>
  <c r="AM105" i="1"/>
  <c r="AQ105" i="4" s="1"/>
  <c r="AT105" i="4" s="1"/>
  <c r="AM106" i="1"/>
  <c r="AQ106" i="4" s="1"/>
  <c r="AM107" i="1"/>
  <c r="AQ107" i="4" s="1"/>
  <c r="AT107" i="4" s="1"/>
  <c r="AM108" i="1"/>
  <c r="AQ108" i="4" s="1"/>
  <c r="AT108" i="4" s="1"/>
  <c r="AM109" i="1"/>
  <c r="AM110" i="1"/>
  <c r="AQ110" i="4" s="1"/>
  <c r="AT110" i="4" s="1"/>
  <c r="AM111" i="1"/>
  <c r="AQ111" i="4" s="1"/>
  <c r="AT111" i="4" s="1"/>
  <c r="AM112" i="1"/>
  <c r="AQ112" i="4" s="1"/>
  <c r="AT112" i="4" s="1"/>
  <c r="AM113" i="1"/>
  <c r="AQ113" i="4" s="1"/>
  <c r="AT113" i="4" s="1"/>
  <c r="AM114" i="1"/>
  <c r="AQ114" i="4" s="1"/>
  <c r="AT114" i="4" s="1"/>
  <c r="AM115" i="1"/>
  <c r="AM116" i="1"/>
  <c r="AQ116" i="4" s="1"/>
  <c r="AT116" i="4" s="1"/>
  <c r="AM117" i="1"/>
  <c r="AQ117" i="4" s="1"/>
  <c r="AT117" i="4" s="1"/>
  <c r="AM118" i="1"/>
  <c r="AQ118" i="4" s="1"/>
  <c r="AT118" i="4" s="1"/>
  <c r="AM119" i="1"/>
  <c r="AQ119" i="4" s="1"/>
  <c r="AT119" i="4" s="1"/>
  <c r="AM120" i="1"/>
  <c r="AQ120" i="4" s="1"/>
  <c r="AT120" i="4" s="1"/>
  <c r="AM121" i="1"/>
  <c r="AM122" i="1"/>
  <c r="AQ122" i="4" s="1"/>
  <c r="AT122" i="4" s="1"/>
  <c r="AM123" i="1"/>
  <c r="AQ123" i="4" s="1"/>
  <c r="AT123" i="4" s="1"/>
  <c r="AM124" i="1"/>
  <c r="AQ124" i="4" s="1"/>
  <c r="AT124" i="4" s="1"/>
  <c r="AM125" i="1"/>
  <c r="AQ125" i="4" s="1"/>
  <c r="AT125" i="4" s="1"/>
  <c r="AM126" i="1"/>
  <c r="AQ126" i="4" s="1"/>
  <c r="AT126" i="4" s="1"/>
  <c r="AM127" i="1"/>
  <c r="AM128" i="1"/>
  <c r="AQ128" i="4" s="1"/>
  <c r="AT128" i="4" s="1"/>
  <c r="AM129" i="1"/>
  <c r="AQ129" i="4" s="1"/>
  <c r="AT129" i="4" s="1"/>
  <c r="AM130" i="1"/>
  <c r="AQ130" i="4" s="1"/>
  <c r="AT130" i="4" s="1"/>
  <c r="AM131" i="1"/>
  <c r="AQ131" i="4" s="1"/>
  <c r="AT131" i="4" s="1"/>
  <c r="AM132" i="1"/>
  <c r="AQ132" i="4" s="1"/>
  <c r="AT132" i="4" s="1"/>
  <c r="AM133" i="1"/>
  <c r="AM134" i="1"/>
  <c r="AQ134" i="4" s="1"/>
  <c r="AT134" i="4" s="1"/>
  <c r="AM135" i="1"/>
  <c r="AQ135" i="4" s="1"/>
  <c r="AM136" i="1"/>
  <c r="AQ136" i="4" s="1"/>
  <c r="AT136" i="4" s="1"/>
  <c r="AM137" i="1"/>
  <c r="AQ137" i="4" s="1"/>
  <c r="AT137" i="4" s="1"/>
  <c r="AM138" i="1"/>
  <c r="AQ138" i="4" s="1"/>
  <c r="AT138" i="4" s="1"/>
  <c r="AM139" i="1"/>
  <c r="AM140" i="1"/>
  <c r="AQ140" i="4" s="1"/>
  <c r="AT140" i="4" s="1"/>
  <c r="AM141" i="1"/>
  <c r="AQ141" i="4" s="1"/>
  <c r="AT141" i="4" s="1"/>
  <c r="AM142" i="1"/>
  <c r="AQ142" i="4" s="1"/>
  <c r="AM143" i="1"/>
  <c r="AQ143" i="4" s="1"/>
  <c r="AT143" i="4" s="1"/>
  <c r="AM144" i="1"/>
  <c r="AQ144" i="4" s="1"/>
  <c r="AT144" i="4" s="1"/>
  <c r="AM145" i="1"/>
  <c r="AM146" i="1"/>
  <c r="AQ146" i="4" s="1"/>
  <c r="AT146" i="4" s="1"/>
  <c r="AM147" i="1"/>
  <c r="AQ147" i="4" s="1"/>
  <c r="AT147" i="4" s="1"/>
  <c r="AM148" i="1"/>
  <c r="AQ148" i="4" s="1"/>
  <c r="AT148" i="4" s="1"/>
  <c r="AM149" i="1"/>
  <c r="AQ149" i="4" s="1"/>
  <c r="AT149" i="4" s="1"/>
  <c r="AM150" i="1"/>
  <c r="AQ150" i="4" s="1"/>
  <c r="AT150" i="4" s="1"/>
  <c r="AM151" i="1"/>
  <c r="AM152" i="1"/>
  <c r="AQ152" i="4" s="1"/>
  <c r="AT152" i="4" s="1"/>
  <c r="AM153" i="1"/>
  <c r="AQ153" i="4" s="1"/>
  <c r="AT153" i="4" s="1"/>
  <c r="AM154" i="1"/>
  <c r="AQ154" i="4" s="1"/>
  <c r="AT154" i="4" s="1"/>
  <c r="AM155" i="1"/>
  <c r="AQ155" i="4" s="1"/>
  <c r="AT155" i="4" s="1"/>
  <c r="AM156" i="1"/>
  <c r="AQ156" i="4" s="1"/>
  <c r="AT156" i="4" s="1"/>
  <c r="AM157" i="1"/>
  <c r="AM158" i="1"/>
  <c r="AQ158" i="4" s="1"/>
  <c r="AT158" i="4" s="1"/>
  <c r="AM159" i="1"/>
  <c r="AQ159" i="4" s="1"/>
  <c r="AT159" i="4" s="1"/>
  <c r="AM160" i="1"/>
  <c r="AQ160" i="4" s="1"/>
  <c r="AT160" i="4" s="1"/>
  <c r="AM161" i="1"/>
  <c r="AQ161" i="4" s="1"/>
  <c r="AT161" i="4" s="1"/>
  <c r="AM162" i="1"/>
  <c r="AQ162" i="4" s="1"/>
  <c r="AT162" i="4" s="1"/>
  <c r="AM163" i="1"/>
  <c r="AM164" i="1"/>
  <c r="AQ164" i="4" s="1"/>
  <c r="AT164" i="4" s="1"/>
  <c r="AM165" i="1"/>
  <c r="AQ165" i="4" s="1"/>
  <c r="AT165" i="4" s="1"/>
  <c r="AM166" i="1"/>
  <c r="AQ166" i="4" s="1"/>
  <c r="AT166" i="4" s="1"/>
  <c r="AM167" i="1"/>
  <c r="AQ167" i="4" s="1"/>
  <c r="AT167" i="4" s="1"/>
  <c r="AM168" i="1"/>
  <c r="AQ168" i="4" s="1"/>
  <c r="AT168" i="4" s="1"/>
  <c r="AM169" i="1"/>
  <c r="AM170" i="1"/>
  <c r="AQ170" i="4" s="1"/>
  <c r="AT170" i="4" s="1"/>
  <c r="AM171" i="1"/>
  <c r="AQ171" i="4" s="1"/>
  <c r="AM172" i="1"/>
  <c r="AQ172" i="4" s="1"/>
  <c r="AT172" i="4" s="1"/>
  <c r="AM173" i="1"/>
  <c r="AQ173" i="4" s="1"/>
  <c r="AT173" i="4" s="1"/>
  <c r="AM174" i="1"/>
  <c r="AQ174" i="4" s="1"/>
  <c r="AT174" i="4" s="1"/>
  <c r="AM175" i="1"/>
  <c r="AM176" i="1"/>
  <c r="AQ176" i="4" s="1"/>
  <c r="AT176" i="4" s="1"/>
  <c r="AM177" i="1"/>
  <c r="AQ177" i="4" s="1"/>
  <c r="AT177" i="4" s="1"/>
  <c r="AM178" i="1"/>
  <c r="AQ178" i="4" s="1"/>
  <c r="AM179" i="1"/>
  <c r="AQ179" i="4" s="1"/>
  <c r="AT179" i="4" s="1"/>
  <c r="AM180" i="1"/>
  <c r="AQ180" i="4" s="1"/>
  <c r="AT180" i="4" s="1"/>
  <c r="AM181" i="1"/>
  <c r="AM182" i="1"/>
  <c r="AQ182" i="4" s="1"/>
  <c r="AT182" i="4" s="1"/>
  <c r="AM183" i="1"/>
  <c r="AQ183" i="4" s="1"/>
  <c r="AT183" i="4" s="1"/>
  <c r="AM184" i="1"/>
  <c r="AQ184" i="4" s="1"/>
  <c r="AT184" i="4" s="1"/>
  <c r="AM185" i="1"/>
  <c r="AQ185" i="4" s="1"/>
  <c r="AT185" i="4" s="1"/>
  <c r="AM186" i="1"/>
  <c r="AQ186" i="4" s="1"/>
  <c r="AT186" i="4" s="1"/>
  <c r="AM187" i="1"/>
  <c r="AM188" i="1"/>
  <c r="AQ188" i="4" s="1"/>
  <c r="AT188" i="4" s="1"/>
  <c r="AM189" i="1"/>
  <c r="AQ189" i="4" s="1"/>
  <c r="AT189" i="4" s="1"/>
  <c r="AM190" i="1"/>
  <c r="AQ190" i="4" s="1"/>
  <c r="AT190" i="4" s="1"/>
  <c r="AM191" i="1"/>
  <c r="AQ191" i="4" s="1"/>
  <c r="AT191" i="4" s="1"/>
  <c r="AM192" i="1"/>
  <c r="AQ192" i="4" s="1"/>
  <c r="AM193" i="1"/>
  <c r="AM194" i="1"/>
  <c r="AQ194" i="4" s="1"/>
  <c r="AT194" i="4" s="1"/>
  <c r="AM195" i="1"/>
  <c r="AQ195" i="4" s="1"/>
  <c r="AT195" i="4" s="1"/>
  <c r="AM196" i="1"/>
  <c r="AQ196" i="4" s="1"/>
  <c r="AT196" i="4" s="1"/>
  <c r="AM197" i="1"/>
  <c r="AQ197" i="4" s="1"/>
  <c r="AT197" i="4" s="1"/>
  <c r="AM198" i="1"/>
  <c r="AQ198" i="4" s="1"/>
  <c r="AT198" i="4" s="1"/>
  <c r="AM199" i="1"/>
  <c r="AM200" i="1"/>
  <c r="AQ200" i="4" s="1"/>
  <c r="AT200" i="4" s="1"/>
  <c r="AM201" i="1"/>
  <c r="AQ201" i="4" s="1"/>
  <c r="AT201" i="4" s="1"/>
  <c r="AM202" i="1"/>
  <c r="AQ202" i="4" s="1"/>
  <c r="AT202" i="4" s="1"/>
  <c r="AM203" i="1"/>
  <c r="AQ203" i="4" s="1"/>
  <c r="AT203" i="4" s="1"/>
  <c r="AM204" i="1"/>
  <c r="AQ204" i="4" s="1"/>
  <c r="AT204" i="4" s="1"/>
  <c r="AM205" i="1"/>
  <c r="AM206" i="1"/>
  <c r="AQ206" i="4" s="1"/>
  <c r="AT206" i="4" s="1"/>
  <c r="AM207" i="1"/>
  <c r="AQ207" i="4" s="1"/>
  <c r="AM208" i="1"/>
  <c r="AQ208" i="4" s="1"/>
  <c r="AT208" i="4" s="1"/>
  <c r="AM209" i="1"/>
  <c r="AQ209" i="4" s="1"/>
  <c r="AT209" i="4" s="1"/>
  <c r="AM210" i="1"/>
  <c r="AQ210" i="4" s="1"/>
  <c r="AT210" i="4" s="1"/>
  <c r="AM211" i="1"/>
  <c r="AM212" i="1"/>
  <c r="AQ212" i="4" s="1"/>
  <c r="AT212" i="4" s="1"/>
  <c r="AM213" i="1"/>
  <c r="AQ213" i="4" s="1"/>
  <c r="AT213" i="4" s="1"/>
  <c r="AM214" i="1"/>
  <c r="AQ214" i="4" s="1"/>
  <c r="AM215" i="1"/>
  <c r="AQ215" i="4" s="1"/>
  <c r="AT215" i="4" s="1"/>
  <c r="AM216" i="1"/>
  <c r="AQ216" i="4" s="1"/>
  <c r="AT216" i="4" s="1"/>
  <c r="AM217" i="1"/>
  <c r="AM218" i="1"/>
  <c r="AQ218" i="4" s="1"/>
  <c r="AT218" i="4" s="1"/>
  <c r="AM219" i="1"/>
  <c r="AQ219" i="4" s="1"/>
  <c r="AT219" i="4" s="1"/>
  <c r="AM220" i="1"/>
  <c r="AQ220" i="4" s="1"/>
  <c r="AT220" i="4" s="1"/>
  <c r="AM221" i="1"/>
  <c r="AQ221" i="4" s="1"/>
  <c r="AT221" i="4" s="1"/>
  <c r="AM222" i="1"/>
  <c r="AQ222" i="4" s="1"/>
  <c r="AT222" i="4" s="1"/>
  <c r="AM223" i="1"/>
  <c r="AM224" i="1"/>
  <c r="AQ224" i="4" s="1"/>
  <c r="AT224" i="4" s="1"/>
  <c r="AM225" i="1"/>
  <c r="AQ225" i="4" s="1"/>
  <c r="AT225" i="4" s="1"/>
  <c r="AM226" i="1"/>
  <c r="AQ226" i="4" s="1"/>
  <c r="AT226" i="4" s="1"/>
  <c r="AM227" i="1"/>
  <c r="AQ227" i="4" s="1"/>
  <c r="AT227" i="4" s="1"/>
  <c r="AM228" i="1"/>
  <c r="AQ228" i="4" s="1"/>
  <c r="AM229" i="1"/>
  <c r="AM230" i="1"/>
  <c r="AQ230" i="4" s="1"/>
  <c r="AT230" i="4" s="1"/>
  <c r="AM231" i="1"/>
  <c r="AQ231" i="4" s="1"/>
  <c r="AT231" i="4" s="1"/>
  <c r="AM232" i="1"/>
  <c r="AQ232" i="4" s="1"/>
  <c r="AT232" i="4" s="1"/>
  <c r="AM233" i="1"/>
  <c r="AQ233" i="4" s="1"/>
  <c r="AT233" i="4" s="1"/>
  <c r="AM234" i="1"/>
  <c r="AQ234" i="4" s="1"/>
  <c r="AT234" i="4" s="1"/>
  <c r="AM235" i="1"/>
  <c r="AM236" i="1"/>
  <c r="AQ236" i="4" s="1"/>
  <c r="AT236" i="4" s="1"/>
  <c r="AM237" i="1"/>
  <c r="AQ237" i="4" s="1"/>
  <c r="AT237" i="4" s="1"/>
  <c r="AM238" i="1"/>
  <c r="AQ238" i="4" s="1"/>
  <c r="AT238" i="4" s="1"/>
  <c r="AM239" i="1"/>
  <c r="AQ239" i="4" s="1"/>
  <c r="AT239" i="4" s="1"/>
  <c r="AM240" i="1"/>
  <c r="AQ240" i="4" s="1"/>
  <c r="AT240" i="4" s="1"/>
  <c r="AM241" i="1"/>
  <c r="AM242" i="1"/>
  <c r="AQ242" i="4" s="1"/>
  <c r="AT242" i="4" s="1"/>
  <c r="AM243" i="1"/>
  <c r="AQ243" i="4" s="1"/>
  <c r="AM244" i="1"/>
  <c r="AQ244" i="4" s="1"/>
  <c r="AT244" i="4" s="1"/>
  <c r="AM245" i="1"/>
  <c r="AQ245" i="4" s="1"/>
  <c r="AT245" i="4" s="1"/>
  <c r="AM246" i="1"/>
  <c r="AQ246" i="4" s="1"/>
  <c r="AT246" i="4" s="1"/>
  <c r="AM247" i="1"/>
  <c r="AM248" i="1"/>
  <c r="AQ248" i="4" s="1"/>
  <c r="AT248" i="4" s="1"/>
  <c r="AM249" i="1"/>
  <c r="AQ249" i="4" s="1"/>
  <c r="AT249" i="4" s="1"/>
  <c r="AM250" i="1"/>
  <c r="AQ250" i="4" s="1"/>
  <c r="AM251" i="1"/>
  <c r="AQ251" i="4" s="1"/>
  <c r="AT251" i="4" s="1"/>
  <c r="AM252" i="1"/>
  <c r="AQ252" i="4" s="1"/>
  <c r="AT252" i="4" s="1"/>
  <c r="AM253" i="1"/>
  <c r="AM254" i="1"/>
  <c r="AQ254" i="4" s="1"/>
  <c r="AT254" i="4" s="1"/>
  <c r="AM255" i="1"/>
  <c r="AQ255" i="4" s="1"/>
  <c r="AT255" i="4" s="1"/>
  <c r="AN4" i="1"/>
  <c r="AN5" i="1"/>
  <c r="AN6" i="1"/>
  <c r="AN7" i="1"/>
  <c r="AN8" i="1"/>
  <c r="AN9" i="1"/>
  <c r="AN10" i="1"/>
  <c r="AN11" i="1"/>
  <c r="AN12" i="1"/>
  <c r="AN13" i="1"/>
  <c r="AN14" i="1"/>
  <c r="AN15" i="1"/>
  <c r="AN16" i="1"/>
  <c r="AN17" i="1"/>
  <c r="AN18" i="1"/>
  <c r="AN19" i="1"/>
  <c r="AN20" i="1"/>
  <c r="AN21" i="1"/>
  <c r="AN22" i="1"/>
  <c r="AN23" i="1"/>
  <c r="AN24" i="1"/>
  <c r="AN25" i="1"/>
  <c r="AN26" i="1"/>
  <c r="AN27" i="1"/>
  <c r="AN28" i="1"/>
  <c r="AN29" i="1"/>
  <c r="AN30" i="1"/>
  <c r="AN31" i="1"/>
  <c r="AN32" i="1"/>
  <c r="AN33" i="1"/>
  <c r="AN34" i="1"/>
  <c r="AN35" i="1"/>
  <c r="AN36" i="1"/>
  <c r="AN37" i="1"/>
  <c r="AN38" i="1"/>
  <c r="AN39" i="1"/>
  <c r="AN40" i="1"/>
  <c r="AN41" i="1"/>
  <c r="AN42" i="1"/>
  <c r="AN43" i="1"/>
  <c r="AN44" i="1"/>
  <c r="AN45" i="1"/>
  <c r="AN46" i="1"/>
  <c r="AN47" i="1"/>
  <c r="AN48" i="1"/>
  <c r="AN49" i="1"/>
  <c r="AN50" i="1"/>
  <c r="AN51" i="1"/>
  <c r="AN52" i="1"/>
  <c r="AN53" i="1"/>
  <c r="AN54" i="1"/>
  <c r="AN55" i="1"/>
  <c r="AN56" i="1"/>
  <c r="AN57" i="1"/>
  <c r="AN58" i="1"/>
  <c r="AN59" i="1"/>
  <c r="AN60" i="1"/>
  <c r="AN61" i="1"/>
  <c r="AN62" i="1"/>
  <c r="AN63" i="1"/>
  <c r="AN64" i="1"/>
  <c r="AN65" i="1"/>
  <c r="AN66" i="1"/>
  <c r="AN67" i="1"/>
  <c r="AN68" i="1"/>
  <c r="AN69" i="1"/>
  <c r="AN70" i="1"/>
  <c r="AN71" i="1"/>
  <c r="AN72" i="1"/>
  <c r="AN73" i="1"/>
  <c r="AN74" i="1"/>
  <c r="AN75" i="1"/>
  <c r="AN76" i="1"/>
  <c r="AN77" i="1"/>
  <c r="AN78" i="1"/>
  <c r="AN79" i="1"/>
  <c r="AN80" i="1"/>
  <c r="AN81" i="1"/>
  <c r="AN82" i="1"/>
  <c r="AN83" i="1"/>
  <c r="AN84" i="1"/>
  <c r="AN85" i="1"/>
  <c r="AN86" i="1"/>
  <c r="AN87" i="1"/>
  <c r="AN88" i="1"/>
  <c r="AN89" i="1"/>
  <c r="AN90" i="1"/>
  <c r="AN91" i="1"/>
  <c r="AN92" i="1"/>
  <c r="AN93" i="1"/>
  <c r="AN94" i="1"/>
  <c r="AN95" i="1"/>
  <c r="AN96" i="1"/>
  <c r="AN97" i="1"/>
  <c r="AN98" i="1"/>
  <c r="AN99" i="1"/>
  <c r="AN100" i="1"/>
  <c r="AN101" i="1"/>
  <c r="AN102" i="1"/>
  <c r="AN103" i="1"/>
  <c r="AN104" i="1"/>
  <c r="AN105" i="1"/>
  <c r="AN106" i="1"/>
  <c r="AN107" i="1"/>
  <c r="AN108" i="1"/>
  <c r="AN109" i="1"/>
  <c r="AN110" i="1"/>
  <c r="AN111" i="1"/>
  <c r="AN112" i="1"/>
  <c r="AN113" i="1"/>
  <c r="AN114" i="1"/>
  <c r="AN115" i="1"/>
  <c r="AN116" i="1"/>
  <c r="AN117" i="1"/>
  <c r="AN118" i="1"/>
  <c r="AN119" i="1"/>
  <c r="AN120" i="1"/>
  <c r="AN121" i="1"/>
  <c r="AN122" i="1"/>
  <c r="AN123" i="1"/>
  <c r="AN124" i="1"/>
  <c r="AN125" i="1"/>
  <c r="AN126" i="1"/>
  <c r="AN127" i="1"/>
  <c r="AN128" i="1"/>
  <c r="AN129" i="1"/>
  <c r="AN130" i="1"/>
  <c r="AN131" i="1"/>
  <c r="AN132" i="1"/>
  <c r="AN133" i="1"/>
  <c r="AN134" i="1"/>
  <c r="AN135" i="1"/>
  <c r="AN136" i="1"/>
  <c r="AN137" i="1"/>
  <c r="AN138" i="1"/>
  <c r="AN139" i="1"/>
  <c r="AN140" i="1"/>
  <c r="AN141" i="1"/>
  <c r="AN142" i="1"/>
  <c r="AN143" i="1"/>
  <c r="AN144" i="1"/>
  <c r="AN145" i="1"/>
  <c r="AN146" i="1"/>
  <c r="AN147" i="1"/>
  <c r="AN148" i="1"/>
  <c r="AN149" i="1"/>
  <c r="AN150" i="1"/>
  <c r="AN151" i="1"/>
  <c r="AN152" i="1"/>
  <c r="AN153" i="1"/>
  <c r="AN154" i="1"/>
  <c r="AN155" i="1"/>
  <c r="AN156" i="1"/>
  <c r="AN157" i="1"/>
  <c r="AN158" i="1"/>
  <c r="AN159" i="1"/>
  <c r="AN160" i="1"/>
  <c r="AN161" i="1"/>
  <c r="AN162" i="1"/>
  <c r="AN163" i="1"/>
  <c r="AN164" i="1"/>
  <c r="AN165" i="1"/>
  <c r="AN166" i="1"/>
  <c r="AN167" i="1"/>
  <c r="AN168" i="1"/>
  <c r="AN169" i="1"/>
  <c r="AN170" i="1"/>
  <c r="AN171" i="1"/>
  <c r="AN172" i="1"/>
  <c r="AN173" i="1"/>
  <c r="AN174" i="1"/>
  <c r="AN175" i="1"/>
  <c r="AN176" i="1"/>
  <c r="AN177" i="1"/>
  <c r="AN178" i="1"/>
  <c r="AN179" i="1"/>
  <c r="AN180" i="1"/>
  <c r="AN181" i="1"/>
  <c r="AN182" i="1"/>
  <c r="AN183" i="1"/>
  <c r="AN184" i="1"/>
  <c r="AN185" i="1"/>
  <c r="AN186" i="1"/>
  <c r="AN187" i="1"/>
  <c r="AN188" i="1"/>
  <c r="AN189" i="1"/>
  <c r="AN190" i="1"/>
  <c r="AN191" i="1"/>
  <c r="AN192" i="1"/>
  <c r="AN193" i="1"/>
  <c r="AN194" i="1"/>
  <c r="AN195" i="1"/>
  <c r="AN196" i="1"/>
  <c r="AN197" i="1"/>
  <c r="AN198" i="1"/>
  <c r="AN199" i="1"/>
  <c r="AN200" i="1"/>
  <c r="AN201" i="1"/>
  <c r="AN202" i="1"/>
  <c r="AN203" i="1"/>
  <c r="AN204" i="1"/>
  <c r="AN205" i="1"/>
  <c r="AN206" i="1"/>
  <c r="AN207" i="1"/>
  <c r="AN208" i="1"/>
  <c r="AN209" i="1"/>
  <c r="AN210" i="1"/>
  <c r="AN211" i="1"/>
  <c r="AN212" i="1"/>
  <c r="AN213" i="1"/>
  <c r="AN214" i="1"/>
  <c r="AN215" i="1"/>
  <c r="AN216" i="1"/>
  <c r="AN217" i="1"/>
  <c r="AN218" i="1"/>
  <c r="AN219" i="1"/>
  <c r="AN220" i="1"/>
  <c r="AN221" i="1"/>
  <c r="AN222" i="1"/>
  <c r="AN223" i="1"/>
  <c r="AN224" i="1"/>
  <c r="AN225" i="1"/>
  <c r="AN226" i="1"/>
  <c r="AN227" i="1"/>
  <c r="AN228" i="1"/>
  <c r="AN229" i="1"/>
  <c r="AN230" i="1"/>
  <c r="AN231" i="1"/>
  <c r="AN232" i="1"/>
  <c r="AN233" i="1"/>
  <c r="AN234" i="1"/>
  <c r="AN235" i="1"/>
  <c r="AN236" i="1"/>
  <c r="AN237" i="1"/>
  <c r="AN238" i="1"/>
  <c r="AN239" i="1"/>
  <c r="AN240" i="1"/>
  <c r="AN241" i="1"/>
  <c r="AN242" i="1"/>
  <c r="AN243" i="1"/>
  <c r="AN244" i="1"/>
  <c r="AN245" i="1"/>
  <c r="AN246" i="1"/>
  <c r="AN247" i="1"/>
  <c r="AN248" i="1"/>
  <c r="AN249" i="1"/>
  <c r="AN250" i="1"/>
  <c r="AN251" i="1"/>
  <c r="AN252" i="1"/>
  <c r="AN253" i="1"/>
  <c r="AN254" i="1"/>
  <c r="AN255" i="1"/>
  <c r="AO4" i="1"/>
  <c r="AO5" i="1"/>
  <c r="AO6" i="1"/>
  <c r="AO7" i="1"/>
  <c r="AO8" i="1"/>
  <c r="AO9" i="1"/>
  <c r="AO10" i="1"/>
  <c r="AO11" i="1"/>
  <c r="AO12" i="1"/>
  <c r="AO13" i="1"/>
  <c r="AO14" i="1"/>
  <c r="AO15" i="1"/>
  <c r="AO16" i="1"/>
  <c r="AO17" i="1"/>
  <c r="AO18" i="1"/>
  <c r="AO19" i="1"/>
  <c r="AO20" i="1"/>
  <c r="AO21" i="1"/>
  <c r="AO22" i="1"/>
  <c r="AO23" i="1"/>
  <c r="AO24" i="1"/>
  <c r="AO25" i="1"/>
  <c r="AO26" i="1"/>
  <c r="AO27" i="1"/>
  <c r="AO28" i="1"/>
  <c r="AO29" i="1"/>
  <c r="AO30" i="1"/>
  <c r="AO31" i="1"/>
  <c r="AO32" i="1"/>
  <c r="AO33" i="1"/>
  <c r="AO34" i="1"/>
  <c r="AO35" i="1"/>
  <c r="AO36" i="1"/>
  <c r="AO37" i="1"/>
  <c r="AO38" i="1"/>
  <c r="AO39" i="1"/>
  <c r="AO40" i="1"/>
  <c r="AO41" i="1"/>
  <c r="AO42" i="1"/>
  <c r="AO43" i="1"/>
  <c r="AO44" i="1"/>
  <c r="AO45" i="1"/>
  <c r="AO46" i="1"/>
  <c r="AO47" i="1"/>
  <c r="AO48" i="1"/>
  <c r="AO49" i="1"/>
  <c r="AO50" i="1"/>
  <c r="AO51" i="1"/>
  <c r="AO52" i="1"/>
  <c r="AO53" i="1"/>
  <c r="AO54" i="1"/>
  <c r="AO55" i="1"/>
  <c r="AO56" i="1"/>
  <c r="AO57" i="1"/>
  <c r="AO58" i="1"/>
  <c r="AO59" i="1"/>
  <c r="AO60" i="1"/>
  <c r="AO61" i="1"/>
  <c r="AO62" i="1"/>
  <c r="AO63" i="1"/>
  <c r="AO64" i="1"/>
  <c r="AO65" i="1"/>
  <c r="AO66" i="1"/>
  <c r="AO67" i="1"/>
  <c r="AO68" i="1"/>
  <c r="AO69" i="1"/>
  <c r="AO70" i="1"/>
  <c r="AO71" i="1"/>
  <c r="AO72" i="1"/>
  <c r="AO73" i="1"/>
  <c r="AO74" i="1"/>
  <c r="AO75" i="1"/>
  <c r="AO76" i="1"/>
  <c r="AO77" i="1"/>
  <c r="AO78" i="1"/>
  <c r="AO79" i="1"/>
  <c r="AO80" i="1"/>
  <c r="AO81" i="1"/>
  <c r="AO82" i="1"/>
  <c r="AO83" i="1"/>
  <c r="AO84" i="1"/>
  <c r="AO85" i="1"/>
  <c r="AO86" i="1"/>
  <c r="AO87" i="1"/>
  <c r="AO88" i="1"/>
  <c r="AO89" i="1"/>
  <c r="AO90" i="1"/>
  <c r="AO91" i="1"/>
  <c r="AO92" i="1"/>
  <c r="AO93" i="1"/>
  <c r="AO94" i="1"/>
  <c r="AO95" i="1"/>
  <c r="AO96" i="1"/>
  <c r="AO97" i="1"/>
  <c r="AO98" i="1"/>
  <c r="AO99" i="1"/>
  <c r="AO100" i="1"/>
  <c r="AO101" i="1"/>
  <c r="AO102" i="1"/>
  <c r="AO103" i="1"/>
  <c r="AO104" i="1"/>
  <c r="AO105" i="1"/>
  <c r="AO106" i="1"/>
  <c r="AO107" i="1"/>
  <c r="AO108" i="1"/>
  <c r="AO109" i="1"/>
  <c r="AO110" i="1"/>
  <c r="AO111" i="1"/>
  <c r="AO112" i="1"/>
  <c r="AO113" i="1"/>
  <c r="AO114" i="1"/>
  <c r="AO115" i="1"/>
  <c r="AO116" i="1"/>
  <c r="AO117" i="1"/>
  <c r="AO118" i="1"/>
  <c r="AO119" i="1"/>
  <c r="AO120" i="1"/>
  <c r="AO121" i="1"/>
  <c r="AO122" i="1"/>
  <c r="AO123" i="1"/>
  <c r="AO124" i="1"/>
  <c r="AO125" i="1"/>
  <c r="AO126" i="1"/>
  <c r="AO127" i="1"/>
  <c r="AO128" i="1"/>
  <c r="AO129" i="1"/>
  <c r="AO130" i="1"/>
  <c r="AO131" i="1"/>
  <c r="AO132" i="1"/>
  <c r="AO133" i="1"/>
  <c r="AO134" i="1"/>
  <c r="AO135" i="1"/>
  <c r="AO136" i="1"/>
  <c r="AO137" i="1"/>
  <c r="AO138" i="1"/>
  <c r="AO139" i="1"/>
  <c r="AO140" i="1"/>
  <c r="AO141" i="1"/>
  <c r="AO142" i="1"/>
  <c r="AO143" i="1"/>
  <c r="AO144" i="1"/>
  <c r="AO145" i="1"/>
  <c r="AO146" i="1"/>
  <c r="AO147" i="1"/>
  <c r="AO148" i="1"/>
  <c r="AO149" i="1"/>
  <c r="AO150" i="1"/>
  <c r="AO151" i="1"/>
  <c r="AO152" i="1"/>
  <c r="AO153" i="1"/>
  <c r="AO154" i="1"/>
  <c r="AO155" i="1"/>
  <c r="AO156" i="1"/>
  <c r="AO157" i="1"/>
  <c r="AO158" i="1"/>
  <c r="AO159" i="1"/>
  <c r="AO160" i="1"/>
  <c r="AO161" i="1"/>
  <c r="AO162" i="1"/>
  <c r="AO163" i="1"/>
  <c r="AO164" i="1"/>
  <c r="AO165" i="1"/>
  <c r="AO166" i="1"/>
  <c r="AO167" i="1"/>
  <c r="AO168" i="1"/>
  <c r="AO169" i="1"/>
  <c r="AO170" i="1"/>
  <c r="AO171" i="1"/>
  <c r="AO172" i="1"/>
  <c r="AO173" i="1"/>
  <c r="AO174" i="1"/>
  <c r="AO175" i="1"/>
  <c r="AO176" i="1"/>
  <c r="AO177" i="1"/>
  <c r="AO178" i="1"/>
  <c r="AO179" i="1"/>
  <c r="AO180" i="1"/>
  <c r="AO181" i="1"/>
  <c r="AO182" i="1"/>
  <c r="AO183" i="1"/>
  <c r="AO184" i="1"/>
  <c r="AO185" i="1"/>
  <c r="AO186" i="1"/>
  <c r="AO187" i="1"/>
  <c r="AO188" i="1"/>
  <c r="AO189" i="1"/>
  <c r="AO190" i="1"/>
  <c r="AO191" i="1"/>
  <c r="AO192" i="1"/>
  <c r="AO193" i="1"/>
  <c r="AO194" i="1"/>
  <c r="AO195" i="1"/>
  <c r="AO196" i="1"/>
  <c r="AO197" i="1"/>
  <c r="AO198" i="1"/>
  <c r="AO199" i="1"/>
  <c r="AO200" i="1"/>
  <c r="AO201" i="1"/>
  <c r="AO202" i="1"/>
  <c r="AO203" i="1"/>
  <c r="AO204" i="1"/>
  <c r="AO205" i="1"/>
  <c r="AO206" i="1"/>
  <c r="AO207" i="1"/>
  <c r="AO208" i="1"/>
  <c r="AO209" i="1"/>
  <c r="AO210" i="1"/>
  <c r="AO211" i="1"/>
  <c r="AO212" i="1"/>
  <c r="AO213" i="1"/>
  <c r="AO214" i="1"/>
  <c r="AO215" i="1"/>
  <c r="AO216" i="1"/>
  <c r="AO217" i="1"/>
  <c r="AO218" i="1"/>
  <c r="AO219" i="1"/>
  <c r="AO220" i="1"/>
  <c r="AO221" i="1"/>
  <c r="AO222" i="1"/>
  <c r="AO223" i="1"/>
  <c r="AO224" i="1"/>
  <c r="AO225" i="1"/>
  <c r="AO226" i="1"/>
  <c r="AO227" i="1"/>
  <c r="AO228" i="1"/>
  <c r="AO229" i="1"/>
  <c r="AO230" i="1"/>
  <c r="AO231" i="1"/>
  <c r="AO232" i="1"/>
  <c r="AO233" i="1"/>
  <c r="AO234" i="1"/>
  <c r="AO235" i="1"/>
  <c r="AO236" i="1"/>
  <c r="AO237" i="1"/>
  <c r="AO238" i="1"/>
  <c r="AO239" i="1"/>
  <c r="AO240" i="1"/>
  <c r="AO241" i="1"/>
  <c r="AO242" i="1"/>
  <c r="AO243" i="1"/>
  <c r="AO244" i="1"/>
  <c r="AO245" i="1"/>
  <c r="AO246" i="1"/>
  <c r="AO247" i="1"/>
  <c r="AO248" i="1"/>
  <c r="AO249" i="1"/>
  <c r="AO250" i="1"/>
  <c r="AO251" i="1"/>
  <c r="AO252" i="1"/>
  <c r="AO253" i="1"/>
  <c r="AO254" i="1"/>
  <c r="AO255" i="1"/>
  <c r="AP4" i="1"/>
  <c r="AP5" i="1"/>
  <c r="AP6" i="1"/>
  <c r="AP7" i="1"/>
  <c r="AP8" i="1"/>
  <c r="AP9" i="1"/>
  <c r="AP10" i="1"/>
  <c r="AP11" i="1"/>
  <c r="AP12" i="1"/>
  <c r="AP13" i="1"/>
  <c r="AP14" i="1"/>
  <c r="AP15" i="1"/>
  <c r="AP16" i="1"/>
  <c r="AP17" i="1"/>
  <c r="AP18" i="1"/>
  <c r="AP19" i="1"/>
  <c r="AP20" i="1"/>
  <c r="AP21" i="1"/>
  <c r="AP22" i="1"/>
  <c r="AP23" i="1"/>
  <c r="AP24" i="1"/>
  <c r="AP25" i="1"/>
  <c r="AP26" i="1"/>
  <c r="AP27" i="1"/>
  <c r="AP28" i="1"/>
  <c r="AP29" i="1"/>
  <c r="AP30" i="1"/>
  <c r="AP31" i="1"/>
  <c r="AP32" i="1"/>
  <c r="AP33" i="1"/>
  <c r="AP34" i="1"/>
  <c r="AP35" i="1"/>
  <c r="AP36" i="1"/>
  <c r="AP37" i="1"/>
  <c r="AP38" i="1"/>
  <c r="AP39" i="1"/>
  <c r="AP40" i="1"/>
  <c r="AP41" i="1"/>
  <c r="AP42" i="1"/>
  <c r="AP43" i="1"/>
  <c r="AP44" i="1"/>
  <c r="AP45" i="1"/>
  <c r="AP46" i="1"/>
  <c r="AP47" i="1"/>
  <c r="AP48" i="1"/>
  <c r="AP49" i="1"/>
  <c r="AP50" i="1"/>
  <c r="AP51" i="1"/>
  <c r="AP52" i="1"/>
  <c r="AP53" i="1"/>
  <c r="AP54" i="1"/>
  <c r="AP55" i="1"/>
  <c r="AP56" i="1"/>
  <c r="AP57" i="1"/>
  <c r="AP58" i="1"/>
  <c r="AP59" i="1"/>
  <c r="AP60" i="1"/>
  <c r="AP61" i="1"/>
  <c r="AP62" i="1"/>
  <c r="AP63" i="1"/>
  <c r="AP64" i="1"/>
  <c r="AP65" i="1"/>
  <c r="AP66" i="1"/>
  <c r="AP67" i="1"/>
  <c r="AP68" i="1"/>
  <c r="AP69" i="1"/>
  <c r="AP70" i="1"/>
  <c r="AP71" i="1"/>
  <c r="AP72" i="1"/>
  <c r="AP73" i="1"/>
  <c r="AP74" i="1"/>
  <c r="AP75" i="1"/>
  <c r="AP76" i="1"/>
  <c r="AP77" i="1"/>
  <c r="AP78" i="1"/>
  <c r="AP79" i="1"/>
  <c r="AP80" i="1"/>
  <c r="AP81" i="1"/>
  <c r="AP82" i="1"/>
  <c r="AP83" i="1"/>
  <c r="AP84" i="1"/>
  <c r="AP85" i="1"/>
  <c r="AP86" i="1"/>
  <c r="AP87" i="1"/>
  <c r="AP88" i="1"/>
  <c r="AP89" i="1"/>
  <c r="AP90" i="1"/>
  <c r="AP91" i="1"/>
  <c r="AP92" i="1"/>
  <c r="AP93" i="1"/>
  <c r="AP94" i="1"/>
  <c r="AP95" i="1"/>
  <c r="AP96" i="1"/>
  <c r="AP97" i="1"/>
  <c r="AP98" i="1"/>
  <c r="AP99" i="1"/>
  <c r="AP100" i="1"/>
  <c r="AP101" i="1"/>
  <c r="AP102" i="1"/>
  <c r="AP103" i="1"/>
  <c r="AP104" i="1"/>
  <c r="AP105" i="1"/>
  <c r="AP106" i="1"/>
  <c r="AP107" i="1"/>
  <c r="AP108" i="1"/>
  <c r="AP109" i="1"/>
  <c r="AP110" i="1"/>
  <c r="AP111" i="1"/>
  <c r="AP112" i="1"/>
  <c r="AP113" i="1"/>
  <c r="AP114" i="1"/>
  <c r="AP115" i="1"/>
  <c r="AP116" i="1"/>
  <c r="AP117" i="1"/>
  <c r="AP118" i="1"/>
  <c r="AP119" i="1"/>
  <c r="AP120" i="1"/>
  <c r="AP121" i="1"/>
  <c r="AP122" i="1"/>
  <c r="AP123" i="1"/>
  <c r="AP124" i="1"/>
  <c r="AP125" i="1"/>
  <c r="AP126" i="1"/>
  <c r="AP127" i="1"/>
  <c r="AP128" i="1"/>
  <c r="AP129" i="1"/>
  <c r="AP130" i="1"/>
  <c r="AP131" i="1"/>
  <c r="AP132" i="1"/>
  <c r="AP133" i="1"/>
  <c r="AP134" i="1"/>
  <c r="AP135" i="1"/>
  <c r="AP136" i="1"/>
  <c r="AP137" i="1"/>
  <c r="AP138" i="1"/>
  <c r="AP139" i="1"/>
  <c r="AP140" i="1"/>
  <c r="AP141" i="1"/>
  <c r="AP142" i="1"/>
  <c r="AP143" i="1"/>
  <c r="AP144" i="1"/>
  <c r="AP145" i="1"/>
  <c r="AP146" i="1"/>
  <c r="AP147" i="1"/>
  <c r="AP148" i="1"/>
  <c r="AP149" i="1"/>
  <c r="AP150" i="1"/>
  <c r="AP151" i="1"/>
  <c r="AP152" i="1"/>
  <c r="AP153" i="1"/>
  <c r="AP154" i="1"/>
  <c r="AP155" i="1"/>
  <c r="AP156" i="1"/>
  <c r="AP157" i="1"/>
  <c r="AP158" i="1"/>
  <c r="AP159" i="1"/>
  <c r="AP160" i="1"/>
  <c r="AP161" i="1"/>
  <c r="AP162" i="1"/>
  <c r="AP163" i="1"/>
  <c r="AP164" i="1"/>
  <c r="AP165" i="1"/>
  <c r="AP166" i="1"/>
  <c r="AP167" i="1"/>
  <c r="AP168" i="1"/>
  <c r="AP169" i="1"/>
  <c r="AP170" i="1"/>
  <c r="AP171" i="1"/>
  <c r="AP172" i="1"/>
  <c r="AP173" i="1"/>
  <c r="AP174" i="1"/>
  <c r="AP175" i="1"/>
  <c r="AP176" i="1"/>
  <c r="AP177" i="1"/>
  <c r="AP178" i="1"/>
  <c r="AP179" i="1"/>
  <c r="AP180" i="1"/>
  <c r="AP181" i="1"/>
  <c r="AP182" i="1"/>
  <c r="AP183" i="1"/>
  <c r="AP184" i="1"/>
  <c r="AP185" i="1"/>
  <c r="AP186" i="1"/>
  <c r="AP187" i="1"/>
  <c r="AP188" i="1"/>
  <c r="AP189" i="1"/>
  <c r="AP190" i="1"/>
  <c r="AP191" i="1"/>
  <c r="AP192" i="1"/>
  <c r="AP193" i="1"/>
  <c r="AP194" i="1"/>
  <c r="AP195" i="1"/>
  <c r="AP196" i="1"/>
  <c r="AP197" i="1"/>
  <c r="AP198" i="1"/>
  <c r="AP199" i="1"/>
  <c r="AP200" i="1"/>
  <c r="AP201" i="1"/>
  <c r="AP202" i="1"/>
  <c r="AP203" i="1"/>
  <c r="AP204" i="1"/>
  <c r="AP205" i="1"/>
  <c r="AP206" i="1"/>
  <c r="AP207" i="1"/>
  <c r="AP208" i="1"/>
  <c r="AP209" i="1"/>
  <c r="AP210" i="1"/>
  <c r="AP211" i="1"/>
  <c r="AP212" i="1"/>
  <c r="AP213" i="1"/>
  <c r="AP214" i="1"/>
  <c r="AP215" i="1"/>
  <c r="AP216" i="1"/>
  <c r="AP217" i="1"/>
  <c r="AP218" i="1"/>
  <c r="AP219" i="1"/>
  <c r="AP220" i="1"/>
  <c r="AP221" i="1"/>
  <c r="AP222" i="1"/>
  <c r="AP223" i="1"/>
  <c r="AP224" i="1"/>
  <c r="AP225" i="1"/>
  <c r="AP226" i="1"/>
  <c r="AP227" i="1"/>
  <c r="AP228" i="1"/>
  <c r="AP229" i="1"/>
  <c r="AP230" i="1"/>
  <c r="AP231" i="1"/>
  <c r="AP232" i="1"/>
  <c r="AP233" i="1"/>
  <c r="AP234" i="1"/>
  <c r="AP235" i="1"/>
  <c r="AP236" i="1"/>
  <c r="AP237" i="1"/>
  <c r="AP238" i="1"/>
  <c r="AP239" i="1"/>
  <c r="AP240" i="1"/>
  <c r="AP241" i="1"/>
  <c r="AP242" i="1"/>
  <c r="AP243" i="1"/>
  <c r="AP244" i="1"/>
  <c r="AP245" i="1"/>
  <c r="AP246" i="1"/>
  <c r="AP247" i="1"/>
  <c r="AP248" i="1"/>
  <c r="AP249" i="1"/>
  <c r="AP250" i="1"/>
  <c r="AP251" i="1"/>
  <c r="AP252" i="1"/>
  <c r="AP253" i="1"/>
  <c r="AP254" i="1"/>
  <c r="AP255" i="1"/>
  <c r="AQ4" i="1"/>
  <c r="AQ5" i="1"/>
  <c r="AQ6" i="1"/>
  <c r="AQ7" i="1"/>
  <c r="AQ8" i="1"/>
  <c r="AQ9" i="1"/>
  <c r="AQ10" i="1"/>
  <c r="AQ11" i="1"/>
  <c r="AQ12" i="1"/>
  <c r="AQ13" i="1"/>
  <c r="AQ14" i="1"/>
  <c r="AQ15" i="1"/>
  <c r="AQ16" i="1"/>
  <c r="AQ17" i="1"/>
  <c r="AQ18" i="1"/>
  <c r="AQ19" i="1"/>
  <c r="AQ20" i="1"/>
  <c r="AQ21" i="1"/>
  <c r="AQ22" i="1"/>
  <c r="AQ23" i="1"/>
  <c r="AQ24" i="1"/>
  <c r="AQ25" i="1"/>
  <c r="AQ26" i="1"/>
  <c r="AQ27" i="1"/>
  <c r="AQ28" i="1"/>
  <c r="AQ29" i="1"/>
  <c r="AQ30" i="1"/>
  <c r="AQ31" i="1"/>
  <c r="AQ32" i="1"/>
  <c r="AQ33" i="1"/>
  <c r="AQ34" i="1"/>
  <c r="AQ35" i="1"/>
  <c r="AQ36" i="1"/>
  <c r="AQ37" i="1"/>
  <c r="AQ38" i="1"/>
  <c r="AQ39" i="1"/>
  <c r="AQ40" i="1"/>
  <c r="AQ41" i="1"/>
  <c r="AQ42" i="1"/>
  <c r="AQ43" i="1"/>
  <c r="AQ44" i="1"/>
  <c r="AQ45" i="1"/>
  <c r="AQ46" i="1"/>
  <c r="AQ47" i="1"/>
  <c r="AQ48" i="1"/>
  <c r="AQ49" i="1"/>
  <c r="AQ50" i="1"/>
  <c r="AQ51" i="1"/>
  <c r="AQ52" i="1"/>
  <c r="AQ53" i="1"/>
  <c r="AQ54" i="1"/>
  <c r="AQ55" i="1"/>
  <c r="AQ56" i="1"/>
  <c r="AQ57" i="1"/>
  <c r="AQ58" i="1"/>
  <c r="AQ59" i="1"/>
  <c r="AQ60" i="1"/>
  <c r="AQ61" i="1"/>
  <c r="AQ62" i="1"/>
  <c r="AQ63" i="1"/>
  <c r="AQ64" i="1"/>
  <c r="AQ65" i="1"/>
  <c r="AQ66" i="1"/>
  <c r="AQ67" i="1"/>
  <c r="AQ68" i="1"/>
  <c r="AQ69" i="1"/>
  <c r="AQ70" i="1"/>
  <c r="AQ71" i="1"/>
  <c r="AQ72" i="1"/>
  <c r="AQ73" i="1"/>
  <c r="AQ74" i="1"/>
  <c r="AQ75" i="1"/>
  <c r="AQ76" i="1"/>
  <c r="AQ77" i="1"/>
  <c r="AQ78" i="1"/>
  <c r="AQ79" i="1"/>
  <c r="AQ80" i="1"/>
  <c r="AQ81" i="1"/>
  <c r="AQ82" i="1"/>
  <c r="AQ83" i="1"/>
  <c r="AQ84" i="1"/>
  <c r="AQ85" i="1"/>
  <c r="AQ86" i="1"/>
  <c r="AQ87" i="1"/>
  <c r="AQ88" i="1"/>
  <c r="AQ89" i="1"/>
  <c r="AQ90" i="1"/>
  <c r="AQ91" i="1"/>
  <c r="AQ92" i="1"/>
  <c r="AQ93" i="1"/>
  <c r="AQ94" i="1"/>
  <c r="AQ95" i="1"/>
  <c r="AQ96" i="1"/>
  <c r="AQ97" i="1"/>
  <c r="AQ98" i="1"/>
  <c r="AQ99" i="1"/>
  <c r="AQ100" i="1"/>
  <c r="AQ101" i="1"/>
  <c r="AQ102" i="1"/>
  <c r="AQ103" i="1"/>
  <c r="AQ104" i="1"/>
  <c r="AQ105" i="1"/>
  <c r="AQ106" i="1"/>
  <c r="AQ107" i="1"/>
  <c r="AQ108" i="1"/>
  <c r="AQ109" i="1"/>
  <c r="AQ110" i="1"/>
  <c r="AQ111" i="1"/>
  <c r="AQ112" i="1"/>
  <c r="AQ113" i="1"/>
  <c r="AQ114" i="1"/>
  <c r="AQ115" i="1"/>
  <c r="AQ116" i="1"/>
  <c r="AQ117" i="1"/>
  <c r="AQ118" i="1"/>
  <c r="AQ119" i="1"/>
  <c r="AQ120" i="1"/>
  <c r="AQ121" i="1"/>
  <c r="AQ122" i="1"/>
  <c r="AQ123" i="1"/>
  <c r="AQ124" i="1"/>
  <c r="AQ125" i="1"/>
  <c r="AQ126" i="1"/>
  <c r="AQ127" i="1"/>
  <c r="AQ128" i="1"/>
  <c r="AQ129" i="1"/>
  <c r="AQ130" i="1"/>
  <c r="AQ131" i="1"/>
  <c r="AQ132" i="1"/>
  <c r="AQ133" i="1"/>
  <c r="AQ134" i="1"/>
  <c r="AQ135" i="1"/>
  <c r="AQ136" i="1"/>
  <c r="AQ137" i="1"/>
  <c r="AQ138" i="1"/>
  <c r="AQ139" i="1"/>
  <c r="AQ140" i="1"/>
  <c r="AQ141" i="1"/>
  <c r="AQ142" i="1"/>
  <c r="AQ143" i="1"/>
  <c r="AQ144" i="1"/>
  <c r="AQ145" i="1"/>
  <c r="AQ146" i="1"/>
  <c r="AQ147" i="1"/>
  <c r="AQ148" i="1"/>
  <c r="AQ149" i="1"/>
  <c r="AQ150" i="1"/>
  <c r="AQ151" i="1"/>
  <c r="AQ152" i="1"/>
  <c r="AQ153" i="1"/>
  <c r="AQ154" i="1"/>
  <c r="AQ155" i="1"/>
  <c r="AQ156" i="1"/>
  <c r="AQ157" i="1"/>
  <c r="AQ158" i="1"/>
  <c r="AQ159" i="1"/>
  <c r="AQ160" i="1"/>
  <c r="AQ161" i="1"/>
  <c r="AQ162" i="1"/>
  <c r="AQ163" i="1"/>
  <c r="AQ164" i="1"/>
  <c r="AQ165" i="1"/>
  <c r="AQ166" i="1"/>
  <c r="AQ167" i="1"/>
  <c r="AQ168" i="1"/>
  <c r="AQ169" i="1"/>
  <c r="AQ170" i="1"/>
  <c r="AQ171" i="1"/>
  <c r="AQ172" i="1"/>
  <c r="AQ173" i="1"/>
  <c r="AQ174" i="1"/>
  <c r="AQ175" i="1"/>
  <c r="AQ176" i="1"/>
  <c r="AQ177" i="1"/>
  <c r="AQ178" i="1"/>
  <c r="AQ179" i="1"/>
  <c r="AQ180" i="1"/>
  <c r="AQ181" i="1"/>
  <c r="AQ182" i="1"/>
  <c r="AQ183" i="1"/>
  <c r="AQ184" i="1"/>
  <c r="AQ185" i="1"/>
  <c r="AQ186" i="1"/>
  <c r="AQ187" i="1"/>
  <c r="AQ188" i="1"/>
  <c r="AQ189" i="1"/>
  <c r="AQ190" i="1"/>
  <c r="AQ191" i="1"/>
  <c r="AQ192" i="1"/>
  <c r="AQ193" i="1"/>
  <c r="AQ194" i="1"/>
  <c r="AQ195" i="1"/>
  <c r="AQ196" i="1"/>
  <c r="AQ197" i="1"/>
  <c r="AQ198" i="1"/>
  <c r="AQ199" i="1"/>
  <c r="AQ200" i="1"/>
  <c r="AQ201" i="1"/>
  <c r="AQ202" i="1"/>
  <c r="AQ203" i="1"/>
  <c r="AQ204" i="1"/>
  <c r="AQ205" i="1"/>
  <c r="AQ206" i="1"/>
  <c r="AQ207" i="1"/>
  <c r="AQ208" i="1"/>
  <c r="AQ209" i="1"/>
  <c r="AQ210" i="1"/>
  <c r="AQ211" i="1"/>
  <c r="AQ212" i="1"/>
  <c r="AQ213" i="1"/>
  <c r="AQ214" i="1"/>
  <c r="AQ215" i="1"/>
  <c r="AQ216" i="1"/>
  <c r="AQ217" i="1"/>
  <c r="AQ218" i="1"/>
  <c r="AQ219" i="1"/>
  <c r="AQ220" i="1"/>
  <c r="AQ221" i="1"/>
  <c r="AQ222" i="1"/>
  <c r="AQ223" i="1"/>
  <c r="AQ224" i="1"/>
  <c r="AQ225" i="1"/>
  <c r="AQ226" i="1"/>
  <c r="AQ227" i="1"/>
  <c r="AQ228" i="1"/>
  <c r="AQ229" i="1"/>
  <c r="AQ230" i="1"/>
  <c r="AQ231" i="1"/>
  <c r="AQ232" i="1"/>
  <c r="AQ233" i="1"/>
  <c r="AQ234" i="1"/>
  <c r="AQ235" i="1"/>
  <c r="AQ236" i="1"/>
  <c r="AQ237" i="1"/>
  <c r="AQ238" i="1"/>
  <c r="AQ239" i="1"/>
  <c r="AQ240" i="1"/>
  <c r="AQ241" i="1"/>
  <c r="AQ242" i="1"/>
  <c r="AQ243" i="1"/>
  <c r="AQ244" i="1"/>
  <c r="AQ245" i="1"/>
  <c r="AQ246" i="1"/>
  <c r="AQ247" i="1"/>
  <c r="AQ248" i="1"/>
  <c r="AQ249" i="1"/>
  <c r="AQ250" i="1"/>
  <c r="AQ251" i="1"/>
  <c r="AQ252" i="1"/>
  <c r="AQ253" i="1"/>
  <c r="AQ254" i="1"/>
  <c r="AQ255" i="1"/>
  <c r="AR4" i="1"/>
  <c r="AR5" i="1"/>
  <c r="AR6" i="1"/>
  <c r="AR7" i="1"/>
  <c r="AR8" i="1"/>
  <c r="AR9" i="1"/>
  <c r="AR10" i="1"/>
  <c r="AR11" i="1"/>
  <c r="AR12" i="1"/>
  <c r="AR13" i="1"/>
  <c r="AR14" i="1"/>
  <c r="AR15" i="1"/>
  <c r="AR16" i="1"/>
  <c r="AR17" i="1"/>
  <c r="AR18" i="1"/>
  <c r="AR19" i="1"/>
  <c r="AR20" i="1"/>
  <c r="AR21" i="1"/>
  <c r="AR22" i="1"/>
  <c r="AR23" i="1"/>
  <c r="AR24" i="1"/>
  <c r="AR25" i="1"/>
  <c r="AR26" i="1"/>
  <c r="AR27" i="1"/>
  <c r="AR28" i="1"/>
  <c r="AR29" i="1"/>
  <c r="AR30" i="1"/>
  <c r="AR31" i="1"/>
  <c r="AR32" i="1"/>
  <c r="AR33" i="1"/>
  <c r="AR34" i="1"/>
  <c r="AR35" i="1"/>
  <c r="AR36" i="1"/>
  <c r="AR37" i="1"/>
  <c r="AR38" i="1"/>
  <c r="AR39" i="1"/>
  <c r="AR40" i="1"/>
  <c r="AR41" i="1"/>
  <c r="AR42" i="1"/>
  <c r="AR43" i="1"/>
  <c r="AR44" i="1"/>
  <c r="AR45" i="1"/>
  <c r="AR46" i="1"/>
  <c r="AR47" i="1"/>
  <c r="AR48" i="1"/>
  <c r="AR49" i="1"/>
  <c r="AR50" i="1"/>
  <c r="AR51" i="1"/>
  <c r="AR52" i="1"/>
  <c r="AR53" i="1"/>
  <c r="AR54" i="1"/>
  <c r="AR55" i="1"/>
  <c r="AR56" i="1"/>
  <c r="AR57" i="1"/>
  <c r="AR58" i="1"/>
  <c r="AR59" i="1"/>
  <c r="AR60" i="1"/>
  <c r="AR61" i="1"/>
  <c r="AR62" i="1"/>
  <c r="AR63" i="1"/>
  <c r="AR64" i="1"/>
  <c r="AR65" i="1"/>
  <c r="AR66" i="1"/>
  <c r="AR67" i="1"/>
  <c r="AR68" i="1"/>
  <c r="AR69" i="1"/>
  <c r="AR70" i="1"/>
  <c r="AR71" i="1"/>
  <c r="AR72" i="1"/>
  <c r="AR73" i="1"/>
  <c r="AR74" i="1"/>
  <c r="AR75" i="1"/>
  <c r="AR76" i="1"/>
  <c r="AR77" i="1"/>
  <c r="AR78" i="1"/>
  <c r="AR79" i="1"/>
  <c r="AR80" i="1"/>
  <c r="AR81" i="1"/>
  <c r="AR82" i="1"/>
  <c r="AR83" i="1"/>
  <c r="AR84" i="1"/>
  <c r="AR85" i="1"/>
  <c r="AR86" i="1"/>
  <c r="AR87" i="1"/>
  <c r="AR88" i="1"/>
  <c r="AR89" i="1"/>
  <c r="AR90" i="1"/>
  <c r="AR91" i="1"/>
  <c r="AR92" i="1"/>
  <c r="AR93" i="1"/>
  <c r="AR94" i="1"/>
  <c r="AR95" i="1"/>
  <c r="AR96" i="1"/>
  <c r="AR97" i="1"/>
  <c r="AR98" i="1"/>
  <c r="AR99" i="1"/>
  <c r="AR100" i="1"/>
  <c r="AR101" i="1"/>
  <c r="AR102" i="1"/>
  <c r="AR103" i="1"/>
  <c r="AR104" i="1"/>
  <c r="AR105" i="1"/>
  <c r="AR106" i="1"/>
  <c r="AR107" i="1"/>
  <c r="AR108" i="1"/>
  <c r="AR109" i="1"/>
  <c r="AR110" i="1"/>
  <c r="AR111" i="1"/>
  <c r="AR112" i="1"/>
  <c r="AR113" i="1"/>
  <c r="AR114" i="1"/>
  <c r="AR115" i="1"/>
  <c r="AR116" i="1"/>
  <c r="AR117" i="1"/>
  <c r="AR118" i="1"/>
  <c r="AR119" i="1"/>
  <c r="AR120" i="1"/>
  <c r="AR121" i="1"/>
  <c r="AR122" i="1"/>
  <c r="AR123" i="1"/>
  <c r="AR124" i="1"/>
  <c r="AR125" i="1"/>
  <c r="AR126" i="1"/>
  <c r="AR127" i="1"/>
  <c r="AR128" i="1"/>
  <c r="AR129" i="1"/>
  <c r="AR130" i="1"/>
  <c r="AR131" i="1"/>
  <c r="AR132" i="1"/>
  <c r="AR133" i="1"/>
  <c r="AR134" i="1"/>
  <c r="AR135" i="1"/>
  <c r="AR136" i="1"/>
  <c r="AR137" i="1"/>
  <c r="AR138" i="1"/>
  <c r="AR139" i="1"/>
  <c r="AR140" i="1"/>
  <c r="AR141" i="1"/>
  <c r="AR142" i="1"/>
  <c r="AR143" i="1"/>
  <c r="AR144" i="1"/>
  <c r="AR145" i="1"/>
  <c r="AR146" i="1"/>
  <c r="AR147" i="1"/>
  <c r="AR148" i="1"/>
  <c r="AR149" i="1"/>
  <c r="AR150" i="1"/>
  <c r="AR151" i="1"/>
  <c r="AR152" i="1"/>
  <c r="AR153" i="1"/>
  <c r="AR154" i="1"/>
  <c r="AR155" i="1"/>
  <c r="AR156" i="1"/>
  <c r="AR157" i="1"/>
  <c r="AR158" i="1"/>
  <c r="AR159" i="1"/>
  <c r="AR160" i="1"/>
  <c r="AR161" i="1"/>
  <c r="AR162" i="1"/>
  <c r="AR163" i="1"/>
  <c r="AR164" i="1"/>
  <c r="AR165" i="1"/>
  <c r="AR166" i="1"/>
  <c r="AR167" i="1"/>
  <c r="AR168" i="1"/>
  <c r="AR169" i="1"/>
  <c r="AR170" i="1"/>
  <c r="AR171" i="1"/>
  <c r="AR172" i="1"/>
  <c r="AR173" i="1"/>
  <c r="AR174" i="1"/>
  <c r="AR175" i="1"/>
  <c r="AR176" i="1"/>
  <c r="AR177" i="1"/>
  <c r="AR178" i="1"/>
  <c r="AR179" i="1"/>
  <c r="AR180" i="1"/>
  <c r="AR181" i="1"/>
  <c r="AR182" i="1"/>
  <c r="AR183" i="1"/>
  <c r="AR184" i="1"/>
  <c r="AR185" i="1"/>
  <c r="AR186" i="1"/>
  <c r="AR187" i="1"/>
  <c r="AR188" i="1"/>
  <c r="AR189" i="1"/>
  <c r="AR190" i="1"/>
  <c r="AR191" i="1"/>
  <c r="AR192" i="1"/>
  <c r="AR193" i="1"/>
  <c r="AR194" i="1"/>
  <c r="AR195" i="1"/>
  <c r="AR196" i="1"/>
  <c r="AR197" i="1"/>
  <c r="AR198" i="1"/>
  <c r="AR199" i="1"/>
  <c r="AR200" i="1"/>
  <c r="AR201" i="1"/>
  <c r="AR202" i="1"/>
  <c r="AR203" i="1"/>
  <c r="AR204" i="1"/>
  <c r="AR205" i="1"/>
  <c r="AR206" i="1"/>
  <c r="AR207" i="1"/>
  <c r="AR208" i="1"/>
  <c r="AR209" i="1"/>
  <c r="AR210" i="1"/>
  <c r="AR211" i="1"/>
  <c r="AR212" i="1"/>
  <c r="AR213" i="1"/>
  <c r="AR214" i="1"/>
  <c r="AR215" i="1"/>
  <c r="AR216" i="1"/>
  <c r="AR217" i="1"/>
  <c r="AR218" i="1"/>
  <c r="AR219" i="1"/>
  <c r="AR220" i="1"/>
  <c r="AR221" i="1"/>
  <c r="AR222" i="1"/>
  <c r="AR223" i="1"/>
  <c r="AR224" i="1"/>
  <c r="AR225" i="1"/>
  <c r="AR226" i="1"/>
  <c r="AR227" i="1"/>
  <c r="AR228" i="1"/>
  <c r="AR229" i="1"/>
  <c r="AR230" i="1"/>
  <c r="AR231" i="1"/>
  <c r="AR232" i="1"/>
  <c r="AR233" i="1"/>
  <c r="AR234" i="1"/>
  <c r="AR235" i="1"/>
  <c r="AR236" i="1"/>
  <c r="AR237" i="1"/>
  <c r="AR238" i="1"/>
  <c r="AR239" i="1"/>
  <c r="AR240" i="1"/>
  <c r="AR241" i="1"/>
  <c r="AR242" i="1"/>
  <c r="AR243" i="1"/>
  <c r="AR244" i="1"/>
  <c r="AR245" i="1"/>
  <c r="AR246" i="1"/>
  <c r="AR247" i="1"/>
  <c r="AR248" i="1"/>
  <c r="AR249" i="1"/>
  <c r="AR250" i="1"/>
  <c r="AR251" i="1"/>
  <c r="AR252" i="1"/>
  <c r="AR253" i="1"/>
  <c r="AR254" i="1"/>
  <c r="AR255" i="1"/>
  <c r="AS4" i="1"/>
  <c r="AS5" i="1"/>
  <c r="AS6" i="1"/>
  <c r="AS7" i="1"/>
  <c r="AS8" i="1"/>
  <c r="AS9" i="1"/>
  <c r="AS10" i="1"/>
  <c r="AS11" i="1"/>
  <c r="AS12" i="1"/>
  <c r="AS13" i="1"/>
  <c r="AS14" i="1"/>
  <c r="AS15" i="1"/>
  <c r="AS16" i="1"/>
  <c r="AS17" i="1"/>
  <c r="AS18" i="1"/>
  <c r="AS19" i="1"/>
  <c r="AS20" i="1"/>
  <c r="AS21" i="1"/>
  <c r="AS22" i="1"/>
  <c r="AS23" i="1"/>
  <c r="AS24" i="1"/>
  <c r="AS25" i="1"/>
  <c r="AS26" i="1"/>
  <c r="AS27" i="1"/>
  <c r="AS28" i="1"/>
  <c r="AS29" i="1"/>
  <c r="AS30" i="1"/>
  <c r="AS31" i="1"/>
  <c r="AS32" i="1"/>
  <c r="AS33" i="1"/>
  <c r="AS34" i="1"/>
  <c r="AS35" i="1"/>
  <c r="AS36" i="1"/>
  <c r="AS37" i="1"/>
  <c r="AS38" i="1"/>
  <c r="AS39" i="1"/>
  <c r="AS40" i="1"/>
  <c r="AS41" i="1"/>
  <c r="AS42" i="1"/>
  <c r="AS43" i="1"/>
  <c r="AS44" i="1"/>
  <c r="AS45" i="1"/>
  <c r="AS46" i="1"/>
  <c r="AS47" i="1"/>
  <c r="AS48" i="1"/>
  <c r="AS49" i="1"/>
  <c r="AS50" i="1"/>
  <c r="AS51" i="1"/>
  <c r="AS52" i="1"/>
  <c r="AS53" i="1"/>
  <c r="AS54" i="1"/>
  <c r="AS55" i="1"/>
  <c r="AS56" i="1"/>
  <c r="AS57" i="1"/>
  <c r="AS58" i="1"/>
  <c r="AS59" i="1"/>
  <c r="AS60" i="1"/>
  <c r="AS61" i="1"/>
  <c r="AS62" i="1"/>
  <c r="AS63" i="1"/>
  <c r="AS64" i="1"/>
  <c r="AS65" i="1"/>
  <c r="AS66" i="1"/>
  <c r="AS67" i="1"/>
  <c r="AS68" i="1"/>
  <c r="AS69" i="1"/>
  <c r="AS70" i="1"/>
  <c r="AS71" i="1"/>
  <c r="AS72" i="1"/>
  <c r="AS73" i="1"/>
  <c r="AS74" i="1"/>
  <c r="AS75" i="1"/>
  <c r="AS76" i="1"/>
  <c r="AS77" i="1"/>
  <c r="AS78" i="1"/>
  <c r="AS79" i="1"/>
  <c r="AS80" i="1"/>
  <c r="AS81" i="1"/>
  <c r="AS82" i="1"/>
  <c r="AS83" i="1"/>
  <c r="AS84" i="1"/>
  <c r="AS85" i="1"/>
  <c r="AS86" i="1"/>
  <c r="AS87" i="1"/>
  <c r="AS88" i="1"/>
  <c r="AS89" i="1"/>
  <c r="AS90" i="1"/>
  <c r="AS91" i="1"/>
  <c r="AS92" i="1"/>
  <c r="AS93" i="1"/>
  <c r="AS94" i="1"/>
  <c r="AS95" i="1"/>
  <c r="AS96" i="1"/>
  <c r="AS97" i="1"/>
  <c r="AS98" i="1"/>
  <c r="AS99" i="1"/>
  <c r="AS100" i="1"/>
  <c r="AS101" i="1"/>
  <c r="AS102" i="1"/>
  <c r="AS103" i="1"/>
  <c r="AS104" i="1"/>
  <c r="AS105" i="1"/>
  <c r="AS106" i="1"/>
  <c r="AS107" i="1"/>
  <c r="AS108" i="1"/>
  <c r="AS109" i="1"/>
  <c r="AS110" i="1"/>
  <c r="AS111" i="1"/>
  <c r="AS112" i="1"/>
  <c r="AS113" i="1"/>
  <c r="AS114" i="1"/>
  <c r="AS115" i="1"/>
  <c r="AS116" i="1"/>
  <c r="AS117" i="1"/>
  <c r="AS118" i="1"/>
  <c r="AS119" i="1"/>
  <c r="AS120" i="1"/>
  <c r="AS121" i="1"/>
  <c r="AS122" i="1"/>
  <c r="AS123" i="1"/>
  <c r="AS124" i="1"/>
  <c r="AS125" i="1"/>
  <c r="AS126" i="1"/>
  <c r="AS127" i="1"/>
  <c r="AS128" i="1"/>
  <c r="AS129" i="1"/>
  <c r="AS130" i="1"/>
  <c r="AS131" i="1"/>
  <c r="AS132" i="1"/>
  <c r="AS133" i="1"/>
  <c r="AS134" i="1"/>
  <c r="AS135" i="1"/>
  <c r="AS136" i="1"/>
  <c r="AS137" i="1"/>
  <c r="AS138" i="1"/>
  <c r="AS139" i="1"/>
  <c r="AS140" i="1"/>
  <c r="AS141" i="1"/>
  <c r="AS142" i="1"/>
  <c r="AS143" i="1"/>
  <c r="AS144" i="1"/>
  <c r="AS145" i="1"/>
  <c r="AS146" i="1"/>
  <c r="AS147" i="1"/>
  <c r="AS148" i="1"/>
  <c r="AS149" i="1"/>
  <c r="AS150" i="1"/>
  <c r="AS151" i="1"/>
  <c r="AS152" i="1"/>
  <c r="AS153" i="1"/>
  <c r="AS154" i="1"/>
  <c r="AS155" i="1"/>
  <c r="AS156" i="1"/>
  <c r="AS157" i="1"/>
  <c r="AS158" i="1"/>
  <c r="AS159" i="1"/>
  <c r="AS160" i="1"/>
  <c r="AS161" i="1"/>
  <c r="AS162" i="1"/>
  <c r="AS163" i="1"/>
  <c r="AS164" i="1"/>
  <c r="AS165" i="1"/>
  <c r="AS166" i="1"/>
  <c r="AS167" i="1"/>
  <c r="AS168" i="1"/>
  <c r="AS169" i="1"/>
  <c r="AS170" i="1"/>
  <c r="AS171" i="1"/>
  <c r="AS172" i="1"/>
  <c r="AS173" i="1"/>
  <c r="AS174" i="1"/>
  <c r="AS175" i="1"/>
  <c r="AS176" i="1"/>
  <c r="AS177" i="1"/>
  <c r="AS178" i="1"/>
  <c r="AS179" i="1"/>
  <c r="AS180" i="1"/>
  <c r="AS181" i="1"/>
  <c r="AS182" i="1"/>
  <c r="AS183" i="1"/>
  <c r="AS184" i="1"/>
  <c r="AS185" i="1"/>
  <c r="AS186" i="1"/>
  <c r="AS187" i="1"/>
  <c r="AS188" i="1"/>
  <c r="AS189" i="1"/>
  <c r="AS190" i="1"/>
  <c r="AS191" i="1"/>
  <c r="AS192" i="1"/>
  <c r="AS193" i="1"/>
  <c r="AS194" i="1"/>
  <c r="AS195" i="1"/>
  <c r="AS196" i="1"/>
  <c r="AS197" i="1"/>
  <c r="AS198" i="1"/>
  <c r="AS199" i="1"/>
  <c r="AS200" i="1"/>
  <c r="AS201" i="1"/>
  <c r="AS202" i="1"/>
  <c r="AS203" i="1"/>
  <c r="AS204" i="1"/>
  <c r="AS205" i="1"/>
  <c r="AS206" i="1"/>
  <c r="AS207" i="1"/>
  <c r="AS208" i="1"/>
  <c r="AS209" i="1"/>
  <c r="AS210" i="1"/>
  <c r="AS211" i="1"/>
  <c r="AS212" i="1"/>
  <c r="AS213" i="1"/>
  <c r="AS214" i="1"/>
  <c r="AS215" i="1"/>
  <c r="AS216" i="1"/>
  <c r="AS217" i="1"/>
  <c r="AS218" i="1"/>
  <c r="AS219" i="1"/>
  <c r="AS220" i="1"/>
  <c r="AS221" i="1"/>
  <c r="AS222" i="1"/>
  <c r="AS223" i="1"/>
  <c r="AS224" i="1"/>
  <c r="AS225" i="1"/>
  <c r="AS226" i="1"/>
  <c r="AS227" i="1"/>
  <c r="AS228" i="1"/>
  <c r="AS229" i="1"/>
  <c r="AS230" i="1"/>
  <c r="AS231" i="1"/>
  <c r="AS232" i="1"/>
  <c r="AS233" i="1"/>
  <c r="AS234" i="1"/>
  <c r="AS235" i="1"/>
  <c r="AS236" i="1"/>
  <c r="AS237" i="1"/>
  <c r="AS238" i="1"/>
  <c r="AS239" i="1"/>
  <c r="AS240" i="1"/>
  <c r="AS241" i="1"/>
  <c r="AS242" i="1"/>
  <c r="AS243" i="1"/>
  <c r="AS244" i="1"/>
  <c r="AS245" i="1"/>
  <c r="AS246" i="1"/>
  <c r="AS247" i="1"/>
  <c r="AS248" i="1"/>
  <c r="AS249" i="1"/>
  <c r="AS250" i="1"/>
  <c r="AS251" i="1"/>
  <c r="AS252" i="1"/>
  <c r="AS253" i="1"/>
  <c r="AS254" i="1"/>
  <c r="AS255" i="1"/>
  <c r="AT4" i="1"/>
  <c r="AT5" i="1"/>
  <c r="AT6" i="1"/>
  <c r="AT7" i="1"/>
  <c r="AT8" i="1"/>
  <c r="AT9" i="1"/>
  <c r="AT10" i="1"/>
  <c r="AT11" i="1"/>
  <c r="AT12" i="1"/>
  <c r="AT13" i="1"/>
  <c r="AT14" i="1"/>
  <c r="AT15" i="1"/>
  <c r="AT16" i="1"/>
  <c r="AT17" i="1"/>
  <c r="AT18" i="1"/>
  <c r="AT19" i="1"/>
  <c r="AT20" i="1"/>
  <c r="AT21" i="1"/>
  <c r="AT22" i="1"/>
  <c r="AT23" i="1"/>
  <c r="AT24" i="1"/>
  <c r="AT25" i="1"/>
  <c r="AT26" i="1"/>
  <c r="AT27" i="1"/>
  <c r="AT28" i="1"/>
  <c r="AT29" i="1"/>
  <c r="AT30" i="1"/>
  <c r="AT31" i="1"/>
  <c r="AT32" i="1"/>
  <c r="AT33" i="1"/>
  <c r="AT34" i="1"/>
  <c r="AT35" i="1"/>
  <c r="AT36" i="1"/>
  <c r="AT37" i="1"/>
  <c r="AT38" i="1"/>
  <c r="AT39" i="1"/>
  <c r="AT40" i="1"/>
  <c r="AT41" i="1"/>
  <c r="AT42" i="1"/>
  <c r="AT43" i="1"/>
  <c r="AT44" i="1"/>
  <c r="AT45" i="1"/>
  <c r="AT46" i="1"/>
  <c r="AT47" i="1"/>
  <c r="AT48" i="1"/>
  <c r="AT49" i="1"/>
  <c r="AT50" i="1"/>
  <c r="AT51" i="1"/>
  <c r="AT52" i="1"/>
  <c r="AT53" i="1"/>
  <c r="AT54" i="1"/>
  <c r="AT55" i="1"/>
  <c r="AT56" i="1"/>
  <c r="AT57" i="1"/>
  <c r="AT58" i="1"/>
  <c r="AT59" i="1"/>
  <c r="AT60" i="1"/>
  <c r="AT61" i="1"/>
  <c r="AT62" i="1"/>
  <c r="AT63" i="1"/>
  <c r="AT64" i="1"/>
  <c r="AT65" i="1"/>
  <c r="AT66" i="1"/>
  <c r="AT67" i="1"/>
  <c r="AT68" i="1"/>
  <c r="AT69" i="1"/>
  <c r="AT70" i="1"/>
  <c r="AT71" i="1"/>
  <c r="AT72" i="1"/>
  <c r="AT73" i="1"/>
  <c r="AT74" i="1"/>
  <c r="AT75" i="1"/>
  <c r="AT76" i="1"/>
  <c r="AT77" i="1"/>
  <c r="AT78" i="1"/>
  <c r="AT79" i="1"/>
  <c r="AT80" i="1"/>
  <c r="AT81" i="1"/>
  <c r="AT82" i="1"/>
  <c r="AT83" i="1"/>
  <c r="AT84" i="1"/>
  <c r="AT85" i="1"/>
  <c r="AT86" i="1"/>
  <c r="AT87" i="1"/>
  <c r="AT88" i="1"/>
  <c r="AT89" i="1"/>
  <c r="AT90" i="1"/>
  <c r="AT91" i="1"/>
  <c r="AT92" i="1"/>
  <c r="AT93" i="1"/>
  <c r="AT94" i="1"/>
  <c r="AT95" i="1"/>
  <c r="AT96" i="1"/>
  <c r="AT97" i="1"/>
  <c r="AT98" i="1"/>
  <c r="AT99" i="1"/>
  <c r="AT100" i="1"/>
  <c r="AT101" i="1"/>
  <c r="AT102" i="1"/>
  <c r="AT103" i="1"/>
  <c r="AT104" i="1"/>
  <c r="AT105" i="1"/>
  <c r="AT106" i="1"/>
  <c r="AT107" i="1"/>
  <c r="AT108" i="1"/>
  <c r="AT109" i="1"/>
  <c r="AT110" i="1"/>
  <c r="AT111" i="1"/>
  <c r="AT112" i="1"/>
  <c r="AT113" i="1"/>
  <c r="AT114" i="1"/>
  <c r="AT115" i="1"/>
  <c r="AT116" i="1"/>
  <c r="AT117" i="1"/>
  <c r="AT118" i="1"/>
  <c r="AT119" i="1"/>
  <c r="AT120" i="1"/>
  <c r="AT121" i="1"/>
  <c r="AT122" i="1"/>
  <c r="AT123" i="1"/>
  <c r="AT124" i="1"/>
  <c r="AT125" i="1"/>
  <c r="AT126" i="1"/>
  <c r="AT127" i="1"/>
  <c r="AT128" i="1"/>
  <c r="AT129" i="1"/>
  <c r="AT130" i="1"/>
  <c r="AT131" i="1"/>
  <c r="AT132" i="1"/>
  <c r="AT133" i="1"/>
  <c r="AT134" i="1"/>
  <c r="AT135" i="1"/>
  <c r="AT136" i="1"/>
  <c r="AT137" i="1"/>
  <c r="AT138" i="1"/>
  <c r="AT139" i="1"/>
  <c r="AT140" i="1"/>
  <c r="AT141" i="1"/>
  <c r="AT142" i="1"/>
  <c r="AT143" i="1"/>
  <c r="AT144" i="1"/>
  <c r="AT145" i="1"/>
  <c r="AT146" i="1"/>
  <c r="AT147" i="1"/>
  <c r="AT148" i="1"/>
  <c r="AT149" i="1"/>
  <c r="AT150" i="1"/>
  <c r="AT151" i="1"/>
  <c r="AT152" i="1"/>
  <c r="AT153" i="1"/>
  <c r="AT154" i="1"/>
  <c r="AT155" i="1"/>
  <c r="AT156" i="1"/>
  <c r="AT157" i="1"/>
  <c r="AT158" i="1"/>
  <c r="AT159" i="1"/>
  <c r="AT160" i="1"/>
  <c r="AT161" i="1"/>
  <c r="AT162" i="1"/>
  <c r="AT163" i="1"/>
  <c r="AT164" i="1"/>
  <c r="AT165" i="1"/>
  <c r="AT166" i="1"/>
  <c r="AT167" i="1"/>
  <c r="AT168" i="1"/>
  <c r="AT169" i="1"/>
  <c r="AT170" i="1"/>
  <c r="AT171" i="1"/>
  <c r="AT172" i="1"/>
  <c r="AT173" i="1"/>
  <c r="AT174" i="1"/>
  <c r="AT175" i="1"/>
  <c r="AT176" i="1"/>
  <c r="AT177" i="1"/>
  <c r="AT178" i="1"/>
  <c r="AT179" i="1"/>
  <c r="AT180" i="1"/>
  <c r="AT181" i="1"/>
  <c r="AT182" i="1"/>
  <c r="AT183" i="1"/>
  <c r="AT184" i="1"/>
  <c r="AT185" i="1"/>
  <c r="AT186" i="1"/>
  <c r="AT187" i="1"/>
  <c r="AT188" i="1"/>
  <c r="AT189" i="1"/>
  <c r="AT190" i="1"/>
  <c r="AT191" i="1"/>
  <c r="AT192" i="1"/>
  <c r="AT193" i="1"/>
  <c r="AT194" i="1"/>
  <c r="AT195" i="1"/>
  <c r="AT196" i="1"/>
  <c r="AT197" i="1"/>
  <c r="AT198" i="1"/>
  <c r="AT199" i="1"/>
  <c r="AT200" i="1"/>
  <c r="AT201" i="1"/>
  <c r="AT202" i="1"/>
  <c r="AT203" i="1"/>
  <c r="AT204" i="1"/>
  <c r="AT205" i="1"/>
  <c r="AT206" i="1"/>
  <c r="AT207" i="1"/>
  <c r="AT208" i="1"/>
  <c r="AT209" i="1"/>
  <c r="AT210" i="1"/>
  <c r="AT211" i="1"/>
  <c r="AT212" i="1"/>
  <c r="AT213" i="1"/>
  <c r="AT214" i="1"/>
  <c r="AT215" i="1"/>
  <c r="AT216" i="1"/>
  <c r="AT217" i="1"/>
  <c r="AT218" i="1"/>
  <c r="AT219" i="1"/>
  <c r="AT220" i="1"/>
  <c r="AT221" i="1"/>
  <c r="AT222" i="1"/>
  <c r="AT223" i="1"/>
  <c r="AT224" i="1"/>
  <c r="AT225" i="1"/>
  <c r="AT226" i="1"/>
  <c r="AT227" i="1"/>
  <c r="AT228" i="1"/>
  <c r="AT229" i="1"/>
  <c r="AT230" i="1"/>
  <c r="AT231" i="1"/>
  <c r="AT232" i="1"/>
  <c r="AT233" i="1"/>
  <c r="AT234" i="1"/>
  <c r="AT235" i="1"/>
  <c r="AT236" i="1"/>
  <c r="AT237" i="1"/>
  <c r="AT238" i="1"/>
  <c r="AT239" i="1"/>
  <c r="AT240" i="1"/>
  <c r="AT241" i="1"/>
  <c r="AT242" i="1"/>
  <c r="AT243" i="1"/>
  <c r="AT244" i="1"/>
  <c r="AT245" i="1"/>
  <c r="AT246" i="1"/>
  <c r="AT247" i="1"/>
  <c r="AT248" i="1"/>
  <c r="AT249" i="1"/>
  <c r="AT250" i="1"/>
  <c r="AT251" i="1"/>
  <c r="AT252" i="1"/>
  <c r="AT253" i="1"/>
  <c r="AT254" i="1"/>
  <c r="AT255" i="1"/>
  <c r="AU4" i="1"/>
  <c r="AZ4" i="4" s="1"/>
  <c r="BA4" i="4" s="1"/>
  <c r="AU5" i="1"/>
  <c r="AZ5" i="4" s="1"/>
  <c r="BA5" i="4" s="1"/>
  <c r="AU6" i="1"/>
  <c r="AZ6" i="4" s="1"/>
  <c r="BA6" i="4" s="1"/>
  <c r="AU7" i="1"/>
  <c r="AU8" i="1"/>
  <c r="AZ8" i="4" s="1"/>
  <c r="BA8" i="4" s="1"/>
  <c r="AU9" i="1"/>
  <c r="AZ9" i="4" s="1"/>
  <c r="BA9" i="4" s="1"/>
  <c r="AU10" i="1"/>
  <c r="AZ10" i="4" s="1"/>
  <c r="BA10" i="4" s="1"/>
  <c r="AU11" i="1"/>
  <c r="AZ11" i="4" s="1"/>
  <c r="BA11" i="4" s="1"/>
  <c r="AU12" i="1"/>
  <c r="AZ12" i="4" s="1"/>
  <c r="BA12" i="4" s="1"/>
  <c r="AU13" i="1"/>
  <c r="AU14" i="1"/>
  <c r="AZ14" i="4" s="1"/>
  <c r="BA14" i="4" s="1"/>
  <c r="AU15" i="1"/>
  <c r="AZ15" i="4" s="1"/>
  <c r="BA15" i="4" s="1"/>
  <c r="AU16" i="1"/>
  <c r="AZ16" i="4" s="1"/>
  <c r="BA16" i="4" s="1"/>
  <c r="AU17" i="1"/>
  <c r="AZ17" i="4" s="1"/>
  <c r="BA17" i="4" s="1"/>
  <c r="AU18" i="1"/>
  <c r="AZ18" i="4" s="1"/>
  <c r="BA18" i="4" s="1"/>
  <c r="AU19" i="1"/>
  <c r="AU20" i="1"/>
  <c r="AZ20" i="4" s="1"/>
  <c r="BA20" i="4" s="1"/>
  <c r="AU21" i="1"/>
  <c r="AZ21" i="4" s="1"/>
  <c r="BA21" i="4" s="1"/>
  <c r="AU22" i="1"/>
  <c r="AZ22" i="4" s="1"/>
  <c r="BA22" i="4" s="1"/>
  <c r="AU23" i="1"/>
  <c r="AZ23" i="4" s="1"/>
  <c r="BA23" i="4" s="1"/>
  <c r="AU24" i="1"/>
  <c r="AZ24" i="4" s="1"/>
  <c r="BA24" i="4" s="1"/>
  <c r="AU25" i="1"/>
  <c r="AU26" i="1"/>
  <c r="AZ26" i="4" s="1"/>
  <c r="BA26" i="4" s="1"/>
  <c r="AU27" i="1"/>
  <c r="AZ27" i="4" s="1"/>
  <c r="BA27" i="4" s="1"/>
  <c r="AU28" i="1"/>
  <c r="AZ28" i="4" s="1"/>
  <c r="BA28" i="4" s="1"/>
  <c r="AU29" i="1"/>
  <c r="AZ29" i="4" s="1"/>
  <c r="AU30" i="1"/>
  <c r="AZ30" i="4" s="1"/>
  <c r="BA30" i="4" s="1"/>
  <c r="AU31" i="1"/>
  <c r="AU32" i="1"/>
  <c r="AZ32" i="4" s="1"/>
  <c r="BA32" i="4" s="1"/>
  <c r="AU33" i="1"/>
  <c r="AZ33" i="4" s="1"/>
  <c r="AU34" i="1"/>
  <c r="AZ34" i="4" s="1"/>
  <c r="BA34" i="4" s="1"/>
  <c r="AU35" i="1"/>
  <c r="AZ35" i="4" s="1"/>
  <c r="BA35" i="4" s="1"/>
  <c r="AU36" i="1"/>
  <c r="AZ36" i="4" s="1"/>
  <c r="AU37" i="1"/>
  <c r="AU38" i="1"/>
  <c r="AZ38" i="4" s="1"/>
  <c r="BA38" i="4" s="1"/>
  <c r="AU39" i="1"/>
  <c r="AZ39" i="4" s="1"/>
  <c r="BA39" i="4" s="1"/>
  <c r="AU40" i="1"/>
  <c r="AZ40" i="4" s="1"/>
  <c r="BA40" i="4" s="1"/>
  <c r="AU41" i="1"/>
  <c r="AZ41" i="4" s="1"/>
  <c r="BA41" i="4" s="1"/>
  <c r="AU42" i="1"/>
  <c r="AZ42" i="4" s="1"/>
  <c r="BA42" i="4" s="1"/>
  <c r="AU43" i="1"/>
  <c r="AU44" i="1"/>
  <c r="AZ44" i="4" s="1"/>
  <c r="BA44" i="4" s="1"/>
  <c r="AU45" i="1"/>
  <c r="AZ45" i="4" s="1"/>
  <c r="BA45" i="4" s="1"/>
  <c r="AU46" i="1"/>
  <c r="AZ46" i="4" s="1"/>
  <c r="BA46" i="4" s="1"/>
  <c r="AU47" i="1"/>
  <c r="AZ47" i="4" s="1"/>
  <c r="BA47" i="4" s="1"/>
  <c r="AU48" i="1"/>
  <c r="AZ48" i="4" s="1"/>
  <c r="BA48" i="4" s="1"/>
  <c r="AU49" i="1"/>
  <c r="AU50" i="1"/>
  <c r="AZ50" i="4" s="1"/>
  <c r="BA50" i="4" s="1"/>
  <c r="AU51" i="1"/>
  <c r="AZ51" i="4" s="1"/>
  <c r="BA51" i="4" s="1"/>
  <c r="AU52" i="1"/>
  <c r="AZ52" i="4" s="1"/>
  <c r="BA52" i="4" s="1"/>
  <c r="AU53" i="1"/>
  <c r="AZ53" i="4" s="1"/>
  <c r="BA53" i="4" s="1"/>
  <c r="AU54" i="1"/>
  <c r="AZ54" i="4" s="1"/>
  <c r="BA54" i="4" s="1"/>
  <c r="AU55" i="1"/>
  <c r="AU56" i="1"/>
  <c r="AZ56" i="4" s="1"/>
  <c r="BA56" i="4" s="1"/>
  <c r="AU57" i="1"/>
  <c r="AZ57" i="4" s="1"/>
  <c r="BA57" i="4" s="1"/>
  <c r="AU58" i="1"/>
  <c r="AZ58" i="4" s="1"/>
  <c r="BA58" i="4" s="1"/>
  <c r="AU59" i="1"/>
  <c r="AZ59" i="4" s="1"/>
  <c r="BA59" i="4" s="1"/>
  <c r="AU60" i="1"/>
  <c r="AZ60" i="4" s="1"/>
  <c r="BA60" i="4" s="1"/>
  <c r="AU61" i="1"/>
  <c r="AU62" i="1"/>
  <c r="AZ62" i="4" s="1"/>
  <c r="BA62" i="4" s="1"/>
  <c r="AU63" i="1"/>
  <c r="AZ63" i="4" s="1"/>
  <c r="BA63" i="4" s="1"/>
  <c r="AU64" i="1"/>
  <c r="AZ64" i="4" s="1"/>
  <c r="BA64" i="4" s="1"/>
  <c r="AU65" i="1"/>
  <c r="AZ65" i="4" s="1"/>
  <c r="AU66" i="1"/>
  <c r="AZ66" i="4" s="1"/>
  <c r="BA66" i="4" s="1"/>
  <c r="AU67" i="1"/>
  <c r="AU68" i="1"/>
  <c r="AZ68" i="4" s="1"/>
  <c r="BA68" i="4" s="1"/>
  <c r="AU69" i="1"/>
  <c r="AZ69" i="4" s="1"/>
  <c r="AU70" i="1"/>
  <c r="AZ70" i="4" s="1"/>
  <c r="BA70" i="4" s="1"/>
  <c r="AU71" i="1"/>
  <c r="AZ71" i="4" s="1"/>
  <c r="BA71" i="4" s="1"/>
  <c r="AU72" i="1"/>
  <c r="AZ72" i="4" s="1"/>
  <c r="AU73" i="1"/>
  <c r="AU74" i="1"/>
  <c r="AZ74" i="4" s="1"/>
  <c r="BA74" i="4" s="1"/>
  <c r="AU75" i="1"/>
  <c r="AZ75" i="4" s="1"/>
  <c r="BA75" i="4" s="1"/>
  <c r="AU76" i="1"/>
  <c r="AZ76" i="4" s="1"/>
  <c r="BA76" i="4" s="1"/>
  <c r="AU77" i="1"/>
  <c r="AZ77" i="4" s="1"/>
  <c r="BA77" i="4" s="1"/>
  <c r="AU78" i="1"/>
  <c r="AZ78" i="4" s="1"/>
  <c r="BA78" i="4" s="1"/>
  <c r="AU79" i="1"/>
  <c r="AU80" i="1"/>
  <c r="AZ80" i="4" s="1"/>
  <c r="BA80" i="4" s="1"/>
  <c r="AU81" i="1"/>
  <c r="AZ81" i="4" s="1"/>
  <c r="BA81" i="4" s="1"/>
  <c r="AU82" i="1"/>
  <c r="AZ82" i="4" s="1"/>
  <c r="BA82" i="4" s="1"/>
  <c r="AU83" i="1"/>
  <c r="AZ83" i="4" s="1"/>
  <c r="BA83" i="4" s="1"/>
  <c r="AU84" i="1"/>
  <c r="AZ84" i="4" s="1"/>
  <c r="BA84" i="4" s="1"/>
  <c r="AU85" i="1"/>
  <c r="AU86" i="1"/>
  <c r="AZ86" i="4" s="1"/>
  <c r="BA86" i="4" s="1"/>
  <c r="AU87" i="1"/>
  <c r="AZ87" i="4" s="1"/>
  <c r="BA87" i="4" s="1"/>
  <c r="AU88" i="1"/>
  <c r="AZ88" i="4" s="1"/>
  <c r="BA88" i="4" s="1"/>
  <c r="AU89" i="1"/>
  <c r="AZ89" i="4" s="1"/>
  <c r="BA89" i="4" s="1"/>
  <c r="AU90" i="1"/>
  <c r="AZ90" i="4" s="1"/>
  <c r="BA90" i="4" s="1"/>
  <c r="AU91" i="1"/>
  <c r="AU92" i="1"/>
  <c r="AZ92" i="4" s="1"/>
  <c r="BA92" i="4" s="1"/>
  <c r="AU93" i="1"/>
  <c r="AZ93" i="4" s="1"/>
  <c r="BA93" i="4" s="1"/>
  <c r="AU94" i="1"/>
  <c r="AZ94" i="4" s="1"/>
  <c r="BA94" i="4" s="1"/>
  <c r="AU95" i="1"/>
  <c r="AZ95" i="4" s="1"/>
  <c r="BA95" i="4" s="1"/>
  <c r="AU96" i="1"/>
  <c r="AZ96" i="4" s="1"/>
  <c r="BA96" i="4" s="1"/>
  <c r="AU97" i="1"/>
  <c r="AU98" i="1"/>
  <c r="AZ98" i="4" s="1"/>
  <c r="BA98" i="4" s="1"/>
  <c r="AU99" i="1"/>
  <c r="AZ99" i="4" s="1"/>
  <c r="BA99" i="4" s="1"/>
  <c r="AU100" i="1"/>
  <c r="AZ100" i="4" s="1"/>
  <c r="BA100" i="4" s="1"/>
  <c r="AU101" i="1"/>
  <c r="AZ101" i="4" s="1"/>
  <c r="AU102" i="1"/>
  <c r="AZ102" i="4" s="1"/>
  <c r="BA102" i="4" s="1"/>
  <c r="AU103" i="1"/>
  <c r="AU104" i="1"/>
  <c r="AZ104" i="4" s="1"/>
  <c r="BA104" i="4" s="1"/>
  <c r="AU105" i="1"/>
  <c r="AZ105" i="4" s="1"/>
  <c r="AU106" i="1"/>
  <c r="AZ106" i="4" s="1"/>
  <c r="BA106" i="4" s="1"/>
  <c r="AU107" i="1"/>
  <c r="AZ107" i="4" s="1"/>
  <c r="BA107" i="4" s="1"/>
  <c r="AU108" i="1"/>
  <c r="AZ108" i="4" s="1"/>
  <c r="AU109" i="1"/>
  <c r="AU110" i="1"/>
  <c r="AZ110" i="4" s="1"/>
  <c r="BA110" i="4" s="1"/>
  <c r="AU111" i="1"/>
  <c r="AZ111" i="4" s="1"/>
  <c r="BA111" i="4" s="1"/>
  <c r="AU112" i="1"/>
  <c r="AZ112" i="4" s="1"/>
  <c r="BA112" i="4" s="1"/>
  <c r="AU113" i="1"/>
  <c r="AZ113" i="4" s="1"/>
  <c r="BA113" i="4" s="1"/>
  <c r="AU114" i="1"/>
  <c r="AZ114" i="4" s="1"/>
  <c r="BA114" i="4" s="1"/>
  <c r="AU115" i="1"/>
  <c r="AU116" i="1"/>
  <c r="AZ116" i="4" s="1"/>
  <c r="BA116" i="4" s="1"/>
  <c r="AU117" i="1"/>
  <c r="AZ117" i="4" s="1"/>
  <c r="BA117" i="4" s="1"/>
  <c r="AU118" i="1"/>
  <c r="AZ118" i="4" s="1"/>
  <c r="BA118" i="4" s="1"/>
  <c r="AU119" i="1"/>
  <c r="AZ119" i="4" s="1"/>
  <c r="BA119" i="4" s="1"/>
  <c r="AU120" i="1"/>
  <c r="AZ120" i="4" s="1"/>
  <c r="BA120" i="4" s="1"/>
  <c r="AU121" i="1"/>
  <c r="AU122" i="1"/>
  <c r="AZ122" i="4" s="1"/>
  <c r="BA122" i="4" s="1"/>
  <c r="AU123" i="1"/>
  <c r="AZ123" i="4" s="1"/>
  <c r="BA123" i="4" s="1"/>
  <c r="AU124" i="1"/>
  <c r="AZ124" i="4" s="1"/>
  <c r="BA124" i="4" s="1"/>
  <c r="AU125" i="1"/>
  <c r="AZ125" i="4" s="1"/>
  <c r="BA125" i="4" s="1"/>
  <c r="AU126" i="1"/>
  <c r="AZ126" i="4" s="1"/>
  <c r="BA126" i="4" s="1"/>
  <c r="AU127" i="1"/>
  <c r="AU128" i="1"/>
  <c r="AZ128" i="4" s="1"/>
  <c r="BA128" i="4" s="1"/>
  <c r="AU129" i="1"/>
  <c r="AZ129" i="4" s="1"/>
  <c r="BA129" i="4" s="1"/>
  <c r="AU130" i="1"/>
  <c r="AZ130" i="4" s="1"/>
  <c r="AU131" i="1"/>
  <c r="AZ131" i="4" s="1"/>
  <c r="BA131" i="4" s="1"/>
  <c r="AU132" i="1"/>
  <c r="AZ132" i="4" s="1"/>
  <c r="BA132" i="4" s="1"/>
  <c r="AU133" i="1"/>
  <c r="AU134" i="1"/>
  <c r="AZ134" i="4" s="1"/>
  <c r="BA134" i="4" s="1"/>
  <c r="AU135" i="1"/>
  <c r="AZ135" i="4" s="1"/>
  <c r="BA135" i="4" s="1"/>
  <c r="AU136" i="1"/>
  <c r="AZ136" i="4" s="1"/>
  <c r="BA136" i="4" s="1"/>
  <c r="AU137" i="1"/>
  <c r="AZ137" i="4" s="1"/>
  <c r="AU138" i="1"/>
  <c r="AZ138" i="4" s="1"/>
  <c r="BA138" i="4" s="1"/>
  <c r="AU139" i="1"/>
  <c r="AU140" i="1"/>
  <c r="AZ140" i="4" s="1"/>
  <c r="BA140" i="4" s="1"/>
  <c r="AU141" i="1"/>
  <c r="AZ141" i="4" s="1"/>
  <c r="AU142" i="1"/>
  <c r="AZ142" i="4" s="1"/>
  <c r="BA142" i="4" s="1"/>
  <c r="AU143" i="1"/>
  <c r="AZ143" i="4" s="1"/>
  <c r="BA143" i="4" s="1"/>
  <c r="AU144" i="1"/>
  <c r="AZ144" i="4" s="1"/>
  <c r="AU145" i="1"/>
  <c r="AU146" i="1"/>
  <c r="AZ146" i="4" s="1"/>
  <c r="BA146" i="4" s="1"/>
  <c r="AU147" i="1"/>
  <c r="AZ147" i="4" s="1"/>
  <c r="BA147" i="4" s="1"/>
  <c r="AU148" i="1"/>
  <c r="AZ148" i="4" s="1"/>
  <c r="BA148" i="4" s="1"/>
  <c r="AU149" i="1"/>
  <c r="AZ149" i="4" s="1"/>
  <c r="BA149" i="4" s="1"/>
  <c r="AU150" i="1"/>
  <c r="AZ150" i="4" s="1"/>
  <c r="BA150" i="4" s="1"/>
  <c r="AU151" i="1"/>
  <c r="AU152" i="1"/>
  <c r="AZ152" i="4" s="1"/>
  <c r="AU153" i="1"/>
  <c r="AZ153" i="4" s="1"/>
  <c r="BA153" i="4" s="1"/>
  <c r="AU154" i="1"/>
  <c r="AZ154" i="4" s="1"/>
  <c r="BA154" i="4" s="1"/>
  <c r="AU155" i="1"/>
  <c r="AZ155" i="4" s="1"/>
  <c r="BA155" i="4" s="1"/>
  <c r="AU156" i="1"/>
  <c r="AZ156" i="4" s="1"/>
  <c r="BA156" i="4" s="1"/>
  <c r="AU157" i="1"/>
  <c r="AU158" i="1"/>
  <c r="AZ158" i="4" s="1"/>
  <c r="BA158" i="4" s="1"/>
  <c r="AU159" i="1"/>
  <c r="AZ159" i="4" s="1"/>
  <c r="BA159" i="4" s="1"/>
  <c r="AU160" i="1"/>
  <c r="AZ160" i="4" s="1"/>
  <c r="BA160" i="4" s="1"/>
  <c r="AU161" i="1"/>
  <c r="AZ161" i="4" s="1"/>
  <c r="BA161" i="4" s="1"/>
  <c r="AU162" i="1"/>
  <c r="AZ162" i="4" s="1"/>
  <c r="BA162" i="4" s="1"/>
  <c r="AU163" i="1"/>
  <c r="AU164" i="1"/>
  <c r="AZ164" i="4" s="1"/>
  <c r="BA164" i="4" s="1"/>
  <c r="AU165" i="1"/>
  <c r="AZ165" i="4" s="1"/>
  <c r="BA165" i="4" s="1"/>
  <c r="AU166" i="1"/>
  <c r="AZ166" i="4" s="1"/>
  <c r="BA166" i="4" s="1"/>
  <c r="AU167" i="1"/>
  <c r="AZ167" i="4" s="1"/>
  <c r="BA167" i="4" s="1"/>
  <c r="AU168" i="1"/>
  <c r="AZ168" i="4" s="1"/>
  <c r="BA168" i="4" s="1"/>
  <c r="AU169" i="1"/>
  <c r="AU170" i="1"/>
  <c r="AZ170" i="4" s="1"/>
  <c r="BA170" i="4" s="1"/>
  <c r="AU171" i="1"/>
  <c r="AZ171" i="4" s="1"/>
  <c r="BA171" i="4" s="1"/>
  <c r="AU172" i="1"/>
  <c r="AZ172" i="4" s="1"/>
  <c r="BA172" i="4" s="1"/>
  <c r="AU173" i="1"/>
  <c r="AZ173" i="4" s="1"/>
  <c r="AU174" i="1"/>
  <c r="AZ174" i="4" s="1"/>
  <c r="BA174" i="4" s="1"/>
  <c r="AU175" i="1"/>
  <c r="AU176" i="1"/>
  <c r="AZ176" i="4" s="1"/>
  <c r="BA176" i="4" s="1"/>
  <c r="AU177" i="1"/>
  <c r="AZ177" i="4" s="1"/>
  <c r="AU178" i="1"/>
  <c r="AZ178" i="4" s="1"/>
  <c r="BA178" i="4" s="1"/>
  <c r="AU179" i="1"/>
  <c r="AZ179" i="4" s="1"/>
  <c r="BA179" i="4" s="1"/>
  <c r="AU180" i="1"/>
  <c r="AZ180" i="4" s="1"/>
  <c r="AU181" i="1"/>
  <c r="AU182" i="1"/>
  <c r="AZ182" i="4" s="1"/>
  <c r="BA182" i="4" s="1"/>
  <c r="AU183" i="1"/>
  <c r="AZ183" i="4" s="1"/>
  <c r="BA183" i="4" s="1"/>
  <c r="AU184" i="1"/>
  <c r="AZ184" i="4" s="1"/>
  <c r="BA184" i="4" s="1"/>
  <c r="AU185" i="1"/>
  <c r="AZ185" i="4" s="1"/>
  <c r="BA185" i="4" s="1"/>
  <c r="AU186" i="1"/>
  <c r="AZ186" i="4" s="1"/>
  <c r="BA186" i="4" s="1"/>
  <c r="AU187" i="1"/>
  <c r="AU188" i="1"/>
  <c r="AZ188" i="4" s="1"/>
  <c r="BA188" i="4" s="1"/>
  <c r="AU189" i="1"/>
  <c r="AZ189" i="4" s="1"/>
  <c r="BA189" i="4" s="1"/>
  <c r="AU190" i="1"/>
  <c r="AZ190" i="4" s="1"/>
  <c r="BA190" i="4" s="1"/>
  <c r="AU191" i="1"/>
  <c r="AZ191" i="4" s="1"/>
  <c r="BA191" i="4" s="1"/>
  <c r="AU192" i="1"/>
  <c r="AZ192" i="4" s="1"/>
  <c r="BA192" i="4" s="1"/>
  <c r="AU193" i="1"/>
  <c r="AU194" i="1"/>
  <c r="AZ194" i="4" s="1"/>
  <c r="BA194" i="4" s="1"/>
  <c r="AU195" i="1"/>
  <c r="AZ195" i="4" s="1"/>
  <c r="BA195" i="4" s="1"/>
  <c r="AU196" i="1"/>
  <c r="AZ196" i="4" s="1"/>
  <c r="BA196" i="4" s="1"/>
  <c r="AU197" i="1"/>
  <c r="AZ197" i="4" s="1"/>
  <c r="BA197" i="4" s="1"/>
  <c r="AU198" i="1"/>
  <c r="AZ198" i="4" s="1"/>
  <c r="BA198" i="4" s="1"/>
  <c r="AU199" i="1"/>
  <c r="AU200" i="1"/>
  <c r="AZ200" i="4" s="1"/>
  <c r="BA200" i="4" s="1"/>
  <c r="AU201" i="1"/>
  <c r="AZ201" i="4" s="1"/>
  <c r="BA201" i="4" s="1"/>
  <c r="AU202" i="1"/>
  <c r="AZ202" i="4" s="1"/>
  <c r="BA202" i="4" s="1"/>
  <c r="AU203" i="1"/>
  <c r="AZ203" i="4" s="1"/>
  <c r="BA203" i="4" s="1"/>
  <c r="AU204" i="1"/>
  <c r="AZ204" i="4" s="1"/>
  <c r="BA204" i="4" s="1"/>
  <c r="AU205" i="1"/>
  <c r="AU206" i="1"/>
  <c r="AZ206" i="4" s="1"/>
  <c r="BA206" i="4" s="1"/>
  <c r="AU207" i="1"/>
  <c r="AZ207" i="4" s="1"/>
  <c r="BA207" i="4" s="1"/>
  <c r="AU208" i="1"/>
  <c r="AZ208" i="4" s="1"/>
  <c r="BA208" i="4" s="1"/>
  <c r="AU209" i="1"/>
  <c r="AZ209" i="4" s="1"/>
  <c r="BA209" i="4" s="1"/>
  <c r="AU210" i="1"/>
  <c r="AZ210" i="4" s="1"/>
  <c r="BA210" i="4" s="1"/>
  <c r="AU211" i="1"/>
  <c r="AU212" i="1"/>
  <c r="AZ212" i="4" s="1"/>
  <c r="BA212" i="4" s="1"/>
  <c r="AU213" i="1"/>
  <c r="AZ213" i="4" s="1"/>
  <c r="AU214" i="1"/>
  <c r="AZ214" i="4" s="1"/>
  <c r="BA214" i="4" s="1"/>
  <c r="AU215" i="1"/>
  <c r="AZ215" i="4" s="1"/>
  <c r="BA215" i="4" s="1"/>
  <c r="AU216" i="1"/>
  <c r="AZ216" i="4" s="1"/>
  <c r="AU217" i="1"/>
  <c r="AU218" i="1"/>
  <c r="AZ218" i="4" s="1"/>
  <c r="BA218" i="4" s="1"/>
  <c r="AU219" i="1"/>
  <c r="AZ219" i="4" s="1"/>
  <c r="AU220" i="1"/>
  <c r="AZ220" i="4" s="1"/>
  <c r="BA220" i="4" s="1"/>
  <c r="AU221" i="1"/>
  <c r="AZ221" i="4" s="1"/>
  <c r="BA221" i="4" s="1"/>
  <c r="AU222" i="1"/>
  <c r="AZ222" i="4" s="1"/>
  <c r="BA222" i="4" s="1"/>
  <c r="AU223" i="1"/>
  <c r="AU224" i="1"/>
  <c r="AZ224" i="4" s="1"/>
  <c r="BA224" i="4" s="1"/>
  <c r="AU225" i="1"/>
  <c r="AZ225" i="4" s="1"/>
  <c r="BA225" i="4" s="1"/>
  <c r="AU226" i="1"/>
  <c r="AZ226" i="4" s="1"/>
  <c r="BA226" i="4" s="1"/>
  <c r="AU227" i="1"/>
  <c r="AZ227" i="4" s="1"/>
  <c r="BA227" i="4" s="1"/>
  <c r="AU228" i="1"/>
  <c r="AZ228" i="4" s="1"/>
  <c r="BA228" i="4" s="1"/>
  <c r="AU229" i="1"/>
  <c r="AU230" i="1"/>
  <c r="AZ230" i="4" s="1"/>
  <c r="BA230" i="4" s="1"/>
  <c r="AU231" i="1"/>
  <c r="AZ231" i="4" s="1"/>
  <c r="AU232" i="1"/>
  <c r="AZ232" i="4" s="1"/>
  <c r="BA232" i="4" s="1"/>
  <c r="AU233" i="1"/>
  <c r="AZ233" i="4" s="1"/>
  <c r="BA233" i="4" s="1"/>
  <c r="AU234" i="1"/>
  <c r="AZ234" i="4" s="1"/>
  <c r="BA234" i="4" s="1"/>
  <c r="AU235" i="1"/>
  <c r="AU236" i="1"/>
  <c r="AZ236" i="4" s="1"/>
  <c r="BA236" i="4" s="1"/>
  <c r="AU237" i="1"/>
  <c r="AZ237" i="4" s="1"/>
  <c r="BA237" i="4" s="1"/>
  <c r="AU238" i="1"/>
  <c r="AZ238" i="4" s="1"/>
  <c r="BA238" i="4" s="1"/>
  <c r="AU239" i="1"/>
  <c r="AZ239" i="4" s="1"/>
  <c r="BA239" i="4" s="1"/>
  <c r="AU240" i="1"/>
  <c r="AZ240" i="4" s="1"/>
  <c r="BA240" i="4" s="1"/>
  <c r="AU241" i="1"/>
  <c r="AU242" i="1"/>
  <c r="AZ242" i="4" s="1"/>
  <c r="BA242" i="4" s="1"/>
  <c r="AU243" i="1"/>
  <c r="AZ243" i="4" s="1"/>
  <c r="BA243" i="4" s="1"/>
  <c r="AU244" i="1"/>
  <c r="AZ244" i="4" s="1"/>
  <c r="BA244" i="4" s="1"/>
  <c r="AU245" i="1"/>
  <c r="AZ245" i="4" s="1"/>
  <c r="BA245" i="4" s="1"/>
  <c r="AU246" i="1"/>
  <c r="AZ246" i="4" s="1"/>
  <c r="BA246" i="4" s="1"/>
  <c r="AU247" i="1"/>
  <c r="AU248" i="1"/>
  <c r="AZ248" i="4" s="1"/>
  <c r="BA248" i="4" s="1"/>
  <c r="AU249" i="1"/>
  <c r="AZ249" i="4" s="1"/>
  <c r="AU250" i="1"/>
  <c r="AZ250" i="4" s="1"/>
  <c r="BA250" i="4" s="1"/>
  <c r="AU251" i="1"/>
  <c r="AZ251" i="4" s="1"/>
  <c r="BA251" i="4" s="1"/>
  <c r="AU252" i="1"/>
  <c r="AZ252" i="4" s="1"/>
  <c r="AU253" i="1"/>
  <c r="AU254" i="1"/>
  <c r="AZ254" i="4" s="1"/>
  <c r="BA254" i="4" s="1"/>
  <c r="AU255" i="1"/>
  <c r="AZ255" i="4" s="1"/>
  <c r="AV4" i="1"/>
  <c r="BB4" i="4" s="1"/>
  <c r="BC4" i="4" s="1"/>
  <c r="AV5" i="1"/>
  <c r="BB5" i="4" s="1"/>
  <c r="BC5" i="4" s="1"/>
  <c r="AV6" i="1"/>
  <c r="BB6" i="4" s="1"/>
  <c r="BC6" i="4" s="1"/>
  <c r="AV7" i="1"/>
  <c r="BB7" i="4" s="1"/>
  <c r="BC7" i="4" s="1"/>
  <c r="AV8" i="1"/>
  <c r="BB8" i="4" s="1"/>
  <c r="BC8" i="4" s="1"/>
  <c r="AV9" i="1"/>
  <c r="BB9" i="4" s="1"/>
  <c r="BC9" i="4" s="1"/>
  <c r="AV10" i="1"/>
  <c r="BB10" i="4" s="1"/>
  <c r="BC10" i="4" s="1"/>
  <c r="AV11" i="1"/>
  <c r="BB11" i="4" s="1"/>
  <c r="BC11" i="4" s="1"/>
  <c r="AV12" i="1"/>
  <c r="BB12" i="4" s="1"/>
  <c r="BC12" i="4" s="1"/>
  <c r="AV13" i="1"/>
  <c r="BB13" i="4" s="1"/>
  <c r="BC13" i="4" s="1"/>
  <c r="AV14" i="1"/>
  <c r="BB14" i="4" s="1"/>
  <c r="BC14" i="4" s="1"/>
  <c r="AV15" i="1"/>
  <c r="BB15" i="4" s="1"/>
  <c r="BC15" i="4" s="1"/>
  <c r="AV16" i="1"/>
  <c r="BB16" i="4" s="1"/>
  <c r="BC16" i="4" s="1"/>
  <c r="AV17" i="1"/>
  <c r="BB17" i="4" s="1"/>
  <c r="BC17" i="4" s="1"/>
  <c r="AV18" i="1"/>
  <c r="BB18" i="4" s="1"/>
  <c r="BC18" i="4" s="1"/>
  <c r="AV19" i="1"/>
  <c r="BB19" i="4" s="1"/>
  <c r="BC19" i="4" s="1"/>
  <c r="AV20" i="1"/>
  <c r="BB20" i="4" s="1"/>
  <c r="BC20" i="4" s="1"/>
  <c r="AV21" i="1"/>
  <c r="BB21" i="4" s="1"/>
  <c r="BC21" i="4" s="1"/>
  <c r="AV22" i="1"/>
  <c r="BB22" i="4" s="1"/>
  <c r="BC22" i="4" s="1"/>
  <c r="AV23" i="1"/>
  <c r="BB23" i="4" s="1"/>
  <c r="BC23" i="4" s="1"/>
  <c r="AV24" i="1"/>
  <c r="BB24" i="4" s="1"/>
  <c r="BC24" i="4" s="1"/>
  <c r="AV25" i="1"/>
  <c r="BB25" i="4" s="1"/>
  <c r="BC25" i="4" s="1"/>
  <c r="AV26" i="1"/>
  <c r="BB26" i="4" s="1"/>
  <c r="BC26" i="4" s="1"/>
  <c r="AV27" i="1"/>
  <c r="BB27" i="4" s="1"/>
  <c r="BC27" i="4" s="1"/>
  <c r="AV28" i="1"/>
  <c r="BB28" i="4" s="1"/>
  <c r="BC28" i="4" s="1"/>
  <c r="AV29" i="1"/>
  <c r="BB29" i="4" s="1"/>
  <c r="BC29" i="4" s="1"/>
  <c r="AV30" i="1"/>
  <c r="BB30" i="4" s="1"/>
  <c r="BC30" i="4" s="1"/>
  <c r="AV31" i="1"/>
  <c r="BB31" i="4" s="1"/>
  <c r="BC31" i="4" s="1"/>
  <c r="AV32" i="1"/>
  <c r="BB32" i="4" s="1"/>
  <c r="BC32" i="4" s="1"/>
  <c r="AV33" i="1"/>
  <c r="BB33" i="4" s="1"/>
  <c r="BC33" i="4" s="1"/>
  <c r="AV34" i="1"/>
  <c r="BB34" i="4" s="1"/>
  <c r="BC34" i="4" s="1"/>
  <c r="AV35" i="1"/>
  <c r="BB35" i="4" s="1"/>
  <c r="BC35" i="4" s="1"/>
  <c r="AV36" i="1"/>
  <c r="BB36" i="4" s="1"/>
  <c r="BC36" i="4" s="1"/>
  <c r="AV37" i="1"/>
  <c r="BB37" i="4" s="1"/>
  <c r="BC37" i="4" s="1"/>
  <c r="AV38" i="1"/>
  <c r="BB38" i="4" s="1"/>
  <c r="BC38" i="4" s="1"/>
  <c r="AV39" i="1"/>
  <c r="BB39" i="4" s="1"/>
  <c r="BC39" i="4" s="1"/>
  <c r="AV40" i="1"/>
  <c r="BB40" i="4" s="1"/>
  <c r="BC40" i="4" s="1"/>
  <c r="AV41" i="1"/>
  <c r="BB41" i="4" s="1"/>
  <c r="BC41" i="4" s="1"/>
  <c r="AV42" i="1"/>
  <c r="BB42" i="4" s="1"/>
  <c r="BC42" i="4" s="1"/>
  <c r="AV43" i="1"/>
  <c r="BB43" i="4" s="1"/>
  <c r="BC43" i="4" s="1"/>
  <c r="AV44" i="1"/>
  <c r="BB44" i="4" s="1"/>
  <c r="BC44" i="4" s="1"/>
  <c r="AV45" i="1"/>
  <c r="BB45" i="4" s="1"/>
  <c r="BC45" i="4" s="1"/>
  <c r="AV46" i="1"/>
  <c r="BB46" i="4" s="1"/>
  <c r="BC46" i="4" s="1"/>
  <c r="AV47" i="1"/>
  <c r="BB47" i="4" s="1"/>
  <c r="BC47" i="4" s="1"/>
  <c r="AV48" i="1"/>
  <c r="BB48" i="4" s="1"/>
  <c r="BC48" i="4" s="1"/>
  <c r="AV49" i="1"/>
  <c r="BB49" i="4" s="1"/>
  <c r="BC49" i="4" s="1"/>
  <c r="AV50" i="1"/>
  <c r="BB50" i="4" s="1"/>
  <c r="BC50" i="4" s="1"/>
  <c r="AV51" i="1"/>
  <c r="BB51" i="4" s="1"/>
  <c r="BC51" i="4" s="1"/>
  <c r="AV52" i="1"/>
  <c r="BB52" i="4" s="1"/>
  <c r="BC52" i="4" s="1"/>
  <c r="AV53" i="1"/>
  <c r="BB53" i="4" s="1"/>
  <c r="BC53" i="4" s="1"/>
  <c r="AV54" i="1"/>
  <c r="BB54" i="4" s="1"/>
  <c r="BC54" i="4" s="1"/>
  <c r="AV55" i="1"/>
  <c r="BB55" i="4" s="1"/>
  <c r="BC55" i="4" s="1"/>
  <c r="AV56" i="1"/>
  <c r="BB56" i="4" s="1"/>
  <c r="BC56" i="4" s="1"/>
  <c r="AV57" i="1"/>
  <c r="BB57" i="4" s="1"/>
  <c r="BC57" i="4" s="1"/>
  <c r="AV58" i="1"/>
  <c r="BB58" i="4" s="1"/>
  <c r="BC58" i="4" s="1"/>
  <c r="AV59" i="1"/>
  <c r="BB59" i="4" s="1"/>
  <c r="BC59" i="4" s="1"/>
  <c r="AV60" i="1"/>
  <c r="BB60" i="4" s="1"/>
  <c r="BC60" i="4" s="1"/>
  <c r="AV61" i="1"/>
  <c r="BB61" i="4" s="1"/>
  <c r="BC61" i="4" s="1"/>
  <c r="AV62" i="1"/>
  <c r="BB62" i="4" s="1"/>
  <c r="BC62" i="4" s="1"/>
  <c r="AV63" i="1"/>
  <c r="BB63" i="4" s="1"/>
  <c r="BC63" i="4" s="1"/>
  <c r="AV64" i="1"/>
  <c r="BB64" i="4" s="1"/>
  <c r="BC64" i="4" s="1"/>
  <c r="AV65" i="1"/>
  <c r="BB65" i="4" s="1"/>
  <c r="BC65" i="4" s="1"/>
  <c r="AV66" i="1"/>
  <c r="BB66" i="4" s="1"/>
  <c r="BC66" i="4" s="1"/>
  <c r="AV67" i="1"/>
  <c r="BB67" i="4" s="1"/>
  <c r="BC67" i="4" s="1"/>
  <c r="AV68" i="1"/>
  <c r="BB68" i="4" s="1"/>
  <c r="BC68" i="4" s="1"/>
  <c r="AV69" i="1"/>
  <c r="BB69" i="4" s="1"/>
  <c r="BC69" i="4" s="1"/>
  <c r="AV70" i="1"/>
  <c r="BB70" i="4" s="1"/>
  <c r="BC70" i="4" s="1"/>
  <c r="AV71" i="1"/>
  <c r="BB71" i="4" s="1"/>
  <c r="BC71" i="4" s="1"/>
  <c r="AV72" i="1"/>
  <c r="BB72" i="4" s="1"/>
  <c r="BC72" i="4" s="1"/>
  <c r="AV73" i="1"/>
  <c r="BB73" i="4" s="1"/>
  <c r="BC73" i="4" s="1"/>
  <c r="AV74" i="1"/>
  <c r="BB74" i="4" s="1"/>
  <c r="BC74" i="4" s="1"/>
  <c r="AV75" i="1"/>
  <c r="BB75" i="4" s="1"/>
  <c r="BC75" i="4" s="1"/>
  <c r="AV76" i="1"/>
  <c r="BB76" i="4" s="1"/>
  <c r="BC76" i="4" s="1"/>
  <c r="AV77" i="1"/>
  <c r="BB77" i="4" s="1"/>
  <c r="BC77" i="4" s="1"/>
  <c r="AV78" i="1"/>
  <c r="BB78" i="4" s="1"/>
  <c r="BC78" i="4" s="1"/>
  <c r="AV79" i="1"/>
  <c r="BB79" i="4" s="1"/>
  <c r="BC79" i="4" s="1"/>
  <c r="AV80" i="1"/>
  <c r="BB80" i="4" s="1"/>
  <c r="BC80" i="4" s="1"/>
  <c r="AV81" i="1"/>
  <c r="BB81" i="4" s="1"/>
  <c r="BC81" i="4" s="1"/>
  <c r="AV82" i="1"/>
  <c r="BB82" i="4" s="1"/>
  <c r="BC82" i="4" s="1"/>
  <c r="AV83" i="1"/>
  <c r="BB83" i="4" s="1"/>
  <c r="BC83" i="4" s="1"/>
  <c r="AV84" i="1"/>
  <c r="BB84" i="4" s="1"/>
  <c r="BC84" i="4" s="1"/>
  <c r="AV85" i="1"/>
  <c r="BB85" i="4" s="1"/>
  <c r="BC85" i="4" s="1"/>
  <c r="AV86" i="1"/>
  <c r="BB86" i="4" s="1"/>
  <c r="BC86" i="4" s="1"/>
  <c r="AV87" i="1"/>
  <c r="BB87" i="4" s="1"/>
  <c r="BC87" i="4" s="1"/>
  <c r="AV88" i="1"/>
  <c r="BB88" i="4" s="1"/>
  <c r="BC88" i="4" s="1"/>
  <c r="AV89" i="1"/>
  <c r="BB89" i="4" s="1"/>
  <c r="BC89" i="4" s="1"/>
  <c r="AV90" i="1"/>
  <c r="BB90" i="4" s="1"/>
  <c r="BC90" i="4" s="1"/>
  <c r="AV91" i="1"/>
  <c r="BB91" i="4" s="1"/>
  <c r="BC91" i="4" s="1"/>
  <c r="AV92" i="1"/>
  <c r="BB92" i="4" s="1"/>
  <c r="BC92" i="4" s="1"/>
  <c r="AV93" i="1"/>
  <c r="BB93" i="4" s="1"/>
  <c r="BC93" i="4" s="1"/>
  <c r="AV94" i="1"/>
  <c r="BB94" i="4" s="1"/>
  <c r="BC94" i="4" s="1"/>
  <c r="AV95" i="1"/>
  <c r="BB95" i="4" s="1"/>
  <c r="BC95" i="4" s="1"/>
  <c r="AV96" i="1"/>
  <c r="BB96" i="4" s="1"/>
  <c r="BC96" i="4" s="1"/>
  <c r="AV97" i="1"/>
  <c r="BB97" i="4" s="1"/>
  <c r="BC97" i="4" s="1"/>
  <c r="AV98" i="1"/>
  <c r="BB98" i="4" s="1"/>
  <c r="BC98" i="4" s="1"/>
  <c r="AV99" i="1"/>
  <c r="BB99" i="4" s="1"/>
  <c r="BC99" i="4" s="1"/>
  <c r="AV100" i="1"/>
  <c r="BB100" i="4" s="1"/>
  <c r="BC100" i="4" s="1"/>
  <c r="AV101" i="1"/>
  <c r="BB101" i="4" s="1"/>
  <c r="BC101" i="4" s="1"/>
  <c r="AV102" i="1"/>
  <c r="BB102" i="4" s="1"/>
  <c r="BC102" i="4" s="1"/>
  <c r="AV103" i="1"/>
  <c r="BB103" i="4" s="1"/>
  <c r="BC103" i="4" s="1"/>
  <c r="AV104" i="1"/>
  <c r="BB104" i="4" s="1"/>
  <c r="BC104" i="4" s="1"/>
  <c r="AV105" i="1"/>
  <c r="BB105" i="4" s="1"/>
  <c r="BC105" i="4" s="1"/>
  <c r="AV106" i="1"/>
  <c r="BB106" i="4" s="1"/>
  <c r="BC106" i="4" s="1"/>
  <c r="AV107" i="1"/>
  <c r="BB107" i="4" s="1"/>
  <c r="BC107" i="4" s="1"/>
  <c r="AV108" i="1"/>
  <c r="BB108" i="4" s="1"/>
  <c r="BC108" i="4" s="1"/>
  <c r="AV109" i="1"/>
  <c r="BB109" i="4" s="1"/>
  <c r="BC109" i="4" s="1"/>
  <c r="AV110" i="1"/>
  <c r="BB110" i="4" s="1"/>
  <c r="BC110" i="4" s="1"/>
  <c r="AV111" i="1"/>
  <c r="BB111" i="4" s="1"/>
  <c r="BC111" i="4" s="1"/>
  <c r="AV112" i="1"/>
  <c r="BB112" i="4" s="1"/>
  <c r="BC112" i="4" s="1"/>
  <c r="AV113" i="1"/>
  <c r="BB113" i="4" s="1"/>
  <c r="BC113" i="4" s="1"/>
  <c r="AV114" i="1"/>
  <c r="BB114" i="4" s="1"/>
  <c r="BC114" i="4" s="1"/>
  <c r="AV115" i="1"/>
  <c r="BB115" i="4" s="1"/>
  <c r="BC115" i="4" s="1"/>
  <c r="AV116" i="1"/>
  <c r="BB116" i="4" s="1"/>
  <c r="BC116" i="4" s="1"/>
  <c r="AV117" i="1"/>
  <c r="BB117" i="4" s="1"/>
  <c r="BC117" i="4" s="1"/>
  <c r="AV118" i="1"/>
  <c r="BB118" i="4" s="1"/>
  <c r="BC118" i="4" s="1"/>
  <c r="AV119" i="1"/>
  <c r="BB119" i="4" s="1"/>
  <c r="BC119" i="4" s="1"/>
  <c r="AV120" i="1"/>
  <c r="BB120" i="4" s="1"/>
  <c r="BC120" i="4" s="1"/>
  <c r="AV121" i="1"/>
  <c r="BB121" i="4" s="1"/>
  <c r="BC121" i="4" s="1"/>
  <c r="AV122" i="1"/>
  <c r="BB122" i="4" s="1"/>
  <c r="BC122" i="4" s="1"/>
  <c r="AV123" i="1"/>
  <c r="BB123" i="4" s="1"/>
  <c r="BC123" i="4" s="1"/>
  <c r="AV124" i="1"/>
  <c r="BB124" i="4" s="1"/>
  <c r="BC124" i="4" s="1"/>
  <c r="AV125" i="1"/>
  <c r="BB125" i="4" s="1"/>
  <c r="BC125" i="4" s="1"/>
  <c r="AV126" i="1"/>
  <c r="BB126" i="4" s="1"/>
  <c r="BC126" i="4" s="1"/>
  <c r="AV127" i="1"/>
  <c r="BB127" i="4" s="1"/>
  <c r="BC127" i="4" s="1"/>
  <c r="AV128" i="1"/>
  <c r="BB128" i="4" s="1"/>
  <c r="BC128" i="4" s="1"/>
  <c r="AV129" i="1"/>
  <c r="BB129" i="4" s="1"/>
  <c r="BC129" i="4" s="1"/>
  <c r="AV130" i="1"/>
  <c r="BB130" i="4" s="1"/>
  <c r="BC130" i="4" s="1"/>
  <c r="AV131" i="1"/>
  <c r="BB131" i="4" s="1"/>
  <c r="BC131" i="4" s="1"/>
  <c r="AV132" i="1"/>
  <c r="BB132" i="4" s="1"/>
  <c r="BC132" i="4" s="1"/>
  <c r="AV133" i="1"/>
  <c r="BB133" i="4" s="1"/>
  <c r="BC133" i="4" s="1"/>
  <c r="AV134" i="1"/>
  <c r="BB134" i="4" s="1"/>
  <c r="BC134" i="4" s="1"/>
  <c r="AV135" i="1"/>
  <c r="BB135" i="4" s="1"/>
  <c r="BC135" i="4" s="1"/>
  <c r="AV136" i="1"/>
  <c r="BB136" i="4" s="1"/>
  <c r="BC136" i="4" s="1"/>
  <c r="AV137" i="1"/>
  <c r="BB137" i="4" s="1"/>
  <c r="BC137" i="4" s="1"/>
  <c r="AV138" i="1"/>
  <c r="BB138" i="4" s="1"/>
  <c r="BC138" i="4" s="1"/>
  <c r="AV139" i="1"/>
  <c r="BB139" i="4" s="1"/>
  <c r="BC139" i="4" s="1"/>
  <c r="AV140" i="1"/>
  <c r="BB140" i="4" s="1"/>
  <c r="BC140" i="4" s="1"/>
  <c r="AV141" i="1"/>
  <c r="BB141" i="4" s="1"/>
  <c r="BC141" i="4" s="1"/>
  <c r="AV142" i="1"/>
  <c r="BB142" i="4" s="1"/>
  <c r="BC142" i="4" s="1"/>
  <c r="AV143" i="1"/>
  <c r="BB143" i="4" s="1"/>
  <c r="BC143" i="4" s="1"/>
  <c r="AV144" i="1"/>
  <c r="BB144" i="4" s="1"/>
  <c r="BC144" i="4" s="1"/>
  <c r="AV145" i="1"/>
  <c r="BB145" i="4" s="1"/>
  <c r="BC145" i="4" s="1"/>
  <c r="AV146" i="1"/>
  <c r="BB146" i="4" s="1"/>
  <c r="BC146" i="4" s="1"/>
  <c r="AV147" i="1"/>
  <c r="BB147" i="4" s="1"/>
  <c r="BC147" i="4" s="1"/>
  <c r="AV148" i="1"/>
  <c r="BB148" i="4" s="1"/>
  <c r="BC148" i="4" s="1"/>
  <c r="AV149" i="1"/>
  <c r="BB149" i="4" s="1"/>
  <c r="BC149" i="4" s="1"/>
  <c r="AV150" i="1"/>
  <c r="BB150" i="4" s="1"/>
  <c r="BC150" i="4" s="1"/>
  <c r="AV151" i="1"/>
  <c r="BB151" i="4" s="1"/>
  <c r="BC151" i="4" s="1"/>
  <c r="AV152" i="1"/>
  <c r="BB152" i="4" s="1"/>
  <c r="BC152" i="4" s="1"/>
  <c r="AV153" i="1"/>
  <c r="BB153" i="4" s="1"/>
  <c r="BC153" i="4" s="1"/>
  <c r="AV154" i="1"/>
  <c r="BB154" i="4" s="1"/>
  <c r="BC154" i="4" s="1"/>
  <c r="AV155" i="1"/>
  <c r="BB155" i="4" s="1"/>
  <c r="BC155" i="4" s="1"/>
  <c r="AV156" i="1"/>
  <c r="BB156" i="4" s="1"/>
  <c r="BC156" i="4" s="1"/>
  <c r="AV157" i="1"/>
  <c r="BB157" i="4" s="1"/>
  <c r="BC157" i="4" s="1"/>
  <c r="AV158" i="1"/>
  <c r="BB158" i="4" s="1"/>
  <c r="BC158" i="4" s="1"/>
  <c r="AV159" i="1"/>
  <c r="BB159" i="4" s="1"/>
  <c r="BC159" i="4" s="1"/>
  <c r="AV160" i="1"/>
  <c r="BB160" i="4" s="1"/>
  <c r="BC160" i="4" s="1"/>
  <c r="AV161" i="1"/>
  <c r="BB161" i="4" s="1"/>
  <c r="BC161" i="4" s="1"/>
  <c r="AV162" i="1"/>
  <c r="BB162" i="4" s="1"/>
  <c r="BC162" i="4" s="1"/>
  <c r="AV163" i="1"/>
  <c r="BB163" i="4" s="1"/>
  <c r="BC163" i="4" s="1"/>
  <c r="AV164" i="1"/>
  <c r="BB164" i="4" s="1"/>
  <c r="BC164" i="4" s="1"/>
  <c r="AV165" i="1"/>
  <c r="BB165" i="4" s="1"/>
  <c r="BC165" i="4" s="1"/>
  <c r="AV166" i="1"/>
  <c r="BB166" i="4" s="1"/>
  <c r="BC166" i="4" s="1"/>
  <c r="AV167" i="1"/>
  <c r="BB167" i="4" s="1"/>
  <c r="BC167" i="4" s="1"/>
  <c r="AV168" i="1"/>
  <c r="BB168" i="4" s="1"/>
  <c r="BC168" i="4" s="1"/>
  <c r="AV169" i="1"/>
  <c r="BB169" i="4" s="1"/>
  <c r="BC169" i="4" s="1"/>
  <c r="AV170" i="1"/>
  <c r="BB170" i="4" s="1"/>
  <c r="BC170" i="4" s="1"/>
  <c r="AV171" i="1"/>
  <c r="BB171" i="4" s="1"/>
  <c r="BC171" i="4" s="1"/>
  <c r="AV172" i="1"/>
  <c r="BB172" i="4" s="1"/>
  <c r="BC172" i="4" s="1"/>
  <c r="AV173" i="1"/>
  <c r="BB173" i="4" s="1"/>
  <c r="BC173" i="4" s="1"/>
  <c r="AV174" i="1"/>
  <c r="BB174" i="4" s="1"/>
  <c r="BC174" i="4" s="1"/>
  <c r="AV175" i="1"/>
  <c r="BB175" i="4" s="1"/>
  <c r="BC175" i="4" s="1"/>
  <c r="AV176" i="1"/>
  <c r="BB176" i="4" s="1"/>
  <c r="BC176" i="4" s="1"/>
  <c r="AV177" i="1"/>
  <c r="BB177" i="4" s="1"/>
  <c r="BC177" i="4" s="1"/>
  <c r="AV178" i="1"/>
  <c r="BB178" i="4" s="1"/>
  <c r="BC178" i="4" s="1"/>
  <c r="AV179" i="1"/>
  <c r="BB179" i="4" s="1"/>
  <c r="BC179" i="4" s="1"/>
  <c r="AV180" i="1"/>
  <c r="BB180" i="4" s="1"/>
  <c r="BC180" i="4" s="1"/>
  <c r="AV181" i="1"/>
  <c r="BB181" i="4" s="1"/>
  <c r="BC181" i="4" s="1"/>
  <c r="AV182" i="1"/>
  <c r="BB182" i="4" s="1"/>
  <c r="BC182" i="4" s="1"/>
  <c r="AV183" i="1"/>
  <c r="BB183" i="4" s="1"/>
  <c r="BC183" i="4" s="1"/>
  <c r="AV184" i="1"/>
  <c r="BB184" i="4" s="1"/>
  <c r="BC184" i="4" s="1"/>
  <c r="AV185" i="1"/>
  <c r="BB185" i="4" s="1"/>
  <c r="BC185" i="4" s="1"/>
  <c r="AV186" i="1"/>
  <c r="BB186" i="4" s="1"/>
  <c r="BC186" i="4" s="1"/>
  <c r="AV187" i="1"/>
  <c r="BB187" i="4" s="1"/>
  <c r="BC187" i="4" s="1"/>
  <c r="AV188" i="1"/>
  <c r="BB188" i="4" s="1"/>
  <c r="BC188" i="4" s="1"/>
  <c r="AV189" i="1"/>
  <c r="BB189" i="4" s="1"/>
  <c r="BC189" i="4" s="1"/>
  <c r="AV190" i="1"/>
  <c r="BB190" i="4" s="1"/>
  <c r="BC190" i="4" s="1"/>
  <c r="AV191" i="1"/>
  <c r="BB191" i="4" s="1"/>
  <c r="BC191" i="4" s="1"/>
  <c r="AV192" i="1"/>
  <c r="BB192" i="4" s="1"/>
  <c r="BC192" i="4" s="1"/>
  <c r="AV193" i="1"/>
  <c r="BB193" i="4" s="1"/>
  <c r="BC193" i="4" s="1"/>
  <c r="AV194" i="1"/>
  <c r="BB194" i="4" s="1"/>
  <c r="BC194" i="4" s="1"/>
  <c r="AV195" i="1"/>
  <c r="BB195" i="4" s="1"/>
  <c r="BC195" i="4" s="1"/>
  <c r="AV196" i="1"/>
  <c r="BB196" i="4" s="1"/>
  <c r="BC196" i="4" s="1"/>
  <c r="AV197" i="1"/>
  <c r="BB197" i="4" s="1"/>
  <c r="BC197" i="4" s="1"/>
  <c r="AV198" i="1"/>
  <c r="BB198" i="4" s="1"/>
  <c r="BC198" i="4" s="1"/>
  <c r="AV199" i="1"/>
  <c r="BB199" i="4" s="1"/>
  <c r="BC199" i="4" s="1"/>
  <c r="AV200" i="1"/>
  <c r="BB200" i="4" s="1"/>
  <c r="BC200" i="4" s="1"/>
  <c r="AV201" i="1"/>
  <c r="BB201" i="4" s="1"/>
  <c r="BC201" i="4" s="1"/>
  <c r="AV202" i="1"/>
  <c r="BB202" i="4" s="1"/>
  <c r="BC202" i="4" s="1"/>
  <c r="AV203" i="1"/>
  <c r="BB203" i="4" s="1"/>
  <c r="BC203" i="4" s="1"/>
  <c r="AV204" i="1"/>
  <c r="BB204" i="4" s="1"/>
  <c r="BC204" i="4" s="1"/>
  <c r="AV205" i="1"/>
  <c r="BB205" i="4" s="1"/>
  <c r="BC205" i="4" s="1"/>
  <c r="AV206" i="1"/>
  <c r="BB206" i="4" s="1"/>
  <c r="BC206" i="4" s="1"/>
  <c r="AV207" i="1"/>
  <c r="BB207" i="4" s="1"/>
  <c r="BC207" i="4" s="1"/>
  <c r="AV208" i="1"/>
  <c r="BB208" i="4" s="1"/>
  <c r="BC208" i="4" s="1"/>
  <c r="AV209" i="1"/>
  <c r="BB209" i="4" s="1"/>
  <c r="BC209" i="4" s="1"/>
  <c r="AV210" i="1"/>
  <c r="BB210" i="4" s="1"/>
  <c r="BC210" i="4" s="1"/>
  <c r="AV211" i="1"/>
  <c r="BB211" i="4" s="1"/>
  <c r="BC211" i="4" s="1"/>
  <c r="AV212" i="1"/>
  <c r="BB212" i="4" s="1"/>
  <c r="BC212" i="4" s="1"/>
  <c r="AV213" i="1"/>
  <c r="BB213" i="4" s="1"/>
  <c r="BC213" i="4" s="1"/>
  <c r="AV214" i="1"/>
  <c r="BB214" i="4" s="1"/>
  <c r="BC214" i="4" s="1"/>
  <c r="AV215" i="1"/>
  <c r="BB215" i="4" s="1"/>
  <c r="BC215" i="4" s="1"/>
  <c r="AV216" i="1"/>
  <c r="BB216" i="4" s="1"/>
  <c r="BC216" i="4" s="1"/>
  <c r="AV217" i="1"/>
  <c r="BB217" i="4" s="1"/>
  <c r="BC217" i="4" s="1"/>
  <c r="AV218" i="1"/>
  <c r="BB218" i="4" s="1"/>
  <c r="BC218" i="4" s="1"/>
  <c r="AV219" i="1"/>
  <c r="BB219" i="4" s="1"/>
  <c r="BC219" i="4" s="1"/>
  <c r="AV220" i="1"/>
  <c r="BB220" i="4" s="1"/>
  <c r="BC220" i="4" s="1"/>
  <c r="AV221" i="1"/>
  <c r="BB221" i="4" s="1"/>
  <c r="BC221" i="4" s="1"/>
  <c r="AV222" i="1"/>
  <c r="BB222" i="4" s="1"/>
  <c r="BC222" i="4" s="1"/>
  <c r="AV223" i="1"/>
  <c r="BB223" i="4" s="1"/>
  <c r="BC223" i="4" s="1"/>
  <c r="AV224" i="1"/>
  <c r="BB224" i="4" s="1"/>
  <c r="BC224" i="4" s="1"/>
  <c r="AV225" i="1"/>
  <c r="BB225" i="4" s="1"/>
  <c r="BC225" i="4" s="1"/>
  <c r="AV226" i="1"/>
  <c r="BB226" i="4" s="1"/>
  <c r="BC226" i="4" s="1"/>
  <c r="AV227" i="1"/>
  <c r="BB227" i="4" s="1"/>
  <c r="BC227" i="4" s="1"/>
  <c r="AV228" i="1"/>
  <c r="BB228" i="4" s="1"/>
  <c r="BC228" i="4" s="1"/>
  <c r="AV229" i="1"/>
  <c r="BB229" i="4" s="1"/>
  <c r="BC229" i="4" s="1"/>
  <c r="AV230" i="1"/>
  <c r="BB230" i="4" s="1"/>
  <c r="BC230" i="4" s="1"/>
  <c r="AV231" i="1"/>
  <c r="BB231" i="4" s="1"/>
  <c r="BC231" i="4" s="1"/>
  <c r="AV232" i="1"/>
  <c r="BB232" i="4" s="1"/>
  <c r="BC232" i="4" s="1"/>
  <c r="AV233" i="1"/>
  <c r="BB233" i="4" s="1"/>
  <c r="BC233" i="4" s="1"/>
  <c r="AV234" i="1"/>
  <c r="BB234" i="4" s="1"/>
  <c r="BC234" i="4" s="1"/>
  <c r="AV235" i="1"/>
  <c r="BB235" i="4" s="1"/>
  <c r="BC235" i="4" s="1"/>
  <c r="AV236" i="1"/>
  <c r="BB236" i="4" s="1"/>
  <c r="BC236" i="4" s="1"/>
  <c r="AV237" i="1"/>
  <c r="BB237" i="4" s="1"/>
  <c r="BC237" i="4" s="1"/>
  <c r="AV238" i="1"/>
  <c r="BB238" i="4" s="1"/>
  <c r="BC238" i="4" s="1"/>
  <c r="AV239" i="1"/>
  <c r="BB239" i="4" s="1"/>
  <c r="BC239" i="4" s="1"/>
  <c r="AV240" i="1"/>
  <c r="BB240" i="4" s="1"/>
  <c r="BC240" i="4" s="1"/>
  <c r="AV241" i="1"/>
  <c r="BB241" i="4" s="1"/>
  <c r="BC241" i="4" s="1"/>
  <c r="AV242" i="1"/>
  <c r="BB242" i="4" s="1"/>
  <c r="BC242" i="4" s="1"/>
  <c r="AV243" i="1"/>
  <c r="BB243" i="4" s="1"/>
  <c r="BC243" i="4" s="1"/>
  <c r="AV244" i="1"/>
  <c r="BB244" i="4" s="1"/>
  <c r="BC244" i="4" s="1"/>
  <c r="AV245" i="1"/>
  <c r="BB245" i="4" s="1"/>
  <c r="BC245" i="4" s="1"/>
  <c r="AV246" i="1"/>
  <c r="BB246" i="4" s="1"/>
  <c r="BC246" i="4" s="1"/>
  <c r="AV247" i="1"/>
  <c r="BB247" i="4" s="1"/>
  <c r="BC247" i="4" s="1"/>
  <c r="AV248" i="1"/>
  <c r="BB248" i="4" s="1"/>
  <c r="BC248" i="4" s="1"/>
  <c r="AV249" i="1"/>
  <c r="BB249" i="4" s="1"/>
  <c r="BC249" i="4" s="1"/>
  <c r="AV250" i="1"/>
  <c r="BB250" i="4" s="1"/>
  <c r="BC250" i="4" s="1"/>
  <c r="AV251" i="1"/>
  <c r="BB251" i="4" s="1"/>
  <c r="BC251" i="4" s="1"/>
  <c r="AV252" i="1"/>
  <c r="BB252" i="4" s="1"/>
  <c r="BC252" i="4" s="1"/>
  <c r="AV253" i="1"/>
  <c r="BB253" i="4" s="1"/>
  <c r="BC253" i="4" s="1"/>
  <c r="AV254" i="1"/>
  <c r="BB254" i="4" s="1"/>
  <c r="BC254" i="4" s="1"/>
  <c r="AV255" i="1"/>
  <c r="BB255" i="4" s="1"/>
  <c r="BC255" i="4" s="1"/>
  <c r="AW4" i="1"/>
  <c r="BD4" i="4" s="1"/>
  <c r="BE4" i="4" s="1"/>
  <c r="AW10" i="1"/>
  <c r="BD10" i="4" s="1"/>
  <c r="BE10" i="4" s="1"/>
  <c r="AW18" i="1"/>
  <c r="BD18" i="4" s="1"/>
  <c r="BE18" i="4" s="1"/>
  <c r="AW22" i="1"/>
  <c r="BD22" i="4" s="1"/>
  <c r="BE22" i="4" s="1"/>
  <c r="AW24" i="1"/>
  <c r="BD24" i="4" s="1"/>
  <c r="BE24" i="4" s="1"/>
  <c r="AW36" i="1"/>
  <c r="BD36" i="4" s="1"/>
  <c r="BE36" i="4" s="1"/>
  <c r="AW40" i="1"/>
  <c r="BD40" i="4" s="1"/>
  <c r="BE40" i="4" s="1"/>
  <c r="AW46" i="1"/>
  <c r="BD46" i="4" s="1"/>
  <c r="BE46" i="4" s="1"/>
  <c r="AW48" i="1"/>
  <c r="BD48" i="4" s="1"/>
  <c r="BE48" i="4" s="1"/>
  <c r="AW55" i="1"/>
  <c r="AW58" i="1"/>
  <c r="BD58" i="4" s="1"/>
  <c r="BE58" i="4" s="1"/>
  <c r="AW64" i="1"/>
  <c r="BD64" i="4" s="1"/>
  <c r="BE64" i="4" s="1"/>
  <c r="AW72" i="1"/>
  <c r="BD72" i="4" s="1"/>
  <c r="BE72" i="4" s="1"/>
  <c r="AW90" i="1"/>
  <c r="BD90" i="4" s="1"/>
  <c r="BE90" i="4" s="1"/>
  <c r="AW100" i="1"/>
  <c r="BD100" i="4" s="1"/>
  <c r="BE100" i="4" s="1"/>
  <c r="AW112" i="1"/>
  <c r="BD112" i="4" s="1"/>
  <c r="BE112" i="4" s="1"/>
  <c r="AW125" i="1"/>
  <c r="BD125" i="4" s="1"/>
  <c r="BE125" i="4" s="1"/>
  <c r="AW136" i="1"/>
  <c r="BD136" i="4" s="1"/>
  <c r="BE136" i="4" s="1"/>
  <c r="AW142" i="1"/>
  <c r="BD142" i="4" s="1"/>
  <c r="BE142" i="4" s="1"/>
  <c r="AW146" i="1"/>
  <c r="BD146" i="4" s="1"/>
  <c r="BE146" i="4" s="1"/>
  <c r="AW156" i="1"/>
  <c r="BD156" i="4" s="1"/>
  <c r="BE156" i="4" s="1"/>
  <c r="AW162" i="1"/>
  <c r="BD162" i="4" s="1"/>
  <c r="BE162" i="4" s="1"/>
  <c r="AW172" i="1"/>
  <c r="BD172" i="4" s="1"/>
  <c r="BE172" i="4" s="1"/>
  <c r="AW178" i="1"/>
  <c r="BD178" i="4" s="1"/>
  <c r="BE178" i="4" s="1"/>
  <c r="AW182" i="1"/>
  <c r="BD182" i="4" s="1"/>
  <c r="BE182" i="4" s="1"/>
  <c r="AW198" i="1"/>
  <c r="BD198" i="4" s="1"/>
  <c r="BE198" i="4" s="1"/>
  <c r="AW204" i="1"/>
  <c r="BD204" i="4" s="1"/>
  <c r="BE204" i="4" s="1"/>
  <c r="AW208" i="1"/>
  <c r="BD208" i="4" s="1"/>
  <c r="BE208" i="4" s="1"/>
  <c r="AW234" i="1"/>
  <c r="BD234" i="4" s="1"/>
  <c r="BE234" i="4" s="1"/>
  <c r="AX4" i="1"/>
  <c r="AX5" i="1"/>
  <c r="AX6" i="1"/>
  <c r="AX7" i="1"/>
  <c r="AX8" i="1"/>
  <c r="AX9" i="1"/>
  <c r="AX10" i="1"/>
  <c r="AX11" i="1"/>
  <c r="AX12" i="1"/>
  <c r="AX13" i="1"/>
  <c r="AX14" i="1"/>
  <c r="AX15" i="1"/>
  <c r="AX16" i="1"/>
  <c r="AX17" i="1"/>
  <c r="AX18" i="1"/>
  <c r="AX19" i="1"/>
  <c r="AX20" i="1"/>
  <c r="AX21" i="1"/>
  <c r="AX22" i="1"/>
  <c r="AX23" i="1"/>
  <c r="AX24" i="1"/>
  <c r="AX25" i="1"/>
  <c r="AX26" i="1"/>
  <c r="AX27" i="1"/>
  <c r="AX28" i="1"/>
  <c r="AX29" i="1"/>
  <c r="AX30" i="1"/>
  <c r="AX31" i="1"/>
  <c r="AX32" i="1"/>
  <c r="AX33" i="1"/>
  <c r="AX34" i="1"/>
  <c r="AX35" i="1"/>
  <c r="AX36" i="1"/>
  <c r="AX37" i="1"/>
  <c r="AX38" i="1"/>
  <c r="AX39" i="1"/>
  <c r="AX40" i="1"/>
  <c r="AX41" i="1"/>
  <c r="AX42" i="1"/>
  <c r="AX43" i="1"/>
  <c r="AX44" i="1"/>
  <c r="AX45" i="1"/>
  <c r="AX46" i="1"/>
  <c r="AX47" i="1"/>
  <c r="AX48" i="1"/>
  <c r="AX49" i="1"/>
  <c r="AX50" i="1"/>
  <c r="AX51" i="1"/>
  <c r="AX52" i="1"/>
  <c r="AX53" i="1"/>
  <c r="AX54" i="1"/>
  <c r="AX55" i="1"/>
  <c r="AX56" i="1"/>
  <c r="AX57" i="1"/>
  <c r="AX58" i="1"/>
  <c r="AX59" i="1"/>
  <c r="AX60" i="1"/>
  <c r="AX61" i="1"/>
  <c r="AX62" i="1"/>
  <c r="AX63" i="1"/>
  <c r="AX64" i="1"/>
  <c r="AX65" i="1"/>
  <c r="AX66" i="1"/>
  <c r="AX67" i="1"/>
  <c r="AX68" i="1"/>
  <c r="AX69" i="1"/>
  <c r="AX70" i="1"/>
  <c r="AX71" i="1"/>
  <c r="AX72" i="1"/>
  <c r="AX73" i="1"/>
  <c r="AX74" i="1"/>
  <c r="AX75" i="1"/>
  <c r="AX76" i="1"/>
  <c r="AX77" i="1"/>
  <c r="AX78" i="1"/>
  <c r="AX79" i="1"/>
  <c r="AX80" i="1"/>
  <c r="AX81" i="1"/>
  <c r="AX82" i="1"/>
  <c r="AX83" i="1"/>
  <c r="AX84" i="1"/>
  <c r="AX85" i="1"/>
  <c r="AX86" i="1"/>
  <c r="AX87" i="1"/>
  <c r="AX88" i="1"/>
  <c r="AX89" i="1"/>
  <c r="AX90" i="1"/>
  <c r="AX91" i="1"/>
  <c r="AX92" i="1"/>
  <c r="AX93" i="1"/>
  <c r="AX94" i="1"/>
  <c r="AX95" i="1"/>
  <c r="AX96" i="1"/>
  <c r="AX97" i="1"/>
  <c r="AX98" i="1"/>
  <c r="AX99" i="1"/>
  <c r="AX100" i="1"/>
  <c r="AX101" i="1"/>
  <c r="AX102" i="1"/>
  <c r="AX103" i="1"/>
  <c r="AX104" i="1"/>
  <c r="AX105" i="1"/>
  <c r="AX106" i="1"/>
  <c r="AX107" i="1"/>
  <c r="AX108" i="1"/>
  <c r="AX109" i="1"/>
  <c r="AX110" i="1"/>
  <c r="AX111" i="1"/>
  <c r="AX112" i="1"/>
  <c r="AX113" i="1"/>
  <c r="AX114" i="1"/>
  <c r="AX115" i="1"/>
  <c r="AX116" i="1"/>
  <c r="AX117" i="1"/>
  <c r="AX118" i="1"/>
  <c r="AX119" i="1"/>
  <c r="AX120" i="1"/>
  <c r="AX121" i="1"/>
  <c r="AX122" i="1"/>
  <c r="AX123" i="1"/>
  <c r="AX124" i="1"/>
  <c r="AX125" i="1"/>
  <c r="AX126" i="1"/>
  <c r="AX127" i="1"/>
  <c r="AX128" i="1"/>
  <c r="AX129" i="1"/>
  <c r="AX130" i="1"/>
  <c r="AX131" i="1"/>
  <c r="AX132" i="1"/>
  <c r="AX133" i="1"/>
  <c r="AX134" i="1"/>
  <c r="AX135" i="1"/>
  <c r="AX136" i="1"/>
  <c r="AX137" i="1"/>
  <c r="AX138" i="1"/>
  <c r="AX139" i="1"/>
  <c r="AX140" i="1"/>
  <c r="AX141" i="1"/>
  <c r="AX142" i="1"/>
  <c r="AX143" i="1"/>
  <c r="AX144" i="1"/>
  <c r="AX145" i="1"/>
  <c r="AX146" i="1"/>
  <c r="AX147" i="1"/>
  <c r="AX148" i="1"/>
  <c r="AX149" i="1"/>
  <c r="AX150" i="1"/>
  <c r="AX151" i="1"/>
  <c r="AX152" i="1"/>
  <c r="AX153" i="1"/>
  <c r="AX154" i="1"/>
  <c r="AX155" i="1"/>
  <c r="AX156" i="1"/>
  <c r="AX157" i="1"/>
  <c r="AX158" i="1"/>
  <c r="AX159" i="1"/>
  <c r="AX160" i="1"/>
  <c r="AX161" i="1"/>
  <c r="AX162" i="1"/>
  <c r="AX163" i="1"/>
  <c r="AX164" i="1"/>
  <c r="AX165" i="1"/>
  <c r="AX166" i="1"/>
  <c r="AX167" i="1"/>
  <c r="AX168" i="1"/>
  <c r="AX169" i="1"/>
  <c r="AX170" i="1"/>
  <c r="AX171" i="1"/>
  <c r="AX172" i="1"/>
  <c r="AX173" i="1"/>
  <c r="AX174" i="1"/>
  <c r="AX175" i="1"/>
  <c r="AX176" i="1"/>
  <c r="AX177" i="1"/>
  <c r="AX178" i="1"/>
  <c r="AX179" i="1"/>
  <c r="AX180" i="1"/>
  <c r="AX181" i="1"/>
  <c r="AX182" i="1"/>
  <c r="AX183" i="1"/>
  <c r="AX184" i="1"/>
  <c r="AX185" i="1"/>
  <c r="AX186" i="1"/>
  <c r="AX187" i="1"/>
  <c r="AX188" i="1"/>
  <c r="AX189" i="1"/>
  <c r="AX190" i="1"/>
  <c r="AX191" i="1"/>
  <c r="AX192" i="1"/>
  <c r="AX193" i="1"/>
  <c r="AX194" i="1"/>
  <c r="AX195" i="1"/>
  <c r="AX196" i="1"/>
  <c r="AX197" i="1"/>
  <c r="AX198" i="1"/>
  <c r="AX199" i="1"/>
  <c r="AX200" i="1"/>
  <c r="AX201" i="1"/>
  <c r="AX202" i="1"/>
  <c r="AX203" i="1"/>
  <c r="AX204" i="1"/>
  <c r="AX205" i="1"/>
  <c r="AX206" i="1"/>
  <c r="AX207" i="1"/>
  <c r="AX208" i="1"/>
  <c r="AX209" i="1"/>
  <c r="AX210" i="1"/>
  <c r="AX211" i="1"/>
  <c r="AX212" i="1"/>
  <c r="AX213" i="1"/>
  <c r="AX214" i="1"/>
  <c r="AX215" i="1"/>
  <c r="AX216" i="1"/>
  <c r="AX217" i="1"/>
  <c r="AX218" i="1"/>
  <c r="AX219" i="1"/>
  <c r="AX220" i="1"/>
  <c r="AX221" i="1"/>
  <c r="AX222" i="1"/>
  <c r="AX223" i="1"/>
  <c r="AX224" i="1"/>
  <c r="AX225" i="1"/>
  <c r="AX226" i="1"/>
  <c r="AX227" i="1"/>
  <c r="AX228" i="1"/>
  <c r="AX229" i="1"/>
  <c r="AX230" i="1"/>
  <c r="AX231" i="1"/>
  <c r="AX232" i="1"/>
  <c r="AX233" i="1"/>
  <c r="AX234" i="1"/>
  <c r="AX235" i="1"/>
  <c r="AX236" i="1"/>
  <c r="AX237" i="1"/>
  <c r="AX238" i="1"/>
  <c r="AX239" i="1"/>
  <c r="AX240" i="1"/>
  <c r="AX241" i="1"/>
  <c r="AX242" i="1"/>
  <c r="AX243" i="1"/>
  <c r="AX244" i="1"/>
  <c r="AX245" i="1"/>
  <c r="AX246" i="1"/>
  <c r="AX247" i="1"/>
  <c r="AX248" i="1"/>
  <c r="AX249" i="1"/>
  <c r="AX250" i="1"/>
  <c r="AX251" i="1"/>
  <c r="AX252" i="1"/>
  <c r="AX253" i="1"/>
  <c r="AX254" i="1"/>
  <c r="AX255" i="1"/>
  <c r="AY4" i="1"/>
  <c r="AY5" i="1"/>
  <c r="AY6" i="1"/>
  <c r="AY7" i="1"/>
  <c r="AY8" i="1"/>
  <c r="AY9" i="1"/>
  <c r="AY10" i="1"/>
  <c r="AY11" i="1"/>
  <c r="AY12" i="1"/>
  <c r="AY13" i="1"/>
  <c r="AY14" i="1"/>
  <c r="AY15" i="1"/>
  <c r="AY16" i="1"/>
  <c r="AY17" i="1"/>
  <c r="AY18" i="1"/>
  <c r="AY19" i="1"/>
  <c r="AY20" i="1"/>
  <c r="AY21" i="1"/>
  <c r="AY22" i="1"/>
  <c r="AY23" i="1"/>
  <c r="AY24" i="1"/>
  <c r="AY25" i="1"/>
  <c r="AY26" i="1"/>
  <c r="AY27" i="1"/>
  <c r="AY28" i="1"/>
  <c r="AY29" i="1"/>
  <c r="AY30" i="1"/>
  <c r="AY31" i="1"/>
  <c r="AY32" i="1"/>
  <c r="AY33" i="1"/>
  <c r="AY34" i="1"/>
  <c r="AY35" i="1"/>
  <c r="AY36" i="1"/>
  <c r="AY37" i="1"/>
  <c r="AY38" i="1"/>
  <c r="AY39" i="1"/>
  <c r="AY40" i="1"/>
  <c r="AY41" i="1"/>
  <c r="AY42" i="1"/>
  <c r="AY43" i="1"/>
  <c r="AY44" i="1"/>
  <c r="AY45" i="1"/>
  <c r="AY46" i="1"/>
  <c r="AY47" i="1"/>
  <c r="AY48" i="1"/>
  <c r="AY49" i="1"/>
  <c r="AY50" i="1"/>
  <c r="AY51" i="1"/>
  <c r="AY52" i="1"/>
  <c r="AY53" i="1"/>
  <c r="AY54" i="1"/>
  <c r="AY55" i="1"/>
  <c r="AY56" i="1"/>
  <c r="AY57" i="1"/>
  <c r="AY58" i="1"/>
  <c r="AY59" i="1"/>
  <c r="AY60" i="1"/>
  <c r="AY61" i="1"/>
  <c r="AY62" i="1"/>
  <c r="AY63" i="1"/>
  <c r="AY64" i="1"/>
  <c r="AY65" i="1"/>
  <c r="AY66" i="1"/>
  <c r="AY67" i="1"/>
  <c r="AY68" i="1"/>
  <c r="AY69" i="1"/>
  <c r="AY70" i="1"/>
  <c r="AY71" i="1"/>
  <c r="AY72" i="1"/>
  <c r="AY73" i="1"/>
  <c r="AY74" i="1"/>
  <c r="AY75" i="1"/>
  <c r="AY76" i="1"/>
  <c r="AY77" i="1"/>
  <c r="AY78" i="1"/>
  <c r="AY79" i="1"/>
  <c r="AY80" i="1"/>
  <c r="AY81" i="1"/>
  <c r="AY82" i="1"/>
  <c r="AY83" i="1"/>
  <c r="AY84" i="1"/>
  <c r="AY85" i="1"/>
  <c r="AY86" i="1"/>
  <c r="AY87" i="1"/>
  <c r="AY88" i="1"/>
  <c r="AY89" i="1"/>
  <c r="AY90" i="1"/>
  <c r="AY91" i="1"/>
  <c r="AY92" i="1"/>
  <c r="AY93" i="1"/>
  <c r="AY94" i="1"/>
  <c r="AY95" i="1"/>
  <c r="AY96" i="1"/>
  <c r="AY97" i="1"/>
  <c r="AY98" i="1"/>
  <c r="AY99" i="1"/>
  <c r="AY100" i="1"/>
  <c r="AY101" i="1"/>
  <c r="AY102" i="1"/>
  <c r="AY103" i="1"/>
  <c r="AY104" i="1"/>
  <c r="AY105" i="1"/>
  <c r="AY106" i="1"/>
  <c r="AY107" i="1"/>
  <c r="AY108" i="1"/>
  <c r="AY109" i="1"/>
  <c r="AY110" i="1"/>
  <c r="AY111" i="1"/>
  <c r="AY112" i="1"/>
  <c r="AY113" i="1"/>
  <c r="AY114" i="1"/>
  <c r="AY115" i="1"/>
  <c r="AY116" i="1"/>
  <c r="AY117" i="1"/>
  <c r="AY118" i="1"/>
  <c r="AY119" i="1"/>
  <c r="AY120" i="1"/>
  <c r="AY121" i="1"/>
  <c r="AY122" i="1"/>
  <c r="AY123" i="1"/>
  <c r="AY124" i="1"/>
  <c r="AY125" i="1"/>
  <c r="AY126" i="1"/>
  <c r="AY127" i="1"/>
  <c r="AY128" i="1"/>
  <c r="AY129" i="1"/>
  <c r="AY130" i="1"/>
  <c r="AY131" i="1"/>
  <c r="AY132" i="1"/>
  <c r="AY133" i="1"/>
  <c r="AY134" i="1"/>
  <c r="AY135" i="1"/>
  <c r="AY136" i="1"/>
  <c r="AY137" i="1"/>
  <c r="AY138" i="1"/>
  <c r="AY139" i="1"/>
  <c r="AY140" i="1"/>
  <c r="AY141" i="1"/>
  <c r="AY142" i="1"/>
  <c r="AY143" i="1"/>
  <c r="AY144" i="1"/>
  <c r="AY145" i="1"/>
  <c r="AY146" i="1"/>
  <c r="AY147" i="1"/>
  <c r="AY148" i="1"/>
  <c r="AY149" i="1"/>
  <c r="AY150" i="1"/>
  <c r="AY151" i="1"/>
  <c r="AY152" i="1"/>
  <c r="AY153" i="1"/>
  <c r="AY154" i="1"/>
  <c r="AY155" i="1"/>
  <c r="AY156" i="1"/>
  <c r="AY157" i="1"/>
  <c r="AY158" i="1"/>
  <c r="AY159" i="1"/>
  <c r="AY160" i="1"/>
  <c r="AY161" i="1"/>
  <c r="AY162" i="1"/>
  <c r="AY163" i="1"/>
  <c r="AY164" i="1"/>
  <c r="AY165" i="1"/>
  <c r="AY166" i="1"/>
  <c r="AY167" i="1"/>
  <c r="AY168" i="1"/>
  <c r="AY169" i="1"/>
  <c r="AY170" i="1"/>
  <c r="AY171" i="1"/>
  <c r="AY172" i="1"/>
  <c r="AY173" i="1"/>
  <c r="AY174" i="1"/>
  <c r="AY175" i="1"/>
  <c r="AY176" i="1"/>
  <c r="AY177" i="1"/>
  <c r="AY178" i="1"/>
  <c r="AY179" i="1"/>
  <c r="AY180" i="1"/>
  <c r="AY181" i="1"/>
  <c r="AY182" i="1"/>
  <c r="AY183" i="1"/>
  <c r="AY184" i="1"/>
  <c r="AY185" i="1"/>
  <c r="AY186" i="1"/>
  <c r="AY187" i="1"/>
  <c r="AY188" i="1"/>
  <c r="AY189" i="1"/>
  <c r="AY190" i="1"/>
  <c r="AY191" i="1"/>
  <c r="AY192" i="1"/>
  <c r="AY193" i="1"/>
  <c r="AY194" i="1"/>
  <c r="AY195" i="1"/>
  <c r="AY196" i="1"/>
  <c r="AY197" i="1"/>
  <c r="AY198" i="1"/>
  <c r="AY199" i="1"/>
  <c r="AY200" i="1"/>
  <c r="AY201" i="1"/>
  <c r="AY202" i="1"/>
  <c r="AY203" i="1"/>
  <c r="AY204" i="1"/>
  <c r="AY205" i="1"/>
  <c r="AY206" i="1"/>
  <c r="AY207" i="1"/>
  <c r="AY208" i="1"/>
  <c r="AY209" i="1"/>
  <c r="AY210" i="1"/>
  <c r="AY211" i="1"/>
  <c r="AY212" i="1"/>
  <c r="AY213" i="1"/>
  <c r="AY214" i="1"/>
  <c r="AY215" i="1"/>
  <c r="AY216" i="1"/>
  <c r="AY217" i="1"/>
  <c r="AY218" i="1"/>
  <c r="AY219" i="1"/>
  <c r="AY220" i="1"/>
  <c r="AY221" i="1"/>
  <c r="AY222" i="1"/>
  <c r="AY223" i="1"/>
  <c r="AY224" i="1"/>
  <c r="AY225" i="1"/>
  <c r="AY226" i="1"/>
  <c r="AY227" i="1"/>
  <c r="AY228" i="1"/>
  <c r="AY229" i="1"/>
  <c r="AY230" i="1"/>
  <c r="AY231" i="1"/>
  <c r="AY232" i="1"/>
  <c r="AY233" i="1"/>
  <c r="AY234" i="1"/>
  <c r="AY235" i="1"/>
  <c r="AY236" i="1"/>
  <c r="AY237" i="1"/>
  <c r="AY238" i="1"/>
  <c r="AY239" i="1"/>
  <c r="AY240" i="1"/>
  <c r="AY241" i="1"/>
  <c r="AY242" i="1"/>
  <c r="AY243" i="1"/>
  <c r="AY244" i="1"/>
  <c r="AY245" i="1"/>
  <c r="AY246" i="1"/>
  <c r="AY247" i="1"/>
  <c r="AY248" i="1"/>
  <c r="AY249" i="1"/>
  <c r="AY250" i="1"/>
  <c r="AY251" i="1"/>
  <c r="AY252" i="1"/>
  <c r="AY253" i="1"/>
  <c r="AY254" i="1"/>
  <c r="AY255" i="1"/>
  <c r="AZ4" i="1"/>
  <c r="AZ5" i="1"/>
  <c r="AZ6" i="1"/>
  <c r="AZ7" i="1"/>
  <c r="AZ8" i="1"/>
  <c r="AZ9" i="1"/>
  <c r="AZ10" i="1"/>
  <c r="AZ11" i="1"/>
  <c r="AZ12" i="1"/>
  <c r="AZ13" i="1"/>
  <c r="AZ14" i="1"/>
  <c r="AZ15" i="1"/>
  <c r="AZ16" i="1"/>
  <c r="AZ17" i="1"/>
  <c r="AZ18" i="1"/>
  <c r="AZ19" i="1"/>
  <c r="AZ20" i="1"/>
  <c r="AZ21" i="1"/>
  <c r="AZ22" i="1"/>
  <c r="AZ23" i="1"/>
  <c r="AZ24" i="1"/>
  <c r="AZ25" i="1"/>
  <c r="AZ26" i="1"/>
  <c r="AZ27" i="1"/>
  <c r="AZ28" i="1"/>
  <c r="AZ29" i="1"/>
  <c r="AZ30" i="1"/>
  <c r="AZ31" i="1"/>
  <c r="AZ32" i="1"/>
  <c r="AZ33" i="1"/>
  <c r="AZ34" i="1"/>
  <c r="AZ35" i="1"/>
  <c r="AZ36" i="1"/>
  <c r="AZ37" i="1"/>
  <c r="AZ38" i="1"/>
  <c r="AZ39" i="1"/>
  <c r="AZ40" i="1"/>
  <c r="AZ41" i="1"/>
  <c r="AZ42" i="1"/>
  <c r="AZ43" i="1"/>
  <c r="AZ44" i="1"/>
  <c r="AZ45" i="1"/>
  <c r="AZ46" i="1"/>
  <c r="AZ47" i="1"/>
  <c r="AZ48" i="1"/>
  <c r="AZ49" i="1"/>
  <c r="AZ50" i="1"/>
  <c r="AZ51" i="1"/>
  <c r="AZ52" i="1"/>
  <c r="AZ53" i="1"/>
  <c r="AZ54" i="1"/>
  <c r="AZ55" i="1"/>
  <c r="AZ56" i="1"/>
  <c r="AZ57" i="1"/>
  <c r="AZ58" i="1"/>
  <c r="AZ59" i="1"/>
  <c r="AZ60" i="1"/>
  <c r="AZ61" i="1"/>
  <c r="AZ62" i="1"/>
  <c r="AZ63" i="1"/>
  <c r="AZ64" i="1"/>
  <c r="AZ65" i="1"/>
  <c r="AZ66" i="1"/>
  <c r="AZ67" i="1"/>
  <c r="AZ68" i="1"/>
  <c r="AZ69" i="1"/>
  <c r="AZ70" i="1"/>
  <c r="AZ71" i="1"/>
  <c r="AZ72" i="1"/>
  <c r="AZ73" i="1"/>
  <c r="AZ74" i="1"/>
  <c r="AZ75" i="1"/>
  <c r="AZ76" i="1"/>
  <c r="AZ77" i="1"/>
  <c r="AZ78" i="1"/>
  <c r="AZ79" i="1"/>
  <c r="AZ80" i="1"/>
  <c r="AZ81" i="1"/>
  <c r="AZ82" i="1"/>
  <c r="AZ83" i="1"/>
  <c r="AZ84" i="1"/>
  <c r="AZ85" i="1"/>
  <c r="AZ86" i="1"/>
  <c r="AZ87" i="1"/>
  <c r="AZ88" i="1"/>
  <c r="AZ89" i="1"/>
  <c r="AZ90" i="1"/>
  <c r="AZ91" i="1"/>
  <c r="AZ92" i="1"/>
  <c r="AZ93" i="1"/>
  <c r="AZ94" i="1"/>
  <c r="AZ95" i="1"/>
  <c r="AZ96" i="1"/>
  <c r="AZ97" i="1"/>
  <c r="AZ98" i="1"/>
  <c r="AZ99" i="1"/>
  <c r="AZ100" i="1"/>
  <c r="AZ101" i="1"/>
  <c r="AZ102" i="1"/>
  <c r="AZ103" i="1"/>
  <c r="AZ104" i="1"/>
  <c r="AZ105" i="1"/>
  <c r="AZ106" i="1"/>
  <c r="AZ107" i="1"/>
  <c r="AZ108" i="1"/>
  <c r="AZ109" i="1"/>
  <c r="AZ110" i="1"/>
  <c r="AZ111" i="1"/>
  <c r="AZ112" i="1"/>
  <c r="AZ113" i="1"/>
  <c r="AZ114" i="1"/>
  <c r="AZ115" i="1"/>
  <c r="AZ116" i="1"/>
  <c r="AZ117" i="1"/>
  <c r="AZ118" i="1"/>
  <c r="AZ119" i="1"/>
  <c r="AZ120" i="1"/>
  <c r="AZ121" i="1"/>
  <c r="AZ122" i="1"/>
  <c r="AZ123" i="1"/>
  <c r="AZ124" i="1"/>
  <c r="AZ125" i="1"/>
  <c r="AZ126" i="1"/>
  <c r="AZ127" i="1"/>
  <c r="AZ128" i="1"/>
  <c r="AZ129" i="1"/>
  <c r="AZ130" i="1"/>
  <c r="AZ131" i="1"/>
  <c r="AZ132" i="1"/>
  <c r="AZ133" i="1"/>
  <c r="AZ134" i="1"/>
  <c r="AZ135" i="1"/>
  <c r="AZ136" i="1"/>
  <c r="AZ137" i="1"/>
  <c r="AZ138" i="1"/>
  <c r="AZ139" i="1"/>
  <c r="AZ140" i="1"/>
  <c r="AZ141" i="1"/>
  <c r="AZ142" i="1"/>
  <c r="AZ143" i="1"/>
  <c r="AZ144" i="1"/>
  <c r="AZ145" i="1"/>
  <c r="AZ146" i="1"/>
  <c r="AZ147" i="1"/>
  <c r="AZ148" i="1"/>
  <c r="AZ149" i="1"/>
  <c r="AZ150" i="1"/>
  <c r="AZ151" i="1"/>
  <c r="AZ152" i="1"/>
  <c r="AZ153" i="1"/>
  <c r="AZ154" i="1"/>
  <c r="AZ155" i="1"/>
  <c r="AZ156" i="1"/>
  <c r="AZ157" i="1"/>
  <c r="AZ158" i="1"/>
  <c r="AZ159" i="1"/>
  <c r="AZ160" i="1"/>
  <c r="AZ161" i="1"/>
  <c r="AZ162" i="1"/>
  <c r="AZ163" i="1"/>
  <c r="AZ164" i="1"/>
  <c r="AZ165" i="1"/>
  <c r="AZ166" i="1"/>
  <c r="AZ167" i="1"/>
  <c r="AZ168" i="1"/>
  <c r="AZ169" i="1"/>
  <c r="AZ170" i="1"/>
  <c r="AZ171" i="1"/>
  <c r="AZ172" i="1"/>
  <c r="AZ173" i="1"/>
  <c r="AZ174" i="1"/>
  <c r="AZ175" i="1"/>
  <c r="AZ176" i="1"/>
  <c r="AZ177" i="1"/>
  <c r="AZ178" i="1"/>
  <c r="AZ179" i="1"/>
  <c r="AZ180" i="1"/>
  <c r="AZ181" i="1"/>
  <c r="AZ182" i="1"/>
  <c r="AZ183" i="1"/>
  <c r="AZ184" i="1"/>
  <c r="AZ185" i="1"/>
  <c r="AZ186" i="1"/>
  <c r="AZ187" i="1"/>
  <c r="AZ188" i="1"/>
  <c r="AZ189" i="1"/>
  <c r="AZ190" i="1"/>
  <c r="AZ191" i="1"/>
  <c r="AZ192" i="1"/>
  <c r="AZ193" i="1"/>
  <c r="AZ194" i="1"/>
  <c r="AZ195" i="1"/>
  <c r="AZ196" i="1"/>
  <c r="AZ197" i="1"/>
  <c r="AZ198" i="1"/>
  <c r="AZ199" i="1"/>
  <c r="AZ200" i="1"/>
  <c r="AZ201" i="1"/>
  <c r="AZ202" i="1"/>
  <c r="AZ203" i="1"/>
  <c r="AZ204" i="1"/>
  <c r="AZ205" i="1"/>
  <c r="AZ206" i="1"/>
  <c r="AZ207" i="1"/>
  <c r="AZ208" i="1"/>
  <c r="AZ209" i="1"/>
  <c r="AZ210" i="1"/>
  <c r="AZ211" i="1"/>
  <c r="AZ212" i="1"/>
  <c r="AZ213" i="1"/>
  <c r="AZ214" i="1"/>
  <c r="AZ215" i="1"/>
  <c r="AZ216" i="1"/>
  <c r="AZ217" i="1"/>
  <c r="AZ218" i="1"/>
  <c r="AZ219" i="1"/>
  <c r="AZ220" i="1"/>
  <c r="AZ221" i="1"/>
  <c r="AZ222" i="1"/>
  <c r="AZ223" i="1"/>
  <c r="AZ224" i="1"/>
  <c r="AZ225" i="1"/>
  <c r="AZ226" i="1"/>
  <c r="AZ227" i="1"/>
  <c r="AZ228" i="1"/>
  <c r="AZ229" i="1"/>
  <c r="AZ230" i="1"/>
  <c r="AZ231" i="1"/>
  <c r="AZ232" i="1"/>
  <c r="AZ233" i="1"/>
  <c r="AZ234" i="1"/>
  <c r="AZ235" i="1"/>
  <c r="AZ236" i="1"/>
  <c r="AZ237" i="1"/>
  <c r="AZ238" i="1"/>
  <c r="AZ239" i="1"/>
  <c r="AZ240" i="1"/>
  <c r="AZ241" i="1"/>
  <c r="AZ242" i="1"/>
  <c r="AZ243" i="1"/>
  <c r="AZ244" i="1"/>
  <c r="AZ245" i="1"/>
  <c r="AZ246" i="1"/>
  <c r="AZ247" i="1"/>
  <c r="AZ248" i="1"/>
  <c r="AZ249" i="1"/>
  <c r="AZ250" i="1"/>
  <c r="AZ251" i="1"/>
  <c r="AZ252" i="1"/>
  <c r="AZ253" i="1"/>
  <c r="AZ254" i="1"/>
  <c r="AZ255" i="1"/>
  <c r="BA4" i="1"/>
  <c r="BA5" i="1"/>
  <c r="BA6" i="1"/>
  <c r="BA7" i="1"/>
  <c r="BA8" i="1"/>
  <c r="BA9" i="1"/>
  <c r="BA10" i="1"/>
  <c r="BA11" i="1"/>
  <c r="BA12" i="1"/>
  <c r="BA13" i="1"/>
  <c r="BA14" i="1"/>
  <c r="BA15" i="1"/>
  <c r="BA16" i="1"/>
  <c r="BA17" i="1"/>
  <c r="BA18" i="1"/>
  <c r="BA19" i="1"/>
  <c r="BA20" i="1"/>
  <c r="BA21" i="1"/>
  <c r="BA22" i="1"/>
  <c r="BA23" i="1"/>
  <c r="BA24" i="1"/>
  <c r="BA25" i="1"/>
  <c r="BA26" i="1"/>
  <c r="BA27" i="1"/>
  <c r="BA28" i="1"/>
  <c r="BA29" i="1"/>
  <c r="BA30" i="1"/>
  <c r="BA31" i="1"/>
  <c r="BA32" i="1"/>
  <c r="BA33" i="1"/>
  <c r="BA34" i="1"/>
  <c r="BA35" i="1"/>
  <c r="BA36" i="1"/>
  <c r="BA37" i="1"/>
  <c r="BA38" i="1"/>
  <c r="BA39" i="1"/>
  <c r="BA40" i="1"/>
  <c r="BA41" i="1"/>
  <c r="BA42" i="1"/>
  <c r="BA43" i="1"/>
  <c r="BA44" i="1"/>
  <c r="BA45" i="1"/>
  <c r="BA46" i="1"/>
  <c r="BA47" i="1"/>
  <c r="BA48" i="1"/>
  <c r="BA49" i="1"/>
  <c r="BA50" i="1"/>
  <c r="BA51" i="1"/>
  <c r="BA52" i="1"/>
  <c r="BA53" i="1"/>
  <c r="BA54" i="1"/>
  <c r="BA55" i="1"/>
  <c r="BA56" i="1"/>
  <c r="BA57" i="1"/>
  <c r="BA58" i="1"/>
  <c r="BA59" i="1"/>
  <c r="BA60" i="1"/>
  <c r="BA61" i="1"/>
  <c r="BA62" i="1"/>
  <c r="BA63" i="1"/>
  <c r="BA64" i="1"/>
  <c r="BA65" i="1"/>
  <c r="BA66" i="1"/>
  <c r="BA67" i="1"/>
  <c r="BA68" i="1"/>
  <c r="BA69" i="1"/>
  <c r="BA70" i="1"/>
  <c r="BA71" i="1"/>
  <c r="BA72" i="1"/>
  <c r="BA73" i="1"/>
  <c r="BA74" i="1"/>
  <c r="BA75" i="1"/>
  <c r="BA76" i="1"/>
  <c r="BA77" i="1"/>
  <c r="BA78" i="1"/>
  <c r="BA79" i="1"/>
  <c r="BA80" i="1"/>
  <c r="BA81" i="1"/>
  <c r="BA82" i="1"/>
  <c r="BA83" i="1"/>
  <c r="BA84" i="1"/>
  <c r="BA85" i="1"/>
  <c r="BA86" i="1"/>
  <c r="BA87" i="1"/>
  <c r="BA88" i="1"/>
  <c r="BA89" i="1"/>
  <c r="BA90" i="1"/>
  <c r="BA91" i="1"/>
  <c r="BA92" i="1"/>
  <c r="BA93" i="1"/>
  <c r="BA94" i="1"/>
  <c r="BA95" i="1"/>
  <c r="BA96" i="1"/>
  <c r="BA97" i="1"/>
  <c r="BA98" i="1"/>
  <c r="BA99" i="1"/>
  <c r="BA100" i="1"/>
  <c r="BA101" i="1"/>
  <c r="BA102" i="1"/>
  <c r="BA103" i="1"/>
  <c r="BA104" i="1"/>
  <c r="BA105" i="1"/>
  <c r="BA106" i="1"/>
  <c r="BA107" i="1"/>
  <c r="BA108" i="1"/>
  <c r="BA109" i="1"/>
  <c r="BA110" i="1"/>
  <c r="BA111" i="1"/>
  <c r="BA112" i="1"/>
  <c r="BA113" i="1"/>
  <c r="BA114" i="1"/>
  <c r="BA115" i="1"/>
  <c r="BA116" i="1"/>
  <c r="BA117" i="1"/>
  <c r="BA118" i="1"/>
  <c r="BA119" i="1"/>
  <c r="BA120" i="1"/>
  <c r="BA121" i="1"/>
  <c r="BA122" i="1"/>
  <c r="BA123" i="1"/>
  <c r="BA124" i="1"/>
  <c r="BA125" i="1"/>
  <c r="BA126" i="1"/>
  <c r="BA127" i="1"/>
  <c r="BA128" i="1"/>
  <c r="BA129" i="1"/>
  <c r="BA130" i="1"/>
  <c r="BA131" i="1"/>
  <c r="BA132" i="1"/>
  <c r="BA133" i="1"/>
  <c r="BA134" i="1"/>
  <c r="BA135" i="1"/>
  <c r="BA136" i="1"/>
  <c r="BA137" i="1"/>
  <c r="BA138" i="1"/>
  <c r="BA139" i="1"/>
  <c r="BA140" i="1"/>
  <c r="BA141" i="1"/>
  <c r="BA142" i="1"/>
  <c r="BA143" i="1"/>
  <c r="BA144" i="1"/>
  <c r="BA145" i="1"/>
  <c r="BA146" i="1"/>
  <c r="BA147" i="1"/>
  <c r="BA148" i="1"/>
  <c r="BA149" i="1"/>
  <c r="BA150" i="1"/>
  <c r="BA151" i="1"/>
  <c r="BA152" i="1"/>
  <c r="BA153" i="1"/>
  <c r="BA154" i="1"/>
  <c r="BA155" i="1"/>
  <c r="BA156" i="1"/>
  <c r="BA157" i="1"/>
  <c r="BA158" i="1"/>
  <c r="BA159" i="1"/>
  <c r="BA160" i="1"/>
  <c r="BA161" i="1"/>
  <c r="BA162" i="1"/>
  <c r="BA163" i="1"/>
  <c r="BA164" i="1"/>
  <c r="BA165" i="1"/>
  <c r="BA166" i="1"/>
  <c r="BA167" i="1"/>
  <c r="BA168" i="1"/>
  <c r="BA169" i="1"/>
  <c r="BA170" i="1"/>
  <c r="BA171" i="1"/>
  <c r="BA172" i="1"/>
  <c r="BA173" i="1"/>
  <c r="BA174" i="1"/>
  <c r="BA175" i="1"/>
  <c r="BA176" i="1"/>
  <c r="BA177" i="1"/>
  <c r="BA178" i="1"/>
  <c r="BA179" i="1"/>
  <c r="BA180" i="1"/>
  <c r="BA181" i="1"/>
  <c r="BA182" i="1"/>
  <c r="BA183" i="1"/>
  <c r="BA184" i="1"/>
  <c r="BA185" i="1"/>
  <c r="BA186" i="1"/>
  <c r="BA187" i="1"/>
  <c r="BA188" i="1"/>
  <c r="BA189" i="1"/>
  <c r="BA190" i="1"/>
  <c r="BA191" i="1"/>
  <c r="BA192" i="1"/>
  <c r="BA193" i="1"/>
  <c r="BA194" i="1"/>
  <c r="BA195" i="1"/>
  <c r="BA196" i="1"/>
  <c r="BA197" i="1"/>
  <c r="BA198" i="1"/>
  <c r="BA199" i="1"/>
  <c r="BA200" i="1"/>
  <c r="BA201" i="1"/>
  <c r="BA202" i="1"/>
  <c r="BA203" i="1"/>
  <c r="BA204" i="1"/>
  <c r="BA205" i="1"/>
  <c r="BA206" i="1"/>
  <c r="BA207" i="1"/>
  <c r="BA208" i="1"/>
  <c r="BA209" i="1"/>
  <c r="BA210" i="1"/>
  <c r="BA211" i="1"/>
  <c r="BA212" i="1"/>
  <c r="BA213" i="1"/>
  <c r="BA214" i="1"/>
  <c r="BA215" i="1"/>
  <c r="BA216" i="1"/>
  <c r="BA217" i="1"/>
  <c r="BA218" i="1"/>
  <c r="BA219" i="1"/>
  <c r="BA220" i="1"/>
  <c r="BA221" i="1"/>
  <c r="BA222" i="1"/>
  <c r="BA223" i="1"/>
  <c r="BA224" i="1"/>
  <c r="BA225" i="1"/>
  <c r="BA226" i="1"/>
  <c r="BA227" i="1"/>
  <c r="BA228" i="1"/>
  <c r="BA229" i="1"/>
  <c r="BA230" i="1"/>
  <c r="BA231" i="1"/>
  <c r="BA232" i="1"/>
  <c r="BA233" i="1"/>
  <c r="BA234" i="1"/>
  <c r="BA235" i="1"/>
  <c r="BA236" i="1"/>
  <c r="BA237" i="1"/>
  <c r="BA238" i="1"/>
  <c r="BA239" i="1"/>
  <c r="BA240" i="1"/>
  <c r="BA241" i="1"/>
  <c r="BA242" i="1"/>
  <c r="BA243" i="1"/>
  <c r="BA244" i="1"/>
  <c r="BA245" i="1"/>
  <c r="BA246" i="1"/>
  <c r="BA247" i="1"/>
  <c r="BA248" i="1"/>
  <c r="BA249" i="1"/>
  <c r="BA250" i="1"/>
  <c r="BA251" i="1"/>
  <c r="BA252" i="1"/>
  <c r="BA253" i="1"/>
  <c r="BA254" i="1"/>
  <c r="BA255" i="1"/>
  <c r="BE4" i="1"/>
  <c r="BE5" i="1"/>
  <c r="BE6" i="1"/>
  <c r="BE7" i="1"/>
  <c r="BE8" i="1"/>
  <c r="BE9" i="1"/>
  <c r="BE10" i="1"/>
  <c r="BE11" i="1"/>
  <c r="BE12" i="1"/>
  <c r="BE13" i="1"/>
  <c r="BE14" i="1"/>
  <c r="BE15" i="1"/>
  <c r="BE16" i="1"/>
  <c r="BE17" i="1"/>
  <c r="BE18" i="1"/>
  <c r="BE19" i="1"/>
  <c r="BE20" i="1"/>
  <c r="BE21" i="1"/>
  <c r="BE22" i="1"/>
  <c r="BE23" i="1"/>
  <c r="BE24" i="1"/>
  <c r="BE25" i="1"/>
  <c r="BE26" i="1"/>
  <c r="BE27" i="1"/>
  <c r="BE28" i="1"/>
  <c r="BE29" i="1"/>
  <c r="BE30" i="1"/>
  <c r="BE31" i="1"/>
  <c r="BE32" i="1"/>
  <c r="BE33" i="1"/>
  <c r="BE34" i="1"/>
  <c r="BE35" i="1"/>
  <c r="BE36" i="1"/>
  <c r="BE37" i="1"/>
  <c r="BE38" i="1"/>
  <c r="BE39" i="1"/>
  <c r="BE40" i="1"/>
  <c r="BE41" i="1"/>
  <c r="BE42" i="1"/>
  <c r="BE43" i="1"/>
  <c r="BE44" i="1"/>
  <c r="BE45" i="1"/>
  <c r="BE46" i="1"/>
  <c r="BE47" i="1"/>
  <c r="BE48" i="1"/>
  <c r="BE49" i="1"/>
  <c r="BE50" i="1"/>
  <c r="BE51" i="1"/>
  <c r="BE52" i="1"/>
  <c r="BE53" i="1"/>
  <c r="BE54" i="1"/>
  <c r="BE55" i="1"/>
  <c r="BE56" i="1"/>
  <c r="BE57" i="1"/>
  <c r="BE58" i="1"/>
  <c r="BE59" i="1"/>
  <c r="BE60" i="1"/>
  <c r="BE61" i="1"/>
  <c r="BE62" i="1"/>
  <c r="BE63" i="1"/>
  <c r="BE64" i="1"/>
  <c r="BE65" i="1"/>
  <c r="BE66" i="1"/>
  <c r="BE67" i="1"/>
  <c r="BE68" i="1"/>
  <c r="BE69" i="1"/>
  <c r="BE70" i="1"/>
  <c r="BE71" i="1"/>
  <c r="BE72" i="1"/>
  <c r="BE73" i="1"/>
  <c r="BE74" i="1"/>
  <c r="BE75" i="1"/>
  <c r="BE76" i="1"/>
  <c r="BE77" i="1"/>
  <c r="BE78" i="1"/>
  <c r="BE79" i="1"/>
  <c r="BE80" i="1"/>
  <c r="BE81" i="1"/>
  <c r="BE82" i="1"/>
  <c r="BE83" i="1"/>
  <c r="BE84" i="1"/>
  <c r="BE85" i="1"/>
  <c r="BE86" i="1"/>
  <c r="BE87" i="1"/>
  <c r="BE88" i="1"/>
  <c r="BE89" i="1"/>
  <c r="BE90" i="1"/>
  <c r="BE91" i="1"/>
  <c r="BE92" i="1"/>
  <c r="BE93" i="1"/>
  <c r="BE94" i="1"/>
  <c r="BE95" i="1"/>
  <c r="BE96" i="1"/>
  <c r="BE97" i="1"/>
  <c r="BE98" i="1"/>
  <c r="BE99" i="1"/>
  <c r="BE100" i="1"/>
  <c r="BE101" i="1"/>
  <c r="BE102" i="1"/>
  <c r="BE103" i="1"/>
  <c r="BE104" i="1"/>
  <c r="BE105" i="1"/>
  <c r="BE106" i="1"/>
  <c r="BE107" i="1"/>
  <c r="BE108" i="1"/>
  <c r="BE109" i="1"/>
  <c r="BE110" i="1"/>
  <c r="BE111" i="1"/>
  <c r="BE112" i="1"/>
  <c r="BE113" i="1"/>
  <c r="BE114" i="1"/>
  <c r="BE115" i="1"/>
  <c r="BE116" i="1"/>
  <c r="BE117" i="1"/>
  <c r="BE118" i="1"/>
  <c r="BE119" i="1"/>
  <c r="BE120" i="1"/>
  <c r="BE121" i="1"/>
  <c r="BE122" i="1"/>
  <c r="BE123" i="1"/>
  <c r="BE124" i="1"/>
  <c r="BE125" i="1"/>
  <c r="BE126" i="1"/>
  <c r="BE127" i="1"/>
  <c r="BE128" i="1"/>
  <c r="BE129" i="1"/>
  <c r="BE130" i="1"/>
  <c r="BE131" i="1"/>
  <c r="BE132" i="1"/>
  <c r="BE133" i="1"/>
  <c r="BE134" i="1"/>
  <c r="BE135" i="1"/>
  <c r="BE136" i="1"/>
  <c r="BE137" i="1"/>
  <c r="BE138" i="1"/>
  <c r="BE139" i="1"/>
  <c r="BE140" i="1"/>
  <c r="BE141" i="1"/>
  <c r="BE142" i="1"/>
  <c r="BE143" i="1"/>
  <c r="BE144" i="1"/>
  <c r="BE145" i="1"/>
  <c r="BE146" i="1"/>
  <c r="BE147" i="1"/>
  <c r="BE148" i="1"/>
  <c r="BE149" i="1"/>
  <c r="BE150" i="1"/>
  <c r="BE151" i="1"/>
  <c r="BE152" i="1"/>
  <c r="BE153" i="1"/>
  <c r="BE154" i="1"/>
  <c r="BE155" i="1"/>
  <c r="BE156" i="1"/>
  <c r="BE157" i="1"/>
  <c r="BE158" i="1"/>
  <c r="BE159" i="1"/>
  <c r="BE160" i="1"/>
  <c r="BE161" i="1"/>
  <c r="BE162" i="1"/>
  <c r="BE163" i="1"/>
  <c r="BE164" i="1"/>
  <c r="BE165" i="1"/>
  <c r="BE166" i="1"/>
  <c r="BE167" i="1"/>
  <c r="BE168" i="1"/>
  <c r="BE169" i="1"/>
  <c r="BE170" i="1"/>
  <c r="BE171" i="1"/>
  <c r="BE172" i="1"/>
  <c r="BE173" i="1"/>
  <c r="BE174" i="1"/>
  <c r="BE175" i="1"/>
  <c r="BE176" i="1"/>
  <c r="BE177" i="1"/>
  <c r="BE178" i="1"/>
  <c r="BE179" i="1"/>
  <c r="BE180" i="1"/>
  <c r="BE181" i="1"/>
  <c r="BE182" i="1"/>
  <c r="BE183" i="1"/>
  <c r="BE184" i="1"/>
  <c r="BE185" i="1"/>
  <c r="BE186" i="1"/>
  <c r="BE187" i="1"/>
  <c r="BE188" i="1"/>
  <c r="BE189" i="1"/>
  <c r="BE190" i="1"/>
  <c r="BE191" i="1"/>
  <c r="BE192" i="1"/>
  <c r="BE193" i="1"/>
  <c r="BE194" i="1"/>
  <c r="BE195" i="1"/>
  <c r="BE196" i="1"/>
  <c r="BE197" i="1"/>
  <c r="BE198" i="1"/>
  <c r="BE199" i="1"/>
  <c r="BE200" i="1"/>
  <c r="BE201" i="1"/>
  <c r="BE202" i="1"/>
  <c r="BE203" i="1"/>
  <c r="BE204" i="1"/>
  <c r="BE205" i="1"/>
  <c r="BE206" i="1"/>
  <c r="BE207" i="1"/>
  <c r="BE208" i="1"/>
  <c r="BE209" i="1"/>
  <c r="BE210" i="1"/>
  <c r="BE211" i="1"/>
  <c r="BE212" i="1"/>
  <c r="BE213" i="1"/>
  <c r="BE214" i="1"/>
  <c r="BE215" i="1"/>
  <c r="BE216" i="1"/>
  <c r="BE217" i="1"/>
  <c r="BE218" i="1"/>
  <c r="BE219" i="1"/>
  <c r="BE220" i="1"/>
  <c r="BE221" i="1"/>
  <c r="BE222" i="1"/>
  <c r="BE223" i="1"/>
  <c r="BE224" i="1"/>
  <c r="BE225" i="1"/>
  <c r="BE226" i="1"/>
  <c r="BE227" i="1"/>
  <c r="BE228" i="1"/>
  <c r="BE229" i="1"/>
  <c r="BE230" i="1"/>
  <c r="BE231" i="1"/>
  <c r="BE232" i="1"/>
  <c r="BE233" i="1"/>
  <c r="BE234" i="1"/>
  <c r="BE235" i="1"/>
  <c r="BE236" i="1"/>
  <c r="BE237" i="1"/>
  <c r="BE238" i="1"/>
  <c r="BE239" i="1"/>
  <c r="BE240" i="1"/>
  <c r="BE241" i="1"/>
  <c r="BE242" i="1"/>
  <c r="BE243" i="1"/>
  <c r="BE244" i="1"/>
  <c r="BE245" i="1"/>
  <c r="BE246" i="1"/>
  <c r="BE247" i="1"/>
  <c r="BE248" i="1"/>
  <c r="BE249" i="1"/>
  <c r="BE250" i="1"/>
  <c r="BE251" i="1"/>
  <c r="BE252" i="1"/>
  <c r="BE253" i="1"/>
  <c r="BE254" i="1"/>
  <c r="BE255" i="1"/>
  <c r="BF4" i="1"/>
  <c r="BF5" i="1"/>
  <c r="BF6" i="1"/>
  <c r="BF7" i="1"/>
  <c r="BF8" i="1"/>
  <c r="BF9" i="1"/>
  <c r="BF10" i="1"/>
  <c r="BF11" i="1"/>
  <c r="BF12" i="1"/>
  <c r="BF13" i="1"/>
  <c r="BF14" i="1"/>
  <c r="BF15" i="1"/>
  <c r="BF16" i="1"/>
  <c r="BF17" i="1"/>
  <c r="BF18" i="1"/>
  <c r="BF19" i="1"/>
  <c r="BF20" i="1"/>
  <c r="BF21" i="1"/>
  <c r="BF22" i="1"/>
  <c r="BF23" i="1"/>
  <c r="BF24" i="1"/>
  <c r="BF25" i="1"/>
  <c r="BF26" i="1"/>
  <c r="BF27" i="1"/>
  <c r="BF28" i="1"/>
  <c r="BF29" i="1"/>
  <c r="BF30" i="1"/>
  <c r="BF31" i="1"/>
  <c r="BF32" i="1"/>
  <c r="BF33" i="1"/>
  <c r="BF34" i="1"/>
  <c r="BF35" i="1"/>
  <c r="BF36" i="1"/>
  <c r="BF37" i="1"/>
  <c r="BF38" i="1"/>
  <c r="BF39" i="1"/>
  <c r="BF40" i="1"/>
  <c r="BF41" i="1"/>
  <c r="BF42" i="1"/>
  <c r="BF43" i="1"/>
  <c r="BF44" i="1"/>
  <c r="BF45" i="1"/>
  <c r="BF46" i="1"/>
  <c r="BF47" i="1"/>
  <c r="BF48" i="1"/>
  <c r="BF49" i="1"/>
  <c r="BF50" i="1"/>
  <c r="BF51" i="1"/>
  <c r="BF52" i="1"/>
  <c r="BF53" i="1"/>
  <c r="BF54" i="1"/>
  <c r="BF55" i="1"/>
  <c r="BF56" i="1"/>
  <c r="BF57" i="1"/>
  <c r="BF58" i="1"/>
  <c r="BF59" i="1"/>
  <c r="BF60" i="1"/>
  <c r="BF61" i="1"/>
  <c r="BF62" i="1"/>
  <c r="BF63" i="1"/>
  <c r="BF64" i="1"/>
  <c r="BF65" i="1"/>
  <c r="BF66" i="1"/>
  <c r="BF67" i="1"/>
  <c r="BF68" i="1"/>
  <c r="BF69" i="1"/>
  <c r="BF70" i="1"/>
  <c r="BF71" i="1"/>
  <c r="BF72" i="1"/>
  <c r="BF73" i="1"/>
  <c r="BF74" i="1"/>
  <c r="BF75" i="1"/>
  <c r="BF76" i="1"/>
  <c r="BF77" i="1"/>
  <c r="BF78" i="1"/>
  <c r="BF79" i="1"/>
  <c r="BF80" i="1"/>
  <c r="BF81" i="1"/>
  <c r="BF82" i="1"/>
  <c r="BF83" i="1"/>
  <c r="BF84" i="1"/>
  <c r="BF85" i="1"/>
  <c r="BF86" i="1"/>
  <c r="BF87" i="1"/>
  <c r="BF88" i="1"/>
  <c r="BF89" i="1"/>
  <c r="BF90" i="1"/>
  <c r="BF91" i="1"/>
  <c r="BF92" i="1"/>
  <c r="BF93" i="1"/>
  <c r="BF94" i="1"/>
  <c r="BF95" i="1"/>
  <c r="BF96" i="1"/>
  <c r="BF97" i="1"/>
  <c r="BF98" i="1"/>
  <c r="BF99" i="1"/>
  <c r="BF100" i="1"/>
  <c r="BF101" i="1"/>
  <c r="BF102" i="1"/>
  <c r="BF103" i="1"/>
  <c r="BF104" i="1"/>
  <c r="BF105" i="1"/>
  <c r="BF106" i="1"/>
  <c r="BF107" i="1"/>
  <c r="BF108" i="1"/>
  <c r="BF109" i="1"/>
  <c r="BF110" i="1"/>
  <c r="BF111" i="1"/>
  <c r="BF112" i="1"/>
  <c r="BF113" i="1"/>
  <c r="BF114" i="1"/>
  <c r="BF115" i="1"/>
  <c r="BF116" i="1"/>
  <c r="BF117" i="1"/>
  <c r="BF118" i="1"/>
  <c r="BF119" i="1"/>
  <c r="BF120" i="1"/>
  <c r="BF121" i="1"/>
  <c r="BF122" i="1"/>
  <c r="BF123" i="1"/>
  <c r="BF124" i="1"/>
  <c r="BF125" i="1"/>
  <c r="BF126" i="1"/>
  <c r="BF127" i="1"/>
  <c r="BF128" i="1"/>
  <c r="BF129" i="1"/>
  <c r="BF130" i="1"/>
  <c r="BF131" i="1"/>
  <c r="BF132" i="1"/>
  <c r="BF133" i="1"/>
  <c r="BF134" i="1"/>
  <c r="BF135" i="1"/>
  <c r="BF136" i="1"/>
  <c r="BF137" i="1"/>
  <c r="BF138" i="1"/>
  <c r="BF139" i="1"/>
  <c r="BF140" i="1"/>
  <c r="BF141" i="1"/>
  <c r="BF142" i="1"/>
  <c r="BF143" i="1"/>
  <c r="BF144" i="1"/>
  <c r="BF145" i="1"/>
  <c r="BF146" i="1"/>
  <c r="BF147" i="1"/>
  <c r="BF148" i="1"/>
  <c r="BF149" i="1"/>
  <c r="BF150" i="1"/>
  <c r="BF151" i="1"/>
  <c r="BF152" i="1"/>
  <c r="BF153" i="1"/>
  <c r="BF154" i="1"/>
  <c r="BF155" i="1"/>
  <c r="BF156" i="1"/>
  <c r="BF157" i="1"/>
  <c r="BF158" i="1"/>
  <c r="BF159" i="1"/>
  <c r="BF160" i="1"/>
  <c r="BF161" i="1"/>
  <c r="BF162" i="1"/>
  <c r="BF163" i="1"/>
  <c r="BF164" i="1"/>
  <c r="BF165" i="1"/>
  <c r="BF166" i="1"/>
  <c r="BF167" i="1"/>
  <c r="BF168" i="1"/>
  <c r="BF169" i="1"/>
  <c r="BF170" i="1"/>
  <c r="BF171" i="1"/>
  <c r="BF172" i="1"/>
  <c r="BF173" i="1"/>
  <c r="BF174" i="1"/>
  <c r="BF175" i="1"/>
  <c r="BF176" i="1"/>
  <c r="BF177" i="1"/>
  <c r="BF178" i="1"/>
  <c r="BF179" i="1"/>
  <c r="BF180" i="1"/>
  <c r="BF181" i="1"/>
  <c r="BF182" i="1"/>
  <c r="BF183" i="1"/>
  <c r="BF184" i="1"/>
  <c r="BF185" i="1"/>
  <c r="BF186" i="1"/>
  <c r="BF187" i="1"/>
  <c r="BF188" i="1"/>
  <c r="BF189" i="1"/>
  <c r="BF190" i="1"/>
  <c r="BF191" i="1"/>
  <c r="BF192" i="1"/>
  <c r="BF193" i="1"/>
  <c r="BF194" i="1"/>
  <c r="BF195" i="1"/>
  <c r="BF196" i="1"/>
  <c r="BF197" i="1"/>
  <c r="BF198" i="1"/>
  <c r="BF199" i="1"/>
  <c r="BF200" i="1"/>
  <c r="BF201" i="1"/>
  <c r="BF202" i="1"/>
  <c r="BF203" i="1"/>
  <c r="BF204" i="1"/>
  <c r="BF205" i="1"/>
  <c r="BF206" i="1"/>
  <c r="BF207" i="1"/>
  <c r="BF208" i="1"/>
  <c r="BF209" i="1"/>
  <c r="BF210" i="1"/>
  <c r="BF211" i="1"/>
  <c r="BF212" i="1"/>
  <c r="BF213" i="1"/>
  <c r="BF214" i="1"/>
  <c r="BF215" i="1"/>
  <c r="BF216" i="1"/>
  <c r="BF217" i="1"/>
  <c r="BF218" i="1"/>
  <c r="BF219" i="1"/>
  <c r="BF220" i="1"/>
  <c r="BF221" i="1"/>
  <c r="BF222" i="1"/>
  <c r="BF223" i="1"/>
  <c r="BF224" i="1"/>
  <c r="BF225" i="1"/>
  <c r="BF226" i="1"/>
  <c r="BF227" i="1"/>
  <c r="BF228" i="1"/>
  <c r="BF229" i="1"/>
  <c r="BF230" i="1"/>
  <c r="BF231" i="1"/>
  <c r="BF232" i="1"/>
  <c r="BF233" i="1"/>
  <c r="BF234" i="1"/>
  <c r="BF235" i="1"/>
  <c r="BF236" i="1"/>
  <c r="BF237" i="1"/>
  <c r="BF238" i="1"/>
  <c r="BF239" i="1"/>
  <c r="BF240" i="1"/>
  <c r="BF241" i="1"/>
  <c r="BF242" i="1"/>
  <c r="BF243" i="1"/>
  <c r="BF244" i="1"/>
  <c r="BF245" i="1"/>
  <c r="BF246" i="1"/>
  <c r="BF247" i="1"/>
  <c r="BF248" i="1"/>
  <c r="BF249" i="1"/>
  <c r="BF250" i="1"/>
  <c r="BF251" i="1"/>
  <c r="BF252" i="1"/>
  <c r="BF253" i="1"/>
  <c r="BF254" i="1"/>
  <c r="BF255" i="1"/>
  <c r="BG4" i="1"/>
  <c r="BG5" i="1"/>
  <c r="BG6" i="1"/>
  <c r="BG7" i="1"/>
  <c r="BG8" i="1"/>
  <c r="BG9" i="1"/>
  <c r="BG10" i="1"/>
  <c r="BG11" i="1"/>
  <c r="BG12" i="1"/>
  <c r="BG13" i="1"/>
  <c r="BG14" i="1"/>
  <c r="BG15" i="1"/>
  <c r="BG16" i="1"/>
  <c r="BG17" i="1"/>
  <c r="BG18" i="1"/>
  <c r="BG19" i="1"/>
  <c r="BG20" i="1"/>
  <c r="BG21" i="1"/>
  <c r="BG22" i="1"/>
  <c r="BG23" i="1"/>
  <c r="BG24" i="1"/>
  <c r="BG25" i="1"/>
  <c r="BG26" i="1"/>
  <c r="BG27" i="1"/>
  <c r="BG28" i="1"/>
  <c r="BG29" i="1"/>
  <c r="BG30" i="1"/>
  <c r="BG31" i="1"/>
  <c r="BG32" i="1"/>
  <c r="BG33" i="1"/>
  <c r="BG34" i="1"/>
  <c r="BG35" i="1"/>
  <c r="BG36" i="1"/>
  <c r="BG37" i="1"/>
  <c r="BG38" i="1"/>
  <c r="BG39" i="1"/>
  <c r="BG40" i="1"/>
  <c r="BG41" i="1"/>
  <c r="BG42" i="1"/>
  <c r="BG43" i="1"/>
  <c r="BG44" i="1"/>
  <c r="BG45" i="1"/>
  <c r="BG46" i="1"/>
  <c r="BG47" i="1"/>
  <c r="BG48" i="1"/>
  <c r="BG49" i="1"/>
  <c r="BG50" i="1"/>
  <c r="BG51" i="1"/>
  <c r="BG52" i="1"/>
  <c r="BG53" i="1"/>
  <c r="BG54" i="1"/>
  <c r="BG55" i="1"/>
  <c r="BG56" i="1"/>
  <c r="BG57" i="1"/>
  <c r="BG58" i="1"/>
  <c r="BG59" i="1"/>
  <c r="BG60" i="1"/>
  <c r="BG61" i="1"/>
  <c r="BG62" i="1"/>
  <c r="BG63" i="1"/>
  <c r="BG64" i="1"/>
  <c r="BG65" i="1"/>
  <c r="BG66" i="1"/>
  <c r="BG67" i="1"/>
  <c r="BG68" i="1"/>
  <c r="BG69" i="1"/>
  <c r="BG70" i="1"/>
  <c r="BG71" i="1"/>
  <c r="BG72" i="1"/>
  <c r="BG73" i="1"/>
  <c r="BG74" i="1"/>
  <c r="BG75" i="1"/>
  <c r="BG76" i="1"/>
  <c r="BG77" i="1"/>
  <c r="BG78" i="1"/>
  <c r="BG79" i="1"/>
  <c r="BG80" i="1"/>
  <c r="BG81" i="1"/>
  <c r="BG82" i="1"/>
  <c r="BG83" i="1"/>
  <c r="BG84" i="1"/>
  <c r="BG85" i="1"/>
  <c r="BG86" i="1"/>
  <c r="BG87" i="1"/>
  <c r="BG88" i="1"/>
  <c r="BG89" i="1"/>
  <c r="BG90" i="1"/>
  <c r="BG91" i="1"/>
  <c r="BG92" i="1"/>
  <c r="BG93" i="1"/>
  <c r="BG94" i="1"/>
  <c r="BG95" i="1"/>
  <c r="BG96" i="1"/>
  <c r="BG97" i="1"/>
  <c r="BG98" i="1"/>
  <c r="BG99" i="1"/>
  <c r="BG100" i="1"/>
  <c r="BG101" i="1"/>
  <c r="BG102" i="1"/>
  <c r="BG103" i="1"/>
  <c r="BG104" i="1"/>
  <c r="BG105" i="1"/>
  <c r="BG106" i="1"/>
  <c r="BG107" i="1"/>
  <c r="BG108" i="1"/>
  <c r="BG109" i="1"/>
  <c r="BG110" i="1"/>
  <c r="BG111" i="1"/>
  <c r="BG112" i="1"/>
  <c r="BG113" i="1"/>
  <c r="BG114" i="1"/>
  <c r="BG115" i="1"/>
  <c r="BG116" i="1"/>
  <c r="BG117" i="1"/>
  <c r="BG118" i="1"/>
  <c r="BG119" i="1"/>
  <c r="BG120" i="1"/>
  <c r="BG121" i="1"/>
  <c r="BG122" i="1"/>
  <c r="BG123" i="1"/>
  <c r="BG124" i="1"/>
  <c r="BG125" i="1"/>
  <c r="BG126" i="1"/>
  <c r="BG127" i="1"/>
  <c r="BG128" i="1"/>
  <c r="BG129" i="1"/>
  <c r="BG130" i="1"/>
  <c r="BG131" i="1"/>
  <c r="BG132" i="1"/>
  <c r="BG133" i="1"/>
  <c r="BG134" i="1"/>
  <c r="BG135" i="1"/>
  <c r="BG136" i="1"/>
  <c r="BG137" i="1"/>
  <c r="BG138" i="1"/>
  <c r="BG139" i="1"/>
  <c r="BG140" i="1"/>
  <c r="BG141" i="1"/>
  <c r="BG142" i="1"/>
  <c r="BG143" i="1"/>
  <c r="BG144" i="1"/>
  <c r="BG145" i="1"/>
  <c r="BG146" i="1"/>
  <c r="BG147" i="1"/>
  <c r="BG148" i="1"/>
  <c r="BG149" i="1"/>
  <c r="BG150" i="1"/>
  <c r="BG151" i="1"/>
  <c r="BG152" i="1"/>
  <c r="BG153" i="1"/>
  <c r="BG154" i="1"/>
  <c r="BG155" i="1"/>
  <c r="BG156" i="1"/>
  <c r="BG157" i="1"/>
  <c r="BG158" i="1"/>
  <c r="BG159" i="1"/>
  <c r="BG160" i="1"/>
  <c r="BG161" i="1"/>
  <c r="BG162" i="1"/>
  <c r="BG163" i="1"/>
  <c r="BG164" i="1"/>
  <c r="BG165" i="1"/>
  <c r="BG166" i="1"/>
  <c r="BG167" i="1"/>
  <c r="BG168" i="1"/>
  <c r="BG169" i="1"/>
  <c r="BG170" i="1"/>
  <c r="BG171" i="1"/>
  <c r="BG172" i="1"/>
  <c r="BG173" i="1"/>
  <c r="BG174" i="1"/>
  <c r="BG175" i="1"/>
  <c r="BG176" i="1"/>
  <c r="BG177" i="1"/>
  <c r="BG178" i="1"/>
  <c r="BG179" i="1"/>
  <c r="BG180" i="1"/>
  <c r="BG181" i="1"/>
  <c r="BG182" i="1"/>
  <c r="BG183" i="1"/>
  <c r="BG184" i="1"/>
  <c r="BG185" i="1"/>
  <c r="BG186" i="1"/>
  <c r="BG187" i="1"/>
  <c r="BG188" i="1"/>
  <c r="BG189" i="1"/>
  <c r="BG190" i="1"/>
  <c r="BG191" i="1"/>
  <c r="BG192" i="1"/>
  <c r="BG193" i="1"/>
  <c r="BG194" i="1"/>
  <c r="BG195" i="1"/>
  <c r="BG196" i="1"/>
  <c r="BG197" i="1"/>
  <c r="BG198" i="1"/>
  <c r="BG199" i="1"/>
  <c r="BG200" i="1"/>
  <c r="BG201" i="1"/>
  <c r="BG202" i="1"/>
  <c r="BG203" i="1"/>
  <c r="BG204" i="1"/>
  <c r="BG205" i="1"/>
  <c r="BG206" i="1"/>
  <c r="BG207" i="1"/>
  <c r="BG208" i="1"/>
  <c r="BG209" i="1"/>
  <c r="BG210" i="1"/>
  <c r="BG211" i="1"/>
  <c r="BG212" i="1"/>
  <c r="BG213" i="1"/>
  <c r="BG214" i="1"/>
  <c r="BG215" i="1"/>
  <c r="BG216" i="1"/>
  <c r="BG217" i="1"/>
  <c r="BG218" i="1"/>
  <c r="BG219" i="1"/>
  <c r="BG220" i="1"/>
  <c r="BG221" i="1"/>
  <c r="BG222" i="1"/>
  <c r="BG223" i="1"/>
  <c r="BG224" i="1"/>
  <c r="BG225" i="1"/>
  <c r="BG226" i="1"/>
  <c r="BG227" i="1"/>
  <c r="BG228" i="1"/>
  <c r="BG229" i="1"/>
  <c r="BG230" i="1"/>
  <c r="BG231" i="1"/>
  <c r="BG232" i="1"/>
  <c r="BG233" i="1"/>
  <c r="BG234" i="1"/>
  <c r="BG235" i="1"/>
  <c r="BG236" i="1"/>
  <c r="BG237" i="1"/>
  <c r="BG238" i="1"/>
  <c r="BG239" i="1"/>
  <c r="BG240" i="1"/>
  <c r="BG241" i="1"/>
  <c r="BG242" i="1"/>
  <c r="BG243" i="1"/>
  <c r="BG244" i="1"/>
  <c r="BG245" i="1"/>
  <c r="BG246" i="1"/>
  <c r="BG247" i="1"/>
  <c r="BG248" i="1"/>
  <c r="BG249" i="1"/>
  <c r="BG250" i="1"/>
  <c r="BG251" i="1"/>
  <c r="BG252" i="1"/>
  <c r="BG253" i="1"/>
  <c r="BG254" i="1"/>
  <c r="BG255" i="1"/>
  <c r="BH4" i="1"/>
  <c r="BH5" i="1"/>
  <c r="BH6" i="1"/>
  <c r="BH7" i="1"/>
  <c r="BH8" i="1"/>
  <c r="BH10" i="1"/>
  <c r="BH11" i="1"/>
  <c r="BH12" i="1"/>
  <c r="BH13" i="1"/>
  <c r="BH14" i="1"/>
  <c r="BH16" i="1"/>
  <c r="BH17" i="1"/>
  <c r="BH18" i="1"/>
  <c r="BH19" i="1"/>
  <c r="BH20" i="1"/>
  <c r="BH22" i="1"/>
  <c r="BH23" i="1"/>
  <c r="BH24" i="1"/>
  <c r="BH25" i="1"/>
  <c r="BH26" i="1"/>
  <c r="BH28" i="1"/>
  <c r="BH29" i="1"/>
  <c r="BH30" i="1"/>
  <c r="BH31" i="1"/>
  <c r="BH32" i="1"/>
  <c r="BH34" i="1"/>
  <c r="BH35" i="1"/>
  <c r="BH36" i="1"/>
  <c r="BH37" i="1"/>
  <c r="BH38" i="1"/>
  <c r="BH40" i="1"/>
  <c r="BH41" i="1"/>
  <c r="BH42" i="1"/>
  <c r="BH43" i="1"/>
  <c r="BH44" i="1"/>
  <c r="BH46" i="1"/>
  <c r="BH47" i="1"/>
  <c r="BH48" i="1"/>
  <c r="BH49" i="1"/>
  <c r="BH50" i="1"/>
  <c r="BH52" i="1"/>
  <c r="BH53" i="1"/>
  <c r="BH54" i="1"/>
  <c r="BH55" i="1"/>
  <c r="BH56" i="1"/>
  <c r="BH58" i="1"/>
  <c r="BH59" i="1"/>
  <c r="BH60" i="1"/>
  <c r="BH61" i="1"/>
  <c r="BH62" i="1"/>
  <c r="BH64" i="1"/>
  <c r="BH65" i="1"/>
  <c r="BH66" i="1"/>
  <c r="BH67" i="1"/>
  <c r="BH68" i="1"/>
  <c r="BH70" i="1"/>
  <c r="BH71" i="1"/>
  <c r="BH72" i="1"/>
  <c r="BH73" i="1"/>
  <c r="BH74" i="1"/>
  <c r="BH76" i="1"/>
  <c r="BH77" i="1"/>
  <c r="BH78" i="1"/>
  <c r="BH79" i="1"/>
  <c r="BH80" i="1"/>
  <c r="BH82" i="1"/>
  <c r="BH83" i="1"/>
  <c r="BH84" i="1"/>
  <c r="BH85" i="1"/>
  <c r="BH86" i="1"/>
  <c r="BH88" i="1"/>
  <c r="BH89" i="1"/>
  <c r="BH90" i="1"/>
  <c r="BH91" i="1"/>
  <c r="BH92" i="1"/>
  <c r="BH94" i="1"/>
  <c r="BH95" i="1"/>
  <c r="BH96" i="1"/>
  <c r="BH97" i="1"/>
  <c r="BH98" i="1"/>
  <c r="BH100" i="1"/>
  <c r="BH101" i="1"/>
  <c r="BH102" i="1"/>
  <c r="BH103" i="1"/>
  <c r="BH104" i="1"/>
  <c r="BH106" i="1"/>
  <c r="BH107" i="1"/>
  <c r="BH108" i="1"/>
  <c r="BH109" i="1"/>
  <c r="BH110" i="1"/>
  <c r="BH112" i="1"/>
  <c r="BH113" i="1"/>
  <c r="BH114" i="1"/>
  <c r="BH115" i="1"/>
  <c r="BH116" i="1"/>
  <c r="BH118" i="1"/>
  <c r="BH119" i="1"/>
  <c r="BH120" i="1"/>
  <c r="BH121" i="1"/>
  <c r="BH122" i="1"/>
  <c r="BH124" i="1"/>
  <c r="BH125" i="1"/>
  <c r="BH126" i="1"/>
  <c r="BH127" i="1"/>
  <c r="BH128" i="1"/>
  <c r="BH130" i="1"/>
  <c r="BH131" i="1"/>
  <c r="BH132" i="1"/>
  <c r="BH133" i="1"/>
  <c r="BH134" i="1"/>
  <c r="BH136" i="1"/>
  <c r="BH137" i="1"/>
  <c r="BH138" i="1"/>
  <c r="BH139" i="1"/>
  <c r="BH140" i="1"/>
  <c r="BH142" i="1"/>
  <c r="BH143" i="1"/>
  <c r="BH144" i="1"/>
  <c r="BH145" i="1"/>
  <c r="BH146" i="1"/>
  <c r="BH148" i="1"/>
  <c r="BH149" i="1"/>
  <c r="BH150" i="1"/>
  <c r="BH151" i="1"/>
  <c r="BH152" i="1"/>
  <c r="BH154" i="1"/>
  <c r="BH155" i="1"/>
  <c r="BH156" i="1"/>
  <c r="BH157" i="1"/>
  <c r="BH158" i="1"/>
  <c r="BH160" i="1"/>
  <c r="BH161" i="1"/>
  <c r="BH162" i="1"/>
  <c r="BH163" i="1"/>
  <c r="BH164" i="1"/>
  <c r="BH166" i="1"/>
  <c r="BH167" i="1"/>
  <c r="BH168" i="1"/>
  <c r="BH169" i="1"/>
  <c r="BH170" i="1"/>
  <c r="BH172" i="1"/>
  <c r="BH173" i="1"/>
  <c r="BH174" i="1"/>
  <c r="BH175" i="1"/>
  <c r="BH176" i="1"/>
  <c r="BH178" i="1"/>
  <c r="BH179" i="1"/>
  <c r="BH180" i="1"/>
  <c r="BH181" i="1"/>
  <c r="BH182" i="1"/>
  <c r="BH184" i="1"/>
  <c r="BH185" i="1"/>
  <c r="BH186" i="1"/>
  <c r="BH187" i="1"/>
  <c r="BH188" i="1"/>
  <c r="BH190" i="1"/>
  <c r="BH191" i="1"/>
  <c r="BH192" i="1"/>
  <c r="BH193" i="1"/>
  <c r="BH194" i="1"/>
  <c r="BH196" i="1"/>
  <c r="BH197" i="1"/>
  <c r="BH198" i="1"/>
  <c r="BH199" i="1"/>
  <c r="BH200" i="1"/>
  <c r="BH202" i="1"/>
  <c r="BH203" i="1"/>
  <c r="BH204" i="1"/>
  <c r="BH205" i="1"/>
  <c r="BH206" i="1"/>
  <c r="BH208" i="1"/>
  <c r="BH209" i="1"/>
  <c r="BH210" i="1"/>
  <c r="BH211" i="1"/>
  <c r="BH212" i="1"/>
  <c r="BH214" i="1"/>
  <c r="BH215" i="1"/>
  <c r="BH216" i="1"/>
  <c r="BH217" i="1"/>
  <c r="BH218" i="1"/>
  <c r="BH220" i="1"/>
  <c r="BH221" i="1"/>
  <c r="BH222" i="1"/>
  <c r="BH223" i="1"/>
  <c r="BH224" i="1"/>
  <c r="BH226" i="1"/>
  <c r="BH227" i="1"/>
  <c r="BH228" i="1"/>
  <c r="BH229" i="1"/>
  <c r="BH230" i="1"/>
  <c r="BH232" i="1"/>
  <c r="BH233" i="1"/>
  <c r="BH234" i="1"/>
  <c r="BH235" i="1"/>
  <c r="BH236" i="1"/>
  <c r="BH238" i="1"/>
  <c r="BH239" i="1"/>
  <c r="BH240" i="1"/>
  <c r="BH241" i="1"/>
  <c r="BH242" i="1"/>
  <c r="BH244" i="1"/>
  <c r="BH245" i="1"/>
  <c r="BH246" i="1"/>
  <c r="BH247" i="1"/>
  <c r="BH248" i="1"/>
  <c r="BH250" i="1"/>
  <c r="BH251" i="1"/>
  <c r="BH252" i="1"/>
  <c r="BH253" i="1"/>
  <c r="BH254" i="1"/>
  <c r="BI4" i="1"/>
  <c r="BI5" i="1"/>
  <c r="BI6" i="1"/>
  <c r="BI7" i="1"/>
  <c r="BI8" i="1"/>
  <c r="BI10" i="1"/>
  <c r="BI11" i="1"/>
  <c r="BI12" i="1"/>
  <c r="BI13" i="1"/>
  <c r="BI14" i="1"/>
  <c r="BI16" i="1"/>
  <c r="BI17" i="1"/>
  <c r="BI18" i="1"/>
  <c r="BI19" i="1"/>
  <c r="BI20" i="1"/>
  <c r="BI22" i="1"/>
  <c r="BI23" i="1"/>
  <c r="BI24" i="1"/>
  <c r="BI25" i="1"/>
  <c r="BI26" i="1"/>
  <c r="BI28" i="1"/>
  <c r="BI29" i="1"/>
  <c r="BI30" i="1"/>
  <c r="BI31" i="1"/>
  <c r="BI32" i="1"/>
  <c r="BI34" i="1"/>
  <c r="BI35" i="1"/>
  <c r="BI36" i="1"/>
  <c r="BI37" i="1"/>
  <c r="BI38" i="1"/>
  <c r="BI40" i="1"/>
  <c r="BI41" i="1"/>
  <c r="BI42" i="1"/>
  <c r="BI43" i="1"/>
  <c r="BI44" i="1"/>
  <c r="BI46" i="1"/>
  <c r="BI47" i="1"/>
  <c r="BI48" i="1"/>
  <c r="BI49" i="1"/>
  <c r="BI50" i="1"/>
  <c r="BI52" i="1"/>
  <c r="BI53" i="1"/>
  <c r="BI54" i="1"/>
  <c r="BI55" i="1"/>
  <c r="BI56" i="1"/>
  <c r="BI58" i="1"/>
  <c r="BI59" i="1"/>
  <c r="BI60" i="1"/>
  <c r="BI61" i="1"/>
  <c r="BI62" i="1"/>
  <c r="BI64" i="1"/>
  <c r="BI65" i="1"/>
  <c r="BI66" i="1"/>
  <c r="BI67" i="1"/>
  <c r="BI68" i="1"/>
  <c r="BI70" i="1"/>
  <c r="BI71" i="1"/>
  <c r="BI72" i="1"/>
  <c r="BI73" i="1"/>
  <c r="BI74" i="1"/>
  <c r="BI76" i="1"/>
  <c r="BI77" i="1"/>
  <c r="BI78" i="1"/>
  <c r="BI79" i="1"/>
  <c r="BI80" i="1"/>
  <c r="BI82" i="1"/>
  <c r="BI83" i="1"/>
  <c r="BI84" i="1"/>
  <c r="BI85" i="1"/>
  <c r="BI86" i="1"/>
  <c r="BI88" i="1"/>
  <c r="BI89" i="1"/>
  <c r="BI90" i="1"/>
  <c r="BI91" i="1"/>
  <c r="BI92" i="1"/>
  <c r="BI94" i="1"/>
  <c r="BI95" i="1"/>
  <c r="BI96" i="1"/>
  <c r="BI97" i="1"/>
  <c r="BI98" i="1"/>
  <c r="BI100" i="1"/>
  <c r="BI101" i="1"/>
  <c r="BI102" i="1"/>
  <c r="BI103" i="1"/>
  <c r="BI104" i="1"/>
  <c r="BI106" i="1"/>
  <c r="BI107" i="1"/>
  <c r="BI108" i="1"/>
  <c r="BI109" i="1"/>
  <c r="BI110" i="1"/>
  <c r="BI112" i="1"/>
  <c r="BI113" i="1"/>
  <c r="BI114" i="1"/>
  <c r="BI115" i="1"/>
  <c r="BI116" i="1"/>
  <c r="BI118" i="1"/>
  <c r="BI119" i="1"/>
  <c r="BI120" i="1"/>
  <c r="BI121" i="1"/>
  <c r="BI122" i="1"/>
  <c r="BI124" i="1"/>
  <c r="BI125" i="1"/>
  <c r="BI126" i="1"/>
  <c r="BI127" i="1"/>
  <c r="BI128" i="1"/>
  <c r="BI130" i="1"/>
  <c r="BI131" i="1"/>
  <c r="BI132" i="1"/>
  <c r="BI133" i="1"/>
  <c r="BI134" i="1"/>
  <c r="BI136" i="1"/>
  <c r="BI137" i="1"/>
  <c r="BI138" i="1"/>
  <c r="BI139" i="1"/>
  <c r="BI140" i="1"/>
  <c r="BI141" i="1"/>
  <c r="BI142" i="1"/>
  <c r="BI143" i="1"/>
  <c r="BI144" i="1"/>
  <c r="BI145" i="1"/>
  <c r="BI146" i="1"/>
  <c r="BI147" i="1"/>
  <c r="BI148" i="1"/>
  <c r="BI149" i="1"/>
  <c r="BI150" i="1"/>
  <c r="BI151" i="1"/>
  <c r="BI152" i="1"/>
  <c r="BI153" i="1"/>
  <c r="BI154" i="1"/>
  <c r="BI155" i="1"/>
  <c r="BI156" i="1"/>
  <c r="BI157" i="1"/>
  <c r="BI158" i="1"/>
  <c r="BI159" i="1"/>
  <c r="BI160" i="1"/>
  <c r="BI161" i="1"/>
  <c r="BI162" i="1"/>
  <c r="BI163" i="1"/>
  <c r="BI164" i="1"/>
  <c r="BI165" i="1"/>
  <c r="BI166" i="1"/>
  <c r="BI167" i="1"/>
  <c r="BI168" i="1"/>
  <c r="BI169" i="1"/>
  <c r="BI170" i="1"/>
  <c r="BI171" i="1"/>
  <c r="BI172" i="1"/>
  <c r="BI173" i="1"/>
  <c r="BI174" i="1"/>
  <c r="BI175" i="1"/>
  <c r="BI176" i="1"/>
  <c r="BI177" i="1"/>
  <c r="BI178" i="1"/>
  <c r="BI179" i="1"/>
  <c r="BI180" i="1"/>
  <c r="BI181" i="1"/>
  <c r="BI182" i="1"/>
  <c r="BI183" i="1"/>
  <c r="BI184" i="1"/>
  <c r="BI185" i="1"/>
  <c r="BI186" i="1"/>
  <c r="BI187" i="1"/>
  <c r="BI188" i="1"/>
  <c r="BI189" i="1"/>
  <c r="BI190" i="1"/>
  <c r="BI191" i="1"/>
  <c r="BI192" i="1"/>
  <c r="BI193" i="1"/>
  <c r="BI194" i="1"/>
  <c r="BI195" i="1"/>
  <c r="BI196" i="1"/>
  <c r="BI197" i="1"/>
  <c r="BI198" i="1"/>
  <c r="BI199" i="1"/>
  <c r="BI200" i="1"/>
  <c r="BI201" i="1"/>
  <c r="BI202" i="1"/>
  <c r="BI203" i="1"/>
  <c r="BI204" i="1"/>
  <c r="BI205" i="1"/>
  <c r="BI206" i="1"/>
  <c r="BI207" i="1"/>
  <c r="BI208" i="1"/>
  <c r="BI209" i="1"/>
  <c r="BI210" i="1"/>
  <c r="BI211" i="1"/>
  <c r="BI212" i="1"/>
  <c r="BI213" i="1"/>
  <c r="BI214" i="1"/>
  <c r="BI215" i="1"/>
  <c r="BI216" i="1"/>
  <c r="BI217" i="1"/>
  <c r="BI218" i="1"/>
  <c r="BI219" i="1"/>
  <c r="BI220" i="1"/>
  <c r="BI221" i="1"/>
  <c r="BI222" i="1"/>
  <c r="BI223" i="1"/>
  <c r="BI224" i="1"/>
  <c r="BI225" i="1"/>
  <c r="BI226" i="1"/>
  <c r="BI227" i="1"/>
  <c r="BI228" i="1"/>
  <c r="BI229" i="1"/>
  <c r="BI230" i="1"/>
  <c r="BI231" i="1"/>
  <c r="BI232" i="1"/>
  <c r="BI233" i="1"/>
  <c r="BI234" i="1"/>
  <c r="BI235" i="1"/>
  <c r="BI236" i="1"/>
  <c r="BI237" i="1"/>
  <c r="BI238" i="1"/>
  <c r="BI239" i="1"/>
  <c r="BI240" i="1"/>
  <c r="BI241" i="1"/>
  <c r="BI242" i="1"/>
  <c r="BI243" i="1"/>
  <c r="BI244" i="1"/>
  <c r="BI245" i="1"/>
  <c r="BI246" i="1"/>
  <c r="BI247" i="1"/>
  <c r="BI248" i="1"/>
  <c r="BI249" i="1"/>
  <c r="BI250" i="1"/>
  <c r="BI251" i="1"/>
  <c r="BI252" i="1"/>
  <c r="BI253" i="1"/>
  <c r="BI254" i="1"/>
  <c r="BI255" i="1"/>
  <c r="BJ4" i="1"/>
  <c r="BJ5" i="1"/>
  <c r="BJ6" i="1"/>
  <c r="BJ7" i="1"/>
  <c r="BJ8" i="1"/>
  <c r="BJ9" i="1"/>
  <c r="BJ10" i="1"/>
  <c r="BJ11" i="1"/>
  <c r="BJ12" i="1"/>
  <c r="BJ13" i="1"/>
  <c r="BJ14" i="1"/>
  <c r="BJ15" i="1"/>
  <c r="BJ16" i="1"/>
  <c r="BJ17" i="1"/>
  <c r="BJ18" i="1"/>
  <c r="BJ19" i="1"/>
  <c r="BJ20" i="1"/>
  <c r="BJ21" i="1"/>
  <c r="BJ22" i="1"/>
  <c r="BJ23" i="1"/>
  <c r="BJ24" i="1"/>
  <c r="BJ25" i="1"/>
  <c r="BJ26" i="1"/>
  <c r="BJ27" i="1"/>
  <c r="BJ28" i="1"/>
  <c r="BJ29" i="1"/>
  <c r="BJ30" i="1"/>
  <c r="BJ31" i="1"/>
  <c r="BJ32" i="1"/>
  <c r="BJ33" i="1"/>
  <c r="BJ34" i="1"/>
  <c r="BJ35" i="1"/>
  <c r="BJ36" i="1"/>
  <c r="BJ37" i="1"/>
  <c r="BJ38" i="1"/>
  <c r="BJ39" i="1"/>
  <c r="BJ40" i="1"/>
  <c r="BJ41" i="1"/>
  <c r="BJ42" i="1"/>
  <c r="BJ43" i="1"/>
  <c r="BJ44" i="1"/>
  <c r="BJ45" i="1"/>
  <c r="BJ46" i="1"/>
  <c r="BJ47" i="1"/>
  <c r="BJ48" i="1"/>
  <c r="BJ49" i="1"/>
  <c r="BJ50" i="1"/>
  <c r="BJ51" i="1"/>
  <c r="BJ52" i="1"/>
  <c r="BJ53" i="1"/>
  <c r="BJ54" i="1"/>
  <c r="BJ55" i="1"/>
  <c r="BJ56" i="1"/>
  <c r="BJ57" i="1"/>
  <c r="BJ58" i="1"/>
  <c r="BJ59" i="1"/>
  <c r="BJ60" i="1"/>
  <c r="BJ61" i="1"/>
  <c r="BJ62" i="1"/>
  <c r="BJ63" i="1"/>
  <c r="BJ64" i="1"/>
  <c r="BJ65" i="1"/>
  <c r="BJ66" i="1"/>
  <c r="BJ67" i="1"/>
  <c r="BJ68" i="1"/>
  <c r="BJ69" i="1"/>
  <c r="BJ70" i="1"/>
  <c r="BJ71" i="1"/>
  <c r="BJ72" i="1"/>
  <c r="BJ73" i="1"/>
  <c r="BJ74" i="1"/>
  <c r="BJ75" i="1"/>
  <c r="BJ76" i="1"/>
  <c r="BJ77" i="1"/>
  <c r="BJ78" i="1"/>
  <c r="BJ79" i="1"/>
  <c r="BJ80" i="1"/>
  <c r="BJ81" i="1"/>
  <c r="BJ82" i="1"/>
  <c r="BJ83" i="1"/>
  <c r="BJ84" i="1"/>
  <c r="BJ85" i="1"/>
  <c r="BJ86" i="1"/>
  <c r="BJ87" i="1"/>
  <c r="BJ88" i="1"/>
  <c r="BJ89" i="1"/>
  <c r="BJ90" i="1"/>
  <c r="BJ91" i="1"/>
  <c r="BJ92" i="1"/>
  <c r="BJ93" i="1"/>
  <c r="BJ94" i="1"/>
  <c r="BJ95" i="1"/>
  <c r="BJ96" i="1"/>
  <c r="BJ97" i="1"/>
  <c r="BJ98" i="1"/>
  <c r="BJ99" i="1"/>
  <c r="BJ100" i="1"/>
  <c r="BJ101" i="1"/>
  <c r="BJ102" i="1"/>
  <c r="BJ103" i="1"/>
  <c r="BJ104" i="1"/>
  <c r="BJ105" i="1"/>
  <c r="BJ106" i="1"/>
  <c r="BJ107" i="1"/>
  <c r="BJ108" i="1"/>
  <c r="BJ109" i="1"/>
  <c r="BJ110" i="1"/>
  <c r="BJ111" i="1"/>
  <c r="BJ112" i="1"/>
  <c r="BJ113" i="1"/>
  <c r="BJ114" i="1"/>
  <c r="BJ115" i="1"/>
  <c r="BJ116" i="1"/>
  <c r="BJ117" i="1"/>
  <c r="BJ118" i="1"/>
  <c r="BJ119" i="1"/>
  <c r="BJ120" i="1"/>
  <c r="BJ121" i="1"/>
  <c r="BJ122" i="1"/>
  <c r="BJ123" i="1"/>
  <c r="BJ124" i="1"/>
  <c r="BJ125" i="1"/>
  <c r="BJ126" i="1"/>
  <c r="BJ127" i="1"/>
  <c r="BJ128" i="1"/>
  <c r="BJ129" i="1"/>
  <c r="BJ130" i="1"/>
  <c r="BJ131" i="1"/>
  <c r="BJ132" i="1"/>
  <c r="BJ133" i="1"/>
  <c r="BJ134" i="1"/>
  <c r="BJ135" i="1"/>
  <c r="BJ136" i="1"/>
  <c r="BJ137" i="1"/>
  <c r="BJ138" i="1"/>
  <c r="BJ139" i="1"/>
  <c r="BJ140" i="1"/>
  <c r="BJ141" i="1"/>
  <c r="BJ142" i="1"/>
  <c r="BJ143" i="1"/>
  <c r="BJ144" i="1"/>
  <c r="BJ145" i="1"/>
  <c r="BJ146" i="1"/>
  <c r="BJ147" i="1"/>
  <c r="BJ148" i="1"/>
  <c r="BJ149" i="1"/>
  <c r="BJ150" i="1"/>
  <c r="BJ151" i="1"/>
  <c r="BJ152" i="1"/>
  <c r="BJ153" i="1"/>
  <c r="BJ154" i="1"/>
  <c r="BJ155" i="1"/>
  <c r="BJ156" i="1"/>
  <c r="BJ157" i="1"/>
  <c r="BJ158" i="1"/>
  <c r="BJ159" i="1"/>
  <c r="BJ160" i="1"/>
  <c r="BJ161" i="1"/>
  <c r="BJ162" i="1"/>
  <c r="BJ163" i="1"/>
  <c r="BJ164" i="1"/>
  <c r="BJ165" i="1"/>
  <c r="BJ166" i="1"/>
  <c r="BJ167" i="1"/>
  <c r="BJ168" i="1"/>
  <c r="BJ169" i="1"/>
  <c r="BJ170" i="1"/>
  <c r="BJ171" i="1"/>
  <c r="BJ172" i="1"/>
  <c r="BJ173" i="1"/>
  <c r="BJ174" i="1"/>
  <c r="BJ175" i="1"/>
  <c r="BJ176" i="1"/>
  <c r="BJ177" i="1"/>
  <c r="BJ178" i="1"/>
  <c r="BJ179" i="1"/>
  <c r="BJ180" i="1"/>
  <c r="BJ181" i="1"/>
  <c r="BJ182" i="1"/>
  <c r="BJ183" i="1"/>
  <c r="BJ184" i="1"/>
  <c r="BJ185" i="1"/>
  <c r="BJ186" i="1"/>
  <c r="BJ187" i="1"/>
  <c r="BJ188" i="1"/>
  <c r="BJ189" i="1"/>
  <c r="BJ190" i="1"/>
  <c r="BJ191" i="1"/>
  <c r="BJ192" i="1"/>
  <c r="BJ193" i="1"/>
  <c r="BJ194" i="1"/>
  <c r="BJ195" i="1"/>
  <c r="BJ196" i="1"/>
  <c r="BJ197" i="1"/>
  <c r="BJ198" i="1"/>
  <c r="BJ199" i="1"/>
  <c r="BJ200" i="1"/>
  <c r="BJ201" i="1"/>
  <c r="BJ202" i="1"/>
  <c r="BJ203" i="1"/>
  <c r="BJ204" i="1"/>
  <c r="BJ205" i="1"/>
  <c r="BJ206" i="1"/>
  <c r="BJ207" i="1"/>
  <c r="BJ208" i="1"/>
  <c r="BJ209" i="1"/>
  <c r="BJ210" i="1"/>
  <c r="BJ211" i="1"/>
  <c r="BJ212" i="1"/>
  <c r="BJ213" i="1"/>
  <c r="BJ214" i="1"/>
  <c r="BJ215" i="1"/>
  <c r="BJ216" i="1"/>
  <c r="BJ217" i="1"/>
  <c r="BJ218" i="1"/>
  <c r="BJ219" i="1"/>
  <c r="BJ220" i="1"/>
  <c r="BJ221" i="1"/>
  <c r="BJ222" i="1"/>
  <c r="BJ223" i="1"/>
  <c r="BJ224" i="1"/>
  <c r="BJ225" i="1"/>
  <c r="BJ226" i="1"/>
  <c r="BJ227" i="1"/>
  <c r="BJ228" i="1"/>
  <c r="BJ229" i="1"/>
  <c r="BJ230" i="1"/>
  <c r="BJ231" i="1"/>
  <c r="BJ232" i="1"/>
  <c r="BJ233" i="1"/>
  <c r="BJ234" i="1"/>
  <c r="BJ235" i="1"/>
  <c r="BJ236" i="1"/>
  <c r="BJ237" i="1"/>
  <c r="BJ238" i="1"/>
  <c r="BJ239" i="1"/>
  <c r="BJ240" i="1"/>
  <c r="BJ241" i="1"/>
  <c r="BJ242" i="1"/>
  <c r="BJ243" i="1"/>
  <c r="BJ244" i="1"/>
  <c r="BJ245" i="1"/>
  <c r="BJ246" i="1"/>
  <c r="BJ247" i="1"/>
  <c r="BJ248" i="1"/>
  <c r="BJ249" i="1"/>
  <c r="BJ250" i="1"/>
  <c r="BJ251" i="1"/>
  <c r="BJ252" i="1"/>
  <c r="BJ253" i="1"/>
  <c r="BJ254" i="1"/>
  <c r="BJ255" i="1"/>
  <c r="G256" i="10"/>
  <c r="H256" i="10"/>
  <c r="I4" i="10"/>
  <c r="I5" i="10"/>
  <c r="I6" i="10"/>
  <c r="I7" i="10"/>
  <c r="I8" i="10"/>
  <c r="I9" i="10"/>
  <c r="I10" i="10"/>
  <c r="I11" i="10"/>
  <c r="I12" i="10"/>
  <c r="I13" i="10"/>
  <c r="I14" i="10"/>
  <c r="I15" i="10"/>
  <c r="I16" i="10"/>
  <c r="I17" i="10"/>
  <c r="I18" i="10"/>
  <c r="I19" i="10"/>
  <c r="I20" i="10"/>
  <c r="I21" i="10"/>
  <c r="I22" i="10"/>
  <c r="I23" i="10"/>
  <c r="I24" i="10"/>
  <c r="I25" i="10"/>
  <c r="I26" i="10"/>
  <c r="I27" i="10"/>
  <c r="I28" i="10"/>
  <c r="I29" i="10"/>
  <c r="I30" i="10"/>
  <c r="I31" i="10"/>
  <c r="I32" i="10"/>
  <c r="I33" i="10"/>
  <c r="I34" i="10"/>
  <c r="I35" i="10"/>
  <c r="I36" i="10"/>
  <c r="I37" i="10"/>
  <c r="I38" i="10"/>
  <c r="I39" i="10"/>
  <c r="I40" i="10"/>
  <c r="I41" i="10"/>
  <c r="I42" i="10"/>
  <c r="I43" i="10"/>
  <c r="I44" i="10"/>
  <c r="I45" i="10"/>
  <c r="I46" i="10"/>
  <c r="I47" i="10"/>
  <c r="I48" i="10"/>
  <c r="I49" i="10"/>
  <c r="I50" i="10"/>
  <c r="I51" i="10"/>
  <c r="I52" i="10"/>
  <c r="I53" i="10"/>
  <c r="I54" i="10"/>
  <c r="I55" i="10"/>
  <c r="I56" i="10"/>
  <c r="I57" i="10"/>
  <c r="I58" i="10"/>
  <c r="I59" i="10"/>
  <c r="I60" i="10"/>
  <c r="I61" i="10"/>
  <c r="I62" i="10"/>
  <c r="I63" i="10"/>
  <c r="I64" i="10"/>
  <c r="I65" i="10"/>
  <c r="I66" i="10"/>
  <c r="I67" i="10"/>
  <c r="I68" i="10"/>
  <c r="I69" i="10"/>
  <c r="I70" i="10"/>
  <c r="I71" i="10"/>
  <c r="I72" i="10"/>
  <c r="I73" i="10"/>
  <c r="I74" i="10"/>
  <c r="I75" i="10"/>
  <c r="I76" i="10"/>
  <c r="I77" i="10"/>
  <c r="I78" i="10"/>
  <c r="I79" i="10"/>
  <c r="I80" i="10"/>
  <c r="I81" i="10"/>
  <c r="I82" i="10"/>
  <c r="I83" i="10"/>
  <c r="I84" i="10"/>
  <c r="I85" i="10"/>
  <c r="I86" i="10"/>
  <c r="I87" i="10"/>
  <c r="I88" i="10"/>
  <c r="I89" i="10"/>
  <c r="I90" i="10"/>
  <c r="I91" i="10"/>
  <c r="I92" i="10"/>
  <c r="I93" i="10"/>
  <c r="I94" i="10"/>
  <c r="I95" i="10"/>
  <c r="I96" i="10"/>
  <c r="I97" i="10"/>
  <c r="I98" i="10"/>
  <c r="I99" i="10"/>
  <c r="I100" i="10"/>
  <c r="I101" i="10"/>
  <c r="I102" i="10"/>
  <c r="I103" i="10"/>
  <c r="I104" i="10"/>
  <c r="I105" i="10"/>
  <c r="I106" i="10"/>
  <c r="I107" i="10"/>
  <c r="I108" i="10"/>
  <c r="I109" i="10"/>
  <c r="I110" i="10"/>
  <c r="I111" i="10"/>
  <c r="I112" i="10"/>
  <c r="I113" i="10"/>
  <c r="I114" i="10"/>
  <c r="I115" i="10"/>
  <c r="I116" i="10"/>
  <c r="I117" i="10"/>
  <c r="I118" i="10"/>
  <c r="I119" i="10"/>
  <c r="I120" i="10"/>
  <c r="I121" i="10"/>
  <c r="I122" i="10"/>
  <c r="I123" i="10"/>
  <c r="I124" i="10"/>
  <c r="I125" i="10"/>
  <c r="I126" i="10"/>
  <c r="I127" i="10"/>
  <c r="I128" i="10"/>
  <c r="I129" i="10"/>
  <c r="I130" i="10"/>
  <c r="I131" i="10"/>
  <c r="I132" i="10"/>
  <c r="I133" i="10"/>
  <c r="I134" i="10"/>
  <c r="I135" i="10"/>
  <c r="I136" i="10"/>
  <c r="I137" i="10"/>
  <c r="I138" i="10"/>
  <c r="I139" i="10"/>
  <c r="I140" i="10"/>
  <c r="I141" i="10"/>
  <c r="I142" i="10"/>
  <c r="I143" i="10"/>
  <c r="I144" i="10"/>
  <c r="I145" i="10"/>
  <c r="I146" i="10"/>
  <c r="I147" i="10"/>
  <c r="I148" i="10"/>
  <c r="I149" i="10"/>
  <c r="I150" i="10"/>
  <c r="I151" i="10"/>
  <c r="I152" i="10"/>
  <c r="I153" i="10"/>
  <c r="I154" i="10"/>
  <c r="I155" i="10"/>
  <c r="I156" i="10"/>
  <c r="I157" i="10"/>
  <c r="I158" i="10"/>
  <c r="I159" i="10"/>
  <c r="I160" i="10"/>
  <c r="I161" i="10"/>
  <c r="I162" i="10"/>
  <c r="I163" i="10"/>
  <c r="I164" i="10"/>
  <c r="I165" i="10"/>
  <c r="I166" i="10"/>
  <c r="I167" i="10"/>
  <c r="I168" i="10"/>
  <c r="I169" i="10"/>
  <c r="I170" i="10"/>
  <c r="I171" i="10"/>
  <c r="I172" i="10"/>
  <c r="I173" i="10"/>
  <c r="I174" i="10"/>
  <c r="I175" i="10"/>
  <c r="I176" i="10"/>
  <c r="I177" i="10"/>
  <c r="I178" i="10"/>
  <c r="I179" i="10"/>
  <c r="I180" i="10"/>
  <c r="I181" i="10"/>
  <c r="I182" i="10"/>
  <c r="I183" i="10"/>
  <c r="I184" i="10"/>
  <c r="I185" i="10"/>
  <c r="I186" i="10"/>
  <c r="I187" i="10"/>
  <c r="I188" i="10"/>
  <c r="I189" i="10"/>
  <c r="I190" i="10"/>
  <c r="I191" i="10"/>
  <c r="I192" i="10"/>
  <c r="I193" i="10"/>
  <c r="I194" i="10"/>
  <c r="I195" i="10"/>
  <c r="I196" i="10"/>
  <c r="I197" i="10"/>
  <c r="I198" i="10"/>
  <c r="I199" i="10"/>
  <c r="I200" i="10"/>
  <c r="I201" i="10"/>
  <c r="I202" i="10"/>
  <c r="I203" i="10"/>
  <c r="I204" i="10"/>
  <c r="I205" i="10"/>
  <c r="I206" i="10"/>
  <c r="I207" i="10"/>
  <c r="I208" i="10"/>
  <c r="I209" i="10"/>
  <c r="I210" i="10"/>
  <c r="I211" i="10"/>
  <c r="I212" i="10"/>
  <c r="I213" i="10"/>
  <c r="I214" i="10"/>
  <c r="I215" i="10"/>
  <c r="I216" i="10"/>
  <c r="I217" i="10"/>
  <c r="I218" i="10"/>
  <c r="I219" i="10"/>
  <c r="I220" i="10"/>
  <c r="I221" i="10"/>
  <c r="I222" i="10"/>
  <c r="I223" i="10"/>
  <c r="I224" i="10"/>
  <c r="I225" i="10"/>
  <c r="I226" i="10"/>
  <c r="I227" i="10"/>
  <c r="I228" i="10"/>
  <c r="I229" i="10"/>
  <c r="I230" i="10"/>
  <c r="I231" i="10"/>
  <c r="I232" i="10"/>
  <c r="I233" i="10"/>
  <c r="I234" i="10"/>
  <c r="I235" i="10"/>
  <c r="I236" i="10"/>
  <c r="I237" i="10"/>
  <c r="I238" i="10"/>
  <c r="I239" i="10"/>
  <c r="I240" i="10"/>
  <c r="I241" i="10"/>
  <c r="I242" i="10"/>
  <c r="I243" i="10"/>
  <c r="I244" i="10"/>
  <c r="I245" i="10"/>
  <c r="I246" i="10"/>
  <c r="I247" i="10"/>
  <c r="I248" i="10"/>
  <c r="I249" i="10"/>
  <c r="I250" i="10"/>
  <c r="I251" i="10"/>
  <c r="I252" i="10"/>
  <c r="I253" i="10"/>
  <c r="I254" i="10"/>
  <c r="I255" i="10"/>
  <c r="J4" i="10"/>
  <c r="J5" i="10"/>
  <c r="J6" i="10"/>
  <c r="J7" i="10"/>
  <c r="J8" i="10"/>
  <c r="J9" i="10"/>
  <c r="J10" i="10"/>
  <c r="J11" i="10"/>
  <c r="J12" i="10"/>
  <c r="J13" i="10"/>
  <c r="J14" i="10"/>
  <c r="J15" i="10"/>
  <c r="J16" i="10"/>
  <c r="J17" i="10"/>
  <c r="J18" i="10"/>
  <c r="J19" i="10"/>
  <c r="J20" i="10"/>
  <c r="J21" i="10"/>
  <c r="J22" i="10"/>
  <c r="J23" i="10"/>
  <c r="J24" i="10"/>
  <c r="J25" i="10"/>
  <c r="J26" i="10"/>
  <c r="J27" i="10"/>
  <c r="J28" i="10"/>
  <c r="J29" i="10"/>
  <c r="J30" i="10"/>
  <c r="J31" i="10"/>
  <c r="J32" i="10"/>
  <c r="J33" i="10"/>
  <c r="J34" i="10"/>
  <c r="J35" i="10"/>
  <c r="J36" i="10"/>
  <c r="J37" i="10"/>
  <c r="J38" i="10"/>
  <c r="J39" i="10"/>
  <c r="J40" i="10"/>
  <c r="J41" i="10"/>
  <c r="J42" i="10"/>
  <c r="J43" i="10"/>
  <c r="J44" i="10"/>
  <c r="J45" i="10"/>
  <c r="J46" i="10"/>
  <c r="J47" i="10"/>
  <c r="J48" i="10"/>
  <c r="J49" i="10"/>
  <c r="J50" i="10"/>
  <c r="J51" i="10"/>
  <c r="J52" i="10"/>
  <c r="J53" i="10"/>
  <c r="J54" i="10"/>
  <c r="J55" i="10"/>
  <c r="J56" i="10"/>
  <c r="J57" i="10"/>
  <c r="J58" i="10"/>
  <c r="J59" i="10"/>
  <c r="J60" i="10"/>
  <c r="J61" i="10"/>
  <c r="J62" i="10"/>
  <c r="J63" i="10"/>
  <c r="J64" i="10"/>
  <c r="J65" i="10"/>
  <c r="J66" i="10"/>
  <c r="J67" i="10"/>
  <c r="J68" i="10"/>
  <c r="J69" i="10"/>
  <c r="J70" i="10"/>
  <c r="J71" i="10"/>
  <c r="J72" i="10"/>
  <c r="J73" i="10"/>
  <c r="J74" i="10"/>
  <c r="J75" i="10"/>
  <c r="J76" i="10"/>
  <c r="J77" i="10"/>
  <c r="J78" i="10"/>
  <c r="J79" i="10"/>
  <c r="J80" i="10"/>
  <c r="J81" i="10"/>
  <c r="J82" i="10"/>
  <c r="J83" i="10"/>
  <c r="J84" i="10"/>
  <c r="J85" i="10"/>
  <c r="J86" i="10"/>
  <c r="J87" i="10"/>
  <c r="J88" i="10"/>
  <c r="J89" i="10"/>
  <c r="J90" i="10"/>
  <c r="J91" i="10"/>
  <c r="J92" i="10"/>
  <c r="J93" i="10"/>
  <c r="J94" i="10"/>
  <c r="J95" i="10"/>
  <c r="J96" i="10"/>
  <c r="J97" i="10"/>
  <c r="J98" i="10"/>
  <c r="J99" i="10"/>
  <c r="J100" i="10"/>
  <c r="J101" i="10"/>
  <c r="J102" i="10"/>
  <c r="J103" i="10"/>
  <c r="J104" i="10"/>
  <c r="J105" i="10"/>
  <c r="J106" i="10"/>
  <c r="J107" i="10"/>
  <c r="J108" i="10"/>
  <c r="J109" i="10"/>
  <c r="J110" i="10"/>
  <c r="J111" i="10"/>
  <c r="J112" i="10"/>
  <c r="J113" i="10"/>
  <c r="J114" i="10"/>
  <c r="J115" i="10"/>
  <c r="J116" i="10"/>
  <c r="J117" i="10"/>
  <c r="J118" i="10"/>
  <c r="J119" i="10"/>
  <c r="J120" i="10"/>
  <c r="J121" i="10"/>
  <c r="J122" i="10"/>
  <c r="J123" i="10"/>
  <c r="J124" i="10"/>
  <c r="J125" i="10"/>
  <c r="J126" i="10"/>
  <c r="J127" i="10"/>
  <c r="J128" i="10"/>
  <c r="J129" i="10"/>
  <c r="J130" i="10"/>
  <c r="J131" i="10"/>
  <c r="J132" i="10"/>
  <c r="J133" i="10"/>
  <c r="J134" i="10"/>
  <c r="J135" i="10"/>
  <c r="J136" i="10"/>
  <c r="J137" i="10"/>
  <c r="J138" i="10"/>
  <c r="J139" i="10"/>
  <c r="J140" i="10"/>
  <c r="J141" i="10"/>
  <c r="J142" i="10"/>
  <c r="J143" i="10"/>
  <c r="J144" i="10"/>
  <c r="J145" i="10"/>
  <c r="J146" i="10"/>
  <c r="J147" i="10"/>
  <c r="J148" i="10"/>
  <c r="J149" i="10"/>
  <c r="J150" i="10"/>
  <c r="J151" i="10"/>
  <c r="J152" i="10"/>
  <c r="J153" i="10"/>
  <c r="J154" i="10"/>
  <c r="J155" i="10"/>
  <c r="J156" i="10"/>
  <c r="J157" i="10"/>
  <c r="J158" i="10"/>
  <c r="J159" i="10"/>
  <c r="J160" i="10"/>
  <c r="J161" i="10"/>
  <c r="J162" i="10"/>
  <c r="J163" i="10"/>
  <c r="J164" i="10"/>
  <c r="J165" i="10"/>
  <c r="J166" i="10"/>
  <c r="J167" i="10"/>
  <c r="J168" i="10"/>
  <c r="J169" i="10"/>
  <c r="J170" i="10"/>
  <c r="J171" i="10"/>
  <c r="J172" i="10"/>
  <c r="J173" i="10"/>
  <c r="J174" i="10"/>
  <c r="J175" i="10"/>
  <c r="J176" i="10"/>
  <c r="J177" i="10"/>
  <c r="J178" i="10"/>
  <c r="J179" i="10"/>
  <c r="J180" i="10"/>
  <c r="J181" i="10"/>
  <c r="J182" i="10"/>
  <c r="J183" i="10"/>
  <c r="J184" i="10"/>
  <c r="J185" i="10"/>
  <c r="J186" i="10"/>
  <c r="J187" i="10"/>
  <c r="J188" i="10"/>
  <c r="J189" i="10"/>
  <c r="J190" i="10"/>
  <c r="J191" i="10"/>
  <c r="J192" i="10"/>
  <c r="J193" i="10"/>
  <c r="J194" i="10"/>
  <c r="J195" i="10"/>
  <c r="J196" i="10"/>
  <c r="J197" i="10"/>
  <c r="J198" i="10"/>
  <c r="J199" i="10"/>
  <c r="J200" i="10"/>
  <c r="J201" i="10"/>
  <c r="J202" i="10"/>
  <c r="J203" i="10"/>
  <c r="J204" i="10"/>
  <c r="J205" i="10"/>
  <c r="J206" i="10"/>
  <c r="J207" i="10"/>
  <c r="J208" i="10"/>
  <c r="J209" i="10"/>
  <c r="J210" i="10"/>
  <c r="J211" i="10"/>
  <c r="J212" i="10"/>
  <c r="J213" i="10"/>
  <c r="J214" i="10"/>
  <c r="J215" i="10"/>
  <c r="J216" i="10"/>
  <c r="J217" i="10"/>
  <c r="J218" i="10"/>
  <c r="J219" i="10"/>
  <c r="J220" i="10"/>
  <c r="J221" i="10"/>
  <c r="J222" i="10"/>
  <c r="J223" i="10"/>
  <c r="J224" i="10"/>
  <c r="J225" i="10"/>
  <c r="J226" i="10"/>
  <c r="J227" i="10"/>
  <c r="J228" i="10"/>
  <c r="J229" i="10"/>
  <c r="J230" i="10"/>
  <c r="J231" i="10"/>
  <c r="J232" i="10"/>
  <c r="J233" i="10"/>
  <c r="J234" i="10"/>
  <c r="J235" i="10"/>
  <c r="J236" i="10"/>
  <c r="J237" i="10"/>
  <c r="J238" i="10"/>
  <c r="J239" i="10"/>
  <c r="J240" i="10"/>
  <c r="J241" i="10"/>
  <c r="J242" i="10"/>
  <c r="J243" i="10"/>
  <c r="J244" i="10"/>
  <c r="J245" i="10"/>
  <c r="J246" i="10"/>
  <c r="J247" i="10"/>
  <c r="J248" i="10"/>
  <c r="J249" i="10"/>
  <c r="J250" i="10"/>
  <c r="J251" i="10"/>
  <c r="J252" i="10"/>
  <c r="J253" i="10"/>
  <c r="J254" i="10"/>
  <c r="J255" i="10"/>
  <c r="K4" i="10"/>
  <c r="K5" i="10"/>
  <c r="K6" i="10"/>
  <c r="K7" i="10"/>
  <c r="K8" i="10"/>
  <c r="K9" i="10"/>
  <c r="K10" i="10"/>
  <c r="K11" i="10"/>
  <c r="K12" i="10"/>
  <c r="K13" i="10"/>
  <c r="K14" i="10"/>
  <c r="K15" i="10"/>
  <c r="K16" i="10"/>
  <c r="K17" i="10"/>
  <c r="K18" i="10"/>
  <c r="K19" i="10"/>
  <c r="K20" i="10"/>
  <c r="K21" i="10"/>
  <c r="K22" i="10"/>
  <c r="K23" i="10"/>
  <c r="K24" i="10"/>
  <c r="K25" i="10"/>
  <c r="K26" i="10"/>
  <c r="K27" i="10"/>
  <c r="K28" i="10"/>
  <c r="K29" i="10"/>
  <c r="K30" i="10"/>
  <c r="K31" i="10"/>
  <c r="K32" i="10"/>
  <c r="K33" i="10"/>
  <c r="K34" i="10"/>
  <c r="K35" i="10"/>
  <c r="K36" i="10"/>
  <c r="K37" i="10"/>
  <c r="K38" i="10"/>
  <c r="K39" i="10"/>
  <c r="K40" i="10"/>
  <c r="K41" i="10"/>
  <c r="K42" i="10"/>
  <c r="K43" i="10"/>
  <c r="K44" i="10"/>
  <c r="K45" i="10"/>
  <c r="K46" i="10"/>
  <c r="K47" i="10"/>
  <c r="K48" i="10"/>
  <c r="K49" i="10"/>
  <c r="K50" i="10"/>
  <c r="K51" i="10"/>
  <c r="K52" i="10"/>
  <c r="K53" i="10"/>
  <c r="K54" i="10"/>
  <c r="K55" i="10"/>
  <c r="K56" i="10"/>
  <c r="K57" i="10"/>
  <c r="K58" i="10"/>
  <c r="K59" i="10"/>
  <c r="K60" i="10"/>
  <c r="K61" i="10"/>
  <c r="K62" i="10"/>
  <c r="K63" i="10"/>
  <c r="K64" i="10"/>
  <c r="K65" i="10"/>
  <c r="K66" i="10"/>
  <c r="K67" i="10"/>
  <c r="K68" i="10"/>
  <c r="K69" i="10"/>
  <c r="K70" i="10"/>
  <c r="K71" i="10"/>
  <c r="K72" i="10"/>
  <c r="K73" i="10"/>
  <c r="K74" i="10"/>
  <c r="K75" i="10"/>
  <c r="K76" i="10"/>
  <c r="K77" i="10"/>
  <c r="K78" i="10"/>
  <c r="K79" i="10"/>
  <c r="K80" i="10"/>
  <c r="K81" i="10"/>
  <c r="K82" i="10"/>
  <c r="K83" i="10"/>
  <c r="K84" i="10"/>
  <c r="K85" i="10"/>
  <c r="K86" i="10"/>
  <c r="K87" i="10"/>
  <c r="K88" i="10"/>
  <c r="K89" i="10"/>
  <c r="K90" i="10"/>
  <c r="K91" i="10"/>
  <c r="K92" i="10"/>
  <c r="K93" i="10"/>
  <c r="K94" i="10"/>
  <c r="K95" i="10"/>
  <c r="K96" i="10"/>
  <c r="K97" i="10"/>
  <c r="K98" i="10"/>
  <c r="K99" i="10"/>
  <c r="K100" i="10"/>
  <c r="K101" i="10"/>
  <c r="K102" i="10"/>
  <c r="K103" i="10"/>
  <c r="K104" i="10"/>
  <c r="K105" i="10"/>
  <c r="K106" i="10"/>
  <c r="K107" i="10"/>
  <c r="K108" i="10"/>
  <c r="K109" i="10"/>
  <c r="K110" i="10"/>
  <c r="K111" i="10"/>
  <c r="K112" i="10"/>
  <c r="K113" i="10"/>
  <c r="K114" i="10"/>
  <c r="K115" i="10"/>
  <c r="K116" i="10"/>
  <c r="K117" i="10"/>
  <c r="K118" i="10"/>
  <c r="K119" i="10"/>
  <c r="K120" i="10"/>
  <c r="K121" i="10"/>
  <c r="K122" i="10"/>
  <c r="K123" i="10"/>
  <c r="K124" i="10"/>
  <c r="K125" i="10"/>
  <c r="K126" i="10"/>
  <c r="K127" i="10"/>
  <c r="K128" i="10"/>
  <c r="K129" i="10"/>
  <c r="K130" i="10"/>
  <c r="K131" i="10"/>
  <c r="K132" i="10"/>
  <c r="K133" i="10"/>
  <c r="K134" i="10"/>
  <c r="K135" i="10"/>
  <c r="K136" i="10"/>
  <c r="K137" i="10"/>
  <c r="K138" i="10"/>
  <c r="K139" i="10"/>
  <c r="K140" i="10"/>
  <c r="K141" i="10"/>
  <c r="K142" i="10"/>
  <c r="K143" i="10"/>
  <c r="K144" i="10"/>
  <c r="K145" i="10"/>
  <c r="K146" i="10"/>
  <c r="K147" i="10"/>
  <c r="K148" i="10"/>
  <c r="K149" i="10"/>
  <c r="K150" i="10"/>
  <c r="K151" i="10"/>
  <c r="K152" i="10"/>
  <c r="K153" i="10"/>
  <c r="K154" i="10"/>
  <c r="K155" i="10"/>
  <c r="K156" i="10"/>
  <c r="K157" i="10"/>
  <c r="K158" i="10"/>
  <c r="K159" i="10"/>
  <c r="K160" i="10"/>
  <c r="K161" i="10"/>
  <c r="K162" i="10"/>
  <c r="K163" i="10"/>
  <c r="K164" i="10"/>
  <c r="K165" i="10"/>
  <c r="K166" i="10"/>
  <c r="K167" i="10"/>
  <c r="K168" i="10"/>
  <c r="K169" i="10"/>
  <c r="K170" i="10"/>
  <c r="K171" i="10"/>
  <c r="K172" i="10"/>
  <c r="K173" i="10"/>
  <c r="K174" i="10"/>
  <c r="K175" i="10"/>
  <c r="K176" i="10"/>
  <c r="K177" i="10"/>
  <c r="K178" i="10"/>
  <c r="K179" i="10"/>
  <c r="K180" i="10"/>
  <c r="K181" i="10"/>
  <c r="K182" i="10"/>
  <c r="K183" i="10"/>
  <c r="K184" i="10"/>
  <c r="K185" i="10"/>
  <c r="K186" i="10"/>
  <c r="K187" i="10"/>
  <c r="K188" i="10"/>
  <c r="K189" i="10"/>
  <c r="K190" i="10"/>
  <c r="K191" i="10"/>
  <c r="K192" i="10"/>
  <c r="K193" i="10"/>
  <c r="K194" i="10"/>
  <c r="K195" i="10"/>
  <c r="K196" i="10"/>
  <c r="K197" i="10"/>
  <c r="K198" i="10"/>
  <c r="K199" i="10"/>
  <c r="K200" i="10"/>
  <c r="K201" i="10"/>
  <c r="K202" i="10"/>
  <c r="K203" i="10"/>
  <c r="K204" i="10"/>
  <c r="K205" i="10"/>
  <c r="K206" i="10"/>
  <c r="K207" i="10"/>
  <c r="K208" i="10"/>
  <c r="K209" i="10"/>
  <c r="K210" i="10"/>
  <c r="K211" i="10"/>
  <c r="K212" i="10"/>
  <c r="K213" i="10"/>
  <c r="K214" i="10"/>
  <c r="K215" i="10"/>
  <c r="K216" i="10"/>
  <c r="K217" i="10"/>
  <c r="K218" i="10"/>
  <c r="K219" i="10"/>
  <c r="K220" i="10"/>
  <c r="K221" i="10"/>
  <c r="K222" i="10"/>
  <c r="K223" i="10"/>
  <c r="K224" i="10"/>
  <c r="K225" i="10"/>
  <c r="K226" i="10"/>
  <c r="K227" i="10"/>
  <c r="K228" i="10"/>
  <c r="K229" i="10"/>
  <c r="K230" i="10"/>
  <c r="K231" i="10"/>
  <c r="K232" i="10"/>
  <c r="K233" i="10"/>
  <c r="K234" i="10"/>
  <c r="K235" i="10"/>
  <c r="K236" i="10"/>
  <c r="K237" i="10"/>
  <c r="K238" i="10"/>
  <c r="K239" i="10"/>
  <c r="K240" i="10"/>
  <c r="K241" i="10"/>
  <c r="K242" i="10"/>
  <c r="K243" i="10"/>
  <c r="K244" i="10"/>
  <c r="K245" i="10"/>
  <c r="K246" i="10"/>
  <c r="K247" i="10"/>
  <c r="K248" i="10"/>
  <c r="K249" i="10"/>
  <c r="K250" i="10"/>
  <c r="K251" i="10"/>
  <c r="K252" i="10"/>
  <c r="K253" i="10"/>
  <c r="K254" i="10"/>
  <c r="K255" i="10"/>
  <c r="L4" i="10"/>
  <c r="L5" i="10"/>
  <c r="L6" i="10"/>
  <c r="L7" i="10"/>
  <c r="L8" i="10"/>
  <c r="L9" i="10"/>
  <c r="L10" i="10"/>
  <c r="L11" i="10"/>
  <c r="L12" i="10"/>
  <c r="L13" i="10"/>
  <c r="L14" i="10"/>
  <c r="L15" i="10"/>
  <c r="L16" i="10"/>
  <c r="L17" i="10"/>
  <c r="L18" i="10"/>
  <c r="L19" i="10"/>
  <c r="L20" i="10"/>
  <c r="L21" i="10"/>
  <c r="L22" i="10"/>
  <c r="L23" i="10"/>
  <c r="L24" i="10"/>
  <c r="L25" i="10"/>
  <c r="L26" i="10"/>
  <c r="L27" i="10"/>
  <c r="L28" i="10"/>
  <c r="L29" i="10"/>
  <c r="L30" i="10"/>
  <c r="L31" i="10"/>
  <c r="L32" i="10"/>
  <c r="L33" i="10"/>
  <c r="L34" i="10"/>
  <c r="L35" i="10"/>
  <c r="L36" i="10"/>
  <c r="L37" i="10"/>
  <c r="L38" i="10"/>
  <c r="L39" i="10"/>
  <c r="L40" i="10"/>
  <c r="L41" i="10"/>
  <c r="L42" i="10"/>
  <c r="L43" i="10"/>
  <c r="L44" i="10"/>
  <c r="L45" i="10"/>
  <c r="L46" i="10"/>
  <c r="L47" i="10"/>
  <c r="L48" i="10"/>
  <c r="L49" i="10"/>
  <c r="L50" i="10"/>
  <c r="L51" i="10"/>
  <c r="L52" i="10"/>
  <c r="L53" i="10"/>
  <c r="L54" i="10"/>
  <c r="L55" i="10"/>
  <c r="L56" i="10"/>
  <c r="L57" i="10"/>
  <c r="L58" i="10"/>
  <c r="L59" i="10"/>
  <c r="L60" i="10"/>
  <c r="L61" i="10"/>
  <c r="L62" i="10"/>
  <c r="L63" i="10"/>
  <c r="L64" i="10"/>
  <c r="L65" i="10"/>
  <c r="L66" i="10"/>
  <c r="L67" i="10"/>
  <c r="L68" i="10"/>
  <c r="L69" i="10"/>
  <c r="L70" i="10"/>
  <c r="L71" i="10"/>
  <c r="L72" i="10"/>
  <c r="L73" i="10"/>
  <c r="L74" i="10"/>
  <c r="L75" i="10"/>
  <c r="L76" i="10"/>
  <c r="L77" i="10"/>
  <c r="L78" i="10"/>
  <c r="L79" i="10"/>
  <c r="L80" i="10"/>
  <c r="L81" i="10"/>
  <c r="L82" i="10"/>
  <c r="L83" i="10"/>
  <c r="L84" i="10"/>
  <c r="L85" i="10"/>
  <c r="L86" i="10"/>
  <c r="L87" i="10"/>
  <c r="L88" i="10"/>
  <c r="L89" i="10"/>
  <c r="L90" i="10"/>
  <c r="L91" i="10"/>
  <c r="L92" i="10"/>
  <c r="L93" i="10"/>
  <c r="L94" i="10"/>
  <c r="L95" i="10"/>
  <c r="L96" i="10"/>
  <c r="L97" i="10"/>
  <c r="L98" i="10"/>
  <c r="L99" i="10"/>
  <c r="L100" i="10"/>
  <c r="L101" i="10"/>
  <c r="L102" i="10"/>
  <c r="L103" i="10"/>
  <c r="L104" i="10"/>
  <c r="L105" i="10"/>
  <c r="L106" i="10"/>
  <c r="L107" i="10"/>
  <c r="L108" i="10"/>
  <c r="L109" i="10"/>
  <c r="L110" i="10"/>
  <c r="L111" i="10"/>
  <c r="L112" i="10"/>
  <c r="L113" i="10"/>
  <c r="L114" i="10"/>
  <c r="L115" i="10"/>
  <c r="L116" i="10"/>
  <c r="L117" i="10"/>
  <c r="L118" i="10"/>
  <c r="L119" i="10"/>
  <c r="L120" i="10"/>
  <c r="L121" i="10"/>
  <c r="L122" i="10"/>
  <c r="L123" i="10"/>
  <c r="L124" i="10"/>
  <c r="L125" i="10"/>
  <c r="L126" i="10"/>
  <c r="L127" i="10"/>
  <c r="L128" i="10"/>
  <c r="L129" i="10"/>
  <c r="L130" i="10"/>
  <c r="L131" i="10"/>
  <c r="L132" i="10"/>
  <c r="L133" i="10"/>
  <c r="L134" i="10"/>
  <c r="L135" i="10"/>
  <c r="L136" i="10"/>
  <c r="L137" i="10"/>
  <c r="L138" i="10"/>
  <c r="L139" i="10"/>
  <c r="L140" i="10"/>
  <c r="L141" i="10"/>
  <c r="L142" i="10"/>
  <c r="L143" i="10"/>
  <c r="L144" i="10"/>
  <c r="L145" i="10"/>
  <c r="L146" i="10"/>
  <c r="L147" i="10"/>
  <c r="L148" i="10"/>
  <c r="L149" i="10"/>
  <c r="L150" i="10"/>
  <c r="L151" i="10"/>
  <c r="L152" i="10"/>
  <c r="L153" i="10"/>
  <c r="L154" i="10"/>
  <c r="L155" i="10"/>
  <c r="L156" i="10"/>
  <c r="L157" i="10"/>
  <c r="L158" i="10"/>
  <c r="L159" i="10"/>
  <c r="L160" i="10"/>
  <c r="L161" i="10"/>
  <c r="L162" i="10"/>
  <c r="L163" i="10"/>
  <c r="L164" i="10"/>
  <c r="L165" i="10"/>
  <c r="L166" i="10"/>
  <c r="L167" i="10"/>
  <c r="L168" i="10"/>
  <c r="L169" i="10"/>
  <c r="L170" i="10"/>
  <c r="L171" i="10"/>
  <c r="L172" i="10"/>
  <c r="L173" i="10"/>
  <c r="L174" i="10"/>
  <c r="L175" i="10"/>
  <c r="L176" i="10"/>
  <c r="L177" i="10"/>
  <c r="L178" i="10"/>
  <c r="L179" i="10"/>
  <c r="L180" i="10"/>
  <c r="L181" i="10"/>
  <c r="L182" i="10"/>
  <c r="L183" i="10"/>
  <c r="L184" i="10"/>
  <c r="L185" i="10"/>
  <c r="L186" i="10"/>
  <c r="L187" i="10"/>
  <c r="L188" i="10"/>
  <c r="L189" i="10"/>
  <c r="L190" i="10"/>
  <c r="L191" i="10"/>
  <c r="L192" i="10"/>
  <c r="L193" i="10"/>
  <c r="L194" i="10"/>
  <c r="L195" i="10"/>
  <c r="L196" i="10"/>
  <c r="L197" i="10"/>
  <c r="L198" i="10"/>
  <c r="L199" i="10"/>
  <c r="L200" i="10"/>
  <c r="L201" i="10"/>
  <c r="L202" i="10"/>
  <c r="L203" i="10"/>
  <c r="L204" i="10"/>
  <c r="L205" i="10"/>
  <c r="L206" i="10"/>
  <c r="L207" i="10"/>
  <c r="L208" i="10"/>
  <c r="L209" i="10"/>
  <c r="L210" i="10"/>
  <c r="L211" i="10"/>
  <c r="L212" i="10"/>
  <c r="L213" i="10"/>
  <c r="L214" i="10"/>
  <c r="L215" i="10"/>
  <c r="L216" i="10"/>
  <c r="L217" i="10"/>
  <c r="L218" i="10"/>
  <c r="L219" i="10"/>
  <c r="L220" i="10"/>
  <c r="L221" i="10"/>
  <c r="L222" i="10"/>
  <c r="L223" i="10"/>
  <c r="L224" i="10"/>
  <c r="L225" i="10"/>
  <c r="L226" i="10"/>
  <c r="L227" i="10"/>
  <c r="L228" i="10"/>
  <c r="L229" i="10"/>
  <c r="L230" i="10"/>
  <c r="L231" i="10"/>
  <c r="L232" i="10"/>
  <c r="L233" i="10"/>
  <c r="L234" i="10"/>
  <c r="L235" i="10"/>
  <c r="L236" i="10"/>
  <c r="L237" i="10"/>
  <c r="L238" i="10"/>
  <c r="L239" i="10"/>
  <c r="L240" i="10"/>
  <c r="L241" i="10"/>
  <c r="L242" i="10"/>
  <c r="L243" i="10"/>
  <c r="L244" i="10"/>
  <c r="L245" i="10"/>
  <c r="L246" i="10"/>
  <c r="L247" i="10"/>
  <c r="L248" i="10"/>
  <c r="L249" i="10"/>
  <c r="L250" i="10"/>
  <c r="L251" i="10"/>
  <c r="L252" i="10"/>
  <c r="L253" i="10"/>
  <c r="L254" i="10"/>
  <c r="L255" i="10"/>
  <c r="M4" i="10"/>
  <c r="M5" i="10"/>
  <c r="M6" i="10"/>
  <c r="M7" i="10"/>
  <c r="M8" i="10"/>
  <c r="M9" i="10"/>
  <c r="M10" i="10"/>
  <c r="M11" i="10"/>
  <c r="M12" i="10"/>
  <c r="M13" i="10"/>
  <c r="M14" i="10"/>
  <c r="M15" i="10"/>
  <c r="M16" i="10"/>
  <c r="M17" i="10"/>
  <c r="M18" i="10"/>
  <c r="M19" i="10"/>
  <c r="M20" i="10"/>
  <c r="M21" i="10"/>
  <c r="M22" i="10"/>
  <c r="M23" i="10"/>
  <c r="M24" i="10"/>
  <c r="M25" i="10"/>
  <c r="M26" i="10"/>
  <c r="M27" i="10"/>
  <c r="M28" i="10"/>
  <c r="M29" i="10"/>
  <c r="M30" i="10"/>
  <c r="M31" i="10"/>
  <c r="M32" i="10"/>
  <c r="M33" i="10"/>
  <c r="M34" i="10"/>
  <c r="M35" i="10"/>
  <c r="M36" i="10"/>
  <c r="M37" i="10"/>
  <c r="M38" i="10"/>
  <c r="M39" i="10"/>
  <c r="M40" i="10"/>
  <c r="M41" i="10"/>
  <c r="M42" i="10"/>
  <c r="M43" i="10"/>
  <c r="M44" i="10"/>
  <c r="M45" i="10"/>
  <c r="M46" i="10"/>
  <c r="M47" i="10"/>
  <c r="M48" i="10"/>
  <c r="M49" i="10"/>
  <c r="M50" i="10"/>
  <c r="M51" i="10"/>
  <c r="M52" i="10"/>
  <c r="M53" i="10"/>
  <c r="M54" i="10"/>
  <c r="M55" i="10"/>
  <c r="M56" i="10"/>
  <c r="M57" i="10"/>
  <c r="M58" i="10"/>
  <c r="M59" i="10"/>
  <c r="M60" i="10"/>
  <c r="M61" i="10"/>
  <c r="M62" i="10"/>
  <c r="M63" i="10"/>
  <c r="M64" i="10"/>
  <c r="M65" i="10"/>
  <c r="M66" i="10"/>
  <c r="M67" i="10"/>
  <c r="M68" i="10"/>
  <c r="M69" i="10"/>
  <c r="M70" i="10"/>
  <c r="M71" i="10"/>
  <c r="M72" i="10"/>
  <c r="M73" i="10"/>
  <c r="M74" i="10"/>
  <c r="M75" i="10"/>
  <c r="M76" i="10"/>
  <c r="M77" i="10"/>
  <c r="M78" i="10"/>
  <c r="M79" i="10"/>
  <c r="M80" i="10"/>
  <c r="M81" i="10"/>
  <c r="M82" i="10"/>
  <c r="M83" i="10"/>
  <c r="M84" i="10"/>
  <c r="M85" i="10"/>
  <c r="M86" i="10"/>
  <c r="M87" i="10"/>
  <c r="M88" i="10"/>
  <c r="M89" i="10"/>
  <c r="M90" i="10"/>
  <c r="M91" i="10"/>
  <c r="M92" i="10"/>
  <c r="M93" i="10"/>
  <c r="M94" i="10"/>
  <c r="M95" i="10"/>
  <c r="M96" i="10"/>
  <c r="M97" i="10"/>
  <c r="M98" i="10"/>
  <c r="M99" i="10"/>
  <c r="M100" i="10"/>
  <c r="M101" i="10"/>
  <c r="M102" i="10"/>
  <c r="M103" i="10"/>
  <c r="M104" i="10"/>
  <c r="M105" i="10"/>
  <c r="M106" i="10"/>
  <c r="M107" i="10"/>
  <c r="M108" i="10"/>
  <c r="M109" i="10"/>
  <c r="M110" i="10"/>
  <c r="M111" i="10"/>
  <c r="M112" i="10"/>
  <c r="M113" i="10"/>
  <c r="M114" i="10"/>
  <c r="M115" i="10"/>
  <c r="M116" i="10"/>
  <c r="M117" i="10"/>
  <c r="M118" i="10"/>
  <c r="M119" i="10"/>
  <c r="M120" i="10"/>
  <c r="M121" i="10"/>
  <c r="M122" i="10"/>
  <c r="M123" i="10"/>
  <c r="M124" i="10"/>
  <c r="M125" i="10"/>
  <c r="M126" i="10"/>
  <c r="M127" i="10"/>
  <c r="M128" i="10"/>
  <c r="M129" i="10"/>
  <c r="M130" i="10"/>
  <c r="M131" i="10"/>
  <c r="M132" i="10"/>
  <c r="M133" i="10"/>
  <c r="M134" i="10"/>
  <c r="M135" i="10"/>
  <c r="M136" i="10"/>
  <c r="M137" i="10"/>
  <c r="M138" i="10"/>
  <c r="M139" i="10"/>
  <c r="M140" i="10"/>
  <c r="M141" i="10"/>
  <c r="M142" i="10"/>
  <c r="M143" i="10"/>
  <c r="M144" i="10"/>
  <c r="M145" i="10"/>
  <c r="M146" i="10"/>
  <c r="M147" i="10"/>
  <c r="M148" i="10"/>
  <c r="M149" i="10"/>
  <c r="M150" i="10"/>
  <c r="M151" i="10"/>
  <c r="M152" i="10"/>
  <c r="M153" i="10"/>
  <c r="M154" i="10"/>
  <c r="M155" i="10"/>
  <c r="M156" i="10"/>
  <c r="M157" i="10"/>
  <c r="M158" i="10"/>
  <c r="M159" i="10"/>
  <c r="M160" i="10"/>
  <c r="M161" i="10"/>
  <c r="M162" i="10"/>
  <c r="M163" i="10"/>
  <c r="M164" i="10"/>
  <c r="M165" i="10"/>
  <c r="M166" i="10"/>
  <c r="M167" i="10"/>
  <c r="M168" i="10"/>
  <c r="M169" i="10"/>
  <c r="M170" i="10"/>
  <c r="M171" i="10"/>
  <c r="M172" i="10"/>
  <c r="M173" i="10"/>
  <c r="M174" i="10"/>
  <c r="M175" i="10"/>
  <c r="M176" i="10"/>
  <c r="M177" i="10"/>
  <c r="M178" i="10"/>
  <c r="M179" i="10"/>
  <c r="M180" i="10"/>
  <c r="M181" i="10"/>
  <c r="M182" i="10"/>
  <c r="M183" i="10"/>
  <c r="M184" i="10"/>
  <c r="M185" i="10"/>
  <c r="M186" i="10"/>
  <c r="M187" i="10"/>
  <c r="M188" i="10"/>
  <c r="M189" i="10"/>
  <c r="M190" i="10"/>
  <c r="M191" i="10"/>
  <c r="M192" i="10"/>
  <c r="M193" i="10"/>
  <c r="M194" i="10"/>
  <c r="M195" i="10"/>
  <c r="M196" i="10"/>
  <c r="M197" i="10"/>
  <c r="M198" i="10"/>
  <c r="M199" i="10"/>
  <c r="M200" i="10"/>
  <c r="M201" i="10"/>
  <c r="M202" i="10"/>
  <c r="M203" i="10"/>
  <c r="M204" i="10"/>
  <c r="M205" i="10"/>
  <c r="M206" i="10"/>
  <c r="M207" i="10"/>
  <c r="M208" i="10"/>
  <c r="M209" i="10"/>
  <c r="M210" i="10"/>
  <c r="M211" i="10"/>
  <c r="M212" i="10"/>
  <c r="M213" i="10"/>
  <c r="M214" i="10"/>
  <c r="M215" i="10"/>
  <c r="M216" i="10"/>
  <c r="M217" i="10"/>
  <c r="M218" i="10"/>
  <c r="M219" i="10"/>
  <c r="M220" i="10"/>
  <c r="M221" i="10"/>
  <c r="M222" i="10"/>
  <c r="M223" i="10"/>
  <c r="M224" i="10"/>
  <c r="M225" i="10"/>
  <c r="M226" i="10"/>
  <c r="M227" i="10"/>
  <c r="M228" i="10"/>
  <c r="M229" i="10"/>
  <c r="M230" i="10"/>
  <c r="M231" i="10"/>
  <c r="M232" i="10"/>
  <c r="M233" i="10"/>
  <c r="M234" i="10"/>
  <c r="M235" i="10"/>
  <c r="M236" i="10"/>
  <c r="M237" i="10"/>
  <c r="M238" i="10"/>
  <c r="M239" i="10"/>
  <c r="M240" i="10"/>
  <c r="M241" i="10"/>
  <c r="M242" i="10"/>
  <c r="M243" i="10"/>
  <c r="M244" i="10"/>
  <c r="M245" i="10"/>
  <c r="M246" i="10"/>
  <c r="M247" i="10"/>
  <c r="M248" i="10"/>
  <c r="M249" i="10"/>
  <c r="M250" i="10"/>
  <c r="M251" i="10"/>
  <c r="M252" i="10"/>
  <c r="M253" i="10"/>
  <c r="M254" i="10"/>
  <c r="M255" i="10"/>
  <c r="N4" i="10"/>
  <c r="N5" i="10"/>
  <c r="N6" i="10"/>
  <c r="N7" i="10"/>
  <c r="N8" i="10"/>
  <c r="N9" i="10"/>
  <c r="N10" i="10"/>
  <c r="N11" i="10"/>
  <c r="N12" i="10"/>
  <c r="N13" i="10"/>
  <c r="N14" i="10"/>
  <c r="N15" i="10"/>
  <c r="N16" i="10"/>
  <c r="N17" i="10"/>
  <c r="N18" i="10"/>
  <c r="N19" i="10"/>
  <c r="N20" i="10"/>
  <c r="N21" i="10"/>
  <c r="N22" i="10"/>
  <c r="N23" i="10"/>
  <c r="N24" i="10"/>
  <c r="N25" i="10"/>
  <c r="N26" i="10"/>
  <c r="N27" i="10"/>
  <c r="N28" i="10"/>
  <c r="N29" i="10"/>
  <c r="N30" i="10"/>
  <c r="N31" i="10"/>
  <c r="N32" i="10"/>
  <c r="N33" i="10"/>
  <c r="N34" i="10"/>
  <c r="N35" i="10"/>
  <c r="N36" i="10"/>
  <c r="N37" i="10"/>
  <c r="N38" i="10"/>
  <c r="N39" i="10"/>
  <c r="N40" i="10"/>
  <c r="N41" i="10"/>
  <c r="N42" i="10"/>
  <c r="N43" i="10"/>
  <c r="N44" i="10"/>
  <c r="N45" i="10"/>
  <c r="N46" i="10"/>
  <c r="N47" i="10"/>
  <c r="N48" i="10"/>
  <c r="N49" i="10"/>
  <c r="N50" i="10"/>
  <c r="N51" i="10"/>
  <c r="N52" i="10"/>
  <c r="N53" i="10"/>
  <c r="N54" i="10"/>
  <c r="N55" i="10"/>
  <c r="N56" i="10"/>
  <c r="N57" i="10"/>
  <c r="N58" i="10"/>
  <c r="N59" i="10"/>
  <c r="N60" i="10"/>
  <c r="N61" i="10"/>
  <c r="N62" i="10"/>
  <c r="N63" i="10"/>
  <c r="N64" i="10"/>
  <c r="N65" i="10"/>
  <c r="N66" i="10"/>
  <c r="N67" i="10"/>
  <c r="N68" i="10"/>
  <c r="N69" i="10"/>
  <c r="N70" i="10"/>
  <c r="N71" i="10"/>
  <c r="N72" i="10"/>
  <c r="N73" i="10"/>
  <c r="N74" i="10"/>
  <c r="N75" i="10"/>
  <c r="N76" i="10"/>
  <c r="N77" i="10"/>
  <c r="N78" i="10"/>
  <c r="N79" i="10"/>
  <c r="N80" i="10"/>
  <c r="N81" i="10"/>
  <c r="N82" i="10"/>
  <c r="N83" i="10"/>
  <c r="N84" i="10"/>
  <c r="N85" i="10"/>
  <c r="N86" i="10"/>
  <c r="N87" i="10"/>
  <c r="N88" i="10"/>
  <c r="N89" i="10"/>
  <c r="N90" i="10"/>
  <c r="N91" i="10"/>
  <c r="N92" i="10"/>
  <c r="N93" i="10"/>
  <c r="N94" i="10"/>
  <c r="N95" i="10"/>
  <c r="N96" i="10"/>
  <c r="N97" i="10"/>
  <c r="N98" i="10"/>
  <c r="N99" i="10"/>
  <c r="N100" i="10"/>
  <c r="N101" i="10"/>
  <c r="N102" i="10"/>
  <c r="N103" i="10"/>
  <c r="N104" i="10"/>
  <c r="N105" i="10"/>
  <c r="N106" i="10"/>
  <c r="N107" i="10"/>
  <c r="N108" i="10"/>
  <c r="N109" i="10"/>
  <c r="N110" i="10"/>
  <c r="N111" i="10"/>
  <c r="N112" i="10"/>
  <c r="N113" i="10"/>
  <c r="N114" i="10"/>
  <c r="N115" i="10"/>
  <c r="N116" i="10"/>
  <c r="N117" i="10"/>
  <c r="N118" i="10"/>
  <c r="N119" i="10"/>
  <c r="N120" i="10"/>
  <c r="N121" i="10"/>
  <c r="N122" i="10"/>
  <c r="N123" i="10"/>
  <c r="N124" i="10"/>
  <c r="N125" i="10"/>
  <c r="N126" i="10"/>
  <c r="N127" i="10"/>
  <c r="N128" i="10"/>
  <c r="N129" i="10"/>
  <c r="N130" i="10"/>
  <c r="N131" i="10"/>
  <c r="N132" i="10"/>
  <c r="N133" i="10"/>
  <c r="N134" i="10"/>
  <c r="N135" i="10"/>
  <c r="N136" i="10"/>
  <c r="N137" i="10"/>
  <c r="N138" i="10"/>
  <c r="N139" i="10"/>
  <c r="N140" i="10"/>
  <c r="N141" i="10"/>
  <c r="N142" i="10"/>
  <c r="N143" i="10"/>
  <c r="N144" i="10"/>
  <c r="N145" i="10"/>
  <c r="N146" i="10"/>
  <c r="N147" i="10"/>
  <c r="N148" i="10"/>
  <c r="N149" i="10"/>
  <c r="N150" i="10"/>
  <c r="N151" i="10"/>
  <c r="N152" i="10"/>
  <c r="N153" i="10"/>
  <c r="N154" i="10"/>
  <c r="N155" i="10"/>
  <c r="N156" i="10"/>
  <c r="N157" i="10"/>
  <c r="N158" i="10"/>
  <c r="N159" i="10"/>
  <c r="N160" i="10"/>
  <c r="N161" i="10"/>
  <c r="N162" i="10"/>
  <c r="N163" i="10"/>
  <c r="N164" i="10"/>
  <c r="N165" i="10"/>
  <c r="N166" i="10"/>
  <c r="N167" i="10"/>
  <c r="N168" i="10"/>
  <c r="N169" i="10"/>
  <c r="N170" i="10"/>
  <c r="N171" i="10"/>
  <c r="N172" i="10"/>
  <c r="N173" i="10"/>
  <c r="N174" i="10"/>
  <c r="N175" i="10"/>
  <c r="N176" i="10"/>
  <c r="N177" i="10"/>
  <c r="N178" i="10"/>
  <c r="N179" i="10"/>
  <c r="N180" i="10"/>
  <c r="N181" i="10"/>
  <c r="N182" i="10"/>
  <c r="N183" i="10"/>
  <c r="N184" i="10"/>
  <c r="N185" i="10"/>
  <c r="N186" i="10"/>
  <c r="N187" i="10"/>
  <c r="N188" i="10"/>
  <c r="N189" i="10"/>
  <c r="N190" i="10"/>
  <c r="N191" i="10"/>
  <c r="N192" i="10"/>
  <c r="N193" i="10"/>
  <c r="N194" i="10"/>
  <c r="N195" i="10"/>
  <c r="N196" i="10"/>
  <c r="N197" i="10"/>
  <c r="N198" i="10"/>
  <c r="N199" i="10"/>
  <c r="N200" i="10"/>
  <c r="N201" i="10"/>
  <c r="N202" i="10"/>
  <c r="N203" i="10"/>
  <c r="N204" i="10"/>
  <c r="N205" i="10"/>
  <c r="N206" i="10"/>
  <c r="N207" i="10"/>
  <c r="N208" i="10"/>
  <c r="N209" i="10"/>
  <c r="N210" i="10"/>
  <c r="N211" i="10"/>
  <c r="N212" i="10"/>
  <c r="N213" i="10"/>
  <c r="N214" i="10"/>
  <c r="N215" i="10"/>
  <c r="N216" i="10"/>
  <c r="N217" i="10"/>
  <c r="N218" i="10"/>
  <c r="N219" i="10"/>
  <c r="N220" i="10"/>
  <c r="N221" i="10"/>
  <c r="N222" i="10"/>
  <c r="N223" i="10"/>
  <c r="N224" i="10"/>
  <c r="N225" i="10"/>
  <c r="N226" i="10"/>
  <c r="N227" i="10"/>
  <c r="N228" i="10"/>
  <c r="N229" i="10"/>
  <c r="N230" i="10"/>
  <c r="N231" i="10"/>
  <c r="N232" i="10"/>
  <c r="N233" i="10"/>
  <c r="N234" i="10"/>
  <c r="N235" i="10"/>
  <c r="N236" i="10"/>
  <c r="N237" i="10"/>
  <c r="N238" i="10"/>
  <c r="N239" i="10"/>
  <c r="N240" i="10"/>
  <c r="N241" i="10"/>
  <c r="N242" i="10"/>
  <c r="N243" i="10"/>
  <c r="N244" i="10"/>
  <c r="N245" i="10"/>
  <c r="N246" i="10"/>
  <c r="N247" i="10"/>
  <c r="N248" i="10"/>
  <c r="N249" i="10"/>
  <c r="N250" i="10"/>
  <c r="N251" i="10"/>
  <c r="N252" i="10"/>
  <c r="N253" i="10"/>
  <c r="N254" i="10"/>
  <c r="N255" i="10"/>
  <c r="O4" i="10"/>
  <c r="O5" i="10"/>
  <c r="O6" i="10"/>
  <c r="O7" i="10"/>
  <c r="O8" i="10"/>
  <c r="O9" i="10"/>
  <c r="O10" i="10"/>
  <c r="O11" i="10"/>
  <c r="O12" i="10"/>
  <c r="O13" i="10"/>
  <c r="O14" i="10"/>
  <c r="O15" i="10"/>
  <c r="O16" i="10"/>
  <c r="O17" i="10"/>
  <c r="O18" i="10"/>
  <c r="O19" i="10"/>
  <c r="O20" i="10"/>
  <c r="O21" i="10"/>
  <c r="O22" i="10"/>
  <c r="O23" i="10"/>
  <c r="O24" i="10"/>
  <c r="O25" i="10"/>
  <c r="O26" i="10"/>
  <c r="O27" i="10"/>
  <c r="O28" i="10"/>
  <c r="O29" i="10"/>
  <c r="O30" i="10"/>
  <c r="O31" i="10"/>
  <c r="O32" i="10"/>
  <c r="O33" i="10"/>
  <c r="O34" i="10"/>
  <c r="O35" i="10"/>
  <c r="O36" i="10"/>
  <c r="O37" i="10"/>
  <c r="O38" i="10"/>
  <c r="O39" i="10"/>
  <c r="O40" i="10"/>
  <c r="O41" i="10"/>
  <c r="O42" i="10"/>
  <c r="O43" i="10"/>
  <c r="O44" i="10"/>
  <c r="O45" i="10"/>
  <c r="O46" i="10"/>
  <c r="O47" i="10"/>
  <c r="O48" i="10"/>
  <c r="O49" i="10"/>
  <c r="O50" i="10"/>
  <c r="O51" i="10"/>
  <c r="O52" i="10"/>
  <c r="O53" i="10"/>
  <c r="O54" i="10"/>
  <c r="O55" i="10"/>
  <c r="O56" i="10"/>
  <c r="O57" i="10"/>
  <c r="O58" i="10"/>
  <c r="O59" i="10"/>
  <c r="O60" i="10"/>
  <c r="O61" i="10"/>
  <c r="O62" i="10"/>
  <c r="O63" i="10"/>
  <c r="O64" i="10"/>
  <c r="O65" i="10"/>
  <c r="O66" i="10"/>
  <c r="O67" i="10"/>
  <c r="O68" i="10"/>
  <c r="O69" i="10"/>
  <c r="O70" i="10"/>
  <c r="O71" i="10"/>
  <c r="O72" i="10"/>
  <c r="O73" i="10"/>
  <c r="O74" i="10"/>
  <c r="O75" i="10"/>
  <c r="O76" i="10"/>
  <c r="O77" i="10"/>
  <c r="O78" i="10"/>
  <c r="O79" i="10"/>
  <c r="O80" i="10"/>
  <c r="O81" i="10"/>
  <c r="O82" i="10"/>
  <c r="O83" i="10"/>
  <c r="O84" i="10"/>
  <c r="O85" i="10"/>
  <c r="O86" i="10"/>
  <c r="O87" i="10"/>
  <c r="O88" i="10"/>
  <c r="O89" i="10"/>
  <c r="O90" i="10"/>
  <c r="O91" i="10"/>
  <c r="O92" i="10"/>
  <c r="O93" i="10"/>
  <c r="O94" i="10"/>
  <c r="O95" i="10"/>
  <c r="O96" i="10"/>
  <c r="O97" i="10"/>
  <c r="O98" i="10"/>
  <c r="O99" i="10"/>
  <c r="O100" i="10"/>
  <c r="O101" i="10"/>
  <c r="O102" i="10"/>
  <c r="O103" i="10"/>
  <c r="O104" i="10"/>
  <c r="O105" i="10"/>
  <c r="O106" i="10"/>
  <c r="O107" i="10"/>
  <c r="O108" i="10"/>
  <c r="O109" i="10"/>
  <c r="O110" i="10"/>
  <c r="O111" i="10"/>
  <c r="O112" i="10"/>
  <c r="O113" i="10"/>
  <c r="O114" i="10"/>
  <c r="O115" i="10"/>
  <c r="O116" i="10"/>
  <c r="O117" i="10"/>
  <c r="O118" i="10"/>
  <c r="O119" i="10"/>
  <c r="O120" i="10"/>
  <c r="O121" i="10"/>
  <c r="O122" i="10"/>
  <c r="O123" i="10"/>
  <c r="O124" i="10"/>
  <c r="O125" i="10"/>
  <c r="O126" i="10"/>
  <c r="O127" i="10"/>
  <c r="O128" i="10"/>
  <c r="O129" i="10"/>
  <c r="O130" i="10"/>
  <c r="O131" i="10"/>
  <c r="O132" i="10"/>
  <c r="O133" i="10"/>
  <c r="O134" i="10"/>
  <c r="O135" i="10"/>
  <c r="O136" i="10"/>
  <c r="O137" i="10"/>
  <c r="O138" i="10"/>
  <c r="O139" i="10"/>
  <c r="O140" i="10"/>
  <c r="O141" i="10"/>
  <c r="O142" i="10"/>
  <c r="O143" i="10"/>
  <c r="O144" i="10"/>
  <c r="O145" i="10"/>
  <c r="O146" i="10"/>
  <c r="O147" i="10"/>
  <c r="O148" i="10"/>
  <c r="O149" i="10"/>
  <c r="O150" i="10"/>
  <c r="O151" i="10"/>
  <c r="O152" i="10"/>
  <c r="O153" i="10"/>
  <c r="O154" i="10"/>
  <c r="O155" i="10"/>
  <c r="O156" i="10"/>
  <c r="O157" i="10"/>
  <c r="O158" i="10"/>
  <c r="O159" i="10"/>
  <c r="O160" i="10"/>
  <c r="O161" i="10"/>
  <c r="O162" i="10"/>
  <c r="O163" i="10"/>
  <c r="O164" i="10"/>
  <c r="O165" i="10"/>
  <c r="O166" i="10"/>
  <c r="O167" i="10"/>
  <c r="O168" i="10"/>
  <c r="O169" i="10"/>
  <c r="O170" i="10"/>
  <c r="O171" i="10"/>
  <c r="O172" i="10"/>
  <c r="O173" i="10"/>
  <c r="O174" i="10"/>
  <c r="O175" i="10"/>
  <c r="O176" i="10"/>
  <c r="O177" i="10"/>
  <c r="O178" i="10"/>
  <c r="O179" i="10"/>
  <c r="O180" i="10"/>
  <c r="O181" i="10"/>
  <c r="O182" i="10"/>
  <c r="O183" i="10"/>
  <c r="O184" i="10"/>
  <c r="O185" i="10"/>
  <c r="O186" i="10"/>
  <c r="O187" i="10"/>
  <c r="O188" i="10"/>
  <c r="O189" i="10"/>
  <c r="O190" i="10"/>
  <c r="O191" i="10"/>
  <c r="O192" i="10"/>
  <c r="O193" i="10"/>
  <c r="O194" i="10"/>
  <c r="O195" i="10"/>
  <c r="O196" i="10"/>
  <c r="O197" i="10"/>
  <c r="O198" i="10"/>
  <c r="O199" i="10"/>
  <c r="O200" i="10"/>
  <c r="O201" i="10"/>
  <c r="O202" i="10"/>
  <c r="O203" i="10"/>
  <c r="O204" i="10"/>
  <c r="O205" i="10"/>
  <c r="O206" i="10"/>
  <c r="O207" i="10"/>
  <c r="O208" i="10"/>
  <c r="O209" i="10"/>
  <c r="O210" i="10"/>
  <c r="O211" i="10"/>
  <c r="O212" i="10"/>
  <c r="O213" i="10"/>
  <c r="O214" i="10"/>
  <c r="O215" i="10"/>
  <c r="O216" i="10"/>
  <c r="O217" i="10"/>
  <c r="O218" i="10"/>
  <c r="O219" i="10"/>
  <c r="O220" i="10"/>
  <c r="O221" i="10"/>
  <c r="O222" i="10"/>
  <c r="O223" i="10"/>
  <c r="O224" i="10"/>
  <c r="O225" i="10"/>
  <c r="O226" i="10"/>
  <c r="O227" i="10"/>
  <c r="O228" i="10"/>
  <c r="O229" i="10"/>
  <c r="O230" i="10"/>
  <c r="O231" i="10"/>
  <c r="O232" i="10"/>
  <c r="O233" i="10"/>
  <c r="O234" i="10"/>
  <c r="O235" i="10"/>
  <c r="O236" i="10"/>
  <c r="O237" i="10"/>
  <c r="O238" i="10"/>
  <c r="O239" i="10"/>
  <c r="O240" i="10"/>
  <c r="O241" i="10"/>
  <c r="O242" i="10"/>
  <c r="O243" i="10"/>
  <c r="O244" i="10"/>
  <c r="O245" i="10"/>
  <c r="O246" i="10"/>
  <c r="O247" i="10"/>
  <c r="O248" i="10"/>
  <c r="O249" i="10"/>
  <c r="O250" i="10"/>
  <c r="O251" i="10"/>
  <c r="O252" i="10"/>
  <c r="O253" i="10"/>
  <c r="O254" i="10"/>
  <c r="O255" i="10"/>
  <c r="P4" i="10"/>
  <c r="P5" i="10"/>
  <c r="P6" i="10"/>
  <c r="P7" i="10"/>
  <c r="P8" i="10"/>
  <c r="P9" i="10"/>
  <c r="P10" i="10"/>
  <c r="P11" i="10"/>
  <c r="P12" i="10"/>
  <c r="P13" i="10"/>
  <c r="P14" i="10"/>
  <c r="P15" i="10"/>
  <c r="P16" i="10"/>
  <c r="P17" i="10"/>
  <c r="P18" i="10"/>
  <c r="P19" i="10"/>
  <c r="P20" i="10"/>
  <c r="P21" i="10"/>
  <c r="P22" i="10"/>
  <c r="P23" i="10"/>
  <c r="P24" i="10"/>
  <c r="P25" i="10"/>
  <c r="P26" i="10"/>
  <c r="P27" i="10"/>
  <c r="P28" i="10"/>
  <c r="P29" i="10"/>
  <c r="P30" i="10"/>
  <c r="P31" i="10"/>
  <c r="P32" i="10"/>
  <c r="P33" i="10"/>
  <c r="P34" i="10"/>
  <c r="P35" i="10"/>
  <c r="P36" i="10"/>
  <c r="P37" i="10"/>
  <c r="P38" i="10"/>
  <c r="P39" i="10"/>
  <c r="P40" i="10"/>
  <c r="P41" i="10"/>
  <c r="P42" i="10"/>
  <c r="P43" i="10"/>
  <c r="P44" i="10"/>
  <c r="P45" i="10"/>
  <c r="P46" i="10"/>
  <c r="P47" i="10"/>
  <c r="P48" i="10"/>
  <c r="P49" i="10"/>
  <c r="P50" i="10"/>
  <c r="P51" i="10"/>
  <c r="P52" i="10"/>
  <c r="P53" i="10"/>
  <c r="P54" i="10"/>
  <c r="P55" i="10"/>
  <c r="P56" i="10"/>
  <c r="P57" i="10"/>
  <c r="P58" i="10"/>
  <c r="P59" i="10"/>
  <c r="P60" i="10"/>
  <c r="P61" i="10"/>
  <c r="P62" i="10"/>
  <c r="P63" i="10"/>
  <c r="P64" i="10"/>
  <c r="P65" i="10"/>
  <c r="P66" i="10"/>
  <c r="P67" i="10"/>
  <c r="P68" i="10"/>
  <c r="P69" i="10"/>
  <c r="P70" i="10"/>
  <c r="P71" i="10"/>
  <c r="P72" i="10"/>
  <c r="P73" i="10"/>
  <c r="P74" i="10"/>
  <c r="P75" i="10"/>
  <c r="P76" i="10"/>
  <c r="P77" i="10"/>
  <c r="P78" i="10"/>
  <c r="P79" i="10"/>
  <c r="P80" i="10"/>
  <c r="P81" i="10"/>
  <c r="P82" i="10"/>
  <c r="P83" i="10"/>
  <c r="P84" i="10"/>
  <c r="P85" i="10"/>
  <c r="P86" i="10"/>
  <c r="P87" i="10"/>
  <c r="P88" i="10"/>
  <c r="P89" i="10"/>
  <c r="P90" i="10"/>
  <c r="P91" i="10"/>
  <c r="P92" i="10"/>
  <c r="P93" i="10"/>
  <c r="P94" i="10"/>
  <c r="P95" i="10"/>
  <c r="P96" i="10"/>
  <c r="P97" i="10"/>
  <c r="P98" i="10"/>
  <c r="P99" i="10"/>
  <c r="P100" i="10"/>
  <c r="P101" i="10"/>
  <c r="P102" i="10"/>
  <c r="P103" i="10"/>
  <c r="P104" i="10"/>
  <c r="P105" i="10"/>
  <c r="P106" i="10"/>
  <c r="P107" i="10"/>
  <c r="P108" i="10"/>
  <c r="P109" i="10"/>
  <c r="P110" i="10"/>
  <c r="P111" i="10"/>
  <c r="P112" i="10"/>
  <c r="P113" i="10"/>
  <c r="P114" i="10"/>
  <c r="P115" i="10"/>
  <c r="P116" i="10"/>
  <c r="P117" i="10"/>
  <c r="P118" i="10"/>
  <c r="P119" i="10"/>
  <c r="P120" i="10"/>
  <c r="P121" i="10"/>
  <c r="P122" i="10"/>
  <c r="P123" i="10"/>
  <c r="P124" i="10"/>
  <c r="P125" i="10"/>
  <c r="P126" i="10"/>
  <c r="P127" i="10"/>
  <c r="P128" i="10"/>
  <c r="P129" i="10"/>
  <c r="P130" i="10"/>
  <c r="P131" i="10"/>
  <c r="P132" i="10"/>
  <c r="P133" i="10"/>
  <c r="P134" i="10"/>
  <c r="P135" i="10"/>
  <c r="P136" i="10"/>
  <c r="P137" i="10"/>
  <c r="P138" i="10"/>
  <c r="P139" i="10"/>
  <c r="P140" i="10"/>
  <c r="P141" i="10"/>
  <c r="P142" i="10"/>
  <c r="P143" i="10"/>
  <c r="P144" i="10"/>
  <c r="P145" i="10"/>
  <c r="P146" i="10"/>
  <c r="P147" i="10"/>
  <c r="P148" i="10"/>
  <c r="P149" i="10"/>
  <c r="P150" i="10"/>
  <c r="P151" i="10"/>
  <c r="P152" i="10"/>
  <c r="P153" i="10"/>
  <c r="P154" i="10"/>
  <c r="P155" i="10"/>
  <c r="P156" i="10"/>
  <c r="P157" i="10"/>
  <c r="P158" i="10"/>
  <c r="P159" i="10"/>
  <c r="P160" i="10"/>
  <c r="P161" i="10"/>
  <c r="P162" i="10"/>
  <c r="P163" i="10"/>
  <c r="P164" i="10"/>
  <c r="P165" i="10"/>
  <c r="P166" i="10"/>
  <c r="P167" i="10"/>
  <c r="P168" i="10"/>
  <c r="P169" i="10"/>
  <c r="P170" i="10"/>
  <c r="P171" i="10"/>
  <c r="P172" i="10"/>
  <c r="P173" i="10"/>
  <c r="P174" i="10"/>
  <c r="P175" i="10"/>
  <c r="P176" i="10"/>
  <c r="P177" i="10"/>
  <c r="P178" i="10"/>
  <c r="P179" i="10"/>
  <c r="P180" i="10"/>
  <c r="P181" i="10"/>
  <c r="P182" i="10"/>
  <c r="P183" i="10"/>
  <c r="P184" i="10"/>
  <c r="P185" i="10"/>
  <c r="P186" i="10"/>
  <c r="P187" i="10"/>
  <c r="P188" i="10"/>
  <c r="P189" i="10"/>
  <c r="P190" i="10"/>
  <c r="P191" i="10"/>
  <c r="P192" i="10"/>
  <c r="P193" i="10"/>
  <c r="P194" i="10"/>
  <c r="P195" i="10"/>
  <c r="P196" i="10"/>
  <c r="P197" i="10"/>
  <c r="P198" i="10"/>
  <c r="P199" i="10"/>
  <c r="P200" i="10"/>
  <c r="P201" i="10"/>
  <c r="P202" i="10"/>
  <c r="P203" i="10"/>
  <c r="P204" i="10"/>
  <c r="P205" i="10"/>
  <c r="P206" i="10"/>
  <c r="P207" i="10"/>
  <c r="P208" i="10"/>
  <c r="P209" i="10"/>
  <c r="P210" i="10"/>
  <c r="P211" i="10"/>
  <c r="P212" i="10"/>
  <c r="P213" i="10"/>
  <c r="P214" i="10"/>
  <c r="P215" i="10"/>
  <c r="P216" i="10"/>
  <c r="P217" i="10"/>
  <c r="P218" i="10"/>
  <c r="P219" i="10"/>
  <c r="P220" i="10"/>
  <c r="P221" i="10"/>
  <c r="P222" i="10"/>
  <c r="P223" i="10"/>
  <c r="P224" i="10"/>
  <c r="P225" i="10"/>
  <c r="P226" i="10"/>
  <c r="P227" i="10"/>
  <c r="P228" i="10"/>
  <c r="P229" i="10"/>
  <c r="P230" i="10"/>
  <c r="P231" i="10"/>
  <c r="P232" i="10"/>
  <c r="P233" i="10"/>
  <c r="P234" i="10"/>
  <c r="P235" i="10"/>
  <c r="P236" i="10"/>
  <c r="P237" i="10"/>
  <c r="P238" i="10"/>
  <c r="P239" i="10"/>
  <c r="P240" i="10"/>
  <c r="P241" i="10"/>
  <c r="P242" i="10"/>
  <c r="P243" i="10"/>
  <c r="P244" i="10"/>
  <c r="P245" i="10"/>
  <c r="P246" i="10"/>
  <c r="P247" i="10"/>
  <c r="P248" i="10"/>
  <c r="P249" i="10"/>
  <c r="P250" i="10"/>
  <c r="P251" i="10"/>
  <c r="P252" i="10"/>
  <c r="P253" i="10"/>
  <c r="P254" i="10"/>
  <c r="P255" i="10"/>
  <c r="AE8" i="2"/>
  <c r="AL255" i="4" l="1"/>
  <c r="AL243" i="4"/>
  <c r="AL237" i="4"/>
  <c r="AL231" i="4"/>
  <c r="BS244" i="4"/>
  <c r="BQ190" i="4"/>
  <c r="BP226" i="4"/>
  <c r="AA215" i="4"/>
  <c r="AB215" i="4" s="1"/>
  <c r="AL215" i="4" s="1"/>
  <c r="AB203" i="4"/>
  <c r="AB185" i="4"/>
  <c r="AB173" i="4"/>
  <c r="AL173" i="4" s="1"/>
  <c r="AB167" i="4"/>
  <c r="AB155" i="4"/>
  <c r="AL155" i="4" s="1"/>
  <c r="AB149" i="4"/>
  <c r="AB137" i="4"/>
  <c r="AL137" i="4" s="1"/>
  <c r="AB131" i="4"/>
  <c r="AB119" i="4"/>
  <c r="AL119" i="4" s="1"/>
  <c r="AB113" i="4"/>
  <c r="AB95" i="4"/>
  <c r="AB89" i="4"/>
  <c r="AB77" i="4"/>
  <c r="AB65" i="4"/>
  <c r="AB59" i="4"/>
  <c r="AL59" i="4" s="1"/>
  <c r="AB53" i="4"/>
  <c r="AB41" i="4"/>
  <c r="AB29" i="4"/>
  <c r="AL29" i="4" s="1"/>
  <c r="AB23" i="4"/>
  <c r="AB17" i="4"/>
  <c r="AB251" i="4"/>
  <c r="AB245" i="4"/>
  <c r="AB239" i="4"/>
  <c r="AB233" i="4"/>
  <c r="AB227" i="4"/>
  <c r="AB221" i="4"/>
  <c r="AA242" i="4"/>
  <c r="AB242" i="4" s="1"/>
  <c r="AL242" i="4" s="1"/>
  <c r="AA224" i="4"/>
  <c r="AA212" i="4"/>
  <c r="AL254" i="4"/>
  <c r="AL224" i="4"/>
  <c r="AL200" i="4"/>
  <c r="AL182" i="4"/>
  <c r="AL164" i="4"/>
  <c r="AL146" i="4"/>
  <c r="AL62" i="4"/>
  <c r="AL20" i="4"/>
  <c r="AL8" i="4"/>
  <c r="BS226" i="4"/>
  <c r="BS118" i="4"/>
  <c r="BQ172" i="4"/>
  <c r="BQ64" i="4"/>
  <c r="BU64" i="4" s="1"/>
  <c r="BP208" i="4"/>
  <c r="BU208" i="4" s="1"/>
  <c r="BP100" i="4"/>
  <c r="AA191" i="4"/>
  <c r="AB191" i="4" s="1"/>
  <c r="AL191" i="4" s="1"/>
  <c r="AA155" i="4"/>
  <c r="AA119" i="4"/>
  <c r="AA83" i="4"/>
  <c r="AB83" i="4" s="1"/>
  <c r="AL83" i="4" s="1"/>
  <c r="AW144" i="1"/>
  <c r="BD144" i="4" s="1"/>
  <c r="BE144" i="4" s="1"/>
  <c r="AW96" i="1"/>
  <c r="BD96" i="4" s="1"/>
  <c r="BE96" i="4" s="1"/>
  <c r="AW54" i="1"/>
  <c r="BD54" i="4" s="1"/>
  <c r="BE54" i="4" s="1"/>
  <c r="AW216" i="1"/>
  <c r="BD216" i="4" s="1"/>
  <c r="BE216" i="4" s="1"/>
  <c r="AW130" i="1"/>
  <c r="BD130" i="4" s="1"/>
  <c r="BE130" i="4" s="1"/>
  <c r="AW108" i="1"/>
  <c r="BD108" i="4" s="1"/>
  <c r="BE108" i="4" s="1"/>
  <c r="AW220" i="1"/>
  <c r="BD220" i="4" s="1"/>
  <c r="BE220" i="4" s="1"/>
  <c r="BS208" i="4"/>
  <c r="BS100" i="4"/>
  <c r="BS10" i="4"/>
  <c r="BQ154" i="4"/>
  <c r="BQ46" i="4"/>
  <c r="BU46" i="4" s="1"/>
  <c r="AA197" i="4"/>
  <c r="AB197" i="4" s="1"/>
  <c r="AL197" i="4" s="1"/>
  <c r="AA161" i="4"/>
  <c r="AB161" i="4" s="1"/>
  <c r="AL161" i="4" s="1"/>
  <c r="AA125" i="4"/>
  <c r="AB125" i="4" s="1"/>
  <c r="AL125" i="4" s="1"/>
  <c r="AA89" i="4"/>
  <c r="AA254" i="4"/>
  <c r="AA236" i="4"/>
  <c r="AB236" i="4" s="1"/>
  <c r="AL236" i="4" s="1"/>
  <c r="BQ244" i="4"/>
  <c r="BU244" i="4" s="1"/>
  <c r="BP172" i="4"/>
  <c r="BU172" i="4" s="1"/>
  <c r="BA231" i="4"/>
  <c r="BA252" i="4"/>
  <c r="AB254" i="4"/>
  <c r="AB248" i="4"/>
  <c r="AL248" i="4" s="1"/>
  <c r="AB230" i="4"/>
  <c r="AL230" i="4" s="1"/>
  <c r="AB224" i="4"/>
  <c r="AB212" i="4"/>
  <c r="AL212" i="4" s="1"/>
  <c r="AB206" i="4"/>
  <c r="AL206" i="4" s="1"/>
  <c r="AB200" i="4"/>
  <c r="AB194" i="4"/>
  <c r="AL194" i="4" s="1"/>
  <c r="AB182" i="4"/>
  <c r="AB176" i="4"/>
  <c r="AL176" i="4" s="1"/>
  <c r="AB170" i="4"/>
  <c r="AL170" i="4" s="1"/>
  <c r="AB164" i="4"/>
  <c r="AB146" i="4"/>
  <c r="AB140" i="4"/>
  <c r="AL140" i="4" s="1"/>
  <c r="AB134" i="4"/>
  <c r="AB128" i="4"/>
  <c r="AL128" i="4" s="1"/>
  <c r="AB110" i="4"/>
  <c r="AB104" i="4"/>
  <c r="AL104" i="4" s="1"/>
  <c r="AB98" i="4"/>
  <c r="AL98" i="4" s="1"/>
  <c r="AB92" i="4"/>
  <c r="AL92" i="4" s="1"/>
  <c r="AB86" i="4"/>
  <c r="AB74" i="4"/>
  <c r="AL74" i="4" s="1"/>
  <c r="AB68" i="4"/>
  <c r="AB62" i="4"/>
  <c r="AB56" i="4"/>
  <c r="AL56" i="4" s="1"/>
  <c r="AB38" i="4"/>
  <c r="AB32" i="4"/>
  <c r="AL32" i="4" s="1"/>
  <c r="BM32" i="4" s="1"/>
  <c r="AB26" i="4"/>
  <c r="AL26" i="4" s="1"/>
  <c r="BM26" i="4" s="1"/>
  <c r="AB20" i="4"/>
  <c r="AB14" i="4"/>
  <c r="AL14" i="4" s="1"/>
  <c r="BM14" i="4" s="1"/>
  <c r="AB8" i="4"/>
  <c r="AA218" i="4"/>
  <c r="AB218" i="4" s="1"/>
  <c r="AL218" i="4" s="1"/>
  <c r="AL251" i="4"/>
  <c r="AL245" i="4"/>
  <c r="AL239" i="4"/>
  <c r="AL233" i="4"/>
  <c r="AL227" i="4"/>
  <c r="AL221" i="4"/>
  <c r="AL203" i="4"/>
  <c r="AL185" i="4"/>
  <c r="AL167" i="4"/>
  <c r="AL149" i="4"/>
  <c r="AL131" i="4"/>
  <c r="AL113" i="4"/>
  <c r="AL95" i="4"/>
  <c r="AL89" i="4"/>
  <c r="AL77" i="4"/>
  <c r="AL65" i="4"/>
  <c r="AL53" i="4"/>
  <c r="AL41" i="4"/>
  <c r="AL23" i="4"/>
  <c r="AL17" i="4"/>
  <c r="AW229" i="1"/>
  <c r="AW224" i="1"/>
  <c r="BD224" i="4" s="1"/>
  <c r="BE224" i="4" s="1"/>
  <c r="AW212" i="1"/>
  <c r="BD212" i="4" s="1"/>
  <c r="BE212" i="4" s="1"/>
  <c r="AW88" i="1"/>
  <c r="BD88" i="4" s="1"/>
  <c r="BE88" i="4" s="1"/>
  <c r="AW82" i="1"/>
  <c r="BD82" i="4" s="1"/>
  <c r="BE82" i="4" s="1"/>
  <c r="AW210" i="1"/>
  <c r="BD210" i="4" s="1"/>
  <c r="BE210" i="4" s="1"/>
  <c r="BF210" i="4" s="1"/>
  <c r="BM210" i="4" s="1"/>
  <c r="AW32" i="1"/>
  <c r="BD32" i="4" s="1"/>
  <c r="BE32" i="4" s="1"/>
  <c r="AW14" i="1"/>
  <c r="BD14" i="4" s="1"/>
  <c r="BE14" i="4" s="1"/>
  <c r="AW8" i="1"/>
  <c r="BD8" i="4" s="1"/>
  <c r="BE8" i="4" s="1"/>
  <c r="BP154" i="4"/>
  <c r="BP46" i="4"/>
  <c r="AA209" i="4"/>
  <c r="AB209" i="4" s="1"/>
  <c r="AL209" i="4" s="1"/>
  <c r="AA188" i="4"/>
  <c r="AB188" i="4" s="1"/>
  <c r="AL188" i="4" s="1"/>
  <c r="AA173" i="4"/>
  <c r="AA152" i="4"/>
  <c r="AB152" i="4" s="1"/>
  <c r="AL152" i="4" s="1"/>
  <c r="AA137" i="4"/>
  <c r="AA116" i="4"/>
  <c r="AB116" i="4" s="1"/>
  <c r="AL116" i="4" s="1"/>
  <c r="AA101" i="4"/>
  <c r="AB101" i="4" s="1"/>
  <c r="AL101" i="4" s="1"/>
  <c r="AA80" i="4"/>
  <c r="AB80" i="4" s="1"/>
  <c r="AL80" i="4" s="1"/>
  <c r="AA44" i="4"/>
  <c r="AB44" i="4" s="1"/>
  <c r="AL44" i="4" s="1"/>
  <c r="AA248" i="4"/>
  <c r="AA230" i="4"/>
  <c r="AA194" i="4"/>
  <c r="AA179" i="4"/>
  <c r="AB179" i="4" s="1"/>
  <c r="AL179" i="4" s="1"/>
  <c r="AA158" i="4"/>
  <c r="AB158" i="4" s="1"/>
  <c r="AA143" i="4"/>
  <c r="AB143" i="4" s="1"/>
  <c r="AL143" i="4" s="1"/>
  <c r="AA122" i="4"/>
  <c r="AB122" i="4" s="1"/>
  <c r="AL122" i="4" s="1"/>
  <c r="AA107" i="4"/>
  <c r="AB107" i="4" s="1"/>
  <c r="AL107" i="4" s="1"/>
  <c r="AA86" i="4"/>
  <c r="AA50" i="4"/>
  <c r="AB50" i="4" s="1"/>
  <c r="AL50" i="4" s="1"/>
  <c r="AA211" i="4"/>
  <c r="AB211" i="4" s="1"/>
  <c r="AW149" i="1"/>
  <c r="BD149" i="4" s="1"/>
  <c r="BE149" i="4" s="1"/>
  <c r="AK205" i="4"/>
  <c r="AL205" i="4" s="1"/>
  <c r="AK145" i="4"/>
  <c r="AL145" i="4" s="1"/>
  <c r="AK115" i="4"/>
  <c r="AK55" i="4"/>
  <c r="AL55" i="4" s="1"/>
  <c r="AM253" i="4"/>
  <c r="AN253" i="4"/>
  <c r="AO253" i="4"/>
  <c r="AP253" i="4"/>
  <c r="AR253" i="4"/>
  <c r="AS253" i="4"/>
  <c r="AU253" i="4"/>
  <c r="AV253" i="4"/>
  <c r="AW253" i="4"/>
  <c r="AX253" i="4"/>
  <c r="AY253" i="4"/>
  <c r="AM247" i="4"/>
  <c r="AN247" i="4"/>
  <c r="AO247" i="4"/>
  <c r="AP247" i="4"/>
  <c r="AR247" i="4"/>
  <c r="AS247" i="4"/>
  <c r="AU247" i="4"/>
  <c r="AV247" i="4"/>
  <c r="AW247" i="4"/>
  <c r="AX247" i="4"/>
  <c r="AY247" i="4"/>
  <c r="AM241" i="4"/>
  <c r="AN241" i="4"/>
  <c r="AO241" i="4"/>
  <c r="AP241" i="4"/>
  <c r="AR241" i="4"/>
  <c r="AS241" i="4"/>
  <c r="AU241" i="4"/>
  <c r="AV241" i="4"/>
  <c r="AW241" i="4"/>
  <c r="AX241" i="4"/>
  <c r="AY241" i="4"/>
  <c r="AM235" i="4"/>
  <c r="AN235" i="4"/>
  <c r="AO235" i="4"/>
  <c r="AP235" i="4"/>
  <c r="AR235" i="4"/>
  <c r="AS235" i="4"/>
  <c r="AU235" i="4"/>
  <c r="AV235" i="4"/>
  <c r="AW235" i="4"/>
  <c r="AX235" i="4"/>
  <c r="AY235" i="4"/>
  <c r="AM229" i="4"/>
  <c r="AN229" i="4"/>
  <c r="AO229" i="4"/>
  <c r="AP229" i="4"/>
  <c r="AR229" i="4"/>
  <c r="AS229" i="4"/>
  <c r="AU229" i="4"/>
  <c r="AV229" i="4"/>
  <c r="AW229" i="4"/>
  <c r="AX229" i="4"/>
  <c r="AY229" i="4"/>
  <c r="BD229" i="4"/>
  <c r="BE229" i="4" s="1"/>
  <c r="AM223" i="4"/>
  <c r="AN223" i="4"/>
  <c r="AO223" i="4"/>
  <c r="AP223" i="4"/>
  <c r="AR223" i="4"/>
  <c r="AS223" i="4"/>
  <c r="AU223" i="4"/>
  <c r="AV223" i="4"/>
  <c r="AW223" i="4"/>
  <c r="AX223" i="4"/>
  <c r="AY223" i="4"/>
  <c r="AM217" i="4"/>
  <c r="AN217" i="4"/>
  <c r="AO217" i="4"/>
  <c r="AP217" i="4"/>
  <c r="AR217" i="4"/>
  <c r="AS217" i="4"/>
  <c r="AU217" i="4"/>
  <c r="AV217" i="4"/>
  <c r="AW217" i="4"/>
  <c r="AX217" i="4"/>
  <c r="AY217" i="4"/>
  <c r="AM211" i="4"/>
  <c r="AN211" i="4"/>
  <c r="AO211" i="4"/>
  <c r="AP211" i="4"/>
  <c r="AR211" i="4"/>
  <c r="AS211" i="4"/>
  <c r="AU211" i="4"/>
  <c r="AV211" i="4"/>
  <c r="AW211" i="4"/>
  <c r="AX211" i="4"/>
  <c r="AY211" i="4"/>
  <c r="AM205" i="4"/>
  <c r="AN205" i="4"/>
  <c r="AO205" i="4"/>
  <c r="AP205" i="4"/>
  <c r="AR205" i="4"/>
  <c r="AS205" i="4"/>
  <c r="AU205" i="4"/>
  <c r="AV205" i="4"/>
  <c r="AW205" i="4"/>
  <c r="AX205" i="4"/>
  <c r="AY205" i="4"/>
  <c r="AM199" i="4"/>
  <c r="AN199" i="4"/>
  <c r="AO199" i="4"/>
  <c r="AP199" i="4"/>
  <c r="AR199" i="4"/>
  <c r="AS199" i="4"/>
  <c r="AU199" i="4"/>
  <c r="AV199" i="4"/>
  <c r="AW199" i="4"/>
  <c r="AX199" i="4"/>
  <c r="AY199" i="4"/>
  <c r="AM193" i="4"/>
  <c r="AN193" i="4"/>
  <c r="AO193" i="4"/>
  <c r="AP193" i="4"/>
  <c r="AR193" i="4"/>
  <c r="AS193" i="4"/>
  <c r="AU193" i="4"/>
  <c r="AV193" i="4"/>
  <c r="AW193" i="4"/>
  <c r="AX193" i="4"/>
  <c r="AY193" i="4"/>
  <c r="AM187" i="4"/>
  <c r="AN187" i="4"/>
  <c r="AO187" i="4"/>
  <c r="AP187" i="4"/>
  <c r="AR187" i="4"/>
  <c r="AS187" i="4"/>
  <c r="AU187" i="4"/>
  <c r="AV187" i="4"/>
  <c r="AW187" i="4"/>
  <c r="AX187" i="4"/>
  <c r="AY187" i="4"/>
  <c r="AM181" i="4"/>
  <c r="AN181" i="4"/>
  <c r="AO181" i="4"/>
  <c r="AP181" i="4"/>
  <c r="AR181" i="4"/>
  <c r="AS181" i="4"/>
  <c r="AU181" i="4"/>
  <c r="AV181" i="4"/>
  <c r="AW181" i="4"/>
  <c r="AX181" i="4"/>
  <c r="AY181" i="4"/>
  <c r="AM175" i="4"/>
  <c r="AN175" i="4"/>
  <c r="AO175" i="4"/>
  <c r="AP175" i="4"/>
  <c r="AR175" i="4"/>
  <c r="AS175" i="4"/>
  <c r="AU175" i="4"/>
  <c r="AV175" i="4"/>
  <c r="AW175" i="4"/>
  <c r="AX175" i="4"/>
  <c r="AY175" i="4"/>
  <c r="AM169" i="4"/>
  <c r="AN169" i="4"/>
  <c r="AO169" i="4"/>
  <c r="AP169" i="4"/>
  <c r="AR169" i="4"/>
  <c r="AS169" i="4"/>
  <c r="AU169" i="4"/>
  <c r="AV169" i="4"/>
  <c r="AW169" i="4"/>
  <c r="AX169" i="4"/>
  <c r="AY169" i="4"/>
  <c r="AM163" i="4"/>
  <c r="AN163" i="4"/>
  <c r="AO163" i="4"/>
  <c r="AP163" i="4"/>
  <c r="AR163" i="4"/>
  <c r="AS163" i="4"/>
  <c r="AU163" i="4"/>
  <c r="AV163" i="4"/>
  <c r="AW163" i="4"/>
  <c r="AX163" i="4"/>
  <c r="AY163" i="4"/>
  <c r="AM157" i="4"/>
  <c r="AN157" i="4"/>
  <c r="AO157" i="4"/>
  <c r="AP157" i="4"/>
  <c r="AR157" i="4"/>
  <c r="AS157" i="4"/>
  <c r="AU157" i="4"/>
  <c r="AV157" i="4"/>
  <c r="AW157" i="4"/>
  <c r="AX157" i="4"/>
  <c r="AY157" i="4"/>
  <c r="AM151" i="4"/>
  <c r="AN151" i="4"/>
  <c r="AO151" i="4"/>
  <c r="AP151" i="4"/>
  <c r="AR151" i="4"/>
  <c r="AS151" i="4"/>
  <c r="AU151" i="4"/>
  <c r="AV151" i="4"/>
  <c r="AW151" i="4"/>
  <c r="AX151" i="4"/>
  <c r="AY151" i="4"/>
  <c r="AM145" i="4"/>
  <c r="AN145" i="4"/>
  <c r="AO145" i="4"/>
  <c r="AP145" i="4"/>
  <c r="AR145" i="4"/>
  <c r="AS145" i="4"/>
  <c r="AU145" i="4"/>
  <c r="AV145" i="4"/>
  <c r="AW145" i="4"/>
  <c r="AX145" i="4"/>
  <c r="AY145" i="4"/>
  <c r="AM139" i="4"/>
  <c r="AN139" i="4"/>
  <c r="AO139" i="4"/>
  <c r="AP139" i="4"/>
  <c r="AR139" i="4"/>
  <c r="AS139" i="4"/>
  <c r="AU139" i="4"/>
  <c r="AV139" i="4"/>
  <c r="AW139" i="4"/>
  <c r="AX139" i="4"/>
  <c r="AY139" i="4"/>
  <c r="AM133" i="4"/>
  <c r="AN133" i="4"/>
  <c r="AO133" i="4"/>
  <c r="AP133" i="4"/>
  <c r="AR133" i="4"/>
  <c r="AS133" i="4"/>
  <c r="AU133" i="4"/>
  <c r="AV133" i="4"/>
  <c r="AW133" i="4"/>
  <c r="AX133" i="4"/>
  <c r="AY133" i="4"/>
  <c r="AM127" i="4"/>
  <c r="AT127" i="4" s="1"/>
  <c r="AN127" i="4"/>
  <c r="AO127" i="4"/>
  <c r="AP127" i="4"/>
  <c r="AR127" i="4"/>
  <c r="AS127" i="4"/>
  <c r="AU127" i="4"/>
  <c r="BA127" i="4" s="1"/>
  <c r="AV127" i="4"/>
  <c r="AW127" i="4"/>
  <c r="AX127" i="4"/>
  <c r="AY127" i="4"/>
  <c r="AM121" i="4"/>
  <c r="AN121" i="4"/>
  <c r="AO121" i="4"/>
  <c r="AP121" i="4"/>
  <c r="AR121" i="4"/>
  <c r="AS121" i="4"/>
  <c r="AU121" i="4"/>
  <c r="AV121" i="4"/>
  <c r="AW121" i="4"/>
  <c r="AX121" i="4"/>
  <c r="AY121" i="4"/>
  <c r="AM115" i="4"/>
  <c r="AN115" i="4"/>
  <c r="AO115" i="4"/>
  <c r="AP115" i="4"/>
  <c r="AR115" i="4"/>
  <c r="AS115" i="4"/>
  <c r="AU115" i="4"/>
  <c r="AV115" i="4"/>
  <c r="AW115" i="4"/>
  <c r="AX115" i="4"/>
  <c r="AY115" i="4"/>
  <c r="AM109" i="4"/>
  <c r="AN109" i="4"/>
  <c r="AO109" i="4"/>
  <c r="AP109" i="4"/>
  <c r="AR109" i="4"/>
  <c r="AS109" i="4"/>
  <c r="AU109" i="4"/>
  <c r="AV109" i="4"/>
  <c r="AW109" i="4"/>
  <c r="AX109" i="4"/>
  <c r="AY109" i="4"/>
  <c r="AM103" i="4"/>
  <c r="AN103" i="4"/>
  <c r="AO103" i="4"/>
  <c r="AP103" i="4"/>
  <c r="AR103" i="4"/>
  <c r="AS103" i="4"/>
  <c r="AU103" i="4"/>
  <c r="AV103" i="4"/>
  <c r="AW103" i="4"/>
  <c r="AX103" i="4"/>
  <c r="AY103" i="4"/>
  <c r="AM97" i="4"/>
  <c r="AN97" i="4"/>
  <c r="AO97" i="4"/>
  <c r="AP97" i="4"/>
  <c r="AR97" i="4"/>
  <c r="AS97" i="4"/>
  <c r="AU97" i="4"/>
  <c r="AV97" i="4"/>
  <c r="AW97" i="4"/>
  <c r="AX97" i="4"/>
  <c r="AY97" i="4"/>
  <c r="AM91" i="4"/>
  <c r="AT91" i="4" s="1"/>
  <c r="AN91" i="4"/>
  <c r="AO91" i="4"/>
  <c r="AP91" i="4"/>
  <c r="AR91" i="4"/>
  <c r="AS91" i="4"/>
  <c r="AU91" i="4"/>
  <c r="BA91" i="4" s="1"/>
  <c r="AV91" i="4"/>
  <c r="AW91" i="4"/>
  <c r="AX91" i="4"/>
  <c r="AY91" i="4"/>
  <c r="AM85" i="4"/>
  <c r="AN85" i="4"/>
  <c r="AO85" i="4"/>
  <c r="AP85" i="4"/>
  <c r="AR85" i="4"/>
  <c r="AS85" i="4"/>
  <c r="AU85" i="4"/>
  <c r="AV85" i="4"/>
  <c r="AW85" i="4"/>
  <c r="AX85" i="4"/>
  <c r="AY85" i="4"/>
  <c r="AM79" i="4"/>
  <c r="AN79" i="4"/>
  <c r="AO79" i="4"/>
  <c r="AP79" i="4"/>
  <c r="AR79" i="4"/>
  <c r="AS79" i="4"/>
  <c r="AU79" i="4"/>
  <c r="AV79" i="4"/>
  <c r="AW79" i="4"/>
  <c r="AX79" i="4"/>
  <c r="AY79" i="4"/>
  <c r="AM73" i="4"/>
  <c r="AN73" i="4"/>
  <c r="AO73" i="4"/>
  <c r="AP73" i="4"/>
  <c r="AR73" i="4"/>
  <c r="AS73" i="4"/>
  <c r="AU73" i="4"/>
  <c r="AV73" i="4"/>
  <c r="AW73" i="4"/>
  <c r="AX73" i="4"/>
  <c r="AY73" i="4"/>
  <c r="AM67" i="4"/>
  <c r="AN67" i="4"/>
  <c r="AO67" i="4"/>
  <c r="AP67" i="4"/>
  <c r="AR67" i="4"/>
  <c r="AS67" i="4"/>
  <c r="AU67" i="4"/>
  <c r="AV67" i="4"/>
  <c r="AW67" i="4"/>
  <c r="AX67" i="4"/>
  <c r="AY67" i="4"/>
  <c r="AM61" i="4"/>
  <c r="AN61" i="4"/>
  <c r="AO61" i="4"/>
  <c r="AP61" i="4"/>
  <c r="AR61" i="4"/>
  <c r="AS61" i="4"/>
  <c r="AU61" i="4"/>
  <c r="AV61" i="4"/>
  <c r="AW61" i="4"/>
  <c r="AX61" i="4"/>
  <c r="AY61" i="4"/>
  <c r="AM55" i="4"/>
  <c r="AN55" i="4"/>
  <c r="AO55" i="4"/>
  <c r="AP55" i="4"/>
  <c r="AR55" i="4"/>
  <c r="AS55" i="4"/>
  <c r="AU55" i="4"/>
  <c r="AV55" i="4"/>
  <c r="AW55" i="4"/>
  <c r="AX55" i="4"/>
  <c r="AY55" i="4"/>
  <c r="BD55" i="4"/>
  <c r="BE55" i="4" s="1"/>
  <c r="AM49" i="4"/>
  <c r="AN49" i="4"/>
  <c r="AO49" i="4"/>
  <c r="AP49" i="4"/>
  <c r="AR49" i="4"/>
  <c r="AS49" i="4"/>
  <c r="AU49" i="4"/>
  <c r="AV49" i="4"/>
  <c r="AW49" i="4"/>
  <c r="AX49" i="4"/>
  <c r="AY49" i="4"/>
  <c r="AM43" i="4"/>
  <c r="AN43" i="4"/>
  <c r="AO43" i="4"/>
  <c r="AP43" i="4"/>
  <c r="AR43" i="4"/>
  <c r="AS43" i="4"/>
  <c r="AU43" i="4"/>
  <c r="AV43" i="4"/>
  <c r="AW43" i="4"/>
  <c r="AX43" i="4"/>
  <c r="AY43" i="4"/>
  <c r="AM37" i="4"/>
  <c r="AN37" i="4"/>
  <c r="AO37" i="4"/>
  <c r="AP37" i="4"/>
  <c r="AR37" i="4"/>
  <c r="AS37" i="4"/>
  <c r="AU37" i="4"/>
  <c r="AV37" i="4"/>
  <c r="AW37" i="4"/>
  <c r="AX37" i="4"/>
  <c r="AY37" i="4"/>
  <c r="AM31" i="4"/>
  <c r="AN31" i="4"/>
  <c r="AO31" i="4"/>
  <c r="AP31" i="4"/>
  <c r="AR31" i="4"/>
  <c r="AS31" i="4"/>
  <c r="AU31" i="4"/>
  <c r="AV31" i="4"/>
  <c r="AW31" i="4"/>
  <c r="AX31" i="4"/>
  <c r="AY31" i="4"/>
  <c r="AM25" i="4"/>
  <c r="AN25" i="4"/>
  <c r="AO25" i="4"/>
  <c r="AP25" i="4"/>
  <c r="AR25" i="4"/>
  <c r="AS25" i="4"/>
  <c r="AU25" i="4"/>
  <c r="AV25" i="4"/>
  <c r="AW25" i="4"/>
  <c r="AX25" i="4"/>
  <c r="AY25" i="4"/>
  <c r="AM19" i="4"/>
  <c r="AN19" i="4"/>
  <c r="AO19" i="4"/>
  <c r="AP19" i="4"/>
  <c r="AR19" i="4"/>
  <c r="AS19" i="4"/>
  <c r="AU19" i="4"/>
  <c r="AV19" i="4"/>
  <c r="AW19" i="4"/>
  <c r="AX19" i="4"/>
  <c r="AY19" i="4"/>
  <c r="AM13" i="4"/>
  <c r="AN13" i="4"/>
  <c r="AO13" i="4"/>
  <c r="AP13" i="4"/>
  <c r="AR13" i="4"/>
  <c r="AS13" i="4"/>
  <c r="AU13" i="4"/>
  <c r="AV13" i="4"/>
  <c r="AW13" i="4"/>
  <c r="AX13" i="4"/>
  <c r="AY13" i="4"/>
  <c r="AM7" i="4"/>
  <c r="AN7" i="4"/>
  <c r="AO7" i="4"/>
  <c r="AP7" i="4"/>
  <c r="AR7" i="4"/>
  <c r="AS7" i="4"/>
  <c r="AU7" i="4"/>
  <c r="AV7" i="4"/>
  <c r="AW7" i="4"/>
  <c r="AX7" i="4"/>
  <c r="AY7" i="4"/>
  <c r="BD7" i="4"/>
  <c r="BE7" i="4" s="1"/>
  <c r="BF244" i="4"/>
  <c r="BM244" i="4" s="1"/>
  <c r="BF220" i="4"/>
  <c r="BM220" i="4" s="1"/>
  <c r="BF208" i="4"/>
  <c r="BF178" i="4"/>
  <c r="BF172" i="4"/>
  <c r="BM172" i="4" s="1"/>
  <c r="BF154" i="4"/>
  <c r="BM154" i="4" s="1"/>
  <c r="BF142" i="4"/>
  <c r="BF136" i="4"/>
  <c r="BM136" i="4" s="1"/>
  <c r="BF112" i="4"/>
  <c r="BM112" i="4" s="1"/>
  <c r="BF100" i="4"/>
  <c r="BF88" i="4"/>
  <c r="BM88" i="4" s="1"/>
  <c r="BF82" i="4"/>
  <c r="BM82" i="4" s="1"/>
  <c r="BF76" i="4"/>
  <c r="BM76" i="4" s="1"/>
  <c r="BF64" i="4"/>
  <c r="BM64" i="4" s="1"/>
  <c r="BF58" i="4"/>
  <c r="BM58" i="4" s="1"/>
  <c r="BF46" i="4"/>
  <c r="BF40" i="4"/>
  <c r="BM40" i="4" s="1"/>
  <c r="BF22" i="4"/>
  <c r="BM22" i="4" s="1"/>
  <c r="BF10" i="4"/>
  <c r="BM10" i="4" s="1"/>
  <c r="BF4" i="4"/>
  <c r="BM4" i="4" s="1"/>
  <c r="AW214" i="1"/>
  <c r="BD214" i="4" s="1"/>
  <c r="BE214" i="4" s="1"/>
  <c r="BF214" i="4" s="1"/>
  <c r="AI214" i="4"/>
  <c r="AK214" i="4" s="1"/>
  <c r="AL214" i="4" s="1"/>
  <c r="BM208" i="4"/>
  <c r="AW118" i="1"/>
  <c r="BD118" i="4" s="1"/>
  <c r="BE118" i="4" s="1"/>
  <c r="BF118" i="4" s="1"/>
  <c r="AI118" i="4"/>
  <c r="AK118" i="4" s="1"/>
  <c r="AL118" i="4" s="1"/>
  <c r="BM100" i="4"/>
  <c r="BM46" i="4"/>
  <c r="AW184" i="1"/>
  <c r="BD184" i="4" s="1"/>
  <c r="BE184" i="4" s="1"/>
  <c r="BF184" i="4" s="1"/>
  <c r="BM184" i="4" s="1"/>
  <c r="AW148" i="1"/>
  <c r="BD148" i="4" s="1"/>
  <c r="BE148" i="4" s="1"/>
  <c r="BF148" i="4" s="1"/>
  <c r="BM148" i="4" s="1"/>
  <c r="AW76" i="1"/>
  <c r="BD76" i="4" s="1"/>
  <c r="BE76" i="4" s="1"/>
  <c r="AW106" i="1"/>
  <c r="BD106" i="4" s="1"/>
  <c r="BE106" i="4" s="1"/>
  <c r="BF106" i="4" s="1"/>
  <c r="AW43" i="1"/>
  <c r="BD43" i="4" s="1"/>
  <c r="BE43" i="4" s="1"/>
  <c r="AW7" i="1"/>
  <c r="BU226" i="4"/>
  <c r="BU118" i="4"/>
  <c r="BU10" i="4"/>
  <c r="BF47" i="4"/>
  <c r="BM47" i="4" s="1"/>
  <c r="BA65" i="4"/>
  <c r="BA29" i="4"/>
  <c r="BA173" i="4"/>
  <c r="BA137" i="4"/>
  <c r="BA101" i="4"/>
  <c r="AK253" i="4"/>
  <c r="AL253" i="4" s="1"/>
  <c r="AK223" i="4"/>
  <c r="AK193" i="4"/>
  <c r="AL193" i="4" s="1"/>
  <c r="AK103" i="4"/>
  <c r="AK73" i="4"/>
  <c r="AL73" i="4" s="1"/>
  <c r="AK43" i="4"/>
  <c r="AW173" i="1"/>
  <c r="BD173" i="4" s="1"/>
  <c r="BE173" i="4" s="1"/>
  <c r="BF149" i="4"/>
  <c r="BM149" i="4" s="1"/>
  <c r="AK229" i="4"/>
  <c r="AL229" i="4" s="1"/>
  <c r="AK199" i="4"/>
  <c r="AL199" i="4" s="1"/>
  <c r="AK109" i="4"/>
  <c r="AL109" i="4" s="1"/>
  <c r="AK79" i="4"/>
  <c r="AK7" i="4"/>
  <c r="AL7" i="4" s="1"/>
  <c r="AL115" i="4"/>
  <c r="AL43" i="4"/>
  <c r="BF224" i="4"/>
  <c r="BM224" i="4" s="1"/>
  <c r="BF212" i="4"/>
  <c r="BF182" i="4"/>
  <c r="BF158" i="4"/>
  <c r="BF146" i="4"/>
  <c r="BM146" i="4" s="1"/>
  <c r="BF134" i="4"/>
  <c r="BF32" i="4"/>
  <c r="BF26" i="4"/>
  <c r="BF14" i="4"/>
  <c r="BF8" i="4"/>
  <c r="BM182" i="4"/>
  <c r="AW158" i="1"/>
  <c r="BD158" i="4" s="1"/>
  <c r="BE158" i="4" s="1"/>
  <c r="AI158" i="4"/>
  <c r="AK158" i="4" s="1"/>
  <c r="AW134" i="1"/>
  <c r="BD134" i="4" s="1"/>
  <c r="BE134" i="4" s="1"/>
  <c r="AI134" i="4"/>
  <c r="AK134" i="4" s="1"/>
  <c r="AL134" i="4" s="1"/>
  <c r="AW110" i="1"/>
  <c r="BD110" i="4" s="1"/>
  <c r="BE110" i="4" s="1"/>
  <c r="BF110" i="4" s="1"/>
  <c r="AI110" i="4"/>
  <c r="AK110" i="4" s="1"/>
  <c r="AL110" i="4" s="1"/>
  <c r="AW86" i="1"/>
  <c r="BD86" i="4" s="1"/>
  <c r="BE86" i="4" s="1"/>
  <c r="BF86" i="4" s="1"/>
  <c r="AI86" i="4"/>
  <c r="AK86" i="4" s="1"/>
  <c r="AL86" i="4" s="1"/>
  <c r="AW68" i="1"/>
  <c r="BD68" i="4" s="1"/>
  <c r="BE68" i="4" s="1"/>
  <c r="BF68" i="4" s="1"/>
  <c r="AI68" i="4"/>
  <c r="AK68" i="4" s="1"/>
  <c r="AW38" i="1"/>
  <c r="BD38" i="4" s="1"/>
  <c r="BE38" i="4" s="1"/>
  <c r="BF38" i="4" s="1"/>
  <c r="AI38" i="4"/>
  <c r="AK38" i="4" s="1"/>
  <c r="AL38" i="4" s="1"/>
  <c r="BM8" i="4"/>
  <c r="AW221" i="1"/>
  <c r="BD221" i="4" s="1"/>
  <c r="BE221" i="4" s="1"/>
  <c r="BF221" i="4" s="1"/>
  <c r="BM221" i="4" s="1"/>
  <c r="AW192" i="1"/>
  <c r="BD192" i="4" s="1"/>
  <c r="BE192" i="4" s="1"/>
  <c r="AW29" i="1"/>
  <c r="BD29" i="4" s="1"/>
  <c r="BE29" i="4" s="1"/>
  <c r="BU190" i="4"/>
  <c r="BU82" i="4"/>
  <c r="AK217" i="4"/>
  <c r="AL217" i="4" s="1"/>
  <c r="AK187" i="4"/>
  <c r="AL187" i="4" s="1"/>
  <c r="AK67" i="4"/>
  <c r="AL67" i="4" s="1"/>
  <c r="AK37" i="4"/>
  <c r="AL37" i="4" s="1"/>
  <c r="AL223" i="4"/>
  <c r="AL103" i="4"/>
  <c r="AL79" i="4"/>
  <c r="AZ253" i="4"/>
  <c r="AZ247" i="4"/>
  <c r="AZ241" i="4"/>
  <c r="AZ235" i="4"/>
  <c r="AZ229" i="4"/>
  <c r="AZ223" i="4"/>
  <c r="AZ217" i="4"/>
  <c r="AZ211" i="4"/>
  <c r="AZ205" i="4"/>
  <c r="AZ199" i="4"/>
  <c r="AZ193" i="4"/>
  <c r="AZ187" i="4"/>
  <c r="AZ181" i="4"/>
  <c r="AZ175" i="4"/>
  <c r="AZ169" i="4"/>
  <c r="AZ163" i="4"/>
  <c r="AZ157" i="4"/>
  <c r="AZ151" i="4"/>
  <c r="AZ145" i="4"/>
  <c r="AZ139" i="4"/>
  <c r="AZ133" i="4"/>
  <c r="AZ127" i="4"/>
  <c r="AZ121" i="4"/>
  <c r="AZ115" i="4"/>
  <c r="AZ109" i="4"/>
  <c r="AZ103" i="4"/>
  <c r="AZ97" i="4"/>
  <c r="AZ91" i="4"/>
  <c r="AZ85" i="4"/>
  <c r="AZ79" i="4"/>
  <c r="AZ73" i="4"/>
  <c r="AZ67" i="4"/>
  <c r="AZ61" i="4"/>
  <c r="AZ55" i="4"/>
  <c r="AZ49" i="4"/>
  <c r="AZ43" i="4"/>
  <c r="AZ37" i="4"/>
  <c r="AZ31" i="4"/>
  <c r="AZ25" i="4"/>
  <c r="AZ19" i="4"/>
  <c r="AZ13" i="4"/>
  <c r="AZ7" i="4"/>
  <c r="AQ253" i="4"/>
  <c r="AQ247" i="4"/>
  <c r="AQ241" i="4"/>
  <c r="AQ235" i="4"/>
  <c r="AQ229" i="4"/>
  <c r="AQ223" i="4"/>
  <c r="AQ217" i="4"/>
  <c r="AQ211" i="4"/>
  <c r="AQ205" i="4"/>
  <c r="AQ199" i="4"/>
  <c r="AQ193" i="4"/>
  <c r="AQ187" i="4"/>
  <c r="AQ181" i="4"/>
  <c r="AQ175" i="4"/>
  <c r="AQ169" i="4"/>
  <c r="AQ163" i="4"/>
  <c r="AQ157" i="4"/>
  <c r="AQ151" i="4"/>
  <c r="AQ145" i="4"/>
  <c r="AQ139" i="4"/>
  <c r="AQ133" i="4"/>
  <c r="AQ127" i="4"/>
  <c r="AQ121" i="4"/>
  <c r="AQ115" i="4"/>
  <c r="AQ109" i="4"/>
  <c r="AQ103" i="4"/>
  <c r="AQ97" i="4"/>
  <c r="AQ91" i="4"/>
  <c r="AQ85" i="4"/>
  <c r="AQ79" i="4"/>
  <c r="AQ73" i="4"/>
  <c r="AQ67" i="4"/>
  <c r="AQ61" i="4"/>
  <c r="AQ55" i="4"/>
  <c r="AQ49" i="4"/>
  <c r="AQ43" i="4"/>
  <c r="AQ37" i="4"/>
  <c r="AQ31" i="4"/>
  <c r="AQ25" i="4"/>
  <c r="AQ19" i="4"/>
  <c r="AQ13" i="4"/>
  <c r="AQ7" i="4"/>
  <c r="AW247" i="1"/>
  <c r="BD247" i="4" s="1"/>
  <c r="BE247" i="4" s="1"/>
  <c r="AI247" i="4"/>
  <c r="AK247" i="4" s="1"/>
  <c r="AL247" i="4" s="1"/>
  <c r="AW241" i="1"/>
  <c r="BD241" i="4" s="1"/>
  <c r="BE241" i="4" s="1"/>
  <c r="AI241" i="4"/>
  <c r="AK241" i="4" s="1"/>
  <c r="AL241" i="4" s="1"/>
  <c r="AW235" i="1"/>
  <c r="BD235" i="4" s="1"/>
  <c r="BE235" i="4" s="1"/>
  <c r="AI235" i="4"/>
  <c r="AK235" i="4" s="1"/>
  <c r="AL235" i="4" s="1"/>
  <c r="AW175" i="1"/>
  <c r="BD175" i="4" s="1"/>
  <c r="BE175" i="4" s="1"/>
  <c r="AI175" i="4"/>
  <c r="AK175" i="4" s="1"/>
  <c r="AL175" i="4" s="1"/>
  <c r="AW169" i="1"/>
  <c r="BD169" i="4" s="1"/>
  <c r="BE169" i="4" s="1"/>
  <c r="AI169" i="4"/>
  <c r="AK169" i="4" s="1"/>
  <c r="AL169" i="4" s="1"/>
  <c r="AW163" i="1"/>
  <c r="BD163" i="4" s="1"/>
  <c r="BE163" i="4" s="1"/>
  <c r="AI163" i="4"/>
  <c r="AK163" i="4" s="1"/>
  <c r="AL163" i="4" s="1"/>
  <c r="AW157" i="1"/>
  <c r="BD157" i="4" s="1"/>
  <c r="BE157" i="4" s="1"/>
  <c r="AI157" i="4"/>
  <c r="AK157" i="4" s="1"/>
  <c r="AL157" i="4" s="1"/>
  <c r="AW139" i="1"/>
  <c r="BD139" i="4" s="1"/>
  <c r="BE139" i="4" s="1"/>
  <c r="AI139" i="4"/>
  <c r="AK139" i="4" s="1"/>
  <c r="AL139" i="4" s="1"/>
  <c r="AW133" i="1"/>
  <c r="BD133" i="4" s="1"/>
  <c r="BE133" i="4" s="1"/>
  <c r="AI133" i="4"/>
  <c r="AK133" i="4" s="1"/>
  <c r="AL133" i="4" s="1"/>
  <c r="AW127" i="1"/>
  <c r="BD127" i="4" s="1"/>
  <c r="BE127" i="4" s="1"/>
  <c r="AI127" i="4"/>
  <c r="AK127" i="4" s="1"/>
  <c r="AL127" i="4" s="1"/>
  <c r="AW97" i="1"/>
  <c r="BD97" i="4" s="1"/>
  <c r="BE97" i="4" s="1"/>
  <c r="AI97" i="4"/>
  <c r="AK97" i="4" s="1"/>
  <c r="AL97" i="4" s="1"/>
  <c r="AW85" i="1"/>
  <c r="BD85" i="4" s="1"/>
  <c r="BE85" i="4" s="1"/>
  <c r="AI85" i="4"/>
  <c r="AK85" i="4" s="1"/>
  <c r="AL85" i="4" s="1"/>
  <c r="AW67" i="1"/>
  <c r="BD67" i="4" s="1"/>
  <c r="BE67" i="4" s="1"/>
  <c r="AI67" i="4"/>
  <c r="AW49" i="1"/>
  <c r="BD49" i="4" s="1"/>
  <c r="BE49" i="4" s="1"/>
  <c r="AI49" i="4"/>
  <c r="AK49" i="4" s="1"/>
  <c r="AL49" i="4" s="1"/>
  <c r="AW31" i="1"/>
  <c r="BD31" i="4" s="1"/>
  <c r="BE31" i="4" s="1"/>
  <c r="AI31" i="4"/>
  <c r="AK31" i="4" s="1"/>
  <c r="AL31" i="4" s="1"/>
  <c r="AW19" i="1"/>
  <c r="BD19" i="4" s="1"/>
  <c r="BE19" i="4" s="1"/>
  <c r="AI19" i="4"/>
  <c r="AK19" i="4" s="1"/>
  <c r="AL19" i="4" s="1"/>
  <c r="AW13" i="1"/>
  <c r="BD13" i="4" s="1"/>
  <c r="BE13" i="4" s="1"/>
  <c r="AI13" i="4"/>
  <c r="AK13" i="4" s="1"/>
  <c r="AL13" i="4" s="1"/>
  <c r="AW79" i="1"/>
  <c r="BD79" i="4" s="1"/>
  <c r="BE79" i="4" s="1"/>
  <c r="AW187" i="1"/>
  <c r="BD187" i="4" s="1"/>
  <c r="BE187" i="4" s="1"/>
  <c r="AW115" i="1"/>
  <c r="BD115" i="4" s="1"/>
  <c r="BE115" i="4" s="1"/>
  <c r="AW53" i="1"/>
  <c r="BD53" i="4" s="1"/>
  <c r="BE53" i="4" s="1"/>
  <c r="BF53" i="4" s="1"/>
  <c r="BM53" i="4" s="1"/>
  <c r="AW227" i="1"/>
  <c r="BD227" i="4" s="1"/>
  <c r="BE227" i="4" s="1"/>
  <c r="BF227" i="4" s="1"/>
  <c r="BM227" i="4" s="1"/>
  <c r="BU54" i="4"/>
  <c r="BF125" i="4"/>
  <c r="AK211" i="4"/>
  <c r="AK181" i="4"/>
  <c r="AL181" i="4" s="1"/>
  <c r="AK151" i="4"/>
  <c r="AL151" i="4" s="1"/>
  <c r="AK121" i="4"/>
  <c r="AL121" i="4" s="1"/>
  <c r="AK91" i="4"/>
  <c r="AL91" i="4" s="1"/>
  <c r="AK61" i="4"/>
  <c r="AL61" i="4" s="1"/>
  <c r="AK25" i="4"/>
  <c r="AL25" i="4" s="1"/>
  <c r="AW89" i="1"/>
  <c r="BD89" i="4" s="1"/>
  <c r="BE89" i="4" s="1"/>
  <c r="BF89" i="4" s="1"/>
  <c r="BM89" i="4" s="1"/>
  <c r="BF234" i="4"/>
  <c r="BM234" i="4" s="1"/>
  <c r="BF204" i="4"/>
  <c r="BM204" i="4" s="1"/>
  <c r="BF198" i="4"/>
  <c r="BF192" i="4"/>
  <c r="BF162" i="4"/>
  <c r="BM162" i="4" s="1"/>
  <c r="BF156" i="4"/>
  <c r="BF96" i="4"/>
  <c r="BM96" i="4" s="1"/>
  <c r="BF90" i="4"/>
  <c r="BM90" i="4" s="1"/>
  <c r="BF60" i="4"/>
  <c r="BF54" i="4"/>
  <c r="BF48" i="4"/>
  <c r="BF24" i="4"/>
  <c r="BF18" i="4"/>
  <c r="BM18" i="4" s="1"/>
  <c r="BM198" i="4"/>
  <c r="BM156" i="4"/>
  <c r="AW60" i="1"/>
  <c r="BD60" i="4" s="1"/>
  <c r="BE60" i="4" s="1"/>
  <c r="AI60" i="4"/>
  <c r="AK60" i="4" s="1"/>
  <c r="AL60" i="4" s="1"/>
  <c r="BM60" i="4" s="1"/>
  <c r="BM54" i="4"/>
  <c r="BM48" i="4"/>
  <c r="BM24" i="4"/>
  <c r="AW28" i="1"/>
  <c r="BD28" i="4" s="1"/>
  <c r="BE28" i="4" s="1"/>
  <c r="BF28" i="4" s="1"/>
  <c r="BM28" i="4" s="1"/>
  <c r="AW126" i="1"/>
  <c r="BD126" i="4" s="1"/>
  <c r="BE126" i="4" s="1"/>
  <c r="BF126" i="4" s="1"/>
  <c r="BM126" i="4" s="1"/>
  <c r="AW121" i="1"/>
  <c r="BD121" i="4" s="1"/>
  <c r="BE121" i="4" s="1"/>
  <c r="AW77" i="1"/>
  <c r="BD77" i="4" s="1"/>
  <c r="BE77" i="4" s="1"/>
  <c r="BF77" i="4" s="1"/>
  <c r="BM77" i="4" s="1"/>
  <c r="BU154" i="4"/>
  <c r="BU167" i="4"/>
  <c r="BS242" i="4"/>
  <c r="BS224" i="4"/>
  <c r="BS206" i="4"/>
  <c r="BS188" i="4"/>
  <c r="BS170" i="4"/>
  <c r="BS152" i="4"/>
  <c r="BS134" i="4"/>
  <c r="BS116" i="4"/>
  <c r="BS98" i="4"/>
  <c r="BS80" i="4"/>
  <c r="BS62" i="4"/>
  <c r="BS44" i="4"/>
  <c r="BS26" i="4"/>
  <c r="BS8" i="4"/>
  <c r="BU8" i="4" s="1"/>
  <c r="BQ242" i="4"/>
  <c r="BU242" i="4" s="1"/>
  <c r="BQ224" i="4"/>
  <c r="BU224" i="4" s="1"/>
  <c r="BQ206" i="4"/>
  <c r="BU206" i="4" s="1"/>
  <c r="BQ188" i="4"/>
  <c r="BQ170" i="4"/>
  <c r="BU170" i="4" s="1"/>
  <c r="BQ152" i="4"/>
  <c r="BU152" i="4" s="1"/>
  <c r="BQ134" i="4"/>
  <c r="BU134" i="4" s="1"/>
  <c r="BQ116" i="4"/>
  <c r="BQ98" i="4"/>
  <c r="BQ80" i="4"/>
  <c r="BQ62" i="4"/>
  <c r="BU62" i="4" s="1"/>
  <c r="BQ44" i="4"/>
  <c r="BU44" i="4" s="1"/>
  <c r="BQ26" i="4"/>
  <c r="BU26" i="4" s="1"/>
  <c r="BQ8" i="4"/>
  <c r="BS238" i="4"/>
  <c r="BS220" i="4"/>
  <c r="BS202" i="4"/>
  <c r="BS184" i="4"/>
  <c r="BS166" i="4"/>
  <c r="BS148" i="4"/>
  <c r="BS130" i="4"/>
  <c r="BS112" i="4"/>
  <c r="BS94" i="4"/>
  <c r="BS76" i="4"/>
  <c r="BS58" i="4"/>
  <c r="BS40" i="4"/>
  <c r="BS22" i="4"/>
  <c r="BS4" i="4"/>
  <c r="BQ238" i="4"/>
  <c r="BU238" i="4" s="1"/>
  <c r="BQ220" i="4"/>
  <c r="BU220" i="4" s="1"/>
  <c r="BQ202" i="4"/>
  <c r="BU202" i="4" s="1"/>
  <c r="BQ184" i="4"/>
  <c r="BQ166" i="4"/>
  <c r="BQ148" i="4"/>
  <c r="BU148" i="4" s="1"/>
  <c r="BQ130" i="4"/>
  <c r="BU130" i="4" s="1"/>
  <c r="BQ112" i="4"/>
  <c r="BQ94" i="4"/>
  <c r="BU94" i="4" s="1"/>
  <c r="BQ76" i="4"/>
  <c r="BQ58" i="4"/>
  <c r="BU58" i="4" s="1"/>
  <c r="BQ40" i="4"/>
  <c r="BQ22" i="4"/>
  <c r="BU22" i="4" s="1"/>
  <c r="BQ4" i="4"/>
  <c r="BU4" i="4" s="1"/>
  <c r="BS254" i="4"/>
  <c r="BS236" i="4"/>
  <c r="BS218" i="4"/>
  <c r="BS200" i="4"/>
  <c r="BS182" i="4"/>
  <c r="BS164" i="4"/>
  <c r="BS146" i="4"/>
  <c r="BS128" i="4"/>
  <c r="BS110" i="4"/>
  <c r="BS92" i="4"/>
  <c r="BS74" i="4"/>
  <c r="BS56" i="4"/>
  <c r="BS38" i="4"/>
  <c r="BS20" i="4"/>
  <c r="BQ254" i="4"/>
  <c r="BQ236" i="4"/>
  <c r="BQ218" i="4"/>
  <c r="BU218" i="4" s="1"/>
  <c r="BQ200" i="4"/>
  <c r="BU200" i="4" s="1"/>
  <c r="BQ182" i="4"/>
  <c r="BU182" i="4" s="1"/>
  <c r="BQ164" i="4"/>
  <c r="BQ146" i="4"/>
  <c r="BU146" i="4" s="1"/>
  <c r="BQ128" i="4"/>
  <c r="BQ110" i="4"/>
  <c r="BU110" i="4" s="1"/>
  <c r="BQ92" i="4"/>
  <c r="BU92" i="4" s="1"/>
  <c r="BQ74" i="4"/>
  <c r="BU74" i="4" s="1"/>
  <c r="BQ56" i="4"/>
  <c r="BU56" i="4" s="1"/>
  <c r="BQ38" i="4"/>
  <c r="BU38" i="4" s="1"/>
  <c r="BQ20" i="4"/>
  <c r="BS250" i="4"/>
  <c r="BS232" i="4"/>
  <c r="BS214" i="4"/>
  <c r="BS196" i="4"/>
  <c r="BS178" i="4"/>
  <c r="BS160" i="4"/>
  <c r="BS142" i="4"/>
  <c r="BS124" i="4"/>
  <c r="BS106" i="4"/>
  <c r="BS88" i="4"/>
  <c r="BS70" i="4"/>
  <c r="BS52" i="4"/>
  <c r="BS34" i="4"/>
  <c r="BQ250" i="4"/>
  <c r="BU250" i="4" s="1"/>
  <c r="BQ232" i="4"/>
  <c r="BQ214" i="4"/>
  <c r="BU214" i="4" s="1"/>
  <c r="BQ196" i="4"/>
  <c r="BQ178" i="4"/>
  <c r="BU178" i="4" s="1"/>
  <c r="BQ160" i="4"/>
  <c r="BU160" i="4" s="1"/>
  <c r="BQ142" i="4"/>
  <c r="BU142" i="4" s="1"/>
  <c r="BQ124" i="4"/>
  <c r="BQ106" i="4"/>
  <c r="BU106" i="4" s="1"/>
  <c r="BQ88" i="4"/>
  <c r="BQ70" i="4"/>
  <c r="BQ52" i="4"/>
  <c r="BU52" i="4" s="1"/>
  <c r="BQ34" i="4"/>
  <c r="BU34" i="4" s="1"/>
  <c r="BQ16" i="4"/>
  <c r="BU16" i="4" s="1"/>
  <c r="BP253" i="4"/>
  <c r="BQ253" i="4"/>
  <c r="BS253" i="4"/>
  <c r="BP247" i="4"/>
  <c r="BQ247" i="4"/>
  <c r="BS247" i="4"/>
  <c r="BP241" i="4"/>
  <c r="BQ241" i="4"/>
  <c r="BS241" i="4"/>
  <c r="BP235" i="4"/>
  <c r="BQ235" i="4"/>
  <c r="BS235" i="4"/>
  <c r="BP229" i="4"/>
  <c r="BQ229" i="4"/>
  <c r="BS229" i="4"/>
  <c r="BP223" i="4"/>
  <c r="BQ223" i="4"/>
  <c r="BS223" i="4"/>
  <c r="BP217" i="4"/>
  <c r="BQ217" i="4"/>
  <c r="BS217" i="4"/>
  <c r="BP211" i="4"/>
  <c r="BQ211" i="4"/>
  <c r="BS211" i="4"/>
  <c r="BP205" i="4"/>
  <c r="BQ205" i="4"/>
  <c r="BS205" i="4"/>
  <c r="BP199" i="4"/>
  <c r="BQ199" i="4"/>
  <c r="BS199" i="4"/>
  <c r="BP193" i="4"/>
  <c r="BQ193" i="4"/>
  <c r="BS193" i="4"/>
  <c r="BP187" i="4"/>
  <c r="BQ187" i="4"/>
  <c r="BS187" i="4"/>
  <c r="BP181" i="4"/>
  <c r="BQ181" i="4"/>
  <c r="BS181" i="4"/>
  <c r="BP175" i="4"/>
  <c r="BQ175" i="4"/>
  <c r="BS175" i="4"/>
  <c r="BP169" i="4"/>
  <c r="BQ169" i="4"/>
  <c r="BS169" i="4"/>
  <c r="BP163" i="4"/>
  <c r="BQ163" i="4"/>
  <c r="BS163" i="4"/>
  <c r="BP157" i="4"/>
  <c r="BQ157" i="4"/>
  <c r="BS157" i="4"/>
  <c r="BP151" i="4"/>
  <c r="BQ151" i="4"/>
  <c r="BS151" i="4"/>
  <c r="BP145" i="4"/>
  <c r="BQ145" i="4"/>
  <c r="BS145" i="4"/>
  <c r="BP139" i="4"/>
  <c r="BQ139" i="4"/>
  <c r="BS139" i="4"/>
  <c r="BP133" i="4"/>
  <c r="BQ133" i="4"/>
  <c r="BS133" i="4"/>
  <c r="BP127" i="4"/>
  <c r="BQ127" i="4"/>
  <c r="BS127" i="4"/>
  <c r="BP121" i="4"/>
  <c r="BQ121" i="4"/>
  <c r="BS121" i="4"/>
  <c r="BP115" i="4"/>
  <c r="BQ115" i="4"/>
  <c r="BS115" i="4"/>
  <c r="BP109" i="4"/>
  <c r="BQ109" i="4"/>
  <c r="BS109" i="4"/>
  <c r="BP103" i="4"/>
  <c r="BQ103" i="4"/>
  <c r="BS103" i="4"/>
  <c r="BS248" i="4"/>
  <c r="BS230" i="4"/>
  <c r="BS212" i="4"/>
  <c r="BS194" i="4"/>
  <c r="BS176" i="4"/>
  <c r="BS158" i="4"/>
  <c r="BS140" i="4"/>
  <c r="BS122" i="4"/>
  <c r="BS104" i="4"/>
  <c r="BS86" i="4"/>
  <c r="BS68" i="4"/>
  <c r="BS50" i="4"/>
  <c r="BS32" i="4"/>
  <c r="BS14" i="4"/>
  <c r="BQ248" i="4"/>
  <c r="BQ230" i="4"/>
  <c r="BU230" i="4" s="1"/>
  <c r="BQ212" i="4"/>
  <c r="BU212" i="4" s="1"/>
  <c r="BQ194" i="4"/>
  <c r="BQ176" i="4"/>
  <c r="BQ158" i="4"/>
  <c r="BU158" i="4" s="1"/>
  <c r="BQ140" i="4"/>
  <c r="BU140" i="4" s="1"/>
  <c r="BQ122" i="4"/>
  <c r="BU122" i="4" s="1"/>
  <c r="BQ104" i="4"/>
  <c r="BU104" i="4" s="1"/>
  <c r="BQ86" i="4"/>
  <c r="BQ68" i="4"/>
  <c r="BQ50" i="4"/>
  <c r="BQ32" i="4"/>
  <c r="BQ14" i="4"/>
  <c r="BU14" i="4" s="1"/>
  <c r="BS97" i="4"/>
  <c r="BS91" i="4"/>
  <c r="BS85" i="4"/>
  <c r="BS79" i="4"/>
  <c r="BS73" i="4"/>
  <c r="BS67" i="4"/>
  <c r="BS61" i="4"/>
  <c r="BS55" i="4"/>
  <c r="BS49" i="4"/>
  <c r="BS43" i="4"/>
  <c r="BS37" i="4"/>
  <c r="BS31" i="4"/>
  <c r="BS25" i="4"/>
  <c r="BS19" i="4"/>
  <c r="BS13" i="4"/>
  <c r="BS7" i="4"/>
  <c r="BQ97" i="4"/>
  <c r="BQ91" i="4"/>
  <c r="BQ85" i="4"/>
  <c r="BQ79" i="4"/>
  <c r="BQ73" i="4"/>
  <c r="BQ67" i="4"/>
  <c r="BQ61" i="4"/>
  <c r="BQ55" i="4"/>
  <c r="BQ49" i="4"/>
  <c r="BQ43" i="4"/>
  <c r="BQ37" i="4"/>
  <c r="BQ31" i="4"/>
  <c r="BQ25" i="4"/>
  <c r="BQ19" i="4"/>
  <c r="BQ13" i="4"/>
  <c r="BQ7" i="4"/>
  <c r="BS252" i="4"/>
  <c r="BS246" i="4"/>
  <c r="BS240" i="4"/>
  <c r="BS234" i="4"/>
  <c r="BS228" i="4"/>
  <c r="BS222" i="4"/>
  <c r="BS216" i="4"/>
  <c r="BS210" i="4"/>
  <c r="BS204" i="4"/>
  <c r="BS198" i="4"/>
  <c r="BS192" i="4"/>
  <c r="BS186" i="4"/>
  <c r="BS180" i="4"/>
  <c r="BS174" i="4"/>
  <c r="BS168" i="4"/>
  <c r="BS162" i="4"/>
  <c r="BS156" i="4"/>
  <c r="BS150" i="4"/>
  <c r="BS144" i="4"/>
  <c r="BS138" i="4"/>
  <c r="BS132" i="4"/>
  <c r="BS126" i="4"/>
  <c r="BS120" i="4"/>
  <c r="BS114" i="4"/>
  <c r="BS108" i="4"/>
  <c r="BS102" i="4"/>
  <c r="BS96" i="4"/>
  <c r="BS90" i="4"/>
  <c r="BS84" i="4"/>
  <c r="BS78" i="4"/>
  <c r="BS72" i="4"/>
  <c r="BS66" i="4"/>
  <c r="BS60" i="4"/>
  <c r="BS54" i="4"/>
  <c r="BS48" i="4"/>
  <c r="BS42" i="4"/>
  <c r="BS36" i="4"/>
  <c r="BS30" i="4"/>
  <c r="BS24" i="4"/>
  <c r="BS18" i="4"/>
  <c r="BS12" i="4"/>
  <c r="BS6" i="4"/>
  <c r="BQ252" i="4"/>
  <c r="BU252" i="4" s="1"/>
  <c r="BQ246" i="4"/>
  <c r="BU246" i="4" s="1"/>
  <c r="BQ240" i="4"/>
  <c r="BU240" i="4" s="1"/>
  <c r="BQ234" i="4"/>
  <c r="BU234" i="4" s="1"/>
  <c r="BQ228" i="4"/>
  <c r="BU228" i="4" s="1"/>
  <c r="BQ222" i="4"/>
  <c r="BU222" i="4" s="1"/>
  <c r="BQ216" i="4"/>
  <c r="BU216" i="4" s="1"/>
  <c r="BQ210" i="4"/>
  <c r="BU210" i="4" s="1"/>
  <c r="BQ204" i="4"/>
  <c r="BU204" i="4" s="1"/>
  <c r="BQ198" i="4"/>
  <c r="BU198" i="4" s="1"/>
  <c r="BQ192" i="4"/>
  <c r="BU192" i="4" s="1"/>
  <c r="BQ186" i="4"/>
  <c r="BU186" i="4" s="1"/>
  <c r="BQ180" i="4"/>
  <c r="BU180" i="4" s="1"/>
  <c r="BQ174" i="4"/>
  <c r="BU174" i="4" s="1"/>
  <c r="BQ168" i="4"/>
  <c r="BU168" i="4" s="1"/>
  <c r="BQ162" i="4"/>
  <c r="BU162" i="4" s="1"/>
  <c r="BQ156" i="4"/>
  <c r="BU156" i="4" s="1"/>
  <c r="BQ150" i="4"/>
  <c r="BU150" i="4" s="1"/>
  <c r="BQ144" i="4"/>
  <c r="BU144" i="4" s="1"/>
  <c r="BQ138" i="4"/>
  <c r="BU138" i="4" s="1"/>
  <c r="BQ132" i="4"/>
  <c r="BU132" i="4" s="1"/>
  <c r="BQ126" i="4"/>
  <c r="BU126" i="4" s="1"/>
  <c r="BQ120" i="4"/>
  <c r="BU120" i="4" s="1"/>
  <c r="BQ114" i="4"/>
  <c r="BU114" i="4" s="1"/>
  <c r="BQ108" i="4"/>
  <c r="BU108" i="4" s="1"/>
  <c r="BQ102" i="4"/>
  <c r="BU102" i="4" s="1"/>
  <c r="BQ96" i="4"/>
  <c r="BU96" i="4" s="1"/>
  <c r="BQ90" i="4"/>
  <c r="BU90" i="4" s="1"/>
  <c r="BQ84" i="4"/>
  <c r="BU84" i="4" s="1"/>
  <c r="BQ78" i="4"/>
  <c r="BU78" i="4" s="1"/>
  <c r="BQ72" i="4"/>
  <c r="BU72" i="4" s="1"/>
  <c r="BQ66" i="4"/>
  <c r="BU66" i="4" s="1"/>
  <c r="BQ60" i="4"/>
  <c r="BU60" i="4" s="1"/>
  <c r="BQ54" i="4"/>
  <c r="BQ48" i="4"/>
  <c r="BU48" i="4" s="1"/>
  <c r="BQ42" i="4"/>
  <c r="BU42" i="4" s="1"/>
  <c r="BQ36" i="4"/>
  <c r="BU36" i="4" s="1"/>
  <c r="BQ30" i="4"/>
  <c r="BU30" i="4" s="1"/>
  <c r="BQ24" i="4"/>
  <c r="BU24" i="4" s="1"/>
  <c r="BQ18" i="4"/>
  <c r="BU18" i="4" s="1"/>
  <c r="BQ12" i="4"/>
  <c r="BU12" i="4" s="1"/>
  <c r="BQ6" i="4"/>
  <c r="BU6" i="4" s="1"/>
  <c r="BS251" i="4"/>
  <c r="BS245" i="4"/>
  <c r="BS239" i="4"/>
  <c r="BS233" i="4"/>
  <c r="BS227" i="4"/>
  <c r="BS221" i="4"/>
  <c r="BS215" i="4"/>
  <c r="BS209" i="4"/>
  <c r="BS203" i="4"/>
  <c r="BS197" i="4"/>
  <c r="BS191" i="4"/>
  <c r="BS185" i="4"/>
  <c r="BS179" i="4"/>
  <c r="BS173" i="4"/>
  <c r="BS167" i="4"/>
  <c r="BS161" i="4"/>
  <c r="BS155" i="4"/>
  <c r="BS149" i="4"/>
  <c r="BS143" i="4"/>
  <c r="BS137" i="4"/>
  <c r="BS131" i="4"/>
  <c r="BS125" i="4"/>
  <c r="BS119" i="4"/>
  <c r="BS113" i="4"/>
  <c r="BS107" i="4"/>
  <c r="BS101" i="4"/>
  <c r="BS95" i="4"/>
  <c r="BS89" i="4"/>
  <c r="BS83" i="4"/>
  <c r="BS77" i="4"/>
  <c r="BS71" i="4"/>
  <c r="BS65" i="4"/>
  <c r="BS59" i="4"/>
  <c r="BS53" i="4"/>
  <c r="BS47" i="4"/>
  <c r="BS41" i="4"/>
  <c r="BS35" i="4"/>
  <c r="BS29" i="4"/>
  <c r="BS23" i="4"/>
  <c r="BS17" i="4"/>
  <c r="BS11" i="4"/>
  <c r="BS5" i="4"/>
  <c r="BQ251" i="4"/>
  <c r="BU251" i="4" s="1"/>
  <c r="BQ245" i="4"/>
  <c r="BU245" i="4" s="1"/>
  <c r="BQ239" i="4"/>
  <c r="BU239" i="4" s="1"/>
  <c r="BQ233" i="4"/>
  <c r="BU233" i="4" s="1"/>
  <c r="BQ227" i="4"/>
  <c r="BU227" i="4" s="1"/>
  <c r="BQ221" i="4"/>
  <c r="BU221" i="4" s="1"/>
  <c r="BQ215" i="4"/>
  <c r="BU215" i="4" s="1"/>
  <c r="BQ209" i="4"/>
  <c r="BU209" i="4" s="1"/>
  <c r="BQ203" i="4"/>
  <c r="BU203" i="4" s="1"/>
  <c r="BQ197" i="4"/>
  <c r="BU197" i="4" s="1"/>
  <c r="BQ191" i="4"/>
  <c r="BU191" i="4" s="1"/>
  <c r="BQ185" i="4"/>
  <c r="BU185" i="4" s="1"/>
  <c r="BQ179" i="4"/>
  <c r="BU179" i="4" s="1"/>
  <c r="BQ173" i="4"/>
  <c r="BU173" i="4" s="1"/>
  <c r="BQ167" i="4"/>
  <c r="BQ161" i="4"/>
  <c r="BU161" i="4" s="1"/>
  <c r="BQ155" i="4"/>
  <c r="BU155" i="4" s="1"/>
  <c r="BQ149" i="4"/>
  <c r="BU149" i="4" s="1"/>
  <c r="BQ143" i="4"/>
  <c r="BU143" i="4" s="1"/>
  <c r="BQ137" i="4"/>
  <c r="BU137" i="4" s="1"/>
  <c r="BQ131" i="4"/>
  <c r="BU131" i="4" s="1"/>
  <c r="BQ125" i="4"/>
  <c r="BU125" i="4" s="1"/>
  <c r="BQ119" i="4"/>
  <c r="BU119" i="4" s="1"/>
  <c r="BQ113" i="4"/>
  <c r="BU113" i="4" s="1"/>
  <c r="BQ107" i="4"/>
  <c r="BU107" i="4" s="1"/>
  <c r="BQ101" i="4"/>
  <c r="BU101" i="4" s="1"/>
  <c r="BQ95" i="4"/>
  <c r="BU95" i="4" s="1"/>
  <c r="BQ89" i="4"/>
  <c r="BU89" i="4" s="1"/>
  <c r="BQ83" i="4"/>
  <c r="BU83" i="4" s="1"/>
  <c r="BQ77" i="4"/>
  <c r="BU77" i="4" s="1"/>
  <c r="BQ71" i="4"/>
  <c r="BU71" i="4" s="1"/>
  <c r="BQ65" i="4"/>
  <c r="BU65" i="4" s="1"/>
  <c r="BQ59" i="4"/>
  <c r="BU59" i="4" s="1"/>
  <c r="BQ53" i="4"/>
  <c r="BU53" i="4" s="1"/>
  <c r="BQ47" i="4"/>
  <c r="BU47" i="4" s="1"/>
  <c r="BQ41" i="4"/>
  <c r="BU41" i="4" s="1"/>
  <c r="BQ35" i="4"/>
  <c r="BU35" i="4" s="1"/>
  <c r="BQ29" i="4"/>
  <c r="BU29" i="4" s="1"/>
  <c r="BQ23" i="4"/>
  <c r="BU23" i="4" s="1"/>
  <c r="BQ17" i="4"/>
  <c r="BU17" i="4" s="1"/>
  <c r="BQ11" i="4"/>
  <c r="BU11" i="4" s="1"/>
  <c r="BQ5" i="4"/>
  <c r="BU5" i="4" s="1"/>
  <c r="BA249" i="4"/>
  <c r="BS255" i="4"/>
  <c r="BS249" i="4"/>
  <c r="BS243" i="4"/>
  <c r="BS237" i="4"/>
  <c r="BS231" i="4"/>
  <c r="BS225" i="4"/>
  <c r="BS219" i="4"/>
  <c r="BS213" i="4"/>
  <c r="BS207" i="4"/>
  <c r="BS201" i="4"/>
  <c r="BS195" i="4"/>
  <c r="BS189" i="4"/>
  <c r="BS183" i="4"/>
  <c r="BS177" i="4"/>
  <c r="BS171" i="4"/>
  <c r="BS165" i="4"/>
  <c r="BS159" i="4"/>
  <c r="BS153" i="4"/>
  <c r="BS147" i="4"/>
  <c r="BS141" i="4"/>
  <c r="BS135" i="4"/>
  <c r="BS129" i="4"/>
  <c r="BS123" i="4"/>
  <c r="BS117" i="4"/>
  <c r="BS111" i="4"/>
  <c r="BS105" i="4"/>
  <c r="BS99" i="4"/>
  <c r="BS93" i="4"/>
  <c r="BS87" i="4"/>
  <c r="BS81" i="4"/>
  <c r="BS75" i="4"/>
  <c r="BS69" i="4"/>
  <c r="BS63" i="4"/>
  <c r="BS57" i="4"/>
  <c r="BS51" i="4"/>
  <c r="BS45" i="4"/>
  <c r="BS39" i="4"/>
  <c r="BS33" i="4"/>
  <c r="BS27" i="4"/>
  <c r="BS21" i="4"/>
  <c r="BS15" i="4"/>
  <c r="BS9" i="4"/>
  <c r="BQ255" i="4"/>
  <c r="BU255" i="4" s="1"/>
  <c r="BQ249" i="4"/>
  <c r="BU249" i="4" s="1"/>
  <c r="BQ243" i="4"/>
  <c r="BU243" i="4" s="1"/>
  <c r="BQ237" i="4"/>
  <c r="BU237" i="4" s="1"/>
  <c r="BQ231" i="4"/>
  <c r="BU231" i="4" s="1"/>
  <c r="BQ225" i="4"/>
  <c r="BU225" i="4" s="1"/>
  <c r="BQ219" i="4"/>
  <c r="BU219" i="4" s="1"/>
  <c r="BQ213" i="4"/>
  <c r="BU213" i="4" s="1"/>
  <c r="BQ207" i="4"/>
  <c r="BU207" i="4" s="1"/>
  <c r="BQ201" i="4"/>
  <c r="BU201" i="4" s="1"/>
  <c r="BQ195" i="4"/>
  <c r="BU195" i="4" s="1"/>
  <c r="BQ189" i="4"/>
  <c r="BU189" i="4" s="1"/>
  <c r="BQ183" i="4"/>
  <c r="BU183" i="4" s="1"/>
  <c r="BQ177" i="4"/>
  <c r="BU177" i="4" s="1"/>
  <c r="BQ171" i="4"/>
  <c r="BU171" i="4" s="1"/>
  <c r="BQ165" i="4"/>
  <c r="BU165" i="4" s="1"/>
  <c r="BQ159" i="4"/>
  <c r="BU159" i="4" s="1"/>
  <c r="BQ153" i="4"/>
  <c r="BU153" i="4" s="1"/>
  <c r="BQ147" i="4"/>
  <c r="BU147" i="4" s="1"/>
  <c r="BQ141" i="4"/>
  <c r="BU141" i="4" s="1"/>
  <c r="BQ135" i="4"/>
  <c r="BU135" i="4" s="1"/>
  <c r="BQ129" i="4"/>
  <c r="BU129" i="4" s="1"/>
  <c r="BQ123" i="4"/>
  <c r="BU123" i="4" s="1"/>
  <c r="BQ117" i="4"/>
  <c r="BU117" i="4" s="1"/>
  <c r="BQ111" i="4"/>
  <c r="BU111" i="4" s="1"/>
  <c r="BQ105" i="4"/>
  <c r="BU105" i="4" s="1"/>
  <c r="BQ99" i="4"/>
  <c r="BU99" i="4" s="1"/>
  <c r="BQ93" i="4"/>
  <c r="BU93" i="4" s="1"/>
  <c r="BQ87" i="4"/>
  <c r="BU87" i="4" s="1"/>
  <c r="BQ81" i="4"/>
  <c r="BU81" i="4" s="1"/>
  <c r="BQ75" i="4"/>
  <c r="BU75" i="4" s="1"/>
  <c r="BQ69" i="4"/>
  <c r="BU69" i="4" s="1"/>
  <c r="BQ63" i="4"/>
  <c r="BU63" i="4" s="1"/>
  <c r="BQ57" i="4"/>
  <c r="BU57" i="4" s="1"/>
  <c r="BQ51" i="4"/>
  <c r="BU51" i="4" s="1"/>
  <c r="BQ45" i="4"/>
  <c r="BU45" i="4" s="1"/>
  <c r="BQ39" i="4"/>
  <c r="BU39" i="4" s="1"/>
  <c r="BQ33" i="4"/>
  <c r="BU33" i="4" s="1"/>
  <c r="BQ27" i="4"/>
  <c r="BU27" i="4" s="1"/>
  <c r="BQ21" i="4"/>
  <c r="BU21" i="4" s="1"/>
  <c r="BQ15" i="4"/>
  <c r="BU15" i="4" s="1"/>
  <c r="BQ9" i="4"/>
  <c r="BU9" i="4" s="1"/>
  <c r="BA141" i="4"/>
  <c r="BA105" i="4"/>
  <c r="BA69" i="4"/>
  <c r="BA33" i="4"/>
  <c r="BA213" i="4"/>
  <c r="BA177" i="4"/>
  <c r="BA255" i="4"/>
  <c r="BA219" i="4"/>
  <c r="BA152" i="4"/>
  <c r="BA130" i="4"/>
  <c r="BF130" i="4" s="1"/>
  <c r="BM130" i="4" s="1"/>
  <c r="BA216" i="4"/>
  <c r="BF216" i="4" s="1"/>
  <c r="BM216" i="4" s="1"/>
  <c r="BA180" i="4"/>
  <c r="BA144" i="4"/>
  <c r="BF144" i="4" s="1"/>
  <c r="BM144" i="4" s="1"/>
  <c r="BA108" i="4"/>
  <c r="BA72" i="4"/>
  <c r="BF72" i="4" s="1"/>
  <c r="BM72" i="4" s="1"/>
  <c r="BA36" i="4"/>
  <c r="BF36" i="4" s="1"/>
  <c r="BM36" i="4" s="1"/>
  <c r="AT228" i="4"/>
  <c r="AT192" i="4"/>
  <c r="BM192" i="4" s="1"/>
  <c r="AT142" i="4"/>
  <c r="BM142" i="4" s="1"/>
  <c r="AT106" i="4"/>
  <c r="AT99" i="4"/>
  <c r="AT70" i="4"/>
  <c r="BM70" i="4" s="1"/>
  <c r="AT63" i="4"/>
  <c r="AT34" i="4"/>
  <c r="AT27" i="4"/>
  <c r="AT250" i="4"/>
  <c r="AT243" i="4"/>
  <c r="AT214" i="4"/>
  <c r="AT207" i="4"/>
  <c r="AT178" i="4"/>
  <c r="BM178" i="4" s="1"/>
  <c r="AT171" i="4"/>
  <c r="AT135" i="4"/>
  <c r="AD231" i="1" a="1"/>
  <c r="AD231" i="1" s="1"/>
  <c r="BH231" i="1"/>
  <c r="AD207" i="1" a="1"/>
  <c r="AD207" i="1" s="1"/>
  <c r="BH207" i="1"/>
  <c r="BH153" i="1"/>
  <c r="AD153" i="1" a="1"/>
  <c r="AD153" i="1" s="1"/>
  <c r="BH135" i="1"/>
  <c r="BI135" i="1"/>
  <c r="BH129" i="1"/>
  <c r="BI129" i="1"/>
  <c r="BH123" i="1"/>
  <c r="BI123" i="1"/>
  <c r="BH117" i="1"/>
  <c r="BI117" i="1"/>
  <c r="BH111" i="1"/>
  <c r="BI111" i="1"/>
  <c r="BH105" i="1"/>
  <c r="BI105" i="1"/>
  <c r="AD99" i="1" a="1"/>
  <c r="AD99" i="1" s="1"/>
  <c r="BH99" i="1"/>
  <c r="BI99" i="1"/>
  <c r="BH93" i="1"/>
  <c r="BI93" i="1"/>
  <c r="BH87" i="1"/>
  <c r="BI87" i="1"/>
  <c r="BH81" i="1"/>
  <c r="BI81" i="1"/>
  <c r="BH75" i="1"/>
  <c r="BI75" i="1"/>
  <c r="BH69" i="1"/>
  <c r="BI69" i="1"/>
  <c r="BH63" i="1"/>
  <c r="BI63" i="1"/>
  <c r="BH57" i="1"/>
  <c r="BI57" i="1"/>
  <c r="BH51" i="1"/>
  <c r="BI51" i="1"/>
  <c r="AD45" i="1" a="1"/>
  <c r="AD45" i="1" s="1"/>
  <c r="BH45" i="1"/>
  <c r="BI45" i="1"/>
  <c r="BH39" i="1"/>
  <c r="BI39" i="1"/>
  <c r="BH33" i="1"/>
  <c r="BI33" i="1"/>
  <c r="BH27" i="1"/>
  <c r="BI27" i="1"/>
  <c r="BH21" i="1"/>
  <c r="BI21" i="1"/>
  <c r="BH15" i="1"/>
  <c r="BI15" i="1"/>
  <c r="BH9" i="1"/>
  <c r="BI9" i="1"/>
  <c r="AW217" i="1"/>
  <c r="BD217" i="4" s="1"/>
  <c r="BE217" i="4" s="1"/>
  <c r="AW174" i="1"/>
  <c r="BD174" i="4" s="1"/>
  <c r="BE174" i="4" s="1"/>
  <c r="BF174" i="4" s="1"/>
  <c r="BM174" i="4" s="1"/>
  <c r="AW104" i="1"/>
  <c r="BD104" i="4" s="1"/>
  <c r="BE104" i="4" s="1"/>
  <c r="BF104" i="4" s="1"/>
  <c r="AW98" i="1"/>
  <c r="BD98" i="4" s="1"/>
  <c r="BE98" i="4" s="1"/>
  <c r="BF98" i="4" s="1"/>
  <c r="BM98" i="4" s="1"/>
  <c r="AW50" i="1"/>
  <c r="BD50" i="4" s="1"/>
  <c r="BE50" i="4" s="1"/>
  <c r="BF50" i="4" s="1"/>
  <c r="AW44" i="1"/>
  <c r="BD44" i="4" s="1"/>
  <c r="BE44" i="4" s="1"/>
  <c r="BF44" i="4" s="1"/>
  <c r="AW253" i="1"/>
  <c r="BD253" i="4" s="1"/>
  <c r="BE253" i="4" s="1"/>
  <c r="AD249" i="1" a="1"/>
  <c r="AD249" i="1" s="1"/>
  <c r="AW166" i="1"/>
  <c r="BD166" i="4" s="1"/>
  <c r="BE166" i="4" s="1"/>
  <c r="BF166" i="4" s="1"/>
  <c r="BM166" i="4" s="1"/>
  <c r="AW152" i="1"/>
  <c r="BD152" i="4" s="1"/>
  <c r="BE152" i="4" s="1"/>
  <c r="AW138" i="1"/>
  <c r="BD138" i="4" s="1"/>
  <c r="BE138" i="4" s="1"/>
  <c r="BF138" i="4" s="1"/>
  <c r="BM138" i="4" s="1"/>
  <c r="AW12" i="1"/>
  <c r="BD12" i="4" s="1"/>
  <c r="BE12" i="4" s="1"/>
  <c r="BF12" i="4" s="1"/>
  <c r="BM12" i="4" s="1"/>
  <c r="AW122" i="1"/>
  <c r="BD122" i="4" s="1"/>
  <c r="BE122" i="4" s="1"/>
  <c r="BF122" i="4" s="1"/>
  <c r="AW196" i="1"/>
  <c r="BD196" i="4" s="1"/>
  <c r="BE196" i="4" s="1"/>
  <c r="BF196" i="4" s="1"/>
  <c r="BM196" i="4" s="1"/>
  <c r="AW176" i="1"/>
  <c r="BD176" i="4" s="1"/>
  <c r="BE176" i="4" s="1"/>
  <c r="BF176" i="4" s="1"/>
  <c r="BM176" i="4" s="1"/>
  <c r="AW170" i="1"/>
  <c r="BD170" i="4" s="1"/>
  <c r="BE170" i="4" s="1"/>
  <c r="BF170" i="4" s="1"/>
  <c r="AW140" i="1"/>
  <c r="BD140" i="4" s="1"/>
  <c r="BE140" i="4" s="1"/>
  <c r="BF140" i="4" s="1"/>
  <c r="AW206" i="1"/>
  <c r="BD206" i="4" s="1"/>
  <c r="BE206" i="4" s="1"/>
  <c r="BF206" i="4" s="1"/>
  <c r="AW199" i="1"/>
  <c r="BD199" i="4" s="1"/>
  <c r="BE199" i="4" s="1"/>
  <c r="AW128" i="1"/>
  <c r="BD128" i="4" s="1"/>
  <c r="BE128" i="4" s="1"/>
  <c r="BF128" i="4" s="1"/>
  <c r="AW92" i="1"/>
  <c r="BD92" i="4" s="1"/>
  <c r="BE92" i="4" s="1"/>
  <c r="BF92" i="4" s="1"/>
  <c r="AW194" i="1"/>
  <c r="BD194" i="4" s="1"/>
  <c r="BE194" i="4" s="1"/>
  <c r="BF194" i="4" s="1"/>
  <c r="AW20" i="1"/>
  <c r="BD20" i="4" s="1"/>
  <c r="BE20" i="4" s="1"/>
  <c r="BF20" i="4" s="1"/>
  <c r="AW5" i="1"/>
  <c r="BD5" i="4" s="1"/>
  <c r="BE5" i="4" s="1"/>
  <c r="BF5" i="4" s="1"/>
  <c r="BM5" i="4" s="1"/>
  <c r="AW188" i="1"/>
  <c r="BD188" i="4" s="1"/>
  <c r="BE188" i="4" s="1"/>
  <c r="BF188" i="4" s="1"/>
  <c r="AW160" i="1"/>
  <c r="BD160" i="4" s="1"/>
  <c r="BE160" i="4" s="1"/>
  <c r="BF160" i="4" s="1"/>
  <c r="BM160" i="4" s="1"/>
  <c r="AW124" i="1"/>
  <c r="BD124" i="4" s="1"/>
  <c r="BE124" i="4" s="1"/>
  <c r="BF124" i="4" s="1"/>
  <c r="BM124" i="4" s="1"/>
  <c r="AW116" i="1"/>
  <c r="BD116" i="4" s="1"/>
  <c r="BE116" i="4" s="1"/>
  <c r="BF116" i="4" s="1"/>
  <c r="AW102" i="1"/>
  <c r="BD102" i="4" s="1"/>
  <c r="BE102" i="4" s="1"/>
  <c r="BF102" i="4" s="1"/>
  <c r="BM102" i="4" s="1"/>
  <c r="AW80" i="1"/>
  <c r="BD80" i="4" s="1"/>
  <c r="BE80" i="4" s="1"/>
  <c r="BF80" i="4" s="1"/>
  <c r="AW66" i="1"/>
  <c r="BD66" i="4" s="1"/>
  <c r="BE66" i="4" s="1"/>
  <c r="BF66" i="4" s="1"/>
  <c r="BM66" i="4" s="1"/>
  <c r="AW52" i="1"/>
  <c r="BD52" i="4" s="1"/>
  <c r="BE52" i="4" s="1"/>
  <c r="BF52" i="4" s="1"/>
  <c r="BM52" i="4" s="1"/>
  <c r="AW30" i="1"/>
  <c r="BD30" i="4" s="1"/>
  <c r="BE30" i="4" s="1"/>
  <c r="BF30" i="4" s="1"/>
  <c r="BM30" i="4" s="1"/>
  <c r="AW16" i="1"/>
  <c r="BD16" i="4" s="1"/>
  <c r="BE16" i="4" s="1"/>
  <c r="BF16" i="4" s="1"/>
  <c r="BM16" i="4" s="1"/>
  <c r="AW246" i="1"/>
  <c r="BD246" i="4" s="1"/>
  <c r="BE246" i="4" s="1"/>
  <c r="BF246" i="4" s="1"/>
  <c r="BM246" i="4" s="1"/>
  <c r="AW233" i="1"/>
  <c r="BD233" i="4" s="1"/>
  <c r="BE233" i="4" s="1"/>
  <c r="BF233" i="4" s="1"/>
  <c r="BM233" i="4" s="1"/>
  <c r="AW181" i="1"/>
  <c r="BD181" i="4" s="1"/>
  <c r="BE181" i="4" s="1"/>
  <c r="AW145" i="1"/>
  <c r="BD145" i="4" s="1"/>
  <c r="BE145" i="4" s="1"/>
  <c r="AW109" i="1"/>
  <c r="BD109" i="4" s="1"/>
  <c r="BE109" i="4" s="1"/>
  <c r="AW73" i="1"/>
  <c r="BD73" i="4" s="1"/>
  <c r="BE73" i="4" s="1"/>
  <c r="AW61" i="1"/>
  <c r="BD61" i="4" s="1"/>
  <c r="BE61" i="4" s="1"/>
  <c r="AW37" i="1"/>
  <c r="BD37" i="4" s="1"/>
  <c r="BE37" i="4" s="1"/>
  <c r="AW25" i="1"/>
  <c r="BD25" i="4" s="1"/>
  <c r="BE25" i="4" s="1"/>
  <c r="AW65" i="1"/>
  <c r="BD65" i="4" s="1"/>
  <c r="BE65" i="4" s="1"/>
  <c r="AW223" i="1"/>
  <c r="BD223" i="4" s="1"/>
  <c r="BE223" i="4" s="1"/>
  <c r="AW202" i="1"/>
  <c r="BD202" i="4" s="1"/>
  <c r="BE202" i="4" s="1"/>
  <c r="BF202" i="4" s="1"/>
  <c r="BM202" i="4" s="1"/>
  <c r="AW180" i="1"/>
  <c r="BD180" i="4" s="1"/>
  <c r="BE180" i="4" s="1"/>
  <c r="AW151" i="1"/>
  <c r="BD151" i="4" s="1"/>
  <c r="BE151" i="4" s="1"/>
  <c r="AW94" i="1"/>
  <c r="BD94" i="4" s="1"/>
  <c r="BE94" i="4" s="1"/>
  <c r="BF94" i="4" s="1"/>
  <c r="BM94" i="4" s="1"/>
  <c r="AW248" i="1"/>
  <c r="BD248" i="4" s="1"/>
  <c r="BE248" i="4" s="1"/>
  <c r="BF248" i="4" s="1"/>
  <c r="BM248" i="4" s="1"/>
  <c r="AW164" i="1"/>
  <c r="BD164" i="4" s="1"/>
  <c r="BE164" i="4" s="1"/>
  <c r="BF164" i="4" s="1"/>
  <c r="AW232" i="1"/>
  <c r="BD232" i="4" s="1"/>
  <c r="BE232" i="4" s="1"/>
  <c r="BF232" i="4" s="1"/>
  <c r="BM232" i="4" s="1"/>
  <c r="AW78" i="1"/>
  <c r="BD78" i="4" s="1"/>
  <c r="BE78" i="4" s="1"/>
  <c r="BF78" i="4" s="1"/>
  <c r="BM78" i="4" s="1"/>
  <c r="AW42" i="1"/>
  <c r="BD42" i="4" s="1"/>
  <c r="BE42" i="4" s="1"/>
  <c r="BF42" i="4" s="1"/>
  <c r="BM42" i="4" s="1"/>
  <c r="AW6" i="1"/>
  <c r="BD6" i="4" s="1"/>
  <c r="BE6" i="4" s="1"/>
  <c r="BF6" i="4" s="1"/>
  <c r="BM6" i="4" s="1"/>
  <c r="AW251" i="1"/>
  <c r="BD251" i="4" s="1"/>
  <c r="BE251" i="4" s="1"/>
  <c r="BF251" i="4" s="1"/>
  <c r="AW239" i="1"/>
  <c r="BD239" i="4" s="1"/>
  <c r="BE239" i="4" s="1"/>
  <c r="BF239" i="4" s="1"/>
  <c r="BM239" i="4" s="1"/>
  <c r="AW215" i="1"/>
  <c r="BD215" i="4" s="1"/>
  <c r="BE215" i="4" s="1"/>
  <c r="BF215" i="4" s="1"/>
  <c r="AW209" i="1"/>
  <c r="BD209" i="4" s="1"/>
  <c r="BE209" i="4" s="1"/>
  <c r="BF209" i="4" s="1"/>
  <c r="AW203" i="1"/>
  <c r="BD203" i="4" s="1"/>
  <c r="BE203" i="4" s="1"/>
  <c r="BF203" i="4" s="1"/>
  <c r="BM203" i="4" s="1"/>
  <c r="AW197" i="1"/>
  <c r="BD197" i="4" s="1"/>
  <c r="BE197" i="4" s="1"/>
  <c r="BF197" i="4" s="1"/>
  <c r="AW185" i="1"/>
  <c r="BD185" i="4" s="1"/>
  <c r="BE185" i="4" s="1"/>
  <c r="BF185" i="4" s="1"/>
  <c r="BM185" i="4" s="1"/>
  <c r="AW179" i="1"/>
  <c r="BD179" i="4" s="1"/>
  <c r="BE179" i="4" s="1"/>
  <c r="BF179" i="4" s="1"/>
  <c r="AW167" i="1"/>
  <c r="BD167" i="4" s="1"/>
  <c r="BE167" i="4" s="1"/>
  <c r="BF167" i="4" s="1"/>
  <c r="BM167" i="4" s="1"/>
  <c r="AW155" i="1"/>
  <c r="BD155" i="4" s="1"/>
  <c r="BE155" i="4" s="1"/>
  <c r="BF155" i="4" s="1"/>
  <c r="AW143" i="1"/>
  <c r="BD143" i="4" s="1"/>
  <c r="BE143" i="4" s="1"/>
  <c r="BF143" i="4" s="1"/>
  <c r="AW137" i="1"/>
  <c r="BD137" i="4" s="1"/>
  <c r="BE137" i="4" s="1"/>
  <c r="AW131" i="1"/>
  <c r="BD131" i="4" s="1"/>
  <c r="BE131" i="4" s="1"/>
  <c r="BF131" i="4" s="1"/>
  <c r="BM131" i="4" s="1"/>
  <c r="AW119" i="1"/>
  <c r="BD119" i="4" s="1"/>
  <c r="BE119" i="4" s="1"/>
  <c r="BF119" i="4" s="1"/>
  <c r="AW107" i="1"/>
  <c r="BD107" i="4" s="1"/>
  <c r="BE107" i="4" s="1"/>
  <c r="BF107" i="4" s="1"/>
  <c r="AW101" i="1"/>
  <c r="BD101" i="4" s="1"/>
  <c r="BE101" i="4" s="1"/>
  <c r="AW95" i="1"/>
  <c r="BD95" i="4" s="1"/>
  <c r="BE95" i="4" s="1"/>
  <c r="BF95" i="4" s="1"/>
  <c r="BM95" i="4" s="1"/>
  <c r="AW71" i="1"/>
  <c r="BD71" i="4" s="1"/>
  <c r="BE71" i="4" s="1"/>
  <c r="BF71" i="4" s="1"/>
  <c r="BM71" i="4" s="1"/>
  <c r="AW59" i="1"/>
  <c r="BD59" i="4" s="1"/>
  <c r="BE59" i="4" s="1"/>
  <c r="BF59" i="4" s="1"/>
  <c r="BM59" i="4" s="1"/>
  <c r="AW47" i="1"/>
  <c r="BD47" i="4" s="1"/>
  <c r="BE47" i="4" s="1"/>
  <c r="AW35" i="1"/>
  <c r="BD35" i="4" s="1"/>
  <c r="BE35" i="4" s="1"/>
  <c r="BF35" i="4" s="1"/>
  <c r="BM35" i="4" s="1"/>
  <c r="AW23" i="1"/>
  <c r="BD23" i="4" s="1"/>
  <c r="BE23" i="4" s="1"/>
  <c r="BF23" i="4" s="1"/>
  <c r="BM23" i="4" s="1"/>
  <c r="AW11" i="1"/>
  <c r="BD11" i="4" s="1"/>
  <c r="BE11" i="4" s="1"/>
  <c r="BF11" i="4" s="1"/>
  <c r="BM11" i="4" s="1"/>
  <c r="AW120" i="1"/>
  <c r="BD120" i="4" s="1"/>
  <c r="BE120" i="4" s="1"/>
  <c r="BF120" i="4" s="1"/>
  <c r="BM120" i="4" s="1"/>
  <c r="AW91" i="1"/>
  <c r="BD91" i="4" s="1"/>
  <c r="BE91" i="4" s="1"/>
  <c r="AW70" i="1"/>
  <c r="BD70" i="4" s="1"/>
  <c r="BE70" i="4" s="1"/>
  <c r="BF70" i="4" s="1"/>
  <c r="AW62" i="1"/>
  <c r="BD62" i="4" s="1"/>
  <c r="BE62" i="4" s="1"/>
  <c r="BF62" i="4" s="1"/>
  <c r="BM62" i="4" s="1"/>
  <c r="AW41" i="1"/>
  <c r="BD41" i="4" s="1"/>
  <c r="BE41" i="4" s="1"/>
  <c r="BF41" i="4" s="1"/>
  <c r="BM41" i="4" s="1"/>
  <c r="AW113" i="1"/>
  <c r="BD113" i="4" s="1"/>
  <c r="BE113" i="4" s="1"/>
  <c r="BF113" i="4" s="1"/>
  <c r="BM113" i="4" s="1"/>
  <c r="AW84" i="1"/>
  <c r="BD84" i="4" s="1"/>
  <c r="BE84" i="4" s="1"/>
  <c r="BF84" i="4" s="1"/>
  <c r="BM84" i="4" s="1"/>
  <c r="AW34" i="1"/>
  <c r="BD34" i="4" s="1"/>
  <c r="BE34" i="4" s="1"/>
  <c r="BF34" i="4" s="1"/>
  <c r="AW26" i="1"/>
  <c r="BD26" i="4" s="1"/>
  <c r="BE26" i="4" s="1"/>
  <c r="AW236" i="1"/>
  <c r="BD236" i="4" s="1"/>
  <c r="BE236" i="4" s="1"/>
  <c r="BF236" i="4" s="1"/>
  <c r="AW56" i="1"/>
  <c r="BD56" i="4" s="1"/>
  <c r="BE56" i="4" s="1"/>
  <c r="BF56" i="4" s="1"/>
  <c r="AW245" i="1"/>
  <c r="BD245" i="4" s="1"/>
  <c r="BE245" i="4" s="1"/>
  <c r="BF245" i="4" s="1"/>
  <c r="BM245" i="4" s="1"/>
  <c r="AW218" i="1"/>
  <c r="BD218" i="4" s="1"/>
  <c r="BE218" i="4" s="1"/>
  <c r="BF218" i="4" s="1"/>
  <c r="AW168" i="1"/>
  <c r="BD168" i="4" s="1"/>
  <c r="BE168" i="4" s="1"/>
  <c r="BF168" i="4" s="1"/>
  <c r="BM168" i="4" s="1"/>
  <c r="AW103" i="1"/>
  <c r="BD103" i="4" s="1"/>
  <c r="BE103" i="4" s="1"/>
  <c r="AW74" i="1"/>
  <c r="BD74" i="4" s="1"/>
  <c r="BE74" i="4" s="1"/>
  <c r="BF74" i="4" s="1"/>
  <c r="AW17" i="1"/>
  <c r="BD17" i="4" s="1"/>
  <c r="BE17" i="4" s="1"/>
  <c r="BF17" i="4" s="1"/>
  <c r="AW211" i="1"/>
  <c r="BD211" i="4" s="1"/>
  <c r="BE211" i="4" s="1"/>
  <c r="AW190" i="1"/>
  <c r="BD190" i="4" s="1"/>
  <c r="BE190" i="4" s="1"/>
  <c r="BF190" i="4" s="1"/>
  <c r="BM190" i="4" s="1"/>
  <c r="AW161" i="1"/>
  <c r="BD161" i="4" s="1"/>
  <c r="BE161" i="4" s="1"/>
  <c r="BF161" i="4" s="1"/>
  <c r="AW132" i="1"/>
  <c r="BD132" i="4" s="1"/>
  <c r="BE132" i="4" s="1"/>
  <c r="BF132" i="4" s="1"/>
  <c r="BM132" i="4" s="1"/>
  <c r="AW230" i="1"/>
  <c r="BD230" i="4" s="1"/>
  <c r="BE230" i="4" s="1"/>
  <c r="BF230" i="4" s="1"/>
  <c r="AW200" i="1"/>
  <c r="BD200" i="4" s="1"/>
  <c r="BE200" i="4" s="1"/>
  <c r="BF200" i="4" s="1"/>
  <c r="AE255" i="1"/>
  <c r="AF255" i="1"/>
  <c r="AB255" i="1"/>
  <c r="AC255" i="1"/>
  <c r="AD255" i="1" a="1"/>
  <c r="AD255" i="1" s="1"/>
  <c r="AE249" i="1"/>
  <c r="AF249" i="1"/>
  <c r="AB249" i="1"/>
  <c r="AC249" i="1"/>
  <c r="AE243" i="1"/>
  <c r="AF243" i="1"/>
  <c r="AB243" i="1"/>
  <c r="AC243" i="1"/>
  <c r="AD243" i="1" a="1"/>
  <c r="AD243" i="1" s="1"/>
  <c r="AW243" i="1" s="1"/>
  <c r="BD243" i="4" s="1"/>
  <c r="BE243" i="4" s="1"/>
  <c r="BF243" i="4" s="1"/>
  <c r="AE237" i="1"/>
  <c r="AF237" i="1"/>
  <c r="AB237" i="1"/>
  <c r="AC237" i="1"/>
  <c r="AD237" i="1" a="1"/>
  <c r="AD237" i="1" s="1"/>
  <c r="AE231" i="1"/>
  <c r="AF231" i="1"/>
  <c r="AB231" i="1"/>
  <c r="AC231" i="1"/>
  <c r="AE225" i="1"/>
  <c r="AF225" i="1"/>
  <c r="AB225" i="1"/>
  <c r="AW225" i="1" s="1"/>
  <c r="BD225" i="4" s="1"/>
  <c r="BE225" i="4" s="1"/>
  <c r="BF225" i="4" s="1"/>
  <c r="BM225" i="4" s="1"/>
  <c r="AC225" i="1"/>
  <c r="AD225" i="1" a="1"/>
  <c r="AD225" i="1" s="1"/>
  <c r="AD219" i="1" a="1"/>
  <c r="AD219" i="1" s="1"/>
  <c r="AE219" i="1"/>
  <c r="AF219" i="1"/>
  <c r="AB219" i="1"/>
  <c r="AW219" i="1" s="1"/>
  <c r="BD219" i="4" s="1"/>
  <c r="BE219" i="4" s="1"/>
  <c r="AC219" i="1"/>
  <c r="AE213" i="1"/>
  <c r="AF213" i="1"/>
  <c r="AB213" i="1"/>
  <c r="AC213" i="1"/>
  <c r="AD213" i="1" a="1"/>
  <c r="AD213" i="1" s="1"/>
  <c r="AW213" i="1" s="1"/>
  <c r="BD213" i="4" s="1"/>
  <c r="BE213" i="4" s="1"/>
  <c r="AE207" i="1"/>
  <c r="AF207" i="1"/>
  <c r="AB207" i="1"/>
  <c r="AW207" i="1" s="1"/>
  <c r="BD207" i="4" s="1"/>
  <c r="BE207" i="4" s="1"/>
  <c r="BF207" i="4" s="1"/>
  <c r="AC207" i="1"/>
  <c r="AD201" i="1" a="1"/>
  <c r="AD201" i="1" s="1"/>
  <c r="AE201" i="1"/>
  <c r="AF201" i="1"/>
  <c r="AB201" i="1"/>
  <c r="AC201" i="1"/>
  <c r="AE195" i="1"/>
  <c r="AF195" i="1"/>
  <c r="AB195" i="1"/>
  <c r="AW195" i="1" s="1"/>
  <c r="BD195" i="4" s="1"/>
  <c r="BE195" i="4" s="1"/>
  <c r="BF195" i="4" s="1"/>
  <c r="BM195" i="4" s="1"/>
  <c r="AC195" i="1"/>
  <c r="AD195" i="1" a="1"/>
  <c r="AD195" i="1" s="1"/>
  <c r="AE189" i="1"/>
  <c r="AF189" i="1"/>
  <c r="AB189" i="1"/>
  <c r="AC189" i="1"/>
  <c r="AD189" i="1" a="1"/>
  <c r="AD189" i="1" s="1"/>
  <c r="AD183" i="1" a="1"/>
  <c r="AD183" i="1" s="1"/>
  <c r="AE183" i="1"/>
  <c r="AF183" i="1"/>
  <c r="AB183" i="1"/>
  <c r="AC183" i="1"/>
  <c r="AE177" i="1"/>
  <c r="AF177" i="1"/>
  <c r="AB177" i="1"/>
  <c r="AW177" i="1" s="1"/>
  <c r="BD177" i="4" s="1"/>
  <c r="BE177" i="4" s="1"/>
  <c r="AC177" i="1"/>
  <c r="AD177" i="1" a="1"/>
  <c r="AD177" i="1" s="1"/>
  <c r="AE171" i="1"/>
  <c r="AF171" i="1"/>
  <c r="AB171" i="1"/>
  <c r="AC171" i="1"/>
  <c r="AD171" i="1" a="1"/>
  <c r="AD171" i="1" s="1"/>
  <c r="AD165" i="1" a="1"/>
  <c r="AD165" i="1" s="1"/>
  <c r="AE165" i="1"/>
  <c r="AF165" i="1"/>
  <c r="AB165" i="1"/>
  <c r="AC165" i="1"/>
  <c r="AE159" i="1"/>
  <c r="AF159" i="1"/>
  <c r="AB159" i="1"/>
  <c r="AW159" i="1" s="1"/>
  <c r="BD159" i="4" s="1"/>
  <c r="BE159" i="4" s="1"/>
  <c r="BF159" i="4" s="1"/>
  <c r="BM159" i="4" s="1"/>
  <c r="AC159" i="1"/>
  <c r="AD159" i="1" a="1"/>
  <c r="AD159" i="1" s="1"/>
  <c r="AE153" i="1"/>
  <c r="AF153" i="1"/>
  <c r="AB153" i="1"/>
  <c r="AC153" i="1"/>
  <c r="AD147" i="1" a="1"/>
  <c r="AD147" i="1" s="1"/>
  <c r="AE147" i="1"/>
  <c r="AF147" i="1"/>
  <c r="AB147" i="1"/>
  <c r="AC147" i="1"/>
  <c r="AE141" i="1"/>
  <c r="AW141" i="1" s="1"/>
  <c r="BD141" i="4" s="1"/>
  <c r="BE141" i="4" s="1"/>
  <c r="AF141" i="1"/>
  <c r="AB141" i="1"/>
  <c r="AC141" i="1"/>
  <c r="AD141" i="1" a="1"/>
  <c r="AD141" i="1" s="1"/>
  <c r="AE135" i="1"/>
  <c r="AF135" i="1"/>
  <c r="AB135" i="1"/>
  <c r="AC135" i="1"/>
  <c r="AD135" i="1" a="1"/>
  <c r="AD135" i="1" s="1"/>
  <c r="AD129" i="1" a="1"/>
  <c r="AD129" i="1" s="1"/>
  <c r="AE129" i="1"/>
  <c r="AF129" i="1"/>
  <c r="AB129" i="1"/>
  <c r="AC129" i="1"/>
  <c r="AE123" i="1"/>
  <c r="AF123" i="1"/>
  <c r="AB123" i="1"/>
  <c r="AC123" i="1"/>
  <c r="AD123" i="1" a="1"/>
  <c r="AD123" i="1" s="1"/>
  <c r="AE117" i="1"/>
  <c r="AF117" i="1"/>
  <c r="AB117" i="1"/>
  <c r="AC117" i="1"/>
  <c r="AD117" i="1" a="1"/>
  <c r="AD117" i="1" s="1"/>
  <c r="AD111" i="1" a="1"/>
  <c r="AD111" i="1" s="1"/>
  <c r="AE111" i="1"/>
  <c r="AF111" i="1"/>
  <c r="AB111" i="1"/>
  <c r="AC111" i="1"/>
  <c r="AB105" i="1"/>
  <c r="AW105" i="1" s="1"/>
  <c r="BD105" i="4" s="1"/>
  <c r="BE105" i="4" s="1"/>
  <c r="AE105" i="1"/>
  <c r="AF105" i="1"/>
  <c r="AC105" i="1"/>
  <c r="AD105" i="1" a="1"/>
  <c r="AD105" i="1" s="1"/>
  <c r="AB99" i="1"/>
  <c r="AE99" i="1"/>
  <c r="AF99" i="1"/>
  <c r="AC99" i="1"/>
  <c r="AB93" i="1"/>
  <c r="AD93" i="1" a="1"/>
  <c r="AD93" i="1" s="1"/>
  <c r="AE93" i="1"/>
  <c r="AF93" i="1"/>
  <c r="AC93" i="1"/>
  <c r="AB87" i="1"/>
  <c r="AE87" i="1"/>
  <c r="AF87" i="1"/>
  <c r="AC87" i="1"/>
  <c r="AD87" i="1" a="1"/>
  <c r="AD87" i="1" s="1"/>
  <c r="AB81" i="1"/>
  <c r="AW81" i="1" s="1"/>
  <c r="BD81" i="4" s="1"/>
  <c r="BE81" i="4" s="1"/>
  <c r="BF81" i="4" s="1"/>
  <c r="BM81" i="4" s="1"/>
  <c r="AE81" i="1"/>
  <c r="AF81" i="1"/>
  <c r="AC81" i="1"/>
  <c r="AD81" i="1" a="1"/>
  <c r="AD81" i="1" s="1"/>
  <c r="AB75" i="1"/>
  <c r="AW75" i="1" s="1"/>
  <c r="BD75" i="4" s="1"/>
  <c r="BE75" i="4" s="1"/>
  <c r="BF75" i="4" s="1"/>
  <c r="BM75" i="4" s="1"/>
  <c r="AD75" i="1" a="1"/>
  <c r="AD75" i="1" s="1"/>
  <c r="AE75" i="1"/>
  <c r="AF75" i="1"/>
  <c r="AC75" i="1"/>
  <c r="AB69" i="1"/>
  <c r="AE69" i="1"/>
  <c r="AW69" i="1" s="1"/>
  <c r="BD69" i="4" s="1"/>
  <c r="BE69" i="4" s="1"/>
  <c r="AF69" i="1"/>
  <c r="AC69" i="1"/>
  <c r="AD69" i="1" a="1"/>
  <c r="AD69" i="1" s="1"/>
  <c r="AB63" i="1"/>
  <c r="AE63" i="1"/>
  <c r="AF63" i="1"/>
  <c r="AC63" i="1"/>
  <c r="AD63" i="1" a="1"/>
  <c r="AD63" i="1" s="1"/>
  <c r="AB57" i="1"/>
  <c r="AD57" i="1" a="1"/>
  <c r="AD57" i="1" s="1"/>
  <c r="AE57" i="1"/>
  <c r="AF57" i="1"/>
  <c r="AC57" i="1"/>
  <c r="AB51" i="1"/>
  <c r="AE51" i="1"/>
  <c r="AF51" i="1"/>
  <c r="AC51" i="1"/>
  <c r="AD51" i="1" a="1"/>
  <c r="AD51" i="1" s="1"/>
  <c r="AB45" i="1"/>
  <c r="AW45" i="1" s="1"/>
  <c r="BD45" i="4" s="1"/>
  <c r="BE45" i="4" s="1"/>
  <c r="BF45" i="4" s="1"/>
  <c r="BM45" i="4" s="1"/>
  <c r="AE45" i="1"/>
  <c r="AF45" i="1"/>
  <c r="AC45" i="1"/>
  <c r="AB39" i="1"/>
  <c r="AD39" i="1" a="1"/>
  <c r="AD39" i="1" s="1"/>
  <c r="AE39" i="1"/>
  <c r="AF39" i="1"/>
  <c r="AC39" i="1"/>
  <c r="AB33" i="1"/>
  <c r="AE33" i="1"/>
  <c r="AF33" i="1"/>
  <c r="AW33" i="1" s="1"/>
  <c r="BD33" i="4" s="1"/>
  <c r="BE33" i="4" s="1"/>
  <c r="AC33" i="1"/>
  <c r="AD33" i="1" a="1"/>
  <c r="AD33" i="1" s="1"/>
  <c r="AB27" i="1"/>
  <c r="AE27" i="1"/>
  <c r="AF27" i="1"/>
  <c r="AC27" i="1"/>
  <c r="AD27" i="1" a="1"/>
  <c r="AD27" i="1" s="1"/>
  <c r="AB21" i="1"/>
  <c r="AD21" i="1" a="1"/>
  <c r="AD21" i="1" s="1"/>
  <c r="AE21" i="1"/>
  <c r="AF21" i="1"/>
  <c r="AC21" i="1"/>
  <c r="AD15" i="1" a="1"/>
  <c r="AD15" i="1" s="1"/>
  <c r="AB15" i="1"/>
  <c r="AE15" i="1"/>
  <c r="AF15" i="1"/>
  <c r="AC15" i="1"/>
  <c r="AD9" i="1" a="1"/>
  <c r="AD9" i="1" s="1"/>
  <c r="AB9" i="1"/>
  <c r="AE9" i="1"/>
  <c r="AF9" i="1"/>
  <c r="AC9" i="1"/>
  <c r="AW252" i="1"/>
  <c r="BD252" i="4" s="1"/>
  <c r="BE252" i="4" s="1"/>
  <c r="BF252" i="4" s="1"/>
  <c r="BM252" i="4" s="1"/>
  <c r="AW238" i="1"/>
  <c r="BD238" i="4" s="1"/>
  <c r="BE238" i="4" s="1"/>
  <c r="BF238" i="4" s="1"/>
  <c r="BM238" i="4" s="1"/>
  <c r="AW193" i="1"/>
  <c r="BD193" i="4" s="1"/>
  <c r="BE193" i="4" s="1"/>
  <c r="AW242" i="1"/>
  <c r="BD242" i="4" s="1"/>
  <c r="BE242" i="4" s="1"/>
  <c r="BF242" i="4" s="1"/>
  <c r="AW222" i="1"/>
  <c r="BD222" i="4" s="1"/>
  <c r="BE222" i="4" s="1"/>
  <c r="BF222" i="4" s="1"/>
  <c r="BM222" i="4" s="1"/>
  <c r="AW186" i="1"/>
  <c r="BD186" i="4" s="1"/>
  <c r="BE186" i="4" s="1"/>
  <c r="BF186" i="4" s="1"/>
  <c r="BM186" i="4" s="1"/>
  <c r="AW150" i="1"/>
  <c r="BD150" i="4" s="1"/>
  <c r="BE150" i="4" s="1"/>
  <c r="BF150" i="4" s="1"/>
  <c r="BM150" i="4" s="1"/>
  <c r="AW114" i="1"/>
  <c r="BD114" i="4" s="1"/>
  <c r="BE114" i="4" s="1"/>
  <c r="BF114" i="4" s="1"/>
  <c r="BM114" i="4" s="1"/>
  <c r="AW228" i="1"/>
  <c r="BD228" i="4" s="1"/>
  <c r="BE228" i="4" s="1"/>
  <c r="BF228" i="4" s="1"/>
  <c r="AW191" i="1"/>
  <c r="BD191" i="4" s="1"/>
  <c r="BE191" i="4" s="1"/>
  <c r="BF191" i="4" s="1"/>
  <c r="AW250" i="1"/>
  <c r="BD250" i="4" s="1"/>
  <c r="BE250" i="4" s="1"/>
  <c r="BF250" i="4" s="1"/>
  <c r="AW226" i="1"/>
  <c r="BD226" i="4" s="1"/>
  <c r="BE226" i="4" s="1"/>
  <c r="BF226" i="4" s="1"/>
  <c r="BM226" i="4" s="1"/>
  <c r="AW240" i="1"/>
  <c r="BD240" i="4" s="1"/>
  <c r="BE240" i="4" s="1"/>
  <c r="BF240" i="4" s="1"/>
  <c r="BM240" i="4" s="1"/>
  <c r="AW254" i="1"/>
  <c r="BD254" i="4" s="1"/>
  <c r="BE254" i="4" s="1"/>
  <c r="BF254" i="4" s="1"/>
  <c r="BM254" i="4" s="1"/>
  <c r="AW205" i="1"/>
  <c r="BD205" i="4" s="1"/>
  <c r="BE205" i="4" s="1"/>
  <c r="AW83" i="1"/>
  <c r="BD83" i="4" s="1"/>
  <c r="BE83" i="4" s="1"/>
  <c r="BF83" i="4" s="1"/>
  <c r="Q4" i="10"/>
  <c r="Q5" i="10"/>
  <c r="Q6" i="10"/>
  <c r="Q7" i="10"/>
  <c r="Q8" i="10"/>
  <c r="Q9" i="10"/>
  <c r="Q10" i="10"/>
  <c r="Q11" i="10"/>
  <c r="Q12" i="10"/>
  <c r="Q13" i="10"/>
  <c r="Q14" i="10"/>
  <c r="Q15" i="10"/>
  <c r="Q16" i="10"/>
  <c r="Q17" i="10"/>
  <c r="Q18" i="10"/>
  <c r="Q19" i="10"/>
  <c r="Q20" i="10"/>
  <c r="Q21" i="10"/>
  <c r="Q22" i="10"/>
  <c r="Q23" i="10"/>
  <c r="Q24" i="10"/>
  <c r="Q25" i="10"/>
  <c r="Q26" i="10"/>
  <c r="Q27" i="10"/>
  <c r="Q28" i="10"/>
  <c r="Q29" i="10"/>
  <c r="Q30" i="10"/>
  <c r="Q31" i="10"/>
  <c r="Q32" i="10"/>
  <c r="Q33" i="10"/>
  <c r="Q34" i="10"/>
  <c r="Q35" i="10"/>
  <c r="Q36" i="10"/>
  <c r="Q37" i="10"/>
  <c r="Q38" i="10"/>
  <c r="Q39" i="10"/>
  <c r="Q40" i="10"/>
  <c r="Q41" i="10"/>
  <c r="Q42" i="10"/>
  <c r="Q43" i="10"/>
  <c r="Q44" i="10"/>
  <c r="Q45" i="10"/>
  <c r="Q46" i="10"/>
  <c r="Q47" i="10"/>
  <c r="Q48" i="10"/>
  <c r="Q49" i="10"/>
  <c r="Q50" i="10"/>
  <c r="Q51" i="10"/>
  <c r="Q52" i="10"/>
  <c r="Q53" i="10"/>
  <c r="Q54" i="10"/>
  <c r="Q55" i="10"/>
  <c r="Q56" i="10"/>
  <c r="Q57" i="10"/>
  <c r="Q58" i="10"/>
  <c r="Q59" i="10"/>
  <c r="Q60" i="10"/>
  <c r="Q61" i="10"/>
  <c r="Q62" i="10"/>
  <c r="Q63" i="10"/>
  <c r="Q64" i="10"/>
  <c r="Q65" i="10"/>
  <c r="Q66" i="10"/>
  <c r="Q67" i="10"/>
  <c r="Q68" i="10"/>
  <c r="Q69" i="10"/>
  <c r="Q70" i="10"/>
  <c r="Q71" i="10"/>
  <c r="Q72" i="10"/>
  <c r="Q73" i="10"/>
  <c r="Q74" i="10"/>
  <c r="Q75" i="10"/>
  <c r="Q76" i="10"/>
  <c r="Q77" i="10"/>
  <c r="Q78" i="10"/>
  <c r="Q79" i="10"/>
  <c r="Q80" i="10"/>
  <c r="Q81" i="10"/>
  <c r="Q82" i="10"/>
  <c r="Q83" i="10"/>
  <c r="Q84" i="10"/>
  <c r="Q85" i="10"/>
  <c r="Q86" i="10"/>
  <c r="Q87" i="10"/>
  <c r="Q88" i="10"/>
  <c r="Q89" i="10"/>
  <c r="Q90" i="10"/>
  <c r="Q91" i="10"/>
  <c r="Q92" i="10"/>
  <c r="Q93" i="10"/>
  <c r="Q94" i="10"/>
  <c r="Q95" i="10"/>
  <c r="Q96" i="10"/>
  <c r="Q97" i="10"/>
  <c r="Q98" i="10"/>
  <c r="Q99" i="10"/>
  <c r="Q100" i="10"/>
  <c r="Q101" i="10"/>
  <c r="Q102" i="10"/>
  <c r="Q103" i="10"/>
  <c r="Q104" i="10"/>
  <c r="Q105" i="10"/>
  <c r="Q106" i="10"/>
  <c r="Q107" i="10"/>
  <c r="Q108" i="10"/>
  <c r="Q109" i="10"/>
  <c r="Q110" i="10"/>
  <c r="Q111" i="10"/>
  <c r="Q112" i="10"/>
  <c r="Q113" i="10"/>
  <c r="Q114" i="10"/>
  <c r="Q115" i="10"/>
  <c r="Q116" i="10"/>
  <c r="Q117" i="10"/>
  <c r="Q118" i="10"/>
  <c r="Q119" i="10"/>
  <c r="Q120" i="10"/>
  <c r="Q121" i="10"/>
  <c r="Q122" i="10"/>
  <c r="Q123" i="10"/>
  <c r="Q124" i="10"/>
  <c r="Q125" i="10"/>
  <c r="Q126" i="10"/>
  <c r="Q127" i="10"/>
  <c r="Q128" i="10"/>
  <c r="Q129" i="10"/>
  <c r="Q130" i="10"/>
  <c r="Q131" i="10"/>
  <c r="Q132" i="10"/>
  <c r="Q133" i="10"/>
  <c r="Q134" i="10"/>
  <c r="Q135" i="10"/>
  <c r="Q136" i="10"/>
  <c r="Q137" i="10"/>
  <c r="Q138" i="10"/>
  <c r="Q139" i="10"/>
  <c r="Q140" i="10"/>
  <c r="Q141" i="10"/>
  <c r="Q142" i="10"/>
  <c r="Q143" i="10"/>
  <c r="Q144" i="10"/>
  <c r="Q145" i="10"/>
  <c r="Q146" i="10"/>
  <c r="Q147" i="10"/>
  <c r="Q148" i="10"/>
  <c r="Q149" i="10"/>
  <c r="Q150" i="10"/>
  <c r="Q151" i="10"/>
  <c r="Q152" i="10"/>
  <c r="Q153" i="10"/>
  <c r="Q154" i="10"/>
  <c r="Q155" i="10"/>
  <c r="Q156" i="10"/>
  <c r="Q157" i="10"/>
  <c r="Q158" i="10"/>
  <c r="Q159" i="10"/>
  <c r="Q160" i="10"/>
  <c r="Q161" i="10"/>
  <c r="Q162" i="10"/>
  <c r="Q163" i="10"/>
  <c r="Q164" i="10"/>
  <c r="Q165" i="10"/>
  <c r="Q166" i="10"/>
  <c r="Q167" i="10"/>
  <c r="Q168" i="10"/>
  <c r="Q169" i="10"/>
  <c r="Q170" i="10"/>
  <c r="Q171" i="10"/>
  <c r="Q172" i="10"/>
  <c r="Q173" i="10"/>
  <c r="Q174" i="10"/>
  <c r="Q175" i="10"/>
  <c r="Q176" i="10"/>
  <c r="Q177" i="10"/>
  <c r="Q178" i="10"/>
  <c r="Q179" i="10"/>
  <c r="Q180" i="10"/>
  <c r="Q181" i="10"/>
  <c r="Q182" i="10"/>
  <c r="Q183" i="10"/>
  <c r="Q184" i="10"/>
  <c r="Q185" i="10"/>
  <c r="Q186" i="10"/>
  <c r="Q187" i="10"/>
  <c r="Q188" i="10"/>
  <c r="Q189" i="10"/>
  <c r="Q190" i="10"/>
  <c r="Q191" i="10"/>
  <c r="Q192" i="10"/>
  <c r="Q193" i="10"/>
  <c r="Q194" i="10"/>
  <c r="Q195" i="10"/>
  <c r="Q196" i="10"/>
  <c r="Q197" i="10"/>
  <c r="Q198" i="10"/>
  <c r="Q199" i="10"/>
  <c r="Q200" i="10"/>
  <c r="Q201" i="10"/>
  <c r="Q202" i="10"/>
  <c r="Q203" i="10"/>
  <c r="Q204" i="10"/>
  <c r="Q205" i="10"/>
  <c r="Q206" i="10"/>
  <c r="Q207" i="10"/>
  <c r="Q208" i="10"/>
  <c r="Q209" i="10"/>
  <c r="Q210" i="10"/>
  <c r="Q211" i="10"/>
  <c r="Q212" i="10"/>
  <c r="Q213" i="10"/>
  <c r="Q214" i="10"/>
  <c r="Q215" i="10"/>
  <c r="Q216" i="10"/>
  <c r="Q217" i="10"/>
  <c r="Q218" i="10"/>
  <c r="Q219" i="10"/>
  <c r="Q220" i="10"/>
  <c r="Q221" i="10"/>
  <c r="Q222" i="10"/>
  <c r="Q223" i="10"/>
  <c r="Q224" i="10"/>
  <c r="Q225" i="10"/>
  <c r="Q226" i="10"/>
  <c r="Q227" i="10"/>
  <c r="Q228" i="10"/>
  <c r="Q229" i="10"/>
  <c r="Q230" i="10"/>
  <c r="Q231" i="10"/>
  <c r="Q232" i="10"/>
  <c r="Q233" i="10"/>
  <c r="Q234" i="10"/>
  <c r="Q235" i="10"/>
  <c r="Q236" i="10"/>
  <c r="Q237" i="10"/>
  <c r="Q238" i="10"/>
  <c r="Q239" i="10"/>
  <c r="Q240" i="10"/>
  <c r="Q241" i="10"/>
  <c r="Q242" i="10"/>
  <c r="Q243" i="10"/>
  <c r="Q244" i="10"/>
  <c r="Q245" i="10"/>
  <c r="Q246" i="10"/>
  <c r="Q247" i="10"/>
  <c r="Q248" i="10"/>
  <c r="Q249" i="10"/>
  <c r="Q250" i="10"/>
  <c r="Q251" i="10"/>
  <c r="Q252" i="10"/>
  <c r="Q253" i="10"/>
  <c r="Q254" i="10"/>
  <c r="Q255" i="10"/>
  <c r="BM4" i="10"/>
  <c r="BM5" i="10"/>
  <c r="BM6" i="10"/>
  <c r="BM7" i="10"/>
  <c r="BM8" i="10"/>
  <c r="BM9" i="10"/>
  <c r="BM10" i="10"/>
  <c r="BM11" i="10"/>
  <c r="BM12" i="10"/>
  <c r="BM13" i="10"/>
  <c r="BM14" i="10"/>
  <c r="BM15" i="10"/>
  <c r="BM16" i="10"/>
  <c r="BM17" i="10"/>
  <c r="BM18" i="10"/>
  <c r="BM19" i="10"/>
  <c r="BM20" i="10"/>
  <c r="BM21" i="10"/>
  <c r="BM22" i="10"/>
  <c r="BM23" i="10"/>
  <c r="BM24" i="10"/>
  <c r="BM25" i="10"/>
  <c r="BM26" i="10"/>
  <c r="BM27" i="10"/>
  <c r="BM28" i="10"/>
  <c r="BM29" i="10"/>
  <c r="BM30" i="10"/>
  <c r="BM31" i="10"/>
  <c r="BM32" i="10"/>
  <c r="BM33" i="10"/>
  <c r="BM34" i="10"/>
  <c r="BM35" i="10"/>
  <c r="BM36" i="10"/>
  <c r="BM37" i="10"/>
  <c r="BM38" i="10"/>
  <c r="BM39" i="10"/>
  <c r="BM40" i="10"/>
  <c r="BM41" i="10"/>
  <c r="BM42" i="10"/>
  <c r="BM43" i="10"/>
  <c r="BM44" i="10"/>
  <c r="BM45" i="10"/>
  <c r="BM46" i="10"/>
  <c r="BM47" i="10"/>
  <c r="BM48" i="10"/>
  <c r="BM49" i="10"/>
  <c r="BM50" i="10"/>
  <c r="BM51" i="10"/>
  <c r="BM52" i="10"/>
  <c r="BM53" i="10"/>
  <c r="BM54" i="10"/>
  <c r="BM55" i="10"/>
  <c r="BM56" i="10"/>
  <c r="BM57" i="10"/>
  <c r="BM58" i="10"/>
  <c r="BM59" i="10"/>
  <c r="BM60" i="10"/>
  <c r="BM61" i="10"/>
  <c r="BM62" i="10"/>
  <c r="BM63" i="10"/>
  <c r="BM64" i="10"/>
  <c r="BM65" i="10"/>
  <c r="BM66" i="10"/>
  <c r="BM67" i="10"/>
  <c r="BM68" i="10"/>
  <c r="BM69" i="10"/>
  <c r="BM70" i="10"/>
  <c r="BM71" i="10"/>
  <c r="BM72" i="10"/>
  <c r="BM73" i="10"/>
  <c r="BM74" i="10"/>
  <c r="BM75" i="10"/>
  <c r="BM76" i="10"/>
  <c r="BM77" i="10"/>
  <c r="BM78" i="10"/>
  <c r="BM79" i="10"/>
  <c r="BM80" i="10"/>
  <c r="BM81" i="10"/>
  <c r="BM82" i="10"/>
  <c r="BM83" i="10"/>
  <c r="BM84" i="10"/>
  <c r="BM85" i="10"/>
  <c r="BM86" i="10"/>
  <c r="BM87" i="10"/>
  <c r="BM88" i="10"/>
  <c r="BM89" i="10"/>
  <c r="BM90" i="10"/>
  <c r="BM91" i="10"/>
  <c r="BM92" i="10"/>
  <c r="BM93" i="10"/>
  <c r="BM94" i="10"/>
  <c r="BM95" i="10"/>
  <c r="BM96" i="10"/>
  <c r="BM97" i="10"/>
  <c r="BM98" i="10"/>
  <c r="BM99" i="10"/>
  <c r="BM100" i="10"/>
  <c r="BM101" i="10"/>
  <c r="BM102" i="10"/>
  <c r="BM103" i="10"/>
  <c r="BM104" i="10"/>
  <c r="BM105" i="10"/>
  <c r="BM106" i="10"/>
  <c r="BM107" i="10"/>
  <c r="BM108" i="10"/>
  <c r="BM109" i="10"/>
  <c r="BM110" i="10"/>
  <c r="BM111" i="10"/>
  <c r="BM112" i="10"/>
  <c r="BM113" i="10"/>
  <c r="BM114" i="10"/>
  <c r="BM115" i="10"/>
  <c r="BM116" i="10"/>
  <c r="BM117" i="10"/>
  <c r="BM118" i="10"/>
  <c r="BM119" i="10"/>
  <c r="BM120" i="10"/>
  <c r="BM121" i="10"/>
  <c r="BM122" i="10"/>
  <c r="BM123" i="10"/>
  <c r="BM124" i="10"/>
  <c r="BM125" i="10"/>
  <c r="BM126" i="10"/>
  <c r="BM127" i="10"/>
  <c r="BM128" i="10"/>
  <c r="BM129" i="10"/>
  <c r="BM130" i="10"/>
  <c r="BM131" i="10"/>
  <c r="BM132" i="10"/>
  <c r="BM133" i="10"/>
  <c r="BM134" i="10"/>
  <c r="BM135" i="10"/>
  <c r="BM136" i="10"/>
  <c r="BM137" i="10"/>
  <c r="BM138" i="10"/>
  <c r="BM139" i="10"/>
  <c r="BM140" i="10"/>
  <c r="BM141" i="10"/>
  <c r="BM142" i="10"/>
  <c r="BM143" i="10"/>
  <c r="BM144" i="10"/>
  <c r="BM145" i="10"/>
  <c r="BM146" i="10"/>
  <c r="BM147" i="10"/>
  <c r="BM148" i="10"/>
  <c r="BM149" i="10"/>
  <c r="BM150" i="10"/>
  <c r="BM151" i="10"/>
  <c r="BM152" i="10"/>
  <c r="BM153" i="10"/>
  <c r="BM154" i="10"/>
  <c r="BM155" i="10"/>
  <c r="BM156" i="10"/>
  <c r="BM157" i="10"/>
  <c r="BM158" i="10"/>
  <c r="BM159" i="10"/>
  <c r="BM160" i="10"/>
  <c r="BM161" i="10"/>
  <c r="BM162" i="10"/>
  <c r="BM163" i="10"/>
  <c r="BM164" i="10"/>
  <c r="BM165" i="10"/>
  <c r="BM166" i="10"/>
  <c r="BM167" i="10"/>
  <c r="BM168" i="10"/>
  <c r="BM169" i="10"/>
  <c r="BM170" i="10"/>
  <c r="BM171" i="10"/>
  <c r="BM172" i="10"/>
  <c r="BM173" i="10"/>
  <c r="BM174" i="10"/>
  <c r="BM175" i="10"/>
  <c r="BM176" i="10"/>
  <c r="BM177" i="10"/>
  <c r="BM178" i="10"/>
  <c r="BM179" i="10"/>
  <c r="BM180" i="10"/>
  <c r="BM181" i="10"/>
  <c r="BM182" i="10"/>
  <c r="BM183" i="10"/>
  <c r="BM184" i="10"/>
  <c r="BM185" i="10"/>
  <c r="BM186" i="10"/>
  <c r="BM187" i="10"/>
  <c r="BM188" i="10"/>
  <c r="BM189" i="10"/>
  <c r="BM190" i="10"/>
  <c r="BM191" i="10"/>
  <c r="BM192" i="10"/>
  <c r="BM193" i="10"/>
  <c r="BM194" i="10"/>
  <c r="BM195" i="10"/>
  <c r="BM196" i="10"/>
  <c r="BM197" i="10"/>
  <c r="BM198" i="10"/>
  <c r="BM199" i="10"/>
  <c r="BM200" i="10"/>
  <c r="BM201" i="10"/>
  <c r="BM202" i="10"/>
  <c r="BM203" i="10"/>
  <c r="BM204" i="10"/>
  <c r="BM205" i="10"/>
  <c r="BM206" i="10"/>
  <c r="BM207" i="10"/>
  <c r="BM208" i="10"/>
  <c r="BM209" i="10"/>
  <c r="BM210" i="10"/>
  <c r="BM211" i="10"/>
  <c r="BM212" i="10"/>
  <c r="BM213" i="10"/>
  <c r="BM214" i="10"/>
  <c r="BM215" i="10"/>
  <c r="BM216" i="10"/>
  <c r="BM217" i="10"/>
  <c r="BM218" i="10"/>
  <c r="BM219" i="10"/>
  <c r="BM220" i="10"/>
  <c r="BM221" i="10"/>
  <c r="BM222" i="10"/>
  <c r="BM223" i="10"/>
  <c r="BM224" i="10"/>
  <c r="BM225" i="10"/>
  <c r="BM226" i="10"/>
  <c r="BM227" i="10"/>
  <c r="BM228" i="10"/>
  <c r="BM229" i="10"/>
  <c r="BM230" i="10"/>
  <c r="BM231" i="10"/>
  <c r="BM232" i="10"/>
  <c r="BM233" i="10"/>
  <c r="BM234" i="10"/>
  <c r="BM235" i="10"/>
  <c r="BM236" i="10"/>
  <c r="BM237" i="10"/>
  <c r="BM238" i="10"/>
  <c r="BM239" i="10"/>
  <c r="BM240" i="10"/>
  <c r="BM241" i="10"/>
  <c r="BM242" i="10"/>
  <c r="BM243" i="10"/>
  <c r="BM244" i="10"/>
  <c r="BM245" i="10"/>
  <c r="BM246" i="10"/>
  <c r="BM247" i="10"/>
  <c r="BM248" i="10"/>
  <c r="BM249" i="10"/>
  <c r="BM250" i="10"/>
  <c r="BM251" i="10"/>
  <c r="BM252" i="10"/>
  <c r="BM253" i="10"/>
  <c r="BM254" i="10"/>
  <c r="BM255" i="10"/>
  <c r="R8" i="10"/>
  <c r="AB29" i="10"/>
  <c r="AE4" i="10"/>
  <c r="AE5" i="10"/>
  <c r="AE6" i="10"/>
  <c r="AE7" i="10"/>
  <c r="AE8" i="10"/>
  <c r="AE9" i="10"/>
  <c r="AE10" i="10"/>
  <c r="AE11" i="10"/>
  <c r="AE12" i="10"/>
  <c r="AE13" i="10"/>
  <c r="AE14" i="10"/>
  <c r="AE15" i="10"/>
  <c r="AE16" i="10"/>
  <c r="AE17" i="10"/>
  <c r="AE18" i="10"/>
  <c r="AE19" i="10"/>
  <c r="AE20" i="10"/>
  <c r="AE21" i="10"/>
  <c r="AE22" i="10"/>
  <c r="AE23" i="10"/>
  <c r="AE24" i="10"/>
  <c r="AE33" i="10"/>
  <c r="AE34" i="10"/>
  <c r="AE35" i="10"/>
  <c r="AE36" i="10"/>
  <c r="AE37" i="10"/>
  <c r="AE38" i="10"/>
  <c r="AE39" i="10"/>
  <c r="AE40" i="10"/>
  <c r="AE41" i="10"/>
  <c r="AE42" i="10"/>
  <c r="AE43" i="10"/>
  <c r="AE44" i="10"/>
  <c r="AE45" i="10"/>
  <c r="AE46" i="10"/>
  <c r="AE47" i="10"/>
  <c r="AE48" i="10"/>
  <c r="AE49" i="10"/>
  <c r="AE50" i="10"/>
  <c r="AE51" i="10"/>
  <c r="AE52" i="10"/>
  <c r="AE53" i="10"/>
  <c r="AE54" i="10"/>
  <c r="AE55" i="10"/>
  <c r="AE56" i="10"/>
  <c r="AE57" i="10"/>
  <c r="AE58" i="10"/>
  <c r="AE59" i="10"/>
  <c r="AE60" i="10"/>
  <c r="AE61" i="10"/>
  <c r="AE62" i="10"/>
  <c r="AE63" i="10"/>
  <c r="AE64" i="10"/>
  <c r="AE65" i="10"/>
  <c r="AE66" i="10"/>
  <c r="AE67" i="10"/>
  <c r="AE68" i="10"/>
  <c r="AE69" i="10"/>
  <c r="AE70" i="10"/>
  <c r="AE71" i="10"/>
  <c r="AE72" i="10"/>
  <c r="AE73" i="10"/>
  <c r="AE74" i="10"/>
  <c r="AE75" i="10"/>
  <c r="AE76" i="10"/>
  <c r="AE77" i="10"/>
  <c r="AE78" i="10"/>
  <c r="AE79" i="10"/>
  <c r="AE80" i="10"/>
  <c r="AE81" i="10"/>
  <c r="AE82" i="10"/>
  <c r="AE83" i="10"/>
  <c r="AE84" i="10"/>
  <c r="AE85" i="10"/>
  <c r="AE86" i="10"/>
  <c r="AE87" i="10"/>
  <c r="AE88" i="10"/>
  <c r="AE89" i="10"/>
  <c r="AE90" i="10"/>
  <c r="AE91" i="10"/>
  <c r="AE92" i="10"/>
  <c r="AE93" i="10"/>
  <c r="AE94" i="10"/>
  <c r="AE95" i="10"/>
  <c r="AE96" i="10"/>
  <c r="AE97" i="10"/>
  <c r="AE98" i="10"/>
  <c r="AE99" i="10"/>
  <c r="AE100" i="10"/>
  <c r="AE101" i="10"/>
  <c r="AE102" i="10"/>
  <c r="AE103" i="10"/>
  <c r="AE104" i="10"/>
  <c r="AE105" i="10"/>
  <c r="AE106" i="10"/>
  <c r="AE107" i="10"/>
  <c r="AE108" i="10"/>
  <c r="AE109" i="10"/>
  <c r="AE110" i="10"/>
  <c r="AE111" i="10"/>
  <c r="AE112" i="10"/>
  <c r="AE113" i="10"/>
  <c r="AE114" i="10"/>
  <c r="AE115" i="10"/>
  <c r="AE116" i="10"/>
  <c r="AE117" i="10"/>
  <c r="AE118" i="10"/>
  <c r="AE119" i="10"/>
  <c r="AE120" i="10"/>
  <c r="AE121" i="10"/>
  <c r="AE122" i="10"/>
  <c r="AE123" i="10"/>
  <c r="AE124" i="10"/>
  <c r="AE125" i="10"/>
  <c r="AE126" i="10"/>
  <c r="AE127" i="10"/>
  <c r="AE128" i="10"/>
  <c r="AE129" i="10"/>
  <c r="AE130" i="10"/>
  <c r="AE131" i="10"/>
  <c r="AE132" i="10"/>
  <c r="AE133" i="10"/>
  <c r="AE134" i="10"/>
  <c r="AE135" i="10"/>
  <c r="AE136" i="10"/>
  <c r="AE137" i="10"/>
  <c r="AE138" i="10"/>
  <c r="AE139" i="10"/>
  <c r="AE140" i="10"/>
  <c r="AE141" i="10"/>
  <c r="AE142" i="10"/>
  <c r="AE143" i="10"/>
  <c r="AE144" i="10"/>
  <c r="AE145" i="10"/>
  <c r="AE146" i="10"/>
  <c r="AE147" i="10"/>
  <c r="AE148" i="10"/>
  <c r="AE149" i="10"/>
  <c r="AE150" i="10"/>
  <c r="AE151" i="10"/>
  <c r="AE152" i="10"/>
  <c r="AE153" i="10"/>
  <c r="AE154" i="10"/>
  <c r="AE155" i="10"/>
  <c r="AE156" i="10"/>
  <c r="AE157" i="10"/>
  <c r="AE158" i="10"/>
  <c r="AE159" i="10"/>
  <c r="AE160" i="10"/>
  <c r="AE161" i="10"/>
  <c r="AE162" i="10"/>
  <c r="AE163" i="10"/>
  <c r="AE164" i="10"/>
  <c r="AE165" i="10"/>
  <c r="AE166" i="10"/>
  <c r="AE167" i="10"/>
  <c r="AE168" i="10"/>
  <c r="AE169" i="10"/>
  <c r="AE170" i="10"/>
  <c r="AE171" i="10"/>
  <c r="AE172" i="10"/>
  <c r="AE173" i="10"/>
  <c r="AE174" i="10"/>
  <c r="AE175" i="10"/>
  <c r="AE176" i="10"/>
  <c r="AE177" i="10"/>
  <c r="AE178" i="10"/>
  <c r="AE179" i="10"/>
  <c r="AE180" i="10"/>
  <c r="AE181" i="10"/>
  <c r="AE182" i="10"/>
  <c r="AE183" i="10"/>
  <c r="AE184" i="10"/>
  <c r="AE185" i="10"/>
  <c r="AE186" i="10"/>
  <c r="AE187" i="10"/>
  <c r="AE188" i="10"/>
  <c r="AE189" i="10"/>
  <c r="AE190" i="10"/>
  <c r="AE191" i="10"/>
  <c r="AE192" i="10"/>
  <c r="AE193" i="10"/>
  <c r="AE194" i="10"/>
  <c r="AE195" i="10"/>
  <c r="AE196" i="10"/>
  <c r="AE197" i="10"/>
  <c r="AE198" i="10"/>
  <c r="AE199" i="10"/>
  <c r="AE200" i="10"/>
  <c r="AE201" i="10"/>
  <c r="AE202" i="10"/>
  <c r="AE203" i="10"/>
  <c r="AE204" i="10"/>
  <c r="AE205" i="10"/>
  <c r="AE206" i="10"/>
  <c r="AE207" i="10"/>
  <c r="AE208" i="10"/>
  <c r="AE209" i="10"/>
  <c r="AE210" i="10"/>
  <c r="AE211" i="10"/>
  <c r="AE212" i="10"/>
  <c r="AE213" i="10"/>
  <c r="AE214" i="10"/>
  <c r="AE215" i="10"/>
  <c r="AE216" i="10"/>
  <c r="AE217" i="10"/>
  <c r="AE218" i="10"/>
  <c r="AE219" i="10"/>
  <c r="AE220" i="10"/>
  <c r="AE221" i="10"/>
  <c r="AE222" i="10"/>
  <c r="AE223" i="10"/>
  <c r="AE224" i="10"/>
  <c r="AE225" i="10"/>
  <c r="AE226" i="10"/>
  <c r="AE227" i="10"/>
  <c r="AE228" i="10"/>
  <c r="AE229" i="10"/>
  <c r="AE230" i="10"/>
  <c r="AE231" i="10"/>
  <c r="AE232" i="10"/>
  <c r="AE233" i="10"/>
  <c r="AE234" i="10"/>
  <c r="AE235" i="10"/>
  <c r="AE236" i="10"/>
  <c r="AE237" i="10"/>
  <c r="AE238" i="10"/>
  <c r="AE239" i="10"/>
  <c r="AE240" i="10"/>
  <c r="AE241" i="10"/>
  <c r="AE242" i="10"/>
  <c r="AE243" i="10"/>
  <c r="AE244" i="10"/>
  <c r="AE245" i="10"/>
  <c r="AE246" i="10"/>
  <c r="AE247" i="10"/>
  <c r="AE248" i="10"/>
  <c r="AE249" i="10"/>
  <c r="AE250" i="10"/>
  <c r="AE251" i="10"/>
  <c r="AE252" i="10"/>
  <c r="AE253" i="10"/>
  <c r="AE254" i="10"/>
  <c r="AE255" i="10"/>
  <c r="AL4" i="10"/>
  <c r="AL5" i="10"/>
  <c r="AL6" i="10"/>
  <c r="AL7" i="10"/>
  <c r="AL8" i="10"/>
  <c r="AL9" i="10"/>
  <c r="AL10" i="10"/>
  <c r="AL11" i="10"/>
  <c r="AL12" i="10"/>
  <c r="AL13" i="10"/>
  <c r="AL14" i="10"/>
  <c r="AL15" i="10"/>
  <c r="AL16" i="10"/>
  <c r="AL17" i="10"/>
  <c r="AL18" i="10"/>
  <c r="AL19" i="10"/>
  <c r="AL20" i="10"/>
  <c r="AL21" i="10"/>
  <c r="AL22" i="10"/>
  <c r="AL23" i="10"/>
  <c r="AL24" i="10"/>
  <c r="AL33" i="10"/>
  <c r="AL34" i="10"/>
  <c r="AL35" i="10"/>
  <c r="AL36" i="10"/>
  <c r="AL37" i="10"/>
  <c r="AL38" i="10"/>
  <c r="AL39" i="10"/>
  <c r="AL40" i="10"/>
  <c r="AL41" i="10"/>
  <c r="AL42" i="10"/>
  <c r="AL43" i="10"/>
  <c r="AL44" i="10"/>
  <c r="AL45" i="10"/>
  <c r="AL46" i="10"/>
  <c r="AL47" i="10"/>
  <c r="AL48" i="10"/>
  <c r="AL49" i="10"/>
  <c r="AL50" i="10"/>
  <c r="AL51" i="10"/>
  <c r="AL52" i="10"/>
  <c r="AL53" i="10"/>
  <c r="AL54" i="10"/>
  <c r="AL55" i="10"/>
  <c r="AL56" i="10"/>
  <c r="AL57" i="10"/>
  <c r="AL58" i="10"/>
  <c r="AL59" i="10"/>
  <c r="AL60" i="10"/>
  <c r="AL61" i="10"/>
  <c r="AL62" i="10"/>
  <c r="AL63" i="10"/>
  <c r="AL64" i="10"/>
  <c r="AL65" i="10"/>
  <c r="AL66" i="10"/>
  <c r="AL67" i="10"/>
  <c r="AL68" i="10"/>
  <c r="AL69" i="10"/>
  <c r="AL70" i="10"/>
  <c r="AL71" i="10"/>
  <c r="AL72" i="10"/>
  <c r="AL73" i="10"/>
  <c r="AL74" i="10"/>
  <c r="AL75" i="10"/>
  <c r="AL76" i="10"/>
  <c r="AL77" i="10"/>
  <c r="AL78" i="10"/>
  <c r="AL79" i="10"/>
  <c r="AL80" i="10"/>
  <c r="AL81" i="10"/>
  <c r="AL82" i="10"/>
  <c r="AL83" i="10"/>
  <c r="AL84" i="10"/>
  <c r="AL85" i="10"/>
  <c r="AL86" i="10"/>
  <c r="AL87" i="10"/>
  <c r="AL88" i="10"/>
  <c r="AL89" i="10"/>
  <c r="AL90" i="10"/>
  <c r="AL91" i="10"/>
  <c r="AL92" i="10"/>
  <c r="AL93" i="10"/>
  <c r="AL94" i="10"/>
  <c r="AL95" i="10"/>
  <c r="AL96" i="10"/>
  <c r="AL97" i="10"/>
  <c r="AL98" i="10"/>
  <c r="AL99" i="10"/>
  <c r="AL100" i="10"/>
  <c r="AL101" i="10"/>
  <c r="AL102" i="10"/>
  <c r="AL103" i="10"/>
  <c r="AL104" i="10"/>
  <c r="AL105" i="10"/>
  <c r="AL106" i="10"/>
  <c r="AL107" i="10"/>
  <c r="AL108" i="10"/>
  <c r="AL109" i="10"/>
  <c r="AL110" i="10"/>
  <c r="AL111" i="10"/>
  <c r="AL112" i="10"/>
  <c r="AL113" i="10"/>
  <c r="AL114" i="10"/>
  <c r="AL115" i="10"/>
  <c r="AL116" i="10"/>
  <c r="AL117" i="10"/>
  <c r="AL118" i="10"/>
  <c r="AL119" i="10"/>
  <c r="AL120" i="10"/>
  <c r="AL121" i="10"/>
  <c r="AL122" i="10"/>
  <c r="AL123" i="10"/>
  <c r="AL124" i="10"/>
  <c r="AL125" i="10"/>
  <c r="AL126" i="10"/>
  <c r="AL127" i="10"/>
  <c r="AL128" i="10"/>
  <c r="AL129" i="10"/>
  <c r="AL130" i="10"/>
  <c r="AL131" i="10"/>
  <c r="AL132" i="10"/>
  <c r="AL133" i="10"/>
  <c r="AL134" i="10"/>
  <c r="AL135" i="10"/>
  <c r="AL136" i="10"/>
  <c r="AL137" i="10"/>
  <c r="AL138" i="10"/>
  <c r="AL139" i="10"/>
  <c r="AL140" i="10"/>
  <c r="AL141" i="10"/>
  <c r="AL142" i="10"/>
  <c r="AL143" i="10"/>
  <c r="AL144" i="10"/>
  <c r="AL145" i="10"/>
  <c r="AL146" i="10"/>
  <c r="AL147" i="10"/>
  <c r="AL148" i="10"/>
  <c r="AL149" i="10"/>
  <c r="AL150" i="10"/>
  <c r="AL151" i="10"/>
  <c r="AL152" i="10"/>
  <c r="AL153" i="10"/>
  <c r="AL154" i="10"/>
  <c r="AL155" i="10"/>
  <c r="AL156" i="10"/>
  <c r="AL157" i="10"/>
  <c r="AL158" i="10"/>
  <c r="AL159" i="10"/>
  <c r="AL160" i="10"/>
  <c r="AL161" i="10"/>
  <c r="AL162" i="10"/>
  <c r="AL163" i="10"/>
  <c r="AL164" i="10"/>
  <c r="AL165" i="10"/>
  <c r="AL166" i="10"/>
  <c r="AL167" i="10"/>
  <c r="AL168" i="10"/>
  <c r="AL169" i="10"/>
  <c r="AL170" i="10"/>
  <c r="AL171" i="10"/>
  <c r="AL172" i="10"/>
  <c r="AL173" i="10"/>
  <c r="AL174" i="10"/>
  <c r="AL175" i="10"/>
  <c r="AL176" i="10"/>
  <c r="AL177" i="10"/>
  <c r="AL178" i="10"/>
  <c r="AL179" i="10"/>
  <c r="AL180" i="10"/>
  <c r="AL181" i="10"/>
  <c r="AL182" i="10"/>
  <c r="AL183" i="10"/>
  <c r="AL184" i="10"/>
  <c r="AL185" i="10"/>
  <c r="AL186" i="10"/>
  <c r="AL187" i="10"/>
  <c r="AL188" i="10"/>
  <c r="AL189" i="10"/>
  <c r="AL190" i="10"/>
  <c r="AL191" i="10"/>
  <c r="AL192" i="10"/>
  <c r="AL193" i="10"/>
  <c r="AL194" i="10"/>
  <c r="AL195" i="10"/>
  <c r="AL196" i="10"/>
  <c r="AL197" i="10"/>
  <c r="AL198" i="10"/>
  <c r="AL199" i="10"/>
  <c r="AL200" i="10"/>
  <c r="AL201" i="10"/>
  <c r="AL202" i="10"/>
  <c r="AL203" i="10"/>
  <c r="AL204" i="10"/>
  <c r="AL205" i="10"/>
  <c r="AL206" i="10"/>
  <c r="AL207" i="10"/>
  <c r="AL208" i="10"/>
  <c r="AL209" i="10"/>
  <c r="AL210" i="10"/>
  <c r="AL211" i="10"/>
  <c r="AL212" i="10"/>
  <c r="AL213" i="10"/>
  <c r="AL214" i="10"/>
  <c r="AL215" i="10"/>
  <c r="AL216" i="10"/>
  <c r="AL217" i="10"/>
  <c r="AL218" i="10"/>
  <c r="AL219" i="10"/>
  <c r="AL220" i="10"/>
  <c r="AL221" i="10"/>
  <c r="AL222" i="10"/>
  <c r="AL223" i="10"/>
  <c r="AL224" i="10"/>
  <c r="AL225" i="10"/>
  <c r="AL226" i="10"/>
  <c r="AL227" i="10"/>
  <c r="AL228" i="10"/>
  <c r="AL229" i="10"/>
  <c r="AL230" i="10"/>
  <c r="AL231" i="10"/>
  <c r="AL232" i="10"/>
  <c r="AL233" i="10"/>
  <c r="AL234" i="10"/>
  <c r="AL235" i="10"/>
  <c r="AL236" i="10"/>
  <c r="AL237" i="10"/>
  <c r="AL238" i="10"/>
  <c r="AL239" i="10"/>
  <c r="AL240" i="10"/>
  <c r="AL241" i="10"/>
  <c r="AL242" i="10"/>
  <c r="AL243" i="10"/>
  <c r="AL244" i="10"/>
  <c r="AL245" i="10"/>
  <c r="AL246" i="10"/>
  <c r="AL247" i="10"/>
  <c r="AL248" i="10"/>
  <c r="AL249" i="10"/>
  <c r="AL250" i="10"/>
  <c r="AL251" i="10"/>
  <c r="AL252" i="10"/>
  <c r="AL253" i="10"/>
  <c r="AL254" i="10"/>
  <c r="AL255" i="10"/>
  <c r="AR9" i="10"/>
  <c r="AR185" i="10"/>
  <c r="AR207" i="10"/>
  <c r="AU10" i="10"/>
  <c r="AU32" i="10"/>
  <c r="AU54" i="10"/>
  <c r="AU76" i="10"/>
  <c r="AU98" i="10"/>
  <c r="AU119" i="10"/>
  <c r="AU120" i="10"/>
  <c r="AU142" i="10"/>
  <c r="AU164" i="10"/>
  <c r="AU208" i="10"/>
  <c r="AU230" i="10"/>
  <c r="AU252" i="10"/>
  <c r="AW14" i="10"/>
  <c r="AW36" i="10"/>
  <c r="AX10" i="10"/>
  <c r="AX11" i="10"/>
  <c r="AX32" i="10"/>
  <c r="AX54" i="10"/>
  <c r="AX76" i="10"/>
  <c r="AX98" i="10"/>
  <c r="AX120" i="10"/>
  <c r="AX142" i="10"/>
  <c r="AX164" i="10"/>
  <c r="AX186" i="10"/>
  <c r="AX208" i="10"/>
  <c r="AX230" i="10"/>
  <c r="AX252" i="10"/>
  <c r="AZ29" i="10"/>
  <c r="BD4" i="10"/>
  <c r="BD5" i="10"/>
  <c r="BD6" i="10"/>
  <c r="BD7" i="10"/>
  <c r="BD8" i="10"/>
  <c r="BD9" i="10"/>
  <c r="BD10" i="10"/>
  <c r="BD11" i="10"/>
  <c r="BD12" i="10"/>
  <c r="BD13" i="10"/>
  <c r="BD14" i="10"/>
  <c r="BD15" i="10"/>
  <c r="BD16" i="10"/>
  <c r="BD17" i="10"/>
  <c r="BD18" i="10"/>
  <c r="BD19" i="10"/>
  <c r="BD20" i="10"/>
  <c r="BD21" i="10"/>
  <c r="BD22" i="10"/>
  <c r="BD23" i="10"/>
  <c r="BD24" i="10"/>
  <c r="BD27" i="10"/>
  <c r="BD28" i="10"/>
  <c r="BD29" i="10"/>
  <c r="BD30" i="10"/>
  <c r="BD31" i="10"/>
  <c r="BD32" i="10"/>
  <c r="BD33" i="10"/>
  <c r="BD34" i="10"/>
  <c r="BD35" i="10"/>
  <c r="BD36" i="10"/>
  <c r="BD37" i="10"/>
  <c r="BD38" i="10"/>
  <c r="BD39" i="10"/>
  <c r="BD40" i="10"/>
  <c r="BD41" i="10"/>
  <c r="BD42" i="10"/>
  <c r="BD43" i="10"/>
  <c r="BD44" i="10"/>
  <c r="BD45" i="10"/>
  <c r="BD46" i="10"/>
  <c r="BD47" i="10"/>
  <c r="BD48" i="10"/>
  <c r="BD49" i="10"/>
  <c r="BD50" i="10"/>
  <c r="BD51" i="10"/>
  <c r="BD52" i="10"/>
  <c r="BD53" i="10"/>
  <c r="BD54" i="10"/>
  <c r="BD55" i="10"/>
  <c r="BD56" i="10"/>
  <c r="BD57" i="10"/>
  <c r="BD58" i="10"/>
  <c r="BD59" i="10"/>
  <c r="BD60" i="10"/>
  <c r="BD61" i="10"/>
  <c r="BD62" i="10"/>
  <c r="BD63" i="10"/>
  <c r="BD64" i="10"/>
  <c r="BD65" i="10"/>
  <c r="BD66" i="10"/>
  <c r="BD67" i="10"/>
  <c r="BD68" i="10"/>
  <c r="BD69" i="10"/>
  <c r="BD70" i="10"/>
  <c r="BD71" i="10"/>
  <c r="BD72" i="10"/>
  <c r="BD73" i="10"/>
  <c r="BD74" i="10"/>
  <c r="BD75" i="10"/>
  <c r="BD76" i="10"/>
  <c r="BD77" i="10"/>
  <c r="BD78" i="10"/>
  <c r="BD79" i="10"/>
  <c r="BD80" i="10"/>
  <c r="BD81" i="10"/>
  <c r="BD82" i="10"/>
  <c r="BD83" i="10"/>
  <c r="BD84" i="10"/>
  <c r="BD85" i="10"/>
  <c r="BD86" i="10"/>
  <c r="BD87" i="10"/>
  <c r="BD88" i="10"/>
  <c r="BD89" i="10"/>
  <c r="BD90" i="10"/>
  <c r="BD91" i="10"/>
  <c r="BD92" i="10"/>
  <c r="BD93" i="10"/>
  <c r="BD94" i="10"/>
  <c r="BD95" i="10"/>
  <c r="BD96" i="10"/>
  <c r="BD97" i="10"/>
  <c r="BD98" i="10"/>
  <c r="BD99" i="10"/>
  <c r="BD100" i="10"/>
  <c r="BD101" i="10"/>
  <c r="BD102" i="10"/>
  <c r="BD103" i="10"/>
  <c r="BD104" i="10"/>
  <c r="BD105" i="10"/>
  <c r="BD106" i="10"/>
  <c r="BD107" i="10"/>
  <c r="BD108" i="10"/>
  <c r="BD109" i="10"/>
  <c r="BD110" i="10"/>
  <c r="BD111" i="10"/>
  <c r="BD112" i="10"/>
  <c r="BD113" i="10"/>
  <c r="BD114" i="10"/>
  <c r="BD115" i="10"/>
  <c r="BD116" i="10"/>
  <c r="BD117" i="10"/>
  <c r="BD118" i="10"/>
  <c r="BD119" i="10"/>
  <c r="BD120" i="10"/>
  <c r="BD121" i="10"/>
  <c r="BD122" i="10"/>
  <c r="BD123" i="10"/>
  <c r="BD124" i="10"/>
  <c r="BD125" i="10"/>
  <c r="BD126" i="10"/>
  <c r="BD127" i="10"/>
  <c r="BD128" i="10"/>
  <c r="BD129" i="10"/>
  <c r="BD130" i="10"/>
  <c r="BD131" i="10"/>
  <c r="BD132" i="10"/>
  <c r="BD133" i="10"/>
  <c r="BD134" i="10"/>
  <c r="BD135" i="10"/>
  <c r="BD136" i="10"/>
  <c r="BD137" i="10"/>
  <c r="BD138" i="10"/>
  <c r="BD139" i="10"/>
  <c r="BD140" i="10"/>
  <c r="BD141" i="10"/>
  <c r="BD142" i="10"/>
  <c r="BD143" i="10"/>
  <c r="BD144" i="10"/>
  <c r="BD145" i="10"/>
  <c r="BD146" i="10"/>
  <c r="BD147" i="10"/>
  <c r="BD148" i="10"/>
  <c r="BD149" i="10"/>
  <c r="BD150" i="10"/>
  <c r="BD151" i="10"/>
  <c r="BD152" i="10"/>
  <c r="BD153" i="10"/>
  <c r="BD154" i="10"/>
  <c r="BD155" i="10"/>
  <c r="BD156" i="10"/>
  <c r="BD157" i="10"/>
  <c r="BD158" i="10"/>
  <c r="BD159" i="10"/>
  <c r="BD160" i="10"/>
  <c r="BD161" i="10"/>
  <c r="BD162" i="10"/>
  <c r="BD163" i="10"/>
  <c r="BD164" i="10"/>
  <c r="BD165" i="10"/>
  <c r="BD166" i="10"/>
  <c r="BD167" i="10"/>
  <c r="BD168" i="10"/>
  <c r="BD169" i="10"/>
  <c r="BD170" i="10"/>
  <c r="BD171" i="10"/>
  <c r="BD172" i="10"/>
  <c r="BD173" i="10"/>
  <c r="BD174" i="10"/>
  <c r="BD175" i="10"/>
  <c r="BD176" i="10"/>
  <c r="BD177" i="10"/>
  <c r="BD178" i="10"/>
  <c r="BD179" i="10"/>
  <c r="BD180" i="10"/>
  <c r="BD181" i="10"/>
  <c r="BD182" i="10"/>
  <c r="BD183" i="10"/>
  <c r="BD184" i="10"/>
  <c r="BD185" i="10"/>
  <c r="BD186" i="10"/>
  <c r="BD187" i="10"/>
  <c r="BD188" i="10"/>
  <c r="BD189" i="10"/>
  <c r="BD190" i="10"/>
  <c r="BD191" i="10"/>
  <c r="BD192" i="10"/>
  <c r="BD193" i="10"/>
  <c r="BD194" i="10"/>
  <c r="BD195" i="10"/>
  <c r="BD196" i="10"/>
  <c r="BD197" i="10"/>
  <c r="BD198" i="10"/>
  <c r="BD199" i="10"/>
  <c r="BD200" i="10"/>
  <c r="BD201" i="10"/>
  <c r="BD202" i="10"/>
  <c r="BD203" i="10"/>
  <c r="BD204" i="10"/>
  <c r="BD205" i="10"/>
  <c r="BD206" i="10"/>
  <c r="BD207" i="10"/>
  <c r="BD208" i="10"/>
  <c r="BD209" i="10"/>
  <c r="BD210" i="10"/>
  <c r="BD211" i="10"/>
  <c r="BD212" i="10"/>
  <c r="BD213" i="10"/>
  <c r="BD214" i="10"/>
  <c r="BD215" i="10"/>
  <c r="BD216" i="10"/>
  <c r="BD217" i="10"/>
  <c r="BD218" i="10"/>
  <c r="BD219" i="10"/>
  <c r="BD220" i="10"/>
  <c r="BD221" i="10"/>
  <c r="BD222" i="10"/>
  <c r="BD223" i="10"/>
  <c r="BD224" i="10"/>
  <c r="BD225" i="10"/>
  <c r="BD226" i="10"/>
  <c r="BD227" i="10"/>
  <c r="BD228" i="10"/>
  <c r="BD229" i="10"/>
  <c r="BD230" i="10"/>
  <c r="BD231" i="10"/>
  <c r="BD232" i="10"/>
  <c r="BD233" i="10"/>
  <c r="BD234" i="10"/>
  <c r="BD235" i="10"/>
  <c r="BD236" i="10"/>
  <c r="BD237" i="10"/>
  <c r="BD238" i="10"/>
  <c r="BD239" i="10"/>
  <c r="BD240" i="10"/>
  <c r="BD241" i="10"/>
  <c r="BD242" i="10"/>
  <c r="BD243" i="10"/>
  <c r="BD244" i="10"/>
  <c r="BD245" i="10"/>
  <c r="BD246" i="10"/>
  <c r="BD247" i="10"/>
  <c r="BD248" i="10"/>
  <c r="BD249" i="10"/>
  <c r="BD250" i="10"/>
  <c r="BD251" i="10"/>
  <c r="BD252" i="10"/>
  <c r="BD253" i="10"/>
  <c r="BD254" i="10"/>
  <c r="BD255" i="10"/>
  <c r="BJ32" i="10"/>
  <c r="BL32" i="10"/>
  <c r="BT4" i="10"/>
  <c r="BT5" i="10"/>
  <c r="BT6" i="10"/>
  <c r="BT7" i="10"/>
  <c r="BT8" i="10"/>
  <c r="BT9" i="10"/>
  <c r="BT10" i="10"/>
  <c r="BT11" i="10"/>
  <c r="BT12" i="10"/>
  <c r="BT13" i="10"/>
  <c r="BT14" i="10"/>
  <c r="BT15" i="10"/>
  <c r="BT16" i="10"/>
  <c r="BT17" i="10"/>
  <c r="BT18" i="10"/>
  <c r="BT19" i="10"/>
  <c r="BT20" i="10"/>
  <c r="BT21" i="10"/>
  <c r="BT22" i="10"/>
  <c r="BT23" i="10"/>
  <c r="BT24" i="10"/>
  <c r="BT25" i="10"/>
  <c r="BT26" i="10"/>
  <c r="BT27" i="10"/>
  <c r="BT28" i="10"/>
  <c r="BT29" i="10"/>
  <c r="BT30" i="10"/>
  <c r="BT31" i="10"/>
  <c r="BT32" i="10"/>
  <c r="BT33" i="10"/>
  <c r="BT34" i="10"/>
  <c r="BT35" i="10"/>
  <c r="BT36" i="10"/>
  <c r="BT37" i="10"/>
  <c r="BT38" i="10"/>
  <c r="BT39" i="10"/>
  <c r="BT40" i="10"/>
  <c r="BT41" i="10"/>
  <c r="BT42" i="10"/>
  <c r="BT43" i="10"/>
  <c r="BT44" i="10"/>
  <c r="BT45" i="10"/>
  <c r="BT46" i="10"/>
  <c r="BT47" i="10"/>
  <c r="BT48" i="10"/>
  <c r="BT49" i="10"/>
  <c r="BT50" i="10"/>
  <c r="BT51" i="10"/>
  <c r="BT52" i="10"/>
  <c r="BT53" i="10"/>
  <c r="BT54" i="10"/>
  <c r="BT55" i="10"/>
  <c r="BT56" i="10"/>
  <c r="BT57" i="10"/>
  <c r="BT58" i="10"/>
  <c r="BT59" i="10"/>
  <c r="BT60" i="10"/>
  <c r="BT61" i="10"/>
  <c r="BT62" i="10"/>
  <c r="BT63" i="10"/>
  <c r="BT64" i="10"/>
  <c r="BT65" i="10"/>
  <c r="BT66" i="10"/>
  <c r="BT67" i="10"/>
  <c r="BT68" i="10"/>
  <c r="BT69" i="10"/>
  <c r="BT70" i="10"/>
  <c r="BT71" i="10"/>
  <c r="BT72" i="10"/>
  <c r="BT73" i="10"/>
  <c r="BT74" i="10"/>
  <c r="BT75" i="10"/>
  <c r="BT76" i="10"/>
  <c r="BT77" i="10"/>
  <c r="BT78" i="10"/>
  <c r="BT79" i="10"/>
  <c r="BT80" i="10"/>
  <c r="BT81" i="10"/>
  <c r="BT82" i="10"/>
  <c r="BT83" i="10"/>
  <c r="BT84" i="10"/>
  <c r="BT85" i="10"/>
  <c r="BT86" i="10"/>
  <c r="BT87" i="10"/>
  <c r="BT88" i="10"/>
  <c r="BT89" i="10"/>
  <c r="BT90" i="10"/>
  <c r="BT91" i="10"/>
  <c r="BT92" i="10"/>
  <c r="BT93" i="10"/>
  <c r="BT94" i="10"/>
  <c r="BT95" i="10"/>
  <c r="BT96" i="10"/>
  <c r="BT97" i="10"/>
  <c r="BT98" i="10"/>
  <c r="BT99" i="10"/>
  <c r="BT100" i="10"/>
  <c r="BT101" i="10"/>
  <c r="BT102" i="10"/>
  <c r="BT103" i="10"/>
  <c r="BT104" i="10"/>
  <c r="BT105" i="10"/>
  <c r="BT106" i="10"/>
  <c r="BT107" i="10"/>
  <c r="BT108" i="10"/>
  <c r="BT109" i="10"/>
  <c r="BT110" i="10"/>
  <c r="BT111" i="10"/>
  <c r="BT112" i="10"/>
  <c r="BT113" i="10"/>
  <c r="BT114" i="10"/>
  <c r="BT115" i="10"/>
  <c r="BT116" i="10"/>
  <c r="BT117" i="10"/>
  <c r="BT118" i="10"/>
  <c r="BT119" i="10"/>
  <c r="BT120" i="10"/>
  <c r="BT121" i="10"/>
  <c r="BT122" i="10"/>
  <c r="BT123" i="10"/>
  <c r="BT124" i="10"/>
  <c r="BT125" i="10"/>
  <c r="BT126" i="10"/>
  <c r="BT127" i="10"/>
  <c r="BT128" i="10"/>
  <c r="BT129" i="10"/>
  <c r="BT130" i="10"/>
  <c r="BT131" i="10"/>
  <c r="BT132" i="10"/>
  <c r="BT133" i="10"/>
  <c r="BT134" i="10"/>
  <c r="BT135" i="10"/>
  <c r="BT136" i="10"/>
  <c r="BT137" i="10"/>
  <c r="BT138" i="10"/>
  <c r="BT139" i="10"/>
  <c r="BT140" i="10"/>
  <c r="BT141" i="10"/>
  <c r="BT142" i="10"/>
  <c r="BT143" i="10"/>
  <c r="BT144" i="10"/>
  <c r="BT145" i="10"/>
  <c r="BT146" i="10"/>
  <c r="BT147" i="10"/>
  <c r="BT148" i="10"/>
  <c r="BT149" i="10"/>
  <c r="BT150" i="10"/>
  <c r="BT151" i="10"/>
  <c r="BT152" i="10"/>
  <c r="BT153" i="10"/>
  <c r="BT154" i="10"/>
  <c r="BT155" i="10"/>
  <c r="BT156" i="10"/>
  <c r="BT157" i="10"/>
  <c r="BT158" i="10"/>
  <c r="BT159" i="10"/>
  <c r="BT160" i="10"/>
  <c r="BT161" i="10"/>
  <c r="BT162" i="10"/>
  <c r="BT163" i="10"/>
  <c r="BT164" i="10"/>
  <c r="BT165" i="10"/>
  <c r="BT166" i="10"/>
  <c r="BT167" i="10"/>
  <c r="BT168" i="10"/>
  <c r="BT169" i="10"/>
  <c r="BT170" i="10"/>
  <c r="BT171" i="10"/>
  <c r="BT172" i="10"/>
  <c r="BT173" i="10"/>
  <c r="BT174" i="10"/>
  <c r="BT175" i="10"/>
  <c r="BT176" i="10"/>
  <c r="BT177" i="10"/>
  <c r="BT178" i="10"/>
  <c r="BT179" i="10"/>
  <c r="BT180" i="10"/>
  <c r="BT181" i="10"/>
  <c r="BT182" i="10"/>
  <c r="BT183" i="10"/>
  <c r="BT184" i="10"/>
  <c r="BT185" i="10"/>
  <c r="BT186" i="10"/>
  <c r="BT187" i="10"/>
  <c r="BT188" i="10"/>
  <c r="BT189" i="10"/>
  <c r="BT190" i="10"/>
  <c r="BT191" i="10"/>
  <c r="BT192" i="10"/>
  <c r="BT193" i="10"/>
  <c r="BT194" i="10"/>
  <c r="BT195" i="10"/>
  <c r="BT196" i="10"/>
  <c r="BT197" i="10"/>
  <c r="BT198" i="10"/>
  <c r="BT199" i="10"/>
  <c r="BT200" i="10"/>
  <c r="BT201" i="10"/>
  <c r="BT202" i="10"/>
  <c r="BT203" i="10"/>
  <c r="BT204" i="10"/>
  <c r="BT205" i="10"/>
  <c r="BT206" i="10"/>
  <c r="BT207" i="10"/>
  <c r="BT208" i="10"/>
  <c r="BT209" i="10"/>
  <c r="BT210" i="10"/>
  <c r="BT211" i="10"/>
  <c r="BT212" i="10"/>
  <c r="BT213" i="10"/>
  <c r="BT214" i="10"/>
  <c r="BT215" i="10"/>
  <c r="BT216" i="10"/>
  <c r="BT217" i="10"/>
  <c r="BT218" i="10"/>
  <c r="BT219" i="10"/>
  <c r="BT220" i="10"/>
  <c r="BT221" i="10"/>
  <c r="BT222" i="10"/>
  <c r="BT223" i="10"/>
  <c r="BT224" i="10"/>
  <c r="BT225" i="10"/>
  <c r="BT226" i="10"/>
  <c r="BT227" i="10"/>
  <c r="BT228" i="10"/>
  <c r="BT229" i="10"/>
  <c r="BT230" i="10"/>
  <c r="BT231" i="10"/>
  <c r="BT232" i="10"/>
  <c r="BT233" i="10"/>
  <c r="BT234" i="10"/>
  <c r="BT235" i="10"/>
  <c r="BT236" i="10"/>
  <c r="BT237" i="10"/>
  <c r="BT238" i="10"/>
  <c r="BT239" i="10"/>
  <c r="BT240" i="10"/>
  <c r="BT241" i="10"/>
  <c r="BT242" i="10"/>
  <c r="BT243" i="10"/>
  <c r="BT244" i="10"/>
  <c r="BT245" i="10"/>
  <c r="BT246" i="10"/>
  <c r="BT247" i="10"/>
  <c r="BT248" i="10"/>
  <c r="BT249" i="10"/>
  <c r="BT250" i="10"/>
  <c r="BT251" i="10"/>
  <c r="BT252" i="10"/>
  <c r="BT253" i="10"/>
  <c r="BT254" i="10"/>
  <c r="BT255" i="10"/>
  <c r="BM143" i="4" l="1"/>
  <c r="BM74" i="4"/>
  <c r="BM215" i="4"/>
  <c r="BM83" i="4"/>
  <c r="BM191" i="4"/>
  <c r="BM242" i="4"/>
  <c r="BM119" i="4"/>
  <c r="BM179" i="4"/>
  <c r="BM164" i="4"/>
  <c r="BM92" i="4"/>
  <c r="BM104" i="4"/>
  <c r="BM243" i="4"/>
  <c r="BA85" i="4"/>
  <c r="AT85" i="4"/>
  <c r="BA163" i="4"/>
  <c r="AT163" i="4"/>
  <c r="BM161" i="4"/>
  <c r="BM251" i="4"/>
  <c r="BM128" i="4"/>
  <c r="BF108" i="4"/>
  <c r="BM108" i="4" s="1"/>
  <c r="BU25" i="4"/>
  <c r="BU61" i="4"/>
  <c r="BU97" i="4"/>
  <c r="BU32" i="4"/>
  <c r="BU248" i="4"/>
  <c r="BU70" i="4"/>
  <c r="BU20" i="4"/>
  <c r="BU128" i="4"/>
  <c r="BU236" i="4"/>
  <c r="BU40" i="4"/>
  <c r="BU112" i="4"/>
  <c r="BU80" i="4"/>
  <c r="BU188" i="4"/>
  <c r="BA199" i="4"/>
  <c r="AT199" i="4"/>
  <c r="BM199" i="4" s="1"/>
  <c r="BM107" i="4"/>
  <c r="BM116" i="4"/>
  <c r="BM218" i="4"/>
  <c r="BM197" i="4"/>
  <c r="BM188" i="4"/>
  <c r="BM122" i="4"/>
  <c r="BU88" i="4"/>
  <c r="BU196" i="4"/>
  <c r="BU254" i="4"/>
  <c r="BU166" i="4"/>
  <c r="BM212" i="4"/>
  <c r="BF173" i="4"/>
  <c r="BM173" i="4" s="1"/>
  <c r="BM236" i="4"/>
  <c r="BM194" i="4"/>
  <c r="AL158" i="4"/>
  <c r="BM158" i="4" s="1"/>
  <c r="BM80" i="4"/>
  <c r="BM206" i="4"/>
  <c r="BM44" i="4"/>
  <c r="BM34" i="4"/>
  <c r="BU68" i="4"/>
  <c r="BU176" i="4"/>
  <c r="BU164" i="4"/>
  <c r="BU76" i="4"/>
  <c r="BU184" i="4"/>
  <c r="BU116" i="4"/>
  <c r="BM125" i="4"/>
  <c r="AL68" i="4"/>
  <c r="BA13" i="4"/>
  <c r="BF13" i="4" s="1"/>
  <c r="BM13" i="4" s="1"/>
  <c r="AT13" i="4"/>
  <c r="BA235" i="4"/>
  <c r="BF235" i="4" s="1"/>
  <c r="BM235" i="4" s="1"/>
  <c r="AT235" i="4"/>
  <c r="BU100" i="4"/>
  <c r="BM230" i="4"/>
  <c r="BM170" i="4"/>
  <c r="BM200" i="4"/>
  <c r="BM17" i="4"/>
  <c r="BM56" i="4"/>
  <c r="BM155" i="4"/>
  <c r="BM209" i="4"/>
  <c r="BM20" i="4"/>
  <c r="BM140" i="4"/>
  <c r="BM50" i="4"/>
  <c r="BF213" i="4"/>
  <c r="BM213" i="4" s="1"/>
  <c r="BU7" i="4"/>
  <c r="BU43" i="4"/>
  <c r="BU79" i="4"/>
  <c r="BU86" i="4"/>
  <c r="BU194" i="4"/>
  <c r="BU124" i="4"/>
  <c r="BU232" i="4"/>
  <c r="BU98" i="4"/>
  <c r="BA49" i="4"/>
  <c r="AT49" i="4"/>
  <c r="AL211" i="4"/>
  <c r="BM250" i="4"/>
  <c r="BM106" i="4"/>
  <c r="BM207" i="4"/>
  <c r="BM228" i="4"/>
  <c r="BM86" i="4"/>
  <c r="BF163" i="4"/>
  <c r="BM163" i="4" s="1"/>
  <c r="BF33" i="4"/>
  <c r="BM33" i="4" s="1"/>
  <c r="BU13" i="4"/>
  <c r="BU49" i="4"/>
  <c r="BU85" i="4"/>
  <c r="BF29" i="4"/>
  <c r="BM29" i="4" s="1"/>
  <c r="BA19" i="4"/>
  <c r="BF19" i="4" s="1"/>
  <c r="AT19" i="4"/>
  <c r="BA55" i="4"/>
  <c r="BF55" i="4" s="1"/>
  <c r="AT55" i="4"/>
  <c r="BA97" i="4"/>
  <c r="BF97" i="4" s="1"/>
  <c r="AT97" i="4"/>
  <c r="BM97" i="4" s="1"/>
  <c r="BA133" i="4"/>
  <c r="BF133" i="4" s="1"/>
  <c r="AT133" i="4"/>
  <c r="BA169" i="4"/>
  <c r="BF169" i="4" s="1"/>
  <c r="AT169" i="4"/>
  <c r="BA205" i="4"/>
  <c r="BF205" i="4" s="1"/>
  <c r="AT205" i="4"/>
  <c r="BM205" i="4" s="1"/>
  <c r="BA241" i="4"/>
  <c r="BF241" i="4" s="1"/>
  <c r="AT241" i="4"/>
  <c r="BF85" i="4"/>
  <c r="BM85" i="4" s="1"/>
  <c r="BF199" i="4"/>
  <c r="BF152" i="4"/>
  <c r="BM152" i="4" s="1"/>
  <c r="BF69" i="4"/>
  <c r="BM69" i="4" s="1"/>
  <c r="BU19" i="4"/>
  <c r="BU55" i="4"/>
  <c r="BU91" i="4"/>
  <c r="BU103" i="4"/>
  <c r="BU115" i="4"/>
  <c r="BU127" i="4"/>
  <c r="BU139" i="4"/>
  <c r="BU151" i="4"/>
  <c r="BU163" i="4"/>
  <c r="BU175" i="4"/>
  <c r="BU187" i="4"/>
  <c r="BU199" i="4"/>
  <c r="BU211" i="4"/>
  <c r="BU223" i="4"/>
  <c r="BU235" i="4"/>
  <c r="BU247" i="4"/>
  <c r="BM38" i="4"/>
  <c r="BM68" i="4"/>
  <c r="BF65" i="4"/>
  <c r="BM65" i="4" s="1"/>
  <c r="BA25" i="4"/>
  <c r="BF25" i="4" s="1"/>
  <c r="AT25" i="4"/>
  <c r="BA61" i="4"/>
  <c r="BF61" i="4" s="1"/>
  <c r="AT61" i="4"/>
  <c r="BM61" i="4" s="1"/>
  <c r="BA103" i="4"/>
  <c r="BF103" i="4" s="1"/>
  <c r="BM103" i="4" s="1"/>
  <c r="AT103" i="4"/>
  <c r="BA139" i="4"/>
  <c r="BF139" i="4" s="1"/>
  <c r="AT139" i="4"/>
  <c r="BM139" i="4" s="1"/>
  <c r="BA175" i="4"/>
  <c r="BF175" i="4" s="1"/>
  <c r="AT175" i="4"/>
  <c r="BM175" i="4" s="1"/>
  <c r="BA211" i="4"/>
  <c r="BF211" i="4" s="1"/>
  <c r="AT211" i="4"/>
  <c r="BA247" i="4"/>
  <c r="BF247" i="4" s="1"/>
  <c r="AT247" i="4"/>
  <c r="BM247" i="4" s="1"/>
  <c r="BF219" i="4"/>
  <c r="BM219" i="4" s="1"/>
  <c r="BF105" i="4"/>
  <c r="BM105" i="4" s="1"/>
  <c r="BA31" i="4"/>
  <c r="BF31" i="4" s="1"/>
  <c r="AT31" i="4"/>
  <c r="BA67" i="4"/>
  <c r="BF67" i="4" s="1"/>
  <c r="AT67" i="4"/>
  <c r="BA109" i="4"/>
  <c r="BF109" i="4" s="1"/>
  <c r="AT109" i="4"/>
  <c r="BM109" i="4" s="1"/>
  <c r="BA145" i="4"/>
  <c r="BF145" i="4" s="1"/>
  <c r="AT145" i="4"/>
  <c r="BA181" i="4"/>
  <c r="BF181" i="4" s="1"/>
  <c r="AT181" i="4"/>
  <c r="BA217" i="4"/>
  <c r="BF217" i="4" s="1"/>
  <c r="AT217" i="4"/>
  <c r="BM217" i="4" s="1"/>
  <c r="BA253" i="4"/>
  <c r="BF253" i="4" s="1"/>
  <c r="AT253" i="4"/>
  <c r="BF49" i="4"/>
  <c r="BM49" i="4" s="1"/>
  <c r="BF91" i="4"/>
  <c r="BM91" i="4" s="1"/>
  <c r="BF141" i="4"/>
  <c r="BM141" i="4" s="1"/>
  <c r="BU31" i="4"/>
  <c r="BU67" i="4"/>
  <c r="BU50" i="4"/>
  <c r="BM134" i="4"/>
  <c r="BF101" i="4"/>
  <c r="BM101" i="4" s="1"/>
  <c r="BM214" i="4"/>
  <c r="BA37" i="4"/>
  <c r="BF37" i="4" s="1"/>
  <c r="AT37" i="4"/>
  <c r="BM37" i="4" s="1"/>
  <c r="BA73" i="4"/>
  <c r="BF73" i="4" s="1"/>
  <c r="AT73" i="4"/>
  <c r="BM73" i="4" s="1"/>
  <c r="BA115" i="4"/>
  <c r="BF115" i="4" s="1"/>
  <c r="AT115" i="4"/>
  <c r="BM115" i="4" s="1"/>
  <c r="BA151" i="4"/>
  <c r="BF151" i="4" s="1"/>
  <c r="AT151" i="4"/>
  <c r="BM151" i="4" s="1"/>
  <c r="BA187" i="4"/>
  <c r="BF187" i="4" s="1"/>
  <c r="AT187" i="4"/>
  <c r="BM187" i="4" s="1"/>
  <c r="BA223" i="4"/>
  <c r="BF223" i="4" s="1"/>
  <c r="AT223" i="4"/>
  <c r="BM223" i="4" s="1"/>
  <c r="BF127" i="4"/>
  <c r="BM127" i="4" s="1"/>
  <c r="BF180" i="4"/>
  <c r="BM180" i="4" s="1"/>
  <c r="BF177" i="4"/>
  <c r="BM177" i="4" s="1"/>
  <c r="BU37" i="4"/>
  <c r="BU73" i="4"/>
  <c r="BU109" i="4"/>
  <c r="BU121" i="4"/>
  <c r="BU133" i="4"/>
  <c r="BU145" i="4"/>
  <c r="BU157" i="4"/>
  <c r="BU169" i="4"/>
  <c r="BU181" i="4"/>
  <c r="BU193" i="4"/>
  <c r="BU205" i="4"/>
  <c r="BU217" i="4"/>
  <c r="BU229" i="4"/>
  <c r="BU241" i="4"/>
  <c r="BU253" i="4"/>
  <c r="BM110" i="4"/>
  <c r="BF137" i="4"/>
  <c r="BM137" i="4" s="1"/>
  <c r="BM118" i="4"/>
  <c r="BA7" i="4"/>
  <c r="BF7" i="4" s="1"/>
  <c r="AT7" i="4"/>
  <c r="BA43" i="4"/>
  <c r="BF43" i="4" s="1"/>
  <c r="AT43" i="4"/>
  <c r="BM43" i="4" s="1"/>
  <c r="BA79" i="4"/>
  <c r="BF79" i="4" s="1"/>
  <c r="AT79" i="4"/>
  <c r="BA121" i="4"/>
  <c r="BF121" i="4" s="1"/>
  <c r="AT121" i="4"/>
  <c r="BA157" i="4"/>
  <c r="BF157" i="4" s="1"/>
  <c r="AT157" i="4"/>
  <c r="BM157" i="4" s="1"/>
  <c r="BA193" i="4"/>
  <c r="BF193" i="4" s="1"/>
  <c r="AT193" i="4"/>
  <c r="BA229" i="4"/>
  <c r="BF229" i="4" s="1"/>
  <c r="BM229" i="4" s="1"/>
  <c r="AT229" i="4"/>
  <c r="AT251" i="10"/>
  <c r="AR119" i="10"/>
  <c r="AW39" i="1"/>
  <c r="BD39" i="4" s="1"/>
  <c r="BE39" i="4" s="1"/>
  <c r="BF39" i="4" s="1"/>
  <c r="BM39" i="4" s="1"/>
  <c r="AW99" i="1"/>
  <c r="BD99" i="4" s="1"/>
  <c r="BE99" i="4" s="1"/>
  <c r="BF99" i="4" s="1"/>
  <c r="BM99" i="4" s="1"/>
  <c r="AW123" i="1"/>
  <c r="BD123" i="4" s="1"/>
  <c r="BE123" i="4" s="1"/>
  <c r="BF123" i="4" s="1"/>
  <c r="BM123" i="4" s="1"/>
  <c r="AW153" i="1"/>
  <c r="BD153" i="4" s="1"/>
  <c r="BE153" i="4" s="1"/>
  <c r="BF153" i="4" s="1"/>
  <c r="BM153" i="4" s="1"/>
  <c r="AW183" i="1"/>
  <c r="BD183" i="4" s="1"/>
  <c r="BE183" i="4" s="1"/>
  <c r="BF183" i="4" s="1"/>
  <c r="BM183" i="4" s="1"/>
  <c r="AW189" i="1"/>
  <c r="BD189" i="4" s="1"/>
  <c r="BE189" i="4" s="1"/>
  <c r="BF189" i="4" s="1"/>
  <c r="BM189" i="4" s="1"/>
  <c r="AU185" i="10"/>
  <c r="AT185" i="10"/>
  <c r="AR53" i="10"/>
  <c r="AW63" i="1"/>
  <c r="BD63" i="4" s="1"/>
  <c r="BE63" i="4" s="1"/>
  <c r="BF63" i="4" s="1"/>
  <c r="BM63" i="4" s="1"/>
  <c r="AW111" i="1"/>
  <c r="BD111" i="4" s="1"/>
  <c r="BE111" i="4" s="1"/>
  <c r="BF111" i="4" s="1"/>
  <c r="BM111" i="4" s="1"/>
  <c r="AW117" i="1"/>
  <c r="BD117" i="4" s="1"/>
  <c r="BE117" i="4" s="1"/>
  <c r="BF117" i="4" s="1"/>
  <c r="BM117" i="4" s="1"/>
  <c r="AW147" i="1"/>
  <c r="BD147" i="4" s="1"/>
  <c r="BE147" i="4" s="1"/>
  <c r="BF147" i="4" s="1"/>
  <c r="BM147" i="4" s="1"/>
  <c r="AZ227" i="10"/>
  <c r="AT119" i="10"/>
  <c r="AW27" i="1"/>
  <c r="BD27" i="4" s="1"/>
  <c r="BE27" i="4" s="1"/>
  <c r="BF27" i="4" s="1"/>
  <c r="BM27" i="4" s="1"/>
  <c r="AW57" i="1"/>
  <c r="BD57" i="4" s="1"/>
  <c r="BE57" i="4" s="1"/>
  <c r="BF57" i="4" s="1"/>
  <c r="BM57" i="4" s="1"/>
  <c r="AW93" i="1"/>
  <c r="BD93" i="4" s="1"/>
  <c r="BE93" i="4" s="1"/>
  <c r="BF93" i="4" s="1"/>
  <c r="BM93" i="4" s="1"/>
  <c r="AW237" i="1"/>
  <c r="BD237" i="4" s="1"/>
  <c r="BE237" i="4" s="1"/>
  <c r="BF237" i="4" s="1"/>
  <c r="BM237" i="4" s="1"/>
  <c r="AW249" i="1"/>
  <c r="BD249" i="4" s="1"/>
  <c r="BE249" i="4" s="1"/>
  <c r="BF249" i="4" s="1"/>
  <c r="BM249" i="4" s="1"/>
  <c r="AZ161" i="10"/>
  <c r="AU53" i="10"/>
  <c r="AT53" i="10"/>
  <c r="AW15" i="1"/>
  <c r="BD15" i="4" s="1"/>
  <c r="BE15" i="4" s="1"/>
  <c r="BF15" i="4" s="1"/>
  <c r="BM15" i="4" s="1"/>
  <c r="AW21" i="1"/>
  <c r="BD21" i="4" s="1"/>
  <c r="BE21" i="4" s="1"/>
  <c r="BF21" i="4" s="1"/>
  <c r="BM21" i="4" s="1"/>
  <c r="AW51" i="1"/>
  <c r="BD51" i="4" s="1"/>
  <c r="BE51" i="4" s="1"/>
  <c r="BF51" i="4" s="1"/>
  <c r="BM51" i="4" s="1"/>
  <c r="AW87" i="1"/>
  <c r="BD87" i="4" s="1"/>
  <c r="BE87" i="4" s="1"/>
  <c r="BF87" i="4" s="1"/>
  <c r="BM87" i="4" s="1"/>
  <c r="AW165" i="1"/>
  <c r="BD165" i="4" s="1"/>
  <c r="BE165" i="4" s="1"/>
  <c r="BF165" i="4" s="1"/>
  <c r="BM165" i="4" s="1"/>
  <c r="AW171" i="1"/>
  <c r="BD171" i="4" s="1"/>
  <c r="BE171" i="4" s="1"/>
  <c r="BF171" i="4" s="1"/>
  <c r="BM171" i="4" s="1"/>
  <c r="AW201" i="1"/>
  <c r="BD201" i="4" s="1"/>
  <c r="BE201" i="4" s="1"/>
  <c r="BF201" i="4" s="1"/>
  <c r="BM201" i="4" s="1"/>
  <c r="AW231" i="1"/>
  <c r="BD231" i="4" s="1"/>
  <c r="BE231" i="4" s="1"/>
  <c r="BF231" i="4" s="1"/>
  <c r="BM231" i="4" s="1"/>
  <c r="AW255" i="1"/>
  <c r="BD255" i="4" s="1"/>
  <c r="BE255" i="4" s="1"/>
  <c r="BF255" i="4" s="1"/>
  <c r="BM255" i="4" s="1"/>
  <c r="AZ95" i="10"/>
  <c r="AU251" i="10"/>
  <c r="AW9" i="1"/>
  <c r="BD9" i="4" s="1"/>
  <c r="BE9" i="4" s="1"/>
  <c r="BF9" i="4" s="1"/>
  <c r="BM9" i="4" s="1"/>
  <c r="AW129" i="1"/>
  <c r="BD129" i="4" s="1"/>
  <c r="BE129" i="4" s="1"/>
  <c r="BF129" i="4" s="1"/>
  <c r="BM129" i="4" s="1"/>
  <c r="AW135" i="1"/>
  <c r="BD135" i="4" s="1"/>
  <c r="BE135" i="4" s="1"/>
  <c r="BF135" i="4" s="1"/>
  <c r="BM135" i="4" s="1"/>
  <c r="AZ117" i="10"/>
  <c r="AU207" i="10"/>
  <c r="AT141" i="10"/>
  <c r="BA207" i="10"/>
  <c r="AR141" i="10"/>
  <c r="AZ249" i="10"/>
  <c r="AZ51" i="10"/>
  <c r="AX33" i="10"/>
  <c r="AU9" i="10"/>
  <c r="AT75" i="10"/>
  <c r="AU75" i="10"/>
  <c r="AR75" i="10"/>
  <c r="U75" i="10"/>
  <c r="AZ183" i="10"/>
  <c r="AU141" i="10"/>
  <c r="AT207" i="10"/>
  <c r="AT9" i="10"/>
  <c r="BA235" i="10"/>
  <c r="BA229" i="10"/>
  <c r="AZ205" i="10"/>
  <c r="AZ139" i="10"/>
  <c r="AZ73" i="10"/>
  <c r="AZ7" i="10"/>
  <c r="AX55" i="10"/>
  <c r="AU229" i="10"/>
  <c r="AU163" i="10"/>
  <c r="AU97" i="10"/>
  <c r="AU31" i="10"/>
  <c r="AT229" i="10"/>
  <c r="AT163" i="10"/>
  <c r="AT97" i="10"/>
  <c r="AT31" i="10"/>
  <c r="AR229" i="10"/>
  <c r="AR163" i="10"/>
  <c r="AR97" i="10"/>
  <c r="AR31" i="10"/>
  <c r="AP228" i="10"/>
  <c r="AU186" i="10"/>
  <c r="AR252" i="10"/>
  <c r="AR230" i="10"/>
  <c r="AR208" i="10"/>
  <c r="AR186" i="10"/>
  <c r="AR164" i="10"/>
  <c r="AR142" i="10"/>
  <c r="AR120" i="10"/>
  <c r="AR98" i="10"/>
  <c r="AR76" i="10"/>
  <c r="AR54" i="10"/>
  <c r="AR32" i="10"/>
  <c r="AR10" i="10"/>
  <c r="AU253" i="10"/>
  <c r="AU231" i="10"/>
  <c r="AU209" i="10"/>
  <c r="AU187" i="10"/>
  <c r="AU165" i="10"/>
  <c r="AU143" i="10"/>
  <c r="AU121" i="10"/>
  <c r="AU99" i="10"/>
  <c r="AU77" i="10"/>
  <c r="AU55" i="10"/>
  <c r="AU33" i="10"/>
  <c r="AU11" i="10"/>
  <c r="AT253" i="10"/>
  <c r="AT231" i="10"/>
  <c r="AT209" i="10"/>
  <c r="AT187" i="10"/>
  <c r="AT165" i="10"/>
  <c r="AT143" i="10"/>
  <c r="AT121" i="10"/>
  <c r="AT99" i="10"/>
  <c r="AT77" i="10"/>
  <c r="AT55" i="10"/>
  <c r="AT33" i="10"/>
  <c r="AT11" i="10"/>
  <c r="AT252" i="10"/>
  <c r="AT230" i="10"/>
  <c r="AT208" i="10"/>
  <c r="AT186" i="10"/>
  <c r="AT164" i="10"/>
  <c r="AT142" i="10"/>
  <c r="AT120" i="10"/>
  <c r="AT98" i="10"/>
  <c r="AT76" i="10"/>
  <c r="AT54" i="10"/>
  <c r="AT32" i="10"/>
  <c r="AT10" i="10"/>
  <c r="BB110" i="10"/>
  <c r="BA125" i="10"/>
  <c r="BA147" i="10"/>
  <c r="BA59" i="10"/>
  <c r="BA169" i="10"/>
  <c r="BA81" i="10"/>
  <c r="BA15" i="10"/>
  <c r="AP227" i="10"/>
  <c r="AP205" i="10"/>
  <c r="AP139" i="10"/>
  <c r="BA191" i="10"/>
  <c r="BA213" i="10"/>
  <c r="BA103" i="10"/>
  <c r="BA37" i="10"/>
  <c r="AY251" i="10"/>
  <c r="AY229" i="10"/>
  <c r="AY207" i="10"/>
  <c r="AY185" i="10"/>
  <c r="AY163" i="10"/>
  <c r="AY141" i="10"/>
  <c r="AY119" i="10"/>
  <c r="AY97" i="10"/>
  <c r="AY75" i="10"/>
  <c r="AY53" i="10"/>
  <c r="AY31" i="10"/>
  <c r="AY9" i="10"/>
  <c r="AP183" i="10"/>
  <c r="AS162" i="10"/>
  <c r="AS160" i="10"/>
  <c r="AP206" i="10"/>
  <c r="AP184" i="10"/>
  <c r="AP162" i="10"/>
  <c r="AP118" i="10"/>
  <c r="AP74" i="10"/>
  <c r="AP30" i="10"/>
  <c r="U191" i="10"/>
  <c r="W125" i="10"/>
  <c r="W15" i="10"/>
  <c r="AS50" i="10"/>
  <c r="S185" i="10"/>
  <c r="V117" i="10"/>
  <c r="T29" i="10"/>
  <c r="V252" i="10"/>
  <c r="V230" i="10"/>
  <c r="V208" i="10"/>
  <c r="V186" i="10"/>
  <c r="V164" i="10"/>
  <c r="V142" i="10"/>
  <c r="V120" i="10"/>
  <c r="V98" i="10"/>
  <c r="V76" i="10"/>
  <c r="V54" i="10"/>
  <c r="V32" i="10"/>
  <c r="V10" i="10"/>
  <c r="T183" i="10"/>
  <c r="T117" i="10"/>
  <c r="V95" i="10"/>
  <c r="AU250" i="10"/>
  <c r="AU228" i="10"/>
  <c r="AU206" i="10"/>
  <c r="AU184" i="10"/>
  <c r="AU162" i="10"/>
  <c r="AU140" i="10"/>
  <c r="AU118" i="10"/>
  <c r="AU96" i="10"/>
  <c r="AU74" i="10"/>
  <c r="AU52" i="10"/>
  <c r="AU30" i="10"/>
  <c r="AU8" i="10"/>
  <c r="AS106" i="10"/>
  <c r="AQ162" i="10"/>
  <c r="AQ118" i="10"/>
  <c r="AP96" i="10"/>
  <c r="AQ52" i="10"/>
  <c r="U45" i="10"/>
  <c r="BB216" i="10"/>
  <c r="BB150" i="10"/>
  <c r="AA141" i="10"/>
  <c r="AX249" i="10"/>
  <c r="AX227" i="10"/>
  <c r="AX205" i="10"/>
  <c r="AX183" i="10"/>
  <c r="AX161" i="10"/>
  <c r="AX139" i="10"/>
  <c r="AX117" i="10"/>
  <c r="AX95" i="10"/>
  <c r="AX73" i="10"/>
  <c r="AX51" i="10"/>
  <c r="AX29" i="10"/>
  <c r="AX7" i="10"/>
  <c r="AQ182" i="10"/>
  <c r="AA250" i="10"/>
  <c r="AA228" i="10"/>
  <c r="AA206" i="10"/>
  <c r="AA184" i="10"/>
  <c r="AA162" i="10"/>
  <c r="AA140" i="10"/>
  <c r="AA118" i="10"/>
  <c r="AA96" i="10"/>
  <c r="AA74" i="10"/>
  <c r="AA52" i="10"/>
  <c r="AA30" i="10"/>
  <c r="AA8" i="10"/>
  <c r="AZ250" i="10"/>
  <c r="AZ228" i="10"/>
  <c r="AZ206" i="10"/>
  <c r="AZ184" i="10"/>
  <c r="AZ162" i="10"/>
  <c r="AZ140" i="10"/>
  <c r="AZ118" i="10"/>
  <c r="AZ96" i="10"/>
  <c r="AZ74" i="10"/>
  <c r="AZ52" i="10"/>
  <c r="AZ30" i="10"/>
  <c r="AZ8" i="10"/>
  <c r="AA183" i="10"/>
  <c r="AA161" i="10"/>
  <c r="AA117" i="10"/>
  <c r="BB115" i="10"/>
  <c r="BB5" i="10"/>
  <c r="BB169" i="10"/>
  <c r="AP120" i="10"/>
  <c r="U228" i="10"/>
  <c r="U162" i="10"/>
  <c r="U140" i="10"/>
  <c r="U118" i="10"/>
  <c r="U96" i="10"/>
  <c r="U30" i="10"/>
  <c r="AT140" i="10"/>
  <c r="BB38" i="10"/>
  <c r="BB58" i="10"/>
  <c r="AQ4" i="10"/>
  <c r="S227" i="10"/>
  <c r="AS161" i="10"/>
  <c r="BB7" i="10"/>
  <c r="U184" i="10"/>
  <c r="U74" i="10"/>
  <c r="U52" i="10"/>
  <c r="U8" i="10"/>
  <c r="AT250" i="10"/>
  <c r="AT228" i="10"/>
  <c r="AT184" i="10"/>
  <c r="AT118" i="10"/>
  <c r="AT74" i="10"/>
  <c r="AT30" i="10"/>
  <c r="AS52" i="10"/>
  <c r="AS35" i="10"/>
  <c r="AT206" i="10"/>
  <c r="AT162" i="10"/>
  <c r="AT96" i="10"/>
  <c r="AT52" i="10"/>
  <c r="AT8" i="10"/>
  <c r="AS8" i="10"/>
  <c r="AW250" i="10"/>
  <c r="AW228" i="10"/>
  <c r="AW206" i="10"/>
  <c r="AW184" i="10"/>
  <c r="AW162" i="10"/>
  <c r="AW140" i="10"/>
  <c r="AW118" i="10"/>
  <c r="AW96" i="10"/>
  <c r="AW74" i="10"/>
  <c r="AW52" i="10"/>
  <c r="AW30" i="10"/>
  <c r="AW8" i="10"/>
  <c r="AR249" i="10"/>
  <c r="AR227" i="10"/>
  <c r="AR205" i="10"/>
  <c r="AR183" i="10"/>
  <c r="AR161" i="10"/>
  <c r="AR139" i="10"/>
  <c r="AR117" i="10"/>
  <c r="AR95" i="10"/>
  <c r="AR73" i="10"/>
  <c r="AR51" i="10"/>
  <c r="AR29" i="10"/>
  <c r="AR7" i="10"/>
  <c r="AP29" i="10"/>
  <c r="Y53" i="10"/>
  <c r="AS224" i="10"/>
  <c r="AQ16" i="10"/>
  <c r="AS65" i="10"/>
  <c r="AS51" i="10"/>
  <c r="U206" i="10"/>
  <c r="AS211" i="10"/>
  <c r="AS117" i="10"/>
  <c r="U250" i="10"/>
  <c r="AY162" i="10"/>
  <c r="AY140" i="10"/>
  <c r="AY118" i="10"/>
  <c r="AY96" i="10"/>
  <c r="AY74" i="10"/>
  <c r="AY52" i="10"/>
  <c r="AY30" i="10"/>
  <c r="AY8" i="10"/>
  <c r="AQ170" i="10"/>
  <c r="AB53" i="10"/>
  <c r="AQ55" i="10"/>
  <c r="AP55" i="10"/>
  <c r="AP143" i="10"/>
  <c r="BB11" i="10"/>
  <c r="AP253" i="10"/>
  <c r="AQ253" i="10"/>
  <c r="AP187" i="10"/>
  <c r="AP121" i="10"/>
  <c r="AP33" i="10"/>
  <c r="BB151" i="10"/>
  <c r="BB149" i="10"/>
  <c r="AS217" i="10"/>
  <c r="BB255" i="10"/>
  <c r="BB165" i="10"/>
  <c r="BB164" i="10"/>
  <c r="BB98" i="10"/>
  <c r="BB215" i="10"/>
  <c r="BB193" i="10"/>
  <c r="BB171" i="10"/>
  <c r="AP173" i="10"/>
  <c r="BB214" i="10"/>
  <c r="BB60" i="10"/>
  <c r="BB16" i="10"/>
  <c r="BB249" i="10"/>
  <c r="BB205" i="10"/>
  <c r="AS143" i="10"/>
  <c r="BB203" i="10"/>
  <c r="AR251" i="10"/>
  <c r="AS251" i="10"/>
  <c r="AW234" i="10"/>
  <c r="AW212" i="10"/>
  <c r="AW190" i="10"/>
  <c r="AW168" i="10"/>
  <c r="AW146" i="10"/>
  <c r="AW124" i="10"/>
  <c r="AW102" i="10"/>
  <c r="AW80" i="10"/>
  <c r="AW58" i="10"/>
  <c r="AS109" i="10"/>
  <c r="AP51" i="10"/>
  <c r="AQ176" i="10"/>
  <c r="AQ154" i="10"/>
  <c r="AP88" i="10"/>
  <c r="AQ66" i="10"/>
  <c r="AQ44" i="10"/>
  <c r="BB182" i="10"/>
  <c r="BB160" i="10"/>
  <c r="BB116" i="10"/>
  <c r="BB28" i="10"/>
  <c r="AS171" i="10"/>
  <c r="AS17" i="10"/>
  <c r="BB225" i="10"/>
  <c r="BB137" i="10"/>
  <c r="BB27" i="10"/>
  <c r="X179" i="10"/>
  <c r="AB69" i="10"/>
  <c r="V47" i="10"/>
  <c r="AQ147" i="10"/>
  <c r="AQ15" i="10"/>
  <c r="AQ255" i="10"/>
  <c r="AQ145" i="10"/>
  <c r="AQ79" i="10"/>
  <c r="BB114" i="10"/>
  <c r="BB92" i="10"/>
  <c r="BB168" i="10"/>
  <c r="BB124" i="10"/>
  <c r="BB36" i="10"/>
  <c r="AS156" i="10"/>
  <c r="AP134" i="10"/>
  <c r="AS78" i="10"/>
  <c r="AS242" i="10"/>
  <c r="BB176" i="10"/>
  <c r="AS22" i="10"/>
  <c r="BB230" i="10"/>
  <c r="BB142" i="10"/>
  <c r="BB245" i="10"/>
  <c r="AS223" i="10"/>
  <c r="AP45" i="10"/>
  <c r="BB143" i="10"/>
  <c r="BB175" i="10"/>
  <c r="AS163" i="10"/>
  <c r="AS141" i="10"/>
  <c r="AS239" i="10"/>
  <c r="AS195" i="10"/>
  <c r="BB129" i="10"/>
  <c r="AS85" i="10"/>
  <c r="AS249" i="10"/>
  <c r="AS205" i="10"/>
  <c r="BB183" i="10"/>
  <c r="BB161" i="10"/>
  <c r="AS139" i="10"/>
  <c r="BB117" i="10"/>
  <c r="AS73" i="10"/>
  <c r="BB51" i="10"/>
  <c r="BB29" i="10"/>
  <c r="AS7" i="10"/>
  <c r="BB148" i="10"/>
  <c r="R221" i="10"/>
  <c r="X177" i="10"/>
  <c r="V155" i="10"/>
  <c r="Y23" i="10"/>
  <c r="AQ151" i="10"/>
  <c r="BB147" i="10"/>
  <c r="AS179" i="10"/>
  <c r="AS113" i="10"/>
  <c r="AQ194" i="10"/>
  <c r="AQ106" i="10"/>
  <c r="AS112" i="10"/>
  <c r="BB154" i="10"/>
  <c r="AS76" i="10"/>
  <c r="AS54" i="10"/>
  <c r="BB10" i="10"/>
  <c r="AS218" i="10"/>
  <c r="AS196" i="10"/>
  <c r="BB228" i="10"/>
  <c r="AS74" i="10"/>
  <c r="AB167" i="10"/>
  <c r="AA57" i="10"/>
  <c r="BB191" i="10"/>
  <c r="AP157" i="10"/>
  <c r="BB189" i="10"/>
  <c r="AS79" i="10"/>
  <c r="AS133" i="10"/>
  <c r="BB33" i="10"/>
  <c r="AS241" i="10"/>
  <c r="BB141" i="10"/>
  <c r="AQ122" i="10"/>
  <c r="AS194" i="10"/>
  <c r="BB172" i="10"/>
  <c r="AS84" i="10"/>
  <c r="AQ250" i="10"/>
  <c r="AP140" i="10"/>
  <c r="AQ96" i="10"/>
  <c r="AQ74" i="10"/>
  <c r="AP52" i="10"/>
  <c r="AP8" i="10"/>
  <c r="AQ249" i="10"/>
  <c r="AP182" i="10"/>
  <c r="AP94" i="10"/>
  <c r="U203" i="10"/>
  <c r="X93" i="10"/>
  <c r="AA27" i="10"/>
  <c r="AB5" i="10"/>
  <c r="AS189" i="10"/>
  <c r="AA231" i="10"/>
  <c r="Y165" i="10"/>
  <c r="W99" i="10"/>
  <c r="AB11" i="10"/>
  <c r="AA11" i="10"/>
  <c r="W237" i="10"/>
  <c r="U215" i="10"/>
  <c r="R171" i="10"/>
  <c r="V105" i="10"/>
  <c r="AB83" i="10"/>
  <c r="R39" i="10"/>
  <c r="T17" i="10"/>
  <c r="U239" i="10"/>
  <c r="AB173" i="10"/>
  <c r="T129" i="10"/>
  <c r="X107" i="10"/>
  <c r="Y63" i="10"/>
  <c r="AA251" i="10"/>
  <c r="U207" i="10"/>
  <c r="W185" i="10"/>
  <c r="AB141" i="10"/>
  <c r="U119" i="10"/>
  <c r="W75" i="10"/>
  <c r="W9" i="10"/>
  <c r="T161" i="10"/>
  <c r="W117" i="10"/>
  <c r="U117" i="10"/>
  <c r="R219" i="10"/>
  <c r="AB197" i="10"/>
  <c r="Y153" i="10"/>
  <c r="S131" i="10"/>
  <c r="X65" i="10"/>
  <c r="Y21" i="10"/>
  <c r="AS238" i="10"/>
  <c r="AS183" i="10"/>
  <c r="AQ201" i="10"/>
  <c r="AP179" i="10"/>
  <c r="AP91" i="10"/>
  <c r="AQ47" i="10"/>
  <c r="AS175" i="10"/>
  <c r="BB153" i="10"/>
  <c r="AS153" i="10"/>
  <c r="BB21" i="10"/>
  <c r="AS21" i="10"/>
  <c r="AS229" i="10"/>
  <c r="BB207" i="10"/>
  <c r="AS207" i="10"/>
  <c r="BB185" i="10"/>
  <c r="BB163" i="10"/>
  <c r="AS119" i="10"/>
  <c r="AS97" i="10"/>
  <c r="BB75" i="10"/>
  <c r="BB53" i="10"/>
  <c r="AS31" i="10"/>
  <c r="U249" i="10"/>
  <c r="W249" i="10"/>
  <c r="Y249" i="10"/>
  <c r="W227" i="10"/>
  <c r="U227" i="10"/>
  <c r="Y183" i="10"/>
  <c r="V183" i="10"/>
  <c r="W183" i="10"/>
  <c r="X183" i="10"/>
  <c r="S183" i="10"/>
  <c r="U183" i="10"/>
  <c r="U161" i="10"/>
  <c r="Y95" i="10"/>
  <c r="AB51" i="10"/>
  <c r="V51" i="10"/>
  <c r="X29" i="10"/>
  <c r="S29" i="10"/>
  <c r="AA29" i="10"/>
  <c r="AP178" i="10"/>
  <c r="BB174" i="10"/>
  <c r="BB64" i="10"/>
  <c r="BB20" i="10"/>
  <c r="R250" i="10"/>
  <c r="BB250" i="10"/>
  <c r="R228" i="10"/>
  <c r="AS228" i="10"/>
  <c r="R206" i="10"/>
  <c r="BB206" i="10"/>
  <c r="AS206" i="10"/>
  <c r="R162" i="10"/>
  <c r="BB162" i="10"/>
  <c r="R140" i="10"/>
  <c r="AS140" i="10"/>
  <c r="R118" i="10"/>
  <c r="AS118" i="10"/>
  <c r="R96" i="10"/>
  <c r="AS96" i="10"/>
  <c r="BB96" i="10"/>
  <c r="R74" i="10"/>
  <c r="BB74" i="10"/>
  <c r="R52" i="10"/>
  <c r="BB52" i="10"/>
  <c r="R30" i="10"/>
  <c r="BB30" i="10"/>
  <c r="AS30" i="10"/>
  <c r="AQ155" i="10"/>
  <c r="AQ23" i="10"/>
  <c r="AQ188" i="10"/>
  <c r="BB248" i="10"/>
  <c r="AS248" i="10"/>
  <c r="BB226" i="10"/>
  <c r="AS226" i="10"/>
  <c r="AS204" i="10"/>
  <c r="BB138" i="10"/>
  <c r="AS138" i="10"/>
  <c r="BB94" i="10"/>
  <c r="AS94" i="10"/>
  <c r="BB72" i="10"/>
  <c r="AS72" i="10"/>
  <c r="BB6" i="10"/>
  <c r="AS6" i="10"/>
  <c r="AP199" i="10"/>
  <c r="AS41" i="10"/>
  <c r="AS227" i="10"/>
  <c r="BB227" i="10"/>
  <c r="BB218" i="10"/>
  <c r="AY214" i="10"/>
  <c r="AY170" i="10"/>
  <c r="AY126" i="10"/>
  <c r="AY82" i="10"/>
  <c r="AY38" i="10"/>
  <c r="AY16" i="10"/>
  <c r="AQ110" i="10"/>
  <c r="AQ65" i="10"/>
  <c r="AS127" i="10"/>
  <c r="BB127" i="10"/>
  <c r="BB105" i="10"/>
  <c r="BB181" i="10"/>
  <c r="AS181" i="10"/>
  <c r="AS93" i="10"/>
  <c r="BB93" i="10"/>
  <c r="AP244" i="10"/>
  <c r="AP200" i="10"/>
  <c r="AP156" i="10"/>
  <c r="AP24" i="10"/>
  <c r="AQ24" i="10"/>
  <c r="R184" i="10"/>
  <c r="BB184" i="10"/>
  <c r="BB118" i="10"/>
  <c r="AQ243" i="10"/>
  <c r="AQ177" i="10"/>
  <c r="AS95" i="10"/>
  <c r="BB95" i="10"/>
  <c r="BB219" i="10"/>
  <c r="AY236" i="10"/>
  <c r="AY192" i="10"/>
  <c r="AY148" i="10"/>
  <c r="AY104" i="10"/>
  <c r="AY60" i="10"/>
  <c r="BB8" i="10"/>
  <c r="BB224" i="10"/>
  <c r="BB158" i="10"/>
  <c r="BB48" i="10"/>
  <c r="BB26" i="10"/>
  <c r="AS4" i="10"/>
  <c r="AS40" i="10"/>
  <c r="BB40" i="10"/>
  <c r="AS250" i="10"/>
  <c r="AS90" i="10"/>
  <c r="BB86" i="10"/>
  <c r="BB242" i="10"/>
  <c r="AS137" i="10"/>
  <c r="AQ6" i="10"/>
  <c r="AP176" i="10"/>
  <c r="BB140" i="10"/>
  <c r="AS244" i="10"/>
  <c r="AQ88" i="10"/>
  <c r="AP73" i="10"/>
  <c r="BB234" i="10"/>
  <c r="AS146" i="10"/>
  <c r="BB102" i="10"/>
  <c r="AS36" i="10"/>
  <c r="BB139" i="10"/>
  <c r="AP117" i="10"/>
  <c r="AP7" i="10"/>
  <c r="AS255" i="10"/>
  <c r="AY133" i="10"/>
  <c r="AY67" i="10"/>
  <c r="AS134" i="10"/>
  <c r="AS24" i="10"/>
  <c r="AP226" i="10"/>
  <c r="AQ226" i="10"/>
  <c r="AP204" i="10"/>
  <c r="AQ204" i="10"/>
  <c r="AP116" i="10"/>
  <c r="AP72" i="10"/>
  <c r="AQ72" i="10"/>
  <c r="BB136" i="10"/>
  <c r="BB212" i="10"/>
  <c r="AS124" i="10"/>
  <c r="AS46" i="10"/>
  <c r="AS232" i="10"/>
  <c r="BB210" i="10"/>
  <c r="BB188" i="10"/>
  <c r="AS122" i="10"/>
  <c r="AQ12" i="10"/>
  <c r="AS142" i="10"/>
  <c r="AY111" i="10"/>
  <c r="AY45" i="10"/>
  <c r="BB179" i="10"/>
  <c r="BB73" i="10"/>
  <c r="AS185" i="10"/>
  <c r="AQ197" i="10"/>
  <c r="AP66" i="10"/>
  <c r="AQ225" i="10"/>
  <c r="AP93" i="10"/>
  <c r="BB213" i="10"/>
  <c r="BB81" i="10"/>
  <c r="BB201" i="10"/>
  <c r="AS47" i="10"/>
  <c r="AS123" i="10"/>
  <c r="AS155" i="10"/>
  <c r="AS89" i="10"/>
  <c r="AS45" i="10"/>
  <c r="AS253" i="10"/>
  <c r="BB231" i="10"/>
  <c r="BB209" i="10"/>
  <c r="BB187" i="10"/>
  <c r="AS165" i="10"/>
  <c r="BB121" i="10"/>
  <c r="BB77" i="10"/>
  <c r="BB55" i="10"/>
  <c r="AS33" i="10"/>
  <c r="AS11" i="10"/>
  <c r="AB95" i="10"/>
  <c r="AS29" i="10"/>
  <c r="BB239" i="10"/>
  <c r="BB31" i="10"/>
  <c r="AY89" i="10"/>
  <c r="AY23" i="10"/>
  <c r="BB229" i="10"/>
  <c r="BB71" i="10"/>
  <c r="BB17" i="10"/>
  <c r="AS184" i="10"/>
  <c r="AS75" i="10"/>
  <c r="AP224" i="10"/>
  <c r="AP26" i="10"/>
  <c r="BB198" i="10"/>
  <c r="AS88" i="10"/>
  <c r="BB66" i="10"/>
  <c r="BB22" i="10"/>
  <c r="AS252" i="10"/>
  <c r="BB252" i="10"/>
  <c r="AS230" i="10"/>
  <c r="BB208" i="10"/>
  <c r="BB186" i="10"/>
  <c r="BB120" i="10"/>
  <c r="AS98" i="10"/>
  <c r="BB76" i="10"/>
  <c r="BB54" i="10"/>
  <c r="BB14" i="10"/>
  <c r="AU249" i="10"/>
  <c r="AU227" i="10"/>
  <c r="AU205" i="10"/>
  <c r="AU183" i="10"/>
  <c r="AU161" i="10"/>
  <c r="AU139" i="10"/>
  <c r="AU117" i="10"/>
  <c r="AU95" i="10"/>
  <c r="AU73" i="10"/>
  <c r="AU51" i="10"/>
  <c r="AU29" i="10"/>
  <c r="AU7" i="10"/>
  <c r="AP161" i="10"/>
  <c r="W245" i="10"/>
  <c r="U201" i="10"/>
  <c r="W135" i="10"/>
  <c r="Y159" i="10"/>
  <c r="BB146" i="10"/>
  <c r="AQ140" i="10"/>
  <c r="BB178" i="10"/>
  <c r="AS178" i="10"/>
  <c r="BB103" i="10"/>
  <c r="V209" i="10"/>
  <c r="Y143" i="10"/>
  <c r="X143" i="10"/>
  <c r="R77" i="10"/>
  <c r="X33" i="10"/>
  <c r="AS236" i="10"/>
  <c r="BB222" i="10"/>
  <c r="BB221" i="10"/>
  <c r="BB111" i="10"/>
  <c r="AP250" i="10"/>
  <c r="BB46" i="10"/>
  <c r="AP249" i="10"/>
  <c r="AP59" i="10"/>
  <c r="AP95" i="10"/>
  <c r="AS192" i="10"/>
  <c r="AS170" i="10"/>
  <c r="AS148" i="10"/>
  <c r="AS38" i="10"/>
  <c r="AS16" i="10"/>
  <c r="X59" i="10"/>
  <c r="AS213" i="10"/>
  <c r="AS191" i="10"/>
  <c r="AS169" i="10"/>
  <c r="AS147" i="10"/>
  <c r="AS81" i="10"/>
  <c r="AS59" i="10"/>
  <c r="AS37" i="10"/>
  <c r="AS15" i="10"/>
  <c r="BB157" i="10"/>
  <c r="BB113" i="10"/>
  <c r="BB91" i="10"/>
  <c r="BB69" i="10"/>
  <c r="BB25" i="10"/>
  <c r="BB236" i="10"/>
  <c r="BB244" i="10"/>
  <c r="BB200" i="10"/>
  <c r="BB156" i="10"/>
  <c r="BB134" i="10"/>
  <c r="BB90" i="10"/>
  <c r="BB24" i="10"/>
  <c r="BB235" i="10"/>
  <c r="BB199" i="10"/>
  <c r="BB177" i="10"/>
  <c r="BB155" i="10"/>
  <c r="BB89" i="10"/>
  <c r="BB67" i="10"/>
  <c r="BB45" i="10"/>
  <c r="BB23" i="10"/>
  <c r="BB126" i="10"/>
  <c r="AS200" i="10"/>
  <c r="BA236" i="10"/>
  <c r="BA214" i="10"/>
  <c r="BA192" i="10"/>
  <c r="BA170" i="10"/>
  <c r="BA148" i="10"/>
  <c r="BA126" i="10"/>
  <c r="BA104" i="10"/>
  <c r="BA82" i="10"/>
  <c r="BA60" i="10"/>
  <c r="BA38" i="10"/>
  <c r="BA16" i="10"/>
  <c r="AY234" i="10"/>
  <c r="AY212" i="10"/>
  <c r="AY190" i="10"/>
  <c r="AY168" i="10"/>
  <c r="AY146" i="10"/>
  <c r="AY124" i="10"/>
  <c r="AY102" i="10"/>
  <c r="AY80" i="10"/>
  <c r="AY58" i="10"/>
  <c r="AY36" i="10"/>
  <c r="AY14" i="10"/>
  <c r="V255" i="10"/>
  <c r="R233" i="10"/>
  <c r="T189" i="10"/>
  <c r="T123" i="10"/>
  <c r="R101" i="10"/>
  <c r="R35" i="10"/>
  <c r="AT249" i="10"/>
  <c r="AT205" i="10"/>
  <c r="AT183" i="10"/>
  <c r="AT161" i="10"/>
  <c r="AT139" i="10"/>
  <c r="AT117" i="10"/>
  <c r="AT95" i="10"/>
  <c r="AT73" i="10"/>
  <c r="AT51" i="10"/>
  <c r="AT29" i="10"/>
  <c r="AT7" i="10"/>
  <c r="S53" i="10"/>
  <c r="AT227" i="10"/>
  <c r="AW249" i="10"/>
  <c r="AW227" i="10"/>
  <c r="AW205" i="10"/>
  <c r="AW183" i="10"/>
  <c r="AW161" i="10"/>
  <c r="AW139" i="10"/>
  <c r="AW117" i="10"/>
  <c r="AW95" i="10"/>
  <c r="AW73" i="10"/>
  <c r="AW51" i="10"/>
  <c r="AW29" i="10"/>
  <c r="AW7" i="10"/>
  <c r="W162" i="10"/>
  <c r="W140" i="10"/>
  <c r="W118" i="10"/>
  <c r="W96" i="10"/>
  <c r="W74" i="10"/>
  <c r="W52" i="10"/>
  <c r="W30" i="10"/>
  <c r="W8" i="10"/>
  <c r="AW254" i="10"/>
  <c r="AW232" i="10"/>
  <c r="AW210" i="10"/>
  <c r="AW188" i="10"/>
  <c r="AW166" i="10"/>
  <c r="AW144" i="10"/>
  <c r="AW122" i="10"/>
  <c r="AW100" i="10"/>
  <c r="AW78" i="10"/>
  <c r="AW56" i="10"/>
  <c r="AW34" i="10"/>
  <c r="AW12" i="10"/>
  <c r="AW253" i="10"/>
  <c r="AW231" i="10"/>
  <c r="AW209" i="10"/>
  <c r="AW187" i="10"/>
  <c r="AW165" i="10"/>
  <c r="AW143" i="10"/>
  <c r="AW121" i="10"/>
  <c r="AW99" i="10"/>
  <c r="AW77" i="10"/>
  <c r="AW55" i="10"/>
  <c r="AW33" i="10"/>
  <c r="AW11" i="10"/>
  <c r="BA253" i="10"/>
  <c r="BA187" i="10"/>
  <c r="BA143" i="10"/>
  <c r="BA99" i="10"/>
  <c r="BA55" i="10"/>
  <c r="BA11" i="10"/>
  <c r="BA230" i="10"/>
  <c r="BA186" i="10"/>
  <c r="BA142" i="10"/>
  <c r="BA98" i="10"/>
  <c r="BA32" i="10"/>
  <c r="BA185" i="10"/>
  <c r="BA163" i="10"/>
  <c r="BA141" i="10"/>
  <c r="BA119" i="10"/>
  <c r="BA97" i="10"/>
  <c r="BA75" i="10"/>
  <c r="BA53" i="10"/>
  <c r="BA31" i="10"/>
  <c r="BA9" i="10"/>
  <c r="AY249" i="10"/>
  <c r="AY227" i="10"/>
  <c r="AY205" i="10"/>
  <c r="AY183" i="10"/>
  <c r="AY161" i="10"/>
  <c r="AY139" i="10"/>
  <c r="AY117" i="10"/>
  <c r="AY95" i="10"/>
  <c r="AY73" i="10"/>
  <c r="AY51" i="10"/>
  <c r="AY29" i="10"/>
  <c r="AY7" i="10"/>
  <c r="W165" i="10"/>
  <c r="R227" i="10"/>
  <c r="BA162" i="10"/>
  <c r="BA140" i="10"/>
  <c r="BA118" i="10"/>
  <c r="BA96" i="10"/>
  <c r="BA74" i="10"/>
  <c r="BA52" i="10"/>
  <c r="BA30" i="10"/>
  <c r="BA8" i="10"/>
  <c r="W95" i="10"/>
  <c r="R141" i="10"/>
  <c r="BA231" i="10"/>
  <c r="BA209" i="10"/>
  <c r="BA165" i="10"/>
  <c r="BA121" i="10"/>
  <c r="BA77" i="10"/>
  <c r="BA33" i="10"/>
  <c r="S33" i="10"/>
  <c r="BA252" i="10"/>
  <c r="BA208" i="10"/>
  <c r="BA164" i="10"/>
  <c r="BA120" i="10"/>
  <c r="BA76" i="10"/>
  <c r="BA54" i="10"/>
  <c r="BA10" i="10"/>
  <c r="BA251" i="10"/>
  <c r="BA249" i="10"/>
  <c r="BA227" i="10"/>
  <c r="BA205" i="10"/>
  <c r="BA183" i="10"/>
  <c r="BA161" i="10"/>
  <c r="BA139" i="10"/>
  <c r="BA117" i="10"/>
  <c r="BA95" i="10"/>
  <c r="BA73" i="10"/>
  <c r="BA51" i="10"/>
  <c r="BA29" i="10"/>
  <c r="BA7" i="10"/>
  <c r="AO249" i="10"/>
  <c r="AO227" i="10"/>
  <c r="AO205" i="10"/>
  <c r="AO183" i="10"/>
  <c r="AO161" i="10"/>
  <c r="AO139" i="10"/>
  <c r="AO117" i="10"/>
  <c r="AO95" i="10"/>
  <c r="AO73" i="10"/>
  <c r="AO51" i="10"/>
  <c r="AO29" i="10"/>
  <c r="AO7" i="10"/>
  <c r="AB249" i="10"/>
  <c r="W29" i="10"/>
  <c r="R95" i="10"/>
  <c r="AQ30" i="10"/>
  <c r="AQ8" i="10"/>
  <c r="AB162" i="10"/>
  <c r="AB140" i="10"/>
  <c r="AB118" i="10"/>
  <c r="AB96" i="10"/>
  <c r="AB74" i="10"/>
  <c r="AB52" i="10"/>
  <c r="AB30" i="10"/>
  <c r="AB8" i="10"/>
  <c r="AB227" i="10"/>
  <c r="V227" i="10"/>
  <c r="R75" i="10"/>
  <c r="AZ253" i="10"/>
  <c r="AZ231" i="10"/>
  <c r="AZ209" i="10"/>
  <c r="AZ187" i="10"/>
  <c r="AZ165" i="10"/>
  <c r="AZ143" i="10"/>
  <c r="AZ121" i="10"/>
  <c r="AZ99" i="10"/>
  <c r="AZ77" i="10"/>
  <c r="AZ55" i="10"/>
  <c r="AZ33" i="10"/>
  <c r="AZ11" i="10"/>
  <c r="AZ252" i="10"/>
  <c r="AZ230" i="10"/>
  <c r="AZ208" i="10"/>
  <c r="AZ186" i="10"/>
  <c r="AZ164" i="10"/>
  <c r="AZ142" i="10"/>
  <c r="AZ120" i="10"/>
  <c r="AZ98" i="10"/>
  <c r="AZ76" i="10"/>
  <c r="AZ54" i="10"/>
  <c r="AZ32" i="10"/>
  <c r="AZ10" i="10"/>
  <c r="BB253" i="10"/>
  <c r="T35" i="10"/>
  <c r="BB32" i="10"/>
  <c r="AA77" i="10"/>
  <c r="BB251" i="10"/>
  <c r="BB119" i="10"/>
  <c r="BB97" i="10"/>
  <c r="BB9" i="10"/>
  <c r="AR253" i="10"/>
  <c r="AR231" i="10"/>
  <c r="AR209" i="10"/>
  <c r="AR187" i="10"/>
  <c r="AR165" i="10"/>
  <c r="AR143" i="10"/>
  <c r="AA53" i="10"/>
  <c r="V9" i="10"/>
  <c r="R53" i="10"/>
  <c r="BA215" i="10"/>
  <c r="BA149" i="10"/>
  <c r="BA61" i="10"/>
  <c r="BA237" i="10"/>
  <c r="BA171" i="10"/>
  <c r="BA39" i="10"/>
  <c r="BA193" i="10"/>
  <c r="BA127" i="10"/>
  <c r="BA105" i="10"/>
  <c r="BA17" i="10"/>
  <c r="AY253" i="10"/>
  <c r="AY231" i="10"/>
  <c r="AY209" i="10"/>
  <c r="AY187" i="10"/>
  <c r="AY165" i="10"/>
  <c r="AY143" i="10"/>
  <c r="AY121" i="10"/>
  <c r="AY99" i="10"/>
  <c r="AY77" i="10"/>
  <c r="AY55" i="10"/>
  <c r="AY33" i="10"/>
  <c r="AY11" i="10"/>
  <c r="AW251" i="10"/>
  <c r="AW229" i="10"/>
  <c r="AW207" i="10"/>
  <c r="AW185" i="10"/>
  <c r="AW163" i="10"/>
  <c r="AW141" i="10"/>
  <c r="AW119" i="10"/>
  <c r="AW97" i="10"/>
  <c r="AW75" i="10"/>
  <c r="AW53" i="10"/>
  <c r="AW31" i="10"/>
  <c r="AW9" i="10"/>
  <c r="Y11" i="10"/>
  <c r="U53" i="10"/>
  <c r="BA83" i="10"/>
  <c r="AY254" i="10"/>
  <c r="AY232" i="10"/>
  <c r="AY210" i="10"/>
  <c r="AY188" i="10"/>
  <c r="AY166" i="10"/>
  <c r="AY144" i="10"/>
  <c r="AY122" i="10"/>
  <c r="AY100" i="10"/>
  <c r="AY78" i="10"/>
  <c r="BA254" i="10"/>
  <c r="BA232" i="10"/>
  <c r="BA210" i="10"/>
  <c r="BA188" i="10"/>
  <c r="BA166" i="10"/>
  <c r="BA144" i="10"/>
  <c r="BA122" i="10"/>
  <c r="BA100" i="10"/>
  <c r="BA78" i="10"/>
  <c r="BA56" i="10"/>
  <c r="BA34" i="10"/>
  <c r="BA12" i="10"/>
  <c r="AY252" i="10"/>
  <c r="AY230" i="10"/>
  <c r="AY208" i="10"/>
  <c r="AY186" i="10"/>
  <c r="AY164" i="10"/>
  <c r="AY142" i="10"/>
  <c r="AY120" i="10"/>
  <c r="AY98" i="10"/>
  <c r="AY76" i="10"/>
  <c r="Y9" i="10"/>
  <c r="T231" i="10"/>
  <c r="AZ160" i="10"/>
  <c r="AZ50" i="10"/>
  <c r="AX180" i="10"/>
  <c r="AX70" i="10"/>
  <c r="AX4" i="10"/>
  <c r="AU178" i="10"/>
  <c r="AU46" i="10"/>
  <c r="AZ247" i="10"/>
  <c r="AZ137" i="10"/>
  <c r="AZ27" i="10"/>
  <c r="AX179" i="10"/>
  <c r="AX69" i="10"/>
  <c r="AU221" i="10"/>
  <c r="AU89" i="10"/>
  <c r="AU23" i="10"/>
  <c r="BB50" i="10"/>
  <c r="AZ224" i="10"/>
  <c r="AZ92" i="10"/>
  <c r="AX244" i="10"/>
  <c r="AX112" i="10"/>
  <c r="AX24" i="10"/>
  <c r="AZ223" i="10"/>
  <c r="AZ135" i="10"/>
  <c r="AZ25" i="10"/>
  <c r="AX155" i="10"/>
  <c r="AX45" i="10"/>
  <c r="R47" i="10"/>
  <c r="BB223" i="10"/>
  <c r="BB135" i="10"/>
  <c r="BB47" i="10"/>
  <c r="BA255" i="10"/>
  <c r="BA233" i="10"/>
  <c r="BA211" i="10"/>
  <c r="BA189" i="10"/>
  <c r="BA167" i="10"/>
  <c r="BA145" i="10"/>
  <c r="BA123" i="10"/>
  <c r="BA101" i="10"/>
  <c r="BA79" i="10"/>
  <c r="BA57" i="10"/>
  <c r="BA35" i="10"/>
  <c r="BA13" i="10"/>
  <c r="AZ243" i="10"/>
  <c r="AZ221" i="10"/>
  <c r="AZ199" i="10"/>
  <c r="AZ177" i="10"/>
  <c r="AZ155" i="10"/>
  <c r="AZ133" i="10"/>
  <c r="AZ111" i="10"/>
  <c r="AZ89" i="10"/>
  <c r="AZ67" i="10"/>
  <c r="AZ45" i="10"/>
  <c r="AZ23" i="10"/>
  <c r="AX241" i="10"/>
  <c r="AX219" i="10"/>
  <c r="AX197" i="10"/>
  <c r="AX175" i="10"/>
  <c r="AX153" i="10"/>
  <c r="AX131" i="10"/>
  <c r="AX109" i="10"/>
  <c r="AX87" i="10"/>
  <c r="AX65" i="10"/>
  <c r="AX43" i="10"/>
  <c r="AX21" i="10"/>
  <c r="R23" i="10"/>
  <c r="AZ226" i="10"/>
  <c r="AZ116" i="10"/>
  <c r="AX224" i="10"/>
  <c r="AX202" i="10"/>
  <c r="AX114" i="10"/>
  <c r="AX26" i="10"/>
  <c r="AU244" i="10"/>
  <c r="AU156" i="10"/>
  <c r="AU68" i="10"/>
  <c r="AZ203" i="10"/>
  <c r="AZ93" i="10"/>
  <c r="AX245" i="10"/>
  <c r="AX157" i="10"/>
  <c r="AX47" i="10"/>
  <c r="AU199" i="10"/>
  <c r="AU111" i="10"/>
  <c r="AU45" i="10"/>
  <c r="AZ202" i="10"/>
  <c r="AZ114" i="10"/>
  <c r="AZ26" i="10"/>
  <c r="AX156" i="10"/>
  <c r="AZ201" i="10"/>
  <c r="AZ113" i="10"/>
  <c r="AX243" i="10"/>
  <c r="AX133" i="10"/>
  <c r="BB112" i="10"/>
  <c r="BB243" i="10"/>
  <c r="AY250" i="10"/>
  <c r="AY228" i="10"/>
  <c r="AY206" i="10"/>
  <c r="AY184" i="10"/>
  <c r="W250" i="10"/>
  <c r="W228" i="10"/>
  <c r="W206" i="10"/>
  <c r="W184" i="10"/>
  <c r="AZ204" i="10"/>
  <c r="AZ94" i="10"/>
  <c r="AZ6" i="10"/>
  <c r="AX158" i="10"/>
  <c r="AX48" i="10"/>
  <c r="AU222" i="10"/>
  <c r="AU112" i="10"/>
  <c r="AA47" i="10"/>
  <c r="AZ181" i="10"/>
  <c r="AZ71" i="10"/>
  <c r="AX223" i="10"/>
  <c r="AX135" i="10"/>
  <c r="AX25" i="10"/>
  <c r="AU155" i="10"/>
  <c r="AZ246" i="10"/>
  <c r="AZ158" i="10"/>
  <c r="AZ48" i="10"/>
  <c r="AX222" i="10"/>
  <c r="AX134" i="10"/>
  <c r="AX46" i="10"/>
  <c r="BB247" i="10"/>
  <c r="BB159" i="10"/>
  <c r="BB49" i="10"/>
  <c r="AZ245" i="10"/>
  <c r="AZ157" i="10"/>
  <c r="AZ47" i="10"/>
  <c r="AX199" i="10"/>
  <c r="AX111" i="10"/>
  <c r="AX23" i="10"/>
  <c r="BB133" i="10"/>
  <c r="X209" i="10"/>
  <c r="AZ182" i="10"/>
  <c r="AZ72" i="10"/>
  <c r="AX246" i="10"/>
  <c r="AX136" i="10"/>
  <c r="AU134" i="10"/>
  <c r="AU24" i="10"/>
  <c r="AZ225" i="10"/>
  <c r="AZ115" i="10"/>
  <c r="AZ5" i="10"/>
  <c r="AX113" i="10"/>
  <c r="AU243" i="10"/>
  <c r="AU133" i="10"/>
  <c r="BB204" i="10"/>
  <c r="AZ180" i="10"/>
  <c r="AZ70" i="10"/>
  <c r="AZ4" i="10"/>
  <c r="AX200" i="10"/>
  <c r="AX90" i="10"/>
  <c r="AZ69" i="10"/>
  <c r="AX221" i="10"/>
  <c r="AX89" i="10"/>
  <c r="BB68" i="10"/>
  <c r="BA250" i="10"/>
  <c r="BA228" i="10"/>
  <c r="BA206" i="10"/>
  <c r="BA184" i="10"/>
  <c r="AZ248" i="10"/>
  <c r="AZ138" i="10"/>
  <c r="AZ28" i="10"/>
  <c r="AX92" i="10"/>
  <c r="AU200" i="10"/>
  <c r="AU90" i="10"/>
  <c r="AZ159" i="10"/>
  <c r="AZ49" i="10"/>
  <c r="AX201" i="10"/>
  <c r="AX91" i="10"/>
  <c r="AU177" i="10"/>
  <c r="AU67" i="10"/>
  <c r="AZ136" i="10"/>
  <c r="AX178" i="10"/>
  <c r="AX68" i="10"/>
  <c r="AZ179" i="10"/>
  <c r="AZ91" i="10"/>
  <c r="AX177" i="10"/>
  <c r="AX67" i="10"/>
  <c r="AQ228" i="10"/>
  <c r="AQ206" i="10"/>
  <c r="AQ184" i="10"/>
  <c r="AB250" i="10"/>
  <c r="AB228" i="10"/>
  <c r="AB206" i="10"/>
  <c r="AB184" i="10"/>
  <c r="Y29" i="10"/>
  <c r="V29" i="10"/>
  <c r="S51" i="10"/>
  <c r="AB117" i="10"/>
  <c r="X249" i="10"/>
  <c r="U167" i="10"/>
  <c r="R161" i="10"/>
  <c r="AA227" i="10"/>
  <c r="X51" i="10"/>
  <c r="T99" i="10"/>
  <c r="AR250" i="10"/>
  <c r="AR228" i="10"/>
  <c r="AR206" i="10"/>
  <c r="AR184" i="10"/>
  <c r="AR162" i="10"/>
  <c r="AR140" i="10"/>
  <c r="AR118" i="10"/>
  <c r="AR96" i="10"/>
  <c r="AR74" i="10"/>
  <c r="AR52" i="10"/>
  <c r="AR30" i="10"/>
  <c r="AR8" i="10"/>
  <c r="S252" i="10"/>
  <c r="S230" i="10"/>
  <c r="S208" i="10"/>
  <c r="S186" i="10"/>
  <c r="S164" i="10"/>
  <c r="S142" i="10"/>
  <c r="S120" i="10"/>
  <c r="S98" i="10"/>
  <c r="S76" i="10"/>
  <c r="S54" i="10"/>
  <c r="S32" i="10"/>
  <c r="S10" i="10"/>
  <c r="AA51" i="10"/>
  <c r="W51" i="10"/>
  <c r="T51" i="10"/>
  <c r="S250" i="10"/>
  <c r="S228" i="10"/>
  <c r="S206" i="10"/>
  <c r="S184" i="10"/>
  <c r="S162" i="10"/>
  <c r="S140" i="10"/>
  <c r="S118" i="10"/>
  <c r="S96" i="10"/>
  <c r="S74" i="10"/>
  <c r="S52" i="10"/>
  <c r="S30" i="10"/>
  <c r="S8" i="10"/>
  <c r="T33" i="10"/>
  <c r="AO250" i="10"/>
  <c r="AO228" i="10"/>
  <c r="AO206" i="10"/>
  <c r="AO184" i="10"/>
  <c r="AO162" i="10"/>
  <c r="AO140" i="10"/>
  <c r="AO118" i="10"/>
  <c r="AO96" i="10"/>
  <c r="AO74" i="10"/>
  <c r="AO52" i="10"/>
  <c r="AO30" i="10"/>
  <c r="AO8" i="10"/>
  <c r="Y250" i="10"/>
  <c r="Y228" i="10"/>
  <c r="Y206" i="10"/>
  <c r="Y184" i="10"/>
  <c r="Y162" i="10"/>
  <c r="Y140" i="10"/>
  <c r="Y118" i="10"/>
  <c r="Y96" i="10"/>
  <c r="Y74" i="10"/>
  <c r="Y52" i="10"/>
  <c r="Y30" i="10"/>
  <c r="Y8" i="10"/>
  <c r="Y185" i="10"/>
  <c r="W53" i="10"/>
  <c r="U51" i="10"/>
  <c r="R185" i="10"/>
  <c r="AS53" i="10"/>
  <c r="AS9" i="10"/>
  <c r="AQ227" i="10"/>
  <c r="AQ205" i="10"/>
  <c r="AQ183" i="10"/>
  <c r="AQ161" i="10"/>
  <c r="AQ139" i="10"/>
  <c r="AQ117" i="10"/>
  <c r="AQ95" i="10"/>
  <c r="AQ73" i="10"/>
  <c r="AQ51" i="10"/>
  <c r="AQ29" i="10"/>
  <c r="AQ7" i="10"/>
  <c r="AB185" i="10"/>
  <c r="Y51" i="10"/>
  <c r="W11" i="10"/>
  <c r="T227" i="10"/>
  <c r="R119" i="10"/>
  <c r="V251" i="10"/>
  <c r="V249" i="10"/>
  <c r="AA249" i="10"/>
  <c r="X251" i="10"/>
  <c r="V119" i="10"/>
  <c r="T95" i="10"/>
  <c r="R29" i="10"/>
  <c r="X207" i="10"/>
  <c r="AA119" i="10"/>
  <c r="X161" i="10"/>
  <c r="S249" i="10"/>
  <c r="U209" i="10"/>
  <c r="S209" i="10"/>
  <c r="R255" i="10"/>
  <c r="AY235" i="10"/>
  <c r="AY213" i="10"/>
  <c r="AY191" i="10"/>
  <c r="AY169" i="10"/>
  <c r="AY147" i="10"/>
  <c r="AY125" i="10"/>
  <c r="AY103" i="10"/>
  <c r="AY81" i="10"/>
  <c r="AY59" i="10"/>
  <c r="AY37" i="10"/>
  <c r="AY15" i="10"/>
  <c r="AW255" i="10"/>
  <c r="AW233" i="10"/>
  <c r="AW211" i="10"/>
  <c r="AW189" i="10"/>
  <c r="AW167" i="10"/>
  <c r="AW145" i="10"/>
  <c r="AW123" i="10"/>
  <c r="AW101" i="10"/>
  <c r="AW79" i="10"/>
  <c r="AW57" i="10"/>
  <c r="AW35" i="10"/>
  <c r="AW13" i="10"/>
  <c r="AY255" i="10"/>
  <c r="AY233" i="10"/>
  <c r="AY211" i="10"/>
  <c r="AY189" i="10"/>
  <c r="AY167" i="10"/>
  <c r="AY145" i="10"/>
  <c r="AY123" i="10"/>
  <c r="AY101" i="10"/>
  <c r="AY79" i="10"/>
  <c r="AY57" i="10"/>
  <c r="AY35" i="10"/>
  <c r="AY13" i="10"/>
  <c r="AB189" i="10"/>
  <c r="Y189" i="10"/>
  <c r="AB183" i="10"/>
  <c r="Y161" i="10"/>
  <c r="W161" i="10"/>
  <c r="S161" i="10"/>
  <c r="T250" i="10"/>
  <c r="T228" i="10"/>
  <c r="T206" i="10"/>
  <c r="T184" i="10"/>
  <c r="T162" i="10"/>
  <c r="T140" i="10"/>
  <c r="T118" i="10"/>
  <c r="T96" i="10"/>
  <c r="T74" i="10"/>
  <c r="T52" i="10"/>
  <c r="T30" i="10"/>
  <c r="T8" i="10"/>
  <c r="AB165" i="10"/>
  <c r="Y117" i="10"/>
  <c r="W119" i="10"/>
  <c r="U95" i="10"/>
  <c r="S119" i="10"/>
  <c r="AY243" i="10"/>
  <c r="AY221" i="10"/>
  <c r="AY199" i="10"/>
  <c r="AY177" i="10"/>
  <c r="AY155" i="10"/>
  <c r="AX253" i="10"/>
  <c r="AX231" i="10"/>
  <c r="AX209" i="10"/>
  <c r="AX187" i="10"/>
  <c r="AX165" i="10"/>
  <c r="AX143" i="10"/>
  <c r="AX121" i="10"/>
  <c r="AX99" i="10"/>
  <c r="AX77" i="10"/>
  <c r="V185" i="10"/>
  <c r="U47" i="10"/>
  <c r="R27" i="10"/>
  <c r="AX250" i="10"/>
  <c r="AX228" i="10"/>
  <c r="AX206" i="10"/>
  <c r="AX184" i="10"/>
  <c r="AX162" i="10"/>
  <c r="AX140" i="10"/>
  <c r="AX118" i="10"/>
  <c r="AX96" i="10"/>
  <c r="AX74" i="10"/>
  <c r="AX52" i="10"/>
  <c r="AX30" i="10"/>
  <c r="AX8" i="10"/>
  <c r="X252" i="10"/>
  <c r="X230" i="10"/>
  <c r="X208" i="10"/>
  <c r="X186" i="10"/>
  <c r="X164" i="10"/>
  <c r="X142" i="10"/>
  <c r="X120" i="10"/>
  <c r="X98" i="10"/>
  <c r="X76" i="10"/>
  <c r="X54" i="10"/>
  <c r="X32" i="10"/>
  <c r="X10" i="10"/>
  <c r="V250" i="10"/>
  <c r="V228" i="10"/>
  <c r="V206" i="10"/>
  <c r="V184" i="10"/>
  <c r="V162" i="10"/>
  <c r="V140" i="10"/>
  <c r="V118" i="10"/>
  <c r="V96" i="10"/>
  <c r="V74" i="10"/>
  <c r="V52" i="10"/>
  <c r="V30" i="10"/>
  <c r="V8" i="10"/>
  <c r="AB161" i="10"/>
  <c r="Y227" i="10"/>
  <c r="X119" i="10"/>
  <c r="V179" i="10"/>
  <c r="U9" i="10"/>
  <c r="S117" i="10"/>
  <c r="R15" i="10"/>
  <c r="AZ251" i="10"/>
  <c r="AZ229" i="10"/>
  <c r="AZ207" i="10"/>
  <c r="AZ185" i="10"/>
  <c r="AZ163" i="10"/>
  <c r="AZ141" i="10"/>
  <c r="AZ119" i="10"/>
  <c r="AZ97" i="10"/>
  <c r="AZ75" i="10"/>
  <c r="AZ53" i="10"/>
  <c r="AZ31" i="10"/>
  <c r="AZ9" i="10"/>
  <c r="AY239" i="10"/>
  <c r="AY217" i="10"/>
  <c r="AY195" i="10"/>
  <c r="AY173" i="10"/>
  <c r="AY151" i="10"/>
  <c r="AY129" i="10"/>
  <c r="AY107" i="10"/>
  <c r="AY85" i="10"/>
  <c r="AY63" i="10"/>
  <c r="AY41" i="10"/>
  <c r="AY19" i="10"/>
  <c r="AP231" i="10"/>
  <c r="AP209" i="10"/>
  <c r="AP165" i="10"/>
  <c r="AP99" i="10"/>
  <c r="AP77" i="10"/>
  <c r="AP11" i="10"/>
  <c r="AB155" i="10"/>
  <c r="Y207" i="10"/>
  <c r="X117" i="10"/>
  <c r="V161" i="10"/>
  <c r="T251" i="10"/>
  <c r="S95" i="10"/>
  <c r="BA240" i="10"/>
  <c r="BA218" i="10"/>
  <c r="BA196" i="10"/>
  <c r="BA174" i="10"/>
  <c r="BA152" i="10"/>
  <c r="BA130" i="10"/>
  <c r="BA108" i="10"/>
  <c r="BA86" i="10"/>
  <c r="BA64" i="10"/>
  <c r="BA42" i="10"/>
  <c r="BA20" i="10"/>
  <c r="AP252" i="10"/>
  <c r="AP230" i="10"/>
  <c r="AP208" i="10"/>
  <c r="AP186" i="10"/>
  <c r="AP164" i="10"/>
  <c r="AP142" i="10"/>
  <c r="AP98" i="10"/>
  <c r="AP76" i="10"/>
  <c r="AP54" i="10"/>
  <c r="AP32" i="10"/>
  <c r="AP10" i="10"/>
  <c r="AA252" i="10"/>
  <c r="AA230" i="10"/>
  <c r="AA208" i="10"/>
  <c r="AA186" i="10"/>
  <c r="AA164" i="10"/>
  <c r="AA142" i="10"/>
  <c r="AA120" i="10"/>
  <c r="AA98" i="10"/>
  <c r="AA76" i="10"/>
  <c r="AA54" i="10"/>
  <c r="AA32" i="10"/>
  <c r="AA10" i="10"/>
  <c r="X250" i="10"/>
  <c r="X228" i="10"/>
  <c r="X206" i="10"/>
  <c r="X184" i="10"/>
  <c r="X162" i="10"/>
  <c r="X140" i="10"/>
  <c r="X118" i="10"/>
  <c r="X96" i="10"/>
  <c r="X74" i="10"/>
  <c r="X52" i="10"/>
  <c r="X30" i="10"/>
  <c r="X8" i="10"/>
  <c r="AB143" i="10"/>
  <c r="X95" i="10"/>
  <c r="T249" i="10"/>
  <c r="X248" i="10"/>
  <c r="X226" i="10"/>
  <c r="X204" i="10"/>
  <c r="X182" i="10"/>
  <c r="X160" i="10"/>
  <c r="X138" i="10"/>
  <c r="X116" i="10"/>
  <c r="X94" i="10"/>
  <c r="X72" i="10"/>
  <c r="X50" i="10"/>
  <c r="X28" i="10"/>
  <c r="X6" i="10"/>
  <c r="Y99" i="10"/>
  <c r="V77" i="10"/>
  <c r="T119" i="10"/>
  <c r="AA165" i="10"/>
  <c r="X11" i="10"/>
  <c r="AB209" i="10"/>
  <c r="U11" i="10"/>
  <c r="R99" i="10"/>
  <c r="AA143" i="10"/>
  <c r="S165" i="10"/>
  <c r="W231" i="10"/>
  <c r="T165" i="10"/>
  <c r="R33" i="10"/>
  <c r="S11" i="10"/>
  <c r="X165" i="10"/>
  <c r="R11" i="10"/>
  <c r="Y209" i="10"/>
  <c r="R231" i="10"/>
  <c r="AO253" i="10"/>
  <c r="AO231" i="10"/>
  <c r="AO209" i="10"/>
  <c r="AO187" i="10"/>
  <c r="AO165" i="10"/>
  <c r="AO143" i="10"/>
  <c r="AO121" i="10"/>
  <c r="AO99" i="10"/>
  <c r="AO77" i="10"/>
  <c r="AO55" i="10"/>
  <c r="AO33" i="10"/>
  <c r="AO11" i="10"/>
  <c r="R209" i="10"/>
  <c r="AZ240" i="10"/>
  <c r="AZ218" i="10"/>
  <c r="AZ196" i="10"/>
  <c r="AZ174" i="10"/>
  <c r="AZ152" i="10"/>
  <c r="AZ130" i="10"/>
  <c r="AZ108" i="10"/>
  <c r="AZ86" i="10"/>
  <c r="AZ64" i="10"/>
  <c r="AZ42" i="10"/>
  <c r="AZ20" i="10"/>
  <c r="S255" i="10"/>
  <c r="AU235" i="10"/>
  <c r="AU213" i="10"/>
  <c r="AU191" i="10"/>
  <c r="AU169" i="10"/>
  <c r="AU147" i="10"/>
  <c r="AU125" i="10"/>
  <c r="AU103" i="10"/>
  <c r="AU81" i="10"/>
  <c r="AU59" i="10"/>
  <c r="AU37" i="10"/>
  <c r="AU15" i="10"/>
  <c r="AQ231" i="10"/>
  <c r="AQ209" i="10"/>
  <c r="AQ187" i="10"/>
  <c r="AQ165" i="10"/>
  <c r="AQ143" i="10"/>
  <c r="AQ121" i="10"/>
  <c r="AQ99" i="10"/>
  <c r="AQ77" i="10"/>
  <c r="AQ33" i="10"/>
  <c r="AQ11" i="10"/>
  <c r="AA209" i="10"/>
  <c r="R165" i="10"/>
  <c r="AA185" i="10"/>
  <c r="V207" i="10"/>
  <c r="U255" i="10"/>
  <c r="AS219" i="10"/>
  <c r="AS197" i="10"/>
  <c r="AS131" i="10"/>
  <c r="AS87" i="10"/>
  <c r="AS43" i="10"/>
  <c r="AO237" i="10"/>
  <c r="AO215" i="10"/>
  <c r="AO193" i="10"/>
  <c r="AO171" i="10"/>
  <c r="AO149" i="10"/>
  <c r="AO127" i="10"/>
  <c r="AO105" i="10"/>
  <c r="AO83" i="10"/>
  <c r="AO61" i="10"/>
  <c r="AO39" i="10"/>
  <c r="AO17" i="10"/>
  <c r="AA59" i="10"/>
  <c r="AU242" i="10"/>
  <c r="AU220" i="10"/>
  <c r="AU198" i="10"/>
  <c r="AU176" i="10"/>
  <c r="AU154" i="10"/>
  <c r="AU132" i="10"/>
  <c r="AU110" i="10"/>
  <c r="AU88" i="10"/>
  <c r="AU66" i="10"/>
  <c r="AB245" i="10"/>
  <c r="X245" i="10"/>
  <c r="Y245" i="10"/>
  <c r="R113" i="10"/>
  <c r="V113" i="10"/>
  <c r="AA113" i="10"/>
  <c r="T113" i="10"/>
  <c r="AO235" i="10"/>
  <c r="AO213" i="10"/>
  <c r="AO191" i="10"/>
  <c r="AO169" i="10"/>
  <c r="AO147" i="10"/>
  <c r="AO125" i="10"/>
  <c r="AO103" i="10"/>
  <c r="AO81" i="10"/>
  <c r="AO59" i="10"/>
  <c r="AO37" i="10"/>
  <c r="AO15" i="10"/>
  <c r="BB246" i="10"/>
  <c r="BB202" i="10"/>
  <c r="BB180" i="10"/>
  <c r="BB70" i="10"/>
  <c r="BB4" i="10"/>
  <c r="BA234" i="10"/>
  <c r="BA212" i="10"/>
  <c r="BA190" i="10"/>
  <c r="BA168" i="10"/>
  <c r="BA146" i="10"/>
  <c r="BA124" i="10"/>
  <c r="BA102" i="10"/>
  <c r="BA80" i="10"/>
  <c r="BA58" i="10"/>
  <c r="BA36" i="10"/>
  <c r="BA14" i="10"/>
  <c r="AZ244" i="10"/>
  <c r="AZ222" i="10"/>
  <c r="AZ200" i="10"/>
  <c r="AZ178" i="10"/>
  <c r="AZ156" i="10"/>
  <c r="AZ134" i="10"/>
  <c r="AZ112" i="10"/>
  <c r="AZ90" i="10"/>
  <c r="AZ68" i="10"/>
  <c r="AZ46" i="10"/>
  <c r="AZ24" i="10"/>
  <c r="X243" i="10"/>
  <c r="U243" i="10"/>
  <c r="R243" i="10"/>
  <c r="Y221" i="10"/>
  <c r="AA221" i="10"/>
  <c r="AB221" i="10"/>
  <c r="S177" i="10"/>
  <c r="Y177" i="10"/>
  <c r="T177" i="10"/>
  <c r="U155" i="10"/>
  <c r="W155" i="10"/>
  <c r="R155" i="10"/>
  <c r="S155" i="10"/>
  <c r="S111" i="10"/>
  <c r="T111" i="10"/>
  <c r="AB89" i="10"/>
  <c r="AA89" i="10"/>
  <c r="S89" i="10"/>
  <c r="R45" i="10"/>
  <c r="AA45" i="10"/>
  <c r="V23" i="10"/>
  <c r="X23" i="10"/>
  <c r="T23" i="10"/>
  <c r="U23" i="10"/>
  <c r="AZ242" i="10"/>
  <c r="AZ198" i="10"/>
  <c r="AZ176" i="10"/>
  <c r="AZ132" i="10"/>
  <c r="AZ110" i="10"/>
  <c r="AZ66" i="10"/>
  <c r="AZ44" i="10"/>
  <c r="AZ220" i="10"/>
  <c r="AZ154" i="10"/>
  <c r="AZ88" i="10"/>
  <c r="AZ22" i="10"/>
  <c r="S87" i="10"/>
  <c r="X87" i="10"/>
  <c r="AS235" i="10"/>
  <c r="AS125" i="10"/>
  <c r="AS103" i="10"/>
  <c r="AR245" i="10"/>
  <c r="AR223" i="10"/>
  <c r="AR201" i="10"/>
  <c r="AR179" i="10"/>
  <c r="AR157" i="10"/>
  <c r="AR135" i="10"/>
  <c r="AR113" i="10"/>
  <c r="AR91" i="10"/>
  <c r="AR69" i="10"/>
  <c r="AR47" i="10"/>
  <c r="AR25" i="10"/>
  <c r="AQ233" i="10"/>
  <c r="AQ211" i="10"/>
  <c r="AQ189" i="10"/>
  <c r="AQ167" i="10"/>
  <c r="AQ123" i="10"/>
  <c r="AQ101" i="10"/>
  <c r="AQ57" i="10"/>
  <c r="AQ35" i="10"/>
  <c r="AQ13" i="10"/>
  <c r="V189" i="10"/>
  <c r="U135" i="10"/>
  <c r="BB220" i="10"/>
  <c r="BB132" i="10"/>
  <c r="BB88" i="10"/>
  <c r="BB44" i="10"/>
  <c r="AX238" i="10"/>
  <c r="AX216" i="10"/>
  <c r="AX194" i="10"/>
  <c r="AX172" i="10"/>
  <c r="AX150" i="10"/>
  <c r="AX128" i="10"/>
  <c r="AX106" i="10"/>
  <c r="AX84" i="10"/>
  <c r="AX62" i="10"/>
  <c r="AX40" i="10"/>
  <c r="AX18" i="10"/>
  <c r="AW248" i="10"/>
  <c r="AW226" i="10"/>
  <c r="AW204" i="10"/>
  <c r="AW182" i="10"/>
  <c r="AW160" i="10"/>
  <c r="AW138" i="10"/>
  <c r="AW116" i="10"/>
  <c r="AW94" i="10"/>
  <c r="AW72" i="10"/>
  <c r="AW50" i="10"/>
  <c r="AW28" i="10"/>
  <c r="AW6" i="10"/>
  <c r="AU236" i="10"/>
  <c r="AU214" i="10"/>
  <c r="W113" i="10"/>
  <c r="R213" i="10"/>
  <c r="T213" i="10"/>
  <c r="X213" i="10"/>
  <c r="T191" i="10"/>
  <c r="V191" i="10"/>
  <c r="T125" i="10"/>
  <c r="AA125" i="10"/>
  <c r="R125" i="10"/>
  <c r="U125" i="10"/>
  <c r="X15" i="10"/>
  <c r="T15" i="10"/>
  <c r="U15" i="10"/>
  <c r="V15" i="10"/>
  <c r="AA191" i="10"/>
  <c r="W147" i="10"/>
  <c r="U147" i="10"/>
  <c r="S147" i="10"/>
  <c r="U233" i="10"/>
  <c r="Y233" i="10"/>
  <c r="R123" i="10"/>
  <c r="S123" i="10"/>
  <c r="AA101" i="10"/>
  <c r="AB101" i="10"/>
  <c r="T101" i="10"/>
  <c r="Y101" i="10"/>
  <c r="V101" i="10"/>
  <c r="AB57" i="10"/>
  <c r="T57" i="10"/>
  <c r="BB37" i="10"/>
  <c r="AZ255" i="10"/>
  <c r="AZ167" i="10"/>
  <c r="BB59" i="10"/>
  <c r="AZ233" i="10"/>
  <c r="AZ145" i="10"/>
  <c r="AZ79" i="10"/>
  <c r="AZ13" i="10"/>
  <c r="AP235" i="10"/>
  <c r="AP169" i="10"/>
  <c r="AP125" i="10"/>
  <c r="S213" i="10"/>
  <c r="R191" i="10"/>
  <c r="BB190" i="10"/>
  <c r="BB80" i="10"/>
  <c r="BA244" i="10"/>
  <c r="BA222" i="10"/>
  <c r="BA200" i="10"/>
  <c r="BA178" i="10"/>
  <c r="BA156" i="10"/>
  <c r="BA134" i="10"/>
  <c r="BA112" i="10"/>
  <c r="BA90" i="10"/>
  <c r="BA68" i="10"/>
  <c r="BA46" i="10"/>
  <c r="BA24" i="10"/>
  <c r="AS182" i="10"/>
  <c r="AS116" i="10"/>
  <c r="AS28" i="10"/>
  <c r="AR236" i="10"/>
  <c r="AR214" i="10"/>
  <c r="AR192" i="10"/>
  <c r="AR170" i="10"/>
  <c r="AR148" i="10"/>
  <c r="AR126" i="10"/>
  <c r="AR104" i="10"/>
  <c r="AR82" i="10"/>
  <c r="AR60" i="10"/>
  <c r="AR38" i="10"/>
  <c r="AR16" i="10"/>
  <c r="AP234" i="10"/>
  <c r="AP212" i="10"/>
  <c r="AP190" i="10"/>
  <c r="AP168" i="10"/>
  <c r="AP146" i="10"/>
  <c r="AP124" i="10"/>
  <c r="AP102" i="10"/>
  <c r="AP80" i="10"/>
  <c r="AP58" i="10"/>
  <c r="AP36" i="10"/>
  <c r="AP14" i="10"/>
  <c r="AA234" i="10"/>
  <c r="AA212" i="10"/>
  <c r="AA190" i="10"/>
  <c r="AA168" i="10"/>
  <c r="AA146" i="10"/>
  <c r="AA124" i="10"/>
  <c r="AA102" i="10"/>
  <c r="AA80" i="10"/>
  <c r="AA58" i="10"/>
  <c r="AA36" i="10"/>
  <c r="AA14" i="10"/>
  <c r="R248" i="10"/>
  <c r="R226" i="10"/>
  <c r="R204" i="10"/>
  <c r="R182" i="10"/>
  <c r="R160" i="10"/>
  <c r="R138" i="10"/>
  <c r="R116" i="10"/>
  <c r="R94" i="10"/>
  <c r="R72" i="10"/>
  <c r="R50" i="10"/>
  <c r="R28" i="10"/>
  <c r="R6" i="10"/>
  <c r="S81" i="10"/>
  <c r="T81" i="10"/>
  <c r="X81" i="10"/>
  <c r="AP191" i="10"/>
  <c r="AP103" i="10"/>
  <c r="AP15" i="10"/>
  <c r="AB179" i="10"/>
  <c r="Y125" i="10"/>
  <c r="V89" i="10"/>
  <c r="S191" i="10"/>
  <c r="BB125" i="10"/>
  <c r="BB15" i="10"/>
  <c r="AZ211" i="10"/>
  <c r="AZ189" i="10"/>
  <c r="AZ123" i="10"/>
  <c r="AZ101" i="10"/>
  <c r="AZ57" i="10"/>
  <c r="AZ35" i="10"/>
  <c r="AP213" i="10"/>
  <c r="AP147" i="10"/>
  <c r="AP81" i="10"/>
  <c r="AP37" i="10"/>
  <c r="AU248" i="10"/>
  <c r="AU226" i="10"/>
  <c r="AU204" i="10"/>
  <c r="AU182" i="10"/>
  <c r="AU160" i="10"/>
  <c r="AU138" i="10"/>
  <c r="AU116" i="10"/>
  <c r="AU94" i="10"/>
  <c r="AU72" i="10"/>
  <c r="AU50" i="10"/>
  <c r="AU28" i="10"/>
  <c r="AU6" i="10"/>
  <c r="AR234" i="10"/>
  <c r="AR212" i="10"/>
  <c r="AR190" i="10"/>
  <c r="AR168" i="10"/>
  <c r="AR146" i="10"/>
  <c r="AR124" i="10"/>
  <c r="AR102" i="10"/>
  <c r="AR80" i="10"/>
  <c r="AR58" i="10"/>
  <c r="AR36" i="10"/>
  <c r="AR14" i="10"/>
  <c r="T248" i="10"/>
  <c r="T226" i="10"/>
  <c r="T204" i="10"/>
  <c r="T182" i="10"/>
  <c r="T160" i="10"/>
  <c r="T138" i="10"/>
  <c r="T116" i="10"/>
  <c r="T94" i="10"/>
  <c r="T72" i="10"/>
  <c r="T50" i="10"/>
  <c r="T28" i="10"/>
  <c r="T6" i="10"/>
  <c r="Y123" i="10"/>
  <c r="W23" i="10"/>
  <c r="S189" i="10"/>
  <c r="W81" i="10"/>
  <c r="W35" i="10"/>
  <c r="U35" i="10"/>
  <c r="AA35" i="10"/>
  <c r="BA241" i="10"/>
  <c r="BA219" i="10"/>
  <c r="BA197" i="10"/>
  <c r="BA175" i="10"/>
  <c r="BA153" i="10"/>
  <c r="BA131" i="10"/>
  <c r="BA109" i="10"/>
  <c r="BA87" i="10"/>
  <c r="BA65" i="10"/>
  <c r="BA43" i="10"/>
  <c r="BA21" i="10"/>
  <c r="AW237" i="10"/>
  <c r="AW215" i="10"/>
  <c r="AW193" i="10"/>
  <c r="AW171" i="10"/>
  <c r="AW149" i="10"/>
  <c r="AW127" i="10"/>
  <c r="AW105" i="10"/>
  <c r="AW83" i="10"/>
  <c r="AW61" i="10"/>
  <c r="AW39" i="10"/>
  <c r="AW17" i="10"/>
  <c r="AU247" i="10"/>
  <c r="AU225" i="10"/>
  <c r="AU203" i="10"/>
  <c r="AU181" i="10"/>
  <c r="AU159" i="10"/>
  <c r="AU137" i="10"/>
  <c r="AU115" i="10"/>
  <c r="AU93" i="10"/>
  <c r="AU71" i="10"/>
  <c r="AU49" i="10"/>
  <c r="AU27" i="10"/>
  <c r="AU5" i="10"/>
  <c r="AT235" i="10"/>
  <c r="AT213" i="10"/>
  <c r="AT191" i="10"/>
  <c r="AT169" i="10"/>
  <c r="AT147" i="10"/>
  <c r="AT125" i="10"/>
  <c r="AT103" i="10"/>
  <c r="AT81" i="10"/>
  <c r="AT59" i="10"/>
  <c r="AT37" i="10"/>
  <c r="AT15" i="10"/>
  <c r="AS245" i="10"/>
  <c r="AS201" i="10"/>
  <c r="AS157" i="10"/>
  <c r="AS135" i="10"/>
  <c r="AS91" i="10"/>
  <c r="AS69" i="10"/>
  <c r="AS25" i="10"/>
  <c r="AR255" i="10"/>
  <c r="AR233" i="10"/>
  <c r="AR211" i="10"/>
  <c r="AR189" i="10"/>
  <c r="AR167" i="10"/>
  <c r="AR145" i="10"/>
  <c r="AR123" i="10"/>
  <c r="AR101" i="10"/>
  <c r="AR79" i="10"/>
  <c r="AR57" i="10"/>
  <c r="AR35" i="10"/>
  <c r="AR13" i="10"/>
  <c r="AQ221" i="10"/>
  <c r="AQ199" i="10"/>
  <c r="AQ133" i="10"/>
  <c r="AQ111" i="10"/>
  <c r="AQ89" i="10"/>
  <c r="AQ67" i="10"/>
  <c r="AQ45" i="10"/>
  <c r="W21" i="10"/>
  <c r="T233" i="10"/>
  <c r="AY238" i="10"/>
  <c r="AY216" i="10"/>
  <c r="AY194" i="10"/>
  <c r="AY172" i="10"/>
  <c r="AY150" i="10"/>
  <c r="AY128" i="10"/>
  <c r="AY106" i="10"/>
  <c r="AY84" i="10"/>
  <c r="AY62" i="10"/>
  <c r="AY40" i="10"/>
  <c r="AY18" i="10"/>
  <c r="AX248" i="10"/>
  <c r="AX226" i="10"/>
  <c r="AX204" i="10"/>
  <c r="AX182" i="10"/>
  <c r="AX160" i="10"/>
  <c r="AX138" i="10"/>
  <c r="AX116" i="10"/>
  <c r="AX94" i="10"/>
  <c r="AX72" i="10"/>
  <c r="AX50" i="10"/>
  <c r="AX28" i="10"/>
  <c r="AX6" i="10"/>
  <c r="AW236" i="10"/>
  <c r="AW214" i="10"/>
  <c r="AW192" i="10"/>
  <c r="AW170" i="10"/>
  <c r="AW148" i="10"/>
  <c r="AW126" i="10"/>
  <c r="AW104" i="10"/>
  <c r="AW82" i="10"/>
  <c r="AW60" i="10"/>
  <c r="AW38" i="10"/>
  <c r="AW16" i="10"/>
  <c r="AU246" i="10"/>
  <c r="AU224" i="10"/>
  <c r="AU202" i="10"/>
  <c r="AU180" i="10"/>
  <c r="AU158" i="10"/>
  <c r="AU136" i="10"/>
  <c r="AU114" i="10"/>
  <c r="AU92" i="10"/>
  <c r="AU70" i="10"/>
  <c r="AU48" i="10"/>
  <c r="AU26" i="10"/>
  <c r="AU4" i="10"/>
  <c r="AT234" i="10"/>
  <c r="AT212" i="10"/>
  <c r="AT190" i="10"/>
  <c r="AT168" i="10"/>
  <c r="AT146" i="10"/>
  <c r="AT124" i="10"/>
  <c r="AT102" i="10"/>
  <c r="AT80" i="10"/>
  <c r="AT58" i="10"/>
  <c r="AT36" i="10"/>
  <c r="AT14" i="10"/>
  <c r="AS222" i="10"/>
  <c r="AS68" i="10"/>
  <c r="AR254" i="10"/>
  <c r="AR232" i="10"/>
  <c r="AR210" i="10"/>
  <c r="AR188" i="10"/>
  <c r="AR166" i="10"/>
  <c r="AR144" i="10"/>
  <c r="AR122" i="10"/>
  <c r="AR100" i="10"/>
  <c r="AR78" i="10"/>
  <c r="AR56" i="10"/>
  <c r="AR34" i="10"/>
  <c r="AR12" i="10"/>
  <c r="AQ242" i="10"/>
  <c r="AQ220" i="10"/>
  <c r="AQ198" i="10"/>
  <c r="AQ132" i="10"/>
  <c r="AQ22" i="10"/>
  <c r="AB242" i="10"/>
  <c r="AB220" i="10"/>
  <c r="AB198" i="10"/>
  <c r="AB176" i="10"/>
  <c r="AB154" i="10"/>
  <c r="AB132" i="10"/>
  <c r="AB110" i="10"/>
  <c r="AB88" i="10"/>
  <c r="AB66" i="10"/>
  <c r="AB44" i="10"/>
  <c r="AB22" i="10"/>
  <c r="V248" i="10"/>
  <c r="V226" i="10"/>
  <c r="V204" i="10"/>
  <c r="V182" i="10"/>
  <c r="V160" i="10"/>
  <c r="V138" i="10"/>
  <c r="V116" i="10"/>
  <c r="V94" i="10"/>
  <c r="V72" i="10"/>
  <c r="V50" i="10"/>
  <c r="V28" i="10"/>
  <c r="V6" i="10"/>
  <c r="W17" i="10"/>
  <c r="AU44" i="10"/>
  <c r="AU22" i="10"/>
  <c r="AP248" i="10"/>
  <c r="AP160" i="10"/>
  <c r="AP138" i="10"/>
  <c r="AP50" i="10"/>
  <c r="AP28" i="10"/>
  <c r="AP6" i="10"/>
  <c r="AO236" i="10"/>
  <c r="AO214" i="10"/>
  <c r="AO192" i="10"/>
  <c r="AO170" i="10"/>
  <c r="AO148" i="10"/>
  <c r="AO126" i="10"/>
  <c r="AO104" i="10"/>
  <c r="AO82" i="10"/>
  <c r="AO60" i="10"/>
  <c r="AO38" i="10"/>
  <c r="AO16" i="10"/>
  <c r="AA248" i="10"/>
  <c r="AA226" i="10"/>
  <c r="AA204" i="10"/>
  <c r="AA182" i="10"/>
  <c r="AA160" i="10"/>
  <c r="AA138" i="10"/>
  <c r="AA116" i="10"/>
  <c r="AA94" i="10"/>
  <c r="AA72" i="10"/>
  <c r="AA50" i="10"/>
  <c r="AA28" i="10"/>
  <c r="AA6" i="10"/>
  <c r="Y236" i="10"/>
  <c r="Y214" i="10"/>
  <c r="Y192" i="10"/>
  <c r="Y170" i="10"/>
  <c r="Y148" i="10"/>
  <c r="Y126" i="10"/>
  <c r="Y104" i="10"/>
  <c r="Y82" i="10"/>
  <c r="Y60" i="10"/>
  <c r="Y38" i="10"/>
  <c r="Y16" i="10"/>
  <c r="X246" i="10"/>
  <c r="X224" i="10"/>
  <c r="X202" i="10"/>
  <c r="X180" i="10"/>
  <c r="X158" i="10"/>
  <c r="X136" i="10"/>
  <c r="X114" i="10"/>
  <c r="X92" i="10"/>
  <c r="X70" i="10"/>
  <c r="X48" i="10"/>
  <c r="X26" i="10"/>
  <c r="X4" i="10"/>
  <c r="W234" i="10"/>
  <c r="W212" i="10"/>
  <c r="W190" i="10"/>
  <c r="W168" i="10"/>
  <c r="W146" i="10"/>
  <c r="W124" i="10"/>
  <c r="W102" i="10"/>
  <c r="W80" i="10"/>
  <c r="W58" i="10"/>
  <c r="W36" i="10"/>
  <c r="W14" i="10"/>
  <c r="V244" i="10"/>
  <c r="V222" i="10"/>
  <c r="V200" i="10"/>
  <c r="V178" i="10"/>
  <c r="V156" i="10"/>
  <c r="V134" i="10"/>
  <c r="V112" i="10"/>
  <c r="V90" i="10"/>
  <c r="V68" i="10"/>
  <c r="V46" i="10"/>
  <c r="V24" i="10"/>
  <c r="BB237" i="10"/>
  <c r="BB83" i="10"/>
  <c r="BB61" i="10"/>
  <c r="BB39" i="10"/>
  <c r="BA247" i="10"/>
  <c r="BA225" i="10"/>
  <c r="BA203" i="10"/>
  <c r="BA181" i="10"/>
  <c r="BA159" i="10"/>
  <c r="BA137" i="10"/>
  <c r="BA115" i="10"/>
  <c r="BA93" i="10"/>
  <c r="BA71" i="10"/>
  <c r="BA49" i="10"/>
  <c r="BA27" i="10"/>
  <c r="BA5" i="10"/>
  <c r="AZ235" i="10"/>
  <c r="AZ213" i="10"/>
  <c r="AZ191" i="10"/>
  <c r="AZ169" i="10"/>
  <c r="AZ147" i="10"/>
  <c r="AZ125" i="10"/>
  <c r="AZ103" i="10"/>
  <c r="AZ81" i="10"/>
  <c r="AZ59" i="10"/>
  <c r="AZ37" i="10"/>
  <c r="AZ15" i="10"/>
  <c r="AY245" i="10"/>
  <c r="AY223" i="10"/>
  <c r="AY201" i="10"/>
  <c r="AY179" i="10"/>
  <c r="AY157" i="10"/>
  <c r="AY135" i="10"/>
  <c r="AY113" i="10"/>
  <c r="AY91" i="10"/>
  <c r="AY69" i="10"/>
  <c r="AY47" i="10"/>
  <c r="AY25" i="10"/>
  <c r="AX255" i="10"/>
  <c r="AX233" i="10"/>
  <c r="AX211" i="10"/>
  <c r="AX189" i="10"/>
  <c r="AX167" i="10"/>
  <c r="AX145" i="10"/>
  <c r="AX123" i="10"/>
  <c r="AX101" i="10"/>
  <c r="AX79" i="10"/>
  <c r="AX57" i="10"/>
  <c r="AX35" i="10"/>
  <c r="AX13" i="10"/>
  <c r="AW243" i="10"/>
  <c r="AW221" i="10"/>
  <c r="AW199" i="10"/>
  <c r="AW177" i="10"/>
  <c r="AW155" i="10"/>
  <c r="AW133" i="10"/>
  <c r="AW111" i="10"/>
  <c r="AW89" i="10"/>
  <c r="AW67" i="10"/>
  <c r="AW45" i="10"/>
  <c r="AW23" i="10"/>
  <c r="BB192" i="10"/>
  <c r="BB170" i="10"/>
  <c r="BB104" i="10"/>
  <c r="BB82" i="10"/>
  <c r="AZ234" i="10"/>
  <c r="AZ212" i="10"/>
  <c r="AZ190" i="10"/>
  <c r="AZ168" i="10"/>
  <c r="AZ146" i="10"/>
  <c r="AZ124" i="10"/>
  <c r="AZ102" i="10"/>
  <c r="AZ80" i="10"/>
  <c r="AZ58" i="10"/>
  <c r="AZ36" i="10"/>
  <c r="AZ14" i="10"/>
  <c r="AQ248" i="10"/>
  <c r="AQ160" i="10"/>
  <c r="AQ138" i="10"/>
  <c r="AQ116" i="10"/>
  <c r="AQ94" i="10"/>
  <c r="AQ50" i="10"/>
  <c r="AQ28" i="10"/>
  <c r="AP236" i="10"/>
  <c r="AP214" i="10"/>
  <c r="AP192" i="10"/>
  <c r="AP170" i="10"/>
  <c r="AP148" i="10"/>
  <c r="AP126" i="10"/>
  <c r="AP104" i="10"/>
  <c r="AP82" i="10"/>
  <c r="AP60" i="10"/>
  <c r="AP38" i="10"/>
  <c r="AP16" i="10"/>
  <c r="AB248" i="10"/>
  <c r="AB226" i="10"/>
  <c r="AB204" i="10"/>
  <c r="AB182" i="10"/>
  <c r="AB160" i="10"/>
  <c r="AB138" i="10"/>
  <c r="AB116" i="10"/>
  <c r="AB94" i="10"/>
  <c r="AB72" i="10"/>
  <c r="AB50" i="10"/>
  <c r="AB28" i="10"/>
  <c r="AB6" i="10"/>
  <c r="AA236" i="10"/>
  <c r="AA214" i="10"/>
  <c r="AA192" i="10"/>
  <c r="AA170" i="10"/>
  <c r="AA148" i="10"/>
  <c r="AA126" i="10"/>
  <c r="AA104" i="10"/>
  <c r="AA82" i="10"/>
  <c r="AA60" i="10"/>
  <c r="AA38" i="10"/>
  <c r="AA16" i="10"/>
  <c r="X234" i="10"/>
  <c r="X212" i="10"/>
  <c r="X190" i="10"/>
  <c r="X168" i="10"/>
  <c r="X146" i="10"/>
  <c r="X124" i="10"/>
  <c r="X102" i="10"/>
  <c r="X80" i="10"/>
  <c r="X58" i="10"/>
  <c r="X36" i="10"/>
  <c r="X14" i="10"/>
  <c r="T252" i="10"/>
  <c r="T230" i="10"/>
  <c r="T208" i="10"/>
  <c r="T186" i="10"/>
  <c r="T164" i="10"/>
  <c r="T142" i="10"/>
  <c r="T120" i="10"/>
  <c r="T98" i="10"/>
  <c r="T76" i="10"/>
  <c r="T54" i="10"/>
  <c r="T32" i="10"/>
  <c r="T10" i="10"/>
  <c r="AU192" i="10"/>
  <c r="AU170" i="10"/>
  <c r="AU148" i="10"/>
  <c r="AU126" i="10"/>
  <c r="AU104" i="10"/>
  <c r="AU82" i="10"/>
  <c r="AU60" i="10"/>
  <c r="AU38" i="10"/>
  <c r="AU16" i="10"/>
  <c r="AT246" i="10"/>
  <c r="AT224" i="10"/>
  <c r="AT202" i="10"/>
  <c r="AT180" i="10"/>
  <c r="AT158" i="10"/>
  <c r="AT136" i="10"/>
  <c r="AT114" i="10"/>
  <c r="AT92" i="10"/>
  <c r="AT70" i="10"/>
  <c r="AT48" i="10"/>
  <c r="AT26" i="10"/>
  <c r="AT4" i="10"/>
  <c r="AS234" i="10"/>
  <c r="AS212" i="10"/>
  <c r="AS190" i="10"/>
  <c r="AS168" i="10"/>
  <c r="AS102" i="10"/>
  <c r="AS80" i="10"/>
  <c r="AS58" i="10"/>
  <c r="AS14" i="10"/>
  <c r="AR244" i="10"/>
  <c r="AR222" i="10"/>
  <c r="AR200" i="10"/>
  <c r="AR178" i="10"/>
  <c r="AR156" i="10"/>
  <c r="AR134" i="10"/>
  <c r="AR112" i="10"/>
  <c r="AR90" i="10"/>
  <c r="AR68" i="10"/>
  <c r="AR46" i="10"/>
  <c r="AR24" i="10"/>
  <c r="AQ254" i="10"/>
  <c r="AQ232" i="10"/>
  <c r="AQ210" i="10"/>
  <c r="AQ166" i="10"/>
  <c r="AQ144" i="10"/>
  <c r="AQ100" i="10"/>
  <c r="AQ78" i="10"/>
  <c r="AQ56" i="10"/>
  <c r="AQ34" i="10"/>
  <c r="AP242" i="10"/>
  <c r="AP220" i="10"/>
  <c r="AP198" i="10"/>
  <c r="AP154" i="10"/>
  <c r="AP132" i="10"/>
  <c r="AP110" i="10"/>
  <c r="AP44" i="10"/>
  <c r="AP22" i="10"/>
  <c r="AO252" i="10"/>
  <c r="AO230" i="10"/>
  <c r="AO208" i="10"/>
  <c r="AO186" i="10"/>
  <c r="AO164" i="10"/>
  <c r="AO142" i="10"/>
  <c r="AO120" i="10"/>
  <c r="AO98" i="10"/>
  <c r="AO76" i="10"/>
  <c r="AO54" i="10"/>
  <c r="AO32" i="10"/>
  <c r="AO10" i="10"/>
  <c r="AB254" i="10"/>
  <c r="AB232" i="10"/>
  <c r="AB210" i="10"/>
  <c r="S231" i="10"/>
  <c r="Y231" i="10"/>
  <c r="X231" i="10"/>
  <c r="W209" i="10"/>
  <c r="W143" i="10"/>
  <c r="T143" i="10"/>
  <c r="U143" i="10"/>
  <c r="R143" i="10"/>
  <c r="X99" i="10"/>
  <c r="AA99" i="10"/>
  <c r="AB99" i="10"/>
  <c r="AB77" i="10"/>
  <c r="S77" i="10"/>
  <c r="U77" i="10"/>
  <c r="T77" i="10"/>
  <c r="Y33" i="10"/>
  <c r="AB33" i="10"/>
  <c r="W33" i="10"/>
  <c r="T11" i="10"/>
  <c r="V11" i="10"/>
  <c r="AY248" i="10"/>
  <c r="AY226" i="10"/>
  <c r="AY204" i="10"/>
  <c r="AY182" i="10"/>
  <c r="AY160" i="10"/>
  <c r="AY138" i="10"/>
  <c r="AY116" i="10"/>
  <c r="AY94" i="10"/>
  <c r="AY72" i="10"/>
  <c r="AY50" i="10"/>
  <c r="AY28" i="10"/>
  <c r="AY6" i="10"/>
  <c r="AX236" i="10"/>
  <c r="AX214" i="10"/>
  <c r="AX192" i="10"/>
  <c r="AX170" i="10"/>
  <c r="AX148" i="10"/>
  <c r="AX126" i="10"/>
  <c r="AX104" i="10"/>
  <c r="AX82" i="10"/>
  <c r="AX60" i="10"/>
  <c r="AX38" i="10"/>
  <c r="AX16" i="10"/>
  <c r="AU234" i="10"/>
  <c r="AU212" i="10"/>
  <c r="AU190" i="10"/>
  <c r="AU168" i="10"/>
  <c r="AU146" i="10"/>
  <c r="AU124" i="10"/>
  <c r="AU102" i="10"/>
  <c r="AU80" i="10"/>
  <c r="AU58" i="10"/>
  <c r="AU36" i="10"/>
  <c r="AU14" i="10"/>
  <c r="AT244" i="10"/>
  <c r="AT222" i="10"/>
  <c r="AT200" i="10"/>
  <c r="AT178" i="10"/>
  <c r="AT156" i="10"/>
  <c r="AT134" i="10"/>
  <c r="AT112" i="10"/>
  <c r="AT90" i="10"/>
  <c r="AT68" i="10"/>
  <c r="AT46" i="10"/>
  <c r="AT24" i="10"/>
  <c r="AQ252" i="10"/>
  <c r="AQ230" i="10"/>
  <c r="AQ208" i="10"/>
  <c r="AQ186" i="10"/>
  <c r="AQ164" i="10"/>
  <c r="AQ142" i="10"/>
  <c r="AQ120" i="10"/>
  <c r="AQ98" i="10"/>
  <c r="AQ76" i="10"/>
  <c r="AQ54" i="10"/>
  <c r="AQ32" i="10"/>
  <c r="AQ10" i="10"/>
  <c r="W77" i="10"/>
  <c r="V143" i="10"/>
  <c r="S143" i="10"/>
  <c r="BB217" i="10"/>
  <c r="BB195" i="10"/>
  <c r="BB173" i="10"/>
  <c r="BB107" i="10"/>
  <c r="BB85" i="10"/>
  <c r="BB63" i="10"/>
  <c r="BB41" i="10"/>
  <c r="BB19" i="10"/>
  <c r="AZ237" i="10"/>
  <c r="AZ215" i="10"/>
  <c r="AZ193" i="10"/>
  <c r="AZ171" i="10"/>
  <c r="AZ149" i="10"/>
  <c r="AZ127" i="10"/>
  <c r="AZ105" i="10"/>
  <c r="AZ83" i="10"/>
  <c r="AZ61" i="10"/>
  <c r="AZ39" i="10"/>
  <c r="AZ17" i="10"/>
  <c r="AY247" i="10"/>
  <c r="AY225" i="10"/>
  <c r="AY203" i="10"/>
  <c r="AY181" i="10"/>
  <c r="AY159" i="10"/>
  <c r="AY137" i="10"/>
  <c r="AY115" i="10"/>
  <c r="AY93" i="10"/>
  <c r="AY71" i="10"/>
  <c r="AY49" i="10"/>
  <c r="AY27" i="10"/>
  <c r="AY5" i="10"/>
  <c r="AX235" i="10"/>
  <c r="AX213" i="10"/>
  <c r="AX191" i="10"/>
  <c r="AX169" i="10"/>
  <c r="AX147" i="10"/>
  <c r="AX125" i="10"/>
  <c r="AX103" i="10"/>
  <c r="AX81" i="10"/>
  <c r="AX59" i="10"/>
  <c r="AX37" i="10"/>
  <c r="AX15" i="10"/>
  <c r="AW245" i="10"/>
  <c r="AW223" i="10"/>
  <c r="AW201" i="10"/>
  <c r="AW179" i="10"/>
  <c r="AW157" i="10"/>
  <c r="AW135" i="10"/>
  <c r="AW113" i="10"/>
  <c r="AW91" i="10"/>
  <c r="AW69" i="10"/>
  <c r="AW47" i="10"/>
  <c r="AS231" i="10"/>
  <c r="AS209" i="10"/>
  <c r="AS187" i="10"/>
  <c r="AS121" i="10"/>
  <c r="AS99" i="10"/>
  <c r="AS77" i="10"/>
  <c r="AS55" i="10"/>
  <c r="Y77" i="10"/>
  <c r="X77" i="10"/>
  <c r="BB238" i="10"/>
  <c r="BB194" i="10"/>
  <c r="BB128" i="10"/>
  <c r="BB106" i="10"/>
  <c r="BB84" i="10"/>
  <c r="BB62" i="10"/>
  <c r="BB18" i="10"/>
  <c r="BA248" i="10"/>
  <c r="BA226" i="10"/>
  <c r="BA204" i="10"/>
  <c r="BA182" i="10"/>
  <c r="BA160" i="10"/>
  <c r="BA138" i="10"/>
  <c r="BA116" i="10"/>
  <c r="BA94" i="10"/>
  <c r="BA72" i="10"/>
  <c r="BA50" i="10"/>
  <c r="BA28" i="10"/>
  <c r="BA6" i="10"/>
  <c r="AZ236" i="10"/>
  <c r="AZ214" i="10"/>
  <c r="AZ192" i="10"/>
  <c r="AZ170" i="10"/>
  <c r="AZ148" i="10"/>
  <c r="AZ126" i="10"/>
  <c r="AZ104" i="10"/>
  <c r="AZ82" i="10"/>
  <c r="AZ60" i="10"/>
  <c r="AZ38" i="10"/>
  <c r="AZ16" i="10"/>
  <c r="AY246" i="10"/>
  <c r="AY224" i="10"/>
  <c r="AY202" i="10"/>
  <c r="AY180" i="10"/>
  <c r="AY158" i="10"/>
  <c r="AY136" i="10"/>
  <c r="AY114" i="10"/>
  <c r="AY92" i="10"/>
  <c r="AY70" i="10"/>
  <c r="AY48" i="10"/>
  <c r="AY26" i="10"/>
  <c r="AY4" i="10"/>
  <c r="AX234" i="10"/>
  <c r="AX212" i="10"/>
  <c r="AX190" i="10"/>
  <c r="AX168" i="10"/>
  <c r="AX146" i="10"/>
  <c r="AX124" i="10"/>
  <c r="AX102" i="10"/>
  <c r="AX80" i="10"/>
  <c r="AX58" i="10"/>
  <c r="AX36" i="10"/>
  <c r="AX14" i="10"/>
  <c r="AW244" i="10"/>
  <c r="AW222" i="10"/>
  <c r="AW200" i="10"/>
  <c r="AW178" i="10"/>
  <c r="AW156" i="10"/>
  <c r="AW134" i="10"/>
  <c r="AW112" i="10"/>
  <c r="AW90" i="10"/>
  <c r="AW68" i="10"/>
  <c r="AW46" i="10"/>
  <c r="AW24" i="10"/>
  <c r="AU254" i="10"/>
  <c r="AU232" i="10"/>
  <c r="AU210" i="10"/>
  <c r="AU188" i="10"/>
  <c r="AU166" i="10"/>
  <c r="AU144" i="10"/>
  <c r="AU122" i="10"/>
  <c r="AU100" i="10"/>
  <c r="AU78" i="10"/>
  <c r="AU56" i="10"/>
  <c r="AU34" i="10"/>
  <c r="AU12" i="10"/>
  <c r="AT242" i="10"/>
  <c r="AT220" i="10"/>
  <c r="AT198" i="10"/>
  <c r="AT176" i="10"/>
  <c r="AT154" i="10"/>
  <c r="AT132" i="10"/>
  <c r="AT110" i="10"/>
  <c r="AT88" i="10"/>
  <c r="AT66" i="10"/>
  <c r="AT44" i="10"/>
  <c r="AT22" i="10"/>
  <c r="AS208" i="10"/>
  <c r="AS186" i="10"/>
  <c r="AS164" i="10"/>
  <c r="AS120" i="10"/>
  <c r="AS32" i="10"/>
  <c r="AS10" i="10"/>
  <c r="AR240" i="10"/>
  <c r="AR218" i="10"/>
  <c r="AR196" i="10"/>
  <c r="AR174" i="10"/>
  <c r="AR152" i="10"/>
  <c r="AR130" i="10"/>
  <c r="AR108" i="10"/>
  <c r="AR86" i="10"/>
  <c r="AR64" i="10"/>
  <c r="AR42" i="10"/>
  <c r="AR20" i="10"/>
  <c r="AP238" i="10"/>
  <c r="AP216" i="10"/>
  <c r="AP194" i="10"/>
  <c r="AP172" i="10"/>
  <c r="AP150" i="10"/>
  <c r="AP128" i="10"/>
  <c r="AP106" i="10"/>
  <c r="AP84" i="10"/>
  <c r="AP62" i="10"/>
  <c r="AP40" i="10"/>
  <c r="AP18" i="10"/>
  <c r="AO248" i="10"/>
  <c r="AO226" i="10"/>
  <c r="AO204" i="10"/>
  <c r="AO182" i="10"/>
  <c r="AO160" i="10"/>
  <c r="AO138" i="10"/>
  <c r="AO116" i="10"/>
  <c r="AO94" i="10"/>
  <c r="AO72" i="10"/>
  <c r="AO50" i="10"/>
  <c r="AO28" i="10"/>
  <c r="AO6" i="10"/>
  <c r="AA238" i="10"/>
  <c r="AA216" i="10"/>
  <c r="AA194" i="10"/>
  <c r="AA172" i="10"/>
  <c r="AA150" i="10"/>
  <c r="AA128" i="10"/>
  <c r="AA106" i="10"/>
  <c r="AA84" i="10"/>
  <c r="AA62" i="10"/>
  <c r="AA40" i="10"/>
  <c r="AA18" i="10"/>
  <c r="Y248" i="10"/>
  <c r="Y226" i="10"/>
  <c r="Y204" i="10"/>
  <c r="Y182" i="10"/>
  <c r="Y160" i="10"/>
  <c r="Y138" i="10"/>
  <c r="Y116" i="10"/>
  <c r="Y94" i="10"/>
  <c r="Y72" i="10"/>
  <c r="Y50" i="10"/>
  <c r="Y28" i="10"/>
  <c r="Y6" i="10"/>
  <c r="X236" i="10"/>
  <c r="X214" i="10"/>
  <c r="X192" i="10"/>
  <c r="X170" i="10"/>
  <c r="X148" i="10"/>
  <c r="X126" i="10"/>
  <c r="AB231" i="10"/>
  <c r="AA33" i="10"/>
  <c r="AY56" i="10"/>
  <c r="AY34" i="10"/>
  <c r="AY12" i="10"/>
  <c r="AX242" i="10"/>
  <c r="AX220" i="10"/>
  <c r="AX198" i="10"/>
  <c r="AX176" i="10"/>
  <c r="AX154" i="10"/>
  <c r="AX132" i="10"/>
  <c r="AX110" i="10"/>
  <c r="AX88" i="10"/>
  <c r="AX66" i="10"/>
  <c r="AX44" i="10"/>
  <c r="AX22" i="10"/>
  <c r="AW252" i="10"/>
  <c r="AW230" i="10"/>
  <c r="AW208" i="10"/>
  <c r="AW186" i="10"/>
  <c r="AW164" i="10"/>
  <c r="AW142" i="10"/>
  <c r="AW120" i="10"/>
  <c r="AW98" i="10"/>
  <c r="AW76" i="10"/>
  <c r="AW54" i="10"/>
  <c r="AW32" i="10"/>
  <c r="AW10" i="10"/>
  <c r="AU240" i="10"/>
  <c r="AU218" i="10"/>
  <c r="AU196" i="10"/>
  <c r="AU174" i="10"/>
  <c r="AU152" i="10"/>
  <c r="AU130" i="10"/>
  <c r="AU108" i="10"/>
  <c r="AU86" i="10"/>
  <c r="AU64" i="10"/>
  <c r="AU42" i="10"/>
  <c r="AU20" i="10"/>
  <c r="AS216" i="10"/>
  <c r="AS172" i="10"/>
  <c r="AS150" i="10"/>
  <c r="AS18" i="10"/>
  <c r="AR248" i="10"/>
  <c r="AR226" i="10"/>
  <c r="AR204" i="10"/>
  <c r="AR182" i="10"/>
  <c r="AR160" i="10"/>
  <c r="AR138" i="10"/>
  <c r="AR116" i="10"/>
  <c r="AR94" i="10"/>
  <c r="AR72" i="10"/>
  <c r="AR50" i="10"/>
  <c r="AR28" i="10"/>
  <c r="AR6" i="10"/>
  <c r="AQ236" i="10"/>
  <c r="AQ214" i="10"/>
  <c r="AQ192" i="10"/>
  <c r="AQ148" i="10"/>
  <c r="AQ126" i="10"/>
  <c r="AQ104" i="10"/>
  <c r="AQ82" i="10"/>
  <c r="AQ60" i="10"/>
  <c r="AQ38" i="10"/>
  <c r="AP246" i="10"/>
  <c r="AP202" i="10"/>
  <c r="AP180" i="10"/>
  <c r="AP158" i="10"/>
  <c r="AP136" i="10"/>
  <c r="AP114" i="10"/>
  <c r="AP92" i="10"/>
  <c r="AP70" i="10"/>
  <c r="AP48" i="10"/>
  <c r="AP4" i="10"/>
  <c r="AO234" i="10"/>
  <c r="AO212" i="10"/>
  <c r="AO190" i="10"/>
  <c r="AO168" i="10"/>
  <c r="AO146" i="10"/>
  <c r="AO124" i="10"/>
  <c r="AO102" i="10"/>
  <c r="AO80" i="10"/>
  <c r="AO58" i="10"/>
  <c r="AO36" i="10"/>
  <c r="AO14" i="10"/>
  <c r="AB236" i="10"/>
  <c r="AB214" i="10"/>
  <c r="AB192" i="10"/>
  <c r="AB170" i="10"/>
  <c r="AB148" i="10"/>
  <c r="AB126" i="10"/>
  <c r="AB104" i="10"/>
  <c r="AB82" i="10"/>
  <c r="AB60" i="10"/>
  <c r="AB38" i="10"/>
  <c r="AB16" i="10"/>
  <c r="AA246" i="10"/>
  <c r="AA224" i="10"/>
  <c r="AA202" i="10"/>
  <c r="AA180" i="10"/>
  <c r="AA158" i="10"/>
  <c r="AA136" i="10"/>
  <c r="AA114" i="10"/>
  <c r="AA92" i="10"/>
  <c r="AA70" i="10"/>
  <c r="AA48" i="10"/>
  <c r="AA26" i="10"/>
  <c r="AA4" i="10"/>
  <c r="Y234" i="10"/>
  <c r="Y212" i="10"/>
  <c r="Y190" i="10"/>
  <c r="Y168" i="10"/>
  <c r="Y146" i="10"/>
  <c r="Y124" i="10"/>
  <c r="Y102" i="10"/>
  <c r="Y80" i="10"/>
  <c r="Y58" i="10"/>
  <c r="Y36" i="10"/>
  <c r="Y14" i="10"/>
  <c r="X244" i="10"/>
  <c r="X222" i="10"/>
  <c r="X200" i="10"/>
  <c r="X178" i="10"/>
  <c r="X156" i="10"/>
  <c r="X134" i="10"/>
  <c r="X112" i="10"/>
  <c r="X90" i="10"/>
  <c r="X68" i="10"/>
  <c r="X46" i="10"/>
  <c r="X24" i="10"/>
  <c r="U252" i="10"/>
  <c r="U230" i="10"/>
  <c r="U208" i="10"/>
  <c r="U186" i="10"/>
  <c r="U164" i="10"/>
  <c r="U142" i="10"/>
  <c r="U120" i="10"/>
  <c r="U98" i="10"/>
  <c r="U76" i="10"/>
  <c r="U54" i="10"/>
  <c r="U32" i="10"/>
  <c r="U10" i="10"/>
  <c r="AU239" i="10"/>
  <c r="AU217" i="10"/>
  <c r="AU195" i="10"/>
  <c r="AU173" i="10"/>
  <c r="AU151" i="10"/>
  <c r="AU129" i="10"/>
  <c r="AU107" i="10"/>
  <c r="AU85" i="10"/>
  <c r="AU63" i="10"/>
  <c r="AU41" i="10"/>
  <c r="AU19" i="10"/>
  <c r="AS237" i="10"/>
  <c r="AS215" i="10"/>
  <c r="AS193" i="10"/>
  <c r="AS149" i="10"/>
  <c r="AS105" i="10"/>
  <c r="AS83" i="10"/>
  <c r="AS61" i="10"/>
  <c r="AS39" i="10"/>
  <c r="AR247" i="10"/>
  <c r="AR225" i="10"/>
  <c r="AR203" i="10"/>
  <c r="AR181" i="10"/>
  <c r="AR159" i="10"/>
  <c r="AR137" i="10"/>
  <c r="AR115" i="10"/>
  <c r="AR93" i="10"/>
  <c r="AR71" i="10"/>
  <c r="AR49" i="10"/>
  <c r="AR27" i="10"/>
  <c r="AR5" i="10"/>
  <c r="AQ235" i="10"/>
  <c r="AQ213" i="10"/>
  <c r="AQ191" i="10"/>
  <c r="AQ169" i="10"/>
  <c r="AQ125" i="10"/>
  <c r="AQ103" i="10"/>
  <c r="AQ81" i="10"/>
  <c r="AQ59" i="10"/>
  <c r="AQ37" i="10"/>
  <c r="AP245" i="10"/>
  <c r="AP223" i="10"/>
  <c r="AP201" i="10"/>
  <c r="AP135" i="10"/>
  <c r="AP113" i="10"/>
  <c r="AP69" i="10"/>
  <c r="AP47" i="10"/>
  <c r="AP25" i="10"/>
  <c r="AO255" i="10"/>
  <c r="AO233" i="10"/>
  <c r="AO211" i="10"/>
  <c r="AO189" i="10"/>
  <c r="AO167" i="10"/>
  <c r="AO145" i="10"/>
  <c r="AO123" i="10"/>
  <c r="AO101" i="10"/>
  <c r="AO79" i="10"/>
  <c r="AO57" i="10"/>
  <c r="AO35" i="10"/>
  <c r="AO13" i="10"/>
  <c r="AY54" i="10"/>
  <c r="AY32" i="10"/>
  <c r="AY10" i="10"/>
  <c r="AX240" i="10"/>
  <c r="AX218" i="10"/>
  <c r="AX196" i="10"/>
  <c r="AX174" i="10"/>
  <c r="AX152" i="10"/>
  <c r="AX130" i="10"/>
  <c r="AX108" i="10"/>
  <c r="AX86" i="10"/>
  <c r="AX64" i="10"/>
  <c r="AX42" i="10"/>
  <c r="AX20" i="10"/>
  <c r="AU238" i="10"/>
  <c r="AU216" i="10"/>
  <c r="AU194" i="10"/>
  <c r="AU172" i="10"/>
  <c r="AU150" i="10"/>
  <c r="AU128" i="10"/>
  <c r="AU106" i="10"/>
  <c r="AU84" i="10"/>
  <c r="AU62" i="10"/>
  <c r="AU40" i="10"/>
  <c r="AU18" i="10"/>
  <c r="AT248" i="10"/>
  <c r="AT226" i="10"/>
  <c r="AT204" i="10"/>
  <c r="AT182" i="10"/>
  <c r="AT160" i="10"/>
  <c r="AT138" i="10"/>
  <c r="AT116" i="10"/>
  <c r="AT94" i="10"/>
  <c r="AT72" i="10"/>
  <c r="AT50" i="10"/>
  <c r="AT28" i="10"/>
  <c r="AT6" i="10"/>
  <c r="AS214" i="10"/>
  <c r="AS126" i="10"/>
  <c r="AS104" i="10"/>
  <c r="AS82" i="10"/>
  <c r="AS60" i="10"/>
  <c r="AR246" i="10"/>
  <c r="AR224" i="10"/>
  <c r="AR202" i="10"/>
  <c r="AR180" i="10"/>
  <c r="AR158" i="10"/>
  <c r="AR136" i="10"/>
  <c r="AR114" i="10"/>
  <c r="AR92" i="10"/>
  <c r="AR70" i="10"/>
  <c r="AR48" i="10"/>
  <c r="AR26" i="10"/>
  <c r="AR4" i="10"/>
  <c r="AQ234" i="10"/>
  <c r="AQ212" i="10"/>
  <c r="AQ190" i="10"/>
  <c r="AQ168" i="10"/>
  <c r="AQ146" i="10"/>
  <c r="AQ124" i="10"/>
  <c r="AQ102" i="10"/>
  <c r="AQ80" i="10"/>
  <c r="AQ58" i="10"/>
  <c r="AQ36" i="10"/>
  <c r="AQ14" i="10"/>
  <c r="AP222" i="10"/>
  <c r="AP112" i="10"/>
  <c r="AP90" i="10"/>
  <c r="AP68" i="10"/>
  <c r="AP46" i="10"/>
  <c r="AO254" i="10"/>
  <c r="AO232" i="10"/>
  <c r="AO210" i="10"/>
  <c r="AO188" i="10"/>
  <c r="AO166" i="10"/>
  <c r="AO144" i="10"/>
  <c r="AO122" i="10"/>
  <c r="AO100" i="10"/>
  <c r="AO78" i="10"/>
  <c r="AO56" i="10"/>
  <c r="AO34" i="10"/>
  <c r="AO12" i="10"/>
  <c r="AB234" i="10"/>
  <c r="AB212" i="10"/>
  <c r="AB190" i="10"/>
  <c r="AB168" i="10"/>
  <c r="AB146" i="10"/>
  <c r="AB124" i="10"/>
  <c r="AB102" i="10"/>
  <c r="AB80" i="10"/>
  <c r="AB58" i="10"/>
  <c r="AB36" i="10"/>
  <c r="AB14" i="10"/>
  <c r="AA244" i="10"/>
  <c r="AA222" i="10"/>
  <c r="AA200" i="10"/>
  <c r="AA178" i="10"/>
  <c r="AA156" i="10"/>
  <c r="AA134" i="10"/>
  <c r="AA112" i="10"/>
  <c r="AA90" i="10"/>
  <c r="AA68" i="10"/>
  <c r="AA46" i="10"/>
  <c r="AA24" i="10"/>
  <c r="Y254" i="10"/>
  <c r="Y232" i="10"/>
  <c r="Y210" i="10"/>
  <c r="Y188" i="10"/>
  <c r="Y166" i="10"/>
  <c r="Y144" i="10"/>
  <c r="Y122" i="10"/>
  <c r="Y100" i="10"/>
  <c r="Y78" i="10"/>
  <c r="Y56" i="10"/>
  <c r="Y34" i="10"/>
  <c r="Y12" i="10"/>
  <c r="W252" i="10"/>
  <c r="W230" i="10"/>
  <c r="W208" i="10"/>
  <c r="W186" i="10"/>
  <c r="W164" i="10"/>
  <c r="W142" i="10"/>
  <c r="W120" i="10"/>
  <c r="W98" i="10"/>
  <c r="W76" i="10"/>
  <c r="W54" i="10"/>
  <c r="W32" i="10"/>
  <c r="W10" i="10"/>
  <c r="S248" i="10"/>
  <c r="S226" i="10"/>
  <c r="S204" i="10"/>
  <c r="S182" i="10"/>
  <c r="S160" i="10"/>
  <c r="S138" i="10"/>
  <c r="S116" i="10"/>
  <c r="S94" i="10"/>
  <c r="S72" i="10"/>
  <c r="S50" i="10"/>
  <c r="S28" i="10"/>
  <c r="S6" i="10"/>
  <c r="R236" i="10"/>
  <c r="R214" i="10"/>
  <c r="R192" i="10"/>
  <c r="R170" i="10"/>
  <c r="R148" i="10"/>
  <c r="R126" i="10"/>
  <c r="R104" i="10"/>
  <c r="R82" i="10"/>
  <c r="R60" i="10"/>
  <c r="R38" i="10"/>
  <c r="R16" i="10"/>
  <c r="AB252" i="10"/>
  <c r="AB230" i="10"/>
  <c r="AB208" i="10"/>
  <c r="AB186" i="10"/>
  <c r="AB164" i="10"/>
  <c r="AB142" i="10"/>
  <c r="AB120" i="10"/>
  <c r="AB98" i="10"/>
  <c r="AB76" i="10"/>
  <c r="X104" i="10"/>
  <c r="X82" i="10"/>
  <c r="X60" i="10"/>
  <c r="X38" i="10"/>
  <c r="X16" i="10"/>
  <c r="W246" i="10"/>
  <c r="W224" i="10"/>
  <c r="W202" i="10"/>
  <c r="W180" i="10"/>
  <c r="W158" i="10"/>
  <c r="W136" i="10"/>
  <c r="W114" i="10"/>
  <c r="W92" i="10"/>
  <c r="W70" i="10"/>
  <c r="W48" i="10"/>
  <c r="W26" i="10"/>
  <c r="W4" i="10"/>
  <c r="V234" i="10"/>
  <c r="V212" i="10"/>
  <c r="V190" i="10"/>
  <c r="V168" i="10"/>
  <c r="V146" i="10"/>
  <c r="V124" i="10"/>
  <c r="V102" i="10"/>
  <c r="V80" i="10"/>
  <c r="V58" i="10"/>
  <c r="V36" i="10"/>
  <c r="V14" i="10"/>
  <c r="U244" i="10"/>
  <c r="U222" i="10"/>
  <c r="U200" i="10"/>
  <c r="U178" i="10"/>
  <c r="U156" i="10"/>
  <c r="U134" i="10"/>
  <c r="U112" i="10"/>
  <c r="U90" i="10"/>
  <c r="U68" i="10"/>
  <c r="U46" i="10"/>
  <c r="U24" i="10"/>
  <c r="T254" i="10"/>
  <c r="T232" i="10"/>
  <c r="T210" i="10"/>
  <c r="T188" i="10"/>
  <c r="T166" i="10"/>
  <c r="T144" i="10"/>
  <c r="T122" i="10"/>
  <c r="T100" i="10"/>
  <c r="T78" i="10"/>
  <c r="T56" i="10"/>
  <c r="T34" i="10"/>
  <c r="T12" i="10"/>
  <c r="S242" i="10"/>
  <c r="S220" i="10"/>
  <c r="S198" i="10"/>
  <c r="S176" i="10"/>
  <c r="S154" i="10"/>
  <c r="S132" i="10"/>
  <c r="S110" i="10"/>
  <c r="S88" i="10"/>
  <c r="S66" i="10"/>
  <c r="S44" i="10"/>
  <c r="S22" i="10"/>
  <c r="R252" i="10"/>
  <c r="R230" i="10"/>
  <c r="R208" i="10"/>
  <c r="R186" i="10"/>
  <c r="R164" i="10"/>
  <c r="R142" i="10"/>
  <c r="R120" i="10"/>
  <c r="R98" i="10"/>
  <c r="R76" i="10"/>
  <c r="R54" i="10"/>
  <c r="R32" i="10"/>
  <c r="R10" i="10"/>
  <c r="AB188" i="10"/>
  <c r="AB166" i="10"/>
  <c r="AB144" i="10"/>
  <c r="AB122" i="10"/>
  <c r="AB100" i="10"/>
  <c r="AB78" i="10"/>
  <c r="AB56" i="10"/>
  <c r="AB34" i="10"/>
  <c r="AB12" i="10"/>
  <c r="AA242" i="10"/>
  <c r="AA220" i="10"/>
  <c r="AA198" i="10"/>
  <c r="AA176" i="10"/>
  <c r="AA154" i="10"/>
  <c r="AA132" i="10"/>
  <c r="AA110" i="10"/>
  <c r="AA88" i="10"/>
  <c r="AA66" i="10"/>
  <c r="AA44" i="10"/>
  <c r="AA22" i="10"/>
  <c r="Y252" i="10"/>
  <c r="Y230" i="10"/>
  <c r="Y208" i="10"/>
  <c r="Y186" i="10"/>
  <c r="Y164" i="10"/>
  <c r="Y142" i="10"/>
  <c r="Y120" i="10"/>
  <c r="Y98" i="10"/>
  <c r="Y76" i="10"/>
  <c r="Y54" i="10"/>
  <c r="Y32" i="10"/>
  <c r="Y10" i="10"/>
  <c r="U248" i="10"/>
  <c r="U226" i="10"/>
  <c r="U204" i="10"/>
  <c r="U182" i="10"/>
  <c r="U160" i="10"/>
  <c r="U138" i="10"/>
  <c r="U116" i="10"/>
  <c r="U94" i="10"/>
  <c r="U72" i="10"/>
  <c r="U50" i="10"/>
  <c r="U28" i="10"/>
  <c r="U6" i="10"/>
  <c r="T236" i="10"/>
  <c r="T214" i="10"/>
  <c r="T192" i="10"/>
  <c r="T170" i="10"/>
  <c r="T148" i="10"/>
  <c r="T126" i="10"/>
  <c r="T104" i="10"/>
  <c r="T82" i="10"/>
  <c r="T60" i="10"/>
  <c r="T38" i="10"/>
  <c r="T16" i="10"/>
  <c r="S246" i="10"/>
  <c r="S224" i="10"/>
  <c r="S202" i="10"/>
  <c r="S180" i="10"/>
  <c r="S158" i="10"/>
  <c r="S136" i="10"/>
  <c r="S114" i="10"/>
  <c r="S92" i="10"/>
  <c r="S70" i="10"/>
  <c r="S48" i="10"/>
  <c r="S26" i="10"/>
  <c r="S4" i="10"/>
  <c r="R234" i="10"/>
  <c r="R212" i="10"/>
  <c r="R190" i="10"/>
  <c r="R168" i="10"/>
  <c r="R146" i="10"/>
  <c r="R124" i="10"/>
  <c r="R102" i="10"/>
  <c r="R80" i="10"/>
  <c r="R58" i="10"/>
  <c r="R36" i="10"/>
  <c r="R14" i="10"/>
  <c r="AB54" i="10"/>
  <c r="AB32" i="10"/>
  <c r="AB10" i="10"/>
  <c r="W248" i="10"/>
  <c r="W226" i="10"/>
  <c r="W204" i="10"/>
  <c r="W182" i="10"/>
  <c r="W160" i="10"/>
  <c r="W138" i="10"/>
  <c r="W116" i="10"/>
  <c r="W94" i="10"/>
  <c r="W72" i="10"/>
  <c r="W50" i="10"/>
  <c r="W28" i="10"/>
  <c r="W6" i="10"/>
  <c r="V236" i="10"/>
  <c r="V214" i="10"/>
  <c r="V192" i="10"/>
  <c r="V170" i="10"/>
  <c r="V148" i="10"/>
  <c r="V126" i="10"/>
  <c r="V104" i="10"/>
  <c r="V82" i="10"/>
  <c r="V60" i="10"/>
  <c r="V38" i="10"/>
  <c r="V16" i="10"/>
  <c r="T234" i="10"/>
  <c r="T212" i="10"/>
  <c r="T190" i="10"/>
  <c r="T168" i="10"/>
  <c r="T146" i="10"/>
  <c r="T124" i="10"/>
  <c r="T102" i="10"/>
  <c r="T80" i="10"/>
  <c r="T58" i="10"/>
  <c r="T36" i="10"/>
  <c r="T14" i="10"/>
  <c r="AS128" i="10"/>
  <c r="AS62" i="10"/>
  <c r="W254" i="10"/>
  <c r="W232" i="10"/>
  <c r="W210" i="10"/>
  <c r="W188" i="10"/>
  <c r="W166" i="10"/>
  <c r="W144" i="10"/>
  <c r="W122" i="10"/>
  <c r="W100" i="10"/>
  <c r="W78" i="10"/>
  <c r="W56" i="10"/>
  <c r="W34" i="10"/>
  <c r="W12" i="10"/>
  <c r="V242" i="10"/>
  <c r="V220" i="10"/>
  <c r="V198" i="10"/>
  <c r="V176" i="10"/>
  <c r="V154" i="10"/>
  <c r="V132" i="10"/>
  <c r="V110" i="10"/>
  <c r="V88" i="10"/>
  <c r="V66" i="10"/>
  <c r="V44" i="10"/>
  <c r="V22" i="10"/>
  <c r="T240" i="10"/>
  <c r="T218" i="10"/>
  <c r="T196" i="10"/>
  <c r="T174" i="10"/>
  <c r="T152" i="10"/>
  <c r="T130" i="10"/>
  <c r="T108" i="10"/>
  <c r="T86" i="10"/>
  <c r="T64" i="10"/>
  <c r="T42" i="10"/>
  <c r="T20" i="10"/>
  <c r="R238" i="10"/>
  <c r="R216" i="10"/>
  <c r="R194" i="10"/>
  <c r="R172" i="10"/>
  <c r="R150" i="10"/>
  <c r="R128" i="10"/>
  <c r="R106" i="10"/>
  <c r="R84" i="10"/>
  <c r="R62" i="10"/>
  <c r="R40" i="10"/>
  <c r="R18" i="10"/>
  <c r="U107" i="10"/>
  <c r="W239" i="10"/>
  <c r="R237" i="10"/>
  <c r="AB225" i="10"/>
  <c r="S225" i="10"/>
  <c r="U225" i="10"/>
  <c r="X225" i="10"/>
  <c r="Y225" i="10"/>
  <c r="V225" i="10"/>
  <c r="R225" i="10"/>
  <c r="W225" i="10"/>
  <c r="AA225" i="10"/>
  <c r="R203" i="10"/>
  <c r="T203" i="10"/>
  <c r="AB203" i="10"/>
  <c r="Y203" i="10"/>
  <c r="S203" i="10"/>
  <c r="X203" i="10"/>
  <c r="W203" i="10"/>
  <c r="AA203" i="10"/>
  <c r="AB159" i="10"/>
  <c r="AA159" i="10"/>
  <c r="R159" i="10"/>
  <c r="T159" i="10"/>
  <c r="U159" i="10"/>
  <c r="W159" i="10"/>
  <c r="X159" i="10"/>
  <c r="V137" i="10"/>
  <c r="S137" i="10"/>
  <c r="T137" i="10"/>
  <c r="U137" i="10"/>
  <c r="Y137" i="10"/>
  <c r="AB137" i="10"/>
  <c r="X137" i="10"/>
  <c r="AA137" i="10"/>
  <c r="AB93" i="10"/>
  <c r="AA93" i="10"/>
  <c r="W93" i="10"/>
  <c r="T93" i="10"/>
  <c r="R93" i="10"/>
  <c r="S93" i="10"/>
  <c r="U93" i="10"/>
  <c r="X71" i="10"/>
  <c r="R71" i="10"/>
  <c r="T71" i="10"/>
  <c r="S71" i="10"/>
  <c r="V71" i="10"/>
  <c r="W71" i="10"/>
  <c r="AA71" i="10"/>
  <c r="Y71" i="10"/>
  <c r="U71" i="10"/>
  <c r="AB27" i="10"/>
  <c r="U27" i="10"/>
  <c r="S27" i="10"/>
  <c r="Y27" i="10"/>
  <c r="V27" i="10"/>
  <c r="W27" i="10"/>
  <c r="X27" i="10"/>
  <c r="V5" i="10"/>
  <c r="R5" i="10"/>
  <c r="W5" i="10"/>
  <c r="AA5" i="10"/>
  <c r="T5" i="10"/>
  <c r="Y5" i="10"/>
  <c r="X242" i="10"/>
  <c r="X220" i="10"/>
  <c r="X198" i="10"/>
  <c r="X176" i="10"/>
  <c r="X154" i="10"/>
  <c r="X132" i="10"/>
  <c r="X110" i="10"/>
  <c r="X88" i="10"/>
  <c r="X66" i="10"/>
  <c r="X44" i="10"/>
  <c r="X22" i="10"/>
  <c r="V240" i="10"/>
  <c r="V218" i="10"/>
  <c r="V196" i="10"/>
  <c r="V174" i="10"/>
  <c r="V152" i="10"/>
  <c r="V130" i="10"/>
  <c r="V108" i="10"/>
  <c r="V86" i="10"/>
  <c r="V64" i="10"/>
  <c r="V42" i="10"/>
  <c r="V20" i="10"/>
  <c r="T238" i="10"/>
  <c r="T216" i="10"/>
  <c r="T194" i="10"/>
  <c r="T172" i="10"/>
  <c r="T150" i="10"/>
  <c r="T128" i="10"/>
  <c r="T106" i="10"/>
  <c r="T84" i="10"/>
  <c r="T62" i="10"/>
  <c r="T40" i="10"/>
  <c r="T18" i="10"/>
  <c r="AB71" i="10"/>
  <c r="AA131" i="10"/>
  <c r="AZ241" i="10"/>
  <c r="AZ219" i="10"/>
  <c r="AZ197" i="10"/>
  <c r="AZ175" i="10"/>
  <c r="AZ153" i="10"/>
  <c r="AZ131" i="10"/>
  <c r="AZ109" i="10"/>
  <c r="AZ87" i="10"/>
  <c r="AZ65" i="10"/>
  <c r="AZ43" i="10"/>
  <c r="AZ21" i="10"/>
  <c r="AX239" i="10"/>
  <c r="AX217" i="10"/>
  <c r="AX195" i="10"/>
  <c r="AX173" i="10"/>
  <c r="AX151" i="10"/>
  <c r="AX129" i="10"/>
  <c r="AX107" i="10"/>
  <c r="AX85" i="10"/>
  <c r="AX63" i="10"/>
  <c r="AX41" i="10"/>
  <c r="AX19" i="10"/>
  <c r="AU237" i="10"/>
  <c r="AU215" i="10"/>
  <c r="AU193" i="10"/>
  <c r="AU171" i="10"/>
  <c r="AU149" i="10"/>
  <c r="AU127" i="10"/>
  <c r="AU105" i="10"/>
  <c r="AU83" i="10"/>
  <c r="AU61" i="10"/>
  <c r="AU39" i="10"/>
  <c r="AU17" i="10"/>
  <c r="AT247" i="10"/>
  <c r="AT225" i="10"/>
  <c r="AT203" i="10"/>
  <c r="AT181" i="10"/>
  <c r="AT159" i="10"/>
  <c r="AT137" i="10"/>
  <c r="AT115" i="10"/>
  <c r="AT93" i="10"/>
  <c r="AT71" i="10"/>
  <c r="AT49" i="10"/>
  <c r="AT27" i="10"/>
  <c r="AT5" i="10"/>
  <c r="AA129" i="10"/>
  <c r="T27" i="10"/>
  <c r="X240" i="10"/>
  <c r="X218" i="10"/>
  <c r="X196" i="10"/>
  <c r="X174" i="10"/>
  <c r="X152" i="10"/>
  <c r="X130" i="10"/>
  <c r="X108" i="10"/>
  <c r="X86" i="10"/>
  <c r="X64" i="10"/>
  <c r="X42" i="10"/>
  <c r="X20" i="10"/>
  <c r="V238" i="10"/>
  <c r="V216" i="10"/>
  <c r="V194" i="10"/>
  <c r="V172" i="10"/>
  <c r="V150" i="10"/>
  <c r="V128" i="10"/>
  <c r="V106" i="10"/>
  <c r="V84" i="10"/>
  <c r="V62" i="10"/>
  <c r="V40" i="10"/>
  <c r="V18" i="10"/>
  <c r="V159" i="10"/>
  <c r="BB241" i="10"/>
  <c r="BB197" i="10"/>
  <c r="BB131" i="10"/>
  <c r="BB109" i="10"/>
  <c r="BB87" i="10"/>
  <c r="BB65" i="10"/>
  <c r="BB43" i="10"/>
  <c r="AZ239" i="10"/>
  <c r="AZ217" i="10"/>
  <c r="AZ195" i="10"/>
  <c r="AZ173" i="10"/>
  <c r="AZ151" i="10"/>
  <c r="AZ129" i="10"/>
  <c r="AZ107" i="10"/>
  <c r="AZ85" i="10"/>
  <c r="AZ63" i="10"/>
  <c r="AZ41" i="10"/>
  <c r="AZ19" i="10"/>
  <c r="AX237" i="10"/>
  <c r="AX215" i="10"/>
  <c r="AX193" i="10"/>
  <c r="AX171" i="10"/>
  <c r="AX149" i="10"/>
  <c r="AX127" i="10"/>
  <c r="AX105" i="10"/>
  <c r="AX83" i="10"/>
  <c r="AX61" i="10"/>
  <c r="AX39" i="10"/>
  <c r="AX17" i="10"/>
  <c r="AW247" i="10"/>
  <c r="AW225" i="10"/>
  <c r="AW203" i="10"/>
  <c r="AW181" i="10"/>
  <c r="AW159" i="10"/>
  <c r="AW137" i="10"/>
  <c r="AW115" i="10"/>
  <c r="W219" i="10"/>
  <c r="BB240" i="10"/>
  <c r="BB196" i="10"/>
  <c r="BB152" i="10"/>
  <c r="BB130" i="10"/>
  <c r="BB108" i="10"/>
  <c r="BB42" i="10"/>
  <c r="W215" i="10"/>
  <c r="U219" i="10"/>
  <c r="T219" i="10"/>
  <c r="X219" i="10"/>
  <c r="V219" i="10"/>
  <c r="S219" i="10"/>
  <c r="AB219" i="10"/>
  <c r="Y219" i="10"/>
  <c r="AA219" i="10"/>
  <c r="Y197" i="10"/>
  <c r="X197" i="10"/>
  <c r="U197" i="10"/>
  <c r="AA197" i="10"/>
  <c r="S197" i="10"/>
  <c r="T197" i="10"/>
  <c r="V197" i="10"/>
  <c r="W197" i="10"/>
  <c r="R197" i="10"/>
  <c r="U153" i="10"/>
  <c r="T153" i="10"/>
  <c r="AA153" i="10"/>
  <c r="S153" i="10"/>
  <c r="V153" i="10"/>
  <c r="AB153" i="10"/>
  <c r="W153" i="10"/>
  <c r="X153" i="10"/>
  <c r="R131" i="10"/>
  <c r="T131" i="10"/>
  <c r="AB131" i="10"/>
  <c r="V131" i="10"/>
  <c r="W131" i="10"/>
  <c r="X131" i="10"/>
  <c r="Y131" i="10"/>
  <c r="U87" i="10"/>
  <c r="T87" i="10"/>
  <c r="AA87" i="10"/>
  <c r="AB87" i="10"/>
  <c r="R87" i="10"/>
  <c r="V87" i="10"/>
  <c r="V65" i="10"/>
  <c r="R65" i="10"/>
  <c r="AA65" i="10"/>
  <c r="AB65" i="10"/>
  <c r="T65" i="10"/>
  <c r="U65" i="10"/>
  <c r="W65" i="10"/>
  <c r="S65" i="10"/>
  <c r="U21" i="10"/>
  <c r="T21" i="10"/>
  <c r="S21" i="10"/>
  <c r="X21" i="10"/>
  <c r="AA21" i="10"/>
  <c r="AB21" i="10"/>
  <c r="R21" i="10"/>
  <c r="V21" i="10"/>
  <c r="S239" i="10"/>
  <c r="AA239" i="10"/>
  <c r="R239" i="10"/>
  <c r="T239" i="10"/>
  <c r="Y239" i="10"/>
  <c r="AB239" i="10"/>
  <c r="S195" i="10"/>
  <c r="R195" i="10"/>
  <c r="AB195" i="10"/>
  <c r="X195" i="10"/>
  <c r="T195" i="10"/>
  <c r="V195" i="10"/>
  <c r="W195" i="10"/>
  <c r="U195" i="10"/>
  <c r="Y195" i="10"/>
  <c r="U173" i="10"/>
  <c r="W173" i="10"/>
  <c r="R173" i="10"/>
  <c r="AA173" i="10"/>
  <c r="X173" i="10"/>
  <c r="Y173" i="10"/>
  <c r="S173" i="10"/>
  <c r="T173" i="10"/>
  <c r="V173" i="10"/>
  <c r="S129" i="10"/>
  <c r="R129" i="10"/>
  <c r="W129" i="10"/>
  <c r="X129" i="10"/>
  <c r="Y129" i="10"/>
  <c r="V129" i="10"/>
  <c r="AB129" i="10"/>
  <c r="Y107" i="10"/>
  <c r="S107" i="10"/>
  <c r="AB107" i="10"/>
  <c r="R107" i="10"/>
  <c r="AA107" i="10"/>
  <c r="T107" i="10"/>
  <c r="V107" i="10"/>
  <c r="W107" i="10"/>
  <c r="S63" i="10"/>
  <c r="R63" i="10"/>
  <c r="T63" i="10"/>
  <c r="AA63" i="10"/>
  <c r="AB63" i="10"/>
  <c r="V63" i="10"/>
  <c r="U63" i="10"/>
  <c r="W63" i="10"/>
  <c r="U41" i="10"/>
  <c r="W41" i="10"/>
  <c r="Y41" i="10"/>
  <c r="V41" i="10"/>
  <c r="AB41" i="10"/>
  <c r="X41" i="10"/>
  <c r="R41" i="10"/>
  <c r="T41" i="10"/>
  <c r="U237" i="10"/>
  <c r="Y237" i="10"/>
  <c r="V237" i="10"/>
  <c r="S237" i="10"/>
  <c r="AB237" i="10"/>
  <c r="X237" i="10"/>
  <c r="AA237" i="10"/>
  <c r="T237" i="10"/>
  <c r="X215" i="10"/>
  <c r="R215" i="10"/>
  <c r="V215" i="10"/>
  <c r="Y215" i="10"/>
  <c r="AA215" i="10"/>
  <c r="AB215" i="10"/>
  <c r="S171" i="10"/>
  <c r="AA171" i="10"/>
  <c r="AB171" i="10"/>
  <c r="W171" i="10"/>
  <c r="T171" i="10"/>
  <c r="V171" i="10"/>
  <c r="Y171" i="10"/>
  <c r="X171" i="10"/>
  <c r="V149" i="10"/>
  <c r="AA149" i="10"/>
  <c r="R149" i="10"/>
  <c r="AB149" i="10"/>
  <c r="U149" i="10"/>
  <c r="W149" i="10"/>
  <c r="T149" i="10"/>
  <c r="Y149" i="10"/>
  <c r="S149" i="10"/>
  <c r="X149" i="10"/>
  <c r="U105" i="10"/>
  <c r="W105" i="10"/>
  <c r="X105" i="10"/>
  <c r="R105" i="10"/>
  <c r="AA105" i="10"/>
  <c r="S105" i="10"/>
  <c r="AA83" i="10"/>
  <c r="X83" i="10"/>
  <c r="S83" i="10"/>
  <c r="T83" i="10"/>
  <c r="R83" i="10"/>
  <c r="U83" i="10"/>
  <c r="W83" i="10"/>
  <c r="V83" i="10"/>
  <c r="Y39" i="10"/>
  <c r="W39" i="10"/>
  <c r="AB39" i="10"/>
  <c r="X39" i="10"/>
  <c r="AA39" i="10"/>
  <c r="T39" i="10"/>
  <c r="U39" i="10"/>
  <c r="AB17" i="10"/>
  <c r="S17" i="10"/>
  <c r="AA17" i="10"/>
  <c r="R17" i="10"/>
  <c r="U17" i="10"/>
  <c r="V17" i="10"/>
  <c r="X17" i="10"/>
  <c r="Y17" i="10"/>
  <c r="X63" i="10"/>
  <c r="U171" i="10"/>
  <c r="S215" i="10"/>
  <c r="Y105" i="10"/>
  <c r="X239" i="10"/>
  <c r="V93" i="10"/>
  <c r="U5" i="10"/>
  <c r="W137" i="10"/>
  <c r="T105" i="10"/>
  <c r="R153" i="10"/>
  <c r="AO241" i="10"/>
  <c r="AO219" i="10"/>
  <c r="AO197" i="10"/>
  <c r="AO175" i="10"/>
  <c r="AO153" i="10"/>
  <c r="AO131" i="10"/>
  <c r="AO109" i="10"/>
  <c r="AO87" i="10"/>
  <c r="AO65" i="10"/>
  <c r="AO43" i="10"/>
  <c r="AO21" i="10"/>
  <c r="V239" i="10"/>
  <c r="S41" i="10"/>
  <c r="AO240" i="10"/>
  <c r="AO218" i="10"/>
  <c r="AO196" i="10"/>
  <c r="AO174" i="10"/>
  <c r="AO152" i="10"/>
  <c r="AO130" i="10"/>
  <c r="AO108" i="10"/>
  <c r="AO86" i="10"/>
  <c r="AO64" i="10"/>
  <c r="AO42" i="10"/>
  <c r="AO20" i="10"/>
  <c r="Y240" i="10"/>
  <c r="Y218" i="10"/>
  <c r="Y196" i="10"/>
  <c r="Y174" i="10"/>
  <c r="Y152" i="10"/>
  <c r="Y130" i="10"/>
  <c r="Y108" i="10"/>
  <c r="Y86" i="10"/>
  <c r="Y64" i="10"/>
  <c r="Y42" i="10"/>
  <c r="Y20" i="10"/>
  <c r="AA195" i="10"/>
  <c r="S39" i="10"/>
  <c r="AB105" i="10"/>
  <c r="Y93" i="10"/>
  <c r="R137" i="10"/>
  <c r="BA238" i="10"/>
  <c r="BA216" i="10"/>
  <c r="BA194" i="10"/>
  <c r="BA172" i="10"/>
  <c r="BA150" i="10"/>
  <c r="BA128" i="10"/>
  <c r="BA106" i="10"/>
  <c r="BA84" i="10"/>
  <c r="BA62" i="10"/>
  <c r="BA40" i="10"/>
  <c r="BA18" i="10"/>
  <c r="AT254" i="10"/>
  <c r="AT232" i="10"/>
  <c r="AT210" i="10"/>
  <c r="AT188" i="10"/>
  <c r="AT166" i="10"/>
  <c r="AT144" i="10"/>
  <c r="AT122" i="10"/>
  <c r="AT100" i="10"/>
  <c r="AT78" i="10"/>
  <c r="AT56" i="10"/>
  <c r="AT34" i="10"/>
  <c r="AT12" i="10"/>
  <c r="AS220" i="10"/>
  <c r="AS198" i="10"/>
  <c r="AS176" i="10"/>
  <c r="AS154" i="10"/>
  <c r="AS132" i="10"/>
  <c r="AS110" i="10"/>
  <c r="AS66" i="10"/>
  <c r="AS44" i="10"/>
  <c r="AA41" i="10"/>
  <c r="Y87" i="10"/>
  <c r="V39" i="10"/>
  <c r="U131" i="10"/>
  <c r="AQ239" i="10"/>
  <c r="AQ217" i="10"/>
  <c r="AQ195" i="10"/>
  <c r="AQ173" i="10"/>
  <c r="AQ129" i="10"/>
  <c r="AQ107" i="10"/>
  <c r="AQ85" i="10"/>
  <c r="AQ63" i="10"/>
  <c r="AQ41" i="10"/>
  <c r="AQ19" i="10"/>
  <c r="Y83" i="10"/>
  <c r="V203" i="10"/>
  <c r="U129" i="10"/>
  <c r="T225" i="10"/>
  <c r="AS240" i="10"/>
  <c r="AS174" i="10"/>
  <c r="AS152" i="10"/>
  <c r="AS130" i="10"/>
  <c r="AS108" i="10"/>
  <c r="AS86" i="10"/>
  <c r="AS64" i="10"/>
  <c r="AS42" i="10"/>
  <c r="AS20" i="10"/>
  <c r="AQ238" i="10"/>
  <c r="AQ216" i="10"/>
  <c r="AQ172" i="10"/>
  <c r="AQ150" i="10"/>
  <c r="AQ128" i="10"/>
  <c r="AQ84" i="10"/>
  <c r="AQ62" i="10"/>
  <c r="AQ40" i="10"/>
  <c r="AQ18" i="10"/>
  <c r="AB238" i="10"/>
  <c r="AB216" i="10"/>
  <c r="AB194" i="10"/>
  <c r="AB172" i="10"/>
  <c r="AB150" i="10"/>
  <c r="AB128" i="10"/>
  <c r="AB106" i="10"/>
  <c r="AB84" i="10"/>
  <c r="AB62" i="10"/>
  <c r="AB40" i="10"/>
  <c r="AB18" i="10"/>
  <c r="U254" i="10"/>
  <c r="U232" i="10"/>
  <c r="U210" i="10"/>
  <c r="U188" i="10"/>
  <c r="U166" i="10"/>
  <c r="U144" i="10"/>
  <c r="U122" i="10"/>
  <c r="U100" i="10"/>
  <c r="U78" i="10"/>
  <c r="U56" i="10"/>
  <c r="U34" i="10"/>
  <c r="U12" i="10"/>
  <c r="T242" i="10"/>
  <c r="T220" i="10"/>
  <c r="T198" i="10"/>
  <c r="T176" i="10"/>
  <c r="T154" i="10"/>
  <c r="T132" i="10"/>
  <c r="T110" i="10"/>
  <c r="T88" i="10"/>
  <c r="T66" i="10"/>
  <c r="T44" i="10"/>
  <c r="T22" i="10"/>
  <c r="R240" i="10"/>
  <c r="R218" i="10"/>
  <c r="R196" i="10"/>
  <c r="R174" i="10"/>
  <c r="R152" i="10"/>
  <c r="R130" i="10"/>
  <c r="R108" i="10"/>
  <c r="R86" i="10"/>
  <c r="R64" i="10"/>
  <c r="R42" i="10"/>
  <c r="R20" i="10"/>
  <c r="X5" i="10"/>
  <c r="T215" i="10"/>
  <c r="S5" i="10"/>
  <c r="AU241" i="10"/>
  <c r="AU219" i="10"/>
  <c r="AU197" i="10"/>
  <c r="AU175" i="10"/>
  <c r="AU153" i="10"/>
  <c r="AU131" i="10"/>
  <c r="AU109" i="10"/>
  <c r="AU87" i="10"/>
  <c r="AU65" i="10"/>
  <c r="AU43" i="10"/>
  <c r="AU21" i="10"/>
  <c r="AS173" i="10"/>
  <c r="AS151" i="10"/>
  <c r="AS129" i="10"/>
  <c r="AS107" i="10"/>
  <c r="AS63" i="10"/>
  <c r="AS19" i="10"/>
  <c r="AQ237" i="10"/>
  <c r="AQ215" i="10"/>
  <c r="AQ193" i="10"/>
  <c r="AQ171" i="10"/>
  <c r="AQ149" i="10"/>
  <c r="AQ127" i="10"/>
  <c r="AQ105" i="10"/>
  <c r="AQ83" i="10"/>
  <c r="AQ61" i="10"/>
  <c r="AQ39" i="10"/>
  <c r="AQ17" i="10"/>
  <c r="AP247" i="10"/>
  <c r="AP225" i="10"/>
  <c r="AP203" i="10"/>
  <c r="AP181" i="10"/>
  <c r="AP159" i="10"/>
  <c r="AP137" i="10"/>
  <c r="AP115" i="10"/>
  <c r="AP71" i="10"/>
  <c r="AP49" i="10"/>
  <c r="AP27" i="10"/>
  <c r="AP5" i="10"/>
  <c r="Y65" i="10"/>
  <c r="W87" i="10"/>
  <c r="S159" i="10"/>
  <c r="W238" i="10"/>
  <c r="W216" i="10"/>
  <c r="W194" i="10"/>
  <c r="W172" i="10"/>
  <c r="W150" i="10"/>
  <c r="W128" i="10"/>
  <c r="W106" i="10"/>
  <c r="W84" i="10"/>
  <c r="W62" i="10"/>
  <c r="W40" i="10"/>
  <c r="U245" i="10"/>
  <c r="AA245" i="10"/>
  <c r="V245" i="10"/>
  <c r="T245" i="10"/>
  <c r="S245" i="10"/>
  <c r="Y201" i="10"/>
  <c r="AA201" i="10"/>
  <c r="X201" i="10"/>
  <c r="AB201" i="10"/>
  <c r="R201" i="10"/>
  <c r="W201" i="10"/>
  <c r="Y179" i="10"/>
  <c r="W179" i="10"/>
  <c r="S179" i="10"/>
  <c r="AA179" i="10"/>
  <c r="R179" i="10"/>
  <c r="T179" i="10"/>
  <c r="Y135" i="10"/>
  <c r="AA135" i="10"/>
  <c r="X135" i="10"/>
  <c r="R135" i="10"/>
  <c r="T135" i="10"/>
  <c r="V135" i="10"/>
  <c r="U113" i="10"/>
  <c r="X113" i="10"/>
  <c r="Y113" i="10"/>
  <c r="S113" i="10"/>
  <c r="AB113" i="10"/>
  <c r="Y69" i="10"/>
  <c r="AA69" i="10"/>
  <c r="X69" i="10"/>
  <c r="V69" i="10"/>
  <c r="R69" i="10"/>
  <c r="T69" i="10"/>
  <c r="U69" i="10"/>
  <c r="W69" i="10"/>
  <c r="AB47" i="10"/>
  <c r="Y47" i="10"/>
  <c r="W47" i="10"/>
  <c r="T47" i="10"/>
  <c r="S47" i="10"/>
  <c r="W18" i="10"/>
  <c r="BA239" i="10"/>
  <c r="BA217" i="10"/>
  <c r="BA195" i="10"/>
  <c r="BA173" i="10"/>
  <c r="BA151" i="10"/>
  <c r="BA129" i="10"/>
  <c r="BA107" i="10"/>
  <c r="BA85" i="10"/>
  <c r="BA63" i="10"/>
  <c r="BA41" i="10"/>
  <c r="BA19" i="10"/>
  <c r="AY237" i="10"/>
  <c r="AY215" i="10"/>
  <c r="AY193" i="10"/>
  <c r="AY171" i="10"/>
  <c r="AY149" i="10"/>
  <c r="AY127" i="10"/>
  <c r="AY105" i="10"/>
  <c r="AY83" i="10"/>
  <c r="AY61" i="10"/>
  <c r="AY39" i="10"/>
  <c r="AY17" i="10"/>
  <c r="S69" i="10"/>
  <c r="AQ240" i="10"/>
  <c r="AQ218" i="10"/>
  <c r="AQ196" i="10"/>
  <c r="AQ174" i="10"/>
  <c r="AQ152" i="10"/>
  <c r="AQ130" i="10"/>
  <c r="AQ108" i="10"/>
  <c r="AQ86" i="10"/>
  <c r="AQ64" i="10"/>
  <c r="AQ42" i="10"/>
  <c r="AQ20" i="10"/>
  <c r="AO238" i="10"/>
  <c r="AO216" i="10"/>
  <c r="AO194" i="10"/>
  <c r="AO172" i="10"/>
  <c r="AO150" i="10"/>
  <c r="AO128" i="10"/>
  <c r="AO106" i="10"/>
  <c r="AO84" i="10"/>
  <c r="AO62" i="10"/>
  <c r="AO40" i="10"/>
  <c r="AO18" i="10"/>
  <c r="W243" i="10"/>
  <c r="V243" i="10"/>
  <c r="S243" i="10"/>
  <c r="AB243" i="10"/>
  <c r="T243" i="10"/>
  <c r="Y243" i="10"/>
  <c r="T221" i="10"/>
  <c r="V221" i="10"/>
  <c r="S221" i="10"/>
  <c r="U221" i="10"/>
  <c r="W221" i="10"/>
  <c r="W177" i="10"/>
  <c r="V177" i="10"/>
  <c r="U177" i="10"/>
  <c r="R177" i="10"/>
  <c r="AA177" i="10"/>
  <c r="AA155" i="10"/>
  <c r="X155" i="10"/>
  <c r="T155" i="10"/>
  <c r="Y155" i="10"/>
  <c r="W111" i="10"/>
  <c r="V111" i="10"/>
  <c r="Y111" i="10"/>
  <c r="AB111" i="10"/>
  <c r="X111" i="10"/>
  <c r="R111" i="10"/>
  <c r="AA111" i="10"/>
  <c r="R89" i="10"/>
  <c r="U89" i="10"/>
  <c r="T89" i="10"/>
  <c r="W45" i="10"/>
  <c r="V45" i="10"/>
  <c r="X45" i="10"/>
  <c r="Y45" i="10"/>
  <c r="T45" i="10"/>
  <c r="S45" i="10"/>
  <c r="S23" i="10"/>
  <c r="AA23" i="10"/>
  <c r="AB23" i="10"/>
  <c r="AP243" i="10"/>
  <c r="AP221" i="10"/>
  <c r="AP177" i="10"/>
  <c r="AP155" i="10"/>
  <c r="AP133" i="10"/>
  <c r="AP111" i="10"/>
  <c r="AP89" i="10"/>
  <c r="AP67" i="10"/>
  <c r="AP23" i="10"/>
  <c r="AB177" i="10"/>
  <c r="AB45" i="10"/>
  <c r="Y89" i="10"/>
  <c r="X221" i="10"/>
  <c r="X89" i="10"/>
  <c r="W233" i="10"/>
  <c r="U111" i="10"/>
  <c r="S135" i="10"/>
  <c r="AZ238" i="10"/>
  <c r="AZ216" i="10"/>
  <c r="AZ194" i="10"/>
  <c r="AZ172" i="10"/>
  <c r="AZ150" i="10"/>
  <c r="AZ128" i="10"/>
  <c r="AZ106" i="10"/>
  <c r="AZ84" i="10"/>
  <c r="AZ62" i="10"/>
  <c r="AZ40" i="10"/>
  <c r="AZ18" i="10"/>
  <c r="AW246" i="10"/>
  <c r="AW224" i="10"/>
  <c r="AW202" i="10"/>
  <c r="AW180" i="10"/>
  <c r="AW158" i="10"/>
  <c r="AW136" i="10"/>
  <c r="AW114" i="10"/>
  <c r="AW92" i="10"/>
  <c r="AW70" i="10"/>
  <c r="AW48" i="10"/>
  <c r="AW26" i="10"/>
  <c r="AW4" i="10"/>
  <c r="AS254" i="10"/>
  <c r="AS210" i="10"/>
  <c r="AS188" i="10"/>
  <c r="AS166" i="10"/>
  <c r="AS144" i="10"/>
  <c r="AS100" i="10"/>
  <c r="AS56" i="10"/>
  <c r="AS34" i="10"/>
  <c r="AS12" i="10"/>
  <c r="AR242" i="10"/>
  <c r="AR220" i="10"/>
  <c r="AR198" i="10"/>
  <c r="AR176" i="10"/>
  <c r="AR154" i="10"/>
  <c r="AR132" i="10"/>
  <c r="AR110" i="10"/>
  <c r="AR88" i="10"/>
  <c r="AR66" i="10"/>
  <c r="AR44" i="10"/>
  <c r="AR22" i="10"/>
  <c r="AP240" i="10"/>
  <c r="AP218" i="10"/>
  <c r="AP196" i="10"/>
  <c r="AP174" i="10"/>
  <c r="AP152" i="10"/>
  <c r="AP130" i="10"/>
  <c r="AP108" i="10"/>
  <c r="AP86" i="10"/>
  <c r="AP64" i="10"/>
  <c r="AP42" i="10"/>
  <c r="AP20" i="10"/>
  <c r="AA240" i="10"/>
  <c r="AA218" i="10"/>
  <c r="AA196" i="10"/>
  <c r="AA174" i="10"/>
  <c r="AA152" i="10"/>
  <c r="AA130" i="10"/>
  <c r="AA108" i="10"/>
  <c r="AA86" i="10"/>
  <c r="AA64" i="10"/>
  <c r="AA42" i="10"/>
  <c r="AA20" i="10"/>
  <c r="W89" i="10"/>
  <c r="R245" i="10"/>
  <c r="X255" i="10"/>
  <c r="W255" i="10"/>
  <c r="Y255" i="10"/>
  <c r="AA255" i="10"/>
  <c r="T255" i="10"/>
  <c r="AA233" i="10"/>
  <c r="AB233" i="10"/>
  <c r="S233" i="10"/>
  <c r="V233" i="10"/>
  <c r="X233" i="10"/>
  <c r="X189" i="10"/>
  <c r="W189" i="10"/>
  <c r="U189" i="10"/>
  <c r="R189" i="10"/>
  <c r="AA189" i="10"/>
  <c r="S167" i="10"/>
  <c r="AA167" i="10"/>
  <c r="R167" i="10"/>
  <c r="T167" i="10"/>
  <c r="W167" i="10"/>
  <c r="V167" i="10"/>
  <c r="Y167" i="10"/>
  <c r="X123" i="10"/>
  <c r="W123" i="10"/>
  <c r="AB123" i="10"/>
  <c r="V123" i="10"/>
  <c r="U123" i="10"/>
  <c r="U101" i="10"/>
  <c r="W101" i="10"/>
  <c r="X101" i="10"/>
  <c r="X57" i="10"/>
  <c r="W57" i="10"/>
  <c r="R57" i="10"/>
  <c r="S57" i="10"/>
  <c r="U57" i="10"/>
  <c r="V57" i="10"/>
  <c r="Y57" i="10"/>
  <c r="Y35" i="10"/>
  <c r="S35" i="10"/>
  <c r="X35" i="10"/>
  <c r="V35" i="10"/>
  <c r="AB35" i="10"/>
  <c r="AT241" i="10"/>
  <c r="AT219" i="10"/>
  <c r="AT197" i="10"/>
  <c r="AT175" i="10"/>
  <c r="AT153" i="10"/>
  <c r="AT131" i="10"/>
  <c r="AT109" i="10"/>
  <c r="AT87" i="10"/>
  <c r="AT65" i="10"/>
  <c r="AT43" i="10"/>
  <c r="AT21" i="10"/>
  <c r="AR239" i="10"/>
  <c r="AR217" i="10"/>
  <c r="AR195" i="10"/>
  <c r="AR173" i="10"/>
  <c r="AR151" i="10"/>
  <c r="AR129" i="10"/>
  <c r="AR107" i="10"/>
  <c r="AR85" i="10"/>
  <c r="AR63" i="10"/>
  <c r="AR41" i="10"/>
  <c r="AR19" i="10"/>
  <c r="AP237" i="10"/>
  <c r="AP215" i="10"/>
  <c r="AP193" i="10"/>
  <c r="AP171" i="10"/>
  <c r="AP149" i="10"/>
  <c r="AP127" i="10"/>
  <c r="AP105" i="10"/>
  <c r="AP83" i="10"/>
  <c r="AP61" i="10"/>
  <c r="AP39" i="10"/>
  <c r="AP17" i="10"/>
  <c r="AO247" i="10"/>
  <c r="AO225" i="10"/>
  <c r="AO203" i="10"/>
  <c r="AO181" i="10"/>
  <c r="AO159" i="10"/>
  <c r="AO137" i="10"/>
  <c r="AO115" i="10"/>
  <c r="AO93" i="10"/>
  <c r="AO71" i="10"/>
  <c r="AO49" i="10"/>
  <c r="AO27" i="10"/>
  <c r="AO5" i="10"/>
  <c r="V201" i="10"/>
  <c r="BA246" i="10"/>
  <c r="BA224" i="10"/>
  <c r="BA202" i="10"/>
  <c r="BA180" i="10"/>
  <c r="BA158" i="10"/>
  <c r="BA136" i="10"/>
  <c r="BA114" i="10"/>
  <c r="BA92" i="10"/>
  <c r="BA70" i="10"/>
  <c r="BA48" i="10"/>
  <c r="BA26" i="10"/>
  <c r="BA4" i="10"/>
  <c r="AY244" i="10"/>
  <c r="AA123" i="10"/>
  <c r="T201" i="10"/>
  <c r="S101" i="10"/>
  <c r="BA245" i="10"/>
  <c r="BA223" i="10"/>
  <c r="BA201" i="10"/>
  <c r="BA179" i="10"/>
  <c r="BA157" i="10"/>
  <c r="BA135" i="10"/>
  <c r="BA113" i="10"/>
  <c r="BA91" i="10"/>
  <c r="BA69" i="10"/>
  <c r="BA47" i="10"/>
  <c r="BA25" i="10"/>
  <c r="AW241" i="10"/>
  <c r="AW219" i="10"/>
  <c r="AW197" i="10"/>
  <c r="AW175" i="10"/>
  <c r="AW153" i="10"/>
  <c r="AW131" i="10"/>
  <c r="AW109" i="10"/>
  <c r="AW87" i="10"/>
  <c r="AW65" i="10"/>
  <c r="AW43" i="10"/>
  <c r="AW21" i="10"/>
  <c r="AT239" i="10"/>
  <c r="AT217" i="10"/>
  <c r="AT195" i="10"/>
  <c r="AT173" i="10"/>
  <c r="AT151" i="10"/>
  <c r="AT129" i="10"/>
  <c r="AT107" i="10"/>
  <c r="AT85" i="10"/>
  <c r="AT63" i="10"/>
  <c r="AT41" i="10"/>
  <c r="AT19" i="10"/>
  <c r="AR237" i="10"/>
  <c r="AR215" i="10"/>
  <c r="AR193" i="10"/>
  <c r="AR171" i="10"/>
  <c r="AR149" i="10"/>
  <c r="AR127" i="10"/>
  <c r="AR105" i="10"/>
  <c r="AR83" i="10"/>
  <c r="AR61" i="10"/>
  <c r="AR39" i="10"/>
  <c r="AR17" i="10"/>
  <c r="AQ247" i="10"/>
  <c r="AQ203" i="10"/>
  <c r="AQ181" i="10"/>
  <c r="AQ159" i="10"/>
  <c r="AQ137" i="10"/>
  <c r="AQ115" i="10"/>
  <c r="AQ93" i="10"/>
  <c r="AQ71" i="10"/>
  <c r="AQ49" i="10"/>
  <c r="AQ27" i="10"/>
  <c r="AQ5" i="10"/>
  <c r="AO245" i="10"/>
  <c r="AO223" i="10"/>
  <c r="AO201" i="10"/>
  <c r="AO179" i="10"/>
  <c r="AO157" i="10"/>
  <c r="AO135" i="10"/>
  <c r="AO113" i="10"/>
  <c r="AO91" i="10"/>
  <c r="AO69" i="10"/>
  <c r="AO47" i="10"/>
  <c r="AO25" i="10"/>
  <c r="AB135" i="10"/>
  <c r="AA243" i="10"/>
  <c r="X47" i="10"/>
  <c r="S201" i="10"/>
  <c r="AZ254" i="10"/>
  <c r="AZ232" i="10"/>
  <c r="AZ210" i="10"/>
  <c r="AZ188" i="10"/>
  <c r="AZ166" i="10"/>
  <c r="AZ144" i="10"/>
  <c r="AZ122" i="10"/>
  <c r="AZ100" i="10"/>
  <c r="AZ78" i="10"/>
  <c r="AZ56" i="10"/>
  <c r="AZ34" i="10"/>
  <c r="AZ12" i="10"/>
  <c r="AY242" i="10"/>
  <c r="AY220" i="10"/>
  <c r="AY198" i="10"/>
  <c r="AY176" i="10"/>
  <c r="AY154" i="10"/>
  <c r="AY132" i="10"/>
  <c r="AY110" i="10"/>
  <c r="AY88" i="10"/>
  <c r="AY66" i="10"/>
  <c r="AY44" i="10"/>
  <c r="AY22" i="10"/>
  <c r="AW240" i="10"/>
  <c r="AW218" i="10"/>
  <c r="AW196" i="10"/>
  <c r="AW174" i="10"/>
  <c r="AW152" i="10"/>
  <c r="AW130" i="10"/>
  <c r="AW108" i="10"/>
  <c r="AW86" i="10"/>
  <c r="AW64" i="10"/>
  <c r="AW42" i="10"/>
  <c r="AW20" i="10"/>
  <c r="AT238" i="10"/>
  <c r="AT216" i="10"/>
  <c r="AT194" i="10"/>
  <c r="AT172" i="10"/>
  <c r="AT150" i="10"/>
  <c r="AT128" i="10"/>
  <c r="AT106" i="10"/>
  <c r="AT84" i="10"/>
  <c r="AT62" i="10"/>
  <c r="AT40" i="10"/>
  <c r="AT18" i="10"/>
  <c r="AQ246" i="10"/>
  <c r="AQ224" i="10"/>
  <c r="AQ202" i="10"/>
  <c r="AQ180" i="10"/>
  <c r="AQ158" i="10"/>
  <c r="AQ136" i="10"/>
  <c r="AQ114" i="10"/>
  <c r="AQ92" i="10"/>
  <c r="AQ70" i="10"/>
  <c r="AQ48" i="10"/>
  <c r="AQ26" i="10"/>
  <c r="AO244" i="10"/>
  <c r="AO222" i="10"/>
  <c r="AO200" i="10"/>
  <c r="AO178" i="10"/>
  <c r="AO156" i="10"/>
  <c r="AO134" i="10"/>
  <c r="AO112" i="10"/>
  <c r="AO90" i="10"/>
  <c r="AO68" i="10"/>
  <c r="AO46" i="10"/>
  <c r="AO24" i="10"/>
  <c r="AB246" i="10"/>
  <c r="AB224" i="10"/>
  <c r="AB202" i="10"/>
  <c r="AB180" i="10"/>
  <c r="AB158" i="10"/>
  <c r="AB136" i="10"/>
  <c r="AB114" i="10"/>
  <c r="AB92" i="10"/>
  <c r="AB70" i="10"/>
  <c r="AB48" i="10"/>
  <c r="AB26" i="10"/>
  <c r="AB4" i="10"/>
  <c r="AB255" i="10"/>
  <c r="X167" i="10"/>
  <c r="U179" i="10"/>
  <c r="AW93" i="10"/>
  <c r="AW71" i="10"/>
  <c r="AW49" i="10"/>
  <c r="AW27" i="10"/>
  <c r="AW5" i="10"/>
  <c r="AT245" i="10"/>
  <c r="AT223" i="10"/>
  <c r="AT201" i="10"/>
  <c r="AT179" i="10"/>
  <c r="AT157" i="10"/>
  <c r="AT135" i="10"/>
  <c r="AT113" i="10"/>
  <c r="AT91" i="10"/>
  <c r="AT69" i="10"/>
  <c r="AT47" i="10"/>
  <c r="AT25" i="10"/>
  <c r="AS233" i="10"/>
  <c r="AS167" i="10"/>
  <c r="AS145" i="10"/>
  <c r="AS101" i="10"/>
  <c r="AS57" i="10"/>
  <c r="AS13" i="10"/>
  <c r="AR243" i="10"/>
  <c r="AR221" i="10"/>
  <c r="AR199" i="10"/>
  <c r="AR177" i="10"/>
  <c r="AR155" i="10"/>
  <c r="AR133" i="10"/>
  <c r="AR111" i="10"/>
  <c r="AR89" i="10"/>
  <c r="AR67" i="10"/>
  <c r="AR45" i="10"/>
  <c r="AR23" i="10"/>
  <c r="AP241" i="10"/>
  <c r="AP219" i="10"/>
  <c r="AP197" i="10"/>
  <c r="AP175" i="10"/>
  <c r="AP153" i="10"/>
  <c r="AP131" i="10"/>
  <c r="AP109" i="10"/>
  <c r="AP87" i="10"/>
  <c r="AP65" i="10"/>
  <c r="AP43" i="10"/>
  <c r="AP21" i="10"/>
  <c r="AO251" i="10"/>
  <c r="AO229" i="10"/>
  <c r="AO207" i="10"/>
  <c r="AO185" i="10"/>
  <c r="AO163" i="10"/>
  <c r="AO141" i="10"/>
  <c r="AO119" i="10"/>
  <c r="AO97" i="10"/>
  <c r="AO75" i="10"/>
  <c r="AO53" i="10"/>
  <c r="AO31" i="10"/>
  <c r="AO9" i="10"/>
  <c r="AA207" i="10"/>
  <c r="W207" i="10"/>
  <c r="V75" i="10"/>
  <c r="U213" i="10"/>
  <c r="T185" i="10"/>
  <c r="X238" i="10"/>
  <c r="X216" i="10"/>
  <c r="X194" i="10"/>
  <c r="X172" i="10"/>
  <c r="X150" i="10"/>
  <c r="X128" i="10"/>
  <c r="X106" i="10"/>
  <c r="X84" i="10"/>
  <c r="X62" i="10"/>
  <c r="X40" i="10"/>
  <c r="X18" i="10"/>
  <c r="U246" i="10"/>
  <c r="U224" i="10"/>
  <c r="U202" i="10"/>
  <c r="U180" i="10"/>
  <c r="U158" i="10"/>
  <c r="U136" i="10"/>
  <c r="U114" i="10"/>
  <c r="U92" i="10"/>
  <c r="U70" i="10"/>
  <c r="U48" i="10"/>
  <c r="U26" i="10"/>
  <c r="U4" i="10"/>
  <c r="S244" i="10"/>
  <c r="S222" i="10"/>
  <c r="S200" i="10"/>
  <c r="S178" i="10"/>
  <c r="S156" i="10"/>
  <c r="S134" i="10"/>
  <c r="S112" i="10"/>
  <c r="S90" i="10"/>
  <c r="S68" i="10"/>
  <c r="S46" i="10"/>
  <c r="S24" i="10"/>
  <c r="R254" i="10"/>
  <c r="R232" i="10"/>
  <c r="R210" i="10"/>
  <c r="R188" i="10"/>
  <c r="R166" i="10"/>
  <c r="R144" i="10"/>
  <c r="R122" i="10"/>
  <c r="R100" i="10"/>
  <c r="R78" i="10"/>
  <c r="R56" i="10"/>
  <c r="R34" i="10"/>
  <c r="R12" i="10"/>
  <c r="Y75" i="10"/>
  <c r="AB213" i="10"/>
  <c r="Y213" i="10"/>
  <c r="AA213" i="10"/>
  <c r="V213" i="10"/>
  <c r="W213" i="10"/>
  <c r="AB191" i="10"/>
  <c r="W191" i="10"/>
  <c r="Y191" i="10"/>
  <c r="AB147" i="10"/>
  <c r="Y147" i="10"/>
  <c r="AA147" i="10"/>
  <c r="X147" i="10"/>
  <c r="T147" i="10"/>
  <c r="R147" i="10"/>
  <c r="AB81" i="10"/>
  <c r="Y81" i="10"/>
  <c r="AA81" i="10"/>
  <c r="R81" i="10"/>
  <c r="V81" i="10"/>
  <c r="T59" i="10"/>
  <c r="R59" i="10"/>
  <c r="AB59" i="10"/>
  <c r="S59" i="10"/>
  <c r="U59" i="10"/>
  <c r="W59" i="10"/>
  <c r="AB15" i="10"/>
  <c r="Y15" i="10"/>
  <c r="AA15" i="10"/>
  <c r="AW25" i="10"/>
  <c r="AU255" i="10"/>
  <c r="AU233" i="10"/>
  <c r="AU211" i="10"/>
  <c r="AU189" i="10"/>
  <c r="AU167" i="10"/>
  <c r="AU145" i="10"/>
  <c r="AU123" i="10"/>
  <c r="AU101" i="10"/>
  <c r="AU79" i="10"/>
  <c r="AU57" i="10"/>
  <c r="AU35" i="10"/>
  <c r="AU13" i="10"/>
  <c r="AT243" i="10"/>
  <c r="AT221" i="10"/>
  <c r="AT199" i="10"/>
  <c r="AT177" i="10"/>
  <c r="AT155" i="10"/>
  <c r="AT133" i="10"/>
  <c r="AT111" i="10"/>
  <c r="AT89" i="10"/>
  <c r="AT67" i="10"/>
  <c r="AT45" i="10"/>
  <c r="AT23" i="10"/>
  <c r="AR241" i="10"/>
  <c r="AR219" i="10"/>
  <c r="AR197" i="10"/>
  <c r="AR175" i="10"/>
  <c r="AR153" i="10"/>
  <c r="AR131" i="10"/>
  <c r="AR109" i="10"/>
  <c r="AR87" i="10"/>
  <c r="AR65" i="10"/>
  <c r="AR43" i="10"/>
  <c r="AR21" i="10"/>
  <c r="AQ251" i="10"/>
  <c r="AQ229" i="10"/>
  <c r="AQ207" i="10"/>
  <c r="AQ185" i="10"/>
  <c r="AQ163" i="10"/>
  <c r="AQ141" i="10"/>
  <c r="AQ119" i="10"/>
  <c r="AQ97" i="10"/>
  <c r="AQ75" i="10"/>
  <c r="AQ53" i="10"/>
  <c r="AQ31" i="10"/>
  <c r="AQ9" i="10"/>
  <c r="AP239" i="10"/>
  <c r="AP217" i="10"/>
  <c r="AP195" i="10"/>
  <c r="AP151" i="10"/>
  <c r="AP129" i="10"/>
  <c r="AP107" i="10"/>
  <c r="AP85" i="10"/>
  <c r="AP63" i="10"/>
  <c r="AP41" i="10"/>
  <c r="AP19" i="10"/>
  <c r="X125" i="10"/>
  <c r="V59" i="10"/>
  <c r="AY222" i="10"/>
  <c r="AY200" i="10"/>
  <c r="AY178" i="10"/>
  <c r="AY156" i="10"/>
  <c r="AY134" i="10"/>
  <c r="AY112" i="10"/>
  <c r="AY90" i="10"/>
  <c r="AY68" i="10"/>
  <c r="AY46" i="10"/>
  <c r="AY24" i="10"/>
  <c r="AX254" i="10"/>
  <c r="AX232" i="10"/>
  <c r="AX210" i="10"/>
  <c r="AX188" i="10"/>
  <c r="AX166" i="10"/>
  <c r="AX144" i="10"/>
  <c r="AX122" i="10"/>
  <c r="AX100" i="10"/>
  <c r="AX78" i="10"/>
  <c r="AX56" i="10"/>
  <c r="AX34" i="10"/>
  <c r="AX12" i="10"/>
  <c r="AW242" i="10"/>
  <c r="AW220" i="10"/>
  <c r="AW198" i="10"/>
  <c r="AW176" i="10"/>
  <c r="AW154" i="10"/>
  <c r="AW132" i="10"/>
  <c r="AW110" i="10"/>
  <c r="AW88" i="10"/>
  <c r="AW66" i="10"/>
  <c r="AW44" i="10"/>
  <c r="AW22" i="10"/>
  <c r="AT240" i="10"/>
  <c r="AT218" i="10"/>
  <c r="AT196" i="10"/>
  <c r="AT174" i="10"/>
  <c r="AT152" i="10"/>
  <c r="AT130" i="10"/>
  <c r="AT108" i="10"/>
  <c r="AT86" i="10"/>
  <c r="AT64" i="10"/>
  <c r="AT42" i="10"/>
  <c r="AT20" i="10"/>
  <c r="AR238" i="10"/>
  <c r="AR216" i="10"/>
  <c r="AR194" i="10"/>
  <c r="AR172" i="10"/>
  <c r="AR150" i="10"/>
  <c r="AR128" i="10"/>
  <c r="AR106" i="10"/>
  <c r="AR84" i="10"/>
  <c r="AR62" i="10"/>
  <c r="AR40" i="10"/>
  <c r="AR18" i="10"/>
  <c r="AO246" i="10"/>
  <c r="AO224" i="10"/>
  <c r="AO202" i="10"/>
  <c r="AO180" i="10"/>
  <c r="AO158" i="10"/>
  <c r="AO136" i="10"/>
  <c r="AO114" i="10"/>
  <c r="AO92" i="10"/>
  <c r="AO70" i="10"/>
  <c r="AO48" i="10"/>
  <c r="AO26" i="10"/>
  <c r="AO4" i="10"/>
  <c r="Y246" i="10"/>
  <c r="Y224" i="10"/>
  <c r="Y202" i="10"/>
  <c r="Y180" i="10"/>
  <c r="Y158" i="10"/>
  <c r="Y136" i="10"/>
  <c r="Y114" i="10"/>
  <c r="Y92" i="10"/>
  <c r="Y70" i="10"/>
  <c r="Y48" i="10"/>
  <c r="Y26" i="10"/>
  <c r="Y4" i="10"/>
  <c r="W244" i="10"/>
  <c r="W222" i="10"/>
  <c r="W200" i="10"/>
  <c r="W178" i="10"/>
  <c r="W156" i="10"/>
  <c r="W134" i="10"/>
  <c r="W112" i="10"/>
  <c r="W90" i="10"/>
  <c r="W68" i="10"/>
  <c r="W46" i="10"/>
  <c r="W24" i="10"/>
  <c r="V254" i="10"/>
  <c r="V232" i="10"/>
  <c r="V210" i="10"/>
  <c r="V188" i="10"/>
  <c r="V166" i="10"/>
  <c r="V144" i="10"/>
  <c r="V122" i="10"/>
  <c r="V100" i="10"/>
  <c r="V78" i="10"/>
  <c r="V56" i="10"/>
  <c r="V34" i="10"/>
  <c r="V12" i="10"/>
  <c r="U242" i="10"/>
  <c r="U220" i="10"/>
  <c r="U198" i="10"/>
  <c r="U176" i="10"/>
  <c r="U154" i="10"/>
  <c r="U132" i="10"/>
  <c r="U110" i="10"/>
  <c r="U88" i="10"/>
  <c r="U66" i="10"/>
  <c r="U44" i="10"/>
  <c r="U22" i="10"/>
  <c r="S240" i="10"/>
  <c r="S218" i="10"/>
  <c r="S196" i="10"/>
  <c r="S174" i="10"/>
  <c r="S152" i="10"/>
  <c r="S130" i="10"/>
  <c r="S108" i="10"/>
  <c r="S86" i="10"/>
  <c r="S64" i="10"/>
  <c r="S42" i="10"/>
  <c r="S20" i="10"/>
  <c r="AB125" i="10"/>
  <c r="Y59" i="10"/>
  <c r="V147" i="10"/>
  <c r="S125" i="10"/>
  <c r="Y222" i="10"/>
  <c r="Y200" i="10"/>
  <c r="Y178" i="10"/>
  <c r="Y156" i="10"/>
  <c r="Y134" i="10"/>
  <c r="Y112" i="10"/>
  <c r="Y90" i="10"/>
  <c r="Y68" i="10"/>
  <c r="T207" i="10"/>
  <c r="S207" i="10"/>
  <c r="R207" i="10"/>
  <c r="U185" i="10"/>
  <c r="V53" i="10"/>
  <c r="T53" i="10"/>
  <c r="X53" i="10"/>
  <c r="BB233" i="10"/>
  <c r="BB211" i="10"/>
  <c r="BB167" i="10"/>
  <c r="BB145" i="10"/>
  <c r="BB123" i="10"/>
  <c r="BB101" i="10"/>
  <c r="BB79" i="10"/>
  <c r="BB57" i="10"/>
  <c r="BB35" i="10"/>
  <c r="BB13" i="10"/>
  <c r="BA243" i="10"/>
  <c r="BA221" i="10"/>
  <c r="BA199" i="10"/>
  <c r="BA177" i="10"/>
  <c r="BA155" i="10"/>
  <c r="BA133" i="10"/>
  <c r="BA111" i="10"/>
  <c r="BA89" i="10"/>
  <c r="BA67" i="10"/>
  <c r="BA45" i="10"/>
  <c r="BA23" i="10"/>
  <c r="AY241" i="10"/>
  <c r="AY219" i="10"/>
  <c r="AY197" i="10"/>
  <c r="AY175" i="10"/>
  <c r="AY153" i="10"/>
  <c r="AY131" i="10"/>
  <c r="AY109" i="10"/>
  <c r="AY87" i="10"/>
  <c r="AY65" i="10"/>
  <c r="AY43" i="10"/>
  <c r="AY21" i="10"/>
  <c r="AX251" i="10"/>
  <c r="AX229" i="10"/>
  <c r="AX207" i="10"/>
  <c r="AX185" i="10"/>
  <c r="AX163" i="10"/>
  <c r="AX141" i="10"/>
  <c r="AX119" i="10"/>
  <c r="AX97" i="10"/>
  <c r="AX75" i="10"/>
  <c r="AX53" i="10"/>
  <c r="AX31" i="10"/>
  <c r="AX9" i="10"/>
  <c r="AW239" i="10"/>
  <c r="AW217" i="10"/>
  <c r="AW195" i="10"/>
  <c r="AW173" i="10"/>
  <c r="AW151" i="10"/>
  <c r="AW129" i="10"/>
  <c r="AW107" i="10"/>
  <c r="AW85" i="10"/>
  <c r="AW63" i="10"/>
  <c r="AW41" i="10"/>
  <c r="AW19" i="10"/>
  <c r="AT237" i="10"/>
  <c r="AT215" i="10"/>
  <c r="AT193" i="10"/>
  <c r="AT171" i="10"/>
  <c r="AT149" i="10"/>
  <c r="AT127" i="10"/>
  <c r="AT105" i="10"/>
  <c r="AT83" i="10"/>
  <c r="AT61" i="10"/>
  <c r="AT39" i="10"/>
  <c r="AT17" i="10"/>
  <c r="AS247" i="10"/>
  <c r="AS225" i="10"/>
  <c r="AS203" i="10"/>
  <c r="AS159" i="10"/>
  <c r="AS115" i="10"/>
  <c r="AS71" i="10"/>
  <c r="AS49" i="10"/>
  <c r="AS27" i="10"/>
  <c r="AS5" i="10"/>
  <c r="AR235" i="10"/>
  <c r="AR213" i="10"/>
  <c r="AR191" i="10"/>
  <c r="AR169" i="10"/>
  <c r="AR147" i="10"/>
  <c r="AB207" i="10"/>
  <c r="AA75" i="10"/>
  <c r="X191" i="10"/>
  <c r="V125" i="10"/>
  <c r="Y244" i="10"/>
  <c r="Y251" i="10"/>
  <c r="W251" i="10"/>
  <c r="S251" i="10"/>
  <c r="R251" i="10"/>
  <c r="U251" i="10"/>
  <c r="AB251" i="10"/>
  <c r="T141" i="10"/>
  <c r="S141" i="10"/>
  <c r="V141" i="10"/>
  <c r="U141" i="10"/>
  <c r="W141" i="10"/>
  <c r="X141" i="10"/>
  <c r="Y141" i="10"/>
  <c r="AB119" i="10"/>
  <c r="Y119" i="10"/>
  <c r="T75" i="10"/>
  <c r="S75" i="10"/>
  <c r="X75" i="10"/>
  <c r="AB75" i="10"/>
  <c r="T9" i="10"/>
  <c r="S9" i="10"/>
  <c r="AA9" i="10"/>
  <c r="BB254" i="10"/>
  <c r="BB232" i="10"/>
  <c r="BB166" i="10"/>
  <c r="BB144" i="10"/>
  <c r="BB122" i="10"/>
  <c r="BB100" i="10"/>
  <c r="BB78" i="10"/>
  <c r="BB56" i="10"/>
  <c r="BB34" i="10"/>
  <c r="BB12" i="10"/>
  <c r="BA242" i="10"/>
  <c r="BA220" i="10"/>
  <c r="BA198" i="10"/>
  <c r="BA176" i="10"/>
  <c r="BA154" i="10"/>
  <c r="BA132" i="10"/>
  <c r="BA110" i="10"/>
  <c r="BA88" i="10"/>
  <c r="BA66" i="10"/>
  <c r="BA44" i="10"/>
  <c r="BA22" i="10"/>
  <c r="AY240" i="10"/>
  <c r="AY218" i="10"/>
  <c r="AY196" i="10"/>
  <c r="AY174" i="10"/>
  <c r="AY152" i="10"/>
  <c r="AY130" i="10"/>
  <c r="AY108" i="10"/>
  <c r="AY86" i="10"/>
  <c r="AY64" i="10"/>
  <c r="AY42" i="10"/>
  <c r="AY20" i="10"/>
  <c r="AW238" i="10"/>
  <c r="AW216" i="10"/>
  <c r="AW194" i="10"/>
  <c r="AW172" i="10"/>
  <c r="AW150" i="10"/>
  <c r="AW128" i="10"/>
  <c r="AW106" i="10"/>
  <c r="AW84" i="10"/>
  <c r="AW62" i="10"/>
  <c r="AW40" i="10"/>
  <c r="AW18" i="10"/>
  <c r="AT236" i="10"/>
  <c r="AT214" i="10"/>
  <c r="AT192" i="10"/>
  <c r="AT170" i="10"/>
  <c r="AT148" i="10"/>
  <c r="AT126" i="10"/>
  <c r="AT104" i="10"/>
  <c r="AT82" i="10"/>
  <c r="AT60" i="10"/>
  <c r="AT38" i="10"/>
  <c r="AT16" i="10"/>
  <c r="AS246" i="10"/>
  <c r="AS202" i="10"/>
  <c r="AS180" i="10"/>
  <c r="AS158" i="10"/>
  <c r="AB9" i="10"/>
  <c r="X185" i="10"/>
  <c r="X9" i="10"/>
  <c r="U81" i="10"/>
  <c r="S15" i="10"/>
  <c r="AS136" i="10"/>
  <c r="AS114" i="10"/>
  <c r="AS92" i="10"/>
  <c r="AS70" i="10"/>
  <c r="AS48" i="10"/>
  <c r="AS26" i="10"/>
  <c r="AQ244" i="10"/>
  <c r="AQ222" i="10"/>
  <c r="AQ200" i="10"/>
  <c r="AQ178" i="10"/>
  <c r="AQ156" i="10"/>
  <c r="AQ134" i="10"/>
  <c r="AQ112" i="10"/>
  <c r="AQ90" i="10"/>
  <c r="AQ68" i="10"/>
  <c r="AQ46" i="10"/>
  <c r="AP254" i="10"/>
  <c r="AP232" i="10"/>
  <c r="AP210" i="10"/>
  <c r="AP188" i="10"/>
  <c r="AP166" i="10"/>
  <c r="AP144" i="10"/>
  <c r="AP122" i="10"/>
  <c r="AP100" i="10"/>
  <c r="AP78" i="10"/>
  <c r="AP56" i="10"/>
  <c r="AP34" i="10"/>
  <c r="AP12" i="10"/>
  <c r="AO242" i="10"/>
  <c r="AO220" i="10"/>
  <c r="AO198" i="10"/>
  <c r="AO176" i="10"/>
  <c r="AO154" i="10"/>
  <c r="AO132" i="10"/>
  <c r="AO110" i="10"/>
  <c r="AO88" i="10"/>
  <c r="AO66" i="10"/>
  <c r="AO44" i="10"/>
  <c r="AO22" i="10"/>
  <c r="AB244" i="10"/>
  <c r="AB222" i="10"/>
  <c r="AB200" i="10"/>
  <c r="AB178" i="10"/>
  <c r="AB156" i="10"/>
  <c r="AB134" i="10"/>
  <c r="AB112" i="10"/>
  <c r="AB90" i="10"/>
  <c r="AB68" i="10"/>
  <c r="AB46" i="10"/>
  <c r="AB24" i="10"/>
  <c r="AA254" i="10"/>
  <c r="AA232" i="10"/>
  <c r="AA210" i="10"/>
  <c r="AA188" i="10"/>
  <c r="AA166" i="10"/>
  <c r="AA144" i="10"/>
  <c r="AA122" i="10"/>
  <c r="AA100" i="10"/>
  <c r="AA78" i="10"/>
  <c r="AA56" i="10"/>
  <c r="AA34" i="10"/>
  <c r="AA12" i="10"/>
  <c r="Y242" i="10"/>
  <c r="Y220" i="10"/>
  <c r="Y198" i="10"/>
  <c r="Y176" i="10"/>
  <c r="Y154" i="10"/>
  <c r="Y132" i="10"/>
  <c r="Y110" i="10"/>
  <c r="Y88" i="10"/>
  <c r="Y66" i="10"/>
  <c r="Y44" i="10"/>
  <c r="Y22" i="10"/>
  <c r="W240" i="10"/>
  <c r="W218" i="10"/>
  <c r="W196" i="10"/>
  <c r="W174" i="10"/>
  <c r="W152" i="10"/>
  <c r="W130" i="10"/>
  <c r="W108" i="10"/>
  <c r="W86" i="10"/>
  <c r="W64" i="10"/>
  <c r="W42" i="10"/>
  <c r="W20" i="10"/>
  <c r="U238" i="10"/>
  <c r="U216" i="10"/>
  <c r="U194" i="10"/>
  <c r="U172" i="10"/>
  <c r="U150" i="10"/>
  <c r="U128" i="10"/>
  <c r="U106" i="10"/>
  <c r="U84" i="10"/>
  <c r="U62" i="10"/>
  <c r="U40" i="10"/>
  <c r="U18" i="10"/>
  <c r="S236" i="10"/>
  <c r="S214" i="10"/>
  <c r="S192" i="10"/>
  <c r="S170" i="10"/>
  <c r="S148" i="10"/>
  <c r="S126" i="10"/>
  <c r="S104" i="10"/>
  <c r="S82" i="10"/>
  <c r="S60" i="10"/>
  <c r="S38" i="10"/>
  <c r="S16" i="10"/>
  <c r="R246" i="10"/>
  <c r="R224" i="10"/>
  <c r="R202" i="10"/>
  <c r="R180" i="10"/>
  <c r="R158" i="10"/>
  <c r="R136" i="10"/>
  <c r="R114" i="10"/>
  <c r="R92" i="10"/>
  <c r="R70" i="10"/>
  <c r="R48" i="10"/>
  <c r="R26" i="10"/>
  <c r="R4" i="10"/>
  <c r="AX247" i="10"/>
  <c r="AX225" i="10"/>
  <c r="AX203" i="10"/>
  <c r="AX181" i="10"/>
  <c r="AX159" i="10"/>
  <c r="AX137" i="10"/>
  <c r="AX115" i="10"/>
  <c r="AX93" i="10"/>
  <c r="AX71" i="10"/>
  <c r="AX49" i="10"/>
  <c r="AX27" i="10"/>
  <c r="AX5" i="10"/>
  <c r="AW235" i="10"/>
  <c r="AW213" i="10"/>
  <c r="AW191" i="10"/>
  <c r="AW169" i="10"/>
  <c r="AW147" i="10"/>
  <c r="AW125" i="10"/>
  <c r="AW103" i="10"/>
  <c r="AW81" i="10"/>
  <c r="AW59" i="10"/>
  <c r="AW37" i="10"/>
  <c r="AW15" i="10"/>
  <c r="AU245" i="10"/>
  <c r="AU223" i="10"/>
  <c r="AU201" i="10"/>
  <c r="AU179" i="10"/>
  <c r="AU157" i="10"/>
  <c r="AU135" i="10"/>
  <c r="AU113" i="10"/>
  <c r="AU91" i="10"/>
  <c r="AU69" i="10"/>
  <c r="AU47" i="10"/>
  <c r="AU25" i="10"/>
  <c r="AT255" i="10"/>
  <c r="AT233" i="10"/>
  <c r="AT211" i="10"/>
  <c r="AT189" i="10"/>
  <c r="AT167" i="10"/>
  <c r="AT145" i="10"/>
  <c r="AT123" i="10"/>
  <c r="AT101" i="10"/>
  <c r="AT79" i="10"/>
  <c r="AT57" i="10"/>
  <c r="AT35" i="10"/>
  <c r="AT13" i="10"/>
  <c r="AS243" i="10"/>
  <c r="AS221" i="10"/>
  <c r="AS199" i="10"/>
  <c r="AS177" i="10"/>
  <c r="AS111" i="10"/>
  <c r="AS67" i="10"/>
  <c r="AS23" i="10"/>
  <c r="AB240" i="10"/>
  <c r="AB218" i="10"/>
  <c r="AB196" i="10"/>
  <c r="AB174" i="10"/>
  <c r="AB152" i="10"/>
  <c r="AB130" i="10"/>
  <c r="AB108" i="10"/>
  <c r="AB86" i="10"/>
  <c r="AB64" i="10"/>
  <c r="AB42" i="10"/>
  <c r="AB20" i="10"/>
  <c r="Y238" i="10"/>
  <c r="Y216" i="10"/>
  <c r="Y194" i="10"/>
  <c r="Y172" i="10"/>
  <c r="Y150" i="10"/>
  <c r="Y128" i="10"/>
  <c r="Y106" i="10"/>
  <c r="Y84" i="10"/>
  <c r="Y62" i="10"/>
  <c r="Y40" i="10"/>
  <c r="Y18" i="10"/>
  <c r="W236" i="10"/>
  <c r="W214" i="10"/>
  <c r="W192" i="10"/>
  <c r="W170" i="10"/>
  <c r="W148" i="10"/>
  <c r="W126" i="10"/>
  <c r="W104" i="10"/>
  <c r="W82" i="10"/>
  <c r="W60" i="10"/>
  <c r="W38" i="10"/>
  <c r="W16" i="10"/>
  <c r="V246" i="10"/>
  <c r="V224" i="10"/>
  <c r="V202" i="10"/>
  <c r="V180" i="10"/>
  <c r="V158" i="10"/>
  <c r="V136" i="10"/>
  <c r="V114" i="10"/>
  <c r="V92" i="10"/>
  <c r="V70" i="10"/>
  <c r="V48" i="10"/>
  <c r="V26" i="10"/>
  <c r="V4" i="10"/>
  <c r="U234" i="10"/>
  <c r="U212" i="10"/>
  <c r="U190" i="10"/>
  <c r="U168" i="10"/>
  <c r="U146" i="10"/>
  <c r="U124" i="10"/>
  <c r="U102" i="10"/>
  <c r="U80" i="10"/>
  <c r="U58" i="10"/>
  <c r="U36" i="10"/>
  <c r="U14" i="10"/>
  <c r="T244" i="10"/>
  <c r="T222" i="10"/>
  <c r="T200" i="10"/>
  <c r="T178" i="10"/>
  <c r="T156" i="10"/>
  <c r="T134" i="10"/>
  <c r="T112" i="10"/>
  <c r="T90" i="10"/>
  <c r="T68" i="10"/>
  <c r="T46" i="10"/>
  <c r="T24" i="10"/>
  <c r="S254" i="10"/>
  <c r="S232" i="10"/>
  <c r="S210" i="10"/>
  <c r="S188" i="10"/>
  <c r="S166" i="10"/>
  <c r="S144" i="10"/>
  <c r="S122" i="10"/>
  <c r="S100" i="10"/>
  <c r="S78" i="10"/>
  <c r="S56" i="10"/>
  <c r="S34" i="10"/>
  <c r="S12" i="10"/>
  <c r="R242" i="10"/>
  <c r="R220" i="10"/>
  <c r="R198" i="10"/>
  <c r="R176" i="10"/>
  <c r="R154" i="10"/>
  <c r="R132" i="10"/>
  <c r="R110" i="10"/>
  <c r="R88" i="10"/>
  <c r="R66" i="10"/>
  <c r="R44" i="10"/>
  <c r="R22" i="10"/>
  <c r="Y46" i="10"/>
  <c r="Y24" i="10"/>
  <c r="X254" i="10"/>
  <c r="X232" i="10"/>
  <c r="X210" i="10"/>
  <c r="X188" i="10"/>
  <c r="X166" i="10"/>
  <c r="X144" i="10"/>
  <c r="X122" i="10"/>
  <c r="X100" i="10"/>
  <c r="X78" i="10"/>
  <c r="X56" i="10"/>
  <c r="X34" i="10"/>
  <c r="X12" i="10"/>
  <c r="W242" i="10"/>
  <c r="W220" i="10"/>
  <c r="W198" i="10"/>
  <c r="W176" i="10"/>
  <c r="W154" i="10"/>
  <c r="W132" i="10"/>
  <c r="W110" i="10"/>
  <c r="W88" i="10"/>
  <c r="W66" i="10"/>
  <c r="W44" i="10"/>
  <c r="W22" i="10"/>
  <c r="U240" i="10"/>
  <c r="U218" i="10"/>
  <c r="U196" i="10"/>
  <c r="U174" i="10"/>
  <c r="U152" i="10"/>
  <c r="U130" i="10"/>
  <c r="U108" i="10"/>
  <c r="U86" i="10"/>
  <c r="U64" i="10"/>
  <c r="U42" i="10"/>
  <c r="U20" i="10"/>
  <c r="S238" i="10"/>
  <c r="S216" i="10"/>
  <c r="S194" i="10"/>
  <c r="S172" i="10"/>
  <c r="S150" i="10"/>
  <c r="S128" i="10"/>
  <c r="S106" i="10"/>
  <c r="S84" i="10"/>
  <c r="S62" i="10"/>
  <c r="S40" i="10"/>
  <c r="S18" i="10"/>
  <c r="AA95" i="10"/>
  <c r="X227" i="10"/>
  <c r="V231" i="10"/>
  <c r="U231" i="10"/>
  <c r="V165" i="10"/>
  <c r="U165" i="10"/>
  <c r="V99" i="10"/>
  <c r="U99" i="10"/>
  <c r="V33" i="10"/>
  <c r="U33" i="10"/>
  <c r="U29" i="10"/>
  <c r="T209" i="10"/>
  <c r="S99" i="10"/>
  <c r="U236" i="10"/>
  <c r="U214" i="10"/>
  <c r="U192" i="10"/>
  <c r="U170" i="10"/>
  <c r="U148" i="10"/>
  <c r="U126" i="10"/>
  <c r="U104" i="10"/>
  <c r="U82" i="10"/>
  <c r="U60" i="10"/>
  <c r="U38" i="10"/>
  <c r="U16" i="10"/>
  <c r="T246" i="10"/>
  <c r="T224" i="10"/>
  <c r="T202" i="10"/>
  <c r="T180" i="10"/>
  <c r="T158" i="10"/>
  <c r="T136" i="10"/>
  <c r="T114" i="10"/>
  <c r="T92" i="10"/>
  <c r="T70" i="10"/>
  <c r="T48" i="10"/>
  <c r="T26" i="10"/>
  <c r="T4" i="10"/>
  <c r="S234" i="10"/>
  <c r="S212" i="10"/>
  <c r="S190" i="10"/>
  <c r="S168" i="10"/>
  <c r="S146" i="10"/>
  <c r="S124" i="10"/>
  <c r="S102" i="10"/>
  <c r="S80" i="10"/>
  <c r="S58" i="10"/>
  <c r="S36" i="10"/>
  <c r="S14" i="10"/>
  <c r="R244" i="10"/>
  <c r="R222" i="10"/>
  <c r="R200" i="10"/>
  <c r="R178" i="10"/>
  <c r="R156" i="10"/>
  <c r="R134" i="10"/>
  <c r="R112" i="10"/>
  <c r="R90" i="10"/>
  <c r="R68" i="10"/>
  <c r="R46" i="10"/>
  <c r="R24" i="10"/>
  <c r="R249" i="10"/>
  <c r="R183" i="10"/>
  <c r="R117" i="10"/>
  <c r="R51" i="10"/>
  <c r="AR125" i="10"/>
  <c r="AR103" i="10"/>
  <c r="AR81" i="10"/>
  <c r="AR59" i="10"/>
  <c r="AR37" i="10"/>
  <c r="AR15" i="10"/>
  <c r="AQ245" i="10"/>
  <c r="AQ223" i="10"/>
  <c r="AQ179" i="10"/>
  <c r="AQ157" i="10"/>
  <c r="AQ135" i="10"/>
  <c r="AQ113" i="10"/>
  <c r="AQ91" i="10"/>
  <c r="AQ69" i="10"/>
  <c r="AQ25" i="10"/>
  <c r="AP255" i="10"/>
  <c r="AP233" i="10"/>
  <c r="AP211" i="10"/>
  <c r="AP189" i="10"/>
  <c r="AP167" i="10"/>
  <c r="AP145" i="10"/>
  <c r="AP123" i="10"/>
  <c r="AP101" i="10"/>
  <c r="AP79" i="10"/>
  <c r="AP57" i="10"/>
  <c r="AP35" i="10"/>
  <c r="AP13" i="10"/>
  <c r="AO243" i="10"/>
  <c r="AO221" i="10"/>
  <c r="AO199" i="10"/>
  <c r="AO177" i="10"/>
  <c r="AO155" i="10"/>
  <c r="AO133" i="10"/>
  <c r="AO111" i="10"/>
  <c r="AO89" i="10"/>
  <c r="AO67" i="10"/>
  <c r="AO45" i="10"/>
  <c r="AO23" i="10"/>
  <c r="AR121" i="10"/>
  <c r="AR99" i="10"/>
  <c r="AR77" i="10"/>
  <c r="AR55" i="10"/>
  <c r="AR33" i="10"/>
  <c r="AR11" i="10"/>
  <c r="AQ241" i="10"/>
  <c r="AQ219" i="10"/>
  <c r="AQ175" i="10"/>
  <c r="AQ153" i="10"/>
  <c r="AQ131" i="10"/>
  <c r="AQ109" i="10"/>
  <c r="AQ87" i="10"/>
  <c r="AQ43" i="10"/>
  <c r="AQ21" i="10"/>
  <c r="AP251" i="10"/>
  <c r="AP229" i="10"/>
  <c r="AP207" i="10"/>
  <c r="AP185" i="10"/>
  <c r="AP163" i="10"/>
  <c r="AP141" i="10"/>
  <c r="AP119" i="10"/>
  <c r="AP97" i="10"/>
  <c r="AP75" i="10"/>
  <c r="AP53" i="10"/>
  <c r="AP31" i="10"/>
  <c r="AP9" i="10"/>
  <c r="AO239" i="10"/>
  <c r="AO217" i="10"/>
  <c r="AO195" i="10"/>
  <c r="AO173" i="10"/>
  <c r="AO151" i="10"/>
  <c r="AO129" i="10"/>
  <c r="AO107" i="10"/>
  <c r="AO85" i="10"/>
  <c r="AO63" i="10"/>
  <c r="AO41" i="10"/>
  <c r="AO19" i="10"/>
  <c r="BE250" i="10"/>
  <c r="BE244" i="10"/>
  <c r="BE238" i="10"/>
  <c r="BE232" i="10"/>
  <c r="BE226" i="10"/>
  <c r="BE220" i="10"/>
  <c r="BE214" i="10"/>
  <c r="BE208" i="10"/>
  <c r="BE202" i="10"/>
  <c r="BE196" i="10"/>
  <c r="BE184" i="10"/>
  <c r="BE172" i="10"/>
  <c r="BE160" i="10"/>
  <c r="BE148" i="10"/>
  <c r="BE136" i="10"/>
  <c r="BE124" i="10"/>
  <c r="BE112" i="10"/>
  <c r="BE100" i="10"/>
  <c r="BE88" i="10"/>
  <c r="BE76" i="10"/>
  <c r="BE64" i="10"/>
  <c r="BE52" i="10"/>
  <c r="BE40" i="10"/>
  <c r="BE28" i="10"/>
  <c r="BE16" i="10"/>
  <c r="BE4" i="10"/>
  <c r="BE255" i="10"/>
  <c r="BE249" i="10"/>
  <c r="BE243" i="10"/>
  <c r="BE237" i="10"/>
  <c r="BE231" i="10"/>
  <c r="BE225" i="10"/>
  <c r="BE219" i="10"/>
  <c r="BE213" i="10"/>
  <c r="BE207" i="10"/>
  <c r="BE201" i="10"/>
  <c r="BE195" i="10"/>
  <c r="BE189" i="10"/>
  <c r="BE183" i="10"/>
  <c r="BE177" i="10"/>
  <c r="BE171" i="10"/>
  <c r="BE165" i="10"/>
  <c r="BE159" i="10"/>
  <c r="BE153" i="10"/>
  <c r="BE147" i="10"/>
  <c r="BE141" i="10"/>
  <c r="BE135" i="10"/>
  <c r="BE129" i="10"/>
  <c r="BE123" i="10"/>
  <c r="BE117" i="10"/>
  <c r="BE111" i="10"/>
  <c r="BE105" i="10"/>
  <c r="BE99" i="10"/>
  <c r="BE93" i="10"/>
  <c r="BE87" i="10"/>
  <c r="BE81" i="10"/>
  <c r="BE75" i="10"/>
  <c r="BE69" i="10"/>
  <c r="BE63" i="10"/>
  <c r="BE57" i="10"/>
  <c r="BE51" i="10"/>
  <c r="BE45" i="10"/>
  <c r="BE39" i="10"/>
  <c r="BE33" i="10"/>
  <c r="BE27" i="10"/>
  <c r="BE21" i="10"/>
  <c r="BE15" i="10"/>
  <c r="BE9" i="10"/>
  <c r="BE248" i="10"/>
  <c r="BE236" i="10"/>
  <c r="BE224" i="10"/>
  <c r="BE212" i="10"/>
  <c r="BE206" i="10"/>
  <c r="BE200" i="10"/>
  <c r="BE194" i="10"/>
  <c r="BE188" i="10"/>
  <c r="BE182" i="10"/>
  <c r="BE176" i="10"/>
  <c r="BE170" i="10"/>
  <c r="BE164" i="10"/>
  <c r="BE158" i="10"/>
  <c r="BE152" i="10"/>
  <c r="BE146" i="10"/>
  <c r="BE140" i="10"/>
  <c r="BE134" i="10"/>
  <c r="BE128" i="10"/>
  <c r="BE122" i="10"/>
  <c r="BE116" i="10"/>
  <c r="BE110" i="10"/>
  <c r="BE104" i="10"/>
  <c r="BE98" i="10"/>
  <c r="BE92" i="10"/>
  <c r="BE86" i="10"/>
  <c r="BE80" i="10"/>
  <c r="BE74" i="10"/>
  <c r="BE68" i="10"/>
  <c r="BE62" i="10"/>
  <c r="BE56" i="10"/>
  <c r="BE50" i="10"/>
  <c r="BE44" i="10"/>
  <c r="BE38" i="10"/>
  <c r="BE32" i="10"/>
  <c r="BE20" i="10"/>
  <c r="BE14" i="10"/>
  <c r="BE8" i="10"/>
  <c r="BE254" i="10"/>
  <c r="BE242" i="10"/>
  <c r="BE230" i="10"/>
  <c r="BE218" i="10"/>
  <c r="BE253" i="10"/>
  <c r="BE247" i="10"/>
  <c r="BE241" i="10"/>
  <c r="BE235" i="10"/>
  <c r="BE229" i="10"/>
  <c r="BE223" i="10"/>
  <c r="BE217" i="10"/>
  <c r="BE211" i="10"/>
  <c r="BE205" i="10"/>
  <c r="BE199" i="10"/>
  <c r="BE193" i="10"/>
  <c r="BE187" i="10"/>
  <c r="BE181" i="10"/>
  <c r="BE175" i="10"/>
  <c r="BE169" i="10"/>
  <c r="BE163" i="10"/>
  <c r="BE157" i="10"/>
  <c r="BE151" i="10"/>
  <c r="BE145" i="10"/>
  <c r="BE139" i="10"/>
  <c r="BE133" i="10"/>
  <c r="BE127" i="10"/>
  <c r="BE121" i="10"/>
  <c r="BE115" i="10"/>
  <c r="BE109" i="10"/>
  <c r="BE103" i="10"/>
  <c r="BE97" i="10"/>
  <c r="BE91" i="10"/>
  <c r="BE85" i="10"/>
  <c r="BE79" i="10"/>
  <c r="BE73" i="10"/>
  <c r="BE67" i="10"/>
  <c r="BE61" i="10"/>
  <c r="BE55" i="10"/>
  <c r="BE49" i="10"/>
  <c r="BE43" i="10"/>
  <c r="BE37" i="10"/>
  <c r="BE31" i="10"/>
  <c r="BE19" i="10"/>
  <c r="BE13" i="10"/>
  <c r="BE7" i="10"/>
  <c r="BE252" i="10"/>
  <c r="BE234" i="10"/>
  <c r="BE222" i="10"/>
  <c r="BE216" i="10"/>
  <c r="BE198" i="10"/>
  <c r="BE186" i="10"/>
  <c r="BE174" i="10"/>
  <c r="BE162" i="10"/>
  <c r="BE150" i="10"/>
  <c r="BE138" i="10"/>
  <c r="BE126" i="10"/>
  <c r="BE114" i="10"/>
  <c r="BE102" i="10"/>
  <c r="BE90" i="10"/>
  <c r="BE78" i="10"/>
  <c r="BE66" i="10"/>
  <c r="BE54" i="10"/>
  <c r="BE42" i="10"/>
  <c r="BE36" i="10"/>
  <c r="BE24" i="10"/>
  <c r="BE12" i="10"/>
  <c r="BE246" i="10"/>
  <c r="BE240" i="10"/>
  <c r="BE228" i="10"/>
  <c r="BE210" i="10"/>
  <c r="BE204" i="10"/>
  <c r="BE192" i="10"/>
  <c r="BE180" i="10"/>
  <c r="BE168" i="10"/>
  <c r="BE156" i="10"/>
  <c r="BE144" i="10"/>
  <c r="BE132" i="10"/>
  <c r="BE120" i="10"/>
  <c r="BE108" i="10"/>
  <c r="BE96" i="10"/>
  <c r="BE84" i="10"/>
  <c r="BE72" i="10"/>
  <c r="BE60" i="10"/>
  <c r="BE48" i="10"/>
  <c r="BE30" i="10"/>
  <c r="BE18" i="10"/>
  <c r="BE6" i="10"/>
  <c r="BE251" i="10"/>
  <c r="BE245" i="10"/>
  <c r="BE239" i="10"/>
  <c r="BE233" i="10"/>
  <c r="BE227" i="10"/>
  <c r="BE221" i="10"/>
  <c r="BE215" i="10"/>
  <c r="BE209" i="10"/>
  <c r="BE203" i="10"/>
  <c r="BE197" i="10"/>
  <c r="BE191" i="10"/>
  <c r="BE185" i="10"/>
  <c r="BE179" i="10"/>
  <c r="BE173" i="10"/>
  <c r="BE167" i="10"/>
  <c r="BE161" i="10"/>
  <c r="BE155" i="10"/>
  <c r="BE149" i="10"/>
  <c r="BE143" i="10"/>
  <c r="BE137" i="10"/>
  <c r="BE131" i="10"/>
  <c r="BE125" i="10"/>
  <c r="BE119" i="10"/>
  <c r="BE113" i="10"/>
  <c r="BE107" i="10"/>
  <c r="BE101" i="10"/>
  <c r="BE95" i="10"/>
  <c r="BE89" i="10"/>
  <c r="BE83" i="10"/>
  <c r="BE77" i="10"/>
  <c r="BE71" i="10"/>
  <c r="BE65" i="10"/>
  <c r="BE59" i="10"/>
  <c r="BE53" i="10"/>
  <c r="BE47" i="10"/>
  <c r="BE41" i="10"/>
  <c r="BE35" i="10"/>
  <c r="BE29" i="10"/>
  <c r="BE23" i="10"/>
  <c r="BE17" i="10"/>
  <c r="BE11" i="10"/>
  <c r="BE5" i="10"/>
  <c r="BE190" i="10"/>
  <c r="BE178" i="10"/>
  <c r="BE166" i="10"/>
  <c r="BE154" i="10"/>
  <c r="BE142" i="10"/>
  <c r="BE130" i="10"/>
  <c r="BE118" i="10"/>
  <c r="BE106" i="10"/>
  <c r="BE94" i="10"/>
  <c r="BE82" i="10"/>
  <c r="BE70" i="10"/>
  <c r="BE58" i="10"/>
  <c r="BE46" i="10"/>
  <c r="BE34" i="10"/>
  <c r="BE22" i="10"/>
  <c r="BE10" i="10"/>
  <c r="R9" i="10"/>
  <c r="R253" i="10"/>
  <c r="T253" i="10"/>
  <c r="V253" i="10"/>
  <c r="W253" i="10"/>
  <c r="X253" i="10"/>
  <c r="S253" i="10"/>
  <c r="U253" i="10"/>
  <c r="Y253" i="10"/>
  <c r="AA253" i="10"/>
  <c r="AB253" i="10"/>
  <c r="R247" i="10"/>
  <c r="S247" i="10"/>
  <c r="T247" i="10"/>
  <c r="U247" i="10"/>
  <c r="V247" i="10"/>
  <c r="W247" i="10"/>
  <c r="X247" i="10"/>
  <c r="Y247" i="10"/>
  <c r="AA247" i="10"/>
  <c r="AB247" i="10"/>
  <c r="S241" i="10"/>
  <c r="R241" i="10"/>
  <c r="T241" i="10"/>
  <c r="V241" i="10"/>
  <c r="W241" i="10"/>
  <c r="X241" i="10"/>
  <c r="U241" i="10"/>
  <c r="Y241" i="10"/>
  <c r="AA241" i="10"/>
  <c r="AB241" i="10"/>
  <c r="R235" i="10"/>
  <c r="S235" i="10"/>
  <c r="T235" i="10"/>
  <c r="U235" i="10"/>
  <c r="V235" i="10"/>
  <c r="W235" i="10"/>
  <c r="X235" i="10"/>
  <c r="Y235" i="10"/>
  <c r="AA235" i="10"/>
  <c r="AB235" i="10"/>
  <c r="S229" i="10"/>
  <c r="U229" i="10"/>
  <c r="R229" i="10"/>
  <c r="T229" i="10"/>
  <c r="V229" i="10"/>
  <c r="W229" i="10"/>
  <c r="X229" i="10"/>
  <c r="Y229" i="10"/>
  <c r="AA229" i="10"/>
  <c r="AB229" i="10"/>
  <c r="R223" i="10"/>
  <c r="S223" i="10"/>
  <c r="T223" i="10"/>
  <c r="U223" i="10"/>
  <c r="V223" i="10"/>
  <c r="W223" i="10"/>
  <c r="X223" i="10"/>
  <c r="Y223" i="10"/>
  <c r="AA223" i="10"/>
  <c r="AB223" i="10"/>
  <c r="S217" i="10"/>
  <c r="V217" i="10"/>
  <c r="W217" i="10"/>
  <c r="X217" i="10"/>
  <c r="U217" i="10"/>
  <c r="R217" i="10"/>
  <c r="T217" i="10"/>
  <c r="Y217" i="10"/>
  <c r="AA217" i="10"/>
  <c r="AB217" i="10"/>
  <c r="R211" i="10"/>
  <c r="S211" i="10"/>
  <c r="T211" i="10"/>
  <c r="U211" i="10"/>
  <c r="V211" i="10"/>
  <c r="W211" i="10"/>
  <c r="X211" i="10"/>
  <c r="Y211" i="10"/>
  <c r="AA211" i="10"/>
  <c r="AB211" i="10"/>
  <c r="R205" i="10"/>
  <c r="T205" i="10"/>
  <c r="S205" i="10"/>
  <c r="U205" i="10"/>
  <c r="V205" i="10"/>
  <c r="W205" i="10"/>
  <c r="X205" i="10"/>
  <c r="Y205" i="10"/>
  <c r="AA205" i="10"/>
  <c r="AB205" i="10"/>
  <c r="R199" i="10"/>
  <c r="S199" i="10"/>
  <c r="T199" i="10"/>
  <c r="U199" i="10"/>
  <c r="V199" i="10"/>
  <c r="W199" i="10"/>
  <c r="X199" i="10"/>
  <c r="Y199" i="10"/>
  <c r="AA199" i="10"/>
  <c r="AB199" i="10"/>
  <c r="R193" i="10"/>
  <c r="T193" i="10"/>
  <c r="S193" i="10"/>
  <c r="U193" i="10"/>
  <c r="V193" i="10"/>
  <c r="W193" i="10"/>
  <c r="X193" i="10"/>
  <c r="Y193" i="10"/>
  <c r="AA193" i="10"/>
  <c r="AB193" i="10"/>
  <c r="R187" i="10"/>
  <c r="S187" i="10"/>
  <c r="T187" i="10"/>
  <c r="U187" i="10"/>
  <c r="V187" i="10"/>
  <c r="W187" i="10"/>
  <c r="X187" i="10"/>
  <c r="Y187" i="10"/>
  <c r="AA187" i="10"/>
  <c r="AB187" i="10"/>
  <c r="R181" i="10"/>
  <c r="T181" i="10"/>
  <c r="V181" i="10"/>
  <c r="W181" i="10"/>
  <c r="X181" i="10"/>
  <c r="U181" i="10"/>
  <c r="Y181" i="10"/>
  <c r="AA181" i="10"/>
  <c r="AB181" i="10"/>
  <c r="R175" i="10"/>
  <c r="S175" i="10"/>
  <c r="T175" i="10"/>
  <c r="U175" i="10"/>
  <c r="V175" i="10"/>
  <c r="W175" i="10"/>
  <c r="X175" i="10"/>
  <c r="Y175" i="10"/>
  <c r="AA175" i="10"/>
  <c r="AB175" i="10"/>
  <c r="S169" i="10"/>
  <c r="U169" i="10"/>
  <c r="R169" i="10"/>
  <c r="T169" i="10"/>
  <c r="V169" i="10"/>
  <c r="W169" i="10"/>
  <c r="X169" i="10"/>
  <c r="Y169" i="10"/>
  <c r="AA169" i="10"/>
  <c r="AB169" i="10"/>
  <c r="R163" i="10"/>
  <c r="S163" i="10"/>
  <c r="T163" i="10"/>
  <c r="U163" i="10"/>
  <c r="V163" i="10"/>
  <c r="W163" i="10"/>
  <c r="X163" i="10"/>
  <c r="Y163" i="10"/>
  <c r="AA163" i="10"/>
  <c r="AB163" i="10"/>
  <c r="S157" i="10"/>
  <c r="U157" i="10"/>
  <c r="R157" i="10"/>
  <c r="T157" i="10"/>
  <c r="V157" i="10"/>
  <c r="W157" i="10"/>
  <c r="X157" i="10"/>
  <c r="Y157" i="10"/>
  <c r="AA157" i="10"/>
  <c r="AB157" i="10"/>
  <c r="R151" i="10"/>
  <c r="S151" i="10"/>
  <c r="T151" i="10"/>
  <c r="U151" i="10"/>
  <c r="V151" i="10"/>
  <c r="W151" i="10"/>
  <c r="X151" i="10"/>
  <c r="Y151" i="10"/>
  <c r="AA151" i="10"/>
  <c r="AB151" i="10"/>
  <c r="S145" i="10"/>
  <c r="U145" i="10"/>
  <c r="V145" i="10"/>
  <c r="W145" i="10"/>
  <c r="X145" i="10"/>
  <c r="R145" i="10"/>
  <c r="T145" i="10"/>
  <c r="Y145" i="10"/>
  <c r="AA145" i="10"/>
  <c r="AB145" i="10"/>
  <c r="R139" i="10"/>
  <c r="S139" i="10"/>
  <c r="T139" i="10"/>
  <c r="U139" i="10"/>
  <c r="V139" i="10"/>
  <c r="W139" i="10"/>
  <c r="X139" i="10"/>
  <c r="Y139" i="10"/>
  <c r="AA139" i="10"/>
  <c r="AB139" i="10"/>
  <c r="R133" i="10"/>
  <c r="T133" i="10"/>
  <c r="S133" i="10"/>
  <c r="U133" i="10"/>
  <c r="V133" i="10"/>
  <c r="W133" i="10"/>
  <c r="X133" i="10"/>
  <c r="Y133" i="10"/>
  <c r="AA133" i="10"/>
  <c r="AB133" i="10"/>
  <c r="R127" i="10"/>
  <c r="S127" i="10"/>
  <c r="T127" i="10"/>
  <c r="U127" i="10"/>
  <c r="V127" i="10"/>
  <c r="W127" i="10"/>
  <c r="X127" i="10"/>
  <c r="Y127" i="10"/>
  <c r="AA127" i="10"/>
  <c r="AB127" i="10"/>
  <c r="R121" i="10"/>
  <c r="T121" i="10"/>
  <c r="S121" i="10"/>
  <c r="U121" i="10"/>
  <c r="V121" i="10"/>
  <c r="W121" i="10"/>
  <c r="X121" i="10"/>
  <c r="Y121" i="10"/>
  <c r="AA121" i="10"/>
  <c r="AB121" i="10"/>
  <c r="R115" i="10"/>
  <c r="S115" i="10"/>
  <c r="T115" i="10"/>
  <c r="U115" i="10"/>
  <c r="V115" i="10"/>
  <c r="W115" i="10"/>
  <c r="X115" i="10"/>
  <c r="Y115" i="10"/>
  <c r="AA115" i="10"/>
  <c r="AB115" i="10"/>
  <c r="R109" i="10"/>
  <c r="T109" i="10"/>
  <c r="V109" i="10"/>
  <c r="W109" i="10"/>
  <c r="X109" i="10"/>
  <c r="S109" i="10"/>
  <c r="Y109" i="10"/>
  <c r="AA109" i="10"/>
  <c r="AB109" i="10"/>
  <c r="R103" i="10"/>
  <c r="S103" i="10"/>
  <c r="T103" i="10"/>
  <c r="U103" i="10"/>
  <c r="V103" i="10"/>
  <c r="W103" i="10"/>
  <c r="X103" i="10"/>
  <c r="Y103" i="10"/>
  <c r="AA103" i="10"/>
  <c r="AB103" i="10"/>
  <c r="S97" i="10"/>
  <c r="U97" i="10"/>
  <c r="R97" i="10"/>
  <c r="T97" i="10"/>
  <c r="V97" i="10"/>
  <c r="W97" i="10"/>
  <c r="X97" i="10"/>
  <c r="Y97" i="10"/>
  <c r="AA97" i="10"/>
  <c r="AB97" i="10"/>
  <c r="R91" i="10"/>
  <c r="S91" i="10"/>
  <c r="T91" i="10"/>
  <c r="U91" i="10"/>
  <c r="V91" i="10"/>
  <c r="W91" i="10"/>
  <c r="X91" i="10"/>
  <c r="Y91" i="10"/>
  <c r="AA91" i="10"/>
  <c r="AB91" i="10"/>
  <c r="S85" i="10"/>
  <c r="U85" i="10"/>
  <c r="R85" i="10"/>
  <c r="T85" i="10"/>
  <c r="V85" i="10"/>
  <c r="W85" i="10"/>
  <c r="X85" i="10"/>
  <c r="Y85" i="10"/>
  <c r="AA85" i="10"/>
  <c r="AB85" i="10"/>
  <c r="R79" i="10"/>
  <c r="S79" i="10"/>
  <c r="T79" i="10"/>
  <c r="U79" i="10"/>
  <c r="V79" i="10"/>
  <c r="W79" i="10"/>
  <c r="X79" i="10"/>
  <c r="Y79" i="10"/>
  <c r="AA79" i="10"/>
  <c r="AB79" i="10"/>
  <c r="S73" i="10"/>
  <c r="U73" i="10"/>
  <c r="V73" i="10"/>
  <c r="W73" i="10"/>
  <c r="X73" i="10"/>
  <c r="Y73" i="10"/>
  <c r="R73" i="10"/>
  <c r="T73" i="10"/>
  <c r="AA73" i="10"/>
  <c r="AB73" i="10"/>
  <c r="R67" i="10"/>
  <c r="S67" i="10"/>
  <c r="T67" i="10"/>
  <c r="U67" i="10"/>
  <c r="V67" i="10"/>
  <c r="W67" i="10"/>
  <c r="X67" i="10"/>
  <c r="Y67" i="10"/>
  <c r="AA67" i="10"/>
  <c r="AB67" i="10"/>
  <c r="R61" i="10"/>
  <c r="T61" i="10"/>
  <c r="S61" i="10"/>
  <c r="U61" i="10"/>
  <c r="V61" i="10"/>
  <c r="W61" i="10"/>
  <c r="X61" i="10"/>
  <c r="Y61" i="10"/>
  <c r="AA61" i="10"/>
  <c r="AB61" i="10"/>
  <c r="R55" i="10"/>
  <c r="S55" i="10"/>
  <c r="T55" i="10"/>
  <c r="U55" i="10"/>
  <c r="V55" i="10"/>
  <c r="W55" i="10"/>
  <c r="X55" i="10"/>
  <c r="Y55" i="10"/>
  <c r="AA55" i="10"/>
  <c r="AB55" i="10"/>
  <c r="R49" i="10"/>
  <c r="T49" i="10"/>
  <c r="S49" i="10"/>
  <c r="U49" i="10"/>
  <c r="V49" i="10"/>
  <c r="W49" i="10"/>
  <c r="X49" i="10"/>
  <c r="Y49" i="10"/>
  <c r="AA49" i="10"/>
  <c r="AB49" i="10"/>
  <c r="R43" i="10"/>
  <c r="S43" i="10"/>
  <c r="T43" i="10"/>
  <c r="U43" i="10"/>
  <c r="V43" i="10"/>
  <c r="W43" i="10"/>
  <c r="X43" i="10"/>
  <c r="Y43" i="10"/>
  <c r="AA43" i="10"/>
  <c r="AB43" i="10"/>
  <c r="R37" i="10"/>
  <c r="T37" i="10"/>
  <c r="V37" i="10"/>
  <c r="W37" i="10"/>
  <c r="X37" i="10"/>
  <c r="Y37" i="10"/>
  <c r="S37" i="10"/>
  <c r="U37" i="10"/>
  <c r="AA37" i="10"/>
  <c r="AB37" i="10"/>
  <c r="R31" i="10"/>
  <c r="S31" i="10"/>
  <c r="T31" i="10"/>
  <c r="U31" i="10"/>
  <c r="V31" i="10"/>
  <c r="W31" i="10"/>
  <c r="X31" i="10"/>
  <c r="Y31" i="10"/>
  <c r="AA31" i="10"/>
  <c r="AB31" i="10"/>
  <c r="S25" i="10"/>
  <c r="U25" i="10"/>
  <c r="R25" i="10"/>
  <c r="T25" i="10"/>
  <c r="V25" i="10"/>
  <c r="W25" i="10"/>
  <c r="X25" i="10"/>
  <c r="Y25" i="10"/>
  <c r="AA25" i="10"/>
  <c r="AB25" i="10"/>
  <c r="R19" i="10"/>
  <c r="S19" i="10"/>
  <c r="T19" i="10"/>
  <c r="U19" i="10"/>
  <c r="V19" i="10"/>
  <c r="W19" i="10"/>
  <c r="X19" i="10"/>
  <c r="Y19" i="10"/>
  <c r="AA19" i="10"/>
  <c r="AB19" i="10"/>
  <c r="S13" i="10"/>
  <c r="U13" i="10"/>
  <c r="R13" i="10"/>
  <c r="T13" i="10"/>
  <c r="V13" i="10"/>
  <c r="W13" i="10"/>
  <c r="X13" i="10"/>
  <c r="Y13" i="10"/>
  <c r="AA13" i="10"/>
  <c r="AB13" i="10"/>
  <c r="R7" i="10"/>
  <c r="S7" i="10"/>
  <c r="T7" i="10"/>
  <c r="U7" i="10"/>
  <c r="V7" i="10"/>
  <c r="W7" i="10"/>
  <c r="X7" i="10"/>
  <c r="Y7" i="10"/>
  <c r="AA7" i="10"/>
  <c r="AB7" i="10"/>
  <c r="U109" i="10"/>
  <c r="S181" i="10"/>
  <c r="BV251" i="10"/>
  <c r="BV239" i="10"/>
  <c r="BV227" i="10"/>
  <c r="BV215" i="10"/>
  <c r="BV203" i="10"/>
  <c r="BV191" i="10"/>
  <c r="BV179" i="10"/>
  <c r="BV167" i="10"/>
  <c r="BV155" i="10"/>
  <c r="BV143" i="10"/>
  <c r="BV131" i="10"/>
  <c r="BV119" i="10"/>
  <c r="BV107" i="10"/>
  <c r="BV95" i="10"/>
  <c r="BV83" i="10"/>
  <c r="BV71" i="10"/>
  <c r="BV59" i="10"/>
  <c r="BV47" i="10"/>
  <c r="BV35" i="10"/>
  <c r="BV23" i="10"/>
  <c r="BV11" i="10"/>
  <c r="BV250" i="10"/>
  <c r="BV244" i="10"/>
  <c r="BV238" i="10"/>
  <c r="BV232" i="10"/>
  <c r="BV226" i="10"/>
  <c r="BV220" i="10"/>
  <c r="BV214" i="10"/>
  <c r="BV208" i="10"/>
  <c r="BV202" i="10"/>
  <c r="BV196" i="10"/>
  <c r="BV190" i="10"/>
  <c r="BV184" i="10"/>
  <c r="BV178" i="10"/>
  <c r="BV172" i="10"/>
  <c r="BV166" i="10"/>
  <c r="BV160" i="10"/>
  <c r="BV154" i="10"/>
  <c r="BV148" i="10"/>
  <c r="BV142" i="10"/>
  <c r="BV136" i="10"/>
  <c r="BV130" i="10"/>
  <c r="BV124" i="10"/>
  <c r="BV118" i="10"/>
  <c r="BV112" i="10"/>
  <c r="BV106" i="10"/>
  <c r="BV100" i="10"/>
  <c r="BV94" i="10"/>
  <c r="BV88" i="10"/>
  <c r="BV82" i="10"/>
  <c r="BV76" i="10"/>
  <c r="BV70" i="10"/>
  <c r="BV64" i="10"/>
  <c r="BV58" i="10"/>
  <c r="BV52" i="10"/>
  <c r="BV46" i="10"/>
  <c r="BV40" i="10"/>
  <c r="BV34" i="10"/>
  <c r="BV28" i="10"/>
  <c r="BV22" i="10"/>
  <c r="BV16" i="10"/>
  <c r="BV10" i="10"/>
  <c r="BV4" i="10"/>
  <c r="BV255" i="10"/>
  <c r="BV243" i="10"/>
  <c r="BV231" i="10"/>
  <c r="BV225" i="10"/>
  <c r="BV213" i="10"/>
  <c r="BV201" i="10"/>
  <c r="BV189" i="10"/>
  <c r="BV177" i="10"/>
  <c r="BV165" i="10"/>
  <c r="BV153" i="10"/>
  <c r="BV141" i="10"/>
  <c r="BV129" i="10"/>
  <c r="BV117" i="10"/>
  <c r="BV105" i="10"/>
  <c r="BV93" i="10"/>
  <c r="BV81" i="10"/>
  <c r="BV69" i="10"/>
  <c r="BV57" i="10"/>
  <c r="BV45" i="10"/>
  <c r="BV33" i="10"/>
  <c r="BV21" i="10"/>
  <c r="BV9" i="10"/>
  <c r="AV206" i="10"/>
  <c r="BV249" i="10"/>
  <c r="BV237" i="10"/>
  <c r="BV219" i="10"/>
  <c r="BV207" i="10"/>
  <c r="BV195" i="10"/>
  <c r="BV183" i="10"/>
  <c r="BV171" i="10"/>
  <c r="BV159" i="10"/>
  <c r="BV147" i="10"/>
  <c r="BV135" i="10"/>
  <c r="BV123" i="10"/>
  <c r="BV111" i="10"/>
  <c r="BV99" i="10"/>
  <c r="BV87" i="10"/>
  <c r="BV75" i="10"/>
  <c r="BV63" i="10"/>
  <c r="BV51" i="10"/>
  <c r="BV39" i="10"/>
  <c r="BV27" i="10"/>
  <c r="BV15" i="10"/>
  <c r="BV254" i="10"/>
  <c r="BV248" i="10"/>
  <c r="BV242" i="10"/>
  <c r="BV236" i="10"/>
  <c r="BV230" i="10"/>
  <c r="BV224" i="10"/>
  <c r="BV218" i="10"/>
  <c r="BV212" i="10"/>
  <c r="BV206" i="10"/>
  <c r="BV200" i="10"/>
  <c r="BV194" i="10"/>
  <c r="BV188" i="10"/>
  <c r="BV182" i="10"/>
  <c r="BV176" i="10"/>
  <c r="BV170" i="10"/>
  <c r="BV164" i="10"/>
  <c r="BV158" i="10"/>
  <c r="BV152" i="10"/>
  <c r="BV146" i="10"/>
  <c r="BV140" i="10"/>
  <c r="BV134" i="10"/>
  <c r="BV128" i="10"/>
  <c r="BV122" i="10"/>
  <c r="BV116" i="10"/>
  <c r="BV110" i="10"/>
  <c r="BV104" i="10"/>
  <c r="BV98" i="10"/>
  <c r="BV92" i="10"/>
  <c r="BV86" i="10"/>
  <c r="BV80" i="10"/>
  <c r="BV74" i="10"/>
  <c r="BV68" i="10"/>
  <c r="BV62" i="10"/>
  <c r="BV56" i="10"/>
  <c r="BV50" i="10"/>
  <c r="BV44" i="10"/>
  <c r="BV38" i="10"/>
  <c r="BV32" i="10"/>
  <c r="BV26" i="10"/>
  <c r="BV20" i="10"/>
  <c r="BV14" i="10"/>
  <c r="BV8" i="10"/>
  <c r="BV253" i="10"/>
  <c r="BV241" i="10"/>
  <c r="BV229" i="10"/>
  <c r="BV217" i="10"/>
  <c r="BV205" i="10"/>
  <c r="BV193" i="10"/>
  <c r="BV181" i="10"/>
  <c r="BV169" i="10"/>
  <c r="BV157" i="10"/>
  <c r="BV145" i="10"/>
  <c r="BV133" i="10"/>
  <c r="BV121" i="10"/>
  <c r="BV103" i="10"/>
  <c r="BV91" i="10"/>
  <c r="BV79" i="10"/>
  <c r="BV67" i="10"/>
  <c r="BV55" i="10"/>
  <c r="BV43" i="10"/>
  <c r="BV31" i="10"/>
  <c r="BV19" i="10"/>
  <c r="BV7" i="10"/>
  <c r="BV247" i="10"/>
  <c r="BV235" i="10"/>
  <c r="BV223" i="10"/>
  <c r="BV211" i="10"/>
  <c r="BV199" i="10"/>
  <c r="BV187" i="10"/>
  <c r="BV175" i="10"/>
  <c r="BV163" i="10"/>
  <c r="BV151" i="10"/>
  <c r="BV139" i="10"/>
  <c r="BV127" i="10"/>
  <c r="BV115" i="10"/>
  <c r="BV109" i="10"/>
  <c r="BV97" i="10"/>
  <c r="BV85" i="10"/>
  <c r="BV73" i="10"/>
  <c r="BV61" i="10"/>
  <c r="BV49" i="10"/>
  <c r="BV37" i="10"/>
  <c r="BV25" i="10"/>
  <c r="BV13" i="10"/>
  <c r="BV252" i="10"/>
  <c r="BV246" i="10"/>
  <c r="BV240" i="10"/>
  <c r="BV234" i="10"/>
  <c r="BV228" i="10"/>
  <c r="BV222" i="10"/>
  <c r="BV216" i="10"/>
  <c r="BV210" i="10"/>
  <c r="BV204" i="10"/>
  <c r="BV198" i="10"/>
  <c r="BV192" i="10"/>
  <c r="BV186" i="10"/>
  <c r="BV180" i="10"/>
  <c r="BV174" i="10"/>
  <c r="BV168" i="10"/>
  <c r="BV162" i="10"/>
  <c r="BV156" i="10"/>
  <c r="BV150" i="10"/>
  <c r="BV144" i="10"/>
  <c r="BV138" i="10"/>
  <c r="BV132" i="10"/>
  <c r="BV126" i="10"/>
  <c r="BV120" i="10"/>
  <c r="BV114" i="10"/>
  <c r="BV108" i="10"/>
  <c r="BV102" i="10"/>
  <c r="BV96" i="10"/>
  <c r="BV90" i="10"/>
  <c r="BV84" i="10"/>
  <c r="BV78" i="10"/>
  <c r="BV72" i="10"/>
  <c r="BV66" i="10"/>
  <c r="BV60" i="10"/>
  <c r="BV54" i="10"/>
  <c r="BV48" i="10"/>
  <c r="BV42" i="10"/>
  <c r="BV36" i="10"/>
  <c r="BV30" i="10"/>
  <c r="BV24" i="10"/>
  <c r="BV18" i="10"/>
  <c r="BV12" i="10"/>
  <c r="BV6" i="10"/>
  <c r="BV245" i="10"/>
  <c r="BV233" i="10"/>
  <c r="BV221" i="10"/>
  <c r="BV209" i="10"/>
  <c r="BV197" i="10"/>
  <c r="BV185" i="10"/>
  <c r="BV173" i="10"/>
  <c r="BV161" i="10"/>
  <c r="BV149" i="10"/>
  <c r="BV137" i="10"/>
  <c r="BV125" i="10"/>
  <c r="BV113" i="10"/>
  <c r="BV101" i="10"/>
  <c r="BV89" i="10"/>
  <c r="BV77" i="10"/>
  <c r="BV65" i="10"/>
  <c r="BV53" i="10"/>
  <c r="BV41" i="10"/>
  <c r="BV29" i="10"/>
  <c r="BV17" i="10"/>
  <c r="BV5" i="10"/>
  <c r="BC52" i="10"/>
  <c r="AV95" i="10"/>
  <c r="BM121" i="4" l="1"/>
  <c r="BM7" i="4"/>
  <c r="BM181" i="4"/>
  <c r="BM67" i="4"/>
  <c r="BM169" i="4"/>
  <c r="BM55" i="4"/>
  <c r="BM193" i="4"/>
  <c r="BM79" i="4"/>
  <c r="BM253" i="4"/>
  <c r="BM145" i="4"/>
  <c r="BM31" i="4"/>
  <c r="BM25" i="4"/>
  <c r="BM241" i="4"/>
  <c r="BM133" i="4"/>
  <c r="BM19" i="4"/>
  <c r="BM211" i="4"/>
  <c r="BC253" i="10"/>
  <c r="Z74" i="10"/>
  <c r="Z52" i="10"/>
  <c r="BC73" i="10"/>
  <c r="BC206" i="10"/>
  <c r="BC227" i="10"/>
  <c r="BC190" i="10"/>
  <c r="BC140" i="10"/>
  <c r="BC96" i="10"/>
  <c r="Z95" i="10"/>
  <c r="BC162" i="10"/>
  <c r="AV51" i="10"/>
  <c r="BC7" i="10"/>
  <c r="BC192" i="10"/>
  <c r="Z206" i="10"/>
  <c r="AV73" i="10"/>
  <c r="AV209" i="10"/>
  <c r="BC117" i="10"/>
  <c r="BC29" i="10"/>
  <c r="BC250" i="10"/>
  <c r="BC228" i="10"/>
  <c r="BC50" i="10"/>
  <c r="Z140" i="10"/>
  <c r="Z184" i="10"/>
  <c r="Z162" i="10"/>
  <c r="AV184" i="10"/>
  <c r="BC249" i="10"/>
  <c r="BC161" i="10"/>
  <c r="BC139" i="10"/>
  <c r="BC74" i="10"/>
  <c r="BC118" i="10"/>
  <c r="BB99" i="10"/>
  <c r="BC99" i="10"/>
  <c r="BC160" i="10"/>
  <c r="Z118" i="10"/>
  <c r="AV231" i="10"/>
  <c r="Z250" i="10"/>
  <c r="BC233" i="10"/>
  <c r="AV227" i="10"/>
  <c r="BC98" i="10"/>
  <c r="AV183" i="10"/>
  <c r="AV139" i="10"/>
  <c r="AV162" i="10"/>
  <c r="BC168" i="10"/>
  <c r="AV52" i="10"/>
  <c r="AV118" i="10"/>
  <c r="AV29" i="10"/>
  <c r="AV249" i="10"/>
  <c r="AV6" i="10"/>
  <c r="AV143" i="10"/>
  <c r="BC214" i="10"/>
  <c r="AV58" i="10"/>
  <c r="Z8" i="10"/>
  <c r="AV161" i="10"/>
  <c r="AV76" i="10"/>
  <c r="AV111" i="10"/>
  <c r="BC35" i="10"/>
  <c r="AV191" i="10"/>
  <c r="AV124" i="10"/>
  <c r="AV117" i="10"/>
  <c r="BC9" i="10"/>
  <c r="Z168" i="10"/>
  <c r="AV30" i="10"/>
  <c r="BC51" i="10"/>
  <c r="AV7" i="10"/>
  <c r="AV120" i="10"/>
  <c r="BC8" i="10"/>
  <c r="AV32" i="10"/>
  <c r="AV205" i="10"/>
  <c r="BC55" i="10"/>
  <c r="BC158" i="10"/>
  <c r="BC58" i="10"/>
  <c r="AV96" i="10"/>
  <c r="AV250" i="10"/>
  <c r="BC77" i="10"/>
  <c r="AV187" i="10"/>
  <c r="AV253" i="10"/>
  <c r="BC121" i="10"/>
  <c r="AV248" i="10"/>
  <c r="AV74" i="10"/>
  <c r="BC33" i="10"/>
  <c r="AV46" i="10"/>
  <c r="BC251" i="10"/>
  <c r="Z96" i="10"/>
  <c r="Z120" i="10"/>
  <c r="BC226" i="10"/>
  <c r="AV230" i="10"/>
  <c r="BC26" i="10"/>
  <c r="AV186" i="10"/>
  <c r="Z228" i="10"/>
  <c r="AV228" i="10"/>
  <c r="AV234" i="10"/>
  <c r="BC243" i="10"/>
  <c r="BC70" i="10"/>
  <c r="AV203" i="10"/>
  <c r="AV160" i="10"/>
  <c r="BC136" i="10"/>
  <c r="AV140" i="10"/>
  <c r="BC204" i="10"/>
  <c r="AV164" i="10"/>
  <c r="AV207" i="10"/>
  <c r="Z30" i="10"/>
  <c r="AV36" i="10"/>
  <c r="BC239" i="10"/>
  <c r="BC209" i="10"/>
  <c r="BC252" i="10"/>
  <c r="AV146" i="10"/>
  <c r="BC231" i="10"/>
  <c r="BC234" i="10"/>
  <c r="AV94" i="10"/>
  <c r="AV236" i="10"/>
  <c r="BC146" i="10"/>
  <c r="BC163" i="10"/>
  <c r="BC76" i="10"/>
  <c r="BC164" i="10"/>
  <c r="BC170" i="10"/>
  <c r="BC183" i="10"/>
  <c r="BC143" i="10"/>
  <c r="BC169" i="10"/>
  <c r="BC124" i="10"/>
  <c r="BC36" i="10"/>
  <c r="BC54" i="10"/>
  <c r="BC212" i="10"/>
  <c r="AV8" i="10"/>
  <c r="BC182" i="10"/>
  <c r="AV179" i="10"/>
  <c r="AV190" i="10"/>
  <c r="AV204" i="10"/>
  <c r="BC47" i="10"/>
  <c r="AV252" i="10"/>
  <c r="BC153" i="10"/>
  <c r="BC101" i="10"/>
  <c r="BC244" i="10"/>
  <c r="BC213" i="10"/>
  <c r="BC187" i="10"/>
  <c r="BC60" i="10"/>
  <c r="BC102" i="10"/>
  <c r="AV14" i="10"/>
  <c r="BC205" i="10"/>
  <c r="BC148" i="10"/>
  <c r="BC126" i="10"/>
  <c r="BC230" i="10"/>
  <c r="BC229" i="10"/>
  <c r="BC120" i="10"/>
  <c r="BC138" i="10"/>
  <c r="BC248" i="10"/>
  <c r="AV10" i="10"/>
  <c r="AV80" i="10"/>
  <c r="Z6" i="10"/>
  <c r="BC186" i="10"/>
  <c r="BC11" i="10"/>
  <c r="AV168" i="10"/>
  <c r="BC38" i="10"/>
  <c r="BC82" i="10"/>
  <c r="BC10" i="10"/>
  <c r="AV138" i="10"/>
  <c r="Z98" i="10"/>
  <c r="Z252" i="10"/>
  <c r="AV148" i="10"/>
  <c r="BC14" i="10"/>
  <c r="BC94" i="10"/>
  <c r="Z248" i="10"/>
  <c r="BC129" i="10"/>
  <c r="BC142" i="10"/>
  <c r="BC141" i="10"/>
  <c r="BC109" i="10"/>
  <c r="BC28" i="10"/>
  <c r="BC80" i="10"/>
  <c r="BC134" i="10"/>
  <c r="BC184" i="10"/>
  <c r="AV142" i="10"/>
  <c r="Z230" i="10"/>
  <c r="BC61" i="10"/>
  <c r="AV208" i="10"/>
  <c r="BC147" i="10"/>
  <c r="BC95" i="10"/>
  <c r="BC40" i="10"/>
  <c r="BC116" i="10"/>
  <c r="BC208" i="10"/>
  <c r="BC6" i="10"/>
  <c r="BC32" i="10"/>
  <c r="BC165" i="10"/>
  <c r="BC113" i="10"/>
  <c r="BC30" i="10"/>
  <c r="BC152" i="10"/>
  <c r="BC97" i="10"/>
  <c r="Z164" i="10"/>
  <c r="BC149" i="10"/>
  <c r="BC237" i="10"/>
  <c r="Z200" i="10"/>
  <c r="AV225" i="10"/>
  <c r="BC115" i="10"/>
  <c r="AV226" i="10"/>
  <c r="AV182" i="10"/>
  <c r="BC93" i="10"/>
  <c r="Z32" i="10"/>
  <c r="AV201" i="10"/>
  <c r="AV102" i="10"/>
  <c r="AV83" i="10"/>
  <c r="BC215" i="10"/>
  <c r="BC133" i="10"/>
  <c r="BC16" i="10"/>
  <c r="BC198" i="10"/>
  <c r="BC75" i="10"/>
  <c r="AV173" i="10"/>
  <c r="BC37" i="10"/>
  <c r="AV20" i="10"/>
  <c r="BC201" i="10"/>
  <c r="AV54" i="10"/>
  <c r="Z50" i="10"/>
  <c r="AV165" i="10"/>
  <c r="AV78" i="10"/>
  <c r="BC246" i="10"/>
  <c r="BC171" i="10"/>
  <c r="Z186" i="10"/>
  <c r="BC122" i="10"/>
  <c r="Z112" i="10"/>
  <c r="AV192" i="10"/>
  <c r="BC72" i="10"/>
  <c r="BC219" i="10"/>
  <c r="BC130" i="10"/>
  <c r="BC48" i="10"/>
  <c r="BC13" i="10"/>
  <c r="BC178" i="10"/>
  <c r="AV188" i="10"/>
  <c r="AV237" i="10"/>
  <c r="Z46" i="10"/>
  <c r="BC15" i="10"/>
  <c r="BC155" i="10"/>
  <c r="BC167" i="10"/>
  <c r="AV194" i="10"/>
  <c r="AV22" i="10"/>
  <c r="AV71" i="10"/>
  <c r="AV137" i="10"/>
  <c r="BC179" i="10"/>
  <c r="BC144" i="10"/>
  <c r="Z161" i="10"/>
  <c r="AV116" i="10"/>
  <c r="BC57" i="10"/>
  <c r="BC191" i="10"/>
  <c r="AV136" i="10"/>
  <c r="BC156" i="10"/>
  <c r="AV212" i="10"/>
  <c r="BC79" i="10"/>
  <c r="BC174" i="10"/>
  <c r="BC200" i="10"/>
  <c r="Z54" i="10"/>
  <c r="BC222" i="10"/>
  <c r="Z212" i="10"/>
  <c r="AV50" i="10"/>
  <c r="BC241" i="10"/>
  <c r="Z106" i="10"/>
  <c r="AV69" i="10"/>
  <c r="Z208" i="10"/>
  <c r="AV17" i="10"/>
  <c r="BC135" i="10"/>
  <c r="Z204" i="10"/>
  <c r="AV41" i="10"/>
  <c r="AV153" i="10"/>
  <c r="BC235" i="10"/>
  <c r="AV114" i="10"/>
  <c r="AV185" i="10"/>
  <c r="BC196" i="10"/>
  <c r="BC132" i="10"/>
  <c r="BC218" i="10"/>
  <c r="Z76" i="10"/>
  <c r="BC18" i="10"/>
  <c r="Z154" i="10"/>
  <c r="BC92" i="10"/>
  <c r="BC42" i="10"/>
  <c r="AV15" i="10"/>
  <c r="Z160" i="10"/>
  <c r="BC104" i="10"/>
  <c r="BC123" i="10"/>
  <c r="BC83" i="10"/>
  <c r="Z180" i="10"/>
  <c r="BC175" i="10"/>
  <c r="Z182" i="10"/>
  <c r="BC112" i="10"/>
  <c r="BC65" i="10"/>
  <c r="Z72" i="10"/>
  <c r="AV213" i="10"/>
  <c r="AV98" i="10"/>
  <c r="AV104" i="10"/>
  <c r="AV91" i="10"/>
  <c r="AV121" i="10"/>
  <c r="AV155" i="10"/>
  <c r="Z28" i="10"/>
  <c r="AV122" i="10"/>
  <c r="AV86" i="10"/>
  <c r="AV163" i="10"/>
  <c r="Z146" i="10"/>
  <c r="BC221" i="10"/>
  <c r="AV84" i="10"/>
  <c r="AV105" i="10"/>
  <c r="BC128" i="10"/>
  <c r="AV40" i="10"/>
  <c r="BC88" i="10"/>
  <c r="AV135" i="10"/>
  <c r="BC87" i="10"/>
  <c r="Z136" i="10"/>
  <c r="BC19" i="10"/>
  <c r="BC12" i="10"/>
  <c r="BC41" i="10"/>
  <c r="Z42" i="10"/>
  <c r="AV126" i="10"/>
  <c r="Z224" i="10"/>
  <c r="AV5" i="10"/>
  <c r="AV210" i="10"/>
  <c r="BC151" i="10"/>
  <c r="AV157" i="10"/>
  <c r="Z172" i="10"/>
  <c r="AV229" i="10"/>
  <c r="AV110" i="10"/>
  <c r="AV65" i="10"/>
  <c r="BC194" i="10"/>
  <c r="AV47" i="10"/>
  <c r="BC67" i="10"/>
  <c r="Z90" i="10"/>
  <c r="BC210" i="10"/>
  <c r="BC27" i="10"/>
  <c r="AV218" i="10"/>
  <c r="AV37" i="10"/>
  <c r="BC224" i="10"/>
  <c r="AV224" i="10"/>
  <c r="AV33" i="10"/>
  <c r="AV42" i="10"/>
  <c r="AV85" i="10"/>
  <c r="Z178" i="10"/>
  <c r="BC197" i="10"/>
  <c r="AV133" i="10"/>
  <c r="BC5" i="10"/>
  <c r="AV154" i="10"/>
  <c r="Z68" i="10"/>
  <c r="AV255" i="10"/>
  <c r="AV59" i="10"/>
  <c r="AV214" i="10"/>
  <c r="AV56" i="10"/>
  <c r="AV254" i="10"/>
  <c r="Z134" i="10"/>
  <c r="BC240" i="10"/>
  <c r="AV21" i="10"/>
  <c r="AV89" i="10"/>
  <c r="BC89" i="10"/>
  <c r="AV16" i="10"/>
  <c r="AV35" i="10"/>
  <c r="Z231" i="10"/>
  <c r="BC247" i="10"/>
  <c r="AV125" i="10"/>
  <c r="Z78" i="10"/>
  <c r="AV246" i="10"/>
  <c r="AV167" i="10"/>
  <c r="Z209" i="10"/>
  <c r="AV200" i="10"/>
  <c r="BC232" i="10"/>
  <c r="AV141" i="10"/>
  <c r="BC53" i="10"/>
  <c r="AV115" i="10"/>
  <c r="BC103" i="10"/>
  <c r="Z48" i="10"/>
  <c r="BC78" i="10"/>
  <c r="Z166" i="10"/>
  <c r="AV219" i="10"/>
  <c r="AV128" i="10"/>
  <c r="Z114" i="10"/>
  <c r="AV235" i="10"/>
  <c r="AV132" i="10"/>
  <c r="BC106" i="10"/>
  <c r="BC181" i="10"/>
  <c r="Z232" i="10"/>
  <c r="Z126" i="10"/>
  <c r="BC25" i="10"/>
  <c r="Z188" i="10"/>
  <c r="AV215" i="10"/>
  <c r="BC185" i="10"/>
  <c r="BC220" i="10"/>
  <c r="AV4" i="10"/>
  <c r="AV75" i="10"/>
  <c r="Z4" i="10"/>
  <c r="AV53" i="10"/>
  <c r="Z210" i="10"/>
  <c r="AV216" i="10"/>
  <c r="Z218" i="10"/>
  <c r="Z240" i="10"/>
  <c r="AV12" i="10"/>
  <c r="AV34" i="10"/>
  <c r="BC81" i="10"/>
  <c r="AV172" i="10"/>
  <c r="BC71" i="10"/>
  <c r="BC203" i="10"/>
  <c r="AV242" i="10"/>
  <c r="Z128" i="10"/>
  <c r="Z100" i="10"/>
  <c r="AV131" i="10"/>
  <c r="Z36" i="10"/>
  <c r="AV79" i="10"/>
  <c r="AV217" i="10"/>
  <c r="BC4" i="10"/>
  <c r="Z238" i="10"/>
  <c r="Z174" i="10"/>
  <c r="AV223" i="10"/>
  <c r="BC225" i="10"/>
  <c r="Z244" i="10"/>
  <c r="AV90" i="10"/>
  <c r="AV222" i="10"/>
  <c r="BC23" i="10"/>
  <c r="AV130" i="10"/>
  <c r="AV149" i="10"/>
  <c r="BC17" i="10"/>
  <c r="AV81" i="10"/>
  <c r="Z14" i="10"/>
  <c r="AV11" i="10"/>
  <c r="AV68" i="10"/>
  <c r="Z20" i="10"/>
  <c r="Z152" i="10"/>
  <c r="AV93" i="10"/>
  <c r="BC105" i="10"/>
  <c r="Z124" i="10"/>
  <c r="Z60" i="10"/>
  <c r="Z192" i="10"/>
  <c r="AV103" i="10"/>
  <c r="AV241" i="10"/>
  <c r="Z11" i="10"/>
  <c r="AV62" i="10"/>
  <c r="AV87" i="10"/>
  <c r="AV97" i="10"/>
  <c r="Z26" i="10"/>
  <c r="Z158" i="10"/>
  <c r="AV99" i="10"/>
  <c r="BC111" i="10"/>
  <c r="Z130" i="10"/>
  <c r="BC173" i="10"/>
  <c r="Z66" i="10"/>
  <c r="Z198" i="10"/>
  <c r="AV109" i="10"/>
  <c r="AV247" i="10"/>
  <c r="BC127" i="10"/>
  <c r="BC64" i="10"/>
  <c r="BC180" i="10"/>
  <c r="AV108" i="10"/>
  <c r="AV240" i="10"/>
  <c r="Z44" i="10"/>
  <c r="Z176" i="10"/>
  <c r="Z16" i="10"/>
  <c r="Z148" i="10"/>
  <c r="BC59" i="10"/>
  <c r="Z84" i="10"/>
  <c r="Z216" i="10"/>
  <c r="AV127" i="10"/>
  <c r="BC145" i="10"/>
  <c r="AV166" i="10"/>
  <c r="BC100" i="10"/>
  <c r="BC216" i="10"/>
  <c r="BC176" i="10"/>
  <c r="BC154" i="10"/>
  <c r="AV243" i="10"/>
  <c r="Z222" i="10"/>
  <c r="BC188" i="10"/>
  <c r="BC172" i="10"/>
  <c r="Z38" i="10"/>
  <c r="Z170" i="10"/>
  <c r="AV92" i="10"/>
  <c r="AV129" i="10"/>
  <c r="Z234" i="10"/>
  <c r="AV64" i="10"/>
  <c r="AV28" i="10"/>
  <c r="BC157" i="10"/>
  <c r="AV151" i="10"/>
  <c r="BC31" i="10"/>
  <c r="AV144" i="10"/>
  <c r="AV77" i="10"/>
  <c r="Z246" i="10"/>
  <c r="AV156" i="10"/>
  <c r="BC242" i="10"/>
  <c r="AV134" i="10"/>
  <c r="Z34" i="10"/>
  <c r="AV197" i="10"/>
  <c r="BC24" i="10"/>
  <c r="AV159" i="10"/>
  <c r="BC39" i="10"/>
  <c r="Z58" i="10"/>
  <c r="Z56" i="10"/>
  <c r="Z215" i="10"/>
  <c r="Z62" i="10"/>
  <c r="Z194" i="10"/>
  <c r="AV196" i="10"/>
  <c r="AV25" i="10"/>
  <c r="AV202" i="10"/>
  <c r="BC49" i="10"/>
  <c r="AV70" i="10"/>
  <c r="BC255" i="10"/>
  <c r="Z10" i="10"/>
  <c r="Z22" i="10"/>
  <c r="Z86" i="10"/>
  <c r="Z190" i="10"/>
  <c r="Z92" i="10"/>
  <c r="AV43" i="10"/>
  <c r="BC193" i="10"/>
  <c r="AV39" i="10"/>
  <c r="AV171" i="10"/>
  <c r="Z70" i="10"/>
  <c r="Z202" i="10"/>
  <c r="AV101" i="10"/>
  <c r="AV233" i="10"/>
  <c r="BC245" i="10"/>
  <c r="Z138" i="10"/>
  <c r="AV49" i="10"/>
  <c r="BC199" i="10"/>
  <c r="AV88" i="10"/>
  <c r="AV48" i="10"/>
  <c r="AV180" i="10"/>
  <c r="BC114" i="10"/>
  <c r="BC20" i="10"/>
  <c r="AV152" i="10"/>
  <c r="BC62" i="10"/>
  <c r="Z142" i="10"/>
  <c r="AV9" i="10"/>
  <c r="Z108" i="10"/>
  <c r="AV18" i="10"/>
  <c r="AV147" i="10"/>
  <c r="BC159" i="10"/>
  <c r="BC43" i="10"/>
  <c r="AV27" i="10"/>
  <c r="AV175" i="10"/>
  <c r="BC45" i="10"/>
  <c r="Z64" i="10"/>
  <c r="Z132" i="10"/>
  <c r="BC119" i="10"/>
  <c r="Z12" i="10"/>
  <c r="Z144" i="10"/>
  <c r="AV232" i="10"/>
  <c r="AV158" i="10"/>
  <c r="BC254" i="10"/>
  <c r="BC177" i="10"/>
  <c r="BC107" i="10"/>
  <c r="AV55" i="10"/>
  <c r="Z110" i="10"/>
  <c r="BC84" i="10"/>
  <c r="AV60" i="10"/>
  <c r="BC44" i="10"/>
  <c r="BC86" i="10"/>
  <c r="BC22" i="10"/>
  <c r="BC21" i="10"/>
  <c r="Z40" i="10"/>
  <c r="AV150" i="10"/>
  <c r="AV31" i="10"/>
  <c r="AV169" i="10"/>
  <c r="AV181" i="10"/>
  <c r="AV82" i="10"/>
  <c r="AV220" i="10"/>
  <c r="BC202" i="10"/>
  <c r="AV45" i="10"/>
  <c r="AV239" i="10"/>
  <c r="AV193" i="10"/>
  <c r="AV26" i="10"/>
  <c r="Z242" i="10"/>
  <c r="BC63" i="10"/>
  <c r="BC195" i="10"/>
  <c r="Z82" i="10"/>
  <c r="Z214" i="10"/>
  <c r="AV113" i="10"/>
  <c r="AV245" i="10"/>
  <c r="BC125" i="10"/>
  <c r="Z18" i="10"/>
  <c r="Z150" i="10"/>
  <c r="AV61" i="10"/>
  <c r="AV199" i="10"/>
  <c r="BC211" i="10"/>
  <c r="AV100" i="10"/>
  <c r="AV238" i="10"/>
  <c r="BC238" i="10"/>
  <c r="Z116" i="10"/>
  <c r="AV57" i="10"/>
  <c r="AV189" i="10"/>
  <c r="BC69" i="10"/>
  <c r="Z88" i="10"/>
  <c r="Z220" i="10"/>
  <c r="AV119" i="10"/>
  <c r="AV251" i="10"/>
  <c r="BC131" i="10"/>
  <c r="Z24" i="10"/>
  <c r="Z156" i="10"/>
  <c r="AV67" i="10"/>
  <c r="BC85" i="10"/>
  <c r="BC217" i="10"/>
  <c r="AV106" i="10"/>
  <c r="AV244" i="10"/>
  <c r="AV66" i="10"/>
  <c r="AV198" i="10"/>
  <c r="BC150" i="10"/>
  <c r="BC56" i="10"/>
  <c r="AV38" i="10"/>
  <c r="AV170" i="10"/>
  <c r="BC34" i="10"/>
  <c r="Z143" i="10"/>
  <c r="AV123" i="10"/>
  <c r="Z102" i="10"/>
  <c r="AV19" i="10"/>
  <c r="AV24" i="10"/>
  <c r="BC66" i="10"/>
  <c r="BC236" i="10"/>
  <c r="Z80" i="10"/>
  <c r="Z207" i="10"/>
  <c r="AV221" i="10"/>
  <c r="BC90" i="10"/>
  <c r="Z196" i="10"/>
  <c r="AV174" i="10"/>
  <c r="Z104" i="10"/>
  <c r="Z236" i="10"/>
  <c r="AV177" i="10"/>
  <c r="BC189" i="10"/>
  <c r="AV107" i="10"/>
  <c r="Z122" i="10"/>
  <c r="Z254" i="10"/>
  <c r="AV63" i="10"/>
  <c r="AV195" i="10"/>
  <c r="BC207" i="10"/>
  <c r="Z94" i="10"/>
  <c r="Z226" i="10"/>
  <c r="BC137" i="10"/>
  <c r="AV211" i="10"/>
  <c r="BC91" i="10"/>
  <c r="BC223" i="10"/>
  <c r="AV112" i="10"/>
  <c r="BC108" i="10"/>
  <c r="AV72" i="10"/>
  <c r="BC68" i="10"/>
  <c r="AV44" i="10"/>
  <c r="AV176" i="10"/>
  <c r="BC110" i="10"/>
  <c r="BC46" i="10"/>
  <c r="Z201" i="10"/>
  <c r="Z89" i="10"/>
  <c r="Z149" i="10"/>
  <c r="Z179" i="10"/>
  <c r="Z125" i="10"/>
  <c r="Z195" i="10"/>
  <c r="Z225" i="10"/>
  <c r="Z83" i="10"/>
  <c r="Z131" i="10"/>
  <c r="Z111" i="10"/>
  <c r="Z69" i="10"/>
  <c r="Z153" i="10"/>
  <c r="Z129" i="10"/>
  <c r="Z167" i="10"/>
  <c r="Z123" i="10"/>
  <c r="Z45" i="10"/>
  <c r="Z251" i="10"/>
  <c r="Z53" i="10"/>
  <c r="Z71" i="10"/>
  <c r="Z59" i="10"/>
  <c r="Z57" i="10"/>
  <c r="Z113" i="10"/>
  <c r="Z213" i="10"/>
  <c r="Z17" i="10"/>
  <c r="Z63" i="10"/>
  <c r="Z65" i="10"/>
  <c r="Z159" i="10"/>
  <c r="Z189" i="10"/>
  <c r="Z165" i="10"/>
  <c r="Z237" i="10"/>
  <c r="AC95" i="10"/>
  <c r="Z141" i="10"/>
  <c r="Z155" i="10"/>
  <c r="Z105" i="10"/>
  <c r="Z39" i="10"/>
  <c r="Z5" i="10"/>
  <c r="AV23" i="10"/>
  <c r="Z81" i="10"/>
  <c r="Z29" i="10"/>
  <c r="Z33" i="10"/>
  <c r="Z93" i="10"/>
  <c r="Z243" i="10"/>
  <c r="Z75" i="10"/>
  <c r="Z191" i="10"/>
  <c r="Z173" i="10"/>
  <c r="Z87" i="10"/>
  <c r="Z171" i="10"/>
  <c r="Z35" i="10"/>
  <c r="Z197" i="10"/>
  <c r="Z51" i="10"/>
  <c r="Z185" i="10"/>
  <c r="Z119" i="10"/>
  <c r="Z233" i="10"/>
  <c r="Z107" i="10"/>
  <c r="Z117" i="10"/>
  <c r="Z147" i="10"/>
  <c r="Z101" i="10"/>
  <c r="Z177" i="10"/>
  <c r="Z47" i="10"/>
  <c r="Z41" i="10"/>
  <c r="Z21" i="10"/>
  <c r="Z135" i="10"/>
  <c r="Z183" i="10"/>
  <c r="AV13" i="10"/>
  <c r="AV145" i="10"/>
  <c r="AV178" i="10"/>
  <c r="BC166" i="10"/>
  <c r="Z99" i="10"/>
  <c r="Z23" i="10"/>
  <c r="Z249" i="10"/>
  <c r="Z137" i="10"/>
  <c r="Z241" i="10"/>
  <c r="AC209" i="10"/>
  <c r="AC231" i="10"/>
  <c r="Z9" i="10"/>
  <c r="Z13" i="10"/>
  <c r="Z73" i="10"/>
  <c r="Z115" i="10"/>
  <c r="Z133" i="10"/>
  <c r="Z151" i="10"/>
  <c r="Z199" i="10"/>
  <c r="Z217" i="10"/>
  <c r="Z235" i="10"/>
  <c r="Z7" i="10"/>
  <c r="Z43" i="10"/>
  <c r="Z61" i="10"/>
  <c r="Z79" i="10"/>
  <c r="Z181" i="10"/>
  <c r="Z253" i="10"/>
  <c r="Z109" i="10"/>
  <c r="Z127" i="10"/>
  <c r="Z157" i="10"/>
  <c r="Z163" i="10"/>
  <c r="Z211" i="10"/>
  <c r="Z229" i="10"/>
  <c r="Z19" i="10"/>
  <c r="Z37" i="10"/>
  <c r="Z55" i="10"/>
  <c r="Z85" i="10"/>
  <c r="Z91" i="10"/>
  <c r="Z145" i="10"/>
  <c r="Z193" i="10"/>
  <c r="Z247" i="10"/>
  <c r="Z121" i="10"/>
  <c r="Z139" i="10"/>
  <c r="Z169" i="10"/>
  <c r="Z175" i="10"/>
  <c r="Z25" i="10"/>
  <c r="Z31" i="10"/>
  <c r="Z49" i="10"/>
  <c r="Z67" i="10"/>
  <c r="Z97" i="10"/>
  <c r="Z103" i="10"/>
  <c r="Z187" i="10"/>
  <c r="Z205" i="10"/>
  <c r="Z223" i="10"/>
  <c r="AC50" i="10"/>
  <c r="AC178" i="10"/>
  <c r="AC250" i="10"/>
  <c r="AC216" i="10"/>
  <c r="BR5" i="10"/>
  <c r="BS5" i="10"/>
  <c r="BU5" i="10"/>
  <c r="BR77" i="10"/>
  <c r="BS77" i="10"/>
  <c r="BU77" i="10"/>
  <c r="BR149" i="10"/>
  <c r="BS149" i="10"/>
  <c r="BU149" i="10"/>
  <c r="BR221" i="10"/>
  <c r="BS221" i="10"/>
  <c r="BU221" i="10"/>
  <c r="BR6" i="10"/>
  <c r="BS6" i="10"/>
  <c r="BU6" i="10"/>
  <c r="BR42" i="10"/>
  <c r="BS42" i="10"/>
  <c r="BU42" i="10"/>
  <c r="BR78" i="10"/>
  <c r="BS78" i="10"/>
  <c r="BU78" i="10"/>
  <c r="BR114" i="10"/>
  <c r="BS114" i="10"/>
  <c r="BU114" i="10"/>
  <c r="BR150" i="10"/>
  <c r="BS150" i="10"/>
  <c r="BU150" i="10"/>
  <c r="BR186" i="10"/>
  <c r="BS186" i="10"/>
  <c r="BU186" i="10"/>
  <c r="BR222" i="10"/>
  <c r="BS222" i="10"/>
  <c r="BU222" i="10"/>
  <c r="BR13" i="10"/>
  <c r="BS13" i="10"/>
  <c r="BU13" i="10"/>
  <c r="BR85" i="10"/>
  <c r="BS85" i="10"/>
  <c r="BU85" i="10"/>
  <c r="BR151" i="10"/>
  <c r="BS151" i="10"/>
  <c r="BU151" i="10"/>
  <c r="BR223" i="10"/>
  <c r="BS223" i="10"/>
  <c r="BU223" i="10"/>
  <c r="BR43" i="10"/>
  <c r="BS43" i="10"/>
  <c r="BU43" i="10"/>
  <c r="BR121" i="10"/>
  <c r="BS121" i="10"/>
  <c r="BU121" i="10"/>
  <c r="BR193" i="10"/>
  <c r="BS193" i="10"/>
  <c r="BU193" i="10"/>
  <c r="BR38" i="10"/>
  <c r="BS38" i="10"/>
  <c r="BU38" i="10"/>
  <c r="BR74" i="10"/>
  <c r="BS74" i="10"/>
  <c r="BU74" i="10"/>
  <c r="BR110" i="10"/>
  <c r="BS110" i="10"/>
  <c r="BU110" i="10"/>
  <c r="BR146" i="10"/>
  <c r="BS146" i="10"/>
  <c r="BU146" i="10"/>
  <c r="BR182" i="10"/>
  <c r="BS182" i="10"/>
  <c r="BU182" i="10"/>
  <c r="BR218" i="10"/>
  <c r="BS218" i="10"/>
  <c r="BU218" i="10"/>
  <c r="BR254" i="10"/>
  <c r="BS254" i="10"/>
  <c r="BU254" i="10"/>
  <c r="BR39" i="10"/>
  <c r="BS39" i="10"/>
  <c r="BU39" i="10"/>
  <c r="BR111" i="10"/>
  <c r="BS111" i="10"/>
  <c r="BU111" i="10"/>
  <c r="BR183" i="10"/>
  <c r="BS183" i="10"/>
  <c r="BU183" i="10"/>
  <c r="BR45" i="10"/>
  <c r="BS45" i="10"/>
  <c r="BU45" i="10"/>
  <c r="BR117" i="10"/>
  <c r="BS117" i="10"/>
  <c r="BU117" i="10"/>
  <c r="BR189" i="10"/>
  <c r="BS189" i="10"/>
  <c r="BU189" i="10"/>
  <c r="BR255" i="10"/>
  <c r="BS255" i="10"/>
  <c r="BU255" i="10"/>
  <c r="BR28" i="10"/>
  <c r="BS28" i="10"/>
  <c r="BU28" i="10"/>
  <c r="BR64" i="10"/>
  <c r="BS64" i="10"/>
  <c r="BU64" i="10"/>
  <c r="BR100" i="10"/>
  <c r="BS100" i="10"/>
  <c r="BU100" i="10"/>
  <c r="BR136" i="10"/>
  <c r="BS136" i="10"/>
  <c r="BU136" i="10"/>
  <c r="BR172" i="10"/>
  <c r="BS172" i="10"/>
  <c r="BU172" i="10"/>
  <c r="BR208" i="10"/>
  <c r="BS208" i="10"/>
  <c r="BU208" i="10"/>
  <c r="BR244" i="10"/>
  <c r="BS244" i="10"/>
  <c r="BU244" i="10"/>
  <c r="BR47" i="10"/>
  <c r="BS47" i="10"/>
  <c r="BU47" i="10"/>
  <c r="BR119" i="10"/>
  <c r="BS119" i="10"/>
  <c r="BU119" i="10"/>
  <c r="BR191" i="10"/>
  <c r="BS191" i="10"/>
  <c r="BU191" i="10"/>
  <c r="AC200" i="10"/>
  <c r="AC184" i="10"/>
  <c r="AC186" i="10"/>
  <c r="BR17" i="10"/>
  <c r="BS17" i="10"/>
  <c r="BU17" i="10"/>
  <c r="BR89" i="10"/>
  <c r="BS89" i="10"/>
  <c r="BU89" i="10"/>
  <c r="BR161" i="10"/>
  <c r="BS161" i="10"/>
  <c r="BU161" i="10"/>
  <c r="BR233" i="10"/>
  <c r="BS233" i="10"/>
  <c r="BU233" i="10"/>
  <c r="BR12" i="10"/>
  <c r="BS12" i="10"/>
  <c r="BU12" i="10"/>
  <c r="BR48" i="10"/>
  <c r="BS48" i="10"/>
  <c r="BU48" i="10"/>
  <c r="BR84" i="10"/>
  <c r="BS84" i="10"/>
  <c r="BU84" i="10"/>
  <c r="BR120" i="10"/>
  <c r="BS120" i="10"/>
  <c r="BU120" i="10"/>
  <c r="BR156" i="10"/>
  <c r="BS156" i="10"/>
  <c r="BU156" i="10"/>
  <c r="BR192" i="10"/>
  <c r="BS192" i="10"/>
  <c r="BU192" i="10"/>
  <c r="BR228" i="10"/>
  <c r="BS228" i="10"/>
  <c r="BU228" i="10"/>
  <c r="BR25" i="10"/>
  <c r="BS25" i="10"/>
  <c r="BU25" i="10"/>
  <c r="BR97" i="10"/>
  <c r="BS97" i="10"/>
  <c r="BU97" i="10"/>
  <c r="BR163" i="10"/>
  <c r="BS163" i="10"/>
  <c r="BU163" i="10"/>
  <c r="BR235" i="10"/>
  <c r="BS235" i="10"/>
  <c r="BU235" i="10"/>
  <c r="BR55" i="10"/>
  <c r="BS55" i="10"/>
  <c r="BU55" i="10"/>
  <c r="BR133" i="10"/>
  <c r="BS133" i="10"/>
  <c r="BU133" i="10"/>
  <c r="BR205" i="10"/>
  <c r="BS205" i="10"/>
  <c r="BU205" i="10"/>
  <c r="BR8" i="10"/>
  <c r="BS8" i="10"/>
  <c r="BU8" i="10"/>
  <c r="BR44" i="10"/>
  <c r="BS44" i="10"/>
  <c r="BU44" i="10"/>
  <c r="BR80" i="10"/>
  <c r="BS80" i="10"/>
  <c r="BU80" i="10"/>
  <c r="BR116" i="10"/>
  <c r="BS116" i="10"/>
  <c r="BU116" i="10"/>
  <c r="BR152" i="10"/>
  <c r="BS152" i="10"/>
  <c r="BU152" i="10"/>
  <c r="BR188" i="10"/>
  <c r="BS188" i="10"/>
  <c r="BU188" i="10"/>
  <c r="BR224" i="10"/>
  <c r="BS224" i="10"/>
  <c r="BU224" i="10"/>
  <c r="BR51" i="10"/>
  <c r="BS51" i="10"/>
  <c r="BU51" i="10"/>
  <c r="BR123" i="10"/>
  <c r="BS123" i="10"/>
  <c r="BU123" i="10"/>
  <c r="BR195" i="10"/>
  <c r="BS195" i="10"/>
  <c r="BU195" i="10"/>
  <c r="BR57" i="10"/>
  <c r="BS57" i="10"/>
  <c r="BU57" i="10"/>
  <c r="BR129" i="10"/>
  <c r="BS129" i="10"/>
  <c r="BU129" i="10"/>
  <c r="BR201" i="10"/>
  <c r="BS201" i="10"/>
  <c r="BU201" i="10"/>
  <c r="BR34" i="10"/>
  <c r="BS34" i="10"/>
  <c r="BU34" i="10"/>
  <c r="BR70" i="10"/>
  <c r="BS70" i="10"/>
  <c r="BU70" i="10"/>
  <c r="BR106" i="10"/>
  <c r="BS106" i="10"/>
  <c r="BU106" i="10"/>
  <c r="BR142" i="10"/>
  <c r="BS142" i="10"/>
  <c r="BU142" i="10"/>
  <c r="BR178" i="10"/>
  <c r="BS178" i="10"/>
  <c r="BU178" i="10"/>
  <c r="BR214" i="10"/>
  <c r="BS214" i="10"/>
  <c r="BU214" i="10"/>
  <c r="BR250" i="10"/>
  <c r="BS250" i="10"/>
  <c r="BU250" i="10"/>
  <c r="BR59" i="10"/>
  <c r="BS59" i="10"/>
  <c r="BU59" i="10"/>
  <c r="BR131" i="10"/>
  <c r="BS131" i="10"/>
  <c r="BU131" i="10"/>
  <c r="BR203" i="10"/>
  <c r="BS203" i="10"/>
  <c r="BU203" i="10"/>
  <c r="AC206" i="10"/>
  <c r="AC10" i="10"/>
  <c r="AC46" i="10"/>
  <c r="AC118" i="10"/>
  <c r="AC120" i="10"/>
  <c r="AC228" i="10"/>
  <c r="BR29" i="10"/>
  <c r="BS29" i="10"/>
  <c r="BU29" i="10"/>
  <c r="BR101" i="10"/>
  <c r="BS101" i="10"/>
  <c r="BU101" i="10"/>
  <c r="BR173" i="10"/>
  <c r="BS173" i="10"/>
  <c r="BU173" i="10"/>
  <c r="BR245" i="10"/>
  <c r="BS245" i="10"/>
  <c r="BU245" i="10"/>
  <c r="BR18" i="10"/>
  <c r="BS18" i="10"/>
  <c r="BU18" i="10"/>
  <c r="BR54" i="10"/>
  <c r="BS54" i="10"/>
  <c r="BU54" i="10"/>
  <c r="BR90" i="10"/>
  <c r="BS90" i="10"/>
  <c r="BU90" i="10"/>
  <c r="BR126" i="10"/>
  <c r="BS126" i="10"/>
  <c r="BU126" i="10"/>
  <c r="BR162" i="10"/>
  <c r="BS162" i="10"/>
  <c r="BU162" i="10"/>
  <c r="BR198" i="10"/>
  <c r="BS198" i="10"/>
  <c r="BU198" i="10"/>
  <c r="BR234" i="10"/>
  <c r="BS234" i="10"/>
  <c r="BU234" i="10"/>
  <c r="BR37" i="10"/>
  <c r="BS37" i="10"/>
  <c r="BU37" i="10"/>
  <c r="BR109" i="10"/>
  <c r="BS109" i="10"/>
  <c r="BU109" i="10"/>
  <c r="BR175" i="10"/>
  <c r="BS175" i="10"/>
  <c r="BU175" i="10"/>
  <c r="BR247" i="10"/>
  <c r="BS247" i="10"/>
  <c r="BU247" i="10"/>
  <c r="BR67" i="10"/>
  <c r="BS67" i="10"/>
  <c r="BU67" i="10"/>
  <c r="BR145" i="10"/>
  <c r="BS145" i="10"/>
  <c r="BU145" i="10"/>
  <c r="BR217" i="10"/>
  <c r="BS217" i="10"/>
  <c r="BU217" i="10"/>
  <c r="BR14" i="10"/>
  <c r="BS14" i="10"/>
  <c r="BU14" i="10"/>
  <c r="BR50" i="10"/>
  <c r="BS50" i="10"/>
  <c r="BU50" i="10"/>
  <c r="BR86" i="10"/>
  <c r="BS86" i="10"/>
  <c r="BU86" i="10"/>
  <c r="BR122" i="10"/>
  <c r="BS122" i="10"/>
  <c r="BU122" i="10"/>
  <c r="BR158" i="10"/>
  <c r="BS158" i="10"/>
  <c r="BU158" i="10"/>
  <c r="BR194" i="10"/>
  <c r="BS194" i="10"/>
  <c r="BU194" i="10"/>
  <c r="BR230" i="10"/>
  <c r="BS230" i="10"/>
  <c r="BU230" i="10"/>
  <c r="BR63" i="10"/>
  <c r="BS63" i="10"/>
  <c r="BU63" i="10"/>
  <c r="BR135" i="10"/>
  <c r="BS135" i="10"/>
  <c r="BU135" i="10"/>
  <c r="BR207" i="10"/>
  <c r="BS207" i="10"/>
  <c r="BU207" i="10"/>
  <c r="BR69" i="10"/>
  <c r="BS69" i="10"/>
  <c r="BU69" i="10"/>
  <c r="BR141" i="10"/>
  <c r="BS141" i="10"/>
  <c r="BU141" i="10"/>
  <c r="BR213" i="10"/>
  <c r="BS213" i="10"/>
  <c r="BU213" i="10"/>
  <c r="BR4" i="10"/>
  <c r="BS4" i="10"/>
  <c r="BU4" i="10"/>
  <c r="BR40" i="10"/>
  <c r="BS40" i="10"/>
  <c r="BU40" i="10"/>
  <c r="BR76" i="10"/>
  <c r="BS76" i="10"/>
  <c r="BU76" i="10"/>
  <c r="BR112" i="10"/>
  <c r="BS112" i="10"/>
  <c r="BU112" i="10"/>
  <c r="BR148" i="10"/>
  <c r="BS148" i="10"/>
  <c r="BU148" i="10"/>
  <c r="BR184" i="10"/>
  <c r="BS184" i="10"/>
  <c r="BU184" i="10"/>
  <c r="BR220" i="10"/>
  <c r="BS220" i="10"/>
  <c r="BU220" i="10"/>
  <c r="BR71" i="10"/>
  <c r="BS71" i="10"/>
  <c r="BU71" i="10"/>
  <c r="BR143" i="10"/>
  <c r="BS143" i="10"/>
  <c r="BU143" i="10"/>
  <c r="BR215" i="10"/>
  <c r="BS215" i="10"/>
  <c r="BU215" i="10"/>
  <c r="AC32" i="10"/>
  <c r="AC68" i="10"/>
  <c r="AC140" i="10"/>
  <c r="AC212" i="10"/>
  <c r="AC52" i="10"/>
  <c r="AC232" i="10"/>
  <c r="AC162" i="10"/>
  <c r="BR41" i="10"/>
  <c r="BS41" i="10"/>
  <c r="BU41" i="10"/>
  <c r="BR113" i="10"/>
  <c r="BS113" i="10"/>
  <c r="BU113" i="10"/>
  <c r="BR185" i="10"/>
  <c r="BS185" i="10"/>
  <c r="BU185" i="10"/>
  <c r="BR24" i="10"/>
  <c r="BS24" i="10"/>
  <c r="BU24" i="10"/>
  <c r="BR60" i="10"/>
  <c r="BS60" i="10"/>
  <c r="BU60" i="10"/>
  <c r="BR96" i="10"/>
  <c r="BS96" i="10"/>
  <c r="BU96" i="10"/>
  <c r="BR132" i="10"/>
  <c r="BS132" i="10"/>
  <c r="BU132" i="10"/>
  <c r="BR168" i="10"/>
  <c r="BS168" i="10"/>
  <c r="BU168" i="10"/>
  <c r="BR204" i="10"/>
  <c r="BS204" i="10"/>
  <c r="BU204" i="10"/>
  <c r="BR240" i="10"/>
  <c r="BS240" i="10"/>
  <c r="BU240" i="10"/>
  <c r="BR49" i="10"/>
  <c r="BS49" i="10"/>
  <c r="BU49" i="10"/>
  <c r="BR115" i="10"/>
  <c r="BS115" i="10"/>
  <c r="BU115" i="10"/>
  <c r="BR187" i="10"/>
  <c r="BS187" i="10"/>
  <c r="BU187" i="10"/>
  <c r="BR7" i="10"/>
  <c r="BS7" i="10"/>
  <c r="BU7" i="10"/>
  <c r="BR79" i="10"/>
  <c r="BS79" i="10"/>
  <c r="BU79" i="10"/>
  <c r="BR157" i="10"/>
  <c r="BS157" i="10"/>
  <c r="BU157" i="10"/>
  <c r="BR229" i="10"/>
  <c r="BS229" i="10"/>
  <c r="BU229" i="10"/>
  <c r="BR20" i="10"/>
  <c r="BS20" i="10"/>
  <c r="BU20" i="10"/>
  <c r="BR56" i="10"/>
  <c r="BS56" i="10"/>
  <c r="BU56" i="10"/>
  <c r="BR92" i="10"/>
  <c r="BS92" i="10"/>
  <c r="BU92" i="10"/>
  <c r="BR128" i="10"/>
  <c r="BS128" i="10"/>
  <c r="BU128" i="10"/>
  <c r="BR164" i="10"/>
  <c r="BS164" i="10"/>
  <c r="BU164" i="10"/>
  <c r="BR200" i="10"/>
  <c r="BS200" i="10"/>
  <c r="BU200" i="10"/>
  <c r="BR236" i="10"/>
  <c r="BS236" i="10"/>
  <c r="BU236" i="10"/>
  <c r="BR75" i="10"/>
  <c r="BS75" i="10"/>
  <c r="BU75" i="10"/>
  <c r="BR147" i="10"/>
  <c r="BS147" i="10"/>
  <c r="BU147" i="10"/>
  <c r="BR219" i="10"/>
  <c r="BS219" i="10"/>
  <c r="BU219" i="10"/>
  <c r="BR9" i="10"/>
  <c r="BS9" i="10"/>
  <c r="BU9" i="10"/>
  <c r="BR81" i="10"/>
  <c r="BS81" i="10"/>
  <c r="BU81" i="10"/>
  <c r="BR153" i="10"/>
  <c r="BS153" i="10"/>
  <c r="BU153" i="10"/>
  <c r="BR225" i="10"/>
  <c r="BS225" i="10"/>
  <c r="BU225" i="10"/>
  <c r="BR10" i="10"/>
  <c r="BS10" i="10"/>
  <c r="BU10" i="10"/>
  <c r="BR46" i="10"/>
  <c r="BS46" i="10"/>
  <c r="BU46" i="10"/>
  <c r="BR82" i="10"/>
  <c r="BS82" i="10"/>
  <c r="BU82" i="10"/>
  <c r="BR118" i="10"/>
  <c r="BS118" i="10"/>
  <c r="BU118" i="10"/>
  <c r="BR154" i="10"/>
  <c r="BS154" i="10"/>
  <c r="BU154" i="10"/>
  <c r="BR190" i="10"/>
  <c r="BS190" i="10"/>
  <c r="BU190" i="10"/>
  <c r="BR226" i="10"/>
  <c r="BS226" i="10"/>
  <c r="BU226" i="10"/>
  <c r="BR11" i="10"/>
  <c r="BS11" i="10"/>
  <c r="BU11" i="10"/>
  <c r="BR83" i="10"/>
  <c r="BS83" i="10"/>
  <c r="BU83" i="10"/>
  <c r="BR155" i="10"/>
  <c r="BS155" i="10"/>
  <c r="BU155" i="10"/>
  <c r="BR227" i="10"/>
  <c r="BS227" i="10"/>
  <c r="BU227" i="10"/>
  <c r="AC74" i="10"/>
  <c r="AC110" i="10"/>
  <c r="AC146" i="10"/>
  <c r="AC182" i="10"/>
  <c r="AC94" i="10"/>
  <c r="AC166" i="10"/>
  <c r="AC24" i="10"/>
  <c r="AC96" i="10"/>
  <c r="AC204" i="10"/>
  <c r="BR53" i="10"/>
  <c r="BS53" i="10"/>
  <c r="BU53" i="10"/>
  <c r="BR125" i="10"/>
  <c r="BS125" i="10"/>
  <c r="BU125" i="10"/>
  <c r="BR197" i="10"/>
  <c r="BS197" i="10"/>
  <c r="BU197" i="10"/>
  <c r="BR30" i="10"/>
  <c r="BS30" i="10"/>
  <c r="BU30" i="10"/>
  <c r="BR66" i="10"/>
  <c r="BS66" i="10"/>
  <c r="BU66" i="10"/>
  <c r="BR102" i="10"/>
  <c r="BS102" i="10"/>
  <c r="BU102" i="10"/>
  <c r="BR138" i="10"/>
  <c r="BS138" i="10"/>
  <c r="BU138" i="10"/>
  <c r="BR174" i="10"/>
  <c r="BS174" i="10"/>
  <c r="BU174" i="10"/>
  <c r="BR210" i="10"/>
  <c r="BS210" i="10"/>
  <c r="BU210" i="10"/>
  <c r="BR246" i="10"/>
  <c r="BS246" i="10"/>
  <c r="BU246" i="10"/>
  <c r="BR61" i="10"/>
  <c r="BS61" i="10"/>
  <c r="BU61" i="10"/>
  <c r="BR127" i="10"/>
  <c r="BS127" i="10"/>
  <c r="BU127" i="10"/>
  <c r="BR199" i="10"/>
  <c r="BS199" i="10"/>
  <c r="BU199" i="10"/>
  <c r="BR19" i="10"/>
  <c r="BS19" i="10"/>
  <c r="BU19" i="10"/>
  <c r="BR91" i="10"/>
  <c r="BS91" i="10"/>
  <c r="BU91" i="10"/>
  <c r="BR169" i="10"/>
  <c r="BS169" i="10"/>
  <c r="BU169" i="10"/>
  <c r="BR241" i="10"/>
  <c r="BS241" i="10"/>
  <c r="BU241" i="10"/>
  <c r="BR26" i="10"/>
  <c r="BS26" i="10"/>
  <c r="BU26" i="10"/>
  <c r="BR62" i="10"/>
  <c r="BS62" i="10"/>
  <c r="BU62" i="10"/>
  <c r="BR98" i="10"/>
  <c r="BS98" i="10"/>
  <c r="BU98" i="10"/>
  <c r="BR134" i="10"/>
  <c r="BS134" i="10"/>
  <c r="BU134" i="10"/>
  <c r="BR170" i="10"/>
  <c r="BS170" i="10"/>
  <c r="BU170" i="10"/>
  <c r="BR206" i="10"/>
  <c r="BS206" i="10"/>
  <c r="BU206" i="10"/>
  <c r="BR242" i="10"/>
  <c r="BS242" i="10"/>
  <c r="BU242" i="10"/>
  <c r="BR15" i="10"/>
  <c r="BS15" i="10"/>
  <c r="BU15" i="10"/>
  <c r="BR87" i="10"/>
  <c r="BS87" i="10"/>
  <c r="BU87" i="10"/>
  <c r="BR159" i="10"/>
  <c r="BS159" i="10"/>
  <c r="BU159" i="10"/>
  <c r="BR237" i="10"/>
  <c r="BS237" i="10"/>
  <c r="BU237" i="10"/>
  <c r="BR21" i="10"/>
  <c r="BS21" i="10"/>
  <c r="BU21" i="10"/>
  <c r="BR93" i="10"/>
  <c r="BS93" i="10"/>
  <c r="BU93" i="10"/>
  <c r="BR165" i="10"/>
  <c r="BS165" i="10"/>
  <c r="BU165" i="10"/>
  <c r="BR231" i="10"/>
  <c r="BS231" i="10"/>
  <c r="BU231" i="10"/>
  <c r="BR16" i="10"/>
  <c r="BS16" i="10"/>
  <c r="BU16" i="10"/>
  <c r="BR52" i="10"/>
  <c r="BS52" i="10"/>
  <c r="BU52" i="10"/>
  <c r="BR88" i="10"/>
  <c r="BS88" i="10"/>
  <c r="BU88" i="10"/>
  <c r="BR124" i="10"/>
  <c r="BS124" i="10"/>
  <c r="BU124" i="10"/>
  <c r="BR160" i="10"/>
  <c r="BS160" i="10"/>
  <c r="BU160" i="10"/>
  <c r="BR196" i="10"/>
  <c r="BS196" i="10"/>
  <c r="BU196" i="10"/>
  <c r="BR232" i="10"/>
  <c r="BS232" i="10"/>
  <c r="BU232" i="10"/>
  <c r="BR23" i="10"/>
  <c r="BS23" i="10"/>
  <c r="BU23" i="10"/>
  <c r="BR95" i="10"/>
  <c r="BS95" i="10"/>
  <c r="BU95" i="10"/>
  <c r="BR167" i="10"/>
  <c r="BS167" i="10"/>
  <c r="BU167" i="10"/>
  <c r="BR239" i="10"/>
  <c r="BS239" i="10"/>
  <c r="BU239" i="10"/>
  <c r="AC8" i="10"/>
  <c r="AC188" i="10"/>
  <c r="AC28" i="10"/>
  <c r="AC100" i="10"/>
  <c r="AC208" i="10"/>
  <c r="AC30" i="10"/>
  <c r="AC66" i="10"/>
  <c r="AC246" i="10"/>
  <c r="BR65" i="10"/>
  <c r="BS65" i="10"/>
  <c r="BU65" i="10"/>
  <c r="BR137" i="10"/>
  <c r="BS137" i="10"/>
  <c r="BU137" i="10"/>
  <c r="BR209" i="10"/>
  <c r="BS209" i="10"/>
  <c r="BU209" i="10"/>
  <c r="BR36" i="10"/>
  <c r="BS36" i="10"/>
  <c r="BU36" i="10"/>
  <c r="BR72" i="10"/>
  <c r="BS72" i="10"/>
  <c r="BU72" i="10"/>
  <c r="BR108" i="10"/>
  <c r="BS108" i="10"/>
  <c r="BU108" i="10"/>
  <c r="BR144" i="10"/>
  <c r="BS144" i="10"/>
  <c r="BU144" i="10"/>
  <c r="BR180" i="10"/>
  <c r="BS180" i="10"/>
  <c r="BU180" i="10"/>
  <c r="BR216" i="10"/>
  <c r="BS216" i="10"/>
  <c r="BU216" i="10"/>
  <c r="BR252" i="10"/>
  <c r="BS252" i="10"/>
  <c r="BU252" i="10"/>
  <c r="BR73" i="10"/>
  <c r="BS73" i="10"/>
  <c r="BU73" i="10"/>
  <c r="BR139" i="10"/>
  <c r="BS139" i="10"/>
  <c r="BU139" i="10"/>
  <c r="BR211" i="10"/>
  <c r="BS211" i="10"/>
  <c r="BU211" i="10"/>
  <c r="BR31" i="10"/>
  <c r="BS31" i="10"/>
  <c r="BU31" i="10"/>
  <c r="BR103" i="10"/>
  <c r="BS103" i="10"/>
  <c r="BU103" i="10"/>
  <c r="BR181" i="10"/>
  <c r="BS181" i="10"/>
  <c r="BU181" i="10"/>
  <c r="BR253" i="10"/>
  <c r="BS253" i="10"/>
  <c r="BU253" i="10"/>
  <c r="BR32" i="10"/>
  <c r="BS32" i="10"/>
  <c r="BU32" i="10"/>
  <c r="BR68" i="10"/>
  <c r="BS68" i="10"/>
  <c r="BU68" i="10"/>
  <c r="BR104" i="10"/>
  <c r="BS104" i="10"/>
  <c r="BU104" i="10"/>
  <c r="BR140" i="10"/>
  <c r="BS140" i="10"/>
  <c r="BU140" i="10"/>
  <c r="BR176" i="10"/>
  <c r="BS176" i="10"/>
  <c r="BU176" i="10"/>
  <c r="BR212" i="10"/>
  <c r="BS212" i="10"/>
  <c r="BU212" i="10"/>
  <c r="BR248" i="10"/>
  <c r="BS248" i="10"/>
  <c r="BU248" i="10"/>
  <c r="BR27" i="10"/>
  <c r="BS27" i="10"/>
  <c r="BU27" i="10"/>
  <c r="BR99" i="10"/>
  <c r="BS99" i="10"/>
  <c r="BU99" i="10"/>
  <c r="BR171" i="10"/>
  <c r="BS171" i="10"/>
  <c r="BU171" i="10"/>
  <c r="BR249" i="10"/>
  <c r="BS249" i="10"/>
  <c r="BU249" i="10"/>
  <c r="BR33" i="10"/>
  <c r="BS33" i="10"/>
  <c r="BU33" i="10"/>
  <c r="BR105" i="10"/>
  <c r="BS105" i="10"/>
  <c r="BU105" i="10"/>
  <c r="BR177" i="10"/>
  <c r="BS177" i="10"/>
  <c r="BU177" i="10"/>
  <c r="BR243" i="10"/>
  <c r="BS243" i="10"/>
  <c r="BU243" i="10"/>
  <c r="BR22" i="10"/>
  <c r="BS22" i="10"/>
  <c r="BU22" i="10"/>
  <c r="BR58" i="10"/>
  <c r="BS58" i="10"/>
  <c r="BU58" i="10"/>
  <c r="BR94" i="10"/>
  <c r="BS94" i="10"/>
  <c r="BU94" i="10"/>
  <c r="BR130" i="10"/>
  <c r="BS130" i="10"/>
  <c r="BU130" i="10"/>
  <c r="BR166" i="10"/>
  <c r="BS166" i="10"/>
  <c r="BU166" i="10"/>
  <c r="BR202" i="10"/>
  <c r="BS202" i="10"/>
  <c r="BU202" i="10"/>
  <c r="BR238" i="10"/>
  <c r="BS238" i="10"/>
  <c r="BU238" i="10"/>
  <c r="BR35" i="10"/>
  <c r="BS35" i="10"/>
  <c r="BU35" i="10"/>
  <c r="BR107" i="10"/>
  <c r="BS107" i="10"/>
  <c r="BU107" i="10"/>
  <c r="BR179" i="10"/>
  <c r="BS179" i="10"/>
  <c r="BU179" i="10"/>
  <c r="BR251" i="10"/>
  <c r="BS251" i="10"/>
  <c r="BU251" i="10"/>
  <c r="AC126" i="10" l="1"/>
  <c r="AC252" i="10"/>
  <c r="AC224" i="10"/>
  <c r="AC18" i="10"/>
  <c r="AC168" i="10"/>
  <c r="AC114" i="10"/>
  <c r="AC203" i="10"/>
  <c r="Z203" i="10"/>
  <c r="AC245" i="10"/>
  <c r="Z245" i="10"/>
  <c r="AC255" i="10"/>
  <c r="Z255" i="10"/>
  <c r="AC227" i="10"/>
  <c r="Z227" i="10"/>
  <c r="AC77" i="10"/>
  <c r="Z77" i="10"/>
  <c r="AC27" i="10"/>
  <c r="Z27" i="10"/>
  <c r="AC239" i="10"/>
  <c r="Z239" i="10"/>
  <c r="AC219" i="10"/>
  <c r="Z219" i="10"/>
  <c r="AC221" i="10"/>
  <c r="Z221" i="10"/>
  <c r="AC15" i="10"/>
  <c r="Z15" i="10"/>
  <c r="AC98" i="10"/>
  <c r="AC198" i="10"/>
  <c r="AC42" i="10"/>
  <c r="AC88" i="10"/>
  <c r="AC84" i="10"/>
  <c r="AC220" i="10"/>
  <c r="AC142" i="10"/>
  <c r="AC102" i="10"/>
  <c r="AC136" i="10"/>
  <c r="AC134" i="10"/>
  <c r="AC161" i="10"/>
  <c r="AC138" i="10"/>
  <c r="AC244" i="10"/>
  <c r="AC238" i="10"/>
  <c r="AC90" i="10"/>
  <c r="AC236" i="10"/>
  <c r="AC190" i="10"/>
  <c r="AC194" i="10"/>
  <c r="AC16" i="10"/>
  <c r="AC34" i="10"/>
  <c r="AC92" i="10"/>
  <c r="AC86" i="10"/>
  <c r="AC40" i="10"/>
  <c r="AD27" i="10"/>
  <c r="AC214" i="10"/>
  <c r="AC143" i="10"/>
  <c r="AC215" i="10"/>
  <c r="AC11" i="10"/>
  <c r="AC201" i="10"/>
  <c r="AC36" i="10"/>
  <c r="AC116" i="10"/>
  <c r="AC44" i="10"/>
  <c r="AC104" i="10"/>
  <c r="AC135" i="10"/>
  <c r="AC185" i="10"/>
  <c r="AC59" i="10"/>
  <c r="AC69" i="10"/>
  <c r="AC33" i="10"/>
  <c r="AC21" i="10"/>
  <c r="AC29" i="10"/>
  <c r="AC71" i="10"/>
  <c r="AC111" i="10"/>
  <c r="AC81" i="10"/>
  <c r="AC165" i="10"/>
  <c r="AC41" i="10"/>
  <c r="AC51" i="10"/>
  <c r="AC189" i="10"/>
  <c r="AC53" i="10"/>
  <c r="AC131" i="10"/>
  <c r="AC47" i="10"/>
  <c r="AC5" i="10"/>
  <c r="AC159" i="10"/>
  <c r="AC83" i="10"/>
  <c r="AC137" i="10"/>
  <c r="AC197" i="10"/>
  <c r="AC177" i="10"/>
  <c r="AC65" i="10"/>
  <c r="AC225" i="10"/>
  <c r="AC35" i="10"/>
  <c r="AC251" i="10"/>
  <c r="AC249" i="10"/>
  <c r="AC101" i="10"/>
  <c r="AC171" i="10"/>
  <c r="AC39" i="10"/>
  <c r="AC63" i="10"/>
  <c r="AC195" i="10"/>
  <c r="AC147" i="10"/>
  <c r="AC87" i="10"/>
  <c r="AC45" i="10"/>
  <c r="AC23" i="10"/>
  <c r="AC17" i="10"/>
  <c r="AC125" i="10"/>
  <c r="AC117" i="10"/>
  <c r="AC173" i="10"/>
  <c r="AC105" i="10"/>
  <c r="AC123" i="10"/>
  <c r="AC179" i="10"/>
  <c r="AC213" i="10"/>
  <c r="AC167" i="10"/>
  <c r="AC99" i="10"/>
  <c r="AC107" i="10"/>
  <c r="AC191" i="10"/>
  <c r="AC155" i="10"/>
  <c r="AC113" i="10"/>
  <c r="AC141" i="10"/>
  <c r="AD77" i="10"/>
  <c r="AC149" i="10"/>
  <c r="AC75" i="10"/>
  <c r="AC57" i="10"/>
  <c r="AC129" i="10"/>
  <c r="AC233" i="10"/>
  <c r="AC237" i="10"/>
  <c r="AC89" i="10"/>
  <c r="AC183" i="10"/>
  <c r="AC243" i="10"/>
  <c r="AC153" i="10"/>
  <c r="AC119" i="10"/>
  <c r="AC93" i="10"/>
  <c r="AD95" i="10"/>
  <c r="AD208" i="10"/>
  <c r="AD8" i="10"/>
  <c r="AD168" i="10"/>
  <c r="AD198" i="10"/>
  <c r="BW173" i="10"/>
  <c r="BW29" i="10"/>
  <c r="AD120" i="10"/>
  <c r="AD46" i="10"/>
  <c r="AC205" i="10"/>
  <c r="AC67" i="10"/>
  <c r="AC91" i="10"/>
  <c r="AC127" i="10"/>
  <c r="AC79" i="10"/>
  <c r="AC217" i="10"/>
  <c r="AD203" i="10"/>
  <c r="AD246" i="10"/>
  <c r="AD102" i="10"/>
  <c r="AD24" i="10"/>
  <c r="AD94" i="10"/>
  <c r="AD74" i="10"/>
  <c r="AD162" i="10"/>
  <c r="AD10" i="10"/>
  <c r="AD42" i="10"/>
  <c r="AD200" i="10"/>
  <c r="BW208" i="10"/>
  <c r="BW136" i="10"/>
  <c r="BW64" i="10"/>
  <c r="BW255" i="10"/>
  <c r="BW117" i="10"/>
  <c r="BW183" i="10"/>
  <c r="BW39" i="10"/>
  <c r="BW218" i="10"/>
  <c r="BW146" i="10"/>
  <c r="BW74" i="10"/>
  <c r="BW193" i="10"/>
  <c r="BW43" i="10"/>
  <c r="BW223" i="10"/>
  <c r="BW85" i="10"/>
  <c r="BW222" i="10"/>
  <c r="BW150" i="10"/>
  <c r="BW78" i="10"/>
  <c r="AD178" i="10"/>
  <c r="AD50" i="10"/>
  <c r="AC139" i="10"/>
  <c r="AC85" i="10"/>
  <c r="AC109" i="10"/>
  <c r="AC199" i="10"/>
  <c r="BW238" i="10"/>
  <c r="BW166" i="10"/>
  <c r="BW94" i="10"/>
  <c r="BW22" i="10"/>
  <c r="BW139" i="10"/>
  <c r="BW252" i="10"/>
  <c r="BW180" i="10"/>
  <c r="BW108" i="10"/>
  <c r="BW36" i="10"/>
  <c r="BW137" i="10"/>
  <c r="AD28" i="10"/>
  <c r="AD182" i="10"/>
  <c r="BW153" i="10"/>
  <c r="BW9" i="10"/>
  <c r="BW147" i="10"/>
  <c r="BW236" i="10"/>
  <c r="BW164" i="10"/>
  <c r="BW92" i="10"/>
  <c r="BW20" i="10"/>
  <c r="BW157" i="10"/>
  <c r="BW7" i="10"/>
  <c r="AD18" i="10"/>
  <c r="AD212" i="10"/>
  <c r="AD68" i="10"/>
  <c r="AD228" i="10"/>
  <c r="AD186" i="10"/>
  <c r="AD252" i="10"/>
  <c r="AD194" i="10"/>
  <c r="AC187" i="10"/>
  <c r="AC49" i="10"/>
  <c r="AC229" i="10"/>
  <c r="AC61" i="10"/>
  <c r="AC151" i="10"/>
  <c r="AD227" i="10"/>
  <c r="AD245" i="10"/>
  <c r="AD15" i="10"/>
  <c r="AD66" i="10"/>
  <c r="AD126" i="10"/>
  <c r="AD232" i="10"/>
  <c r="BW245" i="10"/>
  <c r="BW101" i="10"/>
  <c r="AD98" i="10"/>
  <c r="AD216" i="10"/>
  <c r="AC103" i="10"/>
  <c r="AC31" i="10"/>
  <c r="AC121" i="10"/>
  <c r="AC247" i="10"/>
  <c r="AC55" i="10"/>
  <c r="AC211" i="10"/>
  <c r="AC253" i="10"/>
  <c r="AC43" i="10"/>
  <c r="AC133" i="10"/>
  <c r="AD231" i="10"/>
  <c r="AD221" i="10"/>
  <c r="AD30" i="10"/>
  <c r="AD224" i="10"/>
  <c r="AD96" i="10"/>
  <c r="AD166" i="10"/>
  <c r="AD146" i="10"/>
  <c r="AD52" i="10"/>
  <c r="AD32" i="10"/>
  <c r="AD118" i="10"/>
  <c r="AD114" i="10"/>
  <c r="AC97" i="10"/>
  <c r="AC25" i="10"/>
  <c r="AC175" i="10"/>
  <c r="AC193" i="10"/>
  <c r="AC37" i="10"/>
  <c r="AC163" i="10"/>
  <c r="AC7" i="10"/>
  <c r="AD219" i="10"/>
  <c r="AC73" i="10"/>
  <c r="AD255" i="10"/>
  <c r="BW202" i="10"/>
  <c r="BW130" i="10"/>
  <c r="BW58" i="10"/>
  <c r="BW211" i="10"/>
  <c r="BW73" i="10"/>
  <c r="BW216" i="10"/>
  <c r="BW144" i="10"/>
  <c r="BW72" i="10"/>
  <c r="BW209" i="10"/>
  <c r="BW65" i="10"/>
  <c r="AD100" i="10"/>
  <c r="AD188" i="10"/>
  <c r="AD204" i="10"/>
  <c r="AD110" i="10"/>
  <c r="BW225" i="10"/>
  <c r="BW81" i="10"/>
  <c r="BW219" i="10"/>
  <c r="BW75" i="10"/>
  <c r="BW200" i="10"/>
  <c r="BW128" i="10"/>
  <c r="BW56" i="10"/>
  <c r="BW229" i="10"/>
  <c r="BW79" i="10"/>
  <c r="AD90" i="10"/>
  <c r="AD140" i="10"/>
  <c r="AD206" i="10"/>
  <c r="AD184" i="10"/>
  <c r="AD250" i="10"/>
  <c r="AC223" i="10"/>
  <c r="AC169" i="10"/>
  <c r="AC145" i="10"/>
  <c r="AC19" i="10"/>
  <c r="AC157" i="10"/>
  <c r="AC181" i="10"/>
  <c r="AC235" i="10"/>
  <c r="AC115" i="10"/>
  <c r="AC9" i="10"/>
  <c r="AD209" i="10"/>
  <c r="AD239" i="10"/>
  <c r="BW244" i="10"/>
  <c r="BW172" i="10"/>
  <c r="BW100" i="10"/>
  <c r="BW28" i="10"/>
  <c r="BW189" i="10"/>
  <c r="BW45" i="10"/>
  <c r="BW111" i="10"/>
  <c r="BW254" i="10"/>
  <c r="BW182" i="10"/>
  <c r="BW110" i="10"/>
  <c r="BW38" i="10"/>
  <c r="BW201" i="10"/>
  <c r="BW57" i="10"/>
  <c r="BW123" i="10"/>
  <c r="BW224" i="10"/>
  <c r="BW152" i="10"/>
  <c r="BW80" i="10"/>
  <c r="BW8" i="10"/>
  <c r="BW133" i="10"/>
  <c r="BW163" i="10"/>
  <c r="BW25" i="10"/>
  <c r="BW192" i="10"/>
  <c r="BW120" i="10"/>
  <c r="BW48" i="10"/>
  <c r="BW233" i="10"/>
  <c r="BW89" i="10"/>
  <c r="BW129" i="10"/>
  <c r="BW195" i="10"/>
  <c r="BW51" i="10"/>
  <c r="BW188" i="10"/>
  <c r="BW116" i="10"/>
  <c r="BW44" i="10"/>
  <c r="BW205" i="10"/>
  <c r="BW55" i="10"/>
  <c r="BW235" i="10"/>
  <c r="BW97" i="10"/>
  <c r="BW228" i="10"/>
  <c r="BW156" i="10"/>
  <c r="BW84" i="10"/>
  <c r="BW12" i="10"/>
  <c r="BW161" i="10"/>
  <c r="BW17" i="10"/>
  <c r="BW251" i="10"/>
  <c r="BW107" i="10"/>
  <c r="BW232" i="10"/>
  <c r="BW160" i="10"/>
  <c r="BW88" i="10"/>
  <c r="BW16" i="10"/>
  <c r="BW165" i="10"/>
  <c r="BW21" i="10"/>
  <c r="BW159" i="10"/>
  <c r="BW15" i="10"/>
  <c r="BW206" i="10"/>
  <c r="BW134" i="10"/>
  <c r="BW62" i="10"/>
  <c r="BW241" i="10"/>
  <c r="BW91" i="10"/>
  <c r="BW125" i="10"/>
  <c r="BW227" i="10"/>
  <c r="BW83" i="10"/>
  <c r="BW190" i="10"/>
  <c r="BW118" i="10"/>
  <c r="BW46" i="10"/>
  <c r="BW115" i="10"/>
  <c r="BW240" i="10"/>
  <c r="BW168" i="10"/>
  <c r="BW96" i="10"/>
  <c r="BW24" i="10"/>
  <c r="BW113" i="10"/>
  <c r="BW215" i="10"/>
  <c r="BW71" i="10"/>
  <c r="BW220" i="10"/>
  <c r="BW148" i="10"/>
  <c r="BW76" i="10"/>
  <c r="BW4" i="10"/>
  <c r="BW141" i="10"/>
  <c r="BW207" i="10"/>
  <c r="BW63" i="10"/>
  <c r="BW194" i="10"/>
  <c r="BW122" i="10"/>
  <c r="BW50" i="10"/>
  <c r="BW217" i="10"/>
  <c r="BW67" i="10"/>
  <c r="BW247" i="10"/>
  <c r="BW109" i="10"/>
  <c r="BW234" i="10"/>
  <c r="BW162" i="10"/>
  <c r="BW90" i="10"/>
  <c r="BW18" i="10"/>
  <c r="BW250" i="10"/>
  <c r="BW178" i="10"/>
  <c r="BW106" i="10"/>
  <c r="BW34" i="10"/>
  <c r="BW121" i="10"/>
  <c r="BW151" i="10"/>
  <c r="BW13" i="10"/>
  <c r="BW186" i="10"/>
  <c r="BW114" i="10"/>
  <c r="BW42" i="10"/>
  <c r="BW221" i="10"/>
  <c r="BW77" i="10"/>
  <c r="BW177" i="10"/>
  <c r="BW33" i="10"/>
  <c r="BW171" i="10"/>
  <c r="BW27" i="10"/>
  <c r="BW212" i="10"/>
  <c r="BW140" i="10"/>
  <c r="BW68" i="10"/>
  <c r="BW253" i="10"/>
  <c r="BW103" i="10"/>
  <c r="BW167" i="10"/>
  <c r="BW23" i="10"/>
  <c r="BW127" i="10"/>
  <c r="BW246" i="10"/>
  <c r="BW174" i="10"/>
  <c r="BW102" i="10"/>
  <c r="BW30" i="10"/>
  <c r="BW203" i="10"/>
  <c r="BW59" i="10"/>
  <c r="BW191" i="10"/>
  <c r="BW47" i="10"/>
  <c r="BW179" i="10"/>
  <c r="BW35" i="10"/>
  <c r="BW196" i="10"/>
  <c r="BW124" i="10"/>
  <c r="BW52" i="10"/>
  <c r="BW231" i="10"/>
  <c r="BW93" i="10"/>
  <c r="BW237" i="10"/>
  <c r="BW87" i="10"/>
  <c r="BW242" i="10"/>
  <c r="BW170" i="10"/>
  <c r="BW98" i="10"/>
  <c r="BW26" i="10"/>
  <c r="BW169" i="10"/>
  <c r="BW19" i="10"/>
  <c r="BW197" i="10"/>
  <c r="BW53" i="10"/>
  <c r="BW155" i="10"/>
  <c r="BW11" i="10"/>
  <c r="BW226" i="10"/>
  <c r="BW154" i="10"/>
  <c r="BW82" i="10"/>
  <c r="BW10" i="10"/>
  <c r="BW187" i="10"/>
  <c r="BW49" i="10"/>
  <c r="BW204" i="10"/>
  <c r="BW132" i="10"/>
  <c r="BW60" i="10"/>
  <c r="BW185" i="10"/>
  <c r="BW41" i="10"/>
  <c r="BW143" i="10"/>
  <c r="BW184" i="10"/>
  <c r="BW112" i="10"/>
  <c r="BW40" i="10"/>
  <c r="BW213" i="10"/>
  <c r="BW69" i="10"/>
  <c r="BW135" i="10"/>
  <c r="BW230" i="10"/>
  <c r="BW158" i="10"/>
  <c r="BW86" i="10"/>
  <c r="BW14" i="10"/>
  <c r="BW145" i="10"/>
  <c r="BW175" i="10"/>
  <c r="BW37" i="10"/>
  <c r="BW198" i="10"/>
  <c r="BW126" i="10"/>
  <c r="BW54" i="10"/>
  <c r="BW214" i="10"/>
  <c r="BW142" i="10"/>
  <c r="BW70" i="10"/>
  <c r="BW6" i="10"/>
  <c r="BW149" i="10"/>
  <c r="BW5" i="10"/>
  <c r="BW243" i="10"/>
  <c r="BW105" i="10"/>
  <c r="BW249" i="10"/>
  <c r="BW99" i="10"/>
  <c r="BW248" i="10"/>
  <c r="BW176" i="10"/>
  <c r="BW104" i="10"/>
  <c r="BW32" i="10"/>
  <c r="BW181" i="10"/>
  <c r="BW31" i="10"/>
  <c r="BW239" i="10"/>
  <c r="BW95" i="10"/>
  <c r="BW199" i="10"/>
  <c r="BW61" i="10"/>
  <c r="BW210" i="10"/>
  <c r="BW138" i="10"/>
  <c r="BW66" i="10"/>
  <c r="BW131" i="10"/>
  <c r="BW119" i="10"/>
  <c r="AD26" i="10" l="1"/>
  <c r="AC26" i="10"/>
  <c r="AD132" i="10"/>
  <c r="AC132" i="10"/>
  <c r="AD72" i="10"/>
  <c r="AC72" i="10"/>
  <c r="AD180" i="10"/>
  <c r="AC180" i="10"/>
  <c r="AD226" i="10"/>
  <c r="AC226" i="10"/>
  <c r="AD70" i="10"/>
  <c r="AC70" i="10"/>
  <c r="AD202" i="10"/>
  <c r="AC202" i="10"/>
  <c r="AD218" i="10"/>
  <c r="AC218" i="10"/>
  <c r="AD160" i="10"/>
  <c r="AC160" i="10"/>
  <c r="AD234" i="10"/>
  <c r="AC234" i="10"/>
  <c r="AD106" i="10"/>
  <c r="AC106" i="10"/>
  <c r="AD176" i="10"/>
  <c r="AC176" i="10"/>
  <c r="AD222" i="10"/>
  <c r="AC222" i="10"/>
  <c r="AD4" i="10"/>
  <c r="AC4" i="10"/>
  <c r="AD128" i="10"/>
  <c r="AC128" i="10"/>
  <c r="AD112" i="10"/>
  <c r="AC112" i="10"/>
  <c r="AD248" i="10"/>
  <c r="AC248" i="10"/>
  <c r="AD154" i="10"/>
  <c r="AC154" i="10"/>
  <c r="AD164" i="10"/>
  <c r="AC164" i="10"/>
  <c r="AD22" i="10"/>
  <c r="AC22" i="10"/>
  <c r="AD58" i="10"/>
  <c r="AC58" i="10"/>
  <c r="AD254" i="10"/>
  <c r="AC254" i="10"/>
  <c r="AD108" i="10"/>
  <c r="AC108" i="10"/>
  <c r="AD190" i="10"/>
  <c r="AD80" i="10"/>
  <c r="AC80" i="10"/>
  <c r="AD64" i="10"/>
  <c r="AC64" i="10"/>
  <c r="AD241" i="10"/>
  <c r="AC241" i="10"/>
  <c r="AD122" i="10"/>
  <c r="AC122" i="10"/>
  <c r="AD156" i="10"/>
  <c r="AC156" i="10"/>
  <c r="AD78" i="10"/>
  <c r="AC78" i="10"/>
  <c r="AD38" i="10"/>
  <c r="AC38" i="10"/>
  <c r="AD82" i="10"/>
  <c r="AC82" i="10"/>
  <c r="AD54" i="10"/>
  <c r="AC54" i="10"/>
  <c r="AD62" i="10"/>
  <c r="AC62" i="10"/>
  <c r="AD230" i="10"/>
  <c r="AC230" i="10"/>
  <c r="AD240" i="10"/>
  <c r="AC240" i="10"/>
  <c r="AD12" i="10"/>
  <c r="AC12" i="10"/>
  <c r="AD174" i="10"/>
  <c r="AC174" i="10"/>
  <c r="AD84" i="10"/>
  <c r="AD13" i="10"/>
  <c r="AC13" i="10"/>
  <c r="AD56" i="10"/>
  <c r="AC56" i="10"/>
  <c r="AD144" i="10"/>
  <c r="AC144" i="10"/>
  <c r="AD242" i="10"/>
  <c r="AC242" i="10"/>
  <c r="AD196" i="10"/>
  <c r="AC196" i="10"/>
  <c r="AD172" i="10"/>
  <c r="AC172" i="10"/>
  <c r="AD60" i="10"/>
  <c r="AC60" i="10"/>
  <c r="AD210" i="10"/>
  <c r="AC210" i="10"/>
  <c r="AD76" i="10"/>
  <c r="AC76" i="10"/>
  <c r="AD14" i="10"/>
  <c r="AC14" i="10"/>
  <c r="AD48" i="10"/>
  <c r="AC48" i="10"/>
  <c r="AD124" i="10"/>
  <c r="AC124" i="10"/>
  <c r="AD134" i="10"/>
  <c r="AD152" i="10"/>
  <c r="AC152" i="10"/>
  <c r="AD150" i="10"/>
  <c r="AC150" i="10"/>
  <c r="AD158" i="10"/>
  <c r="AC158" i="10"/>
  <c r="AD207" i="10"/>
  <c r="AC207" i="10"/>
  <c r="AD20" i="10"/>
  <c r="AC20" i="10"/>
  <c r="AD130" i="10"/>
  <c r="AC130" i="10"/>
  <c r="AD192" i="10"/>
  <c r="AC192" i="10"/>
  <c r="AD170" i="10"/>
  <c r="AC170" i="10"/>
  <c r="AD6" i="10"/>
  <c r="AC6" i="10"/>
  <c r="AD148" i="10"/>
  <c r="AC148" i="10"/>
  <c r="AD88" i="10"/>
  <c r="AD220" i="10"/>
  <c r="AD244" i="10"/>
  <c r="AD236" i="10"/>
  <c r="AD136" i="10"/>
  <c r="AD142" i="10"/>
  <c r="AD238" i="10"/>
  <c r="AD40" i="10"/>
  <c r="AD138" i="10"/>
  <c r="AD161" i="10"/>
  <c r="AD16" i="10"/>
  <c r="AD44" i="10"/>
  <c r="AD92" i="10"/>
  <c r="AD36" i="10"/>
  <c r="AD86" i="10"/>
  <c r="AD34" i="10"/>
  <c r="AD116" i="10"/>
  <c r="AD215" i="10"/>
  <c r="AD214" i="10"/>
  <c r="AD11" i="10"/>
  <c r="AD104" i="10"/>
  <c r="AD201" i="10"/>
  <c r="AD143" i="10"/>
  <c r="AD35" i="10"/>
  <c r="AD45" i="10"/>
  <c r="AD47" i="10"/>
  <c r="AD71" i="10"/>
  <c r="AD149" i="10"/>
  <c r="AD167" i="10"/>
  <c r="AD225" i="10"/>
  <c r="AD87" i="10"/>
  <c r="AD89" i="10"/>
  <c r="AD29" i="10"/>
  <c r="AD213" i="10"/>
  <c r="AD147" i="10"/>
  <c r="AD65" i="10"/>
  <c r="AD21" i="10"/>
  <c r="AD179" i="10"/>
  <c r="AD177" i="10"/>
  <c r="AD131" i="10"/>
  <c r="AD237" i="10"/>
  <c r="AD53" i="10"/>
  <c r="AD233" i="10"/>
  <c r="AD141" i="10"/>
  <c r="AD123" i="10"/>
  <c r="AD197" i="10"/>
  <c r="AD33" i="10"/>
  <c r="AD195" i="10"/>
  <c r="AD93" i="10"/>
  <c r="AD63" i="10"/>
  <c r="AD189" i="10"/>
  <c r="AD105" i="10"/>
  <c r="AD129" i="10"/>
  <c r="AD39" i="10"/>
  <c r="AD137" i="10"/>
  <c r="AD51" i="10"/>
  <c r="AD119" i="10"/>
  <c r="AD69" i="10"/>
  <c r="AD57" i="10"/>
  <c r="AD173" i="10"/>
  <c r="AD171" i="10"/>
  <c r="AD41" i="10"/>
  <c r="AD113" i="10"/>
  <c r="AD117" i="10"/>
  <c r="AD83" i="10"/>
  <c r="AD59" i="10"/>
  <c r="AD153" i="10"/>
  <c r="AD75" i="10"/>
  <c r="AD155" i="10"/>
  <c r="AD101" i="10"/>
  <c r="AD159" i="10"/>
  <c r="AD165" i="10"/>
  <c r="AD249" i="10"/>
  <c r="AD185" i="10"/>
  <c r="AD243" i="10"/>
  <c r="AD125" i="10"/>
  <c r="AD191" i="10"/>
  <c r="AD5" i="10"/>
  <c r="AD81" i="10"/>
  <c r="AD135" i="10"/>
  <c r="AD183" i="10"/>
  <c r="AD107" i="10"/>
  <c r="AD17" i="10"/>
  <c r="AD99" i="10"/>
  <c r="AD23" i="10"/>
  <c r="AD251" i="10"/>
  <c r="AD111" i="10"/>
  <c r="AD115" i="10"/>
  <c r="AD157" i="10"/>
  <c r="AD169" i="10"/>
  <c r="AD43" i="10"/>
  <c r="AD55" i="10"/>
  <c r="AD7" i="10"/>
  <c r="AD193" i="10"/>
  <c r="AD25" i="10"/>
  <c r="AD151" i="10"/>
  <c r="AD49" i="10"/>
  <c r="AD109" i="10"/>
  <c r="AD127" i="10"/>
  <c r="AD235" i="10"/>
  <c r="AD19" i="10"/>
  <c r="AD253" i="10"/>
  <c r="AD247" i="10"/>
  <c r="AD31" i="10"/>
  <c r="AD9" i="10"/>
  <c r="AD73" i="10"/>
  <c r="AD163" i="10"/>
  <c r="AD175" i="10"/>
  <c r="AD97" i="10"/>
  <c r="AD61" i="10"/>
  <c r="AD187" i="10"/>
  <c r="AD85" i="10"/>
  <c r="AD217" i="10"/>
  <c r="AD67" i="10"/>
  <c r="AD181" i="10"/>
  <c r="AD145" i="10"/>
  <c r="AD223" i="10"/>
  <c r="AD133" i="10"/>
  <c r="AD211" i="10"/>
  <c r="AD121" i="10"/>
  <c r="AD103" i="10"/>
  <c r="AD37" i="10"/>
  <c r="AD229" i="10"/>
  <c r="AD199" i="10"/>
  <c r="AD139" i="10"/>
  <c r="AD79" i="10"/>
  <c r="AD91" i="10"/>
  <c r="AD205" i="10"/>
  <c r="L4" i="19" l="1" a="1"/>
  <c r="L4" i="19" s="1"/>
  <c r="L5" i="19" a="1"/>
  <c r="L5" i="19" s="1"/>
  <c r="L6" i="19" a="1"/>
  <c r="L6" i="19" s="1"/>
  <c r="L7" i="19" a="1"/>
  <c r="L7" i="19" s="1"/>
  <c r="L8" i="19" a="1"/>
  <c r="L8" i="19" s="1"/>
  <c r="L9" i="19" a="1"/>
  <c r="L9" i="19" s="1"/>
  <c r="L10" i="19" a="1"/>
  <c r="L10" i="19" s="1"/>
  <c r="L11" i="19" a="1"/>
  <c r="L11" i="19" s="1"/>
  <c r="L12" i="19" a="1"/>
  <c r="L12" i="19" s="1"/>
  <c r="L13" i="19" a="1"/>
  <c r="L13" i="19" s="1"/>
  <c r="L14" i="19" a="1"/>
  <c r="L14" i="19" s="1"/>
  <c r="L15" i="19" a="1"/>
  <c r="L15" i="19" s="1"/>
  <c r="L16" i="19" a="1"/>
  <c r="L16" i="19" s="1"/>
  <c r="L17" i="19" a="1"/>
  <c r="L17" i="19" s="1"/>
  <c r="L18" i="19" a="1"/>
  <c r="L18" i="19" s="1"/>
  <c r="L19" i="19" a="1"/>
  <c r="L19" i="19" s="1"/>
  <c r="L20" i="19" a="1"/>
  <c r="L20" i="19" s="1"/>
  <c r="L21" i="19" a="1"/>
  <c r="L21" i="19" s="1"/>
  <c r="L22" i="19" a="1"/>
  <c r="L22" i="19" s="1"/>
  <c r="L23" i="19" a="1"/>
  <c r="L23" i="19" s="1"/>
  <c r="L24" i="19" a="1"/>
  <c r="L24" i="19" s="1"/>
  <c r="L25" i="19" a="1"/>
  <c r="L25" i="19" s="1"/>
  <c r="L26" i="19" a="1"/>
  <c r="L26" i="19" s="1"/>
  <c r="L27" i="19" a="1"/>
  <c r="L27" i="19" s="1"/>
  <c r="L28" i="19" a="1"/>
  <c r="L28" i="19" s="1"/>
  <c r="L29" i="19" a="1"/>
  <c r="L29" i="19" s="1"/>
  <c r="L30" i="19" a="1"/>
  <c r="L30" i="19" s="1"/>
  <c r="L31" i="19" a="1"/>
  <c r="L31" i="19" s="1"/>
  <c r="L32" i="19" a="1"/>
  <c r="L32" i="19" s="1"/>
  <c r="L33" i="19" a="1"/>
  <c r="L33" i="19" s="1"/>
  <c r="L34" i="19" a="1"/>
  <c r="L34" i="19" s="1"/>
  <c r="L35" i="19" a="1"/>
  <c r="L35" i="19" s="1"/>
  <c r="L36" i="19" a="1"/>
  <c r="L36" i="19" s="1"/>
  <c r="L37" i="19" a="1"/>
  <c r="L37" i="19" s="1"/>
  <c r="L38" i="19" a="1"/>
  <c r="L38" i="19" s="1"/>
  <c r="L39" i="19" a="1"/>
  <c r="L39" i="19" s="1"/>
  <c r="L40" i="19" a="1"/>
  <c r="L40" i="19" s="1"/>
  <c r="L41" i="19" a="1"/>
  <c r="L41" i="19" s="1"/>
  <c r="L42" i="19" a="1"/>
  <c r="L42" i="19" s="1"/>
  <c r="L43" i="19" a="1"/>
  <c r="L43" i="19" s="1"/>
  <c r="L44" i="19" a="1"/>
  <c r="L44" i="19" s="1"/>
  <c r="L45" i="19" a="1"/>
  <c r="L45" i="19" s="1"/>
  <c r="L46" i="19" a="1"/>
  <c r="L46" i="19" s="1"/>
  <c r="L47" i="19" a="1"/>
  <c r="L47" i="19" s="1"/>
  <c r="L48" i="19" a="1"/>
  <c r="L48" i="19" s="1"/>
  <c r="L49" i="19" a="1"/>
  <c r="L49" i="19" s="1"/>
  <c r="L50" i="19" a="1"/>
  <c r="L50" i="19" s="1"/>
  <c r="L51" i="19" a="1"/>
  <c r="L51" i="19" s="1"/>
  <c r="L52" i="19" a="1"/>
  <c r="L52" i="19" s="1"/>
  <c r="L53" i="19" a="1"/>
  <c r="L53" i="19" s="1"/>
  <c r="L54" i="19" a="1"/>
  <c r="L54" i="19" s="1"/>
  <c r="L55" i="19" a="1"/>
  <c r="L55" i="19" s="1"/>
  <c r="L56" i="19" a="1"/>
  <c r="L56" i="19" s="1"/>
  <c r="L57" i="19" a="1"/>
  <c r="L57" i="19" s="1"/>
  <c r="L58" i="19" a="1"/>
  <c r="L58" i="19" s="1"/>
  <c r="L59" i="19" a="1"/>
  <c r="L59" i="19" s="1"/>
  <c r="L60" i="19" a="1"/>
  <c r="L60" i="19" s="1"/>
  <c r="L61" i="19" a="1"/>
  <c r="L61" i="19" s="1"/>
  <c r="L62" i="19" a="1"/>
  <c r="L62" i="19" s="1"/>
  <c r="L63" i="19" a="1"/>
  <c r="L63" i="19" s="1"/>
  <c r="L64" i="19" a="1"/>
  <c r="L64" i="19" s="1"/>
  <c r="L65" i="19" a="1"/>
  <c r="L65" i="19" s="1"/>
  <c r="L66" i="19" a="1"/>
  <c r="L66" i="19" s="1"/>
  <c r="L67" i="19" a="1"/>
  <c r="L67" i="19" s="1"/>
  <c r="L68" i="19" a="1"/>
  <c r="L68" i="19" s="1"/>
  <c r="L69" i="19" a="1"/>
  <c r="L69" i="19" s="1"/>
  <c r="L70" i="19" a="1"/>
  <c r="L70" i="19" s="1"/>
  <c r="L71" i="19" a="1"/>
  <c r="L71" i="19" s="1"/>
  <c r="L72" i="19" a="1"/>
  <c r="L72" i="19" s="1"/>
  <c r="L73" i="19" a="1"/>
  <c r="L73" i="19" s="1"/>
  <c r="L74" i="19" a="1"/>
  <c r="L74" i="19" s="1"/>
  <c r="L75" i="19" a="1"/>
  <c r="L75" i="19" s="1"/>
  <c r="L76" i="19" a="1"/>
  <c r="L76" i="19" s="1"/>
  <c r="L77" i="19" a="1"/>
  <c r="L77" i="19" s="1"/>
  <c r="L78" i="19" a="1"/>
  <c r="L78" i="19" s="1"/>
  <c r="L79" i="19" a="1"/>
  <c r="L79" i="19" s="1"/>
  <c r="L80" i="19" a="1"/>
  <c r="L80" i="19" s="1"/>
  <c r="D4" i="19"/>
  <c r="D5" i="19"/>
  <c r="D6" i="19"/>
  <c r="D7" i="19"/>
  <c r="D8" i="19"/>
  <c r="D9" i="19"/>
  <c r="D10" i="19"/>
  <c r="D11" i="19"/>
  <c r="D12" i="19"/>
  <c r="D13" i="19"/>
  <c r="D14" i="19"/>
  <c r="D15" i="19"/>
  <c r="D16" i="19"/>
  <c r="D17" i="19"/>
  <c r="D18" i="19"/>
  <c r="D19" i="19"/>
  <c r="D20" i="19"/>
  <c r="D21" i="19"/>
  <c r="D22" i="19"/>
  <c r="D23" i="19"/>
  <c r="D24" i="19"/>
  <c r="D25" i="19"/>
  <c r="D26" i="19"/>
  <c r="D27" i="19"/>
  <c r="D28" i="19"/>
  <c r="D29" i="19"/>
  <c r="D30" i="19"/>
  <c r="D31" i="19"/>
  <c r="D32" i="19"/>
  <c r="D33" i="19"/>
  <c r="D34" i="19"/>
  <c r="D35" i="19"/>
  <c r="D36" i="19"/>
  <c r="D37" i="19"/>
  <c r="D38" i="19"/>
  <c r="D39" i="19"/>
  <c r="D40" i="19"/>
  <c r="D41" i="19"/>
  <c r="D42" i="19"/>
  <c r="D43" i="19"/>
  <c r="D44" i="19"/>
  <c r="D45" i="19"/>
  <c r="D46" i="19"/>
  <c r="D47" i="19"/>
  <c r="D48" i="19"/>
  <c r="D49" i="19"/>
  <c r="D50" i="19"/>
  <c r="D51" i="19"/>
  <c r="D52" i="19"/>
  <c r="D53" i="19"/>
  <c r="D54" i="19"/>
  <c r="D55" i="19"/>
  <c r="D56" i="19"/>
  <c r="D57" i="19"/>
  <c r="D58" i="19"/>
  <c r="D59" i="19"/>
  <c r="D60" i="19"/>
  <c r="D61" i="19"/>
  <c r="D62" i="19"/>
  <c r="D63" i="19"/>
  <c r="D64" i="19"/>
  <c r="D65" i="19"/>
  <c r="D66" i="19"/>
  <c r="D67" i="19"/>
  <c r="D68" i="19"/>
  <c r="D69" i="19"/>
  <c r="D70" i="19"/>
  <c r="D71" i="19"/>
  <c r="D72" i="19"/>
  <c r="D73" i="19"/>
  <c r="D74" i="19"/>
  <c r="D75" i="19"/>
  <c r="D76" i="19"/>
  <c r="D77" i="19"/>
  <c r="D78" i="19"/>
  <c r="D79" i="19"/>
  <c r="D80" i="19"/>
  <c r="I39" i="21" l="1"/>
  <c r="D39" i="21" a="1"/>
  <c r="D39" i="21" s="1"/>
  <c r="A39" i="21" a="1"/>
  <c r="A39" i="21" s="1"/>
  <c r="I103" i="21"/>
  <c r="D103" i="21" a="1"/>
  <c r="D103" i="21" s="1"/>
  <c r="A103" i="21" a="1"/>
  <c r="A103" i="21" s="1"/>
  <c r="M39" i="21" l="1"/>
  <c r="L39" i="21"/>
  <c r="K39" i="21"/>
  <c r="J39" i="21"/>
  <c r="M103" i="21"/>
  <c r="L103" i="21"/>
  <c r="K103" i="21"/>
  <c r="J103" i="21"/>
  <c r="Y256" i="1" l="1"/>
  <c r="Z256" i="1"/>
  <c r="AI256" i="1"/>
  <c r="AL256" i="1"/>
  <c r="AO256" i="1"/>
  <c r="AP256" i="1"/>
  <c r="AN256" i="1" l="1"/>
  <c r="BR256" i="4"/>
  <c r="AT256" i="1"/>
  <c r="AS256" i="1"/>
  <c r="AR256" i="1"/>
  <c r="AQ256" i="1"/>
  <c r="T256" i="1"/>
  <c r="Q256" i="1"/>
  <c r="U256" i="1"/>
  <c r="BF256" i="1"/>
  <c r="W256" i="1"/>
  <c r="BE256" i="1"/>
  <c r="V256" i="1"/>
  <c r="X256" i="1"/>
  <c r="BG256" i="1"/>
  <c r="S256" i="1"/>
  <c r="R256" i="1"/>
  <c r="I245" i="21"/>
  <c r="I243" i="21"/>
  <c r="I235" i="21"/>
  <c r="I216" i="21"/>
  <c r="I202" i="21"/>
  <c r="I180" i="21"/>
  <c r="I161" i="21"/>
  <c r="I152" i="21"/>
  <c r="I111" i="21"/>
  <c r="I98" i="21"/>
  <c r="I90" i="21"/>
  <c r="I31" i="21"/>
  <c r="I253" i="21"/>
  <c r="I252" i="21"/>
  <c r="I249" i="21"/>
  <c r="I247" i="21"/>
  <c r="I242" i="21"/>
  <c r="I239" i="21"/>
  <c r="I237" i="21"/>
  <c r="I236" i="21"/>
  <c r="I233" i="21"/>
  <c r="I228" i="21"/>
  <c r="I227" i="21"/>
  <c r="I223" i="21"/>
  <c r="I219" i="21"/>
  <c r="I218" i="21"/>
  <c r="I197" i="21"/>
  <c r="I195" i="21"/>
  <c r="I192" i="21"/>
  <c r="I191" i="21"/>
  <c r="I182" i="21"/>
  <c r="I181" i="21"/>
  <c r="I175" i="21"/>
  <c r="I174" i="21"/>
  <c r="I172" i="21"/>
  <c r="I169" i="21"/>
  <c r="I163" i="21"/>
  <c r="I147" i="21"/>
  <c r="I146" i="21"/>
  <c r="I144" i="21"/>
  <c r="I142" i="21"/>
  <c r="I135" i="21"/>
  <c r="I131" i="21"/>
  <c r="I130" i="21"/>
  <c r="I125" i="21"/>
  <c r="I118" i="21"/>
  <c r="I115" i="21"/>
  <c r="I97" i="21"/>
  <c r="I95" i="21"/>
  <c r="I94" i="21"/>
  <c r="I92" i="21"/>
  <c r="I83" i="21"/>
  <c r="I82" i="21"/>
  <c r="I80" i="21"/>
  <c r="I74" i="21"/>
  <c r="I71" i="21"/>
  <c r="I65" i="21"/>
  <c r="I63" i="21"/>
  <c r="I62" i="21"/>
  <c r="I60" i="21"/>
  <c r="I59" i="21"/>
  <c r="I52" i="21"/>
  <c r="I36" i="21"/>
  <c r="I35" i="21"/>
  <c r="I22" i="21"/>
  <c r="I15" i="21"/>
  <c r="I9" i="21"/>
  <c r="I8" i="21"/>
  <c r="I99" i="21"/>
  <c r="BT256" i="4" l="1"/>
  <c r="AK256" i="1"/>
  <c r="AJ256" i="1"/>
  <c r="AM256" i="1"/>
  <c r="AU256" i="1"/>
  <c r="BT256" i="10" l="1"/>
  <c r="BQ256" i="4"/>
  <c r="BU256" i="10"/>
  <c r="BS256" i="4"/>
  <c r="BP256" i="4"/>
  <c r="BV256" i="10"/>
  <c r="BU256" i="4" l="1"/>
  <c r="BR256" i="10"/>
  <c r="BS256" i="10"/>
  <c r="M26" i="19"/>
  <c r="M25" i="19"/>
  <c r="N25" i="19" s="1"/>
  <c r="O25" i="19" s="1"/>
  <c r="K25" i="19"/>
  <c r="P25" i="19" s="1"/>
  <c r="A25" i="19"/>
  <c r="A26" i="19"/>
  <c r="BW256" i="10" l="1"/>
  <c r="K26" i="19"/>
  <c r="P26" i="19" s="1"/>
  <c r="N26" i="19"/>
  <c r="O26" i="19" s="1"/>
  <c r="M32" i="19" l="1"/>
  <c r="N32" i="19" s="1"/>
  <c r="O32" i="19" s="1"/>
  <c r="K32" i="19"/>
  <c r="P32" i="19" s="1"/>
  <c r="A32" i="19"/>
  <c r="M37" i="19"/>
  <c r="N37" i="19" s="1"/>
  <c r="O37" i="19" s="1"/>
  <c r="K37" i="19"/>
  <c r="A37" i="19"/>
  <c r="M43" i="19"/>
  <c r="N43" i="19" s="1"/>
  <c r="O43" i="19" s="1"/>
  <c r="K43" i="19"/>
  <c r="A43" i="19"/>
  <c r="A39" i="19"/>
  <c r="K39" i="19"/>
  <c r="M39" i="19"/>
  <c r="N39" i="19" s="1"/>
  <c r="O39" i="19" s="1"/>
  <c r="P37" i="19" l="1"/>
  <c r="P43" i="19"/>
  <c r="P39" i="19"/>
  <c r="J12" i="12" l="1"/>
  <c r="J40" i="12"/>
  <c r="J23" i="12"/>
  <c r="J18" i="12"/>
  <c r="J10" i="12"/>
  <c r="J11" i="12"/>
  <c r="J30" i="12"/>
  <c r="J29" i="12"/>
  <c r="J28" i="12"/>
  <c r="J42" i="12"/>
  <c r="J48" i="12"/>
  <c r="J47" i="12"/>
  <c r="J24" i="12"/>
  <c r="J22" i="12"/>
  <c r="J17" i="12"/>
  <c r="J41" i="12"/>
  <c r="J16" i="12"/>
  <c r="J46" i="12"/>
  <c r="E12" i="12" a="1"/>
  <c r="E12" i="12" s="1"/>
  <c r="I12" i="12" s="1"/>
  <c r="K12" i="12" s="1"/>
  <c r="E24" i="12" a="1"/>
  <c r="E24" i="12" s="1"/>
  <c r="I24" i="12" s="1"/>
  <c r="K24" i="12" s="1"/>
  <c r="E18" i="12" a="1"/>
  <c r="E18" i="12" s="1"/>
  <c r="I18" i="12" s="1"/>
  <c r="K18" i="12" s="1"/>
  <c r="E47" i="12" a="1"/>
  <c r="E47" i="12" s="1"/>
  <c r="I47" i="12" s="1"/>
  <c r="K47" i="12" s="1"/>
  <c r="E36" i="12" l="1" a="1"/>
  <c r="E36" i="12" s="1"/>
  <c r="E30" i="12" a="1"/>
  <c r="E30" i="12" s="1"/>
  <c r="I30" i="12" s="1"/>
  <c r="K30" i="12" s="1"/>
  <c r="E46" i="12" a="1"/>
  <c r="E46" i="12" s="1"/>
  <c r="I46" i="12" s="1"/>
  <c r="K46" i="12" s="1"/>
  <c r="E23" i="12" a="1"/>
  <c r="E23" i="12" s="1"/>
  <c r="I23" i="12" s="1"/>
  <c r="K23" i="12" s="1"/>
  <c r="E29" i="12" a="1"/>
  <c r="E29" i="12" s="1"/>
  <c r="I29" i="12" s="1"/>
  <c r="K29" i="12" s="1"/>
  <c r="E11" i="12" a="1"/>
  <c r="E11" i="12" s="1"/>
  <c r="I11" i="12" s="1"/>
  <c r="K11" i="12" s="1"/>
  <c r="E41" i="12" a="1"/>
  <c r="E41" i="12" s="1"/>
  <c r="I41" i="12" s="1"/>
  <c r="K41" i="12" s="1"/>
  <c r="E17" i="12" a="1"/>
  <c r="E17" i="12" s="1"/>
  <c r="I17" i="12" s="1"/>
  <c r="K17" i="12" s="1"/>
  <c r="E35" i="12" a="1"/>
  <c r="E35" i="12" s="1"/>
  <c r="E48" i="12" a="1"/>
  <c r="E48" i="12" s="1"/>
  <c r="I48" i="12" s="1"/>
  <c r="K48" i="12" s="1"/>
  <c r="E28" i="12" a="1"/>
  <c r="E28" i="12" s="1"/>
  <c r="I28" i="12" s="1"/>
  <c r="K28" i="12" s="1"/>
  <c r="E22" i="12" a="1"/>
  <c r="E22" i="12" s="1"/>
  <c r="I22" i="12" s="1"/>
  <c r="K22" i="12" s="1"/>
  <c r="E10" i="12" a="1"/>
  <c r="E10" i="12" s="1"/>
  <c r="I10" i="12" s="1"/>
  <c r="K10" i="12" s="1"/>
  <c r="E40" i="12" a="1"/>
  <c r="E40" i="12" s="1"/>
  <c r="I40" i="12" s="1"/>
  <c r="K40" i="12" s="1"/>
  <c r="E16" i="12" a="1"/>
  <c r="E16" i="12" s="1"/>
  <c r="I16" i="12" s="1"/>
  <c r="K16" i="12" s="1"/>
  <c r="E34" i="12" a="1"/>
  <c r="E34" i="12" s="1"/>
  <c r="E42" i="12" a="1"/>
  <c r="E42" i="12" s="1"/>
  <c r="I42" i="12" s="1"/>
  <c r="K42" i="12" s="1"/>
  <c r="G203" i="21" l="1"/>
  <c r="I183" i="21"/>
  <c r="I50" i="21" l="1"/>
  <c r="A36" i="19" l="1"/>
  <c r="K36" i="19"/>
  <c r="M36" i="19"/>
  <c r="N36" i="19" s="1"/>
  <c r="O36" i="19" s="1"/>
  <c r="A31" i="19"/>
  <c r="K31" i="19"/>
  <c r="M31" i="19"/>
  <c r="N31" i="19" s="1"/>
  <c r="O31" i="19" s="1"/>
  <c r="A34" i="19"/>
  <c r="K34" i="19"/>
  <c r="P34" i="19" s="1"/>
  <c r="M34" i="19"/>
  <c r="N34" i="19" s="1"/>
  <c r="O34" i="19" s="1"/>
  <c r="A33" i="19"/>
  <c r="K33" i="19"/>
  <c r="P33" i="19" s="1"/>
  <c r="M33" i="19"/>
  <c r="N33" i="19" s="1"/>
  <c r="O33" i="19" s="1"/>
  <c r="A20" i="19"/>
  <c r="K20" i="19"/>
  <c r="P20" i="19" s="1"/>
  <c r="M20" i="19"/>
  <c r="N20" i="19" s="1"/>
  <c r="O20" i="19" s="1"/>
  <c r="A19" i="19"/>
  <c r="K19" i="19"/>
  <c r="M19" i="19"/>
  <c r="N19" i="19" s="1"/>
  <c r="O19" i="19" s="1"/>
  <c r="P31" i="19" l="1"/>
  <c r="P36" i="19"/>
  <c r="P19" i="19"/>
  <c r="L4" i="20" a="1"/>
  <c r="L4" i="20" s="1"/>
  <c r="A4" i="20"/>
  <c r="A56" i="19"/>
  <c r="K56" i="19"/>
  <c r="M56" i="19"/>
  <c r="N56" i="19" s="1"/>
  <c r="O56" i="19" s="1"/>
  <c r="J21" i="12"/>
  <c r="E21" i="12" a="1"/>
  <c r="E21" i="12" s="1"/>
  <c r="J20" i="12"/>
  <c r="E20" i="12" a="1"/>
  <c r="E20" i="12" s="1"/>
  <c r="E19" i="12" a="1"/>
  <c r="E19" i="12" s="1"/>
  <c r="J15" i="12"/>
  <c r="E15" i="12" a="1"/>
  <c r="E15" i="12" s="1"/>
  <c r="J14" i="12"/>
  <c r="E14" i="12" a="1"/>
  <c r="E14" i="12" s="1"/>
  <c r="E13" i="12" a="1"/>
  <c r="E13" i="12" s="1"/>
  <c r="J39" i="12"/>
  <c r="E39" i="12" a="1"/>
  <c r="E39" i="12" s="1"/>
  <c r="J38" i="12"/>
  <c r="E38" i="12" a="1"/>
  <c r="E38" i="12" s="1"/>
  <c r="E37" i="12" a="1"/>
  <c r="E37" i="12" s="1"/>
  <c r="I134" i="21"/>
  <c r="D134" i="21" a="1"/>
  <c r="D134" i="21" s="1"/>
  <c r="A134" i="21" a="1"/>
  <c r="A134" i="21" s="1"/>
  <c r="I24" i="21"/>
  <c r="D24" i="21" a="1"/>
  <c r="D24" i="21" s="1"/>
  <c r="A24" i="21" a="1"/>
  <c r="A24" i="21" s="1"/>
  <c r="H254" i="21"/>
  <c r="K24" i="21" l="1"/>
  <c r="J19" i="12"/>
  <c r="J37" i="12"/>
  <c r="J13" i="12"/>
  <c r="P56" i="19"/>
  <c r="M4" i="20"/>
  <c r="N4" i="20" s="1"/>
  <c r="O4" i="20" s="1"/>
  <c r="P4" i="20" s="1"/>
  <c r="BK32" i="10" s="1"/>
  <c r="K4" i="20"/>
  <c r="I20" i="12"/>
  <c r="K20" i="12" s="1"/>
  <c r="I15" i="12"/>
  <c r="K15" i="12" s="1"/>
  <c r="I19" i="12"/>
  <c r="K19" i="12" s="1"/>
  <c r="I14" i="12"/>
  <c r="K14" i="12" s="1"/>
  <c r="I13" i="12"/>
  <c r="K13" i="12" s="1"/>
  <c r="BI25" i="10" s="1"/>
  <c r="I21" i="12"/>
  <c r="K21" i="12" s="1"/>
  <c r="I37" i="12"/>
  <c r="K37" i="12" s="1"/>
  <c r="I39" i="12"/>
  <c r="K39" i="12" s="1"/>
  <c r="I38" i="12"/>
  <c r="K38" i="12" s="1"/>
  <c r="M134" i="21"/>
  <c r="L134" i="21"/>
  <c r="K134" i="21"/>
  <c r="J134" i="21"/>
  <c r="M24" i="21"/>
  <c r="L24" i="21"/>
  <c r="J24" i="21"/>
  <c r="BI26" i="10" l="1"/>
  <c r="BI74" i="10"/>
  <c r="BI118" i="10"/>
  <c r="BI206" i="10"/>
  <c r="BI250" i="10"/>
  <c r="BI49" i="10"/>
  <c r="BI142" i="10"/>
  <c r="BI211" i="10"/>
  <c r="BI27" i="10"/>
  <c r="BI50" i="10"/>
  <c r="BI166" i="10"/>
  <c r="BI51" i="10"/>
  <c r="BI121" i="10"/>
  <c r="BI213" i="10"/>
  <c r="BI236" i="10"/>
  <c r="BI122" i="10"/>
  <c r="BI145" i="10"/>
  <c r="BI12" i="10"/>
  <c r="BI39" i="10"/>
  <c r="BI66" i="10"/>
  <c r="BI93" i="10"/>
  <c r="BI179" i="10"/>
  <c r="BI13" i="10"/>
  <c r="BI40" i="10"/>
  <c r="BI126" i="10"/>
  <c r="BI153" i="10"/>
  <c r="BI208" i="10"/>
  <c r="BI43" i="10"/>
  <c r="BI70" i="10"/>
  <c r="BI102" i="10"/>
  <c r="BI45" i="10"/>
  <c r="BI131" i="10"/>
  <c r="BI158" i="10"/>
  <c r="BI19" i="10"/>
  <c r="BI159" i="10"/>
  <c r="BI124" i="10"/>
  <c r="BI151" i="10"/>
  <c r="BI86" i="10"/>
  <c r="BI201" i="10"/>
  <c r="BI243" i="10"/>
  <c r="BI57" i="10"/>
  <c r="BI21" i="10"/>
  <c r="BI169" i="10"/>
  <c r="BI202" i="10"/>
  <c r="BI55" i="10"/>
  <c r="BI130" i="10"/>
  <c r="BI203" i="10"/>
  <c r="BI89" i="10"/>
  <c r="BI90" i="10"/>
  <c r="BI134" i="10"/>
  <c r="BI91" i="10"/>
  <c r="BI135" i="10"/>
  <c r="BI173" i="10"/>
  <c r="BI22" i="10"/>
  <c r="BI60" i="10"/>
  <c r="BI175" i="10"/>
  <c r="BI219" i="10"/>
  <c r="BI80" i="10"/>
  <c r="BI195" i="10"/>
  <c r="BI224" i="10"/>
  <c r="BI7" i="10"/>
  <c r="BI83" i="10"/>
  <c r="BI155" i="10"/>
  <c r="BI226" i="10"/>
  <c r="BI157" i="10"/>
  <c r="BI160" i="10"/>
  <c r="BI107" i="10"/>
  <c r="BI35" i="10"/>
  <c r="BI108" i="10"/>
  <c r="BI63" i="10"/>
  <c r="BI123" i="10"/>
  <c r="BI200" i="10"/>
  <c r="BI79" i="10"/>
  <c r="BI71" i="10"/>
  <c r="BI112" i="10"/>
  <c r="BI222" i="10"/>
  <c r="BI147" i="10"/>
  <c r="BI47" i="10"/>
  <c r="A7" i="21" a="1"/>
  <c r="A7" i="21" s="1"/>
  <c r="D7" i="21" a="1"/>
  <c r="D7" i="21" s="1"/>
  <c r="I7" i="21"/>
  <c r="A8" i="21" a="1"/>
  <c r="A8" i="21" s="1"/>
  <c r="D8" i="21" a="1"/>
  <c r="D8" i="21" s="1"/>
  <c r="A9" i="21" a="1"/>
  <c r="A9" i="21" s="1"/>
  <c r="D9" i="21" a="1"/>
  <c r="D9" i="21" s="1"/>
  <c r="A10" i="21" a="1"/>
  <c r="A10" i="21" s="1"/>
  <c r="D10" i="21" a="1"/>
  <c r="D10" i="21" s="1"/>
  <c r="I10" i="21"/>
  <c r="A11" i="21" a="1"/>
  <c r="A11" i="21" s="1"/>
  <c r="D11" i="21" a="1"/>
  <c r="D11" i="21" s="1"/>
  <c r="I11" i="21"/>
  <c r="A12" i="21" a="1"/>
  <c r="A12" i="21" s="1"/>
  <c r="D12" i="21" a="1"/>
  <c r="D12" i="21" s="1"/>
  <c r="I12" i="21"/>
  <c r="A13" i="21" a="1"/>
  <c r="A13" i="21" s="1"/>
  <c r="D13" i="21" a="1"/>
  <c r="D13" i="21" s="1"/>
  <c r="I13" i="21"/>
  <c r="A14" i="21" a="1"/>
  <c r="A14" i="21" s="1"/>
  <c r="D14" i="21" a="1"/>
  <c r="D14" i="21" s="1"/>
  <c r="I14" i="21"/>
  <c r="A15" i="21" a="1"/>
  <c r="A15" i="21" s="1"/>
  <c r="D15" i="21" a="1"/>
  <c r="D15" i="21" s="1"/>
  <c r="A16" i="21" a="1"/>
  <c r="A16" i="21" s="1"/>
  <c r="D16" i="21" a="1"/>
  <c r="D16" i="21" s="1"/>
  <c r="I16" i="21"/>
  <c r="A17" i="21" a="1"/>
  <c r="A17" i="21" s="1"/>
  <c r="D17" i="21" a="1"/>
  <c r="D17" i="21" s="1"/>
  <c r="I17" i="21"/>
  <c r="A18" i="21" a="1"/>
  <c r="A18" i="21" s="1"/>
  <c r="D18" i="21" a="1"/>
  <c r="D18" i="21" s="1"/>
  <c r="I18" i="21"/>
  <c r="A19" i="21" a="1"/>
  <c r="A19" i="21" s="1"/>
  <c r="D19" i="21" a="1"/>
  <c r="D19" i="21" s="1"/>
  <c r="I19" i="21"/>
  <c r="A20" i="21" a="1"/>
  <c r="A20" i="21" s="1"/>
  <c r="D20" i="21" a="1"/>
  <c r="D20" i="21" s="1"/>
  <c r="I20" i="21"/>
  <c r="A21" i="21" a="1"/>
  <c r="A21" i="21" s="1"/>
  <c r="D21" i="21" a="1"/>
  <c r="D21" i="21" s="1"/>
  <c r="I21" i="21"/>
  <c r="A22" i="21" a="1"/>
  <c r="A22" i="21" s="1"/>
  <c r="D22" i="21" a="1"/>
  <c r="D22" i="21" s="1"/>
  <c r="A23" i="21" a="1"/>
  <c r="A23" i="21" s="1"/>
  <c r="D23" i="21" a="1"/>
  <c r="D23" i="21" s="1"/>
  <c r="I23" i="21"/>
  <c r="A25" i="21" a="1"/>
  <c r="A25" i="21" s="1"/>
  <c r="D25" i="21" a="1"/>
  <c r="D25" i="21" s="1"/>
  <c r="I25" i="21"/>
  <c r="A26" i="21" a="1"/>
  <c r="A26" i="21" s="1"/>
  <c r="D26" i="21" a="1"/>
  <c r="D26" i="21" s="1"/>
  <c r="I26" i="21"/>
  <c r="A27" i="21" a="1"/>
  <c r="A27" i="21" s="1"/>
  <c r="D27" i="21" a="1"/>
  <c r="D27" i="21" s="1"/>
  <c r="I27" i="21"/>
  <c r="A28" i="21" a="1"/>
  <c r="A28" i="21" s="1"/>
  <c r="D28" i="21" a="1"/>
  <c r="D28" i="21" s="1"/>
  <c r="I28" i="21"/>
  <c r="A29" i="21" a="1"/>
  <c r="A29" i="21" s="1"/>
  <c r="D29" i="21" a="1"/>
  <c r="D29" i="21" s="1"/>
  <c r="I29" i="21"/>
  <c r="A30" i="21" a="1"/>
  <c r="A30" i="21" s="1"/>
  <c r="D30" i="21" a="1"/>
  <c r="D30" i="21" s="1"/>
  <c r="I30" i="21"/>
  <c r="A31" i="21" a="1"/>
  <c r="A31" i="21" s="1"/>
  <c r="D31" i="21" a="1"/>
  <c r="D31" i="21" s="1"/>
  <c r="A32" i="21" a="1"/>
  <c r="A32" i="21" s="1"/>
  <c r="D32" i="21" a="1"/>
  <c r="D32" i="21" s="1"/>
  <c r="I32" i="21"/>
  <c r="A33" i="21" a="1"/>
  <c r="A33" i="21" s="1"/>
  <c r="D33" i="21" a="1"/>
  <c r="D33" i="21" s="1"/>
  <c r="I33" i="21"/>
  <c r="A34" i="21" a="1"/>
  <c r="A34" i="21" s="1"/>
  <c r="D34" i="21" a="1"/>
  <c r="D34" i="21" s="1"/>
  <c r="I34" i="21"/>
  <c r="A35" i="21" a="1"/>
  <c r="A35" i="21" s="1"/>
  <c r="D35" i="21" a="1"/>
  <c r="D35" i="21" s="1"/>
  <c r="A36" i="21" a="1"/>
  <c r="A36" i="21" s="1"/>
  <c r="D36" i="21" a="1"/>
  <c r="D36" i="21" s="1"/>
  <c r="A37" i="21" a="1"/>
  <c r="A37" i="21" s="1"/>
  <c r="D37" i="21" a="1"/>
  <c r="D37" i="21" s="1"/>
  <c r="I37" i="21"/>
  <c r="A38" i="21" a="1"/>
  <c r="A38" i="21" s="1"/>
  <c r="D38" i="21" a="1"/>
  <c r="D38" i="21" s="1"/>
  <c r="I38" i="21"/>
  <c r="A40" i="21" a="1"/>
  <c r="A40" i="21" s="1"/>
  <c r="D40" i="21" a="1"/>
  <c r="D40" i="21" s="1"/>
  <c r="I40" i="21"/>
  <c r="A41" i="21" a="1"/>
  <c r="A41" i="21" s="1"/>
  <c r="D41" i="21" a="1"/>
  <c r="D41" i="21" s="1"/>
  <c r="I41" i="21"/>
  <c r="A42" i="21" a="1"/>
  <c r="A42" i="21" s="1"/>
  <c r="D42" i="21" a="1"/>
  <c r="D42" i="21" s="1"/>
  <c r="I42" i="21"/>
  <c r="A43" i="21" a="1"/>
  <c r="A43" i="21" s="1"/>
  <c r="D43" i="21" a="1"/>
  <c r="D43" i="21" s="1"/>
  <c r="I43" i="21"/>
  <c r="A44" i="21" a="1"/>
  <c r="A44" i="21" s="1"/>
  <c r="D44" i="21" a="1"/>
  <c r="D44" i="21" s="1"/>
  <c r="I44" i="21"/>
  <c r="A45" i="21" a="1"/>
  <c r="A45" i="21" s="1"/>
  <c r="D45" i="21" a="1"/>
  <c r="D45" i="21" s="1"/>
  <c r="I45" i="21"/>
  <c r="A46" i="21" a="1"/>
  <c r="A46" i="21" s="1"/>
  <c r="D46" i="21" a="1"/>
  <c r="D46" i="21" s="1"/>
  <c r="I46" i="21"/>
  <c r="A47" i="21" a="1"/>
  <c r="A47" i="21" s="1"/>
  <c r="D47" i="21" a="1"/>
  <c r="D47" i="21" s="1"/>
  <c r="I47" i="21"/>
  <c r="A48" i="21" a="1"/>
  <c r="A48" i="21" s="1"/>
  <c r="D48" i="21" a="1"/>
  <c r="D48" i="21" s="1"/>
  <c r="I48" i="21"/>
  <c r="A49" i="21" a="1"/>
  <c r="A49" i="21" s="1"/>
  <c r="D49" i="21" a="1"/>
  <c r="D49" i="21" s="1"/>
  <c r="I49" i="21"/>
  <c r="A50" i="21" a="1"/>
  <c r="A50" i="21" s="1"/>
  <c r="D50" i="21" a="1"/>
  <c r="D50" i="21" s="1"/>
  <c r="A51" i="21" a="1"/>
  <c r="A51" i="21" s="1"/>
  <c r="D51" i="21" a="1"/>
  <c r="D51" i="21" s="1"/>
  <c r="I51" i="21"/>
  <c r="A52" i="21" a="1"/>
  <c r="A52" i="21" s="1"/>
  <c r="D52" i="21" a="1"/>
  <c r="D52" i="21" s="1"/>
  <c r="A53" i="21" a="1"/>
  <c r="A53" i="21" s="1"/>
  <c r="D53" i="21" a="1"/>
  <c r="D53" i="21" s="1"/>
  <c r="I53" i="21"/>
  <c r="A54" i="21" a="1"/>
  <c r="A54" i="21" s="1"/>
  <c r="D54" i="21" a="1"/>
  <c r="D54" i="21" s="1"/>
  <c r="I54" i="21"/>
  <c r="A55" i="21" a="1"/>
  <c r="A55" i="21" s="1"/>
  <c r="D55" i="21" a="1"/>
  <c r="D55" i="21" s="1"/>
  <c r="I55" i="21"/>
  <c r="A56" i="21" a="1"/>
  <c r="A56" i="21" s="1"/>
  <c r="D56" i="21" a="1"/>
  <c r="D56" i="21" s="1"/>
  <c r="I56" i="21"/>
  <c r="A57" i="21" a="1"/>
  <c r="A57" i="21" s="1"/>
  <c r="D57" i="21" a="1"/>
  <c r="D57" i="21" s="1"/>
  <c r="I57" i="21"/>
  <c r="A58" i="21" a="1"/>
  <c r="A58" i="21" s="1"/>
  <c r="D58" i="21" a="1"/>
  <c r="D58" i="21" s="1"/>
  <c r="I58" i="21"/>
  <c r="A59" i="21" a="1"/>
  <c r="A59" i="21" s="1"/>
  <c r="D59" i="21" a="1"/>
  <c r="D59" i="21" s="1"/>
  <c r="A60" i="21" a="1"/>
  <c r="A60" i="21" s="1"/>
  <c r="D60" i="21" a="1"/>
  <c r="D60" i="21" s="1"/>
  <c r="A61" i="21" a="1"/>
  <c r="A61" i="21" s="1"/>
  <c r="D61" i="21" a="1"/>
  <c r="D61" i="21" s="1"/>
  <c r="I61" i="21"/>
  <c r="A62" i="21" a="1"/>
  <c r="A62" i="21" s="1"/>
  <c r="D62" i="21" a="1"/>
  <c r="D62" i="21" s="1"/>
  <c r="A63" i="21" a="1"/>
  <c r="A63" i="21" s="1"/>
  <c r="D63" i="21" a="1"/>
  <c r="D63" i="21" s="1"/>
  <c r="A64" i="21" a="1"/>
  <c r="A64" i="21" s="1"/>
  <c r="D64" i="21" a="1"/>
  <c r="D64" i="21" s="1"/>
  <c r="I64" i="21"/>
  <c r="A65" i="21" a="1"/>
  <c r="A65" i="21" s="1"/>
  <c r="D65" i="21" a="1"/>
  <c r="D65" i="21" s="1"/>
  <c r="A66" i="21" a="1"/>
  <c r="A66" i="21" s="1"/>
  <c r="D66" i="21" a="1"/>
  <c r="D66" i="21" s="1"/>
  <c r="I66" i="21"/>
  <c r="A67" i="21" a="1"/>
  <c r="A67" i="21" s="1"/>
  <c r="D67" i="21" a="1"/>
  <c r="D67" i="21" s="1"/>
  <c r="I67" i="21"/>
  <c r="A68" i="21" a="1"/>
  <c r="A68" i="21" s="1"/>
  <c r="D68" i="21" a="1"/>
  <c r="D68" i="21" s="1"/>
  <c r="I68" i="21"/>
  <c r="A69" i="21" a="1"/>
  <c r="A69" i="21" s="1"/>
  <c r="D69" i="21" a="1"/>
  <c r="D69" i="21" s="1"/>
  <c r="I69" i="21"/>
  <c r="A70" i="21" a="1"/>
  <c r="A70" i="21" s="1"/>
  <c r="D70" i="21" a="1"/>
  <c r="D70" i="21" s="1"/>
  <c r="I70" i="21"/>
  <c r="A71" i="21" a="1"/>
  <c r="A71" i="21" s="1"/>
  <c r="D71" i="21" a="1"/>
  <c r="D71" i="21" s="1"/>
  <c r="A72" i="21" a="1"/>
  <c r="A72" i="21" s="1"/>
  <c r="D72" i="21" a="1"/>
  <c r="D72" i="21" s="1"/>
  <c r="I72" i="21"/>
  <c r="A73" i="21" a="1"/>
  <c r="A73" i="21" s="1"/>
  <c r="D73" i="21" a="1"/>
  <c r="D73" i="21" s="1"/>
  <c r="I73" i="21"/>
  <c r="A74" i="21" a="1"/>
  <c r="A74" i="21" s="1"/>
  <c r="D74" i="21" a="1"/>
  <c r="D74" i="21" s="1"/>
  <c r="A75" i="21" a="1"/>
  <c r="A75" i="21" s="1"/>
  <c r="D75" i="21" a="1"/>
  <c r="D75" i="21" s="1"/>
  <c r="I75" i="21"/>
  <c r="A76" i="21" a="1"/>
  <c r="A76" i="21" s="1"/>
  <c r="D76" i="21" a="1"/>
  <c r="D76" i="21" s="1"/>
  <c r="I76" i="21"/>
  <c r="A77" i="21" a="1"/>
  <c r="A77" i="21" s="1"/>
  <c r="D77" i="21" a="1"/>
  <c r="D77" i="21" s="1"/>
  <c r="I77" i="21"/>
  <c r="A78" i="21" a="1"/>
  <c r="A78" i="21" s="1"/>
  <c r="D78" i="21" a="1"/>
  <c r="D78" i="21" s="1"/>
  <c r="I78" i="21"/>
  <c r="A79" i="21" a="1"/>
  <c r="A79" i="21" s="1"/>
  <c r="D79" i="21" a="1"/>
  <c r="D79" i="21" s="1"/>
  <c r="I79" i="21"/>
  <c r="A80" i="21" a="1"/>
  <c r="A80" i="21" s="1"/>
  <c r="D80" i="21" a="1"/>
  <c r="D80" i="21" s="1"/>
  <c r="A81" i="21" a="1"/>
  <c r="A81" i="21" s="1"/>
  <c r="D81" i="21" a="1"/>
  <c r="D81" i="21" s="1"/>
  <c r="I81" i="21"/>
  <c r="A82" i="21" a="1"/>
  <c r="A82" i="21" s="1"/>
  <c r="D82" i="21" a="1"/>
  <c r="D82" i="21" s="1"/>
  <c r="A83" i="21" a="1"/>
  <c r="A83" i="21" s="1"/>
  <c r="D83" i="21" a="1"/>
  <c r="D83" i="21" s="1"/>
  <c r="A84" i="21" a="1"/>
  <c r="A84" i="21" s="1"/>
  <c r="D84" i="21" a="1"/>
  <c r="D84" i="21" s="1"/>
  <c r="I84" i="21"/>
  <c r="A85" i="21" a="1"/>
  <c r="A85" i="21" s="1"/>
  <c r="D85" i="21" a="1"/>
  <c r="D85" i="21" s="1"/>
  <c r="I85" i="21"/>
  <c r="A86" i="21" a="1"/>
  <c r="A86" i="21" s="1"/>
  <c r="D86" i="21" a="1"/>
  <c r="D86" i="21" s="1"/>
  <c r="I86" i="21"/>
  <c r="A87" i="21" a="1"/>
  <c r="A87" i="21" s="1"/>
  <c r="D87" i="21" a="1"/>
  <c r="D87" i="21" s="1"/>
  <c r="I87" i="21"/>
  <c r="A88" i="21" a="1"/>
  <c r="A88" i="21" s="1"/>
  <c r="D88" i="21" a="1"/>
  <c r="D88" i="21" s="1"/>
  <c r="I88" i="21"/>
  <c r="A89" i="21" a="1"/>
  <c r="A89" i="21" s="1"/>
  <c r="D89" i="21" a="1"/>
  <c r="D89" i="21" s="1"/>
  <c r="I89" i="21"/>
  <c r="A90" i="21" a="1"/>
  <c r="A90" i="21" s="1"/>
  <c r="D90" i="21" a="1"/>
  <c r="D90" i="21" s="1"/>
  <c r="A91" i="21" a="1"/>
  <c r="A91" i="21" s="1"/>
  <c r="D91" i="21" a="1"/>
  <c r="D91" i="21" s="1"/>
  <c r="I91" i="21"/>
  <c r="A92" i="21" a="1"/>
  <c r="A92" i="21" s="1"/>
  <c r="D92" i="21" a="1"/>
  <c r="D92" i="21" s="1"/>
  <c r="A93" i="21" a="1"/>
  <c r="A93" i="21" s="1"/>
  <c r="D93" i="21" a="1"/>
  <c r="D93" i="21" s="1"/>
  <c r="I93" i="21"/>
  <c r="A94" i="21" a="1"/>
  <c r="A94" i="21" s="1"/>
  <c r="D94" i="21" a="1"/>
  <c r="D94" i="21" s="1"/>
  <c r="A95" i="21" a="1"/>
  <c r="A95" i="21" s="1"/>
  <c r="D95" i="21" a="1"/>
  <c r="D95" i="21" s="1"/>
  <c r="A96" i="21" a="1"/>
  <c r="A96" i="21" s="1"/>
  <c r="D96" i="21" a="1"/>
  <c r="D96" i="21" s="1"/>
  <c r="I96" i="21"/>
  <c r="A97" i="21" a="1"/>
  <c r="A97" i="21" s="1"/>
  <c r="D97" i="21" a="1"/>
  <c r="D97" i="21" s="1"/>
  <c r="A98" i="21" a="1"/>
  <c r="A98" i="21" s="1"/>
  <c r="D98" i="21" a="1"/>
  <c r="D98" i="21" s="1"/>
  <c r="A99" i="21" a="1"/>
  <c r="A99" i="21" s="1"/>
  <c r="D99" i="21" a="1"/>
  <c r="D99" i="21" s="1"/>
  <c r="A100" i="21" a="1"/>
  <c r="A100" i="21" s="1"/>
  <c r="D100" i="21" a="1"/>
  <c r="D100" i="21" s="1"/>
  <c r="I100" i="21"/>
  <c r="A101" i="21" a="1"/>
  <c r="A101" i="21" s="1"/>
  <c r="D101" i="21" a="1"/>
  <c r="D101" i="21" s="1"/>
  <c r="I101" i="21"/>
  <c r="A102" i="21" a="1"/>
  <c r="A102" i="21" s="1"/>
  <c r="D102" i="21" a="1"/>
  <c r="D102" i="21" s="1"/>
  <c r="I102" i="21"/>
  <c r="A104" i="21" a="1"/>
  <c r="A104" i="21" s="1"/>
  <c r="D104" i="21" a="1"/>
  <c r="D104" i="21" s="1"/>
  <c r="I104" i="21"/>
  <c r="A105" i="21" a="1"/>
  <c r="A105" i="21" s="1"/>
  <c r="D105" i="21" a="1"/>
  <c r="D105" i="21" s="1"/>
  <c r="I105" i="21"/>
  <c r="A106" i="21" a="1"/>
  <c r="A106" i="21" s="1"/>
  <c r="D106" i="21" a="1"/>
  <c r="D106" i="21" s="1"/>
  <c r="I106" i="21"/>
  <c r="A107" i="21" a="1"/>
  <c r="A107" i="21" s="1"/>
  <c r="D107" i="21" a="1"/>
  <c r="D107" i="21" s="1"/>
  <c r="I107" i="21"/>
  <c r="A108" i="21" a="1"/>
  <c r="A108" i="21" s="1"/>
  <c r="D108" i="21" a="1"/>
  <c r="D108" i="21" s="1"/>
  <c r="I108" i="21"/>
  <c r="A109" i="21" a="1"/>
  <c r="A109" i="21" s="1"/>
  <c r="D109" i="21" a="1"/>
  <c r="D109" i="21" s="1"/>
  <c r="I109" i="21"/>
  <c r="A110" i="21" a="1"/>
  <c r="A110" i="21" s="1"/>
  <c r="D110" i="21" a="1"/>
  <c r="D110" i="21" s="1"/>
  <c r="I110" i="21"/>
  <c r="A111" i="21" a="1"/>
  <c r="A111" i="21" s="1"/>
  <c r="D111" i="21" a="1"/>
  <c r="D111" i="21" s="1"/>
  <c r="A112" i="21" a="1"/>
  <c r="A112" i="21" s="1"/>
  <c r="D112" i="21" a="1"/>
  <c r="D112" i="21" s="1"/>
  <c r="I112" i="21"/>
  <c r="A113" i="21" a="1"/>
  <c r="A113" i="21" s="1"/>
  <c r="D113" i="21" a="1"/>
  <c r="D113" i="21" s="1"/>
  <c r="I113" i="21"/>
  <c r="A114" i="21" a="1"/>
  <c r="A114" i="21" s="1"/>
  <c r="D114" i="21" a="1"/>
  <c r="D114" i="21" s="1"/>
  <c r="I114" i="21"/>
  <c r="A115" i="21" a="1"/>
  <c r="A115" i="21" s="1"/>
  <c r="D115" i="21" a="1"/>
  <c r="D115" i="21" s="1"/>
  <c r="A116" i="21" a="1"/>
  <c r="A116" i="21" s="1"/>
  <c r="D116" i="21" a="1"/>
  <c r="D116" i="21" s="1"/>
  <c r="I116" i="21"/>
  <c r="A117" i="21" a="1"/>
  <c r="A117" i="21" s="1"/>
  <c r="D117" i="21" a="1"/>
  <c r="D117" i="21" s="1"/>
  <c r="I117" i="21"/>
  <c r="A118" i="21" a="1"/>
  <c r="A118" i="21" s="1"/>
  <c r="D118" i="21" a="1"/>
  <c r="D118" i="21" s="1"/>
  <c r="A119" i="21" a="1"/>
  <c r="A119" i="21" s="1"/>
  <c r="D119" i="21" a="1"/>
  <c r="D119" i="21" s="1"/>
  <c r="I119" i="21"/>
  <c r="A120" i="21" a="1"/>
  <c r="A120" i="21" s="1"/>
  <c r="D120" i="21" a="1"/>
  <c r="D120" i="21" s="1"/>
  <c r="I120" i="21"/>
  <c r="A121" i="21" a="1"/>
  <c r="A121" i="21" s="1"/>
  <c r="D121" i="21" a="1"/>
  <c r="D121" i="21" s="1"/>
  <c r="I121" i="21"/>
  <c r="A122" i="21" a="1"/>
  <c r="A122" i="21" s="1"/>
  <c r="D122" i="21" a="1"/>
  <c r="D122" i="21" s="1"/>
  <c r="I122" i="21"/>
  <c r="A123" i="21" a="1"/>
  <c r="A123" i="21" s="1"/>
  <c r="D123" i="21" a="1"/>
  <c r="D123" i="21" s="1"/>
  <c r="I123" i="21"/>
  <c r="A124" i="21" a="1"/>
  <c r="A124" i="21" s="1"/>
  <c r="D124" i="21" a="1"/>
  <c r="D124" i="21" s="1"/>
  <c r="I124" i="21"/>
  <c r="A125" i="21" a="1"/>
  <c r="A125" i="21" s="1"/>
  <c r="D125" i="21" a="1"/>
  <c r="D125" i="21" s="1"/>
  <c r="A126" i="21" a="1"/>
  <c r="A126" i="21" s="1"/>
  <c r="D126" i="21" a="1"/>
  <c r="D126" i="21" s="1"/>
  <c r="I126" i="21"/>
  <c r="A127" i="21" a="1"/>
  <c r="A127" i="21" s="1"/>
  <c r="D127" i="21" a="1"/>
  <c r="D127" i="21" s="1"/>
  <c r="I127" i="21"/>
  <c r="A128" i="21" a="1"/>
  <c r="A128" i="21" s="1"/>
  <c r="D128" i="21" a="1"/>
  <c r="D128" i="21" s="1"/>
  <c r="I128" i="21"/>
  <c r="A129" i="21" a="1"/>
  <c r="A129" i="21" s="1"/>
  <c r="D129" i="21" a="1"/>
  <c r="D129" i="21" s="1"/>
  <c r="I129" i="21"/>
  <c r="A130" i="21" a="1"/>
  <c r="A130" i="21" s="1"/>
  <c r="D130" i="21" a="1"/>
  <c r="D130" i="21" s="1"/>
  <c r="A131" i="21" a="1"/>
  <c r="A131" i="21" s="1"/>
  <c r="D131" i="21" a="1"/>
  <c r="D131" i="21" s="1"/>
  <c r="A132" i="21" a="1"/>
  <c r="A132" i="21" s="1"/>
  <c r="D132" i="21" a="1"/>
  <c r="D132" i="21" s="1"/>
  <c r="I132" i="21"/>
  <c r="A133" i="21" a="1"/>
  <c r="A133" i="21" s="1"/>
  <c r="D133" i="21" a="1"/>
  <c r="D133" i="21" s="1"/>
  <c r="I133" i="21"/>
  <c r="A135" i="21" a="1"/>
  <c r="A135" i="21" s="1"/>
  <c r="D135" i="21" a="1"/>
  <c r="D135" i="21" s="1"/>
  <c r="A136" i="21" a="1"/>
  <c r="A136" i="21" s="1"/>
  <c r="D136" i="21" a="1"/>
  <c r="D136" i="21" s="1"/>
  <c r="I136" i="21"/>
  <c r="A137" i="21" a="1"/>
  <c r="A137" i="21" s="1"/>
  <c r="D137" i="21" a="1"/>
  <c r="D137" i="21" s="1"/>
  <c r="I137" i="21"/>
  <c r="A138" i="21" a="1"/>
  <c r="A138" i="21" s="1"/>
  <c r="D138" i="21" a="1"/>
  <c r="D138" i="21" s="1"/>
  <c r="I138" i="21"/>
  <c r="A139" i="21" a="1"/>
  <c r="A139" i="21" s="1"/>
  <c r="D139" i="21" a="1"/>
  <c r="D139" i="21" s="1"/>
  <c r="I139" i="21"/>
  <c r="A140" i="21" a="1"/>
  <c r="A140" i="21" s="1"/>
  <c r="D140" i="21" a="1"/>
  <c r="D140" i="21" s="1"/>
  <c r="I140" i="21"/>
  <c r="A141" i="21" a="1"/>
  <c r="A141" i="21" s="1"/>
  <c r="D141" i="21" a="1"/>
  <c r="D141" i="21" s="1"/>
  <c r="I141" i="21"/>
  <c r="A142" i="21" a="1"/>
  <c r="A142" i="21" s="1"/>
  <c r="D142" i="21" a="1"/>
  <c r="D142" i="21" s="1"/>
  <c r="A143" i="21" a="1"/>
  <c r="A143" i="21" s="1"/>
  <c r="D143" i="21" a="1"/>
  <c r="D143" i="21" s="1"/>
  <c r="I143" i="21"/>
  <c r="A144" i="21" a="1"/>
  <c r="A144" i="21" s="1"/>
  <c r="D144" i="21" a="1"/>
  <c r="D144" i="21" s="1"/>
  <c r="A145" i="21" a="1"/>
  <c r="A145" i="21" s="1"/>
  <c r="D145" i="21" a="1"/>
  <c r="D145" i="21" s="1"/>
  <c r="I145" i="21"/>
  <c r="A146" i="21" a="1"/>
  <c r="A146" i="21" s="1"/>
  <c r="D146" i="21" a="1"/>
  <c r="D146" i="21" s="1"/>
  <c r="A147" i="21" a="1"/>
  <c r="A147" i="21" s="1"/>
  <c r="D147" i="21" a="1"/>
  <c r="D147" i="21" s="1"/>
  <c r="A148" i="21" a="1"/>
  <c r="A148" i="21" s="1"/>
  <c r="D148" i="21" a="1"/>
  <c r="D148" i="21" s="1"/>
  <c r="I148" i="21"/>
  <c r="A149" i="21" a="1"/>
  <c r="A149" i="21" s="1"/>
  <c r="D149" i="21" a="1"/>
  <c r="D149" i="21" s="1"/>
  <c r="I149" i="21"/>
  <c r="A150" i="21" a="1"/>
  <c r="A150" i="21" s="1"/>
  <c r="D150" i="21" a="1"/>
  <c r="D150" i="21" s="1"/>
  <c r="I150" i="21"/>
  <c r="A151" i="21" a="1"/>
  <c r="A151" i="21" s="1"/>
  <c r="D151" i="21" a="1"/>
  <c r="D151" i="21" s="1"/>
  <c r="I151" i="21"/>
  <c r="A152" i="21" a="1"/>
  <c r="A152" i="21" s="1"/>
  <c r="D152" i="21" a="1"/>
  <c r="D152" i="21" s="1"/>
  <c r="A153" i="21" a="1"/>
  <c r="A153" i="21" s="1"/>
  <c r="D153" i="21" a="1"/>
  <c r="D153" i="21" s="1"/>
  <c r="I153" i="21"/>
  <c r="A154" i="21" a="1"/>
  <c r="A154" i="21" s="1"/>
  <c r="D154" i="21" a="1"/>
  <c r="D154" i="21" s="1"/>
  <c r="I154" i="21"/>
  <c r="A155" i="21" a="1"/>
  <c r="A155" i="21" s="1"/>
  <c r="D155" i="21" a="1"/>
  <c r="D155" i="21" s="1"/>
  <c r="I155" i="21"/>
  <c r="A156" i="21" a="1"/>
  <c r="A156" i="21" s="1"/>
  <c r="D156" i="21" a="1"/>
  <c r="D156" i="21" s="1"/>
  <c r="I156" i="21"/>
  <c r="A157" i="21" a="1"/>
  <c r="A157" i="21" s="1"/>
  <c r="D157" i="21" a="1"/>
  <c r="D157" i="21" s="1"/>
  <c r="I157" i="21"/>
  <c r="A158" i="21" a="1"/>
  <c r="A158" i="21" s="1"/>
  <c r="D158" i="21" a="1"/>
  <c r="D158" i="21" s="1"/>
  <c r="I158" i="21"/>
  <c r="A159" i="21" a="1"/>
  <c r="A159" i="21" s="1"/>
  <c r="D159" i="21" a="1"/>
  <c r="D159" i="21" s="1"/>
  <c r="I159" i="21"/>
  <c r="A160" i="21" a="1"/>
  <c r="A160" i="21" s="1"/>
  <c r="D160" i="21" a="1"/>
  <c r="D160" i="21" s="1"/>
  <c r="I160" i="21"/>
  <c r="A161" i="21" a="1"/>
  <c r="A161" i="21" s="1"/>
  <c r="D161" i="21" a="1"/>
  <c r="D161" i="21" s="1"/>
  <c r="A162" i="21" a="1"/>
  <c r="A162" i="21" s="1"/>
  <c r="D162" i="21" a="1"/>
  <c r="D162" i="21" s="1"/>
  <c r="I162" i="21"/>
  <c r="A163" i="21" a="1"/>
  <c r="A163" i="21" s="1"/>
  <c r="D163" i="21" a="1"/>
  <c r="D163" i="21" s="1"/>
  <c r="A164" i="21" a="1"/>
  <c r="A164" i="21" s="1"/>
  <c r="D164" i="21" a="1"/>
  <c r="D164" i="21" s="1"/>
  <c r="I164" i="21"/>
  <c r="A165" i="21" a="1"/>
  <c r="A165" i="21" s="1"/>
  <c r="D165" i="21" a="1"/>
  <c r="D165" i="21" s="1"/>
  <c r="I165" i="21"/>
  <c r="A166" i="21" a="1"/>
  <c r="A166" i="21" s="1"/>
  <c r="D166" i="21" a="1"/>
  <c r="D166" i="21" s="1"/>
  <c r="I166" i="21"/>
  <c r="A167" i="21" a="1"/>
  <c r="A167" i="21" s="1"/>
  <c r="D167" i="21" a="1"/>
  <c r="D167" i="21" s="1"/>
  <c r="I167" i="21"/>
  <c r="A168" i="21" a="1"/>
  <c r="A168" i="21" s="1"/>
  <c r="D168" i="21" a="1"/>
  <c r="D168" i="21" s="1"/>
  <c r="I168" i="21"/>
  <c r="A169" i="21" a="1"/>
  <c r="A169" i="21" s="1"/>
  <c r="D169" i="21" a="1"/>
  <c r="D169" i="21" s="1"/>
  <c r="A170" i="21" a="1"/>
  <c r="A170" i="21" s="1"/>
  <c r="D170" i="21" a="1"/>
  <c r="D170" i="21" s="1"/>
  <c r="I170" i="21"/>
  <c r="A171" i="21" a="1"/>
  <c r="A171" i="21" s="1"/>
  <c r="D171" i="21" a="1"/>
  <c r="D171" i="21" s="1"/>
  <c r="I171" i="21"/>
  <c r="A172" i="21" a="1"/>
  <c r="A172" i="21" s="1"/>
  <c r="D172" i="21" a="1"/>
  <c r="D172" i="21" s="1"/>
  <c r="A173" i="21" a="1"/>
  <c r="A173" i="21" s="1"/>
  <c r="D173" i="21" a="1"/>
  <c r="D173" i="21" s="1"/>
  <c r="I173" i="21"/>
  <c r="A174" i="21" a="1"/>
  <c r="A174" i="21" s="1"/>
  <c r="D174" i="21" a="1"/>
  <c r="D174" i="21" s="1"/>
  <c r="A175" i="21" a="1"/>
  <c r="A175" i="21" s="1"/>
  <c r="D175" i="21" a="1"/>
  <c r="D175" i="21" s="1"/>
  <c r="A176" i="21" a="1"/>
  <c r="A176" i="21" s="1"/>
  <c r="D176" i="21" a="1"/>
  <c r="D176" i="21" s="1"/>
  <c r="I176" i="21"/>
  <c r="A177" i="21" a="1"/>
  <c r="A177" i="21" s="1"/>
  <c r="D177" i="21" a="1"/>
  <c r="D177" i="21" s="1"/>
  <c r="I177" i="21"/>
  <c r="A178" i="21" a="1"/>
  <c r="A178" i="21" s="1"/>
  <c r="D178" i="21" a="1"/>
  <c r="D178" i="21" s="1"/>
  <c r="I178" i="21"/>
  <c r="A179" i="21" a="1"/>
  <c r="A179" i="21" s="1"/>
  <c r="D179" i="21" a="1"/>
  <c r="D179" i="21" s="1"/>
  <c r="I179" i="21"/>
  <c r="A180" i="21" a="1"/>
  <c r="A180" i="21" s="1"/>
  <c r="D180" i="21" a="1"/>
  <c r="D180" i="21" s="1"/>
  <c r="A181" i="21" a="1"/>
  <c r="A181" i="21" s="1"/>
  <c r="D181" i="21" a="1"/>
  <c r="D181" i="21" s="1"/>
  <c r="A182" i="21" a="1"/>
  <c r="A182" i="21" s="1"/>
  <c r="D182" i="21" a="1"/>
  <c r="D182" i="21" s="1"/>
  <c r="A183" i="21" a="1"/>
  <c r="A183" i="21" s="1"/>
  <c r="D183" i="21" a="1"/>
  <c r="D183" i="21" s="1"/>
  <c r="A184" i="21" a="1"/>
  <c r="A184" i="21" s="1"/>
  <c r="D184" i="21" a="1"/>
  <c r="D184" i="21" s="1"/>
  <c r="I184" i="21"/>
  <c r="A185" i="21" a="1"/>
  <c r="A185" i="21" s="1"/>
  <c r="D185" i="21" a="1"/>
  <c r="D185" i="21" s="1"/>
  <c r="I185" i="21"/>
  <c r="A186" i="21" a="1"/>
  <c r="A186" i="21" s="1"/>
  <c r="D186" i="21" a="1"/>
  <c r="D186" i="21" s="1"/>
  <c r="I186" i="21"/>
  <c r="A187" i="21" a="1"/>
  <c r="A187" i="21" s="1"/>
  <c r="D187" i="21" a="1"/>
  <c r="D187" i="21" s="1"/>
  <c r="I187" i="21"/>
  <c r="A188" i="21" a="1"/>
  <c r="A188" i="21" s="1"/>
  <c r="D188" i="21" a="1"/>
  <c r="D188" i="21" s="1"/>
  <c r="I188" i="21"/>
  <c r="A189" i="21" a="1"/>
  <c r="A189" i="21" s="1"/>
  <c r="D189" i="21" a="1"/>
  <c r="D189" i="21" s="1"/>
  <c r="I189" i="21"/>
  <c r="A190" i="21" a="1"/>
  <c r="A190" i="21" s="1"/>
  <c r="D190" i="21" a="1"/>
  <c r="D190" i="21" s="1"/>
  <c r="I190" i="21"/>
  <c r="A191" i="21" a="1"/>
  <c r="A191" i="21" s="1"/>
  <c r="D191" i="21" a="1"/>
  <c r="D191" i="21" s="1"/>
  <c r="A192" i="21" a="1"/>
  <c r="A192" i="21" s="1"/>
  <c r="D192" i="21" a="1"/>
  <c r="D192" i="21" s="1"/>
  <c r="A193" i="21" a="1"/>
  <c r="A193" i="21" s="1"/>
  <c r="D193" i="21" a="1"/>
  <c r="D193" i="21" s="1"/>
  <c r="I193" i="21"/>
  <c r="A194" i="21" a="1"/>
  <c r="A194" i="21" s="1"/>
  <c r="D194" i="21" a="1"/>
  <c r="D194" i="21" s="1"/>
  <c r="I194" i="21"/>
  <c r="A195" i="21" a="1"/>
  <c r="A195" i="21" s="1"/>
  <c r="D195" i="21" a="1"/>
  <c r="D195" i="21" s="1"/>
  <c r="A196" i="21" a="1"/>
  <c r="A196" i="21" s="1"/>
  <c r="D196" i="21" a="1"/>
  <c r="D196" i="21" s="1"/>
  <c r="I196" i="21"/>
  <c r="A197" i="21" a="1"/>
  <c r="A197" i="21" s="1"/>
  <c r="D197" i="21" a="1"/>
  <c r="D197" i="21" s="1"/>
  <c r="A198" i="21" a="1"/>
  <c r="A198" i="21" s="1"/>
  <c r="D198" i="21" a="1"/>
  <c r="D198" i="21" s="1"/>
  <c r="I198" i="21"/>
  <c r="A199" i="21" a="1"/>
  <c r="A199" i="21" s="1"/>
  <c r="D199" i="21" a="1"/>
  <c r="D199" i="21" s="1"/>
  <c r="I199" i="21"/>
  <c r="A200" i="21" a="1"/>
  <c r="A200" i="21" s="1"/>
  <c r="D200" i="21" a="1"/>
  <c r="D200" i="21" s="1"/>
  <c r="I200" i="21"/>
  <c r="A201" i="21" a="1"/>
  <c r="A201" i="21" s="1"/>
  <c r="D201" i="21" a="1"/>
  <c r="D201" i="21" s="1"/>
  <c r="I201" i="21"/>
  <c r="A202" i="21" a="1"/>
  <c r="A202" i="21" s="1"/>
  <c r="D202" i="21" a="1"/>
  <c r="D202" i="21" s="1"/>
  <c r="A203" i="21" a="1"/>
  <c r="A203" i="21" s="1"/>
  <c r="D203" i="21" a="1"/>
  <c r="D203" i="21" s="1"/>
  <c r="I203" i="21"/>
  <c r="A204" i="21" a="1"/>
  <c r="A204" i="21" s="1"/>
  <c r="D204" i="21" a="1"/>
  <c r="D204" i="21" s="1"/>
  <c r="I204" i="21"/>
  <c r="A205" i="21" a="1"/>
  <c r="A205" i="21" s="1"/>
  <c r="D205" i="21" a="1"/>
  <c r="D205" i="21" s="1"/>
  <c r="I205" i="21"/>
  <c r="A206" i="21" a="1"/>
  <c r="A206" i="21" s="1"/>
  <c r="D206" i="21" a="1"/>
  <c r="D206" i="21" s="1"/>
  <c r="I206" i="21"/>
  <c r="A207" i="21" a="1"/>
  <c r="A207" i="21" s="1"/>
  <c r="D207" i="21" a="1"/>
  <c r="D207" i="21" s="1"/>
  <c r="I207" i="21"/>
  <c r="A208" i="21" a="1"/>
  <c r="A208" i="21" s="1"/>
  <c r="D208" i="21" a="1"/>
  <c r="D208" i="21" s="1"/>
  <c r="I208" i="21"/>
  <c r="A209" i="21" a="1"/>
  <c r="A209" i="21" s="1"/>
  <c r="D209" i="21" a="1"/>
  <c r="D209" i="21" s="1"/>
  <c r="I209" i="21"/>
  <c r="A210" i="21" a="1"/>
  <c r="A210" i="21" s="1"/>
  <c r="D210" i="21" a="1"/>
  <c r="D210" i="21" s="1"/>
  <c r="I210" i="21"/>
  <c r="A211" i="21" a="1"/>
  <c r="A211" i="21" s="1"/>
  <c r="D211" i="21" a="1"/>
  <c r="D211" i="21" s="1"/>
  <c r="I211" i="21"/>
  <c r="A212" i="21" a="1"/>
  <c r="A212" i="21" s="1"/>
  <c r="D212" i="21" a="1"/>
  <c r="D212" i="21" s="1"/>
  <c r="I212" i="21"/>
  <c r="A213" i="21" a="1"/>
  <c r="A213" i="21" s="1"/>
  <c r="D213" i="21" a="1"/>
  <c r="D213" i="21" s="1"/>
  <c r="I213" i="21"/>
  <c r="A214" i="21" a="1"/>
  <c r="A214" i="21" s="1"/>
  <c r="D214" i="21" a="1"/>
  <c r="D214" i="21" s="1"/>
  <c r="I214" i="21"/>
  <c r="A215" i="21" a="1"/>
  <c r="A215" i="21" s="1"/>
  <c r="D215" i="21" a="1"/>
  <c r="D215" i="21" s="1"/>
  <c r="I215" i="21"/>
  <c r="A216" i="21" a="1"/>
  <c r="A216" i="21" s="1"/>
  <c r="D216" i="21" a="1"/>
  <c r="D216" i="21" s="1"/>
  <c r="A217" i="21" a="1"/>
  <c r="A217" i="21" s="1"/>
  <c r="D217" i="21" a="1"/>
  <c r="D217" i="21" s="1"/>
  <c r="I217" i="21"/>
  <c r="A218" i="21" a="1"/>
  <c r="A218" i="21" s="1"/>
  <c r="D218" i="21" a="1"/>
  <c r="D218" i="21" s="1"/>
  <c r="A219" i="21" a="1"/>
  <c r="A219" i="21" s="1"/>
  <c r="D219" i="21" a="1"/>
  <c r="D219" i="21" s="1"/>
  <c r="A220" i="21" a="1"/>
  <c r="A220" i="21" s="1"/>
  <c r="D220" i="21" a="1"/>
  <c r="D220" i="21" s="1"/>
  <c r="I220" i="21"/>
  <c r="A221" i="21" a="1"/>
  <c r="A221" i="21" s="1"/>
  <c r="D221" i="21" a="1"/>
  <c r="D221" i="21" s="1"/>
  <c r="I221" i="21"/>
  <c r="A222" i="21" a="1"/>
  <c r="A222" i="21" s="1"/>
  <c r="D222" i="21" a="1"/>
  <c r="D222" i="21" s="1"/>
  <c r="I222" i="21"/>
  <c r="A223" i="21" a="1"/>
  <c r="A223" i="21" s="1"/>
  <c r="D223" i="21" a="1"/>
  <c r="D223" i="21" s="1"/>
  <c r="A224" i="21" a="1"/>
  <c r="A224" i="21" s="1"/>
  <c r="D224" i="21" a="1"/>
  <c r="D224" i="21" s="1"/>
  <c r="I224" i="21"/>
  <c r="A225" i="21" a="1"/>
  <c r="A225" i="21" s="1"/>
  <c r="D225" i="21" a="1"/>
  <c r="D225" i="21" s="1"/>
  <c r="I225" i="21"/>
  <c r="A226" i="21" a="1"/>
  <c r="A226" i="21" s="1"/>
  <c r="D226" i="21" a="1"/>
  <c r="D226" i="21" s="1"/>
  <c r="I226" i="21"/>
  <c r="A227" i="21" a="1"/>
  <c r="A227" i="21" s="1"/>
  <c r="D227" i="21" a="1"/>
  <c r="D227" i="21" s="1"/>
  <c r="A228" i="21" a="1"/>
  <c r="A228" i="21" s="1"/>
  <c r="D228" i="21" a="1"/>
  <c r="D228" i="21" s="1"/>
  <c r="A229" i="21" a="1"/>
  <c r="A229" i="21" s="1"/>
  <c r="D229" i="21" a="1"/>
  <c r="D229" i="21" s="1"/>
  <c r="I229" i="21"/>
  <c r="A230" i="21" a="1"/>
  <c r="A230" i="21" s="1"/>
  <c r="D230" i="21" a="1"/>
  <c r="D230" i="21" s="1"/>
  <c r="I230" i="21"/>
  <c r="A231" i="21" a="1"/>
  <c r="A231" i="21" s="1"/>
  <c r="D231" i="21" a="1"/>
  <c r="D231" i="21" s="1"/>
  <c r="I231" i="21"/>
  <c r="A232" i="21" a="1"/>
  <c r="A232" i="21" s="1"/>
  <c r="D232" i="21" a="1"/>
  <c r="D232" i="21" s="1"/>
  <c r="I232" i="21"/>
  <c r="A233" i="21" a="1"/>
  <c r="A233" i="21" s="1"/>
  <c r="D233" i="21" a="1"/>
  <c r="D233" i="21" s="1"/>
  <c r="G233" i="21"/>
  <c r="G254" i="21" s="1"/>
  <c r="A234" i="21" a="1"/>
  <c r="A234" i="21" s="1"/>
  <c r="D234" i="21" a="1"/>
  <c r="D234" i="21" s="1"/>
  <c r="I234" i="21"/>
  <c r="A235" i="21" a="1"/>
  <c r="A235" i="21" s="1"/>
  <c r="D235" i="21" a="1"/>
  <c r="D235" i="21" s="1"/>
  <c r="A236" i="21" a="1"/>
  <c r="A236" i="21" s="1"/>
  <c r="D236" i="21" a="1"/>
  <c r="D236" i="21" s="1"/>
  <c r="A237" i="21" a="1"/>
  <c r="A237" i="21" s="1"/>
  <c r="D237" i="21" a="1"/>
  <c r="D237" i="21" s="1"/>
  <c r="A238" i="21" a="1"/>
  <c r="A238" i="21" s="1"/>
  <c r="D238" i="21" a="1"/>
  <c r="D238" i="21" s="1"/>
  <c r="I238" i="21"/>
  <c r="A239" i="21" a="1"/>
  <c r="A239" i="21" s="1"/>
  <c r="D239" i="21" a="1"/>
  <c r="D239" i="21" s="1"/>
  <c r="A240" i="21" a="1"/>
  <c r="A240" i="21" s="1"/>
  <c r="D240" i="21" a="1"/>
  <c r="D240" i="21" s="1"/>
  <c r="I240" i="21"/>
  <c r="A241" i="21" a="1"/>
  <c r="A241" i="21" s="1"/>
  <c r="D241" i="21" a="1"/>
  <c r="D241" i="21" s="1"/>
  <c r="I241" i="21"/>
  <c r="A242" i="21" a="1"/>
  <c r="A242" i="21" s="1"/>
  <c r="D242" i="21" a="1"/>
  <c r="D242" i="21" s="1"/>
  <c r="A243" i="21" a="1"/>
  <c r="A243" i="21" s="1"/>
  <c r="D243" i="21" a="1"/>
  <c r="D243" i="21" s="1"/>
  <c r="A244" i="21" a="1"/>
  <c r="A244" i="21" s="1"/>
  <c r="D244" i="21" a="1"/>
  <c r="D244" i="21" s="1"/>
  <c r="I244" i="21"/>
  <c r="A245" i="21" a="1"/>
  <c r="A245" i="21" s="1"/>
  <c r="D245" i="21" a="1"/>
  <c r="D245" i="21" s="1"/>
  <c r="A246" i="21" a="1"/>
  <c r="A246" i="21" s="1"/>
  <c r="D246" i="21" a="1"/>
  <c r="D246" i="21" s="1"/>
  <c r="I246" i="21"/>
  <c r="A247" i="21" a="1"/>
  <c r="A247" i="21" s="1"/>
  <c r="D247" i="21" a="1"/>
  <c r="D247" i="21" s="1"/>
  <c r="A248" i="21" a="1"/>
  <c r="A248" i="21" s="1"/>
  <c r="D248" i="21" a="1"/>
  <c r="D248" i="21" s="1"/>
  <c r="I248" i="21"/>
  <c r="A249" i="21" a="1"/>
  <c r="A249" i="21" s="1"/>
  <c r="D249" i="21" a="1"/>
  <c r="D249" i="21" s="1"/>
  <c r="J248" i="21" l="1"/>
  <c r="M246" i="21"/>
  <c r="M245" i="21"/>
  <c r="J244" i="21"/>
  <c r="L243" i="21"/>
  <c r="M242" i="21"/>
  <c r="M238" i="21"/>
  <c r="M236" i="21"/>
  <c r="J235" i="21"/>
  <c r="K232" i="21"/>
  <c r="M229" i="21"/>
  <c r="J227" i="21"/>
  <c r="J225" i="21"/>
  <c r="L224" i="21"/>
  <c r="K223" i="21"/>
  <c r="K222" i="21"/>
  <c r="J221" i="21"/>
  <c r="L219" i="21"/>
  <c r="J217" i="21"/>
  <c r="L215" i="21"/>
  <c r="L211" i="21"/>
  <c r="L209" i="21"/>
  <c r="M208" i="21"/>
  <c r="M205" i="21"/>
  <c r="M202" i="21"/>
  <c r="J200" i="21"/>
  <c r="J199" i="21"/>
  <c r="K198" i="21"/>
  <c r="J197" i="21"/>
  <c r="L195" i="21"/>
  <c r="K194" i="21"/>
  <c r="M193" i="21"/>
  <c r="L192" i="21"/>
  <c r="J191" i="21"/>
  <c r="J188" i="21"/>
  <c r="J184" i="21"/>
  <c r="J182" i="21"/>
  <c r="J181" i="21"/>
  <c r="J179" i="21"/>
  <c r="J175" i="21"/>
  <c r="J174" i="21"/>
  <c r="M173" i="21"/>
  <c r="J172" i="21"/>
  <c r="L164" i="21"/>
  <c r="J163" i="21"/>
  <c r="L158" i="21"/>
  <c r="K157" i="21"/>
  <c r="M156" i="21"/>
  <c r="J155" i="21"/>
  <c r="M154" i="21"/>
  <c r="L151" i="21"/>
  <c r="J150" i="21"/>
  <c r="K149" i="21"/>
  <c r="J147" i="21"/>
  <c r="L146" i="21"/>
  <c r="L144" i="21"/>
  <c r="L140" i="21"/>
  <c r="M139" i="21"/>
  <c r="L138" i="21"/>
  <c r="M137" i="21"/>
  <c r="J136" i="21"/>
  <c r="J132" i="21"/>
  <c r="L129" i="21"/>
  <c r="J128" i="21"/>
  <c r="K123" i="21"/>
  <c r="J120" i="21"/>
  <c r="M117" i="21"/>
  <c r="L111" i="21"/>
  <c r="J110" i="21"/>
  <c r="J109" i="21"/>
  <c r="J106" i="21"/>
  <c r="J99" i="21"/>
  <c r="L93" i="21"/>
  <c r="J91" i="21"/>
  <c r="J88" i="21"/>
  <c r="J87" i="21"/>
  <c r="J81" i="21"/>
  <c r="J78" i="21"/>
  <c r="L74" i="21"/>
  <c r="K73" i="21"/>
  <c r="J72" i="21"/>
  <c r="J70" i="21"/>
  <c r="L68" i="21"/>
  <c r="J63" i="21"/>
  <c r="J59" i="21"/>
  <c r="L54" i="21"/>
  <c r="J53" i="21"/>
  <c r="J52" i="21"/>
  <c r="J41" i="21"/>
  <c r="J37" i="21"/>
  <c r="J36" i="21"/>
  <c r="L31" i="21"/>
  <c r="J30" i="21"/>
  <c r="J29" i="21"/>
  <c r="J27" i="21"/>
  <c r="J13" i="21"/>
  <c r="J12" i="21"/>
  <c r="L8" i="21"/>
  <c r="L205" i="21"/>
  <c r="J192" i="21"/>
  <c r="J142" i="21"/>
  <c r="K142" i="21"/>
  <c r="L191" i="21"/>
  <c r="J229" i="21"/>
  <c r="K225" i="21"/>
  <c r="M199" i="21"/>
  <c r="K244" i="21"/>
  <c r="L142" i="21"/>
  <c r="L217" i="21"/>
  <c r="K236" i="21"/>
  <c r="J234" i="21"/>
  <c r="K234" i="21"/>
  <c r="L234" i="21"/>
  <c r="M201" i="21"/>
  <c r="K201" i="21"/>
  <c r="L235" i="21"/>
  <c r="M223" i="21"/>
  <c r="K163" i="21"/>
  <c r="L199" i="21"/>
  <c r="K199" i="21"/>
  <c r="M164" i="21"/>
  <c r="K233" i="21"/>
  <c r="M233" i="21"/>
  <c r="J233" i="21"/>
  <c r="L233" i="21"/>
  <c r="M218" i="21"/>
  <c r="J218" i="21"/>
  <c r="J160" i="21"/>
  <c r="L160" i="21"/>
  <c r="L223" i="21"/>
  <c r="M230" i="21"/>
  <c r="K230" i="21"/>
  <c r="J223" i="21"/>
  <c r="J42" i="21"/>
  <c r="L42" i="21"/>
  <c r="M42" i="21"/>
  <c r="K167" i="21"/>
  <c r="L167" i="21"/>
  <c r="K210" i="21"/>
  <c r="J210" i="21"/>
  <c r="M225" i="21"/>
  <c r="L225" i="21"/>
  <c r="K92" i="21"/>
  <c r="J92" i="21"/>
  <c r="L126" i="21"/>
  <c r="J126" i="21"/>
  <c r="K126" i="21"/>
  <c r="M126" i="21"/>
  <c r="L237" i="21"/>
  <c r="J237" i="21"/>
  <c r="M244" i="21"/>
  <c r="L244" i="21"/>
  <c r="M166" i="21"/>
  <c r="J166" i="21"/>
  <c r="J100" i="21"/>
  <c r="L100" i="21"/>
  <c r="M100" i="21"/>
  <c r="J35" i="21"/>
  <c r="M35" i="21"/>
  <c r="L173" i="21"/>
  <c r="J173" i="21"/>
  <c r="K173" i="21"/>
  <c r="L169" i="21"/>
  <c r="K169" i="21"/>
  <c r="K239" i="21"/>
  <c r="M239" i="21"/>
  <c r="M196" i="21"/>
  <c r="L196" i="21"/>
  <c r="K48" i="21"/>
  <c r="J48" i="21"/>
  <c r="K221" i="21"/>
  <c r="L221" i="21"/>
  <c r="M221" i="21"/>
  <c r="K77" i="21"/>
  <c r="J77" i="21"/>
  <c r="J107" i="21"/>
  <c r="M107" i="21"/>
  <c r="K238" i="21"/>
  <c r="J238" i="21"/>
  <c r="M235" i="21"/>
  <c r="K235" i="21"/>
  <c r="L245" i="21"/>
  <c r="J245" i="21"/>
  <c r="K245" i="21"/>
  <c r="J89" i="21"/>
  <c r="K89" i="21"/>
  <c r="L89" i="21"/>
  <c r="L201" i="21"/>
  <c r="J201" i="21"/>
  <c r="K175" i="21"/>
  <c r="M192" i="21"/>
  <c r="M234" i="21"/>
  <c r="K192" i="21"/>
  <c r="L157" i="21"/>
  <c r="K106" i="21"/>
  <c r="K87" i="21"/>
  <c r="K146" i="21"/>
  <c r="L120" i="21"/>
  <c r="J146" i="21"/>
  <c r="K120" i="21"/>
  <c r="L149" i="21"/>
  <c r="M249" i="21"/>
  <c r="L249" i="21"/>
  <c r="J249" i="21"/>
  <c r="K249" i="21"/>
  <c r="J228" i="21"/>
  <c r="K228" i="21"/>
  <c r="M228" i="21"/>
  <c r="L228" i="21"/>
  <c r="M241" i="21"/>
  <c r="J241" i="21"/>
  <c r="K241" i="21"/>
  <c r="L241" i="21"/>
  <c r="M247" i="21"/>
  <c r="K247" i="21"/>
  <c r="J247" i="21"/>
  <c r="L247" i="21"/>
  <c r="J240" i="21"/>
  <c r="M240" i="21"/>
  <c r="K240" i="21"/>
  <c r="L240" i="21"/>
  <c r="M219" i="21"/>
  <c r="K207" i="21"/>
  <c r="J207" i="21"/>
  <c r="L207" i="21"/>
  <c r="M207" i="21"/>
  <c r="J215" i="21"/>
  <c r="M215" i="21"/>
  <c r="K215" i="21"/>
  <c r="K224" i="21"/>
  <c r="M224" i="21"/>
  <c r="J224" i="21"/>
  <c r="K219" i="21"/>
  <c r="J219" i="21"/>
  <c r="K216" i="21"/>
  <c r="M216" i="21"/>
  <c r="L212" i="21"/>
  <c r="J212" i="21"/>
  <c r="K212" i="21"/>
  <c r="M212" i="21"/>
  <c r="L242" i="21"/>
  <c r="J242" i="21"/>
  <c r="K242" i="21"/>
  <c r="K237" i="21"/>
  <c r="M237" i="21"/>
  <c r="J239" i="21"/>
  <c r="L239" i="21"/>
  <c r="K231" i="21"/>
  <c r="L231" i="21"/>
  <c r="M226" i="21"/>
  <c r="J226" i="21"/>
  <c r="K214" i="21"/>
  <c r="M214" i="21"/>
  <c r="L238" i="21"/>
  <c r="J232" i="21"/>
  <c r="L232" i="21"/>
  <c r="M232" i="21"/>
  <c r="L204" i="21"/>
  <c r="J204" i="21"/>
  <c r="K204" i="21"/>
  <c r="M204" i="21"/>
  <c r="K190" i="21"/>
  <c r="L190" i="21"/>
  <c r="J183" i="21"/>
  <c r="M183" i="21"/>
  <c r="J14" i="21"/>
  <c r="L14" i="21"/>
  <c r="M14" i="21"/>
  <c r="L220" i="21"/>
  <c r="J220" i="21"/>
  <c r="J18" i="21"/>
  <c r="L18" i="21"/>
  <c r="M18" i="21"/>
  <c r="M51" i="21"/>
  <c r="L51" i="21"/>
  <c r="L222" i="21"/>
  <c r="J127" i="21"/>
  <c r="K127" i="21"/>
  <c r="J165" i="21"/>
  <c r="L165" i="21"/>
  <c r="J50" i="21"/>
  <c r="K50" i="21"/>
  <c r="L50" i="21"/>
  <c r="J17" i="21"/>
  <c r="K17" i="21"/>
  <c r="L17" i="21"/>
  <c r="K66" i="21"/>
  <c r="J66" i="21"/>
  <c r="L66" i="21"/>
  <c r="M66" i="21"/>
  <c r="K58" i="21"/>
  <c r="J58" i="21"/>
  <c r="L58" i="21"/>
  <c r="M58" i="21"/>
  <c r="M159" i="21"/>
  <c r="L159" i="21"/>
  <c r="M105" i="21"/>
  <c r="J105" i="21"/>
  <c r="K105" i="21"/>
  <c r="L105" i="21"/>
  <c r="K95" i="21"/>
  <c r="J95" i="21"/>
  <c r="L95" i="21"/>
  <c r="M95" i="21"/>
  <c r="J26" i="21"/>
  <c r="M26" i="21"/>
  <c r="J86" i="21"/>
  <c r="K86" i="21"/>
  <c r="L86" i="21"/>
  <c r="M86" i="21"/>
  <c r="K162" i="21"/>
  <c r="L162" i="21"/>
  <c r="J69" i="21"/>
  <c r="M69" i="21"/>
  <c r="J49" i="21"/>
  <c r="M49" i="21"/>
  <c r="J129" i="21"/>
  <c r="K129" i="21"/>
  <c r="M189" i="21"/>
  <c r="K189" i="21"/>
  <c r="L189" i="21"/>
  <c r="J148" i="21"/>
  <c r="M148" i="21"/>
  <c r="K143" i="21"/>
  <c r="L143" i="21"/>
  <c r="K114" i="21"/>
  <c r="M114" i="21"/>
  <c r="J25" i="21"/>
  <c r="K25" i="21"/>
  <c r="L25" i="21"/>
  <c r="M25" i="21"/>
  <c r="L210" i="21"/>
  <c r="M210" i="21"/>
  <c r="J195" i="21"/>
  <c r="K76" i="21"/>
  <c r="M76" i="21"/>
  <c r="J170" i="21"/>
  <c r="L170" i="21"/>
  <c r="M167" i="21"/>
  <c r="J167" i="21"/>
  <c r="J121" i="21"/>
  <c r="L121" i="21"/>
  <c r="M121" i="21"/>
  <c r="K85" i="21"/>
  <c r="J85" i="21"/>
  <c r="L125" i="21"/>
  <c r="J125" i="21"/>
  <c r="K125" i="21"/>
  <c r="L218" i="21"/>
  <c r="K220" i="21"/>
  <c r="K218" i="21"/>
  <c r="K209" i="21"/>
  <c r="M28" i="21"/>
  <c r="L28" i="21"/>
  <c r="K147" i="21"/>
  <c r="M155" i="21"/>
  <c r="L99" i="21"/>
  <c r="K99" i="21"/>
  <c r="M12" i="21"/>
  <c r="L166" i="21"/>
  <c r="M123" i="21"/>
  <c r="M48" i="21"/>
  <c r="K166" i="21"/>
  <c r="M128" i="21"/>
  <c r="M77" i="21"/>
  <c r="L48" i="21"/>
  <c r="L77" i="21"/>
  <c r="M63" i="21"/>
  <c r="M37" i="21"/>
  <c r="L63" i="21"/>
  <c r="L37" i="21"/>
  <c r="K154" i="21"/>
  <c r="M68" i="21"/>
  <c r="L41" i="21"/>
  <c r="K68" i="21"/>
  <c r="K41" i="21"/>
  <c r="J68" i="21"/>
  <c r="K27" i="21"/>
  <c r="L81" i="21"/>
  <c r="M88" i="21"/>
  <c r="K81" i="21"/>
  <c r="J73" i="21"/>
  <c r="K70" i="21"/>
  <c r="K248" i="21"/>
  <c r="L248" i="21"/>
  <c r="M248" i="21"/>
  <c r="L246" i="21"/>
  <c r="J246" i="21"/>
  <c r="K246" i="21"/>
  <c r="M243" i="21"/>
  <c r="J243" i="21"/>
  <c r="K243" i="21"/>
  <c r="J236" i="21"/>
  <c r="L236" i="21"/>
  <c r="J231" i="21"/>
  <c r="M231" i="21"/>
  <c r="J230" i="21"/>
  <c r="L230" i="21"/>
  <c r="L229" i="21"/>
  <c r="K229" i="21"/>
  <c r="M227" i="21"/>
  <c r="K227" i="21"/>
  <c r="L227" i="21"/>
  <c r="K217" i="21"/>
  <c r="M217" i="21"/>
  <c r="K213" i="21"/>
  <c r="J213" i="21"/>
  <c r="L213" i="21"/>
  <c r="M213" i="21"/>
  <c r="M220" i="21"/>
  <c r="K226" i="21"/>
  <c r="L226" i="21"/>
  <c r="J222" i="21"/>
  <c r="M222" i="21"/>
  <c r="J216" i="21"/>
  <c r="L216" i="21"/>
  <c r="J214" i="21"/>
  <c r="L214" i="21"/>
  <c r="J211" i="21"/>
  <c r="K211" i="21"/>
  <c r="M211" i="21"/>
  <c r="J209" i="21"/>
  <c r="M209" i="21"/>
  <c r="J208" i="21"/>
  <c r="K208" i="21"/>
  <c r="L208" i="21"/>
  <c r="J206" i="21"/>
  <c r="K206" i="21"/>
  <c r="L206" i="21"/>
  <c r="M206" i="21"/>
  <c r="J205" i="21"/>
  <c r="K205" i="21"/>
  <c r="J203" i="21"/>
  <c r="K203" i="21"/>
  <c r="L203" i="21"/>
  <c r="M203" i="21"/>
  <c r="J202" i="21"/>
  <c r="K202" i="21"/>
  <c r="L202" i="21"/>
  <c r="K200" i="21"/>
  <c r="L200" i="21"/>
  <c r="M200" i="21"/>
  <c r="J198" i="21"/>
  <c r="L198" i="21"/>
  <c r="M198" i="21"/>
  <c r="K197" i="21"/>
  <c r="L197" i="21"/>
  <c r="M197" i="21"/>
  <c r="J196" i="21"/>
  <c r="K196" i="21"/>
  <c r="K195" i="21"/>
  <c r="M195" i="21"/>
  <c r="J194" i="21"/>
  <c r="L194" i="21"/>
  <c r="M194" i="21"/>
  <c r="J193" i="21"/>
  <c r="K193" i="21"/>
  <c r="L193" i="21"/>
  <c r="J190" i="21"/>
  <c r="M190" i="21"/>
  <c r="M187" i="21"/>
  <c r="J187" i="21"/>
  <c r="K187" i="21"/>
  <c r="L187" i="21"/>
  <c r="J186" i="21"/>
  <c r="K186" i="21"/>
  <c r="L186" i="21"/>
  <c r="M186" i="21"/>
  <c r="J185" i="21"/>
  <c r="K185" i="21"/>
  <c r="L185" i="21"/>
  <c r="M185" i="21"/>
  <c r="J180" i="21"/>
  <c r="K180" i="21"/>
  <c r="L180" i="21"/>
  <c r="M180" i="21"/>
  <c r="J178" i="21"/>
  <c r="K178" i="21"/>
  <c r="L178" i="21"/>
  <c r="M178" i="21"/>
  <c r="J177" i="21"/>
  <c r="K177" i="21"/>
  <c r="L177" i="21"/>
  <c r="M177" i="21"/>
  <c r="K176" i="21"/>
  <c r="J176" i="21"/>
  <c r="L176" i="21"/>
  <c r="M176" i="21"/>
  <c r="M171" i="21"/>
  <c r="J171" i="21"/>
  <c r="K171" i="21"/>
  <c r="L171" i="21"/>
  <c r="J168" i="21"/>
  <c r="K168" i="21"/>
  <c r="L168" i="21"/>
  <c r="M168" i="21"/>
  <c r="J161" i="21"/>
  <c r="K161" i="21"/>
  <c r="L161" i="21"/>
  <c r="M161" i="21"/>
  <c r="L152" i="21"/>
  <c r="M152" i="21"/>
  <c r="J152" i="21"/>
  <c r="K152" i="21"/>
  <c r="J141" i="21"/>
  <c r="K141" i="21"/>
  <c r="M141" i="21"/>
  <c r="L141" i="21"/>
  <c r="J10" i="21"/>
  <c r="K10" i="21"/>
  <c r="L10" i="21"/>
  <c r="M10" i="21"/>
  <c r="J189" i="21"/>
  <c r="M174" i="21"/>
  <c r="L153" i="21"/>
  <c r="M153" i="21"/>
  <c r="J153" i="21"/>
  <c r="K153" i="21"/>
  <c r="J145" i="21"/>
  <c r="M145" i="21"/>
  <c r="J135" i="21"/>
  <c r="K135" i="21"/>
  <c r="L135" i="21"/>
  <c r="J119" i="21"/>
  <c r="K119" i="21"/>
  <c r="L119" i="21"/>
  <c r="M119" i="21"/>
  <c r="J40" i="21"/>
  <c r="K40" i="21"/>
  <c r="L40" i="21"/>
  <c r="M40" i="21"/>
  <c r="L174" i="21"/>
  <c r="J140" i="21"/>
  <c r="K140" i="21"/>
  <c r="K174" i="21"/>
  <c r="J55" i="21"/>
  <c r="K55" i="21"/>
  <c r="L55" i="21"/>
  <c r="M55" i="21"/>
  <c r="J16" i="21"/>
  <c r="K16" i="21"/>
  <c r="L16" i="21"/>
  <c r="M16" i="21"/>
  <c r="M191" i="21"/>
  <c r="M170" i="21"/>
  <c r="M165" i="21"/>
  <c r="M157" i="21"/>
  <c r="K155" i="21"/>
  <c r="L155" i="21"/>
  <c r="M143" i="21"/>
  <c r="J124" i="21"/>
  <c r="K124" i="21"/>
  <c r="L124" i="21"/>
  <c r="M124" i="21"/>
  <c r="J115" i="21"/>
  <c r="K115" i="21"/>
  <c r="L115" i="21"/>
  <c r="M115" i="21"/>
  <c r="J96" i="21"/>
  <c r="K96" i="21"/>
  <c r="L96" i="21"/>
  <c r="M96" i="21"/>
  <c r="M71" i="21"/>
  <c r="J71" i="21"/>
  <c r="K71" i="21"/>
  <c r="L71" i="21"/>
  <c r="J61" i="21"/>
  <c r="K61" i="21"/>
  <c r="L61" i="21"/>
  <c r="M61" i="21"/>
  <c r="J32" i="21"/>
  <c r="K32" i="21"/>
  <c r="L32" i="21"/>
  <c r="M32" i="21"/>
  <c r="J22" i="21"/>
  <c r="K22" i="21"/>
  <c r="L22" i="21"/>
  <c r="M22" i="21"/>
  <c r="K137" i="21"/>
  <c r="L137" i="21"/>
  <c r="J137" i="21"/>
  <c r="J131" i="21"/>
  <c r="K131" i="21"/>
  <c r="L131" i="21"/>
  <c r="M131" i="21"/>
  <c r="J101" i="21"/>
  <c r="K101" i="21"/>
  <c r="L101" i="21"/>
  <c r="M101" i="21"/>
  <c r="J82" i="21"/>
  <c r="K82" i="21"/>
  <c r="L82" i="21"/>
  <c r="M82" i="21"/>
  <c r="J46" i="21"/>
  <c r="K46" i="21"/>
  <c r="L46" i="21"/>
  <c r="M46" i="21"/>
  <c r="K191" i="21"/>
  <c r="M188" i="21"/>
  <c r="M172" i="21"/>
  <c r="K170" i="21"/>
  <c r="K165" i="21"/>
  <c r="J157" i="21"/>
  <c r="M144" i="21"/>
  <c r="J143" i="21"/>
  <c r="J118" i="21"/>
  <c r="K118" i="21"/>
  <c r="L118" i="21"/>
  <c r="M118" i="21"/>
  <c r="J112" i="21"/>
  <c r="K112" i="21"/>
  <c r="L112" i="21"/>
  <c r="M112" i="21"/>
  <c r="J38" i="21"/>
  <c r="K38" i="21"/>
  <c r="L38" i="21"/>
  <c r="M38" i="21"/>
  <c r="J9" i="21"/>
  <c r="K9" i="21"/>
  <c r="L9" i="21"/>
  <c r="M9" i="21"/>
  <c r="L188" i="21"/>
  <c r="L172" i="21"/>
  <c r="K144" i="21"/>
  <c r="K188" i="21"/>
  <c r="M184" i="21"/>
  <c r="K172" i="21"/>
  <c r="J144" i="21"/>
  <c r="J75" i="21"/>
  <c r="K75" i="21"/>
  <c r="L75" i="21"/>
  <c r="M75" i="21"/>
  <c r="J15" i="21"/>
  <c r="K15" i="21"/>
  <c r="L15" i="21"/>
  <c r="M15" i="21"/>
  <c r="L184" i="21"/>
  <c r="M182" i="21"/>
  <c r="M175" i="21"/>
  <c r="M163" i="21"/>
  <c r="M150" i="21"/>
  <c r="K150" i="21"/>
  <c r="L150" i="21"/>
  <c r="L133" i="21"/>
  <c r="M133" i="21"/>
  <c r="J133" i="21"/>
  <c r="K133" i="21"/>
  <c r="M90" i="21"/>
  <c r="J90" i="21"/>
  <c r="K90" i="21"/>
  <c r="L90" i="21"/>
  <c r="J21" i="21"/>
  <c r="K21" i="21"/>
  <c r="L21" i="21"/>
  <c r="M21" i="21"/>
  <c r="K184" i="21"/>
  <c r="L182" i="21"/>
  <c r="L175" i="21"/>
  <c r="L163" i="21"/>
  <c r="J159" i="21"/>
  <c r="K159" i="21"/>
  <c r="J139" i="21"/>
  <c r="K139" i="21"/>
  <c r="L139" i="21"/>
  <c r="J80" i="21"/>
  <c r="K80" i="21"/>
  <c r="L80" i="21"/>
  <c r="M80" i="21"/>
  <c r="J60" i="21"/>
  <c r="K60" i="21"/>
  <c r="L60" i="21"/>
  <c r="M60" i="21"/>
  <c r="J45" i="21"/>
  <c r="K45" i="21"/>
  <c r="L45" i="21"/>
  <c r="M45" i="21"/>
  <c r="K182" i="21"/>
  <c r="K57" i="21"/>
  <c r="L57" i="21"/>
  <c r="M57" i="21"/>
  <c r="J57" i="21"/>
  <c r="J123" i="21"/>
  <c r="L123" i="21"/>
  <c r="J67" i="21"/>
  <c r="K67" i="21"/>
  <c r="L67" i="21"/>
  <c r="M67" i="21"/>
  <c r="J65" i="21"/>
  <c r="K65" i="21"/>
  <c r="L65" i="21"/>
  <c r="M65" i="21"/>
  <c r="K136" i="21"/>
  <c r="L136" i="21"/>
  <c r="M136" i="21"/>
  <c r="J117" i="21"/>
  <c r="K117" i="21"/>
  <c r="L117" i="21"/>
  <c r="L147" i="21"/>
  <c r="M147" i="21"/>
  <c r="J104" i="21"/>
  <c r="K104" i="21"/>
  <c r="L104" i="21"/>
  <c r="M104" i="21"/>
  <c r="K34" i="21"/>
  <c r="L34" i="21"/>
  <c r="M34" i="21"/>
  <c r="J34" i="21"/>
  <c r="J20" i="21"/>
  <c r="K20" i="21"/>
  <c r="L20" i="21"/>
  <c r="M20" i="21"/>
  <c r="J154" i="21"/>
  <c r="L154" i="21"/>
  <c r="J98" i="21"/>
  <c r="K98" i="21"/>
  <c r="L98" i="21"/>
  <c r="M98" i="21"/>
  <c r="J84" i="21"/>
  <c r="K84" i="21"/>
  <c r="L84" i="21"/>
  <c r="M84" i="21"/>
  <c r="J79" i="21"/>
  <c r="K79" i="21"/>
  <c r="L79" i="21"/>
  <c r="M79" i="21"/>
  <c r="J44" i="21"/>
  <c r="K44" i="21"/>
  <c r="L44" i="21"/>
  <c r="M44" i="21"/>
  <c r="M158" i="21"/>
  <c r="K156" i="21"/>
  <c r="L156" i="21"/>
  <c r="J156" i="21"/>
  <c r="K132" i="21"/>
  <c r="M130" i="21"/>
  <c r="J130" i="21"/>
  <c r="K130" i="21"/>
  <c r="L130" i="21"/>
  <c r="M108" i="21"/>
  <c r="J108" i="21"/>
  <c r="K108" i="21"/>
  <c r="L108" i="21"/>
  <c r="K11" i="21"/>
  <c r="L11" i="21"/>
  <c r="M11" i="21"/>
  <c r="J11" i="21"/>
  <c r="L183" i="21"/>
  <c r="M181" i="21"/>
  <c r="M169" i="21"/>
  <c r="M160" i="21"/>
  <c r="J149" i="21"/>
  <c r="M149" i="21"/>
  <c r="K183" i="21"/>
  <c r="L181" i="21"/>
  <c r="M179" i="21"/>
  <c r="J122" i="21"/>
  <c r="K122" i="21"/>
  <c r="L122" i="21"/>
  <c r="M122" i="21"/>
  <c r="J64" i="21"/>
  <c r="K64" i="21"/>
  <c r="L64" i="21"/>
  <c r="M64" i="21"/>
  <c r="J56" i="21"/>
  <c r="K56" i="21"/>
  <c r="L56" i="21"/>
  <c r="M56" i="21"/>
  <c r="K181" i="21"/>
  <c r="L179" i="21"/>
  <c r="J169" i="21"/>
  <c r="K164" i="21"/>
  <c r="J162" i="21"/>
  <c r="M162" i="21"/>
  <c r="K160" i="21"/>
  <c r="J158" i="21"/>
  <c r="K158" i="21"/>
  <c r="J138" i="21"/>
  <c r="K138" i="21"/>
  <c r="M138" i="21"/>
  <c r="L132" i="21"/>
  <c r="M132" i="21"/>
  <c r="J116" i="21"/>
  <c r="K116" i="21"/>
  <c r="L116" i="21"/>
  <c r="M116" i="21"/>
  <c r="J113" i="21"/>
  <c r="K113" i="21"/>
  <c r="L113" i="21"/>
  <c r="M113" i="21"/>
  <c r="J7" i="21"/>
  <c r="K7" i="21"/>
  <c r="L7" i="21"/>
  <c r="M7" i="21"/>
  <c r="K179" i="21"/>
  <c r="J164" i="21"/>
  <c r="J151" i="21"/>
  <c r="K151" i="21"/>
  <c r="M151" i="21"/>
  <c r="L145" i="21"/>
  <c r="J102" i="21"/>
  <c r="K102" i="21"/>
  <c r="L102" i="21"/>
  <c r="M102" i="21"/>
  <c r="J97" i="21"/>
  <c r="K97" i="21"/>
  <c r="L97" i="21"/>
  <c r="M97" i="21"/>
  <c r="J43" i="21"/>
  <c r="K43" i="21"/>
  <c r="L43" i="21"/>
  <c r="M43" i="21"/>
  <c r="J33" i="21"/>
  <c r="K33" i="21"/>
  <c r="L33" i="21"/>
  <c r="M33" i="21"/>
  <c r="J23" i="21"/>
  <c r="K23" i="21"/>
  <c r="L23" i="21"/>
  <c r="M23" i="21"/>
  <c r="J19" i="21"/>
  <c r="K19" i="21"/>
  <c r="L19" i="21"/>
  <c r="M19" i="21"/>
  <c r="K145" i="21"/>
  <c r="M140" i="21"/>
  <c r="M135" i="21"/>
  <c r="J94" i="21"/>
  <c r="K94" i="21"/>
  <c r="L94" i="21"/>
  <c r="M94" i="21"/>
  <c r="J83" i="21"/>
  <c r="K83" i="21"/>
  <c r="L83" i="21"/>
  <c r="M83" i="21"/>
  <c r="J62" i="21"/>
  <c r="K62" i="21"/>
  <c r="L62" i="21"/>
  <c r="M62" i="21"/>
  <c r="J47" i="21"/>
  <c r="K47" i="21"/>
  <c r="L47" i="21"/>
  <c r="M47" i="21"/>
  <c r="M127" i="21"/>
  <c r="J114" i="21"/>
  <c r="K111" i="21"/>
  <c r="M106" i="21"/>
  <c r="K93" i="21"/>
  <c r="M87" i="21"/>
  <c r="J76" i="21"/>
  <c r="K74" i="21"/>
  <c r="K54" i="21"/>
  <c r="K31" i="21"/>
  <c r="K8" i="21"/>
  <c r="L127" i="21"/>
  <c r="J111" i="21"/>
  <c r="L106" i="21"/>
  <c r="J93" i="21"/>
  <c r="L87" i="21"/>
  <c r="J74" i="21"/>
  <c r="J54" i="21"/>
  <c r="K51" i="21"/>
  <c r="J31" i="21"/>
  <c r="K28" i="21"/>
  <c r="J8" i="21"/>
  <c r="J51" i="21"/>
  <c r="J28" i="21"/>
  <c r="K121" i="21"/>
  <c r="K100" i="21"/>
  <c r="K63" i="21"/>
  <c r="K42" i="21"/>
  <c r="K18" i="21"/>
  <c r="L35" i="21"/>
  <c r="L12" i="21"/>
  <c r="M109" i="21"/>
  <c r="M91" i="21"/>
  <c r="M72" i="21"/>
  <c r="M52" i="21"/>
  <c r="K35" i="21"/>
  <c r="M29" i="21"/>
  <c r="K12" i="21"/>
  <c r="L109" i="21"/>
  <c r="L91" i="21"/>
  <c r="L72" i="21"/>
  <c r="L52" i="21"/>
  <c r="L29" i="21"/>
  <c r="L148" i="21"/>
  <c r="M146" i="21"/>
  <c r="L128" i="21"/>
  <c r="M125" i="21"/>
  <c r="K109" i="21"/>
  <c r="L107" i="21"/>
  <c r="K91" i="21"/>
  <c r="L88" i="21"/>
  <c r="M85" i="21"/>
  <c r="K72" i="21"/>
  <c r="L69" i="21"/>
  <c r="K52" i="21"/>
  <c r="L49" i="21"/>
  <c r="K29" i="21"/>
  <c r="L26" i="21"/>
  <c r="K148" i="21"/>
  <c r="K128" i="21"/>
  <c r="K107" i="21"/>
  <c r="K88" i="21"/>
  <c r="L85" i="21"/>
  <c r="K69" i="21"/>
  <c r="K49" i="21"/>
  <c r="K26" i="21"/>
  <c r="M78" i="21"/>
  <c r="M59" i="21"/>
  <c r="M36" i="21"/>
  <c r="M13" i="21"/>
  <c r="L78" i="21"/>
  <c r="L59" i="21"/>
  <c r="L36" i="21"/>
  <c r="L13" i="21"/>
  <c r="M110" i="21"/>
  <c r="M92" i="21"/>
  <c r="K78" i="21"/>
  <c r="M73" i="21"/>
  <c r="K59" i="21"/>
  <c r="M53" i="21"/>
  <c r="K36" i="21"/>
  <c r="M30" i="21"/>
  <c r="K13" i="21"/>
  <c r="M129" i="21"/>
  <c r="L110" i="21"/>
  <c r="L92" i="21"/>
  <c r="M89" i="21"/>
  <c r="L73" i="21"/>
  <c r="M70" i="21"/>
  <c r="L53" i="21"/>
  <c r="M50" i="21"/>
  <c r="L30" i="21"/>
  <c r="M27" i="21"/>
  <c r="K110" i="21"/>
  <c r="L70" i="21"/>
  <c r="K53" i="21"/>
  <c r="K30" i="21"/>
  <c r="L27" i="21"/>
  <c r="M142" i="21"/>
  <c r="M120" i="21"/>
  <c r="M99" i="21"/>
  <c r="M81" i="21"/>
  <c r="M41" i="21"/>
  <c r="M17" i="21"/>
  <c r="L114" i="21"/>
  <c r="M111" i="21"/>
  <c r="M93" i="21"/>
  <c r="L76" i="21"/>
  <c r="M74" i="21"/>
  <c r="M54" i="21"/>
  <c r="K37" i="21"/>
  <c r="M31" i="21"/>
  <c r="K14" i="21"/>
  <c r="M8" i="21"/>
  <c r="J34" i="12" l="1"/>
  <c r="I34" i="12"/>
  <c r="K34" i="12" s="1"/>
  <c r="J35" i="12"/>
  <c r="I35" i="12"/>
  <c r="K35" i="12" s="1"/>
  <c r="J36" i="12"/>
  <c r="I36" i="12"/>
  <c r="K36" i="12" s="1"/>
  <c r="M35" i="19"/>
  <c r="N35" i="19" s="1"/>
  <c r="O35" i="19" s="1"/>
  <c r="K35" i="19"/>
  <c r="P35" i="19" s="1"/>
  <c r="M40" i="19"/>
  <c r="N40" i="19" s="1"/>
  <c r="O40" i="19" s="1"/>
  <c r="K40" i="19"/>
  <c r="M44" i="19"/>
  <c r="N44" i="19" s="1"/>
  <c r="O44" i="19" s="1"/>
  <c r="K44" i="19"/>
  <c r="A44" i="19"/>
  <c r="A40" i="19"/>
  <c r="A35" i="19"/>
  <c r="A12" i="19"/>
  <c r="A11" i="19"/>
  <c r="A15" i="19"/>
  <c r="A5" i="19"/>
  <c r="P40" i="19" l="1"/>
  <c r="P44" i="19"/>
  <c r="K12" i="19"/>
  <c r="M12" i="19"/>
  <c r="N12" i="19" s="1"/>
  <c r="O12" i="19" s="1"/>
  <c r="P12" i="19" s="1"/>
  <c r="M15" i="19"/>
  <c r="N15" i="19" s="1"/>
  <c r="O15" i="19" s="1"/>
  <c r="P15" i="19" s="1"/>
  <c r="K15" i="19"/>
  <c r="K5" i="19"/>
  <c r="M5" i="19"/>
  <c r="N5" i="19" s="1"/>
  <c r="O5" i="19" s="1"/>
  <c r="P5" i="19" s="1"/>
  <c r="I5" i="21" l="1"/>
  <c r="I2" i="21"/>
  <c r="I251" i="21" l="1"/>
  <c r="I250" i="21"/>
  <c r="I6" i="21"/>
  <c r="I4" i="21"/>
  <c r="I3" i="21"/>
  <c r="D2" i="21" a="1"/>
  <c r="D2" i="21" s="1"/>
  <c r="D3" i="21" a="1"/>
  <c r="D3" i="21" s="1"/>
  <c r="D4" i="21" a="1"/>
  <c r="D4" i="21" s="1"/>
  <c r="D5" i="21" a="1"/>
  <c r="D5" i="21" s="1"/>
  <c r="D6" i="21" a="1"/>
  <c r="D6" i="21" s="1"/>
  <c r="D250" i="21" a="1"/>
  <c r="D250" i="21" s="1"/>
  <c r="D251" i="21" a="1"/>
  <c r="D251" i="21" s="1"/>
  <c r="D252" i="21" a="1"/>
  <c r="D252" i="21" s="1"/>
  <c r="D253" i="21" a="1"/>
  <c r="D253" i="21" s="1"/>
  <c r="J253" i="21" l="1"/>
  <c r="J252" i="21"/>
  <c r="J251" i="21"/>
  <c r="J250" i="21"/>
  <c r="J6" i="21"/>
  <c r="J5" i="21"/>
  <c r="J4" i="21"/>
  <c r="J3" i="21"/>
  <c r="J2" i="21"/>
  <c r="I254" i="21"/>
  <c r="K253" i="21" l="1"/>
  <c r="L253" i="21"/>
  <c r="K252" i="21"/>
  <c r="L252" i="21"/>
  <c r="L251" i="21"/>
  <c r="K251" i="21"/>
  <c r="K250" i="21"/>
  <c r="L250" i="21"/>
  <c r="L6" i="21"/>
  <c r="K6" i="21"/>
  <c r="L5" i="21"/>
  <c r="K5" i="21"/>
  <c r="K4" i="21"/>
  <c r="L4" i="21"/>
  <c r="K3" i="21"/>
  <c r="L3" i="21"/>
  <c r="K2" i="21"/>
  <c r="L2" i="21"/>
  <c r="M6" i="21"/>
  <c r="M3" i="21"/>
  <c r="M2" i="21"/>
  <c r="M5" i="21"/>
  <c r="M4" i="21"/>
  <c r="M253" i="21"/>
  <c r="M252" i="21"/>
  <c r="M251" i="21"/>
  <c r="M250" i="21"/>
  <c r="E9" i="12" l="1" a="1"/>
  <c r="E9" i="12" s="1"/>
  <c r="I9" i="12" s="1"/>
  <c r="K9" i="12" s="1"/>
  <c r="E27" i="12" a="1"/>
  <c r="E27" i="12" s="1"/>
  <c r="I27" i="12" s="1"/>
  <c r="K27" i="12" s="1"/>
  <c r="E33" i="12" a="1"/>
  <c r="E33" i="12" s="1"/>
  <c r="I33" i="12" s="1"/>
  <c r="K33" i="12" s="1"/>
  <c r="J9" i="12"/>
  <c r="J27" i="12"/>
  <c r="J33" i="12"/>
  <c r="E8" i="12" a="1"/>
  <c r="E8" i="12" s="1"/>
  <c r="I8" i="12" s="1"/>
  <c r="K8" i="12" s="1"/>
  <c r="E26" i="12" a="1"/>
  <c r="E26" i="12" s="1"/>
  <c r="I26" i="12" s="1"/>
  <c r="K26" i="12" s="1"/>
  <c r="E32" i="12" a="1"/>
  <c r="E32" i="12" s="1"/>
  <c r="I32" i="12" s="1"/>
  <c r="K32" i="12" s="1"/>
  <c r="J8" i="12"/>
  <c r="J26" i="12"/>
  <c r="J32" i="12"/>
  <c r="E7" i="12" a="1"/>
  <c r="E7" i="12" s="1"/>
  <c r="I7" i="12" s="1"/>
  <c r="K7" i="12" s="1"/>
  <c r="E25" i="12" a="1"/>
  <c r="E25" i="12" s="1"/>
  <c r="I25" i="12" s="1"/>
  <c r="K25" i="12" s="1"/>
  <c r="E31" i="12" a="1"/>
  <c r="E31" i="12" s="1"/>
  <c r="I31" i="12" s="1"/>
  <c r="K31" i="12" s="1"/>
  <c r="J7" i="12"/>
  <c r="J25" i="12"/>
  <c r="J31" i="12"/>
  <c r="E44" i="12" a="1"/>
  <c r="E44" i="12" s="1"/>
  <c r="I44" i="12" s="1"/>
  <c r="K44" i="12" s="1"/>
  <c r="E45" i="12" a="1"/>
  <c r="E45" i="12" s="1"/>
  <c r="I45" i="12" s="1"/>
  <c r="K45" i="12" s="1"/>
  <c r="J44" i="12"/>
  <c r="J45" i="12"/>
  <c r="A4" i="19"/>
  <c r="A10" i="19"/>
  <c r="A13" i="19"/>
  <c r="A6" i="19"/>
  <c r="A8" i="19"/>
  <c r="A14" i="19"/>
  <c r="A9" i="19"/>
  <c r="A7" i="19"/>
  <c r="A50" i="19"/>
  <c r="A48" i="19"/>
  <c r="A51" i="19"/>
  <c r="A49" i="19"/>
  <c r="A61" i="19"/>
  <c r="A53" i="19"/>
  <c r="A52" i="19"/>
  <c r="A66" i="19"/>
  <c r="A67" i="19"/>
  <c r="A62" i="19"/>
  <c r="A79" i="19"/>
  <c r="A76" i="19"/>
  <c r="A71" i="19"/>
  <c r="A74" i="19"/>
  <c r="A69" i="19"/>
  <c r="A78" i="19"/>
  <c r="A73" i="19"/>
  <c r="A77" i="19"/>
  <c r="A72" i="19"/>
  <c r="A75" i="19"/>
  <c r="A70" i="19"/>
  <c r="A54" i="19"/>
  <c r="A58" i="19"/>
  <c r="A59" i="19"/>
  <c r="A55" i="19"/>
  <c r="A63" i="19"/>
  <c r="A80" i="19"/>
  <c r="A68" i="19"/>
  <c r="A64" i="19"/>
  <c r="A65" i="19"/>
  <c r="A60" i="19"/>
  <c r="A57" i="19"/>
  <c r="A16" i="19"/>
  <c r="A17" i="19"/>
  <c r="A22" i="19"/>
  <c r="A21" i="19"/>
  <c r="A18" i="19"/>
  <c r="A29" i="19"/>
  <c r="A38" i="19"/>
  <c r="A42" i="19"/>
  <c r="A41" i="19"/>
  <c r="A45" i="19"/>
  <c r="A47" i="19"/>
  <c r="A46" i="19"/>
  <c r="A28" i="19"/>
  <c r="A23" i="19"/>
  <c r="A24" i="19"/>
  <c r="A27" i="19"/>
  <c r="A30" i="19"/>
  <c r="K21" i="19"/>
  <c r="K18" i="19"/>
  <c r="K29" i="19"/>
  <c r="K45" i="19"/>
  <c r="K47" i="19"/>
  <c r="K46" i="19"/>
  <c r="K23" i="19"/>
  <c r="K24" i="19"/>
  <c r="M16" i="19"/>
  <c r="N16" i="19" s="1"/>
  <c r="O16" i="19" s="1"/>
  <c r="M17" i="19"/>
  <c r="N17" i="19" s="1"/>
  <c r="O17" i="19" s="1"/>
  <c r="M22" i="19"/>
  <c r="N22" i="19" s="1"/>
  <c r="O22" i="19" s="1"/>
  <c r="M21" i="19"/>
  <c r="N21" i="19" s="1"/>
  <c r="O21" i="19" s="1"/>
  <c r="M18" i="19"/>
  <c r="N18" i="19" s="1"/>
  <c r="O18" i="19" s="1"/>
  <c r="M29" i="19"/>
  <c r="N29" i="19" s="1"/>
  <c r="O29" i="19" s="1"/>
  <c r="M38" i="19"/>
  <c r="N38" i="19" s="1"/>
  <c r="O38" i="19" s="1"/>
  <c r="M42" i="19"/>
  <c r="N42" i="19" s="1"/>
  <c r="O42" i="19" s="1"/>
  <c r="M41" i="19"/>
  <c r="N41" i="19" s="1"/>
  <c r="O41" i="19" s="1"/>
  <c r="M45" i="19"/>
  <c r="N45" i="19" s="1"/>
  <c r="O45" i="19" s="1"/>
  <c r="M47" i="19"/>
  <c r="N47" i="19" s="1"/>
  <c r="O47" i="19" s="1"/>
  <c r="M46" i="19"/>
  <c r="N46" i="19" s="1"/>
  <c r="O46" i="19" s="1"/>
  <c r="M28" i="19"/>
  <c r="N28" i="19" s="1"/>
  <c r="O28" i="19" s="1"/>
  <c r="M23" i="19"/>
  <c r="N23" i="19" s="1"/>
  <c r="O23" i="19" s="1"/>
  <c r="M24" i="19"/>
  <c r="N24" i="19" s="1"/>
  <c r="O24" i="19" s="1"/>
  <c r="M27" i="19"/>
  <c r="N27" i="19" s="1"/>
  <c r="O27" i="19" s="1"/>
  <c r="M30" i="19"/>
  <c r="N30" i="19" s="1"/>
  <c r="O30" i="19" s="1"/>
  <c r="K50" i="19"/>
  <c r="K48" i="19"/>
  <c r="K51" i="19"/>
  <c r="K49" i="19"/>
  <c r="K61" i="19"/>
  <c r="K53" i="19"/>
  <c r="K52" i="19"/>
  <c r="K66" i="19"/>
  <c r="K67" i="19"/>
  <c r="K62" i="19"/>
  <c r="K79" i="19"/>
  <c r="K76" i="19"/>
  <c r="K71" i="19"/>
  <c r="K74" i="19"/>
  <c r="K69" i="19"/>
  <c r="K78" i="19"/>
  <c r="K73" i="19"/>
  <c r="K77" i="19"/>
  <c r="K72" i="19"/>
  <c r="K75" i="19"/>
  <c r="K70" i="19"/>
  <c r="K54" i="19"/>
  <c r="K58" i="19"/>
  <c r="K59" i="19"/>
  <c r="K55" i="19"/>
  <c r="K63" i="19"/>
  <c r="K80" i="19"/>
  <c r="K68" i="19"/>
  <c r="K64" i="19"/>
  <c r="K65" i="19"/>
  <c r="K60" i="19"/>
  <c r="K57" i="19"/>
  <c r="M50" i="19"/>
  <c r="N50" i="19" s="1"/>
  <c r="O50" i="19" s="1"/>
  <c r="M48" i="19"/>
  <c r="N48" i="19" s="1"/>
  <c r="O48" i="19" s="1"/>
  <c r="M51" i="19"/>
  <c r="N51" i="19" s="1"/>
  <c r="O51" i="19" s="1"/>
  <c r="M49" i="19"/>
  <c r="N49" i="19" s="1"/>
  <c r="O49" i="19" s="1"/>
  <c r="M61" i="19"/>
  <c r="N61" i="19" s="1"/>
  <c r="O61" i="19" s="1"/>
  <c r="M53" i="19"/>
  <c r="N53" i="19" s="1"/>
  <c r="O53" i="19" s="1"/>
  <c r="M52" i="19"/>
  <c r="N52" i="19" s="1"/>
  <c r="O52" i="19" s="1"/>
  <c r="M66" i="19"/>
  <c r="N66" i="19" s="1"/>
  <c r="O66" i="19" s="1"/>
  <c r="M67" i="19"/>
  <c r="N67" i="19" s="1"/>
  <c r="O67" i="19" s="1"/>
  <c r="M62" i="19"/>
  <c r="N62" i="19" s="1"/>
  <c r="O62" i="19" s="1"/>
  <c r="M79" i="19"/>
  <c r="N79" i="19" s="1"/>
  <c r="O79" i="19" s="1"/>
  <c r="M76" i="19"/>
  <c r="N76" i="19" s="1"/>
  <c r="O76" i="19" s="1"/>
  <c r="M71" i="19"/>
  <c r="N71" i="19" s="1"/>
  <c r="O71" i="19" s="1"/>
  <c r="M74" i="19"/>
  <c r="N74" i="19" s="1"/>
  <c r="O74" i="19" s="1"/>
  <c r="M69" i="19"/>
  <c r="N69" i="19" s="1"/>
  <c r="O69" i="19" s="1"/>
  <c r="M78" i="19"/>
  <c r="N78" i="19" s="1"/>
  <c r="O78" i="19" s="1"/>
  <c r="M73" i="19"/>
  <c r="N73" i="19" s="1"/>
  <c r="O73" i="19" s="1"/>
  <c r="M77" i="19"/>
  <c r="N77" i="19" s="1"/>
  <c r="O77" i="19" s="1"/>
  <c r="M72" i="19"/>
  <c r="N72" i="19" s="1"/>
  <c r="O72" i="19" s="1"/>
  <c r="M75" i="19"/>
  <c r="N75" i="19" s="1"/>
  <c r="O75" i="19" s="1"/>
  <c r="M70" i="19"/>
  <c r="N70" i="19" s="1"/>
  <c r="O70" i="19" s="1"/>
  <c r="M54" i="19"/>
  <c r="N54" i="19" s="1"/>
  <c r="O54" i="19" s="1"/>
  <c r="M58" i="19"/>
  <c r="N58" i="19" s="1"/>
  <c r="O58" i="19" s="1"/>
  <c r="M59" i="19"/>
  <c r="N59" i="19" s="1"/>
  <c r="O59" i="19" s="1"/>
  <c r="M55" i="19"/>
  <c r="N55" i="19" s="1"/>
  <c r="O55" i="19" s="1"/>
  <c r="M63" i="19"/>
  <c r="N63" i="19" s="1"/>
  <c r="O63" i="19" s="1"/>
  <c r="M80" i="19"/>
  <c r="N80" i="19" s="1"/>
  <c r="O80" i="19" s="1"/>
  <c r="M68" i="19"/>
  <c r="N68" i="19" s="1"/>
  <c r="O68" i="19" s="1"/>
  <c r="M64" i="19"/>
  <c r="N64" i="19" s="1"/>
  <c r="O64" i="19" s="1"/>
  <c r="M65" i="19"/>
  <c r="N65" i="19" s="1"/>
  <c r="O65" i="19" s="1"/>
  <c r="M60" i="19"/>
  <c r="N60" i="19" s="1"/>
  <c r="O60" i="19" s="1"/>
  <c r="M57" i="19"/>
  <c r="N57" i="19" s="1"/>
  <c r="O57" i="19" s="1"/>
  <c r="R2" i="2"/>
  <c r="A3" i="21" a="1"/>
  <c r="A3" i="21" s="1"/>
  <c r="A4" i="21" a="1"/>
  <c r="A4" i="21" s="1"/>
  <c r="A5" i="21" a="1"/>
  <c r="A5" i="21" s="1"/>
  <c r="A6" i="21" a="1"/>
  <c r="A6" i="21" s="1"/>
  <c r="A250" i="21" a="1"/>
  <c r="A250" i="21" s="1"/>
  <c r="A251" i="21" a="1"/>
  <c r="A251" i="21" s="1"/>
  <c r="A252" i="21" a="1"/>
  <c r="A252" i="21" s="1"/>
  <c r="A253" i="21" a="1"/>
  <c r="A253" i="21" s="1"/>
  <c r="BI30" i="10" l="1"/>
  <c r="BI96" i="10"/>
  <c r="BI184" i="10"/>
  <c r="BI165" i="10"/>
  <c r="BI234" i="10"/>
  <c r="BI73" i="10"/>
  <c r="BI97" i="10"/>
  <c r="BI120" i="10"/>
  <c r="BI235" i="10"/>
  <c r="BI144" i="10"/>
  <c r="BI6" i="10"/>
  <c r="BI76" i="10"/>
  <c r="BI99" i="10"/>
  <c r="BI238" i="10"/>
  <c r="BI67" i="10"/>
  <c r="BI94" i="10"/>
  <c r="BI239" i="10"/>
  <c r="BI156" i="10"/>
  <c r="BI183" i="10"/>
  <c r="BI215" i="10"/>
  <c r="BI18" i="10"/>
  <c r="BI244" i="10"/>
  <c r="BI78" i="10"/>
  <c r="BI132" i="10"/>
  <c r="BI187" i="10"/>
  <c r="BI11" i="10"/>
  <c r="BI38" i="10"/>
  <c r="BI65" i="10"/>
  <c r="BI205" i="10"/>
  <c r="BI48" i="10"/>
  <c r="BI127" i="10"/>
  <c r="BI164" i="10"/>
  <c r="BI249" i="10"/>
  <c r="BI10" i="10"/>
  <c r="BI54" i="10"/>
  <c r="BI246" i="10"/>
  <c r="BI17" i="10"/>
  <c r="BI88" i="10"/>
  <c r="BI170" i="10"/>
  <c r="BI133" i="10"/>
  <c r="BI171" i="10"/>
  <c r="BI248" i="10"/>
  <c r="BI136" i="10"/>
  <c r="BI251" i="10"/>
  <c r="BI174" i="10"/>
  <c r="BI101" i="10"/>
  <c r="BI137" i="10"/>
  <c r="BI253" i="10"/>
  <c r="BI61" i="10"/>
  <c r="BI176" i="10"/>
  <c r="BI220" i="10"/>
  <c r="BI254" i="10"/>
  <c r="BI229" i="10"/>
  <c r="BI149" i="10"/>
  <c r="BI85" i="10"/>
  <c r="BI82" i="10"/>
  <c r="BI230" i="10"/>
  <c r="BI24" i="10"/>
  <c r="BI84" i="10"/>
  <c r="BI227" i="10"/>
  <c r="BI34" i="10"/>
  <c r="BI37" i="10"/>
  <c r="BI109" i="10"/>
  <c r="BI31" i="10"/>
  <c r="BI232" i="10"/>
  <c r="BI241" i="10"/>
  <c r="BI177" i="10"/>
  <c r="BI146" i="10"/>
  <c r="BI221" i="10"/>
  <c r="BI64" i="10"/>
  <c r="BI139" i="10"/>
  <c r="BI199" i="10"/>
  <c r="BI141" i="10"/>
  <c r="BI148" i="10"/>
  <c r="BI225" i="10"/>
  <c r="BI255" i="10"/>
  <c r="BI197" i="10"/>
  <c r="BI117" i="10"/>
  <c r="BI115" i="10"/>
  <c r="BI194" i="10"/>
  <c r="BI62" i="10"/>
  <c r="BI193" i="10"/>
  <c r="BI44" i="10"/>
  <c r="BI140" i="10"/>
  <c r="BI190" i="10"/>
  <c r="BI29" i="10"/>
  <c r="BI180" i="10"/>
  <c r="BI217" i="10"/>
  <c r="BI9" i="10"/>
  <c r="BI172" i="10"/>
  <c r="BI87" i="10"/>
  <c r="BI128" i="10"/>
  <c r="BI58" i="10"/>
  <c r="BI210" i="10"/>
  <c r="BI103" i="10"/>
  <c r="BI110" i="10"/>
  <c r="BI185" i="10"/>
  <c r="BI106" i="10"/>
  <c r="BI223" i="10"/>
  <c r="BI114" i="10"/>
  <c r="BI116" i="10"/>
  <c r="AL31" i="10"/>
  <c r="AL25" i="10"/>
  <c r="AL26" i="10"/>
  <c r="AL32" i="10"/>
  <c r="AL27" i="10"/>
  <c r="AL30" i="10"/>
  <c r="AL28" i="10"/>
  <c r="AL29" i="10"/>
  <c r="BI8" i="10"/>
  <c r="BI52" i="10"/>
  <c r="BI162" i="10"/>
  <c r="BI228" i="10"/>
  <c r="BI72" i="10"/>
  <c r="BI95" i="10"/>
  <c r="BI119" i="10"/>
  <c r="BI188" i="10"/>
  <c r="BI4" i="10"/>
  <c r="BI143" i="10"/>
  <c r="BI189" i="10"/>
  <c r="BI212" i="10"/>
  <c r="BI5" i="10"/>
  <c r="BI28" i="10"/>
  <c r="BI75" i="10"/>
  <c r="BI98" i="10"/>
  <c r="BI167" i="10"/>
  <c r="BI53" i="10"/>
  <c r="BI168" i="10"/>
  <c r="BI191" i="10"/>
  <c r="BI214" i="10"/>
  <c r="BI237" i="10"/>
  <c r="BI125" i="10"/>
  <c r="BI152" i="10"/>
  <c r="BI207" i="10"/>
  <c r="BI16" i="10"/>
  <c r="BI129" i="10"/>
  <c r="BI242" i="10"/>
  <c r="BI77" i="10"/>
  <c r="BI104" i="10"/>
  <c r="BI186" i="10"/>
  <c r="BI46" i="10"/>
  <c r="BI105" i="10"/>
  <c r="BI218" i="10"/>
  <c r="BI245" i="10"/>
  <c r="BI92" i="10"/>
  <c r="BI178" i="10"/>
  <c r="BI233" i="10"/>
  <c r="BI100" i="10"/>
  <c r="BI216" i="10"/>
  <c r="BI252" i="10"/>
  <c r="BI14" i="10"/>
  <c r="BI247" i="10"/>
  <c r="BI15" i="10"/>
  <c r="BI56" i="10"/>
  <c r="BI204" i="10"/>
  <c r="BI209" i="10"/>
  <c r="BI20" i="10"/>
  <c r="BI59" i="10"/>
  <c r="BI23" i="10"/>
  <c r="BI138" i="10"/>
  <c r="BI36" i="10"/>
  <c r="BI113" i="10"/>
  <c r="BI154" i="10"/>
  <c r="BI81" i="10"/>
  <c r="BI181" i="10"/>
  <c r="BI111" i="10"/>
  <c r="BI182" i="10"/>
  <c r="BI161" i="10"/>
  <c r="BI231" i="10"/>
  <c r="BI163" i="10"/>
  <c r="BI33" i="10"/>
  <c r="BI240" i="10"/>
  <c r="BI198" i="10"/>
  <c r="BI69" i="10"/>
  <c r="BI68" i="10"/>
  <c r="BI150" i="10"/>
  <c r="BI192" i="10"/>
  <c r="BI41" i="10"/>
  <c r="BI42" i="10"/>
  <c r="BI196" i="10"/>
  <c r="T2" i="2"/>
  <c r="P62" i="19"/>
  <c r="P60" i="19"/>
  <c r="P57" i="19"/>
  <c r="P74" i="19"/>
  <c r="P73" i="19"/>
  <c r="P69" i="19"/>
  <c r="P67" i="19"/>
  <c r="P65" i="19"/>
  <c r="P64" i="19"/>
  <c r="P52" i="19"/>
  <c r="P53" i="19"/>
  <c r="P61" i="19"/>
  <c r="P51" i="19"/>
  <c r="P63" i="19"/>
  <c r="P55" i="19"/>
  <c r="P58" i="19"/>
  <c r="P48" i="19"/>
  <c r="P54" i="19"/>
  <c r="P50" i="19"/>
  <c r="P70" i="19"/>
  <c r="J81" i="19"/>
  <c r="P75" i="19"/>
  <c r="P77" i="19"/>
  <c r="P78" i="19"/>
  <c r="P72" i="19"/>
  <c r="P49" i="19"/>
  <c r="P71" i="19"/>
  <c r="P68" i="19"/>
  <c r="P76" i="19"/>
  <c r="P80" i="19"/>
  <c r="P79" i="19"/>
  <c r="P59" i="19"/>
  <c r="P66" i="19"/>
  <c r="K38" i="19"/>
  <c r="P38" i="19" s="1"/>
  <c r="K17" i="19"/>
  <c r="P17" i="19" s="1"/>
  <c r="K27" i="19"/>
  <c r="P27" i="19" s="1"/>
  <c r="K16" i="19"/>
  <c r="P16" i="19" s="1"/>
  <c r="K28" i="19"/>
  <c r="P28" i="19" s="1"/>
  <c r="P46" i="19"/>
  <c r="P47" i="19"/>
  <c r="K41" i="19"/>
  <c r="P41" i="19" s="1"/>
  <c r="K22" i="19"/>
  <c r="P22" i="19" s="1"/>
  <c r="K30" i="19"/>
  <c r="P30" i="19" s="1"/>
  <c r="P24" i="19"/>
  <c r="P45" i="19"/>
  <c r="P29" i="19"/>
  <c r="K42" i="19"/>
  <c r="P42" i="19" s="1"/>
  <c r="P21" i="19"/>
  <c r="P23" i="19"/>
  <c r="P18" i="19"/>
  <c r="BL23" i="10" l="1"/>
  <c r="BL45" i="10"/>
  <c r="BL67" i="10"/>
  <c r="BL89" i="10"/>
  <c r="BL111" i="10"/>
  <c r="BL24" i="10"/>
  <c r="BL46" i="10"/>
  <c r="BL68" i="10"/>
  <c r="BL90" i="10"/>
  <c r="BL112" i="10"/>
  <c r="BL134" i="10"/>
  <c r="BL156" i="10"/>
  <c r="BL178" i="10"/>
  <c r="BL200" i="10"/>
  <c r="BL222" i="10"/>
  <c r="BL244" i="10"/>
  <c r="BL25" i="10"/>
  <c r="BL69" i="10"/>
  <c r="BL91" i="10"/>
  <c r="BL135" i="10"/>
  <c r="BL157" i="10"/>
  <c r="BL223" i="10"/>
  <c r="BL47" i="10"/>
  <c r="BL113" i="10"/>
  <c r="BL179" i="10"/>
  <c r="BL201" i="10"/>
  <c r="BL245" i="10"/>
  <c r="BL4" i="10"/>
  <c r="BL26" i="10"/>
  <c r="BL48" i="10"/>
  <c r="BL70" i="10"/>
  <c r="BL92" i="10"/>
  <c r="BL114" i="10"/>
  <c r="BL136" i="10"/>
  <c r="BL158" i="10"/>
  <c r="BL180" i="10"/>
  <c r="BL202" i="10"/>
  <c r="BL224" i="10"/>
  <c r="BL246" i="10"/>
  <c r="BL9" i="10"/>
  <c r="BL35" i="10"/>
  <c r="BL61" i="10"/>
  <c r="BL87" i="10"/>
  <c r="BL117" i="10"/>
  <c r="BL142" i="10"/>
  <c r="BL167" i="10"/>
  <c r="BL192" i="10"/>
  <c r="BL217" i="10"/>
  <c r="BL242" i="10"/>
  <c r="BL10" i="10"/>
  <c r="BL36" i="10"/>
  <c r="BL62" i="10"/>
  <c r="BL88" i="10"/>
  <c r="BL118" i="10"/>
  <c r="BL143" i="10"/>
  <c r="BL168" i="10"/>
  <c r="BL193" i="10"/>
  <c r="BL218" i="10"/>
  <c r="BL243" i="10"/>
  <c r="BL13" i="10"/>
  <c r="BL39" i="10"/>
  <c r="BL65" i="10"/>
  <c r="BL95" i="10"/>
  <c r="BL121" i="10"/>
  <c r="BL146" i="10"/>
  <c r="BL171" i="10"/>
  <c r="BL196" i="10"/>
  <c r="BL221" i="10"/>
  <c r="BL249" i="10"/>
  <c r="BL15" i="10"/>
  <c r="BL41" i="10"/>
  <c r="BL71" i="10"/>
  <c r="BL97" i="10"/>
  <c r="BL123" i="10"/>
  <c r="BL148" i="10"/>
  <c r="BL173" i="10"/>
  <c r="BL198" i="10"/>
  <c r="BL226" i="10"/>
  <c r="BL251" i="10"/>
  <c r="BL16" i="10"/>
  <c r="BL42" i="10"/>
  <c r="BL72" i="10"/>
  <c r="BL98" i="10"/>
  <c r="BL124" i="10"/>
  <c r="BL149" i="10"/>
  <c r="BL174" i="10"/>
  <c r="BL199" i="10"/>
  <c r="BL227" i="10"/>
  <c r="BL252" i="10"/>
  <c r="BL18" i="10"/>
  <c r="BL53" i="10"/>
  <c r="BL84" i="10"/>
  <c r="BL122" i="10"/>
  <c r="BL154" i="10"/>
  <c r="BL187" i="10"/>
  <c r="BL219" i="10"/>
  <c r="BL255" i="10"/>
  <c r="BL85" i="10"/>
  <c r="BL188" i="10"/>
  <c r="BL22" i="10"/>
  <c r="BL128" i="10"/>
  <c r="BL191" i="10"/>
  <c r="BL130" i="10"/>
  <c r="BL195" i="10"/>
  <c r="BL231" i="10"/>
  <c r="BL19" i="10"/>
  <c r="BL54" i="10"/>
  <c r="BL125" i="10"/>
  <c r="BL155" i="10"/>
  <c r="BL220" i="10"/>
  <c r="BL94" i="10"/>
  <c r="BL59" i="10"/>
  <c r="BL20" i="10"/>
  <c r="BL55" i="10"/>
  <c r="BL86" i="10"/>
  <c r="BL126" i="10"/>
  <c r="BL159" i="10"/>
  <c r="BL189" i="10"/>
  <c r="BL225" i="10"/>
  <c r="BL21" i="10"/>
  <c r="BL56" i="10"/>
  <c r="BL93" i="10"/>
  <c r="BL127" i="10"/>
  <c r="BL160" i="10"/>
  <c r="BL190" i="10"/>
  <c r="BL228" i="10"/>
  <c r="BL57" i="10"/>
  <c r="BL161" i="10"/>
  <c r="BL229" i="10"/>
  <c r="BL28" i="10"/>
  <c r="BL163" i="10"/>
  <c r="BL27" i="10"/>
  <c r="BL58" i="10"/>
  <c r="BL96" i="10"/>
  <c r="BL129" i="10"/>
  <c r="BL162" i="10"/>
  <c r="BL194" i="10"/>
  <c r="BL230" i="10"/>
  <c r="BL99" i="10"/>
  <c r="BL29" i="10"/>
  <c r="BL60" i="10"/>
  <c r="BL100" i="10"/>
  <c r="BL131" i="10"/>
  <c r="BL164" i="10"/>
  <c r="BL197" i="10"/>
  <c r="BL232" i="10"/>
  <c r="BL30" i="10"/>
  <c r="BL132" i="10"/>
  <c r="BL203" i="10"/>
  <c r="BL233" i="10"/>
  <c r="BL63" i="10"/>
  <c r="BL101" i="10"/>
  <c r="BL165" i="10"/>
  <c r="BL7" i="10"/>
  <c r="BL43" i="10"/>
  <c r="BL78" i="10"/>
  <c r="BL109" i="10"/>
  <c r="BL145" i="10"/>
  <c r="BL181" i="10"/>
  <c r="BL211" i="10"/>
  <c r="BL241" i="10"/>
  <c r="BL14" i="10"/>
  <c r="BL208" i="10"/>
  <c r="BL147" i="10"/>
  <c r="BL209" i="10"/>
  <c r="BL102" i="10"/>
  <c r="BL44" i="10"/>
  <c r="BL17" i="10"/>
  <c r="BL152" i="10"/>
  <c r="BL31" i="10"/>
  <c r="BL82" i="10"/>
  <c r="BL150" i="10"/>
  <c r="BL210" i="10"/>
  <c r="BL83" i="10"/>
  <c r="BL151" i="10"/>
  <c r="BL212" i="10"/>
  <c r="BL33" i="10"/>
  <c r="BL213" i="10"/>
  <c r="BL40" i="10"/>
  <c r="BL234" i="10"/>
  <c r="BL49" i="10"/>
  <c r="BL108" i="10"/>
  <c r="BL236" i="10"/>
  <c r="BL170" i="10"/>
  <c r="BL175" i="10"/>
  <c r="BL34" i="10"/>
  <c r="BL103" i="10"/>
  <c r="BL153" i="10"/>
  <c r="BL214" i="10"/>
  <c r="BL37" i="10"/>
  <c r="BL104" i="10"/>
  <c r="BL166" i="10"/>
  <c r="BL215" i="10"/>
  <c r="BL106" i="10"/>
  <c r="BL107" i="10"/>
  <c r="BL172" i="10"/>
  <c r="BL38" i="10"/>
  <c r="BL105" i="10"/>
  <c r="BL169" i="10"/>
  <c r="BL216" i="10"/>
  <c r="BL73" i="10"/>
  <c r="BL133" i="10"/>
  <c r="BL185" i="10"/>
  <c r="BL248" i="10"/>
  <c r="BL8" i="10"/>
  <c r="BL139" i="10"/>
  <c r="BL254" i="10"/>
  <c r="BL5" i="10"/>
  <c r="BL74" i="10"/>
  <c r="BL137" i="10"/>
  <c r="BL186" i="10"/>
  <c r="BL250" i="10"/>
  <c r="BL6" i="10"/>
  <c r="BL75" i="10"/>
  <c r="BL138" i="10"/>
  <c r="BL204" i="10"/>
  <c r="BL253" i="10"/>
  <c r="BL76" i="10"/>
  <c r="BL205" i="10"/>
  <c r="BL12" i="10"/>
  <c r="BL79" i="10"/>
  <c r="BL141" i="10"/>
  <c r="BL207" i="10"/>
  <c r="BL80" i="10"/>
  <c r="BL144" i="10"/>
  <c r="BL81" i="10"/>
  <c r="BL235" i="10"/>
  <c r="BL64" i="10"/>
  <c r="BL110" i="10"/>
  <c r="BL177" i="10"/>
  <c r="BL184" i="10"/>
  <c r="BL66" i="10"/>
  <c r="BL116" i="10"/>
  <c r="BL140" i="10"/>
  <c r="BL77" i="10"/>
  <c r="BL115" i="10"/>
  <c r="BL182" i="10"/>
  <c r="BL206" i="10"/>
  <c r="BL119" i="10"/>
  <c r="BL120" i="10"/>
  <c r="BL183" i="10"/>
  <c r="BL176" i="10"/>
  <c r="BL238" i="10"/>
  <c r="BL239" i="10"/>
  <c r="BL11" i="10"/>
  <c r="BL240" i="10"/>
  <c r="BL50" i="10"/>
  <c r="BL247" i="10"/>
  <c r="BL51" i="10"/>
  <c r="BL52" i="10"/>
  <c r="BL237" i="10"/>
  <c r="BJ20" i="10"/>
  <c r="BJ42" i="10"/>
  <c r="BJ64" i="10"/>
  <c r="BJ86" i="10"/>
  <c r="BJ108" i="10"/>
  <c r="BJ130" i="10"/>
  <c r="BJ152" i="10"/>
  <c r="BJ174" i="10"/>
  <c r="BJ196" i="10"/>
  <c r="BJ218" i="10"/>
  <c r="BJ240" i="10"/>
  <c r="BJ5" i="10"/>
  <c r="BJ28" i="10"/>
  <c r="BJ51" i="10"/>
  <c r="BJ74" i="10"/>
  <c r="BJ97" i="10"/>
  <c r="BJ120" i="10"/>
  <c r="BJ143" i="10"/>
  <c r="BJ166" i="10"/>
  <c r="BJ189" i="10"/>
  <c r="BJ212" i="10"/>
  <c r="BJ235" i="10"/>
  <c r="BJ6" i="10"/>
  <c r="BJ29" i="10"/>
  <c r="BJ52" i="10"/>
  <c r="BJ75" i="10"/>
  <c r="BJ98" i="10"/>
  <c r="BJ121" i="10"/>
  <c r="BJ144" i="10"/>
  <c r="BJ167" i="10"/>
  <c r="BJ190" i="10"/>
  <c r="BJ213" i="10"/>
  <c r="BJ236" i="10"/>
  <c r="BJ7" i="10"/>
  <c r="BJ30" i="10"/>
  <c r="BJ53" i="10"/>
  <c r="BJ76" i="10"/>
  <c r="BJ99" i="10"/>
  <c r="BJ122" i="10"/>
  <c r="BJ145" i="10"/>
  <c r="BJ168" i="10"/>
  <c r="BJ191" i="10"/>
  <c r="BJ214" i="10"/>
  <c r="BJ237" i="10"/>
  <c r="BJ8" i="10"/>
  <c r="BJ31" i="10"/>
  <c r="BJ54" i="10"/>
  <c r="BJ77" i="10"/>
  <c r="BJ100" i="10"/>
  <c r="BJ123" i="10"/>
  <c r="BJ146" i="10"/>
  <c r="BJ169" i="10"/>
  <c r="BJ192" i="10"/>
  <c r="BJ215" i="10"/>
  <c r="BJ238" i="10"/>
  <c r="BJ13" i="10"/>
  <c r="BJ40" i="10"/>
  <c r="BJ68" i="10"/>
  <c r="BJ95" i="10"/>
  <c r="BJ126" i="10"/>
  <c r="BJ154" i="10"/>
  <c r="BJ181" i="10"/>
  <c r="BJ208" i="10"/>
  <c r="BJ239" i="10"/>
  <c r="BJ14" i="10"/>
  <c r="BJ41" i="10"/>
  <c r="BJ69" i="10"/>
  <c r="BJ96" i="10"/>
  <c r="BJ127" i="10"/>
  <c r="BJ155" i="10"/>
  <c r="BJ182" i="10"/>
  <c r="BJ209" i="10"/>
  <c r="BJ241" i="10"/>
  <c r="BJ17" i="10"/>
  <c r="BJ45" i="10"/>
  <c r="BJ72" i="10"/>
  <c r="BJ103" i="10"/>
  <c r="BJ131" i="10"/>
  <c r="BJ158" i="10"/>
  <c r="BJ185" i="10"/>
  <c r="BJ216" i="10"/>
  <c r="BJ244" i="10"/>
  <c r="BJ19" i="10"/>
  <c r="BJ47" i="10"/>
  <c r="BJ78" i="10"/>
  <c r="BJ105" i="10"/>
  <c r="BJ133" i="10"/>
  <c r="BJ160" i="10"/>
  <c r="BJ187" i="10"/>
  <c r="BJ219" i="10"/>
  <c r="BJ246" i="10"/>
  <c r="BJ21" i="10"/>
  <c r="BJ48" i="10"/>
  <c r="BJ79" i="10"/>
  <c r="BJ106" i="10"/>
  <c r="BJ134" i="10"/>
  <c r="BJ161" i="10"/>
  <c r="BJ188" i="10"/>
  <c r="BJ220" i="10"/>
  <c r="BJ247" i="10"/>
  <c r="BJ12" i="10"/>
  <c r="BJ39" i="10"/>
  <c r="BJ67" i="10"/>
  <c r="BJ94" i="10"/>
  <c r="BJ125" i="10"/>
  <c r="BJ153" i="10"/>
  <c r="BJ180" i="10"/>
  <c r="BJ207" i="10"/>
  <c r="BJ234" i="10"/>
  <c r="BJ27" i="10"/>
  <c r="BJ65" i="10"/>
  <c r="BJ109" i="10"/>
  <c r="BJ142" i="10"/>
  <c r="BJ183" i="10"/>
  <c r="BJ224" i="10"/>
  <c r="BJ73" i="10"/>
  <c r="BJ228" i="10"/>
  <c r="BJ37" i="10"/>
  <c r="BJ230" i="10"/>
  <c r="BJ66" i="10"/>
  <c r="BJ110" i="10"/>
  <c r="BJ147" i="10"/>
  <c r="BJ184" i="10"/>
  <c r="BJ225" i="10"/>
  <c r="BJ156" i="10"/>
  <c r="BJ33" i="10"/>
  <c r="BJ70" i="10"/>
  <c r="BJ111" i="10"/>
  <c r="BJ148" i="10"/>
  <c r="BJ186" i="10"/>
  <c r="BJ226" i="10"/>
  <c r="BJ34" i="10"/>
  <c r="BJ71" i="10"/>
  <c r="BJ112" i="10"/>
  <c r="BJ149" i="10"/>
  <c r="BJ193" i="10"/>
  <c r="BJ227" i="10"/>
  <c r="BJ35" i="10"/>
  <c r="BJ113" i="10"/>
  <c r="BJ150" i="10"/>
  <c r="BJ194" i="10"/>
  <c r="BJ81" i="10"/>
  <c r="BJ197" i="10"/>
  <c r="BJ36" i="10"/>
  <c r="BJ80" i="10"/>
  <c r="BJ114" i="10"/>
  <c r="BJ151" i="10"/>
  <c r="BJ195" i="10"/>
  <c r="BJ229" i="10"/>
  <c r="BJ115" i="10"/>
  <c r="BJ38" i="10"/>
  <c r="BJ82" i="10"/>
  <c r="BJ116" i="10"/>
  <c r="BJ157" i="10"/>
  <c r="BJ198" i="10"/>
  <c r="BJ231" i="10"/>
  <c r="BJ43" i="10"/>
  <c r="BJ83" i="10"/>
  <c r="BJ117" i="10"/>
  <c r="BJ159" i="10"/>
  <c r="BJ199" i="10"/>
  <c r="BJ232" i="10"/>
  <c r="BJ18" i="10"/>
  <c r="BJ58" i="10"/>
  <c r="BJ92" i="10"/>
  <c r="BJ136" i="10"/>
  <c r="BJ173" i="10"/>
  <c r="BJ210" i="10"/>
  <c r="BJ251" i="10"/>
  <c r="BJ44" i="10"/>
  <c r="BJ104" i="10"/>
  <c r="BJ176" i="10"/>
  <c r="BJ250" i="10"/>
  <c r="BJ46" i="10"/>
  <c r="BJ107" i="10"/>
  <c r="BJ252" i="10"/>
  <c r="BJ135" i="10"/>
  <c r="BJ205" i="10"/>
  <c r="BJ4" i="10"/>
  <c r="BJ49" i="10"/>
  <c r="BJ118" i="10"/>
  <c r="BJ178" i="10"/>
  <c r="BJ253" i="10"/>
  <c r="BJ50" i="10"/>
  <c r="BJ119" i="10"/>
  <c r="BJ179" i="10"/>
  <c r="BJ254" i="10"/>
  <c r="BJ55" i="10"/>
  <c r="BJ124" i="10"/>
  <c r="BJ200" i="10"/>
  <c r="BJ60" i="10"/>
  <c r="BJ138" i="10"/>
  <c r="BJ56" i="10"/>
  <c r="BJ128" i="10"/>
  <c r="BJ201" i="10"/>
  <c r="BJ57" i="10"/>
  <c r="BJ129" i="10"/>
  <c r="BJ202" i="10"/>
  <c r="BJ61" i="10"/>
  <c r="BJ206" i="10"/>
  <c r="BJ59" i="10"/>
  <c r="BJ132" i="10"/>
  <c r="BJ203" i="10"/>
  <c r="BJ137" i="10"/>
  <c r="BJ62" i="10"/>
  <c r="BJ22" i="10"/>
  <c r="BJ89" i="10"/>
  <c r="BJ164" i="10"/>
  <c r="BJ233" i="10"/>
  <c r="BJ93" i="10"/>
  <c r="BJ171" i="10"/>
  <c r="BJ245" i="10"/>
  <c r="BJ23" i="10"/>
  <c r="BJ90" i="10"/>
  <c r="BJ165" i="10"/>
  <c r="BJ242" i="10"/>
  <c r="BJ24" i="10"/>
  <c r="BJ91" i="10"/>
  <c r="BJ170" i="10"/>
  <c r="BJ243" i="10"/>
  <c r="BJ25" i="10"/>
  <c r="BJ102" i="10"/>
  <c r="BJ175" i="10"/>
  <c r="BJ249" i="10"/>
  <c r="BJ177" i="10"/>
  <c r="BJ255" i="10"/>
  <c r="BJ204" i="10"/>
  <c r="BJ85" i="10"/>
  <c r="BJ88" i="10"/>
  <c r="BJ101" i="10"/>
  <c r="BJ140" i="10"/>
  <c r="BJ10" i="10"/>
  <c r="BJ248" i="10"/>
  <c r="BJ87" i="10"/>
  <c r="BJ139" i="10"/>
  <c r="BJ211" i="10"/>
  <c r="BJ11" i="10"/>
  <c r="BJ141" i="10"/>
  <c r="BJ223" i="10"/>
  <c r="BJ162" i="10"/>
  <c r="BJ172" i="10"/>
  <c r="BJ9" i="10"/>
  <c r="BJ15" i="10"/>
  <c r="BJ16" i="10"/>
  <c r="BJ217" i="10"/>
  <c r="BJ26" i="10"/>
  <c r="BJ221" i="10"/>
  <c r="BJ84" i="10"/>
  <c r="BJ163" i="10"/>
  <c r="BJ222" i="10"/>
  <c r="BJ63" i="10"/>
  <c r="D84" i="6"/>
  <c r="BA256" i="1" l="1"/>
  <c r="E84" i="6" a="1"/>
  <c r="E84" i="6" s="1"/>
  <c r="C115" i="6" a="1"/>
  <c r="C115" i="6" s="1"/>
  <c r="C114" i="6" a="1"/>
  <c r="C114" i="6" s="1"/>
  <c r="C113" i="6" a="1"/>
  <c r="C113" i="6" s="1"/>
  <c r="D104" i="6" a="1"/>
  <c r="D104" i="6" s="1"/>
  <c r="D103" i="6" a="1"/>
  <c r="D103" i="6" s="1"/>
  <c r="D101" i="6" a="1"/>
  <c r="D101" i="6" s="1"/>
  <c r="E101" i="6" s="1"/>
  <c r="D80" i="6" a="1"/>
  <c r="D80" i="6" s="1"/>
  <c r="D79" i="6" a="1"/>
  <c r="D79" i="6" s="1"/>
  <c r="D78" i="6" a="1"/>
  <c r="D78" i="6" s="1"/>
  <c r="D77" i="6" a="1"/>
  <c r="D77" i="6" s="1"/>
  <c r="D76" i="6" a="1"/>
  <c r="D76" i="6" s="1"/>
  <c r="D75" i="6" a="1"/>
  <c r="D75" i="6" s="1"/>
  <c r="D69" i="6" a="1"/>
  <c r="D69" i="6" s="1"/>
  <c r="D68" i="6" a="1"/>
  <c r="D68" i="6" s="1"/>
  <c r="D67" i="6" a="1"/>
  <c r="D67" i="6" s="1"/>
  <c r="D66" i="6" a="1"/>
  <c r="D66" i="6" s="1"/>
  <c r="D64" i="6" a="1"/>
  <c r="D64" i="6" s="1"/>
  <c r="D63" i="6" a="1"/>
  <c r="D63" i="6" s="1"/>
  <c r="D51" i="6" a="1"/>
  <c r="D51" i="6" s="1"/>
  <c r="D38" i="6" a="1"/>
  <c r="D38" i="6" s="1"/>
  <c r="D37" i="6" a="1"/>
  <c r="D37" i="6" s="1"/>
  <c r="D33" i="6" a="1"/>
  <c r="D33" i="6" s="1"/>
  <c r="D32" i="6" a="1"/>
  <c r="D32" i="6" s="1"/>
  <c r="D31" i="6" a="1"/>
  <c r="D31" i="6" s="1"/>
  <c r="D30" i="6" a="1"/>
  <c r="D30" i="6" s="1"/>
  <c r="D29" i="6" a="1"/>
  <c r="D29" i="6" s="1"/>
  <c r="D28" i="6" a="1"/>
  <c r="D28" i="6" s="1"/>
  <c r="D27" i="6" a="1"/>
  <c r="D27" i="6" s="1"/>
  <c r="D26" i="6" a="1"/>
  <c r="D26" i="6" s="1"/>
  <c r="E19" i="6" a="1"/>
  <c r="E19" i="6" s="1"/>
  <c r="E18" i="6" a="1"/>
  <c r="E18" i="6" s="1"/>
  <c r="E17" i="6" a="1"/>
  <c r="E17" i="6" s="1"/>
  <c r="E16" i="6" a="1"/>
  <c r="E16" i="6" s="1"/>
  <c r="E15" i="6" a="1"/>
  <c r="E15" i="6" s="1"/>
  <c r="E14" i="6" a="1"/>
  <c r="E14" i="6" s="1"/>
  <c r="H2" i="5" a="1"/>
  <c r="H2" i="5" s="1"/>
  <c r="G2" i="5" a="1"/>
  <c r="G2" i="5" s="1"/>
  <c r="D114" i="6" l="1" a="1"/>
  <c r="D114" i="6" s="1"/>
  <c r="D65" i="6" a="1"/>
  <c r="D65" i="6" s="1"/>
  <c r="D115" i="6" a="1"/>
  <c r="D115" i="6" s="1"/>
  <c r="D113" i="6" a="1"/>
  <c r="D113" i="6" s="1"/>
  <c r="BB256" i="1" l="1"/>
  <c r="A2" i="21" l="1" a="1"/>
  <c r="A2" i="21" s="1"/>
  <c r="M256" i="1" l="1"/>
  <c r="J256" i="1"/>
  <c r="AH256" i="1"/>
  <c r="K256" i="1"/>
  <c r="AG70" i="10" l="1"/>
  <c r="AF70" i="10"/>
  <c r="AH70" i="10"/>
  <c r="CC70" i="10"/>
  <c r="AI70" i="10"/>
  <c r="CD70" i="10"/>
  <c r="CB70" i="10"/>
  <c r="AF106" i="10"/>
  <c r="CC106" i="10"/>
  <c r="AH106" i="10"/>
  <c r="AG106" i="10"/>
  <c r="AI106" i="10"/>
  <c r="CB106" i="10"/>
  <c r="CD106" i="10"/>
  <c r="AF97" i="10"/>
  <c r="AG97" i="10"/>
  <c r="AH97" i="10"/>
  <c r="AI97" i="10"/>
  <c r="CC97" i="10"/>
  <c r="CB97" i="10"/>
  <c r="CD97" i="10"/>
  <c r="AI66" i="10"/>
  <c r="AH66" i="10"/>
  <c r="AG66" i="10"/>
  <c r="CD66" i="10"/>
  <c r="AF66" i="10"/>
  <c r="CB66" i="10"/>
  <c r="CC66" i="10"/>
  <c r="AG193" i="10"/>
  <c r="AI193" i="10"/>
  <c r="AH193" i="10"/>
  <c r="CD193" i="10"/>
  <c r="CB193" i="10"/>
  <c r="AF193" i="10"/>
  <c r="CC193" i="10"/>
  <c r="AH117" i="10"/>
  <c r="AG117" i="10"/>
  <c r="AI117" i="10"/>
  <c r="AF117" i="10"/>
  <c r="CB117" i="10"/>
  <c r="CD117" i="10"/>
  <c r="CC117" i="10"/>
  <c r="AF232" i="10"/>
  <c r="AH232" i="10"/>
  <c r="AG232" i="10"/>
  <c r="CC232" i="10"/>
  <c r="AI232" i="10"/>
  <c r="CB232" i="10"/>
  <c r="CD232" i="10"/>
  <c r="AF42" i="10"/>
  <c r="AG42" i="10"/>
  <c r="AH42" i="10"/>
  <c r="AI42" i="10"/>
  <c r="CD42" i="10"/>
  <c r="CB42" i="10"/>
  <c r="CC42" i="10"/>
  <c r="AG29" i="10"/>
  <c r="CB29" i="10"/>
  <c r="AF29" i="10"/>
  <c r="AH29" i="10"/>
  <c r="AI29" i="10"/>
  <c r="CD29" i="10"/>
  <c r="CC29" i="10"/>
  <c r="AF72" i="10"/>
  <c r="AH72" i="10"/>
  <c r="AG72" i="10"/>
  <c r="CB72" i="10"/>
  <c r="CC72" i="10"/>
  <c r="CD72" i="10"/>
  <c r="AI72" i="10"/>
  <c r="AG158" i="10"/>
  <c r="AF158" i="10"/>
  <c r="AI158" i="10"/>
  <c r="CC158" i="10"/>
  <c r="AH158" i="10"/>
  <c r="CD158" i="10"/>
  <c r="CB158" i="10"/>
  <c r="AG90" i="10"/>
  <c r="AF90" i="10"/>
  <c r="AH90" i="10"/>
  <c r="AI90" i="10"/>
  <c r="CB90" i="10"/>
  <c r="CD90" i="10"/>
  <c r="CC90" i="10"/>
  <c r="AG116" i="10"/>
  <c r="CB116" i="10"/>
  <c r="AF116" i="10"/>
  <c r="AH116" i="10"/>
  <c r="AI116" i="10"/>
  <c r="CD116" i="10"/>
  <c r="CC116" i="10"/>
  <c r="AG112" i="10"/>
  <c r="AF112" i="10"/>
  <c r="AH112" i="10"/>
  <c r="AI112" i="10"/>
  <c r="CB112" i="10"/>
  <c r="CD112" i="10"/>
  <c r="CC112" i="10"/>
  <c r="AF214" i="10"/>
  <c r="AG214" i="10"/>
  <c r="AI214" i="10"/>
  <c r="AH214" i="10"/>
  <c r="CD214" i="10"/>
  <c r="CB214" i="10"/>
  <c r="CC214" i="10"/>
  <c r="AG132" i="10"/>
  <c r="AH132" i="10"/>
  <c r="AI132" i="10"/>
  <c r="AF132" i="10"/>
  <c r="CC132" i="10"/>
  <c r="CD132" i="10"/>
  <c r="CB132" i="10"/>
  <c r="AG161" i="10"/>
  <c r="AH161" i="10"/>
  <c r="AF161" i="10"/>
  <c r="AI161" i="10"/>
  <c r="CC161" i="10"/>
  <c r="CD161" i="10"/>
  <c r="CB161" i="10"/>
  <c r="AF233" i="10"/>
  <c r="AG233" i="10"/>
  <c r="AI233" i="10"/>
  <c r="AH233" i="10"/>
  <c r="CC233" i="10"/>
  <c r="CB233" i="10"/>
  <c r="CD233" i="10"/>
  <c r="AH14" i="10"/>
  <c r="AF14" i="10"/>
  <c r="AG14" i="10"/>
  <c r="CC14" i="10"/>
  <c r="AI14" i="10"/>
  <c r="CD14" i="10"/>
  <c r="CB14" i="10"/>
  <c r="AH22" i="10"/>
  <c r="AI22" i="10"/>
  <c r="AF22" i="10"/>
  <c r="AG22" i="10"/>
  <c r="CC22" i="10"/>
  <c r="CB22" i="10"/>
  <c r="CD22" i="10"/>
  <c r="AF210" i="10"/>
  <c r="AG210" i="10"/>
  <c r="AH210" i="10"/>
  <c r="AI210" i="10"/>
  <c r="CC210" i="10"/>
  <c r="CD210" i="10"/>
  <c r="CB210" i="10"/>
  <c r="AG164" i="10"/>
  <c r="AF164" i="10"/>
  <c r="AH164" i="10"/>
  <c r="AI164" i="10"/>
  <c r="CB164" i="10"/>
  <c r="CD164" i="10"/>
  <c r="CC164" i="10"/>
  <c r="AH82" i="10"/>
  <c r="AF82" i="10"/>
  <c r="AG82" i="10"/>
  <c r="AI82" i="10"/>
  <c r="CC82" i="10"/>
  <c r="CB82" i="10"/>
  <c r="CD82" i="10"/>
  <c r="AG114" i="10"/>
  <c r="AH114" i="10"/>
  <c r="AF114" i="10"/>
  <c r="CD114" i="10"/>
  <c r="CB114" i="10"/>
  <c r="AI114" i="10"/>
  <c r="CC114" i="10"/>
  <c r="AF209" i="10"/>
  <c r="AG209" i="10"/>
  <c r="AH209" i="10"/>
  <c r="AI209" i="10"/>
  <c r="CC209" i="10"/>
  <c r="CB209" i="10"/>
  <c r="CD209" i="10"/>
  <c r="AF71" i="10"/>
  <c r="AH71" i="10"/>
  <c r="AG71" i="10"/>
  <c r="CC71" i="10"/>
  <c r="AI71" i="10"/>
  <c r="CD71" i="10"/>
  <c r="CB71" i="10"/>
  <c r="AF148" i="10"/>
  <c r="AG148" i="10"/>
  <c r="AH148" i="10"/>
  <c r="AI148" i="10"/>
  <c r="CB148" i="10"/>
  <c r="CC148" i="10"/>
  <c r="CD148" i="10"/>
  <c r="AF115" i="10"/>
  <c r="AH115" i="10"/>
  <c r="CD115" i="10"/>
  <c r="CB115" i="10"/>
  <c r="AI115" i="10"/>
  <c r="AG115" i="10"/>
  <c r="CC115" i="10"/>
  <c r="AF144" i="10"/>
  <c r="AG144" i="10"/>
  <c r="AH144" i="10"/>
  <c r="AI144" i="10"/>
  <c r="CD144" i="10"/>
  <c r="CB144" i="10"/>
  <c r="CC144" i="10"/>
  <c r="AG64" i="10"/>
  <c r="AI64" i="10"/>
  <c r="AH64" i="10"/>
  <c r="AF64" i="10"/>
  <c r="CC64" i="10"/>
  <c r="CD64" i="10"/>
  <c r="CB64" i="10"/>
  <c r="AG245" i="10"/>
  <c r="AF245" i="10"/>
  <c r="CD245" i="10"/>
  <c r="CC245" i="10"/>
  <c r="CB245" i="10"/>
  <c r="AI245" i="10"/>
  <c r="AH245" i="10"/>
  <c r="AG178" i="10"/>
  <c r="AF178" i="10"/>
  <c r="AH178" i="10"/>
  <c r="CC178" i="10"/>
  <c r="CD178" i="10"/>
  <c r="AI178" i="10"/>
  <c r="CB178" i="10"/>
  <c r="AF36" i="10"/>
  <c r="AI36" i="10"/>
  <c r="AH36" i="10"/>
  <c r="CC36" i="10"/>
  <c r="CD36" i="10"/>
  <c r="AG36" i="10"/>
  <c r="CB36" i="10"/>
  <c r="AF33" i="10"/>
  <c r="AG33" i="10"/>
  <c r="AH33" i="10"/>
  <c r="CB33" i="10"/>
  <c r="CD33" i="10"/>
  <c r="CC33" i="10"/>
  <c r="AI33" i="10"/>
  <c r="AF139" i="10"/>
  <c r="AG139" i="10"/>
  <c r="AH139" i="10"/>
  <c r="CD139" i="10"/>
  <c r="CB139" i="10"/>
  <c r="AI139" i="10"/>
  <c r="CC139" i="10"/>
  <c r="AF188" i="10"/>
  <c r="AG188" i="10"/>
  <c r="AH188" i="10"/>
  <c r="AI188" i="10"/>
  <c r="CC188" i="10"/>
  <c r="CB188" i="10"/>
  <c r="CD188" i="10"/>
  <c r="AF56" i="10"/>
  <c r="AG56" i="10"/>
  <c r="AH56" i="10"/>
  <c r="CB56" i="10"/>
  <c r="CC56" i="10"/>
  <c r="CD56" i="10"/>
  <c r="AI56" i="10"/>
  <c r="AG89" i="10"/>
  <c r="AF89" i="10"/>
  <c r="AH89" i="10"/>
  <c r="AI89" i="10"/>
  <c r="CD89" i="10"/>
  <c r="CB89" i="10"/>
  <c r="CC89" i="10"/>
  <c r="AG224" i="10"/>
  <c r="AF224" i="10"/>
  <c r="AI224" i="10"/>
  <c r="AH224" i="10"/>
  <c r="CB224" i="10"/>
  <c r="CD224" i="10"/>
  <c r="CC224" i="10"/>
  <c r="AF189" i="10"/>
  <c r="AG189" i="10"/>
  <c r="AH189" i="10"/>
  <c r="AI189" i="10"/>
  <c r="CB189" i="10"/>
  <c r="CC189" i="10"/>
  <c r="CD189" i="10"/>
  <c r="AF213" i="10"/>
  <c r="AH213" i="10"/>
  <c r="AG213" i="10"/>
  <c r="AI213" i="10"/>
  <c r="CC213" i="10"/>
  <c r="CD213" i="10"/>
  <c r="CB213" i="10"/>
  <c r="AG235" i="10"/>
  <c r="AF235" i="10"/>
  <c r="AH235" i="10"/>
  <c r="AI235" i="10"/>
  <c r="CC235" i="10"/>
  <c r="CB235" i="10"/>
  <c r="CD235" i="10"/>
  <c r="AG50" i="10"/>
  <c r="AH50" i="10"/>
  <c r="CB50" i="10"/>
  <c r="AF50" i="10"/>
  <c r="AI50" i="10"/>
  <c r="CC50" i="10"/>
  <c r="CD50" i="10"/>
  <c r="AG63" i="10"/>
  <c r="AI63" i="10"/>
  <c r="AH63" i="10"/>
  <c r="AF63" i="10"/>
  <c r="CB63" i="10"/>
  <c r="CD63" i="10"/>
  <c r="CC63" i="10"/>
  <c r="AG74" i="10"/>
  <c r="AF74" i="10"/>
  <c r="AH74" i="10"/>
  <c r="CD74" i="10"/>
  <c r="AI74" i="10"/>
  <c r="CC74" i="10"/>
  <c r="CB74" i="10"/>
  <c r="CB28" i="10"/>
  <c r="AH28" i="10"/>
  <c r="AI28" i="10"/>
  <c r="AG28" i="10"/>
  <c r="CD28" i="10"/>
  <c r="AF28" i="10"/>
  <c r="CC28" i="10"/>
  <c r="AF216" i="10"/>
  <c r="AG216" i="10"/>
  <c r="CC216" i="10"/>
  <c r="CB216" i="10"/>
  <c r="AI216" i="10"/>
  <c r="AH216" i="10"/>
  <c r="CD216" i="10"/>
  <c r="AI149" i="10"/>
  <c r="AF149" i="10"/>
  <c r="AG149" i="10"/>
  <c r="AH149" i="10"/>
  <c r="CC149" i="10"/>
  <c r="CB149" i="10"/>
  <c r="CD149" i="10"/>
  <c r="AG9" i="10"/>
  <c r="AF9" i="10"/>
  <c r="AI9" i="10"/>
  <c r="AH9" i="10"/>
  <c r="CB9" i="10"/>
  <c r="CD9" i="10"/>
  <c r="CC9" i="10"/>
  <c r="AG7" i="10"/>
  <c r="AH7" i="10"/>
  <c r="AF7" i="10"/>
  <c r="CB7" i="10"/>
  <c r="AI7" i="10"/>
  <c r="CD7" i="10"/>
  <c r="CC7" i="10"/>
  <c r="AG111" i="10"/>
  <c r="AF111" i="10"/>
  <c r="AH111" i="10"/>
  <c r="CD111" i="10"/>
  <c r="AI111" i="10"/>
  <c r="CB111" i="10"/>
  <c r="CC111" i="10"/>
  <c r="AG163" i="10"/>
  <c r="AH163" i="10"/>
  <c r="AF163" i="10"/>
  <c r="AI163" i="10"/>
  <c r="CB163" i="10"/>
  <c r="CD163" i="10"/>
  <c r="CC163" i="10"/>
  <c r="AG31" i="10"/>
  <c r="AH31" i="10"/>
  <c r="CB31" i="10"/>
  <c r="AI31" i="10"/>
  <c r="CD31" i="10"/>
  <c r="AF31" i="10"/>
  <c r="CC31" i="10"/>
  <c r="AG65" i="10"/>
  <c r="AI65" i="10"/>
  <c r="AH65" i="10"/>
  <c r="AF65" i="10"/>
  <c r="CD65" i="10"/>
  <c r="CB65" i="10"/>
  <c r="CC65" i="10"/>
  <c r="AF127" i="10"/>
  <c r="AI127" i="10"/>
  <c r="AG127" i="10"/>
  <c r="CB127" i="10"/>
  <c r="AH127" i="10"/>
  <c r="CC127" i="10"/>
  <c r="CD127" i="10"/>
  <c r="AF53" i="10"/>
  <c r="AH53" i="10"/>
  <c r="AG53" i="10"/>
  <c r="AI53" i="10"/>
  <c r="CB53" i="10"/>
  <c r="CC53" i="10"/>
  <c r="CD53" i="10"/>
  <c r="AH107" i="10"/>
  <c r="AG107" i="10"/>
  <c r="AF107" i="10"/>
  <c r="CD107" i="10"/>
  <c r="CC107" i="10"/>
  <c r="CB107" i="10"/>
  <c r="AI107" i="10"/>
  <c r="AF194" i="10"/>
  <c r="CC194" i="10"/>
  <c r="AH194" i="10"/>
  <c r="AG194" i="10"/>
  <c r="CD194" i="10"/>
  <c r="CB194" i="10"/>
  <c r="AI194" i="10"/>
  <c r="AG236" i="10"/>
  <c r="AF236" i="10"/>
  <c r="AH236" i="10"/>
  <c r="CC236" i="10"/>
  <c r="AI236" i="10"/>
  <c r="CD236" i="10"/>
  <c r="CB236" i="10"/>
  <c r="AG170" i="10"/>
  <c r="AI170" i="10"/>
  <c r="AF170" i="10"/>
  <c r="AH170" i="10"/>
  <c r="CD170" i="10"/>
  <c r="CB170" i="10"/>
  <c r="CC170" i="10"/>
  <c r="AH159" i="10"/>
  <c r="AF159" i="10"/>
  <c r="AG159" i="10"/>
  <c r="AI159" i="10"/>
  <c r="CC159" i="10"/>
  <c r="CD159" i="10"/>
  <c r="CB159" i="10"/>
  <c r="AH16" i="10"/>
  <c r="AG16" i="10"/>
  <c r="AF16" i="10"/>
  <c r="AI16" i="10"/>
  <c r="CD16" i="10"/>
  <c r="CB16" i="10"/>
  <c r="CC16" i="10"/>
  <c r="AF183" i="10"/>
  <c r="AH183" i="10"/>
  <c r="AG183" i="10"/>
  <c r="AI183" i="10"/>
  <c r="CC183" i="10"/>
  <c r="CB183" i="10"/>
  <c r="CD183" i="10"/>
  <c r="AH119" i="10"/>
  <c r="AI119" i="10"/>
  <c r="AF119" i="10"/>
  <c r="AG119" i="10"/>
  <c r="CD119" i="10"/>
  <c r="CB119" i="10"/>
  <c r="CC119" i="10"/>
  <c r="AF85" i="10"/>
  <c r="AG85" i="10"/>
  <c r="CD85" i="10"/>
  <c r="AI85" i="10"/>
  <c r="CB85" i="10"/>
  <c r="AH85" i="10"/>
  <c r="CC85" i="10"/>
  <c r="AG137" i="10"/>
  <c r="AH137" i="10"/>
  <c r="AF137" i="10"/>
  <c r="CB137" i="10"/>
  <c r="CC137" i="10"/>
  <c r="CD137" i="10"/>
  <c r="AI137" i="10"/>
  <c r="AG6" i="10"/>
  <c r="AH6" i="10"/>
  <c r="AF6" i="10"/>
  <c r="CB6" i="10"/>
  <c r="AI6" i="10"/>
  <c r="CD6" i="10"/>
  <c r="CC6" i="10"/>
  <c r="AF41" i="10"/>
  <c r="AG41" i="10"/>
  <c r="CC41" i="10"/>
  <c r="AI41" i="10"/>
  <c r="AH41" i="10"/>
  <c r="CD41" i="10"/>
  <c r="CB41" i="10"/>
  <c r="AF59" i="10"/>
  <c r="AG59" i="10"/>
  <c r="AH59" i="10"/>
  <c r="CC59" i="10"/>
  <c r="CD59" i="10"/>
  <c r="CB59" i="10"/>
  <c r="AI59" i="10"/>
  <c r="AF110" i="10"/>
  <c r="AH110" i="10"/>
  <c r="AG110" i="10"/>
  <c r="AI110" i="10"/>
  <c r="CC110" i="10"/>
  <c r="CB110" i="10"/>
  <c r="CD110" i="10"/>
  <c r="AG17" i="10"/>
  <c r="AF17" i="10"/>
  <c r="AI17" i="10"/>
  <c r="AH17" i="10"/>
  <c r="CC17" i="10"/>
  <c r="CB17" i="10"/>
  <c r="CD17" i="10"/>
  <c r="AG155" i="10"/>
  <c r="AF155" i="10"/>
  <c r="AI155" i="10"/>
  <c r="CC155" i="10"/>
  <c r="CB155" i="10"/>
  <c r="AH155" i="10"/>
  <c r="CD155" i="10"/>
  <c r="AG118" i="10"/>
  <c r="AI118" i="10"/>
  <c r="CD118" i="10"/>
  <c r="AF118" i="10"/>
  <c r="CB118" i="10"/>
  <c r="AH118" i="10"/>
  <c r="CC118" i="10"/>
  <c r="AI88" i="10"/>
  <c r="AF88" i="10"/>
  <c r="AG88" i="10"/>
  <c r="AH88" i="10"/>
  <c r="CD88" i="10"/>
  <c r="CB88" i="10"/>
  <c r="CC88" i="10"/>
  <c r="AG86" i="10"/>
  <c r="AI86" i="10"/>
  <c r="AH86" i="10"/>
  <c r="AF86" i="10"/>
  <c r="CD86" i="10"/>
  <c r="CB86" i="10"/>
  <c r="CC86" i="10"/>
  <c r="AG49" i="10"/>
  <c r="AH49" i="10"/>
  <c r="AF49" i="10"/>
  <c r="CC49" i="10"/>
  <c r="CB49" i="10"/>
  <c r="AI49" i="10"/>
  <c r="CD49" i="10"/>
  <c r="AG96" i="10"/>
  <c r="AF96" i="10"/>
  <c r="AH96" i="10"/>
  <c r="CD96" i="10"/>
  <c r="AI96" i="10"/>
  <c r="CB96" i="10"/>
  <c r="CC96" i="10"/>
  <c r="AH60" i="10"/>
  <c r="AF60" i="10"/>
  <c r="AG60" i="10"/>
  <c r="CC60" i="10"/>
  <c r="CD60" i="10"/>
  <c r="CB60" i="10"/>
  <c r="AI60" i="10"/>
  <c r="AI152" i="10"/>
  <c r="AG152" i="10"/>
  <c r="CC152" i="10"/>
  <c r="AF152" i="10"/>
  <c r="AH152" i="10"/>
  <c r="CB152" i="10"/>
  <c r="CD152" i="10"/>
  <c r="AG162" i="10"/>
  <c r="AF162" i="10"/>
  <c r="CD162" i="10"/>
  <c r="AI162" i="10"/>
  <c r="AH162" i="10"/>
  <c r="CC162" i="10"/>
  <c r="CB162" i="10"/>
  <c r="AF146" i="10"/>
  <c r="AG146" i="10"/>
  <c r="AH146" i="10"/>
  <c r="AI146" i="10"/>
  <c r="CD146" i="10"/>
  <c r="CB146" i="10"/>
  <c r="CC146" i="10"/>
  <c r="AF122" i="10"/>
  <c r="AG122" i="10"/>
  <c r="AI122" i="10"/>
  <c r="CD122" i="10"/>
  <c r="CC122" i="10"/>
  <c r="AH122" i="10"/>
  <c r="CB122" i="10"/>
  <c r="AH51" i="10"/>
  <c r="AG51" i="10"/>
  <c r="AF51" i="10"/>
  <c r="CB51" i="10"/>
  <c r="AI51" i="10"/>
  <c r="CC51" i="10"/>
  <c r="CD51" i="10"/>
  <c r="AF32" i="10"/>
  <c r="AG32" i="10"/>
  <c r="CD32" i="10"/>
  <c r="CB32" i="10"/>
  <c r="AI32" i="10"/>
  <c r="AH32" i="10"/>
  <c r="CC32" i="10"/>
  <c r="AF84" i="10"/>
  <c r="AH84" i="10"/>
  <c r="CC84" i="10"/>
  <c r="AG84" i="10"/>
  <c r="CD84" i="10"/>
  <c r="AI84" i="10"/>
  <c r="CB84" i="10"/>
  <c r="AF123" i="10"/>
  <c r="AI123" i="10"/>
  <c r="AH123" i="10"/>
  <c r="CC123" i="10"/>
  <c r="CD123" i="10"/>
  <c r="AG123" i="10"/>
  <c r="CB123" i="10"/>
  <c r="AF100" i="10"/>
  <c r="AG100" i="10"/>
  <c r="AH100" i="10"/>
  <c r="CC100" i="10"/>
  <c r="AI100" i="10"/>
  <c r="CB100" i="10"/>
  <c r="CD100" i="10"/>
  <c r="AF219" i="10"/>
  <c r="AI219" i="10"/>
  <c r="AG219" i="10"/>
  <c r="CB219" i="10"/>
  <c r="AH219" i="10"/>
  <c r="CD219" i="10"/>
  <c r="CC219" i="10"/>
  <c r="AF254" i="10"/>
  <c r="AG254" i="10"/>
  <c r="AH254" i="10"/>
  <c r="AI254" i="10"/>
  <c r="CD254" i="10"/>
  <c r="CB254" i="10"/>
  <c r="CC254" i="10"/>
  <c r="AG237" i="10"/>
  <c r="AI237" i="10"/>
  <c r="AF237" i="10"/>
  <c r="AH237" i="10"/>
  <c r="CC237" i="10"/>
  <c r="CB237" i="10"/>
  <c r="CD237" i="10"/>
  <c r="AG160" i="10"/>
  <c r="AH160" i="10"/>
  <c r="CB160" i="10"/>
  <c r="AI160" i="10"/>
  <c r="AF160" i="10"/>
  <c r="CC160" i="10"/>
  <c r="CD160" i="10"/>
  <c r="AF234" i="10"/>
  <c r="AH234" i="10"/>
  <c r="AG234" i="10"/>
  <c r="AI234" i="10"/>
  <c r="CC234" i="10"/>
  <c r="CD234" i="10"/>
  <c r="CB234" i="10"/>
  <c r="AF172" i="10"/>
  <c r="AG172" i="10"/>
  <c r="CC172" i="10"/>
  <c r="AI172" i="10"/>
  <c r="CD172" i="10"/>
  <c r="AH172" i="10"/>
  <c r="CB172" i="10"/>
  <c r="AI240" i="10"/>
  <c r="AF240" i="10"/>
  <c r="AG240" i="10"/>
  <c r="AH240" i="10"/>
  <c r="CC240" i="10"/>
  <c r="CB240" i="10"/>
  <c r="CD240" i="10"/>
  <c r="AG61" i="10"/>
  <c r="AF61" i="10"/>
  <c r="AI61" i="10"/>
  <c r="AH61" i="10"/>
  <c r="CD61" i="10"/>
  <c r="CB61" i="10"/>
  <c r="CC61" i="10"/>
  <c r="AG67" i="10"/>
  <c r="AI67" i="10"/>
  <c r="AH67" i="10"/>
  <c r="AF67" i="10"/>
  <c r="CB67" i="10"/>
  <c r="CD67" i="10"/>
  <c r="CC67" i="10"/>
  <c r="AF77" i="10"/>
  <c r="AG77" i="10"/>
  <c r="AH77" i="10"/>
  <c r="AI77" i="10"/>
  <c r="CC77" i="10"/>
  <c r="CD77" i="10"/>
  <c r="CB77" i="10"/>
  <c r="AG222" i="10"/>
  <c r="AF222" i="10"/>
  <c r="CD222" i="10"/>
  <c r="CC222" i="10"/>
  <c r="AI222" i="10"/>
  <c r="CB222" i="10"/>
  <c r="AH222" i="10"/>
  <c r="AG92" i="10"/>
  <c r="AF92" i="10"/>
  <c r="AI92" i="10"/>
  <c r="AH92" i="10"/>
  <c r="CD92" i="10"/>
  <c r="CB92" i="10"/>
  <c r="CC92" i="10"/>
  <c r="AH20" i="10"/>
  <c r="AI20" i="10"/>
  <c r="AF20" i="10"/>
  <c r="AG20" i="10"/>
  <c r="CC20" i="10"/>
  <c r="CD20" i="10"/>
  <c r="CB20" i="10"/>
  <c r="AF5" i="10"/>
  <c r="AG5" i="10"/>
  <c r="AH5" i="10"/>
  <c r="AI5" i="10"/>
  <c r="CD5" i="10"/>
  <c r="CB5" i="10"/>
  <c r="CC5" i="10"/>
  <c r="AF58" i="10"/>
  <c r="AH58" i="10"/>
  <c r="AG58" i="10"/>
  <c r="CB58" i="10"/>
  <c r="AI58" i="10"/>
  <c r="CD58" i="10"/>
  <c r="CC58" i="10"/>
  <c r="AF101" i="10"/>
  <c r="AG101" i="10"/>
  <c r="AH101" i="10"/>
  <c r="CC101" i="10"/>
  <c r="AI101" i="10"/>
  <c r="CB101" i="10"/>
  <c r="CD101" i="10"/>
  <c r="AF175" i="10"/>
  <c r="AG175" i="10"/>
  <c r="AI175" i="10"/>
  <c r="AH175" i="10"/>
  <c r="CC175" i="10"/>
  <c r="CD175" i="10"/>
  <c r="CB175" i="10"/>
  <c r="AH38" i="10"/>
  <c r="AF38" i="10"/>
  <c r="AI38" i="10"/>
  <c r="CD38" i="10"/>
  <c r="AG38" i="10"/>
  <c r="CB38" i="10"/>
  <c r="CC38" i="10"/>
  <c r="AF198" i="10"/>
  <c r="AI198" i="10"/>
  <c r="AG198" i="10"/>
  <c r="CC198" i="10"/>
  <c r="AH198" i="10"/>
  <c r="CB198" i="10"/>
  <c r="CD198" i="10"/>
  <c r="AF62" i="10"/>
  <c r="AG62" i="10"/>
  <c r="AI62" i="10"/>
  <c r="CC62" i="10"/>
  <c r="AH62" i="10"/>
  <c r="CD62" i="10"/>
  <c r="CB62" i="10"/>
  <c r="AG200" i="10"/>
  <c r="AF200" i="10"/>
  <c r="AI200" i="10"/>
  <c r="CD200" i="10"/>
  <c r="CB200" i="10"/>
  <c r="AH200" i="10"/>
  <c r="CC200" i="10"/>
  <c r="AF83" i="10"/>
  <c r="AI83" i="10"/>
  <c r="AH83" i="10"/>
  <c r="AG83" i="10"/>
  <c r="CC83" i="10"/>
  <c r="CB83" i="10"/>
  <c r="CD83" i="10"/>
  <c r="AF102" i="10"/>
  <c r="AG102" i="10"/>
  <c r="AH102" i="10"/>
  <c r="CC102" i="10"/>
  <c r="AI102" i="10"/>
  <c r="CB102" i="10"/>
  <c r="CD102" i="10"/>
  <c r="AF80" i="10"/>
  <c r="AG80" i="10"/>
  <c r="AI80" i="10"/>
  <c r="AH80" i="10"/>
  <c r="CD80" i="10"/>
  <c r="CC80" i="10"/>
  <c r="CB80" i="10"/>
  <c r="AF186" i="10"/>
  <c r="AH186" i="10"/>
  <c r="CC186" i="10"/>
  <c r="AG186" i="10"/>
  <c r="CD186" i="10"/>
  <c r="CB186" i="10"/>
  <c r="AI186" i="10"/>
  <c r="AG247" i="10"/>
  <c r="AF247" i="10"/>
  <c r="AH247" i="10"/>
  <c r="CD247" i="10"/>
  <c r="CB247" i="10"/>
  <c r="AI247" i="10"/>
  <c r="CC247" i="10"/>
  <c r="AG19" i="10"/>
  <c r="AH19" i="10"/>
  <c r="AF19" i="10"/>
  <c r="AI19" i="10"/>
  <c r="CD19" i="10"/>
  <c r="CC19" i="10"/>
  <c r="CB19" i="10"/>
  <c r="AI174" i="10"/>
  <c r="AH174" i="10"/>
  <c r="AF174" i="10"/>
  <c r="AG174" i="10"/>
  <c r="CB174" i="10"/>
  <c r="CD174" i="10"/>
  <c r="CC174" i="10"/>
  <c r="AG54" i="10"/>
  <c r="AH54" i="10"/>
  <c r="AI54" i="10"/>
  <c r="AF54" i="10"/>
  <c r="CB54" i="10"/>
  <c r="CC54" i="10"/>
  <c r="CD54" i="10"/>
  <c r="AG243" i="10"/>
  <c r="AF243" i="10"/>
  <c r="CB243" i="10"/>
  <c r="AH243" i="10"/>
  <c r="CC243" i="10"/>
  <c r="CD243" i="10"/>
  <c r="AI243" i="10"/>
  <c r="AG30" i="10"/>
  <c r="AH30" i="10"/>
  <c r="CD30" i="10"/>
  <c r="AI30" i="10"/>
  <c r="CB30" i="10"/>
  <c r="AF30" i="10"/>
  <c r="CC30" i="10"/>
  <c r="AF79" i="10"/>
  <c r="AH79" i="10"/>
  <c r="AG79" i="10"/>
  <c r="AI79" i="10"/>
  <c r="CC79" i="10"/>
  <c r="CD79" i="10"/>
  <c r="CB79" i="10"/>
  <c r="AF147" i="10"/>
  <c r="AG147" i="10"/>
  <c r="AH147" i="10"/>
  <c r="AI147" i="10"/>
  <c r="CD147" i="10"/>
  <c r="CC147" i="10"/>
  <c r="CB147" i="10"/>
  <c r="AG242" i="10"/>
  <c r="AF242" i="10"/>
  <c r="AI242" i="10"/>
  <c r="AH242" i="10"/>
  <c r="CB242" i="10"/>
  <c r="CD242" i="10"/>
  <c r="CC242" i="10"/>
  <c r="AG138" i="10"/>
  <c r="CB138" i="10"/>
  <c r="AH138" i="10"/>
  <c r="AI138" i="10"/>
  <c r="CC138" i="10"/>
  <c r="AF138" i="10"/>
  <c r="CD138" i="10"/>
  <c r="AF109" i="10"/>
  <c r="AG109" i="10"/>
  <c r="AI109" i="10"/>
  <c r="AH109" i="10"/>
  <c r="CC109" i="10"/>
  <c r="CB109" i="10"/>
  <c r="CD109" i="10"/>
  <c r="AF166" i="10"/>
  <c r="AG166" i="10"/>
  <c r="AH166" i="10"/>
  <c r="CD166" i="10"/>
  <c r="CB166" i="10"/>
  <c r="AI166" i="10"/>
  <c r="CC166" i="10"/>
  <c r="AF208" i="10"/>
  <c r="AG208" i="10"/>
  <c r="AH208" i="10"/>
  <c r="AI208" i="10"/>
  <c r="CC208" i="10"/>
  <c r="CB208" i="10"/>
  <c r="CD208" i="10"/>
  <c r="AF253" i="10"/>
  <c r="AI253" i="10"/>
  <c r="AG253" i="10"/>
  <c r="CD253" i="10"/>
  <c r="CB253" i="10"/>
  <c r="CC253" i="10"/>
  <c r="AH253" i="10"/>
  <c r="AG223" i="10"/>
  <c r="AI223" i="10"/>
  <c r="CD223" i="10"/>
  <c r="CB223" i="10"/>
  <c r="AF223" i="10"/>
  <c r="AH223" i="10"/>
  <c r="CC223" i="10"/>
  <c r="AG133" i="10"/>
  <c r="AF133" i="10"/>
  <c r="AH133" i="10"/>
  <c r="CC133" i="10"/>
  <c r="AI133" i="10"/>
  <c r="CD133" i="10"/>
  <c r="CB133" i="10"/>
  <c r="AG23" i="10"/>
  <c r="AH23" i="10"/>
  <c r="AF23" i="10"/>
  <c r="AI23" i="10"/>
  <c r="CB23" i="10"/>
  <c r="CC23" i="10"/>
  <c r="CD23" i="10"/>
  <c r="AF211" i="10"/>
  <c r="AG211" i="10"/>
  <c r="CC211" i="10"/>
  <c r="AH211" i="10"/>
  <c r="AI211" i="10"/>
  <c r="CB211" i="10"/>
  <c r="CD211" i="10"/>
  <c r="AG4" i="10"/>
  <c r="AF4" i="10"/>
  <c r="AH4" i="10"/>
  <c r="CB4" i="10"/>
  <c r="CC4" i="10"/>
  <c r="CD4" i="10"/>
  <c r="AI4" i="10"/>
  <c r="AF57" i="10"/>
  <c r="AG57" i="10"/>
  <c r="AH57" i="10"/>
  <c r="CB57" i="10"/>
  <c r="AI57" i="10"/>
  <c r="CC57" i="10"/>
  <c r="CD57" i="10"/>
  <c r="AG94" i="10"/>
  <c r="AH94" i="10"/>
  <c r="CB94" i="10"/>
  <c r="AI94" i="10"/>
  <c r="AF94" i="10"/>
  <c r="CD94" i="10"/>
  <c r="CC94" i="10"/>
  <c r="AG246" i="10"/>
  <c r="AF246" i="10"/>
  <c r="CD246" i="10"/>
  <c r="CB246" i="10"/>
  <c r="AH246" i="10"/>
  <c r="AI246" i="10"/>
  <c r="CC246" i="10"/>
  <c r="AG180" i="10"/>
  <c r="AH180" i="10"/>
  <c r="AF180" i="10"/>
  <c r="CD180" i="10"/>
  <c r="CC180" i="10"/>
  <c r="CB180" i="10"/>
  <c r="AI180" i="10"/>
  <c r="AH35" i="10"/>
  <c r="AF35" i="10"/>
  <c r="AG35" i="10"/>
  <c r="AI35" i="10"/>
  <c r="CD35" i="10"/>
  <c r="CB35" i="10"/>
  <c r="CC35" i="10"/>
  <c r="AH13" i="10"/>
  <c r="AF13" i="10"/>
  <c r="AG13" i="10"/>
  <c r="CC13" i="10"/>
  <c r="CB13" i="10"/>
  <c r="AI13" i="10"/>
  <c r="CD13" i="10"/>
  <c r="AG201" i="10"/>
  <c r="AF201" i="10"/>
  <c r="AI201" i="10"/>
  <c r="AH201" i="10"/>
  <c r="CD201" i="10"/>
  <c r="CB201" i="10"/>
  <c r="CC201" i="10"/>
  <c r="AF143" i="10"/>
  <c r="AH143" i="10"/>
  <c r="AI143" i="10"/>
  <c r="CB143" i="10"/>
  <c r="CD143" i="10"/>
  <c r="CC143" i="10"/>
  <c r="AG143" i="10"/>
  <c r="AG134" i="10"/>
  <c r="AF134" i="10"/>
  <c r="CD134" i="10"/>
  <c r="CC134" i="10"/>
  <c r="AI134" i="10"/>
  <c r="AH134" i="10"/>
  <c r="CB134" i="10"/>
  <c r="AI226" i="10"/>
  <c r="CB226" i="10"/>
  <c r="AF226" i="10"/>
  <c r="AH226" i="10"/>
  <c r="CD226" i="10"/>
  <c r="CC226" i="10"/>
  <c r="AG226" i="10"/>
  <c r="AF34" i="10"/>
  <c r="AG34" i="10"/>
  <c r="AH34" i="10"/>
  <c r="CB34" i="10"/>
  <c r="CD34" i="10"/>
  <c r="CC34" i="10"/>
  <c r="AI34" i="10"/>
  <c r="AF73" i="10"/>
  <c r="AH73" i="10"/>
  <c r="AG73" i="10"/>
  <c r="CB73" i="10"/>
  <c r="AI73" i="10"/>
  <c r="CC73" i="10"/>
  <c r="CD73" i="10"/>
  <c r="AH225" i="10"/>
  <c r="AI225" i="10"/>
  <c r="AF225" i="10"/>
  <c r="CC225" i="10"/>
  <c r="CD225" i="10"/>
  <c r="CB225" i="10"/>
  <c r="AG225" i="10"/>
  <c r="AF176" i="10"/>
  <c r="AI176" i="10"/>
  <c r="AH176" i="10"/>
  <c r="AG176" i="10"/>
  <c r="CD176" i="10"/>
  <c r="CC176" i="10"/>
  <c r="CB176" i="10"/>
  <c r="AH95" i="10"/>
  <c r="AG95" i="10"/>
  <c r="AF95" i="10"/>
  <c r="AI95" i="10"/>
  <c r="CD95" i="10"/>
  <c r="CC95" i="10"/>
  <c r="CB95" i="10"/>
  <c r="AF185" i="10"/>
  <c r="AH185" i="10"/>
  <c r="AG185" i="10"/>
  <c r="CC185" i="10"/>
  <c r="AI185" i="10"/>
  <c r="CD185" i="10"/>
  <c r="CB185" i="10"/>
  <c r="AI120" i="10"/>
  <c r="AF120" i="10"/>
  <c r="AG120" i="10"/>
  <c r="CD120" i="10"/>
  <c r="CB120" i="10"/>
  <c r="CC120" i="10"/>
  <c r="AH120" i="10"/>
  <c r="AG169" i="10"/>
  <c r="AI169" i="10"/>
  <c r="AF169" i="10"/>
  <c r="CB169" i="10"/>
  <c r="CD169" i="10"/>
  <c r="CC169" i="10"/>
  <c r="AH169" i="10"/>
  <c r="AG202" i="10"/>
  <c r="AF202" i="10"/>
  <c r="AH202" i="10"/>
  <c r="AI202" i="10"/>
  <c r="CC202" i="10"/>
  <c r="CB202" i="10"/>
  <c r="CD202" i="10"/>
  <c r="AF10" i="10"/>
  <c r="AH10" i="10"/>
  <c r="AI10" i="10"/>
  <c r="AG10" i="10"/>
  <c r="CB10" i="10"/>
  <c r="CD10" i="10"/>
  <c r="CC10" i="10"/>
  <c r="AF255" i="10"/>
  <c r="AG255" i="10"/>
  <c r="CD255" i="10"/>
  <c r="AI255" i="10"/>
  <c r="CB255" i="10"/>
  <c r="CC255" i="10"/>
  <c r="AH255" i="10"/>
  <c r="AH15" i="10"/>
  <c r="AF15" i="10"/>
  <c r="AG15" i="10"/>
  <c r="AI15" i="10"/>
  <c r="CD15" i="10"/>
  <c r="CB15" i="10"/>
  <c r="CC15" i="10"/>
  <c r="AG250" i="10"/>
  <c r="AF250" i="10"/>
  <c r="AH250" i="10"/>
  <c r="CD250" i="10"/>
  <c r="CB250" i="10"/>
  <c r="CC250" i="10"/>
  <c r="AI250" i="10"/>
  <c r="AG177" i="10"/>
  <c r="AF177" i="10"/>
  <c r="CD177" i="10"/>
  <c r="CB177" i="10"/>
  <c r="AH177" i="10"/>
  <c r="AI177" i="10"/>
  <c r="CC177" i="10"/>
  <c r="AG136" i="10"/>
  <c r="AH136" i="10"/>
  <c r="AF136" i="10"/>
  <c r="CB136" i="10"/>
  <c r="CC136" i="10"/>
  <c r="CD136" i="10"/>
  <c r="AI136" i="10"/>
  <c r="AG45" i="10"/>
  <c r="AF45" i="10"/>
  <c r="AH45" i="10"/>
  <c r="AI45" i="10"/>
  <c r="CC45" i="10"/>
  <c r="CB45" i="10"/>
  <c r="CD45" i="10"/>
  <c r="AG153" i="10"/>
  <c r="AF153" i="10"/>
  <c r="AI153" i="10"/>
  <c r="CD153" i="10"/>
  <c r="CC153" i="10"/>
  <c r="CB153" i="10"/>
  <c r="AH153" i="10"/>
  <c r="AI87" i="10"/>
  <c r="AH87" i="10"/>
  <c r="AF87" i="10"/>
  <c r="AG87" i="10"/>
  <c r="CC87" i="10"/>
  <c r="CD87" i="10"/>
  <c r="CB87" i="10"/>
  <c r="AG179" i="10"/>
  <c r="AF179" i="10"/>
  <c r="AH179" i="10"/>
  <c r="CC179" i="10"/>
  <c r="CD179" i="10"/>
  <c r="CB179" i="10"/>
  <c r="AI179" i="10"/>
  <c r="AG157" i="10"/>
  <c r="AF157" i="10"/>
  <c r="AI157" i="10"/>
  <c r="CD157" i="10"/>
  <c r="CC157" i="10"/>
  <c r="CB157" i="10"/>
  <c r="AH157" i="10"/>
  <c r="AG218" i="10"/>
  <c r="AF218" i="10"/>
  <c r="AI218" i="10"/>
  <c r="CD218" i="10"/>
  <c r="CB218" i="10"/>
  <c r="AH218" i="10"/>
  <c r="CC218" i="10"/>
  <c r="AG52" i="10"/>
  <c r="AH52" i="10"/>
  <c r="AF52" i="10"/>
  <c r="CD52" i="10"/>
  <c r="AI52" i="10"/>
  <c r="CC52" i="10"/>
  <c r="CB52" i="10"/>
  <c r="AG203" i="10"/>
  <c r="AH203" i="10"/>
  <c r="AF203" i="10"/>
  <c r="CD203" i="10"/>
  <c r="AI203" i="10"/>
  <c r="CB203" i="10"/>
  <c r="CC203" i="10"/>
  <c r="AF11" i="10"/>
  <c r="AG11" i="10"/>
  <c r="AH11" i="10"/>
  <c r="AI11" i="10"/>
  <c r="CD11" i="10"/>
  <c r="CB11" i="10"/>
  <c r="CC11" i="10"/>
  <c r="AI227" i="10"/>
  <c r="AH227" i="10"/>
  <c r="AG227" i="10"/>
  <c r="AF227" i="10"/>
  <c r="CB227" i="10"/>
  <c r="CD227" i="10"/>
  <c r="CC227" i="10"/>
  <c r="AF145" i="10"/>
  <c r="AH145" i="10"/>
  <c r="AI145" i="10"/>
  <c r="CD145" i="10"/>
  <c r="CB145" i="10"/>
  <c r="CC145" i="10"/>
  <c r="AG145" i="10"/>
  <c r="AF168" i="10"/>
  <c r="AG168" i="10"/>
  <c r="CD168" i="10"/>
  <c r="CB168" i="10"/>
  <c r="CC168" i="10"/>
  <c r="AI168" i="10"/>
  <c r="AH168" i="10"/>
  <c r="AF98" i="10"/>
  <c r="AG98" i="10"/>
  <c r="AH98" i="10"/>
  <c r="CC98" i="10"/>
  <c r="AI98" i="10"/>
  <c r="CB98" i="10"/>
  <c r="CD98" i="10"/>
  <c r="AG46" i="10"/>
  <c r="AH46" i="10"/>
  <c r="CC46" i="10"/>
  <c r="CD46" i="10"/>
  <c r="CB46" i="10"/>
  <c r="AI46" i="10"/>
  <c r="AF46" i="10"/>
  <c r="AF93" i="10"/>
  <c r="AI93" i="10"/>
  <c r="AG93" i="10"/>
  <c r="AH93" i="10"/>
  <c r="CD93" i="10"/>
  <c r="CC93" i="10"/>
  <c r="CB93" i="10"/>
  <c r="AH21" i="10"/>
  <c r="AI21" i="10"/>
  <c r="AF21" i="10"/>
  <c r="AG21" i="10"/>
  <c r="CC21" i="10"/>
  <c r="CB21" i="10"/>
  <c r="CD21" i="10"/>
  <c r="AG135" i="10"/>
  <c r="AH135" i="10"/>
  <c r="AF135" i="10"/>
  <c r="CC135" i="10"/>
  <c r="AI135" i="10"/>
  <c r="CB135" i="10"/>
  <c r="CD135" i="10"/>
  <c r="AG199" i="10"/>
  <c r="AI199" i="10"/>
  <c r="CD199" i="10"/>
  <c r="CC199" i="10"/>
  <c r="AH199" i="10"/>
  <c r="AF199" i="10"/>
  <c r="CB199" i="10"/>
  <c r="AH126" i="10"/>
  <c r="AG126" i="10"/>
  <c r="AF126" i="10"/>
  <c r="AI126" i="10"/>
  <c r="CC126" i="10"/>
  <c r="CD126" i="10"/>
  <c r="CB126" i="10"/>
  <c r="AG76" i="10"/>
  <c r="AF76" i="10"/>
  <c r="AI76" i="10"/>
  <c r="AH76" i="10"/>
  <c r="CC76" i="10"/>
  <c r="CD76" i="10"/>
  <c r="CB76" i="10"/>
  <c r="AI220" i="10"/>
  <c r="AF220" i="10"/>
  <c r="AG220" i="10"/>
  <c r="CB220" i="10"/>
  <c r="AH220" i="10"/>
  <c r="CD220" i="10"/>
  <c r="CC220" i="10"/>
  <c r="AI125" i="10"/>
  <c r="AG125" i="10"/>
  <c r="AH125" i="10"/>
  <c r="AF125" i="10"/>
  <c r="CC125" i="10"/>
  <c r="CD125" i="10"/>
  <c r="CB125" i="10"/>
  <c r="AG48" i="10"/>
  <c r="AH48" i="10"/>
  <c r="AF48" i="10"/>
  <c r="CC48" i="10"/>
  <c r="CD48" i="10"/>
  <c r="CB48" i="10"/>
  <c r="AI48" i="10"/>
  <c r="AF55" i="10"/>
  <c r="AH55" i="10"/>
  <c r="AG55" i="10"/>
  <c r="AI55" i="10"/>
  <c r="CB55" i="10"/>
  <c r="CC55" i="10"/>
  <c r="CD55" i="10"/>
  <c r="AG244" i="10"/>
  <c r="AF244" i="10"/>
  <c r="CC244" i="10"/>
  <c r="CD244" i="10"/>
  <c r="CB244" i="10"/>
  <c r="AH244" i="10"/>
  <c r="AI244" i="10"/>
  <c r="AF241" i="10"/>
  <c r="AI241" i="10"/>
  <c r="AG241" i="10"/>
  <c r="AH241" i="10"/>
  <c r="CB241" i="10"/>
  <c r="CD241" i="10"/>
  <c r="CC241" i="10"/>
  <c r="AG239" i="10"/>
  <c r="AF239" i="10"/>
  <c r="CC239" i="10"/>
  <c r="CB239" i="10"/>
  <c r="AI239" i="10"/>
  <c r="AH239" i="10"/>
  <c r="CD239" i="10"/>
  <c r="AH252" i="10"/>
  <c r="AI252" i="10"/>
  <c r="AF252" i="10"/>
  <c r="AG252" i="10"/>
  <c r="CD252" i="10"/>
  <c r="CB252" i="10"/>
  <c r="CC252" i="10"/>
  <c r="AG113" i="10"/>
  <c r="AF113" i="10"/>
  <c r="AH113" i="10"/>
  <c r="CD113" i="10"/>
  <c r="CB113" i="10"/>
  <c r="AI113" i="10"/>
  <c r="CC113" i="10"/>
  <c r="AG204" i="10"/>
  <c r="AH204" i="10"/>
  <c r="CB204" i="10"/>
  <c r="AF204" i="10"/>
  <c r="AI204" i="10"/>
  <c r="CD204" i="10"/>
  <c r="CC204" i="10"/>
  <c r="AF187" i="10"/>
  <c r="AI187" i="10"/>
  <c r="AH187" i="10"/>
  <c r="CC187" i="10"/>
  <c r="AG187" i="10"/>
  <c r="CB187" i="10"/>
  <c r="CD187" i="10"/>
  <c r="AF108" i="10"/>
  <c r="AG108" i="10"/>
  <c r="AH108" i="10"/>
  <c r="AI108" i="10"/>
  <c r="CD108" i="10"/>
  <c r="CB108" i="10"/>
  <c r="CC108" i="10"/>
  <c r="AH27" i="10"/>
  <c r="AF27" i="10"/>
  <c r="AI27" i="10"/>
  <c r="CB27" i="10"/>
  <c r="AG27" i="10"/>
  <c r="CC27" i="10"/>
  <c r="CD27" i="10"/>
  <c r="AG171" i="10"/>
  <c r="AI171" i="10"/>
  <c r="AF171" i="10"/>
  <c r="AH171" i="10"/>
  <c r="CD171" i="10"/>
  <c r="CB171" i="10"/>
  <c r="CC171" i="10"/>
  <c r="AF12" i="10"/>
  <c r="AG12" i="10"/>
  <c r="AI12" i="10"/>
  <c r="AH12" i="10"/>
  <c r="CD12" i="10"/>
  <c r="CB12" i="10"/>
  <c r="CC12" i="10"/>
  <c r="AH230" i="10"/>
  <c r="AG230" i="10"/>
  <c r="AI230" i="10"/>
  <c r="AF230" i="10"/>
  <c r="CB230" i="10"/>
  <c r="CC230" i="10"/>
  <c r="CD230" i="10"/>
  <c r="AF39" i="10"/>
  <c r="AI39" i="10"/>
  <c r="AG39" i="10"/>
  <c r="CD39" i="10"/>
  <c r="AH39" i="10"/>
  <c r="CB39" i="10"/>
  <c r="CC39" i="10"/>
  <c r="AF18" i="10"/>
  <c r="AG18" i="10"/>
  <c r="AH18" i="10"/>
  <c r="CC18" i="10"/>
  <c r="AI18" i="10"/>
  <c r="CD18" i="10"/>
  <c r="CB18" i="10"/>
  <c r="AH173" i="10"/>
  <c r="AI173" i="10"/>
  <c r="AF173" i="10"/>
  <c r="AG173" i="10"/>
  <c r="CB173" i="10"/>
  <c r="CD173" i="10"/>
  <c r="CC173" i="10"/>
  <c r="AG75" i="10"/>
  <c r="AF75" i="10"/>
  <c r="AH75" i="10"/>
  <c r="AI75" i="10"/>
  <c r="CC75" i="10"/>
  <c r="CB75" i="10"/>
  <c r="CD75" i="10"/>
  <c r="AG8" i="10"/>
  <c r="AF8" i="10"/>
  <c r="AH8" i="10"/>
  <c r="CD8" i="10"/>
  <c r="AI8" i="10"/>
  <c r="CB8" i="10"/>
  <c r="CC8" i="10"/>
  <c r="AG24" i="10"/>
  <c r="AH24" i="10"/>
  <c r="AF24" i="10"/>
  <c r="AI24" i="10"/>
  <c r="CB24" i="10"/>
  <c r="CC24" i="10"/>
  <c r="CD24" i="10"/>
  <c r="AF212" i="10"/>
  <c r="AG212" i="10"/>
  <c r="AH212" i="10"/>
  <c r="AI212" i="10"/>
  <c r="CC212" i="10"/>
  <c r="CD212" i="10"/>
  <c r="CB212" i="10"/>
  <c r="AG217" i="10"/>
  <c r="AF217" i="10"/>
  <c r="CB217" i="10"/>
  <c r="AI217" i="10"/>
  <c r="AH217" i="10"/>
  <c r="CD217" i="10"/>
  <c r="CC217" i="10"/>
  <c r="AG215" i="10"/>
  <c r="AF215" i="10"/>
  <c r="AI215" i="10"/>
  <c r="AH215" i="10"/>
  <c r="CB215" i="10"/>
  <c r="CD215" i="10"/>
  <c r="CC215" i="10"/>
  <c r="AG228" i="10"/>
  <c r="AH228" i="10"/>
  <c r="CD228" i="10"/>
  <c r="AI228" i="10"/>
  <c r="AF228" i="10"/>
  <c r="CC228" i="10"/>
  <c r="CB228" i="10"/>
  <c r="AG251" i="10"/>
  <c r="AF251" i="10"/>
  <c r="AH251" i="10"/>
  <c r="AI251" i="10"/>
  <c r="CB251" i="10"/>
  <c r="CD251" i="10"/>
  <c r="CC251" i="10"/>
  <c r="AG91" i="10"/>
  <c r="AF91" i="10"/>
  <c r="AI91" i="10"/>
  <c r="CD91" i="10"/>
  <c r="AH91" i="10"/>
  <c r="CB91" i="10"/>
  <c r="CC91" i="10"/>
  <c r="AG105" i="10"/>
  <c r="AI105" i="10"/>
  <c r="AF105" i="10"/>
  <c r="AH105" i="10"/>
  <c r="CC105" i="10"/>
  <c r="CB105" i="10"/>
  <c r="CD105" i="10"/>
  <c r="AF78" i="10"/>
  <c r="AG78" i="10"/>
  <c r="AH78" i="10"/>
  <c r="AI78" i="10"/>
  <c r="CC78" i="10"/>
  <c r="CD78" i="10"/>
  <c r="CB78" i="10"/>
  <c r="AH141" i="10"/>
  <c r="AF141" i="10"/>
  <c r="AG141" i="10"/>
  <c r="CD141" i="10"/>
  <c r="CB141" i="10"/>
  <c r="AI141" i="10"/>
  <c r="CC141" i="10"/>
  <c r="AF128" i="10"/>
  <c r="AG128" i="10"/>
  <c r="CC128" i="10"/>
  <c r="AH128" i="10"/>
  <c r="CB128" i="10"/>
  <c r="AI128" i="10"/>
  <c r="CD128" i="10"/>
  <c r="P256" i="1"/>
  <c r="AG206" i="10"/>
  <c r="AF206" i="10"/>
  <c r="AH206" i="10"/>
  <c r="CD206" i="10"/>
  <c r="AI206" i="10"/>
  <c r="CC206" i="10"/>
  <c r="CB206" i="10"/>
  <c r="AG248" i="10"/>
  <c r="AF248" i="10"/>
  <c r="CB248" i="10"/>
  <c r="CC248" i="10"/>
  <c r="AI248" i="10"/>
  <c r="CD248" i="10"/>
  <c r="AH248" i="10"/>
  <c r="AG131" i="10"/>
  <c r="AF131" i="10"/>
  <c r="AI131" i="10"/>
  <c r="CD131" i="10"/>
  <c r="AH131" i="10"/>
  <c r="CB131" i="10"/>
  <c r="CC131" i="10"/>
  <c r="AF37" i="10"/>
  <c r="AG37" i="10"/>
  <c r="AI37" i="10"/>
  <c r="AH37" i="10"/>
  <c r="CC37" i="10"/>
  <c r="CB37" i="10"/>
  <c r="CD37" i="10"/>
  <c r="AG249" i="10"/>
  <c r="AF249" i="10"/>
  <c r="CD249" i="10"/>
  <c r="AI249" i="10"/>
  <c r="CB249" i="10"/>
  <c r="AH249" i="10"/>
  <c r="CC249" i="10"/>
  <c r="AF182" i="10"/>
  <c r="CB182" i="10"/>
  <c r="AH182" i="10"/>
  <c r="AI182" i="10"/>
  <c r="CC182" i="10"/>
  <c r="AG182" i="10"/>
  <c r="CD182" i="10"/>
  <c r="AF192" i="10"/>
  <c r="AH192" i="10"/>
  <c r="AI192" i="10"/>
  <c r="AG192" i="10"/>
  <c r="CD192" i="10"/>
  <c r="CB192" i="10"/>
  <c r="CC192" i="10"/>
  <c r="AF190" i="10"/>
  <c r="AG190" i="10"/>
  <c r="AI190" i="10"/>
  <c r="AH190" i="10"/>
  <c r="CB190" i="10"/>
  <c r="CC190" i="10"/>
  <c r="CD190" i="10"/>
  <c r="AG205" i="10"/>
  <c r="AF205" i="10"/>
  <c r="AH205" i="10"/>
  <c r="CC205" i="10"/>
  <c r="CD205" i="10"/>
  <c r="AI205" i="10"/>
  <c r="CB205" i="10"/>
  <c r="AG229" i="10"/>
  <c r="AH229" i="10"/>
  <c r="AF229" i="10"/>
  <c r="AI229" i="10"/>
  <c r="CD229" i="10"/>
  <c r="CC229" i="10"/>
  <c r="CB229" i="10"/>
  <c r="AG69" i="10"/>
  <c r="AF69" i="10"/>
  <c r="AH69" i="10"/>
  <c r="CC69" i="10"/>
  <c r="CD69" i="10"/>
  <c r="AI69" i="10"/>
  <c r="CB69" i="10"/>
  <c r="AF195" i="10"/>
  <c r="AH195" i="10"/>
  <c r="AI195" i="10"/>
  <c r="CB195" i="10"/>
  <c r="CD195" i="10"/>
  <c r="CC195" i="10"/>
  <c r="AG195" i="10"/>
  <c r="AG44" i="10"/>
  <c r="AF44" i="10"/>
  <c r="AI44" i="10"/>
  <c r="AH44" i="10"/>
  <c r="CB44" i="10"/>
  <c r="CC44" i="10"/>
  <c r="CD44" i="10"/>
  <c r="AF150" i="10"/>
  <c r="CC150" i="10"/>
  <c r="AG150" i="10"/>
  <c r="AH150" i="10"/>
  <c r="CB150" i="10"/>
  <c r="AI150" i="10"/>
  <c r="CD150" i="10"/>
  <c r="AF124" i="10"/>
  <c r="AG124" i="10"/>
  <c r="AH124" i="10"/>
  <c r="AI124" i="10"/>
  <c r="CC124" i="10"/>
  <c r="CD124" i="10"/>
  <c r="CB124" i="10"/>
  <c r="AG26" i="10"/>
  <c r="AH26" i="10"/>
  <c r="AF26" i="10"/>
  <c r="AI26" i="10"/>
  <c r="CB26" i="10"/>
  <c r="CC26" i="10"/>
  <c r="CD26" i="10"/>
  <c r="AF231" i="10"/>
  <c r="AG231" i="10"/>
  <c r="AH231" i="10"/>
  <c r="AI231" i="10"/>
  <c r="CC231" i="10"/>
  <c r="CB231" i="10"/>
  <c r="CD231" i="10"/>
  <c r="AF40" i="10"/>
  <c r="CC40" i="10"/>
  <c r="AG40" i="10"/>
  <c r="AH40" i="10"/>
  <c r="CD40" i="10"/>
  <c r="CB40" i="10"/>
  <c r="AI40" i="10"/>
  <c r="AF154" i="10"/>
  <c r="AG154" i="10"/>
  <c r="AI154" i="10"/>
  <c r="CD154" i="10"/>
  <c r="CB154" i="10"/>
  <c r="CC154" i="10"/>
  <c r="AH154" i="10"/>
  <c r="AG196" i="10"/>
  <c r="AI196" i="10"/>
  <c r="AH196" i="10"/>
  <c r="CB196" i="10"/>
  <c r="CD196" i="10"/>
  <c r="CC196" i="10"/>
  <c r="AF196" i="10"/>
  <c r="AH81" i="10"/>
  <c r="AG81" i="10"/>
  <c r="CB81" i="10"/>
  <c r="AI81" i="10"/>
  <c r="CD81" i="10"/>
  <c r="CC81" i="10"/>
  <c r="AF81" i="10"/>
  <c r="AG221" i="10"/>
  <c r="CC221" i="10"/>
  <c r="AF221" i="10"/>
  <c r="CD221" i="10"/>
  <c r="CB221" i="10"/>
  <c r="AI221" i="10"/>
  <c r="AH221" i="10"/>
  <c r="AF151" i="10"/>
  <c r="AG151" i="10"/>
  <c r="AH151" i="10"/>
  <c r="CB151" i="10"/>
  <c r="CC151" i="10"/>
  <c r="AI151" i="10"/>
  <c r="CD151" i="10"/>
  <c r="AF167" i="10"/>
  <c r="AG167" i="10"/>
  <c r="AH167" i="10"/>
  <c r="CD167" i="10"/>
  <c r="CB167" i="10"/>
  <c r="AI167" i="10"/>
  <c r="CC167" i="10"/>
  <c r="AF165" i="10"/>
  <c r="AH165" i="10"/>
  <c r="AG165" i="10"/>
  <c r="CB165" i="10"/>
  <c r="AI165" i="10"/>
  <c r="CD165" i="10"/>
  <c r="CC165" i="10"/>
  <c r="AF181" i="10"/>
  <c r="AH181" i="10"/>
  <c r="AG181" i="10"/>
  <c r="AI181" i="10"/>
  <c r="CC181" i="10"/>
  <c r="CD181" i="10"/>
  <c r="CB181" i="10"/>
  <c r="AF207" i="10"/>
  <c r="AG207" i="10"/>
  <c r="AH207" i="10"/>
  <c r="AI207" i="10"/>
  <c r="CC207" i="10"/>
  <c r="CB207" i="10"/>
  <c r="CD207" i="10"/>
  <c r="AG47" i="10"/>
  <c r="AH47" i="10"/>
  <c r="AF47" i="10"/>
  <c r="AI47" i="10"/>
  <c r="CC47" i="10"/>
  <c r="CB47" i="10"/>
  <c r="CD47" i="10"/>
  <c r="AG68" i="10"/>
  <c r="AF68" i="10"/>
  <c r="AI68" i="10"/>
  <c r="AH68" i="10"/>
  <c r="CD68" i="10"/>
  <c r="CB68" i="10"/>
  <c r="CC68" i="10"/>
  <c r="AF197" i="10"/>
  <c r="AG197" i="10"/>
  <c r="AI197" i="10"/>
  <c r="CB197" i="10"/>
  <c r="AH197" i="10"/>
  <c r="CD197" i="10"/>
  <c r="CC197" i="10"/>
  <c r="AG104" i="10"/>
  <c r="AF104" i="10"/>
  <c r="AH104" i="10"/>
  <c r="CB104" i="10"/>
  <c r="CC104" i="10"/>
  <c r="CD104" i="10"/>
  <c r="AI104" i="10"/>
  <c r="AG103" i="10"/>
  <c r="AF103" i="10"/>
  <c r="AH103" i="10"/>
  <c r="CC103" i="10"/>
  <c r="AI103" i="10"/>
  <c r="CB103" i="10"/>
  <c r="CD103" i="10"/>
  <c r="AG129" i="10"/>
  <c r="AF129" i="10"/>
  <c r="CC129" i="10"/>
  <c r="AH129" i="10"/>
  <c r="AI129" i="10"/>
  <c r="CB129" i="10"/>
  <c r="CD129" i="10"/>
  <c r="AF99" i="10"/>
  <c r="AG99" i="10"/>
  <c r="AH99" i="10"/>
  <c r="AI99" i="10"/>
  <c r="CC99" i="10"/>
  <c r="CB99" i="10"/>
  <c r="CD99" i="10"/>
  <c r="AG130" i="10"/>
  <c r="AF130" i="10"/>
  <c r="AI130" i="10"/>
  <c r="AH130" i="10"/>
  <c r="CD130" i="10"/>
  <c r="CC130" i="10"/>
  <c r="CB130" i="10"/>
  <c r="AG43" i="10"/>
  <c r="AF43" i="10"/>
  <c r="AH43" i="10"/>
  <c r="AI43" i="10"/>
  <c r="CC43" i="10"/>
  <c r="CD43" i="10"/>
  <c r="CB43" i="10"/>
  <c r="AG191" i="10"/>
  <c r="AF191" i="10"/>
  <c r="AH191" i="10"/>
  <c r="AI191" i="10"/>
  <c r="CB191" i="10"/>
  <c r="CC191" i="10"/>
  <c r="CD191" i="10"/>
  <c r="AF121" i="10"/>
  <c r="AH121" i="10"/>
  <c r="AI121" i="10"/>
  <c r="CD121" i="10"/>
  <c r="AG121" i="10"/>
  <c r="CC121" i="10"/>
  <c r="CB121" i="10"/>
  <c r="AF142" i="10"/>
  <c r="AH142" i="10"/>
  <c r="AI142" i="10"/>
  <c r="CD142" i="10"/>
  <c r="CB142" i="10"/>
  <c r="CC142" i="10"/>
  <c r="AG142" i="10"/>
  <c r="AG140" i="10"/>
  <c r="AF140" i="10"/>
  <c r="AH140" i="10"/>
  <c r="CD140" i="10"/>
  <c r="AI140" i="10"/>
  <c r="CB140" i="10"/>
  <c r="CC140" i="10"/>
  <c r="AF238" i="10"/>
  <c r="AG238" i="10"/>
  <c r="CC238" i="10"/>
  <c r="AH238" i="10"/>
  <c r="CD238" i="10"/>
  <c r="CB238" i="10"/>
  <c r="AI238" i="10"/>
  <c r="AG156" i="10"/>
  <c r="AF156" i="10"/>
  <c r="AH156" i="10"/>
  <c r="CC156" i="10"/>
  <c r="AI156" i="10"/>
  <c r="CB156" i="10"/>
  <c r="CD156" i="10"/>
  <c r="AG184" i="10"/>
  <c r="AF184" i="10"/>
  <c r="AH184" i="10"/>
  <c r="CD184" i="10"/>
  <c r="CC184" i="10"/>
  <c r="AI184" i="10"/>
  <c r="CB184" i="10"/>
  <c r="AG25" i="10"/>
  <c r="AH25" i="10"/>
  <c r="AF25" i="10"/>
  <c r="CC25" i="10"/>
  <c r="CB25" i="10"/>
  <c r="AI25" i="10"/>
  <c r="CD25" i="10"/>
  <c r="E6" i="6" a="1"/>
  <c r="E6" i="6" s="1"/>
  <c r="E2" i="13" a="1"/>
  <c r="E2" i="13" s="1"/>
  <c r="E12" i="13" a="1"/>
  <c r="E12" i="13" s="1"/>
  <c r="E14" i="13" a="1"/>
  <c r="E14" i="13" s="1"/>
  <c r="E26" i="13" a="1"/>
  <c r="E26" i="13" s="1"/>
  <c r="E17" i="13" a="1"/>
  <c r="E17" i="13" s="1"/>
  <c r="E31" i="13" a="1"/>
  <c r="E31" i="13" s="1"/>
  <c r="E33" i="13" a="1"/>
  <c r="E33" i="13" s="1"/>
  <c r="E23" i="13" a="1"/>
  <c r="E23" i="13" s="1"/>
  <c r="E13" i="13" a="1"/>
  <c r="E13" i="13" s="1"/>
  <c r="E15" i="13" a="1"/>
  <c r="E15" i="13" s="1"/>
  <c r="E25" i="13" a="1"/>
  <c r="E25" i="13" s="1"/>
  <c r="E32" i="13" a="1"/>
  <c r="E32" i="13" s="1"/>
  <c r="E34" i="13" a="1"/>
  <c r="E34" i="13" s="1"/>
  <c r="E3" i="13" a="1"/>
  <c r="E3" i="13" s="1"/>
  <c r="E29" i="13" a="1"/>
  <c r="E29" i="13" s="1"/>
  <c r="E16" i="13" a="1"/>
  <c r="E16" i="13" s="1"/>
  <c r="E18" i="13" a="1"/>
  <c r="E18" i="13" s="1"/>
  <c r="E35" i="13" a="1"/>
  <c r="E35" i="13" s="1"/>
  <c r="E24" i="13" a="1"/>
  <c r="E24" i="13" s="1"/>
  <c r="E28" i="13" a="1"/>
  <c r="E28" i="13" s="1"/>
  <c r="E4" i="13" a="1"/>
  <c r="E4" i="13" s="1"/>
  <c r="E19" i="13" a="1"/>
  <c r="E19" i="13" s="1"/>
  <c r="E5" i="13" a="1"/>
  <c r="E5" i="13" s="1"/>
  <c r="E20" i="13" a="1"/>
  <c r="E20" i="13" s="1"/>
  <c r="E6" i="13" a="1"/>
  <c r="E6" i="13" s="1"/>
  <c r="E21" i="13" a="1"/>
  <c r="E21" i="13" s="1"/>
  <c r="E27" i="13" a="1"/>
  <c r="E27" i="13" s="1"/>
  <c r="E11" i="13" a="1"/>
  <c r="E11" i="13" s="1"/>
  <c r="E7" i="13" a="1"/>
  <c r="E7" i="13" s="1"/>
  <c r="E22" i="13" a="1"/>
  <c r="E22" i="13" s="1"/>
  <c r="E8" i="13" a="1"/>
  <c r="E8" i="13" s="1"/>
  <c r="E9" i="13" a="1"/>
  <c r="E9" i="13" s="1"/>
  <c r="E30" i="13" a="1"/>
  <c r="E30" i="13" s="1"/>
  <c r="E10" i="13" a="1"/>
  <c r="E10" i="13" s="1"/>
  <c r="H256" i="1"/>
  <c r="E20" i="6" a="1"/>
  <c r="E20" i="6" s="1"/>
  <c r="G256" i="1"/>
  <c r="I256" i="1"/>
  <c r="L256" i="1"/>
  <c r="N256" i="1"/>
  <c r="O256" i="1"/>
  <c r="E27" i="2"/>
  <c r="BD26" i="10" l="1"/>
  <c r="AE28" i="10"/>
  <c r="AE26" i="10"/>
  <c r="AE30" i="10"/>
  <c r="AE31" i="10"/>
  <c r="AE32" i="10"/>
  <c r="AE25" i="10"/>
  <c r="AE27" i="10"/>
  <c r="AE29" i="10"/>
  <c r="AB256" i="1"/>
  <c r="AC256" i="1"/>
  <c r="D49" i="6" a="1"/>
  <c r="D49" i="6" s="1"/>
  <c r="D48" i="6" a="1"/>
  <c r="D48" i="6" s="1"/>
  <c r="D47" i="6" a="1"/>
  <c r="D47" i="6" s="1"/>
  <c r="D45" i="6" a="1"/>
  <c r="D45" i="6" s="1"/>
  <c r="D46" i="6" a="1"/>
  <c r="D46" i="6" s="1"/>
  <c r="E8" i="6" a="1"/>
  <c r="E8" i="6" s="1"/>
  <c r="AF256" i="1"/>
  <c r="AE256" i="1"/>
  <c r="AD256" i="1"/>
  <c r="D15" i="6"/>
  <c r="AV256" i="1" l="1"/>
  <c r="BE25" i="10"/>
  <c r="BD25" i="10"/>
  <c r="BE26" i="10"/>
  <c r="D44" i="6" a="1"/>
  <c r="D44" i="6" s="1"/>
  <c r="AA256" i="1"/>
  <c r="J43" i="12" l="1"/>
  <c r="J5" i="20" l="1"/>
  <c r="K10" i="19"/>
  <c r="K11" i="19"/>
  <c r="K13" i="19"/>
  <c r="K6" i="19"/>
  <c r="K8" i="19"/>
  <c r="K14" i="19"/>
  <c r="K9" i="19"/>
  <c r="K7" i="19"/>
  <c r="K4" i="19" l="1"/>
  <c r="K81" i="19" s="1"/>
  <c r="L81" i="19"/>
  <c r="M7" i="19"/>
  <c r="N7" i="19" s="1"/>
  <c r="O7" i="19" s="1"/>
  <c r="P7" i="19" s="1"/>
  <c r="L5" i="20"/>
  <c r="M8" i="19"/>
  <c r="N8" i="19" s="1"/>
  <c r="O8" i="19" s="1"/>
  <c r="P8" i="19" s="1"/>
  <c r="M6" i="19"/>
  <c r="N6" i="19" s="1"/>
  <c r="O6" i="19" s="1"/>
  <c r="P6" i="19" s="1"/>
  <c r="M13" i="19"/>
  <c r="N13" i="19" s="1"/>
  <c r="O13" i="19" s="1"/>
  <c r="P13" i="19" s="1"/>
  <c r="M11" i="19"/>
  <c r="N11" i="19" s="1"/>
  <c r="O11" i="19" s="1"/>
  <c r="P11" i="19" s="1"/>
  <c r="M10" i="19"/>
  <c r="N10" i="19" s="1"/>
  <c r="O10" i="19" s="1"/>
  <c r="P10" i="19" s="1"/>
  <c r="M4" i="19"/>
  <c r="M9" i="19"/>
  <c r="N9" i="19" s="1"/>
  <c r="O9" i="19" s="1"/>
  <c r="P9" i="19" s="1"/>
  <c r="M14" i="19"/>
  <c r="N14" i="19" s="1"/>
  <c r="O14" i="19" s="1"/>
  <c r="P14" i="19" s="1"/>
  <c r="N4" i="19" l="1"/>
  <c r="M81" i="19"/>
  <c r="K5" i="20"/>
  <c r="M5" i="20"/>
  <c r="O4" i="19" l="1"/>
  <c r="P4" i="19" s="1"/>
  <c r="N81" i="19"/>
  <c r="AY256" i="1"/>
  <c r="N5" i="20"/>
  <c r="BK10" i="10" l="1"/>
  <c r="BK54" i="10"/>
  <c r="BK76" i="10"/>
  <c r="BK98" i="10"/>
  <c r="BK6" i="10"/>
  <c r="BK29" i="10"/>
  <c r="BK52" i="10"/>
  <c r="BK75" i="10"/>
  <c r="BK99" i="10"/>
  <c r="BK121" i="10"/>
  <c r="BK143" i="10"/>
  <c r="BK165" i="10"/>
  <c r="BK187" i="10"/>
  <c r="BK209" i="10"/>
  <c r="BK231" i="10"/>
  <c r="BK253" i="10"/>
  <c r="BK7" i="10"/>
  <c r="BK30" i="10"/>
  <c r="BK53" i="10"/>
  <c r="BK77" i="10"/>
  <c r="BK100" i="10"/>
  <c r="BK122" i="10"/>
  <c r="BK144" i="10"/>
  <c r="BK166" i="10"/>
  <c r="BK188" i="10"/>
  <c r="BK210" i="10"/>
  <c r="BK232" i="10"/>
  <c r="BK254" i="10"/>
  <c r="BK55" i="10"/>
  <c r="BK101" i="10"/>
  <c r="BK145" i="10"/>
  <c r="BK189" i="10"/>
  <c r="BK211" i="10"/>
  <c r="BK233" i="10"/>
  <c r="BK8" i="10"/>
  <c r="BK31" i="10"/>
  <c r="BK78" i="10"/>
  <c r="BK123" i="10"/>
  <c r="BK167" i="10"/>
  <c r="BK255" i="10"/>
  <c r="BK9" i="10"/>
  <c r="BK33" i="10"/>
  <c r="BK56" i="10"/>
  <c r="BK79" i="10"/>
  <c r="BK102" i="10"/>
  <c r="BK124" i="10"/>
  <c r="BK146" i="10"/>
  <c r="BK168" i="10"/>
  <c r="BK190" i="10"/>
  <c r="BK212" i="10"/>
  <c r="BK234" i="10"/>
  <c r="BK15" i="10"/>
  <c r="BK42" i="10"/>
  <c r="BK69" i="10"/>
  <c r="BK96" i="10"/>
  <c r="BK127" i="10"/>
  <c r="BK153" i="10"/>
  <c r="BK179" i="10"/>
  <c r="BK205" i="10"/>
  <c r="BK235" i="10"/>
  <c r="BK16" i="10"/>
  <c r="BK43" i="10"/>
  <c r="BK70" i="10"/>
  <c r="BK97" i="10"/>
  <c r="BK128" i="10"/>
  <c r="BK154" i="10"/>
  <c r="BK180" i="10"/>
  <c r="BK206" i="10"/>
  <c r="BK236" i="10"/>
  <c r="BK19" i="10"/>
  <c r="BK46" i="10"/>
  <c r="BK73" i="10"/>
  <c r="BK105" i="10"/>
  <c r="BK131" i="10"/>
  <c r="BK157" i="10"/>
  <c r="BK183" i="10"/>
  <c r="BK213" i="10"/>
  <c r="BK239" i="10"/>
  <c r="BK21" i="10"/>
  <c r="BK48" i="10"/>
  <c r="BK80" i="10"/>
  <c r="BK107" i="10"/>
  <c r="BK133" i="10"/>
  <c r="BK159" i="10"/>
  <c r="BK185" i="10"/>
  <c r="BK215" i="10"/>
  <c r="BK241" i="10"/>
  <c r="BK22" i="10"/>
  <c r="BK49" i="10"/>
  <c r="BK81" i="10"/>
  <c r="BK108" i="10"/>
  <c r="BK134" i="10"/>
  <c r="BK160" i="10"/>
  <c r="BK186" i="10"/>
  <c r="BK216" i="10"/>
  <c r="BK242" i="10"/>
  <c r="BK14" i="10"/>
  <c r="BK41" i="10"/>
  <c r="BK68" i="10"/>
  <c r="BK95" i="10"/>
  <c r="BK126" i="10"/>
  <c r="BK152" i="10"/>
  <c r="BK178" i="10"/>
  <c r="BK204" i="10"/>
  <c r="BK5" i="10"/>
  <c r="BK47" i="10"/>
  <c r="BK87" i="10"/>
  <c r="BK120" i="10"/>
  <c r="BK162" i="10"/>
  <c r="BK198" i="10"/>
  <c r="BK230" i="10"/>
  <c r="BK17" i="10"/>
  <c r="BK132" i="10"/>
  <c r="BK172" i="10"/>
  <c r="BK11" i="10"/>
  <c r="BK50" i="10"/>
  <c r="BK88" i="10"/>
  <c r="BK125" i="10"/>
  <c r="BK163" i="10"/>
  <c r="BK199" i="10"/>
  <c r="BK237" i="10"/>
  <c r="BK91" i="10"/>
  <c r="BK202" i="10"/>
  <c r="BK243" i="10"/>
  <c r="BK12" i="10"/>
  <c r="BK51" i="10"/>
  <c r="BK89" i="10"/>
  <c r="BK129" i="10"/>
  <c r="BK164" i="10"/>
  <c r="BK200" i="10"/>
  <c r="BK238" i="10"/>
  <c r="BK60" i="10"/>
  <c r="BK245" i="10"/>
  <c r="BK13" i="10"/>
  <c r="BK57" i="10"/>
  <c r="BK90" i="10"/>
  <c r="BK130" i="10"/>
  <c r="BK169" i="10"/>
  <c r="BK201" i="10"/>
  <c r="BK240" i="10"/>
  <c r="BK58" i="10"/>
  <c r="BK170" i="10"/>
  <c r="BK93" i="10"/>
  <c r="BK136" i="10"/>
  <c r="BK18" i="10"/>
  <c r="BK59" i="10"/>
  <c r="BK92" i="10"/>
  <c r="BK135" i="10"/>
  <c r="BK171" i="10"/>
  <c r="BK203" i="10"/>
  <c r="BK244" i="10"/>
  <c r="BK20" i="10"/>
  <c r="BK207" i="10"/>
  <c r="BK23" i="10"/>
  <c r="BK61" i="10"/>
  <c r="BK94" i="10"/>
  <c r="BK137" i="10"/>
  <c r="BK173" i="10"/>
  <c r="BK208" i="10"/>
  <c r="BK246" i="10"/>
  <c r="BK138" i="10"/>
  <c r="BK214" i="10"/>
  <c r="BK24" i="10"/>
  <c r="BK62" i="10"/>
  <c r="BK103" i="10"/>
  <c r="BK174" i="10"/>
  <c r="BK247" i="10"/>
  <c r="BK37" i="10"/>
  <c r="BK74" i="10"/>
  <c r="BK114" i="10"/>
  <c r="BK150" i="10"/>
  <c r="BK192" i="10"/>
  <c r="BK224" i="10"/>
  <c r="BK67" i="10"/>
  <c r="BK141" i="10"/>
  <c r="BK71" i="10"/>
  <c r="BK142" i="10"/>
  <c r="BK218" i="10"/>
  <c r="BK82" i="10"/>
  <c r="BK83" i="10"/>
  <c r="BK158" i="10"/>
  <c r="BK28" i="10"/>
  <c r="BK34" i="10"/>
  <c r="BK72" i="10"/>
  <c r="BK147" i="10"/>
  <c r="BK219" i="10"/>
  <c r="BK220" i="10"/>
  <c r="BK149" i="10"/>
  <c r="BK104" i="10"/>
  <c r="BK109" i="10"/>
  <c r="BK221" i="10"/>
  <c r="BK27" i="10"/>
  <c r="BK226" i="10"/>
  <c r="BK227" i="10"/>
  <c r="BK175" i="10"/>
  <c r="BK4" i="10"/>
  <c r="BK84" i="10"/>
  <c r="BK151" i="10"/>
  <c r="BK222" i="10"/>
  <c r="BK25" i="10"/>
  <c r="BK85" i="10"/>
  <c r="BK155" i="10"/>
  <c r="BK223" i="10"/>
  <c r="BK106" i="10"/>
  <c r="BK26" i="10"/>
  <c r="BK86" i="10"/>
  <c r="BK156" i="10"/>
  <c r="BK225" i="10"/>
  <c r="BK44" i="10"/>
  <c r="BK116" i="10"/>
  <c r="BK191" i="10"/>
  <c r="BK252" i="10"/>
  <c r="BK119" i="10"/>
  <c r="BK195" i="10"/>
  <c r="BK45" i="10"/>
  <c r="BK117" i="10"/>
  <c r="BK193" i="10"/>
  <c r="BK63" i="10"/>
  <c r="BK118" i="10"/>
  <c r="BK194" i="10"/>
  <c r="BK64" i="10"/>
  <c r="BK66" i="10"/>
  <c r="BK140" i="10"/>
  <c r="BK197" i="10"/>
  <c r="BK217" i="10"/>
  <c r="BK148" i="10"/>
  <c r="BK161" i="10"/>
  <c r="BK228" i="10"/>
  <c r="BK110" i="10"/>
  <c r="BK112" i="10"/>
  <c r="BK115" i="10"/>
  <c r="BK249" i="10"/>
  <c r="BK111" i="10"/>
  <c r="BK181" i="10"/>
  <c r="BK139" i="10"/>
  <c r="BK250" i="10"/>
  <c r="BK113" i="10"/>
  <c r="BK176" i="10"/>
  <c r="BK177" i="10"/>
  <c r="BK184" i="10"/>
  <c r="BK196" i="10"/>
  <c r="BK248" i="10"/>
  <c r="BK182" i="10"/>
  <c r="BK35" i="10"/>
  <c r="BK251" i="10"/>
  <c r="BK36" i="10"/>
  <c r="BK65" i="10"/>
  <c r="BK229" i="10"/>
  <c r="BK38" i="10"/>
  <c r="BK39" i="10"/>
  <c r="BK40" i="10"/>
  <c r="O81" i="19"/>
  <c r="O5" i="20"/>
  <c r="BN184" i="10" l="1"/>
  <c r="BN33" i="10"/>
  <c r="BN129" i="10"/>
  <c r="BN229" i="10"/>
  <c r="BN223" i="10"/>
  <c r="BN155" i="10"/>
  <c r="BN248" i="10"/>
  <c r="BN194" i="10"/>
  <c r="BN151" i="10"/>
  <c r="BN71" i="10"/>
  <c r="BN23" i="10"/>
  <c r="BN60" i="10"/>
  <c r="BN198" i="10"/>
  <c r="BN22" i="10"/>
  <c r="BN154" i="10"/>
  <c r="BN79" i="10"/>
  <c r="BN122" i="10"/>
  <c r="BN63" i="10"/>
  <c r="BN224" i="10"/>
  <c r="BN47" i="10"/>
  <c r="BN162" i="10"/>
  <c r="BN20" i="10"/>
  <c r="BN87" i="10"/>
  <c r="BN133" i="10"/>
  <c r="BN7" i="10"/>
  <c r="BN27" i="10"/>
  <c r="BN204" i="10"/>
  <c r="BN253" i="10"/>
  <c r="BN139" i="10"/>
  <c r="BN119" i="10"/>
  <c r="BN221" i="10"/>
  <c r="BN74" i="10"/>
  <c r="BN92" i="10"/>
  <c r="BN12" i="10"/>
  <c r="BN178" i="10"/>
  <c r="BN80" i="10"/>
  <c r="BN205" i="10"/>
  <c r="BN78" i="10"/>
  <c r="BN231" i="10"/>
  <c r="BN141" i="10"/>
  <c r="BN193" i="10"/>
  <c r="BN70" i="10"/>
  <c r="BN43" i="10"/>
  <c r="BN5" i="10"/>
  <c r="BN250" i="10"/>
  <c r="BN51" i="10"/>
  <c r="BN181" i="10"/>
  <c r="BN37" i="10"/>
  <c r="BN152" i="10"/>
  <c r="BN48" i="10"/>
  <c r="BN179" i="10"/>
  <c r="BN31" i="10"/>
  <c r="BN209" i="10"/>
  <c r="BN207" i="10"/>
  <c r="BN77" i="10"/>
  <c r="BN192" i="10"/>
  <c r="BN150" i="10"/>
  <c r="BN16" i="10"/>
  <c r="BN195" i="10"/>
  <c r="BN235" i="10"/>
  <c r="BN109" i="10"/>
  <c r="BN59" i="10"/>
  <c r="BN243" i="10"/>
  <c r="BN111" i="10"/>
  <c r="BN191" i="10"/>
  <c r="BN104" i="10"/>
  <c r="BN247" i="10"/>
  <c r="BN18" i="10"/>
  <c r="BN202" i="10"/>
  <c r="BN126" i="10"/>
  <c r="BN21" i="10"/>
  <c r="BN153" i="10"/>
  <c r="BN8" i="10"/>
  <c r="BN187" i="10"/>
  <c r="BN100" i="10"/>
  <c r="BN244" i="10"/>
  <c r="BN255" i="10"/>
  <c r="BN89" i="10"/>
  <c r="BN167" i="10"/>
  <c r="BN114" i="10"/>
  <c r="BN107" i="10"/>
  <c r="BN249" i="10"/>
  <c r="BN149" i="10"/>
  <c r="BN174" i="10"/>
  <c r="BN136" i="10"/>
  <c r="BN91" i="10"/>
  <c r="BN95" i="10"/>
  <c r="BN239" i="10"/>
  <c r="BN127" i="10"/>
  <c r="BN233" i="10"/>
  <c r="BN165" i="10"/>
  <c r="BN215" i="10"/>
  <c r="BN117" i="10"/>
  <c r="BN45" i="10"/>
  <c r="BN135" i="10"/>
  <c r="BN123" i="10"/>
  <c r="BN252" i="10"/>
  <c r="BN116" i="10"/>
  <c r="BN115" i="10"/>
  <c r="BN44" i="10"/>
  <c r="BN220" i="10"/>
  <c r="BN103" i="10"/>
  <c r="BN93" i="10"/>
  <c r="BN237" i="10"/>
  <c r="BN68" i="10"/>
  <c r="BN213" i="10"/>
  <c r="BN96" i="10"/>
  <c r="BN211" i="10"/>
  <c r="BN143" i="10"/>
  <c r="BN238" i="10"/>
  <c r="BN177" i="10"/>
  <c r="BN203" i="10"/>
  <c r="BN225" i="10"/>
  <c r="BN62" i="10"/>
  <c r="BN199" i="10"/>
  <c r="BN41" i="10"/>
  <c r="BN183" i="10"/>
  <c r="BN69" i="10"/>
  <c r="BN189" i="10"/>
  <c r="BN121" i="10"/>
  <c r="BN56" i="10"/>
  <c r="BN175" i="10"/>
  <c r="BN112" i="10"/>
  <c r="BN219" i="10"/>
  <c r="BN170" i="10"/>
  <c r="BN40" i="10"/>
  <c r="BN110" i="10"/>
  <c r="BN156" i="10"/>
  <c r="BN147" i="10"/>
  <c r="BN24" i="10"/>
  <c r="BN58" i="10"/>
  <c r="BN163" i="10"/>
  <c r="BN14" i="10"/>
  <c r="BN157" i="10"/>
  <c r="BN42" i="10"/>
  <c r="BN145" i="10"/>
  <c r="BN99" i="10"/>
  <c r="BN241" i="10"/>
  <c r="BN185" i="10"/>
  <c r="BN72" i="10"/>
  <c r="BN214" i="10"/>
  <c r="BN240" i="10"/>
  <c r="BN125" i="10"/>
  <c r="BN242" i="10"/>
  <c r="BN131" i="10"/>
  <c r="BN15" i="10"/>
  <c r="BN101" i="10"/>
  <c r="BN75" i="10"/>
  <c r="BN39" i="10"/>
  <c r="BN38" i="10"/>
  <c r="BN161" i="10"/>
  <c r="BN26" i="10"/>
  <c r="BN34" i="10"/>
  <c r="BN138" i="10"/>
  <c r="BN201" i="10"/>
  <c r="BN88" i="10"/>
  <c r="BN216" i="10"/>
  <c r="BN105" i="10"/>
  <c r="BN234" i="10"/>
  <c r="BN55" i="10"/>
  <c r="BN52" i="10"/>
  <c r="BN4" i="10"/>
  <c r="BN9" i="10"/>
  <c r="BN226" i="10"/>
  <c r="BN246" i="10"/>
  <c r="BN169" i="10"/>
  <c r="BN50" i="10"/>
  <c r="BN186" i="10"/>
  <c r="BN73" i="10"/>
  <c r="BN212" i="10"/>
  <c r="BN254" i="10"/>
  <c r="BN29" i="10"/>
  <c r="BN84" i="10"/>
  <c r="BN200" i="10"/>
  <c r="BN53" i="10"/>
  <c r="BN86" i="10"/>
  <c r="BN28" i="10"/>
  <c r="BN208" i="10"/>
  <c r="BN130" i="10"/>
  <c r="BN11" i="10"/>
  <c r="BN160" i="10"/>
  <c r="BN46" i="10"/>
  <c r="BN190" i="10"/>
  <c r="BN232" i="10"/>
  <c r="BN6" i="10"/>
  <c r="BN196" i="10"/>
  <c r="BN97" i="10"/>
  <c r="BN30" i="10"/>
  <c r="BN65" i="10"/>
  <c r="BN83" i="10"/>
  <c r="BN173" i="10"/>
  <c r="BN90" i="10"/>
  <c r="BN172" i="10"/>
  <c r="BN134" i="10"/>
  <c r="BN19" i="10"/>
  <c r="BN168" i="10"/>
  <c r="BN210" i="10"/>
  <c r="BN98" i="10"/>
  <c r="BN67" i="10"/>
  <c r="BN227" i="10"/>
  <c r="BN171" i="10"/>
  <c r="BN106" i="10"/>
  <c r="BN158" i="10"/>
  <c r="BN251" i="10"/>
  <c r="BN82" i="10"/>
  <c r="BN57" i="10"/>
  <c r="BN108" i="10"/>
  <c r="BN236" i="10"/>
  <c r="BN146" i="10"/>
  <c r="BN188" i="10"/>
  <c r="BN76" i="10"/>
  <c r="BN128" i="10"/>
  <c r="BN164" i="10"/>
  <c r="BN159" i="10"/>
  <c r="BN228" i="10"/>
  <c r="BN217" i="10"/>
  <c r="BN197" i="10"/>
  <c r="BN140" i="10"/>
  <c r="BN137" i="10"/>
  <c r="BN35" i="10"/>
  <c r="BN66" i="10"/>
  <c r="BN25" i="10"/>
  <c r="BN218" i="10"/>
  <c r="BN94" i="10"/>
  <c r="BN13" i="10"/>
  <c r="BN17" i="10"/>
  <c r="BN81" i="10"/>
  <c r="BN206" i="10"/>
  <c r="BN124" i="10"/>
  <c r="BN166" i="10"/>
  <c r="BN54" i="10"/>
  <c r="BN118" i="10"/>
  <c r="BN120" i="10"/>
  <c r="BN176" i="10"/>
  <c r="BN113" i="10"/>
  <c r="BN148" i="10"/>
  <c r="BN36" i="10"/>
  <c r="BN85" i="10"/>
  <c r="BN132" i="10"/>
  <c r="BN182" i="10"/>
  <c r="BN64" i="10"/>
  <c r="BN222" i="10"/>
  <c r="BN142" i="10"/>
  <c r="BN61" i="10"/>
  <c r="BN245" i="10"/>
  <c r="BN230" i="10"/>
  <c r="BN49" i="10"/>
  <c r="BN180" i="10"/>
  <c r="BN102" i="10"/>
  <c r="BN144" i="10"/>
  <c r="BN10" i="10"/>
  <c r="P81" i="19"/>
  <c r="P5" i="20"/>
  <c r="D102" i="6" l="1" a="1"/>
  <c r="D102" i="6" s="1"/>
  <c r="E102" i="6" s="1"/>
  <c r="AZ256" i="1"/>
  <c r="E43" i="12" l="1" a="1"/>
  <c r="E43" i="12" s="1"/>
  <c r="I43" i="12" s="1"/>
  <c r="K43" i="12" s="1"/>
  <c r="BI32" i="10" s="1"/>
  <c r="BN32" i="10" l="1"/>
  <c r="AB5" i="2" a="1"/>
  <c r="AB5" i="2" s="1"/>
  <c r="D100" i="6" l="1" a="1"/>
  <c r="D100" i="6" s="1"/>
  <c r="AX256" i="1"/>
  <c r="AK144" i="10" l="1"/>
  <c r="BF144" i="10"/>
  <c r="AK42" i="10"/>
  <c r="BF42" i="10"/>
  <c r="AK159" i="10"/>
  <c r="BF159" i="10"/>
  <c r="AK167" i="10"/>
  <c r="BF167" i="10"/>
  <c r="AK118" i="10"/>
  <c r="BF118" i="10"/>
  <c r="AK166" i="10"/>
  <c r="BF166" i="10"/>
  <c r="AK157" i="10"/>
  <c r="BF157" i="10"/>
  <c r="AK165" i="10"/>
  <c r="BF165" i="10"/>
  <c r="AK183" i="10"/>
  <c r="BF183" i="10"/>
  <c r="AK241" i="10"/>
  <c r="BF241" i="10"/>
  <c r="AK236" i="10"/>
  <c r="BF236" i="10"/>
  <c r="AK152" i="10"/>
  <c r="BF152" i="10"/>
  <c r="AK97" i="10"/>
  <c r="BF97" i="10"/>
  <c r="AK242" i="10"/>
  <c r="BF242" i="10"/>
  <c r="AK220" i="10"/>
  <c r="BF220" i="10"/>
  <c r="AK21" i="10"/>
  <c r="BF21" i="10"/>
  <c r="AK219" i="10"/>
  <c r="BF219" i="10"/>
  <c r="AK176" i="10"/>
  <c r="BF176" i="10"/>
  <c r="AK91" i="10"/>
  <c r="BF91" i="10"/>
  <c r="AK39" i="10"/>
  <c r="BF39" i="10"/>
  <c r="AK154" i="10"/>
  <c r="BF154" i="10"/>
  <c r="AK56" i="10"/>
  <c r="BF56" i="10"/>
  <c r="AK116" i="10"/>
  <c r="BF116" i="10"/>
  <c r="AK96" i="10"/>
  <c r="BF96" i="10"/>
  <c r="AK213" i="10"/>
  <c r="BF213" i="10"/>
  <c r="AK227" i="10"/>
  <c r="BF227" i="10"/>
  <c r="AK8" i="10"/>
  <c r="BF8" i="10"/>
  <c r="AK70" i="10"/>
  <c r="BF70" i="10"/>
  <c r="AK105" i="10"/>
  <c r="BF105" i="10"/>
  <c r="AK17" i="10"/>
  <c r="BF17" i="10"/>
  <c r="AK134" i="10"/>
  <c r="BF134" i="10"/>
  <c r="AK132" i="10"/>
  <c r="BF132" i="10"/>
  <c r="AK187" i="10"/>
  <c r="BF187" i="10"/>
  <c r="AK226" i="10"/>
  <c r="BF226" i="10"/>
  <c r="AK38" i="10"/>
  <c r="BF38" i="10"/>
  <c r="AK148" i="10"/>
  <c r="BF148" i="10"/>
  <c r="AK194" i="10"/>
  <c r="BF194" i="10"/>
  <c r="AK245" i="10"/>
  <c r="BF245" i="10"/>
  <c r="AK35" i="10"/>
  <c r="BF35" i="10"/>
  <c r="AK79" i="10"/>
  <c r="BF79" i="10"/>
  <c r="AK254" i="10"/>
  <c r="BF254" i="10"/>
  <c r="AK112" i="10"/>
  <c r="BF112" i="10"/>
  <c r="AK110" i="10"/>
  <c r="BF110" i="10"/>
  <c r="AK209" i="10"/>
  <c r="BF209" i="10"/>
  <c r="AK193" i="10"/>
  <c r="BF193" i="10"/>
  <c r="AK94" i="10"/>
  <c r="BF94" i="10"/>
  <c r="AK117" i="10"/>
  <c r="BF117" i="10"/>
  <c r="AK161" i="10"/>
  <c r="BF161" i="10"/>
  <c r="AK188" i="10"/>
  <c r="BF188" i="10"/>
  <c r="AK135" i="10"/>
  <c r="BF135" i="10"/>
  <c r="AK84" i="10"/>
  <c r="BF84" i="10"/>
  <c r="AK88" i="10"/>
  <c r="BF88" i="10"/>
  <c r="AK175" i="10"/>
  <c r="BF175" i="10"/>
  <c r="AK57" i="10"/>
  <c r="BF57" i="10"/>
  <c r="AK93" i="10"/>
  <c r="BF93" i="10"/>
  <c r="AK208" i="10"/>
  <c r="BF208" i="10"/>
  <c r="AK179" i="10"/>
  <c r="BF179" i="10"/>
  <c r="AK46" i="10"/>
  <c r="BF46" i="10"/>
  <c r="AK44" i="10"/>
  <c r="BF44" i="10"/>
  <c r="AK125" i="10"/>
  <c r="BF125" i="10"/>
  <c r="AK186" i="10"/>
  <c r="BF186" i="10"/>
  <c r="AK224" i="10"/>
  <c r="BF224" i="10"/>
  <c r="AK73" i="10"/>
  <c r="BF73" i="10"/>
  <c r="AK28" i="10"/>
  <c r="BF28" i="10"/>
  <c r="AK156" i="10"/>
  <c r="BF156" i="10"/>
  <c r="AK162" i="10"/>
  <c r="BF162" i="10"/>
  <c r="AK4" i="10"/>
  <c r="BF4" i="10"/>
  <c r="AK53" i="10"/>
  <c r="BF53" i="10"/>
  <c r="AK95" i="10"/>
  <c r="BF95" i="10"/>
  <c r="AK240" i="10"/>
  <c r="BF240" i="10"/>
  <c r="AK66" i="10"/>
  <c r="BF66" i="10"/>
  <c r="AK185" i="10"/>
  <c r="BF185" i="10"/>
  <c r="AK197" i="10"/>
  <c r="BF197" i="10"/>
  <c r="AK222" i="10"/>
  <c r="BF222" i="10"/>
  <c r="AK147" i="10"/>
  <c r="BF147" i="10"/>
  <c r="AK58" i="10"/>
  <c r="BF58" i="10"/>
  <c r="AK109" i="10"/>
  <c r="BF109" i="10"/>
  <c r="AK171" i="10"/>
  <c r="BF171" i="10"/>
  <c r="AK206" i="10"/>
  <c r="BF206" i="10"/>
  <c r="AK150" i="10"/>
  <c r="BF150" i="10"/>
  <c r="AK24" i="10"/>
  <c r="BF24" i="10"/>
  <c r="AK22" i="10"/>
  <c r="BF22" i="10"/>
  <c r="AK54" i="10"/>
  <c r="BF54" i="10"/>
  <c r="AK81" i="10"/>
  <c r="BF81" i="10"/>
  <c r="AK160" i="10"/>
  <c r="BF160" i="10"/>
  <c r="AK83" i="10"/>
  <c r="BF83" i="10"/>
  <c r="AK26" i="10"/>
  <c r="BF26" i="10"/>
  <c r="AK76" i="10"/>
  <c r="BF76" i="10"/>
  <c r="AK140" i="10"/>
  <c r="BF140" i="10"/>
  <c r="AK181" i="10"/>
  <c r="BF181" i="10"/>
  <c r="AK124" i="10"/>
  <c r="BF124" i="10"/>
  <c r="AK243" i="10"/>
  <c r="BF243" i="10"/>
  <c r="AK239" i="10"/>
  <c r="BF239" i="10"/>
  <c r="AK136" i="10"/>
  <c r="BF136" i="10"/>
  <c r="AK130" i="10"/>
  <c r="BF130" i="10"/>
  <c r="AK234" i="10"/>
  <c r="BF234" i="10"/>
  <c r="AK114" i="10"/>
  <c r="BF114" i="10"/>
  <c r="AK78" i="10"/>
  <c r="BF78" i="10"/>
  <c r="AK15" i="10"/>
  <c r="BF15" i="10"/>
  <c r="AK163" i="10"/>
  <c r="BF163" i="10"/>
  <c r="AK106" i="10"/>
  <c r="BF106" i="10"/>
  <c r="AK55" i="10"/>
  <c r="BF55" i="10"/>
  <c r="AK212" i="10"/>
  <c r="BF212" i="10"/>
  <c r="AK90" i="10"/>
  <c r="BF90" i="10"/>
  <c r="AK200" i="10"/>
  <c r="BF200" i="10"/>
  <c r="AK20" i="10"/>
  <c r="BF20" i="10"/>
  <c r="AK27" i="10"/>
  <c r="BF27" i="10"/>
  <c r="AK204" i="10"/>
  <c r="BF204" i="10"/>
  <c r="AK82" i="10"/>
  <c r="BF82" i="10"/>
  <c r="AK201" i="10"/>
  <c r="BF201" i="10"/>
  <c r="AK143" i="10"/>
  <c r="BF143" i="10"/>
  <c r="AK11" i="10"/>
  <c r="BF11" i="10"/>
  <c r="AK92" i="10"/>
  <c r="BF92" i="10"/>
  <c r="AK14" i="10"/>
  <c r="BF14" i="10"/>
  <c r="AK248" i="10"/>
  <c r="BF248" i="10"/>
  <c r="AK37" i="10"/>
  <c r="BF37" i="10"/>
  <c r="AK104" i="10"/>
  <c r="BF104" i="10"/>
  <c r="AK153" i="10"/>
  <c r="BF153" i="10"/>
  <c r="AK98" i="10"/>
  <c r="BF98" i="10"/>
  <c r="AK221" i="10"/>
  <c r="BF221" i="10"/>
  <c r="AK217" i="10"/>
  <c r="BF217" i="10"/>
  <c r="AK86" i="10"/>
  <c r="BF86" i="10"/>
  <c r="AK145" i="10"/>
  <c r="BF145" i="10"/>
  <c r="AK99" i="10"/>
  <c r="BF99" i="10"/>
  <c r="AK59" i="10"/>
  <c r="BF59" i="10"/>
  <c r="AK141" i="10"/>
  <c r="BF141" i="10"/>
  <c r="AK233" i="10"/>
  <c r="BF233" i="10"/>
  <c r="AK47" i="10"/>
  <c r="BF47" i="10"/>
  <c r="AK113" i="10"/>
  <c r="BF113" i="10"/>
  <c r="AK164" i="10"/>
  <c r="BF164" i="10"/>
  <c r="AK229" i="10"/>
  <c r="BF229" i="10"/>
  <c r="AK189" i="10"/>
  <c r="BF189" i="10"/>
  <c r="AK128" i="10"/>
  <c r="BF128" i="10"/>
  <c r="AK68" i="10"/>
  <c r="BF68" i="10"/>
  <c r="AK31" i="10"/>
  <c r="BF31" i="10"/>
  <c r="AK231" i="10"/>
  <c r="BF231" i="10"/>
  <c r="AK62" i="10"/>
  <c r="BF62" i="10"/>
  <c r="AK252" i="10"/>
  <c r="BF252" i="10"/>
  <c r="AK52" i="10"/>
  <c r="BF52" i="10"/>
  <c r="AK249" i="10"/>
  <c r="BF249" i="10"/>
  <c r="AK191" i="10"/>
  <c r="BF191" i="10"/>
  <c r="AK30" i="10"/>
  <c r="BF30" i="10"/>
  <c r="AK237" i="10"/>
  <c r="BF237" i="10"/>
  <c r="AK215" i="10"/>
  <c r="BF215" i="10"/>
  <c r="AK6" i="10"/>
  <c r="BF6" i="10"/>
  <c r="AK69" i="10"/>
  <c r="BF69" i="10"/>
  <c r="AK126" i="10"/>
  <c r="BF126" i="10"/>
  <c r="AK72" i="10"/>
  <c r="BF72" i="10"/>
  <c r="AK199" i="10"/>
  <c r="BF199" i="10"/>
  <c r="AK195" i="10"/>
  <c r="BF195" i="10"/>
  <c r="AK71" i="10"/>
  <c r="BF71" i="10"/>
  <c r="AK49" i="10"/>
  <c r="BF49" i="10"/>
  <c r="AK137" i="10"/>
  <c r="BF137" i="10"/>
  <c r="AK202" i="10"/>
  <c r="BF202" i="10"/>
  <c r="AK34" i="10"/>
  <c r="BF34" i="10"/>
  <c r="AK177" i="10"/>
  <c r="BF177" i="10"/>
  <c r="AK131" i="10"/>
  <c r="BF131" i="10"/>
  <c r="AK146" i="10"/>
  <c r="BF146" i="10"/>
  <c r="AK74" i="10"/>
  <c r="BF74" i="10"/>
  <c r="AK16" i="10"/>
  <c r="BF16" i="10"/>
  <c r="AK7" i="10"/>
  <c r="BF7" i="10"/>
  <c r="AK115" i="10"/>
  <c r="BF115" i="10"/>
  <c r="AK174" i="10"/>
  <c r="BF174" i="10"/>
  <c r="AK253" i="10"/>
  <c r="BF253" i="10"/>
  <c r="AK133" i="10"/>
  <c r="BF133" i="10"/>
  <c r="AK129" i="10"/>
  <c r="BF129" i="10"/>
  <c r="AK13" i="10"/>
  <c r="BF13" i="10"/>
  <c r="AK250" i="10"/>
  <c r="BF250" i="10"/>
  <c r="AK251" i="10"/>
  <c r="BF251" i="10"/>
  <c r="AK158" i="10"/>
  <c r="BF158" i="10"/>
  <c r="AK102" i="10"/>
  <c r="BF102" i="10"/>
  <c r="AK80" i="10"/>
  <c r="BF80" i="10"/>
  <c r="AK142" i="10"/>
  <c r="BF142" i="10"/>
  <c r="AK170" i="10"/>
  <c r="BF170" i="10"/>
  <c r="AK18" i="10"/>
  <c r="BF18" i="10"/>
  <c r="AK228" i="10"/>
  <c r="BF228" i="10"/>
  <c r="AK111" i="10"/>
  <c r="BF111" i="10"/>
  <c r="AK107" i="10"/>
  <c r="BF107" i="10"/>
  <c r="AK198" i="10"/>
  <c r="BF198" i="10"/>
  <c r="AK127" i="10"/>
  <c r="BF127" i="10"/>
  <c r="AK244" i="10"/>
  <c r="BF244" i="10"/>
  <c r="AK173" i="10"/>
  <c r="BF173" i="10"/>
  <c r="AK29" i="10"/>
  <c r="BF29" i="10"/>
  <c r="AK210" i="10"/>
  <c r="BF210" i="10"/>
  <c r="AK151" i="10"/>
  <c r="BF151" i="10"/>
  <c r="AK10" i="10"/>
  <c r="BF10" i="10"/>
  <c r="AK138" i="10"/>
  <c r="BF138" i="10"/>
  <c r="AK207" i="10"/>
  <c r="BF207" i="10"/>
  <c r="AK182" i="10"/>
  <c r="BF182" i="10"/>
  <c r="AK87" i="10"/>
  <c r="BF87" i="10"/>
  <c r="AK255" i="10"/>
  <c r="BF255" i="10"/>
  <c r="AK246" i="10"/>
  <c r="BF246" i="10"/>
  <c r="AK32" i="10"/>
  <c r="BF32" i="10"/>
  <c r="AK9" i="10"/>
  <c r="BF9" i="10"/>
  <c r="AK75" i="10"/>
  <c r="BF75" i="10"/>
  <c r="AK103" i="10"/>
  <c r="BF103" i="10"/>
  <c r="AK230" i="10"/>
  <c r="BF230" i="10"/>
  <c r="AK178" i="10"/>
  <c r="BF178" i="10"/>
  <c r="AK67" i="10"/>
  <c r="BF67" i="10"/>
  <c r="AK63" i="10"/>
  <c r="BF63" i="10"/>
  <c r="AK101" i="10"/>
  <c r="BF101" i="10"/>
  <c r="AK211" i="10"/>
  <c r="BF211" i="10"/>
  <c r="AK172" i="10"/>
  <c r="BF172" i="10"/>
  <c r="AK77" i="10"/>
  <c r="BF77" i="10"/>
  <c r="AK120" i="10"/>
  <c r="BF120" i="10"/>
  <c r="AK184" i="10"/>
  <c r="BF184" i="10"/>
  <c r="AK100" i="10"/>
  <c r="BF100" i="10"/>
  <c r="AK43" i="10"/>
  <c r="BF43" i="10"/>
  <c r="AK51" i="10"/>
  <c r="BF51" i="10"/>
  <c r="AK61" i="10"/>
  <c r="BF61" i="10"/>
  <c r="AK169" i="10"/>
  <c r="BF169" i="10"/>
  <c r="AK238" i="10"/>
  <c r="BF238" i="10"/>
  <c r="AK155" i="10"/>
  <c r="BF155" i="10"/>
  <c r="AK50" i="10"/>
  <c r="BF50" i="10"/>
  <c r="AK218" i="10"/>
  <c r="BF218" i="10"/>
  <c r="AK48" i="10"/>
  <c r="BF48" i="10"/>
  <c r="AK121" i="10"/>
  <c r="BF121" i="10"/>
  <c r="AK190" i="10"/>
  <c r="BF190" i="10"/>
  <c r="AK64" i="10"/>
  <c r="BF64" i="10"/>
  <c r="AK40" i="10"/>
  <c r="BF40" i="10"/>
  <c r="AK108" i="10"/>
  <c r="BF108" i="10"/>
  <c r="AK139" i="10"/>
  <c r="BF139" i="10"/>
  <c r="AK203" i="10"/>
  <c r="BF203" i="10"/>
  <c r="AK89" i="10"/>
  <c r="BF89" i="10"/>
  <c r="AK85" i="10"/>
  <c r="BF85" i="10"/>
  <c r="AK192" i="10"/>
  <c r="BF192" i="10"/>
  <c r="AK122" i="10"/>
  <c r="BF122" i="10"/>
  <c r="AK25" i="10"/>
  <c r="BF25" i="10"/>
  <c r="AK168" i="10"/>
  <c r="BF168" i="10"/>
  <c r="AK119" i="10"/>
  <c r="BF119" i="10"/>
  <c r="AK60" i="10"/>
  <c r="BF60" i="10"/>
  <c r="AK223" i="10"/>
  <c r="BF223" i="10"/>
  <c r="AK232" i="10"/>
  <c r="BF232" i="10"/>
  <c r="AK247" i="10"/>
  <c r="BF247" i="10"/>
  <c r="AK36" i="10"/>
  <c r="BF36" i="10"/>
  <c r="AK65" i="10"/>
  <c r="BF65" i="10"/>
  <c r="AK205" i="10"/>
  <c r="BF205" i="10"/>
  <c r="AK149" i="10"/>
  <c r="BF149" i="10"/>
  <c r="AK45" i="10"/>
  <c r="BF45" i="10"/>
  <c r="AK41" i="10"/>
  <c r="BF41" i="10"/>
  <c r="AK12" i="10"/>
  <c r="BF12" i="10"/>
  <c r="AK235" i="10"/>
  <c r="BF235" i="10"/>
  <c r="AK225" i="10"/>
  <c r="BF225" i="10"/>
  <c r="AK216" i="10"/>
  <c r="BF216" i="10"/>
  <c r="AK196" i="10"/>
  <c r="BF196" i="10"/>
  <c r="AK214" i="10"/>
  <c r="BF214" i="10"/>
  <c r="AK5" i="10"/>
  <c r="BF5" i="10"/>
  <c r="AK33" i="10"/>
  <c r="BF33" i="10"/>
  <c r="AK180" i="10"/>
  <c r="BF180" i="10"/>
  <c r="AK123" i="10"/>
  <c r="BF123" i="10"/>
  <c r="AK23" i="10"/>
  <c r="BF23" i="10"/>
  <c r="AK19" i="10"/>
  <c r="BF19" i="10"/>
  <c r="AG256" i="1"/>
  <c r="D50" i="6" a="1"/>
  <c r="D50" i="6" s="1"/>
  <c r="E50" i="6" s="1"/>
  <c r="Q256" i="10"/>
  <c r="N256" i="10"/>
  <c r="K256" i="10"/>
  <c r="O256" i="10"/>
  <c r="L256" i="10"/>
  <c r="I256" i="10"/>
  <c r="P256" i="10"/>
  <c r="M256" i="10"/>
  <c r="J256" i="10"/>
  <c r="E5" i="6"/>
  <c r="E51" i="6"/>
  <c r="E49" i="6"/>
  <c r="E48" i="6"/>
  <c r="E47" i="6"/>
  <c r="E46" i="6"/>
  <c r="E45" i="6"/>
  <c r="BG235" i="10" l="1"/>
  <c r="BG60" i="10"/>
  <c r="BG40" i="10"/>
  <c r="BG51" i="10"/>
  <c r="BG178" i="10"/>
  <c r="BG138" i="10"/>
  <c r="BG228" i="10"/>
  <c r="BG133" i="10"/>
  <c r="BG202" i="10"/>
  <c r="BG237" i="10"/>
  <c r="BG189" i="10"/>
  <c r="BG217" i="10"/>
  <c r="BG201" i="10"/>
  <c r="BG15" i="10"/>
  <c r="BG76" i="10"/>
  <c r="BG109" i="10"/>
  <c r="BG162" i="10"/>
  <c r="BG93" i="10"/>
  <c r="BG209" i="10"/>
  <c r="BG187" i="10"/>
  <c r="BG56" i="10"/>
  <c r="BG236" i="10"/>
  <c r="AM237" i="10"/>
  <c r="BG119" i="10"/>
  <c r="AM189" i="10"/>
  <c r="BG64" i="10"/>
  <c r="AM178" i="10"/>
  <c r="AM209" i="10"/>
  <c r="BG43" i="10"/>
  <c r="AM40" i="10"/>
  <c r="AM15" i="10"/>
  <c r="AM56" i="10"/>
  <c r="BG241" i="10"/>
  <c r="AM229" i="10"/>
  <c r="BG170" i="10"/>
  <c r="BG147" i="10"/>
  <c r="AM190" i="10"/>
  <c r="AM98" i="10"/>
  <c r="AM28" i="10"/>
  <c r="AM134" i="10"/>
  <c r="BG45" i="10"/>
  <c r="BG142" i="10"/>
  <c r="BG71" i="10"/>
  <c r="BG153" i="10"/>
  <c r="BG222" i="10"/>
  <c r="BG73" i="10"/>
  <c r="BG88" i="10"/>
  <c r="BG254" i="10"/>
  <c r="BG17" i="10"/>
  <c r="BG91" i="10"/>
  <c r="BG165" i="10"/>
  <c r="AM123" i="10"/>
  <c r="AM45" i="10"/>
  <c r="AM25" i="10"/>
  <c r="AM121" i="10"/>
  <c r="AM184" i="10"/>
  <c r="AM75" i="10"/>
  <c r="AM210" i="10"/>
  <c r="AM142" i="10"/>
  <c r="AM115" i="10"/>
  <c r="AM71" i="10"/>
  <c r="AM249" i="10"/>
  <c r="AM113" i="10"/>
  <c r="AM153" i="10"/>
  <c r="AM27" i="10"/>
  <c r="AM234" i="10"/>
  <c r="AM160" i="10"/>
  <c r="AM222" i="10"/>
  <c r="AM73" i="10"/>
  <c r="AM88" i="10"/>
  <c r="AM254" i="10"/>
  <c r="AM17" i="10"/>
  <c r="AM91" i="10"/>
  <c r="AM165" i="10"/>
  <c r="AM202" i="10"/>
  <c r="BG221" i="10"/>
  <c r="AM12" i="10"/>
  <c r="AM26" i="10"/>
  <c r="BG103" i="10"/>
  <c r="BG114" i="10"/>
  <c r="AM168" i="10"/>
  <c r="AM164" i="10"/>
  <c r="AM83" i="10"/>
  <c r="AM39" i="10"/>
  <c r="BG210" i="10"/>
  <c r="BG160" i="10"/>
  <c r="BG149" i="10"/>
  <c r="BG120" i="10"/>
  <c r="BG9" i="10"/>
  <c r="BG80" i="10"/>
  <c r="BG7" i="10"/>
  <c r="BG52" i="10"/>
  <c r="BG104" i="10"/>
  <c r="BG130" i="10"/>
  <c r="BG81" i="10"/>
  <c r="BG224" i="10"/>
  <c r="BG84" i="10"/>
  <c r="BG79" i="10"/>
  <c r="BG105" i="10"/>
  <c r="BG176" i="10"/>
  <c r="BG157" i="10"/>
  <c r="AM133" i="10"/>
  <c r="AM93" i="10"/>
  <c r="BG12" i="10"/>
  <c r="BG30" i="10"/>
  <c r="AM19" i="10"/>
  <c r="AM78" i="10"/>
  <c r="AM154" i="10"/>
  <c r="BG183" i="10"/>
  <c r="AM174" i="10"/>
  <c r="AM114" i="10"/>
  <c r="AM112" i="10"/>
  <c r="BG184" i="10"/>
  <c r="BG115" i="10"/>
  <c r="BG113" i="10"/>
  <c r="BG180" i="10"/>
  <c r="BG122" i="10"/>
  <c r="BG48" i="10"/>
  <c r="BG29" i="10"/>
  <c r="BG195" i="10"/>
  <c r="BG47" i="10"/>
  <c r="BG20" i="10"/>
  <c r="BG197" i="10"/>
  <c r="AM180" i="10"/>
  <c r="AM149" i="10"/>
  <c r="AM122" i="10"/>
  <c r="AM48" i="10"/>
  <c r="AM120" i="10"/>
  <c r="AM9" i="10"/>
  <c r="AM29" i="10"/>
  <c r="AM80" i="10"/>
  <c r="AM7" i="10"/>
  <c r="AM195" i="10"/>
  <c r="AM52" i="10"/>
  <c r="AM47" i="10"/>
  <c r="AM104" i="10"/>
  <c r="AM20" i="10"/>
  <c r="AM130" i="10"/>
  <c r="AM81" i="10"/>
  <c r="AM197" i="10"/>
  <c r="AM224" i="10"/>
  <c r="AM84" i="10"/>
  <c r="AM79" i="10"/>
  <c r="AM105" i="10"/>
  <c r="AM176" i="10"/>
  <c r="AM157" i="10"/>
  <c r="AM228" i="10"/>
  <c r="AM162" i="10"/>
  <c r="BG154" i="10"/>
  <c r="AM137" i="10"/>
  <c r="BG190" i="10"/>
  <c r="BG175" i="10"/>
  <c r="AM103" i="10"/>
  <c r="AM204" i="10"/>
  <c r="AM175" i="10"/>
  <c r="BG123" i="10"/>
  <c r="BG25" i="10"/>
  <c r="BG75" i="10"/>
  <c r="BG234" i="10"/>
  <c r="BG33" i="10"/>
  <c r="BG192" i="10"/>
  <c r="BG77" i="10"/>
  <c r="BG32" i="10"/>
  <c r="BG199" i="10"/>
  <c r="BG252" i="10"/>
  <c r="BG37" i="10"/>
  <c r="BG200" i="10"/>
  <c r="BG136" i="10"/>
  <c r="BG54" i="10"/>
  <c r="BG185" i="10"/>
  <c r="BG186" i="10"/>
  <c r="BG135" i="10"/>
  <c r="BG35" i="10"/>
  <c r="BG70" i="10"/>
  <c r="BG219" i="10"/>
  <c r="BG166" i="10"/>
  <c r="AM138" i="10"/>
  <c r="BG110" i="10"/>
  <c r="AM18" i="10"/>
  <c r="BG28" i="10"/>
  <c r="AM191" i="10"/>
  <c r="AM147" i="10"/>
  <c r="AM183" i="10"/>
  <c r="BG121" i="10"/>
  <c r="BG249" i="10"/>
  <c r="BG27" i="10"/>
  <c r="BG205" i="10"/>
  <c r="BG218" i="10"/>
  <c r="BG173" i="10"/>
  <c r="BG102" i="10"/>
  <c r="BG16" i="10"/>
  <c r="BG233" i="10"/>
  <c r="AM33" i="10"/>
  <c r="AM205" i="10"/>
  <c r="AM192" i="10"/>
  <c r="AM218" i="10"/>
  <c r="AM77" i="10"/>
  <c r="AM32" i="10"/>
  <c r="AM173" i="10"/>
  <c r="AM102" i="10"/>
  <c r="AM16" i="10"/>
  <c r="AM199" i="10"/>
  <c r="AM252" i="10"/>
  <c r="AM233" i="10"/>
  <c r="AM37" i="10"/>
  <c r="AM200" i="10"/>
  <c r="AM136" i="10"/>
  <c r="AM54" i="10"/>
  <c r="AM185" i="10"/>
  <c r="AM186" i="10"/>
  <c r="AM135" i="10"/>
  <c r="AM35" i="10"/>
  <c r="AM70" i="10"/>
  <c r="AM219" i="10"/>
  <c r="AM166" i="10"/>
  <c r="BG132" i="10"/>
  <c r="AM82" i="10"/>
  <c r="AM241" i="10"/>
  <c r="BG98" i="10"/>
  <c r="AM151" i="10"/>
  <c r="BG5" i="10"/>
  <c r="BG85" i="10"/>
  <c r="BG172" i="10"/>
  <c r="BG244" i="10"/>
  <c r="BG74" i="10"/>
  <c r="BG72" i="10"/>
  <c r="BG62" i="10"/>
  <c r="BG141" i="10"/>
  <c r="BG248" i="10"/>
  <c r="BG90" i="10"/>
  <c r="BG239" i="10"/>
  <c r="BG22" i="10"/>
  <c r="BG66" i="10"/>
  <c r="BG125" i="10"/>
  <c r="BG188" i="10"/>
  <c r="BG245" i="10"/>
  <c r="BG8" i="10"/>
  <c r="BG21" i="10"/>
  <c r="BG118" i="10"/>
  <c r="AM235" i="10"/>
  <c r="AM109" i="10"/>
  <c r="BG10" i="10"/>
  <c r="BG58" i="10"/>
  <c r="AM230" i="10"/>
  <c r="BG168" i="10"/>
  <c r="BG83" i="10"/>
  <c r="AM100" i="10"/>
  <c r="BG65" i="10"/>
  <c r="BG50" i="10"/>
  <c r="BG246" i="10"/>
  <c r="BG158" i="10"/>
  <c r="AM5" i="10"/>
  <c r="AM65" i="10"/>
  <c r="AM85" i="10"/>
  <c r="AM50" i="10"/>
  <c r="AM172" i="10"/>
  <c r="AM246" i="10"/>
  <c r="AM244" i="10"/>
  <c r="AM158" i="10"/>
  <c r="AM74" i="10"/>
  <c r="AM72" i="10"/>
  <c r="AM62" i="10"/>
  <c r="AM141" i="10"/>
  <c r="AM248" i="10"/>
  <c r="AM90" i="10"/>
  <c r="AM239" i="10"/>
  <c r="AM22" i="10"/>
  <c r="AM66" i="10"/>
  <c r="AM125" i="10"/>
  <c r="AM188" i="10"/>
  <c r="AM245" i="10"/>
  <c r="AM8" i="10"/>
  <c r="AM21" i="10"/>
  <c r="AM118" i="10"/>
  <c r="BG156" i="10"/>
  <c r="AM253" i="10"/>
  <c r="BG191" i="10"/>
  <c r="AM41" i="10"/>
  <c r="BG255" i="10"/>
  <c r="BG251" i="10"/>
  <c r="BG126" i="10"/>
  <c r="BG59" i="10"/>
  <c r="BG212" i="10"/>
  <c r="BG243" i="10"/>
  <c r="BG24" i="10"/>
  <c r="BG240" i="10"/>
  <c r="BG44" i="10"/>
  <c r="BG161" i="10"/>
  <c r="BG194" i="10"/>
  <c r="BG227" i="10"/>
  <c r="BG220" i="10"/>
  <c r="BG167" i="10"/>
  <c r="BG137" i="10"/>
  <c r="AM64" i="10"/>
  <c r="AM58" i="10"/>
  <c r="BG100" i="10"/>
  <c r="BG211" i="10"/>
  <c r="BG127" i="10"/>
  <c r="BG146" i="10"/>
  <c r="BG231" i="10"/>
  <c r="BG14" i="10"/>
  <c r="AM214" i="10"/>
  <c r="AM36" i="10"/>
  <c r="AM89" i="10"/>
  <c r="AM155" i="10"/>
  <c r="AM211" i="10"/>
  <c r="AM255" i="10"/>
  <c r="AM127" i="10"/>
  <c r="AM251" i="10"/>
  <c r="AM146" i="10"/>
  <c r="AM126" i="10"/>
  <c r="AM231" i="10"/>
  <c r="AM59" i="10"/>
  <c r="AM14" i="10"/>
  <c r="AM212" i="10"/>
  <c r="AM243" i="10"/>
  <c r="AM24" i="10"/>
  <c r="AM240" i="10"/>
  <c r="AM44" i="10"/>
  <c r="AM161" i="10"/>
  <c r="AM194" i="10"/>
  <c r="AM227" i="10"/>
  <c r="AM220" i="10"/>
  <c r="AM167" i="10"/>
  <c r="BG230" i="10"/>
  <c r="BG18" i="10"/>
  <c r="BG26" i="10"/>
  <c r="AM57" i="10"/>
  <c r="BG164" i="10"/>
  <c r="BG214" i="10"/>
  <c r="BG196" i="10"/>
  <c r="BG203" i="10"/>
  <c r="BG101" i="10"/>
  <c r="BG87" i="10"/>
  <c r="BG198" i="10"/>
  <c r="BG250" i="10"/>
  <c r="BG131" i="10"/>
  <c r="BG69" i="10"/>
  <c r="BG31" i="10"/>
  <c r="BG99" i="10"/>
  <c r="BG92" i="10"/>
  <c r="BG55" i="10"/>
  <c r="BG124" i="10"/>
  <c r="BG150" i="10"/>
  <c r="BG95" i="10"/>
  <c r="BG46" i="10"/>
  <c r="BG117" i="10"/>
  <c r="BG148" i="10"/>
  <c r="BG213" i="10"/>
  <c r="BG242" i="10"/>
  <c r="BG159" i="10"/>
  <c r="AM76" i="10"/>
  <c r="BG19" i="10"/>
  <c r="BG57" i="10"/>
  <c r="AM30" i="10"/>
  <c r="BG204" i="10"/>
  <c r="AM23" i="10"/>
  <c r="BG155" i="10"/>
  <c r="BG238" i="10"/>
  <c r="AM196" i="10"/>
  <c r="AM247" i="10"/>
  <c r="AM203" i="10"/>
  <c r="AM238" i="10"/>
  <c r="AM101" i="10"/>
  <c r="AM87" i="10"/>
  <c r="AM198" i="10"/>
  <c r="AM250" i="10"/>
  <c r="AM131" i="10"/>
  <c r="AM69" i="10"/>
  <c r="AM31" i="10"/>
  <c r="AM99" i="10"/>
  <c r="AM92" i="10"/>
  <c r="AM55" i="10"/>
  <c r="AM124" i="10"/>
  <c r="AM150" i="10"/>
  <c r="AM95" i="10"/>
  <c r="AM46" i="10"/>
  <c r="AM117" i="10"/>
  <c r="AM148" i="10"/>
  <c r="AM213" i="10"/>
  <c r="AM242" i="10"/>
  <c r="AM159" i="10"/>
  <c r="AM51" i="10"/>
  <c r="AM187" i="10"/>
  <c r="BG82" i="10"/>
  <c r="AM156" i="10"/>
  <c r="BG23" i="10"/>
  <c r="BG134" i="10"/>
  <c r="BG139" i="10"/>
  <c r="BG63" i="10"/>
  <c r="BG107" i="10"/>
  <c r="BG13" i="10"/>
  <c r="BG177" i="10"/>
  <c r="BG6" i="10"/>
  <c r="BG68" i="10"/>
  <c r="BG145" i="10"/>
  <c r="BG11" i="10"/>
  <c r="BG106" i="10"/>
  <c r="BG181" i="10"/>
  <c r="BG206" i="10"/>
  <c r="BG53" i="10"/>
  <c r="BG179" i="10"/>
  <c r="BG94" i="10"/>
  <c r="BG38" i="10"/>
  <c r="BG96" i="10"/>
  <c r="BG97" i="10"/>
  <c r="BG42" i="10"/>
  <c r="AM60" i="10"/>
  <c r="AM201" i="10"/>
  <c r="BG229" i="10"/>
  <c r="AM119" i="10"/>
  <c r="AM221" i="10"/>
  <c r="BG174" i="10"/>
  <c r="BG112" i="10"/>
  <c r="AM170" i="10"/>
  <c r="BG36" i="10"/>
  <c r="BG247" i="10"/>
  <c r="BG169" i="10"/>
  <c r="AM216" i="10"/>
  <c r="AM232" i="10"/>
  <c r="AM139" i="10"/>
  <c r="AM169" i="10"/>
  <c r="AM63" i="10"/>
  <c r="AM182" i="10"/>
  <c r="AM107" i="10"/>
  <c r="AM13" i="10"/>
  <c r="AM177" i="10"/>
  <c r="AM6" i="10"/>
  <c r="AM68" i="10"/>
  <c r="AM145" i="10"/>
  <c r="AM11" i="10"/>
  <c r="AM106" i="10"/>
  <c r="AM181" i="10"/>
  <c r="AM206" i="10"/>
  <c r="AM53" i="10"/>
  <c r="AM179" i="10"/>
  <c r="AM94" i="10"/>
  <c r="AM38" i="10"/>
  <c r="AM96" i="10"/>
  <c r="AM97" i="10"/>
  <c r="AM42" i="10"/>
  <c r="BG253" i="10"/>
  <c r="AM43" i="10"/>
  <c r="AM132" i="10"/>
  <c r="BG151" i="10"/>
  <c r="BG49" i="10"/>
  <c r="BG232" i="10"/>
  <c r="BG182" i="10"/>
  <c r="BG225" i="10"/>
  <c r="BG108" i="10"/>
  <c r="BG207" i="10"/>
  <c r="BG129" i="10"/>
  <c r="BG215" i="10"/>
  <c r="BG128" i="10"/>
  <c r="BG86" i="10"/>
  <c r="BG143" i="10"/>
  <c r="BG163" i="10"/>
  <c r="BG140" i="10"/>
  <c r="BG171" i="10"/>
  <c r="BG4" i="10"/>
  <c r="BG208" i="10"/>
  <c r="BG193" i="10"/>
  <c r="BG226" i="10"/>
  <c r="BG116" i="10"/>
  <c r="BG152" i="10"/>
  <c r="BG144" i="10"/>
  <c r="AM217" i="10"/>
  <c r="AM236" i="10"/>
  <c r="BG78" i="10"/>
  <c r="AM10" i="10"/>
  <c r="AM110" i="10"/>
  <c r="BG41" i="10"/>
  <c r="BG39" i="10"/>
  <c r="AM49" i="10"/>
  <c r="BG89" i="10"/>
  <c r="BG216" i="10"/>
  <c r="BG223" i="10"/>
  <c r="BG61" i="10"/>
  <c r="BG67" i="10"/>
  <c r="BG111" i="10"/>
  <c r="BG34" i="10"/>
  <c r="AM225" i="10"/>
  <c r="AM223" i="10"/>
  <c r="AM108" i="10"/>
  <c r="AM61" i="10"/>
  <c r="AM67" i="10"/>
  <c r="AM207" i="10"/>
  <c r="AM111" i="10"/>
  <c r="AM129" i="10"/>
  <c r="AM34" i="10"/>
  <c r="AM215" i="10"/>
  <c r="AM128" i="10"/>
  <c r="AM86" i="10"/>
  <c r="AM143" i="10"/>
  <c r="AM163" i="10"/>
  <c r="AM140" i="10"/>
  <c r="AM171" i="10"/>
  <c r="AM4" i="10"/>
  <c r="AM208" i="10"/>
  <c r="AM193" i="10"/>
  <c r="AM226" i="10"/>
  <c r="AM116" i="10"/>
  <c r="AM152" i="10"/>
  <c r="AM144" i="10"/>
  <c r="D88" i="6" a="1"/>
  <c r="D88" i="6" s="1"/>
  <c r="D89" i="6" s="1"/>
  <c r="AW256" i="1"/>
  <c r="B128" i="6"/>
  <c r="B126" i="6"/>
  <c r="B125" i="6"/>
  <c r="B124" i="6"/>
  <c r="B123" i="6"/>
  <c r="B122" i="6"/>
  <c r="E104" i="6"/>
  <c r="E103" i="6"/>
  <c r="E100" i="6"/>
  <c r="E94" i="6"/>
  <c r="D94" i="6"/>
  <c r="E89" i="6"/>
  <c r="E85" i="6"/>
  <c r="E93" i="6" s="1"/>
  <c r="D85" i="6"/>
  <c r="D93" i="6" s="1"/>
  <c r="A1" i="5" a="1"/>
  <c r="A1" i="5" s="1"/>
  <c r="BH129" i="10" l="1"/>
  <c r="BH55" i="10"/>
  <c r="BH196" i="10"/>
  <c r="BH127" i="10"/>
  <c r="BH44" i="10"/>
  <c r="BH218" i="10"/>
  <c r="AN163" i="10"/>
  <c r="AN108" i="10"/>
  <c r="BH193" i="10"/>
  <c r="BH207" i="10"/>
  <c r="AN97" i="10"/>
  <c r="AN68" i="10"/>
  <c r="AN124" i="10"/>
  <c r="AN238" i="10"/>
  <c r="AN76" i="10"/>
  <c r="AN44" i="10"/>
  <c r="AN127" i="10"/>
  <c r="BH211" i="10"/>
  <c r="AN248" i="10"/>
  <c r="AN65" i="10"/>
  <c r="BH10" i="10"/>
  <c r="BH239" i="10"/>
  <c r="AN151" i="10"/>
  <c r="AN185" i="10"/>
  <c r="AN32" i="10"/>
  <c r="BH205" i="10"/>
  <c r="BH166" i="10"/>
  <c r="BH252" i="10"/>
  <c r="AN204" i="10"/>
  <c r="AN79" i="10"/>
  <c r="AN7" i="10"/>
  <c r="BH47" i="10"/>
  <c r="AN174" i="10"/>
  <c r="AN12" i="10"/>
  <c r="AN234" i="10"/>
  <c r="AN121" i="10"/>
  <c r="BH153" i="10"/>
  <c r="BH241" i="10"/>
  <c r="BH236" i="10"/>
  <c r="BH189" i="10"/>
  <c r="BH42" i="10"/>
  <c r="BH82" i="10"/>
  <c r="BH214" i="10"/>
  <c r="BH108" i="10"/>
  <c r="AN96" i="10"/>
  <c r="AN6" i="10"/>
  <c r="AN187" i="10"/>
  <c r="AN55" i="10"/>
  <c r="AN203" i="10"/>
  <c r="AN240" i="10"/>
  <c r="AN255" i="10"/>
  <c r="BH24" i="10"/>
  <c r="AN118" i="10"/>
  <c r="AN141" i="10"/>
  <c r="AN5" i="10"/>
  <c r="AN109" i="10"/>
  <c r="BH90" i="10"/>
  <c r="AN54" i="10"/>
  <c r="AN77" i="10"/>
  <c r="AN103" i="10"/>
  <c r="AN84" i="10"/>
  <c r="AN80" i="10"/>
  <c r="BH195" i="10"/>
  <c r="BH183" i="10"/>
  <c r="AN27" i="10"/>
  <c r="AN25" i="10"/>
  <c r="AN56" i="10"/>
  <c r="BH56" i="10"/>
  <c r="BH71" i="10"/>
  <c r="BH237" i="10"/>
  <c r="BH105" i="10"/>
  <c r="AN92" i="10"/>
  <c r="AN24" i="10"/>
  <c r="AN235" i="10"/>
  <c r="BH32" i="10"/>
  <c r="AN224" i="10"/>
  <c r="AN29" i="10"/>
  <c r="AN154" i="10"/>
  <c r="AN202" i="10"/>
  <c r="AN153" i="10"/>
  <c r="AN45" i="10"/>
  <c r="AN15" i="10"/>
  <c r="BH187" i="10"/>
  <c r="BH120" i="10"/>
  <c r="BH27" i="10"/>
  <c r="BH79" i="10"/>
  <c r="AN136" i="10"/>
  <c r="BH4" i="10"/>
  <c r="BH242" i="10"/>
  <c r="BH31" i="10"/>
  <c r="BH249" i="10"/>
  <c r="BH70" i="10"/>
  <c r="BH175" i="10"/>
  <c r="BH29" i="10"/>
  <c r="BH84" i="10"/>
  <c r="BH160" i="10"/>
  <c r="BH142" i="10"/>
  <c r="BH202" i="10"/>
  <c r="BH39" i="10"/>
  <c r="BH169" i="10"/>
  <c r="BH240" i="10"/>
  <c r="AN143" i="10"/>
  <c r="AN223" i="10"/>
  <c r="BH41" i="10"/>
  <c r="BH208" i="10"/>
  <c r="BH247" i="10"/>
  <c r="BH97" i="10"/>
  <c r="BH68" i="10"/>
  <c r="BH99" i="10"/>
  <c r="BH199" i="10"/>
  <c r="AN177" i="10"/>
  <c r="BH96" i="10"/>
  <c r="AN51" i="10"/>
  <c r="AN57" i="10"/>
  <c r="AN211" i="10"/>
  <c r="AN58" i="10"/>
  <c r="AN62" i="10"/>
  <c r="AN241" i="10"/>
  <c r="BH225" i="10"/>
  <c r="BH36" i="10"/>
  <c r="BH6" i="10"/>
  <c r="BH243" i="10"/>
  <c r="BH158" i="10"/>
  <c r="BH248" i="10"/>
  <c r="AN152" i="10"/>
  <c r="AN128" i="10"/>
  <c r="BH34" i="10"/>
  <c r="AN10" i="10"/>
  <c r="BH182" i="10"/>
  <c r="AN94" i="10"/>
  <c r="AN13" i="10"/>
  <c r="AN170" i="10"/>
  <c r="BH38" i="10"/>
  <c r="AN159" i="10"/>
  <c r="AN99" i="10"/>
  <c r="AN196" i="10"/>
  <c r="AN243" i="10"/>
  <c r="AN155" i="10"/>
  <c r="AN64" i="10"/>
  <c r="AN8" i="10"/>
  <c r="AN72" i="10"/>
  <c r="BH246" i="10"/>
  <c r="AN82" i="10"/>
  <c r="AN200" i="10"/>
  <c r="AN192" i="10"/>
  <c r="BH121" i="10"/>
  <c r="BH35" i="10"/>
  <c r="BH77" i="10"/>
  <c r="AN197" i="10"/>
  <c r="AN9" i="10"/>
  <c r="AN78" i="10"/>
  <c r="AN165" i="10"/>
  <c r="AN113" i="10"/>
  <c r="AN123" i="10"/>
  <c r="AN40" i="10"/>
  <c r="AN247" i="10"/>
  <c r="BH213" i="10"/>
  <c r="BH69" i="10"/>
  <c r="BH26" i="10"/>
  <c r="BH118" i="10"/>
  <c r="BH224" i="10"/>
  <c r="BH45" i="10"/>
  <c r="BH209" i="10"/>
  <c r="BH133" i="10"/>
  <c r="BH92" i="10"/>
  <c r="BH219" i="10"/>
  <c r="BH221" i="10"/>
  <c r="AN218" i="10"/>
  <c r="BH177" i="10"/>
  <c r="BH141" i="10"/>
  <c r="AN116" i="10"/>
  <c r="AN215" i="10"/>
  <c r="BH232" i="10"/>
  <c r="AN179" i="10"/>
  <c r="AN107" i="10"/>
  <c r="AN242" i="10"/>
  <c r="AN31" i="10"/>
  <c r="BH131" i="10"/>
  <c r="AN212" i="10"/>
  <c r="AN89" i="10"/>
  <c r="AN245" i="10"/>
  <c r="AN74" i="10"/>
  <c r="AN37" i="10"/>
  <c r="AN205" i="10"/>
  <c r="AN183" i="10"/>
  <c r="BH135" i="10"/>
  <c r="AN137" i="10"/>
  <c r="AN81" i="10"/>
  <c r="AN120" i="10"/>
  <c r="AN19" i="10"/>
  <c r="AN39" i="10"/>
  <c r="AN91" i="10"/>
  <c r="AN249" i="10"/>
  <c r="AN134" i="10"/>
  <c r="BH43" i="10"/>
  <c r="BH164" i="10"/>
  <c r="BH100" i="10"/>
  <c r="BH149" i="10"/>
  <c r="AN86" i="10"/>
  <c r="BH171" i="10"/>
  <c r="BH212" i="10"/>
  <c r="BH190" i="10"/>
  <c r="BH48" i="10"/>
  <c r="BH210" i="10"/>
  <c r="BH111" i="10"/>
  <c r="BH78" i="10"/>
  <c r="BH140" i="10"/>
  <c r="BH112" i="10"/>
  <c r="BH94" i="10"/>
  <c r="BH13" i="10"/>
  <c r="BH238" i="10"/>
  <c r="BH148" i="10"/>
  <c r="BH18" i="10"/>
  <c r="BH137" i="10"/>
  <c r="BH59" i="10"/>
  <c r="BH50" i="10"/>
  <c r="BH21" i="10"/>
  <c r="BH62" i="10"/>
  <c r="BH132" i="10"/>
  <c r="BH192" i="10"/>
  <c r="BH122" i="10"/>
  <c r="BH81" i="10"/>
  <c r="BH165" i="10"/>
  <c r="BH93" i="10"/>
  <c r="BH228" i="10"/>
  <c r="BH156" i="10"/>
  <c r="AN226" i="10"/>
  <c r="AN34" i="10"/>
  <c r="AN236" i="10"/>
  <c r="BH49" i="10"/>
  <c r="AN53" i="10"/>
  <c r="AN182" i="10"/>
  <c r="AN213" i="10"/>
  <c r="AN69" i="10"/>
  <c r="AN14" i="10"/>
  <c r="AN36" i="10"/>
  <c r="AN188" i="10"/>
  <c r="AN158" i="10"/>
  <c r="BH8" i="10"/>
  <c r="AN166" i="10"/>
  <c r="AN233" i="10"/>
  <c r="AN33" i="10"/>
  <c r="AN147" i="10"/>
  <c r="AN130" i="10"/>
  <c r="AN48" i="10"/>
  <c r="BH180" i="10"/>
  <c r="AN83" i="10"/>
  <c r="AN17" i="10"/>
  <c r="AN71" i="10"/>
  <c r="AN28" i="10"/>
  <c r="AN209" i="10"/>
  <c r="BH145" i="10"/>
  <c r="BH159" i="10"/>
  <c r="BH98" i="10"/>
  <c r="AN144" i="10"/>
  <c r="AN225" i="10"/>
  <c r="AN110" i="10"/>
  <c r="AN38" i="10"/>
  <c r="AN21" i="10"/>
  <c r="BH67" i="10"/>
  <c r="BH163" i="10"/>
  <c r="BH174" i="10"/>
  <c r="BH179" i="10"/>
  <c r="BH107" i="10"/>
  <c r="BH155" i="10"/>
  <c r="BH117" i="10"/>
  <c r="BH250" i="10"/>
  <c r="BH230" i="10"/>
  <c r="BH167" i="10"/>
  <c r="BH126" i="10"/>
  <c r="BH65" i="10"/>
  <c r="BH72" i="10"/>
  <c r="BH186" i="10"/>
  <c r="BH33" i="10"/>
  <c r="BH154" i="10"/>
  <c r="BH30" i="10"/>
  <c r="BH130" i="10"/>
  <c r="BH91" i="10"/>
  <c r="BH162" i="10"/>
  <c r="BH138" i="10"/>
  <c r="BH151" i="10"/>
  <c r="AN206" i="10"/>
  <c r="AN63" i="10"/>
  <c r="AN221" i="10"/>
  <c r="BH53" i="10"/>
  <c r="AN148" i="10"/>
  <c r="AN131" i="10"/>
  <c r="AN23" i="10"/>
  <c r="BH46" i="10"/>
  <c r="AN167" i="10"/>
  <c r="AN59" i="10"/>
  <c r="AN214" i="10"/>
  <c r="BH251" i="10"/>
  <c r="AN125" i="10"/>
  <c r="AN244" i="10"/>
  <c r="AN100" i="10"/>
  <c r="AN219" i="10"/>
  <c r="AN252" i="10"/>
  <c r="AN191" i="10"/>
  <c r="BH234" i="10"/>
  <c r="AN162" i="10"/>
  <c r="AN20" i="10"/>
  <c r="AN122" i="10"/>
  <c r="AN164" i="10"/>
  <c r="AN254" i="10"/>
  <c r="AN115" i="10"/>
  <c r="AN98" i="10"/>
  <c r="AN178" i="10"/>
  <c r="BH233" i="10"/>
  <c r="BH185" i="10"/>
  <c r="BH113" i="10"/>
  <c r="BH12" i="10"/>
  <c r="BH104" i="10"/>
  <c r="BH17" i="10"/>
  <c r="BH109" i="10"/>
  <c r="BH178" i="10"/>
  <c r="AN168" i="10"/>
  <c r="AN88" i="10"/>
  <c r="AN142" i="10"/>
  <c r="BH254" i="10"/>
  <c r="AN190" i="10"/>
  <c r="BH64" i="10"/>
  <c r="BH14" i="10"/>
  <c r="BH227" i="10"/>
  <c r="BH83" i="10"/>
  <c r="BH188" i="10"/>
  <c r="BH244" i="10"/>
  <c r="BH16" i="10"/>
  <c r="BH28" i="10"/>
  <c r="BH54" i="10"/>
  <c r="BH75" i="10"/>
  <c r="BH115" i="10"/>
  <c r="BH52" i="10"/>
  <c r="BH76" i="10"/>
  <c r="BH51" i="10"/>
  <c r="AN129" i="10"/>
  <c r="BH61" i="10"/>
  <c r="BH63" i="10"/>
  <c r="BH245" i="10"/>
  <c r="AN228" i="10"/>
  <c r="BH223" i="10"/>
  <c r="BH144" i="10"/>
  <c r="BH86" i="10"/>
  <c r="BH206" i="10"/>
  <c r="BH139" i="10"/>
  <c r="BH204" i="10"/>
  <c r="BH95" i="10"/>
  <c r="BH87" i="10"/>
  <c r="AN4" i="10"/>
  <c r="AN207" i="10"/>
  <c r="AN43" i="10"/>
  <c r="AN106" i="10"/>
  <c r="AN139" i="10"/>
  <c r="AN46" i="10"/>
  <c r="AN198" i="10"/>
  <c r="AN30" i="10"/>
  <c r="AN227" i="10"/>
  <c r="AN126" i="10"/>
  <c r="AN41" i="10"/>
  <c r="AN22" i="10"/>
  <c r="AN172" i="10"/>
  <c r="AN35" i="10"/>
  <c r="AN16" i="10"/>
  <c r="AN18" i="10"/>
  <c r="AN157" i="10"/>
  <c r="AN47" i="10"/>
  <c r="AN180" i="10"/>
  <c r="AN133" i="10"/>
  <c r="AN73" i="10"/>
  <c r="AN210" i="10"/>
  <c r="AN189" i="10"/>
  <c r="AN104" i="10"/>
  <c r="BH152" i="10"/>
  <c r="BH128" i="10"/>
  <c r="BH181" i="10"/>
  <c r="BH194" i="10"/>
  <c r="BH168" i="10"/>
  <c r="BH125" i="10"/>
  <c r="BH172" i="10"/>
  <c r="BH102" i="10"/>
  <c r="BH136" i="10"/>
  <c r="BH25" i="10"/>
  <c r="BH184" i="10"/>
  <c r="BH7" i="10"/>
  <c r="BH114" i="10"/>
  <c r="BH88" i="10"/>
  <c r="BH147" i="10"/>
  <c r="BH15" i="10"/>
  <c r="BH40" i="10"/>
  <c r="BH74" i="10"/>
  <c r="AN70" i="10"/>
  <c r="AN93" i="10"/>
  <c r="BH229" i="10"/>
  <c r="BH101" i="10"/>
  <c r="AN146" i="10"/>
  <c r="BH146" i="10"/>
  <c r="AN230" i="10"/>
  <c r="AN176" i="10"/>
  <c r="AN222" i="10"/>
  <c r="AN75" i="10"/>
  <c r="BH220" i="10"/>
  <c r="AN208" i="10"/>
  <c r="AN111" i="10"/>
  <c r="AN169" i="10"/>
  <c r="AN220" i="10"/>
  <c r="AN231" i="10"/>
  <c r="AN149" i="10"/>
  <c r="BH216" i="10"/>
  <c r="BH150" i="10"/>
  <c r="BH231" i="10"/>
  <c r="AN95" i="10"/>
  <c r="AN87" i="10"/>
  <c r="BH57" i="10"/>
  <c r="AN239" i="10"/>
  <c r="AN50" i="10"/>
  <c r="AN135" i="10"/>
  <c r="AN52" i="10"/>
  <c r="BH89" i="10"/>
  <c r="BH215" i="10"/>
  <c r="BH253" i="10"/>
  <c r="BH106" i="10"/>
  <c r="BH23" i="10"/>
  <c r="BH124" i="10"/>
  <c r="BH203" i="10"/>
  <c r="BH161" i="10"/>
  <c r="BH191" i="10"/>
  <c r="BH66" i="10"/>
  <c r="BH110" i="10"/>
  <c r="BH200" i="10"/>
  <c r="BH123" i="10"/>
  <c r="BH197" i="10"/>
  <c r="BH157" i="10"/>
  <c r="BH80" i="10"/>
  <c r="BH103" i="10"/>
  <c r="BH73" i="10"/>
  <c r="BH170" i="10"/>
  <c r="BH119" i="10"/>
  <c r="BH201" i="10"/>
  <c r="BH60" i="10"/>
  <c r="BH143" i="10"/>
  <c r="BH198" i="10"/>
  <c r="AN132" i="10"/>
  <c r="AN181" i="10"/>
  <c r="AN119" i="10"/>
  <c r="AN117" i="10"/>
  <c r="AN250" i="10"/>
  <c r="BH255" i="10"/>
  <c r="AN66" i="10"/>
  <c r="AN246" i="10"/>
  <c r="AN199" i="10"/>
  <c r="BH134" i="10"/>
  <c r="AN171" i="10"/>
  <c r="AN67" i="10"/>
  <c r="BH116" i="10"/>
  <c r="AN11" i="10"/>
  <c r="AN232" i="10"/>
  <c r="AN201" i="10"/>
  <c r="AN194" i="10"/>
  <c r="BH85" i="10"/>
  <c r="AN102" i="10"/>
  <c r="BH173" i="10"/>
  <c r="AN112" i="10"/>
  <c r="AN140" i="10"/>
  <c r="AN61" i="10"/>
  <c r="AN49" i="10"/>
  <c r="AN42" i="10"/>
  <c r="AN145" i="10"/>
  <c r="AN216" i="10"/>
  <c r="AN60" i="10"/>
  <c r="AN156" i="10"/>
  <c r="AN150" i="10"/>
  <c r="AN101" i="10"/>
  <c r="AN161" i="10"/>
  <c r="AN251" i="10"/>
  <c r="AN253" i="10"/>
  <c r="AN90" i="10"/>
  <c r="AN85" i="10"/>
  <c r="AN186" i="10"/>
  <c r="AN173" i="10"/>
  <c r="AN138" i="10"/>
  <c r="AN175" i="10"/>
  <c r="AN105" i="10"/>
  <c r="AN195" i="10"/>
  <c r="AN114" i="10"/>
  <c r="AN26" i="10"/>
  <c r="AN160" i="10"/>
  <c r="AN184" i="10"/>
  <c r="AN229" i="10"/>
  <c r="AN237" i="10"/>
  <c r="AN193" i="10"/>
  <c r="AN217" i="10"/>
  <c r="BH226" i="10"/>
  <c r="BH11" i="10"/>
  <c r="BH19" i="10"/>
  <c r="BH58" i="10"/>
  <c r="BH22" i="10"/>
  <c r="BH5" i="10"/>
  <c r="BH37" i="10"/>
  <c r="BH20" i="10"/>
  <c r="BH176" i="10"/>
  <c r="BH9" i="10"/>
  <c r="BH222" i="10"/>
  <c r="BH217" i="10"/>
  <c r="BH235" i="10"/>
  <c r="E105" i="6"/>
  <c r="D34" i="6"/>
  <c r="D81" i="6" s="1"/>
  <c r="D92" i="6" s="1"/>
  <c r="D95" i="6" s="1"/>
  <c r="B2" i="5" a="1"/>
  <c r="D2" i="5" a="1"/>
  <c r="F2" i="5" a="1"/>
  <c r="E2" i="5" a="1"/>
  <c r="C2" i="5" a="1"/>
  <c r="BO52" i="10" l="1"/>
  <c r="BO146" i="10"/>
  <c r="BO35" i="10"/>
  <c r="BO233" i="10"/>
  <c r="BO114" i="10"/>
  <c r="BO161" i="10"/>
  <c r="BO112" i="10"/>
  <c r="BO149" i="10"/>
  <c r="BO16" i="10"/>
  <c r="BO106" i="10"/>
  <c r="BO142" i="10"/>
  <c r="BO178" i="10"/>
  <c r="BO219" i="10"/>
  <c r="BO148" i="10"/>
  <c r="BO33" i="10"/>
  <c r="BO53" i="10"/>
  <c r="BO137" i="10"/>
  <c r="BO242" i="10"/>
  <c r="BO123" i="10"/>
  <c r="BO82" i="10"/>
  <c r="BO170" i="10"/>
  <c r="BO29" i="10"/>
  <c r="BO25" i="10"/>
  <c r="BO5" i="10"/>
  <c r="BO174" i="10"/>
  <c r="BO97" i="10"/>
  <c r="BO136" i="10"/>
  <c r="BO224" i="10"/>
  <c r="BO27" i="10"/>
  <c r="BO141" i="10"/>
  <c r="BO183" i="10"/>
  <c r="BO179" i="10"/>
  <c r="BO165" i="10"/>
  <c r="BO72" i="10"/>
  <c r="BO94" i="10"/>
  <c r="BO118" i="10"/>
  <c r="BO7" i="10"/>
  <c r="BO65" i="10"/>
  <c r="BO4" i="10"/>
  <c r="BO231" i="10"/>
  <c r="BO105" i="10"/>
  <c r="BO135" i="10"/>
  <c r="BO239" i="10"/>
  <c r="BO111" i="10"/>
  <c r="BO93" i="10"/>
  <c r="BO210" i="10"/>
  <c r="BO41" i="10"/>
  <c r="BO164" i="10"/>
  <c r="BO206" i="10"/>
  <c r="BO71" i="10"/>
  <c r="BO158" i="10"/>
  <c r="BO226" i="10"/>
  <c r="BO134" i="10"/>
  <c r="BO37" i="10"/>
  <c r="BO215" i="10"/>
  <c r="BO9" i="10"/>
  <c r="BO64" i="10"/>
  <c r="BO10" i="10"/>
  <c r="BO62" i="10"/>
  <c r="BO24" i="10"/>
  <c r="BO80" i="10"/>
  <c r="BO255" i="10"/>
  <c r="BO204" i="10"/>
  <c r="BO163" i="10"/>
  <c r="BO172" i="10"/>
  <c r="BO115" i="10"/>
  <c r="BO236" i="10"/>
  <c r="BO63" i="10"/>
  <c r="BO34" i="10"/>
  <c r="BO101" i="10"/>
  <c r="BO246" i="10"/>
  <c r="BO244" i="10"/>
  <c r="BO166" i="10"/>
  <c r="BO241" i="10"/>
  <c r="BO208" i="10"/>
  <c r="BO70" i="10"/>
  <c r="BO73" i="10"/>
  <c r="BO126" i="10"/>
  <c r="BO129" i="10"/>
  <c r="BO122" i="10"/>
  <c r="BO214" i="10"/>
  <c r="BO21" i="10"/>
  <c r="BO17" i="10"/>
  <c r="BO188" i="10"/>
  <c r="BO249" i="10"/>
  <c r="BO74" i="10"/>
  <c r="BO116" i="10"/>
  <c r="BO197" i="10"/>
  <c r="BO155" i="10"/>
  <c r="BO58" i="10"/>
  <c r="BO92" i="10"/>
  <c r="BO84" i="10"/>
  <c r="BO240" i="10"/>
  <c r="BO127" i="10"/>
  <c r="BO104" i="10"/>
  <c r="BO175" i="10"/>
  <c r="BO66" i="10"/>
  <c r="BO50" i="10"/>
  <c r="BO22" i="10"/>
  <c r="BO79" i="10"/>
  <c r="BO217" i="10"/>
  <c r="BO138" i="10"/>
  <c r="BO60" i="10"/>
  <c r="BO194" i="10"/>
  <c r="BO193" i="10"/>
  <c r="BO173" i="10"/>
  <c r="BO216" i="10"/>
  <c r="BO201" i="10"/>
  <c r="BO250" i="10"/>
  <c r="BO133" i="10"/>
  <c r="BO59" i="10"/>
  <c r="BO243" i="10"/>
  <c r="BO128" i="10"/>
  <c r="BO211" i="10"/>
  <c r="BO15" i="10"/>
  <c r="BO103" i="10"/>
  <c r="BO203" i="10"/>
  <c r="BO44" i="10"/>
  <c r="BO195" i="10"/>
  <c r="BO220" i="10"/>
  <c r="BO156" i="10"/>
  <c r="BO235" i="10"/>
  <c r="BO237" i="10"/>
  <c r="BO87" i="10"/>
  <c r="BO245" i="10"/>
  <c r="BO75" i="10"/>
  <c r="BO180" i="10"/>
  <c r="BO162" i="10"/>
  <c r="BO196" i="10"/>
  <c r="BO152" i="10"/>
  <c r="BO57" i="10"/>
  <c r="BO223" i="10"/>
  <c r="BO45" i="10"/>
  <c r="BO77" i="10"/>
  <c r="BO55" i="10"/>
  <c r="BO76" i="10"/>
  <c r="BO30" i="10"/>
  <c r="BO14" i="10"/>
  <c r="BO199" i="10"/>
  <c r="BO88" i="10"/>
  <c r="BO100" i="10"/>
  <c r="BO13" i="10"/>
  <c r="BO254" i="10"/>
  <c r="BO232" i="10"/>
  <c r="BO83" i="10"/>
  <c r="BO85" i="10"/>
  <c r="BO119" i="10"/>
  <c r="BO95" i="10"/>
  <c r="BO167" i="10"/>
  <c r="BO225" i="10"/>
  <c r="BO48" i="10"/>
  <c r="BO69" i="10"/>
  <c r="BO19" i="10"/>
  <c r="BO212" i="10"/>
  <c r="BO218" i="10"/>
  <c r="BO99" i="10"/>
  <c r="BO51" i="10"/>
  <c r="BO143" i="10"/>
  <c r="BO153" i="10"/>
  <c r="BO54" i="10"/>
  <c r="BO187" i="10"/>
  <c r="BO121" i="10"/>
  <c r="BO32" i="10"/>
  <c r="BO238" i="10"/>
  <c r="BO186" i="10"/>
  <c r="BO42" i="10"/>
  <c r="BO125" i="10"/>
  <c r="BO28" i="10"/>
  <c r="BO205" i="10"/>
  <c r="BO8" i="10"/>
  <c r="BO248" i="10"/>
  <c r="BO145" i="10"/>
  <c r="BO227" i="10"/>
  <c r="BO91" i="10"/>
  <c r="BO11" i="10"/>
  <c r="BO110" i="10"/>
  <c r="BO89" i="10"/>
  <c r="BO198" i="10"/>
  <c r="BO160" i="10"/>
  <c r="BO253" i="10"/>
  <c r="BO61" i="10"/>
  <c r="BO67" i="10"/>
  <c r="BO132" i="10"/>
  <c r="BO176" i="10"/>
  <c r="BO157" i="10"/>
  <c r="BO46" i="10"/>
  <c r="BO190" i="10"/>
  <c r="BO191" i="10"/>
  <c r="BO23" i="10"/>
  <c r="BO144" i="10"/>
  <c r="BO130" i="10"/>
  <c r="BO213" i="10"/>
  <c r="BO120" i="10"/>
  <c r="BO247" i="10"/>
  <c r="BO192" i="10"/>
  <c r="BO159" i="10"/>
  <c r="BO202" i="10"/>
  <c r="BO6" i="10"/>
  <c r="BO234" i="10"/>
  <c r="BO185" i="10"/>
  <c r="BO124" i="10"/>
  <c r="BO43" i="10"/>
  <c r="BO228" i="10"/>
  <c r="BO98" i="10"/>
  <c r="BO107" i="10"/>
  <c r="BO150" i="10"/>
  <c r="BO102" i="10"/>
  <c r="BO207" i="10"/>
  <c r="BO168" i="10"/>
  <c r="BO221" i="10"/>
  <c r="BO209" i="10"/>
  <c r="BO169" i="10"/>
  <c r="BO78" i="10"/>
  <c r="BO108" i="10"/>
  <c r="BO36" i="10"/>
  <c r="BO229" i="10"/>
  <c r="BO222" i="10"/>
  <c r="BO189" i="10"/>
  <c r="BO117" i="10"/>
  <c r="BO184" i="10"/>
  <c r="BO90" i="10"/>
  <c r="BO49" i="10"/>
  <c r="BO181" i="10"/>
  <c r="BO26" i="10"/>
  <c r="BO251" i="10"/>
  <c r="BO140" i="10"/>
  <c r="BO171" i="10"/>
  <c r="BO230" i="10"/>
  <c r="BO18" i="10"/>
  <c r="BO139" i="10"/>
  <c r="BO252" i="10"/>
  <c r="BO131" i="10"/>
  <c r="BO147" i="10"/>
  <c r="BO182" i="10"/>
  <c r="BO86" i="10"/>
  <c r="BO81" i="10"/>
  <c r="BO31" i="10"/>
  <c r="BO40" i="10"/>
  <c r="BO200" i="10"/>
  <c r="BO177" i="10"/>
  <c r="BO154" i="10"/>
  <c r="BO56" i="10"/>
  <c r="BO109" i="10"/>
  <c r="BO96" i="10"/>
  <c r="BO12" i="10"/>
  <c r="BO151" i="10"/>
  <c r="BO68" i="10"/>
  <c r="BO113" i="10"/>
  <c r="BO20" i="10"/>
  <c r="BO38" i="10"/>
  <c r="BO39" i="10"/>
  <c r="BO47" i="10"/>
  <c r="F2" i="5"/>
  <c r="E2" i="5"/>
  <c r="D2" i="5"/>
  <c r="B2" i="5"/>
  <c r="C2" i="5"/>
  <c r="E126" i="6"/>
  <c r="D70" i="6"/>
  <c r="AA3" i="2" l="1"/>
  <c r="O256" i="4"/>
  <c r="E13" i="6"/>
  <c r="D17" i="6" l="1"/>
  <c r="D20" i="6"/>
  <c r="D19" i="6"/>
  <c r="D18" i="6"/>
  <c r="D16" i="6"/>
  <c r="E44" i="6"/>
  <c r="E52" i="6" s="1"/>
  <c r="E57" i="6" s="1"/>
  <c r="A2" i="5" a="1"/>
  <c r="A2" i="5" s="1"/>
  <c r="BL2" i="5" a="1"/>
  <c r="AI2" i="5" a="1"/>
  <c r="M2" i="5" a="1"/>
  <c r="BA2" i="5" a="1"/>
  <c r="BD2" i="5" a="1"/>
  <c r="AP2" i="5" a="1"/>
  <c r="R2" i="5" a="1"/>
  <c r="L2" i="5" a="1"/>
  <c r="N2" i="5" a="1"/>
  <c r="U2" i="5" a="1"/>
  <c r="Y2" i="5" a="1"/>
  <c r="BJ2" i="5" a="1"/>
  <c r="BB2" i="5" a="1"/>
  <c r="P2" i="5" a="1"/>
  <c r="AA2" i="5" a="1"/>
  <c r="AL2" i="5" a="1"/>
  <c r="AT2" i="5" a="1"/>
  <c r="AK2" i="5" a="1"/>
  <c r="V2" i="5" a="1"/>
  <c r="AZ2" i="5" a="1"/>
  <c r="AS2" i="5" a="1"/>
  <c r="J2" i="5" a="1"/>
  <c r="AR2" i="5" a="1"/>
  <c r="AU2" i="5" a="1"/>
  <c r="AG2" i="5" a="1"/>
  <c r="BM2" i="5" a="1"/>
  <c r="AF2" i="5" a="1"/>
  <c r="O2" i="5" a="1"/>
  <c r="AB2" i="5" a="1"/>
  <c r="AJ2" i="5" a="1"/>
  <c r="T2" i="5" a="1"/>
  <c r="I2" i="5" a="1"/>
  <c r="BK2" i="5" a="1"/>
  <c r="AW2" i="5" a="1"/>
  <c r="X2" i="5" a="1"/>
  <c r="BF2" i="5" a="1"/>
  <c r="CD2" i="5" a="1"/>
  <c r="AO2" i="5" a="1"/>
  <c r="BI2" i="5" a="1"/>
  <c r="K2" i="5" a="1"/>
  <c r="W2" i="5" a="1"/>
  <c r="CB2" i="5" a="1"/>
  <c r="AQ2" i="5" a="1"/>
  <c r="AY2" i="5" a="1"/>
  <c r="CC2" i="5" a="1"/>
  <c r="Q2" i="5" a="1"/>
  <c r="S2" i="5" a="1"/>
  <c r="AX2" i="5" a="1"/>
  <c r="AH2" i="5" a="1"/>
  <c r="D39" i="6" l="1"/>
  <c r="D40" i="6" s="1"/>
  <c r="S256" i="10"/>
  <c r="AG256" i="10"/>
  <c r="AR256" i="10"/>
  <c r="J2" i="5"/>
  <c r="K2" i="5"/>
  <c r="L2" i="5"/>
  <c r="M2" i="5"/>
  <c r="N2" i="5"/>
  <c r="O2" i="5"/>
  <c r="P2" i="5"/>
  <c r="Q2" i="5"/>
  <c r="I2" i="5"/>
  <c r="W2" i="5"/>
  <c r="AP2" i="5"/>
  <c r="AZ2" i="5"/>
  <c r="BA2" i="5"/>
  <c r="AL2" i="5"/>
  <c r="BI2" i="5"/>
  <c r="BK2" i="5"/>
  <c r="AO2" i="5"/>
  <c r="AY2" i="5"/>
  <c r="BB2" i="5"/>
  <c r="AG2" i="5"/>
  <c r="AR2" i="5"/>
  <c r="BD2" i="5"/>
  <c r="BM2" i="5"/>
  <c r="AJ2" i="5"/>
  <c r="T2" i="5"/>
  <c r="AB2" i="5"/>
  <c r="AT2" i="5"/>
  <c r="V2" i="5"/>
  <c r="BJ2" i="5"/>
  <c r="X2" i="5"/>
  <c r="Y2" i="5"/>
  <c r="AA2" i="5"/>
  <c r="S2" i="5"/>
  <c r="AU2" i="5"/>
  <c r="AH2" i="5"/>
  <c r="AS2" i="5"/>
  <c r="AF2" i="5"/>
  <c r="AI2" i="5"/>
  <c r="AK2" i="5"/>
  <c r="R2" i="5"/>
  <c r="AQ2" i="5"/>
  <c r="BL2" i="5"/>
  <c r="AX2" i="5"/>
  <c r="BF2" i="5"/>
  <c r="U2" i="5"/>
  <c r="AW2" i="5"/>
  <c r="CD2" i="5"/>
  <c r="CB2" i="5"/>
  <c r="CC2" i="5"/>
  <c r="AN256" i="4"/>
  <c r="U256" i="4"/>
  <c r="AM256" i="4"/>
  <c r="AW256" i="4"/>
  <c r="AZ256" i="4"/>
  <c r="AE256" i="4"/>
  <c r="BG256" i="4"/>
  <c r="BI256" i="4"/>
  <c r="AY256" i="4"/>
  <c r="AP256" i="4"/>
  <c r="BB256" i="4"/>
  <c r="AH256" i="4"/>
  <c r="Z256" i="4"/>
  <c r="AR256" i="4"/>
  <c r="BK256" i="4"/>
  <c r="T256" i="4"/>
  <c r="Y256" i="4"/>
  <c r="Q256" i="4"/>
  <c r="AS256" i="4"/>
  <c r="AF256" i="4"/>
  <c r="V256" i="4"/>
  <c r="W256" i="4"/>
  <c r="AQ256" i="4"/>
  <c r="BH256" i="4"/>
  <c r="AJ256" i="4"/>
  <c r="AD256" i="4"/>
  <c r="AG256" i="4"/>
  <c r="AI256" i="4"/>
  <c r="S256" i="4"/>
  <c r="AX256" i="4"/>
  <c r="BD256" i="4"/>
  <c r="R256" i="4"/>
  <c r="P256" i="4"/>
  <c r="AO256" i="4"/>
  <c r="AV256" i="4"/>
  <c r="BJ256" i="4"/>
  <c r="AU256" i="4"/>
  <c r="BC2" i="5" a="1"/>
  <c r="BN2" i="5" a="1"/>
  <c r="BG2" i="5" a="1"/>
  <c r="BE2" i="5" a="1"/>
  <c r="Z2" i="5" a="1"/>
  <c r="AV2" i="5" a="1"/>
  <c r="D41" i="6" l="1"/>
  <c r="T256" i="10"/>
  <c r="AZ256" i="10"/>
  <c r="W256" i="10"/>
  <c r="V256" i="10"/>
  <c r="AX256" i="10"/>
  <c r="AH256" i="10"/>
  <c r="AF256" i="10"/>
  <c r="BA256" i="10"/>
  <c r="AY256" i="10"/>
  <c r="AQ256" i="10"/>
  <c r="AJ256" i="10"/>
  <c r="AI256" i="10"/>
  <c r="AL256" i="10"/>
  <c r="AU256" i="10"/>
  <c r="X256" i="10"/>
  <c r="AT256" i="10"/>
  <c r="BK256" i="10"/>
  <c r="AB256" i="10"/>
  <c r="AP256" i="10"/>
  <c r="BJ256" i="10"/>
  <c r="AK256" i="10"/>
  <c r="BM256" i="10"/>
  <c r="BL256" i="10"/>
  <c r="U256" i="10"/>
  <c r="Y256" i="10"/>
  <c r="AS256" i="10"/>
  <c r="BB256" i="10"/>
  <c r="BD256" i="10"/>
  <c r="BF256" i="10"/>
  <c r="AO256" i="10"/>
  <c r="BI256" i="10"/>
  <c r="AA256" i="10"/>
  <c r="AW256" i="10"/>
  <c r="R256" i="10"/>
  <c r="AV256" i="10"/>
  <c r="BE2" i="5"/>
  <c r="BN2" i="5"/>
  <c r="BG2" i="5"/>
  <c r="Z2" i="5"/>
  <c r="BC2" i="5"/>
  <c r="AV2" i="5"/>
  <c r="BL256" i="4"/>
  <c r="BE256" i="4"/>
  <c r="BA256" i="4"/>
  <c r="X256" i="4"/>
  <c r="AT256" i="4"/>
  <c r="BC256" i="4"/>
  <c r="BH2" i="5" a="1"/>
  <c r="AC2" i="5" a="1"/>
  <c r="BG256" i="10" l="1"/>
  <c r="BE256" i="10"/>
  <c r="BN256" i="10"/>
  <c r="BC256" i="10"/>
  <c r="Z256" i="10"/>
  <c r="AC2" i="5"/>
  <c r="BH2" i="5"/>
  <c r="AA256" i="4"/>
  <c r="BF256" i="4"/>
  <c r="AD2" i="5" a="1"/>
  <c r="BH256" i="10" l="1"/>
  <c r="AC256" i="10"/>
  <c r="AD2" i="5"/>
  <c r="AB256" i="4"/>
  <c r="AD256" i="10" l="1"/>
  <c r="AE2" i="5" a="1"/>
  <c r="AE2" i="5" l="1"/>
  <c r="AE256" i="10"/>
  <c r="AC256" i="4"/>
  <c r="AM2" i="5" a="1"/>
  <c r="AM2" i="5" l="1"/>
  <c r="AM256" i="10"/>
  <c r="AK256" i="4"/>
  <c r="AN2" i="5" a="1"/>
  <c r="AN2" i="5" l="1"/>
  <c r="AN256" i="10"/>
  <c r="AL256" i="4"/>
  <c r="BO2" i="5" a="1"/>
  <c r="BO2" i="5" l="1"/>
  <c r="BO256" i="10"/>
  <c r="BM256" i="4"/>
  <c r="C116" i="6"/>
  <c r="AB3" i="2" l="1" a="1"/>
  <c r="AB3" i="2" s="1"/>
  <c r="D116" i="6"/>
  <c r="BV2" i="5" a="1"/>
  <c r="BC6" i="1" l="1"/>
  <c r="BN6" i="4" s="1"/>
  <c r="BC12" i="1"/>
  <c r="BN12" i="4" s="1"/>
  <c r="BC18" i="1"/>
  <c r="BN18" i="4" s="1"/>
  <c r="BC24" i="1"/>
  <c r="BN24" i="4" s="1"/>
  <c r="BC30" i="1"/>
  <c r="BN30" i="4" s="1"/>
  <c r="BC36" i="1"/>
  <c r="BC42" i="1"/>
  <c r="BN42" i="4" s="1"/>
  <c r="BC48" i="1"/>
  <c r="BN48" i="4" s="1"/>
  <c r="BC54" i="1"/>
  <c r="BN54" i="4" s="1"/>
  <c r="BC60" i="1"/>
  <c r="BN60" i="4" s="1"/>
  <c r="BC66" i="1"/>
  <c r="BN66" i="4" s="1"/>
  <c r="BC72" i="1"/>
  <c r="BC78" i="1"/>
  <c r="BN78" i="4" s="1"/>
  <c r="BC84" i="1"/>
  <c r="BN84" i="4" s="1"/>
  <c r="BC90" i="1"/>
  <c r="BN90" i="4" s="1"/>
  <c r="BC96" i="1"/>
  <c r="BN96" i="4" s="1"/>
  <c r="BC102" i="1"/>
  <c r="BN102" i="4" s="1"/>
  <c r="BC108" i="1"/>
  <c r="BC114" i="1"/>
  <c r="BN114" i="4" s="1"/>
  <c r="BC120" i="1"/>
  <c r="BN120" i="4" s="1"/>
  <c r="BC126" i="1"/>
  <c r="BN126" i="4" s="1"/>
  <c r="BC132" i="1"/>
  <c r="BN132" i="4" s="1"/>
  <c r="BC138" i="1"/>
  <c r="BN138" i="4" s="1"/>
  <c r="BC144" i="1"/>
  <c r="BC150" i="1"/>
  <c r="BN150" i="4" s="1"/>
  <c r="BC156" i="1"/>
  <c r="BN156" i="4" s="1"/>
  <c r="BC162" i="1"/>
  <c r="BN162" i="4" s="1"/>
  <c r="BC168" i="1"/>
  <c r="BN168" i="4" s="1"/>
  <c r="BC174" i="1"/>
  <c r="BN174" i="4" s="1"/>
  <c r="BC180" i="1"/>
  <c r="BC186" i="1"/>
  <c r="BN186" i="4" s="1"/>
  <c r="BC192" i="1"/>
  <c r="BN192" i="4" s="1"/>
  <c r="BC198" i="1"/>
  <c r="BN198" i="4" s="1"/>
  <c r="BC204" i="1"/>
  <c r="BN204" i="4" s="1"/>
  <c r="BC210" i="1"/>
  <c r="BN210" i="4" s="1"/>
  <c r="BC216" i="1"/>
  <c r="BC222" i="1"/>
  <c r="BN222" i="4" s="1"/>
  <c r="BC228" i="1"/>
  <c r="BN228" i="4" s="1"/>
  <c r="BC234" i="1"/>
  <c r="BN234" i="4" s="1"/>
  <c r="BC240" i="1"/>
  <c r="BN240" i="4" s="1"/>
  <c r="BC246" i="1"/>
  <c r="BN246" i="4" s="1"/>
  <c r="BC252" i="1"/>
  <c r="BC8" i="1"/>
  <c r="BN8" i="4" s="1"/>
  <c r="BC14" i="1"/>
  <c r="BN14" i="4" s="1"/>
  <c r="BC20" i="1"/>
  <c r="BN20" i="4" s="1"/>
  <c r="BC26" i="1"/>
  <c r="BN26" i="4" s="1"/>
  <c r="BC32" i="1"/>
  <c r="BN32" i="4" s="1"/>
  <c r="BC38" i="1"/>
  <c r="BC44" i="1"/>
  <c r="BN44" i="4" s="1"/>
  <c r="BC50" i="1"/>
  <c r="BN50" i="4" s="1"/>
  <c r="BC56" i="1"/>
  <c r="BN56" i="4" s="1"/>
  <c r="BC62" i="1"/>
  <c r="BN62" i="4" s="1"/>
  <c r="BC68" i="1"/>
  <c r="BN68" i="4" s="1"/>
  <c r="BC74" i="1"/>
  <c r="BN74" i="4" s="1"/>
  <c r="BP74" i="10" s="1"/>
  <c r="BC80" i="1"/>
  <c r="BN80" i="4" s="1"/>
  <c r="BC86" i="1"/>
  <c r="BN86" i="4" s="1"/>
  <c r="BC92" i="1"/>
  <c r="BN92" i="4" s="1"/>
  <c r="BC98" i="1"/>
  <c r="BN98" i="4" s="1"/>
  <c r="BC104" i="1"/>
  <c r="BN104" i="4" s="1"/>
  <c r="BC110" i="1"/>
  <c r="BC116" i="1"/>
  <c r="BN116" i="4" s="1"/>
  <c r="BC122" i="1"/>
  <c r="BN122" i="4" s="1"/>
  <c r="BC128" i="1"/>
  <c r="BN128" i="4" s="1"/>
  <c r="BC134" i="1"/>
  <c r="BN134" i="4" s="1"/>
  <c r="BC140" i="1"/>
  <c r="BN140" i="4" s="1"/>
  <c r="BC146" i="1"/>
  <c r="BN146" i="4" s="1"/>
  <c r="BP146" i="10" s="1"/>
  <c r="BC152" i="1"/>
  <c r="BN152" i="4" s="1"/>
  <c r="BC158" i="1"/>
  <c r="BN158" i="4" s="1"/>
  <c r="BC164" i="1"/>
  <c r="BN164" i="4" s="1"/>
  <c r="BC170" i="1"/>
  <c r="BN170" i="4" s="1"/>
  <c r="BC176" i="1"/>
  <c r="BN176" i="4" s="1"/>
  <c r="BC182" i="1"/>
  <c r="BC188" i="1"/>
  <c r="BN188" i="4" s="1"/>
  <c r="BC194" i="1"/>
  <c r="BN194" i="4" s="1"/>
  <c r="BC200" i="1"/>
  <c r="BN200" i="4" s="1"/>
  <c r="BC206" i="1"/>
  <c r="BN206" i="4" s="1"/>
  <c r="BC212" i="1"/>
  <c r="BN212" i="4" s="1"/>
  <c r="BC218" i="1"/>
  <c r="BC224" i="1"/>
  <c r="BN224" i="4" s="1"/>
  <c r="BC230" i="1"/>
  <c r="BN230" i="4" s="1"/>
  <c r="BC236" i="1"/>
  <c r="BN236" i="4" s="1"/>
  <c r="BC242" i="1"/>
  <c r="BN242" i="4" s="1"/>
  <c r="BC248" i="1"/>
  <c r="BN248" i="4" s="1"/>
  <c r="BC254" i="1"/>
  <c r="BC7" i="1"/>
  <c r="BN7" i="4" s="1"/>
  <c r="BC16" i="1"/>
  <c r="BN16" i="4" s="1"/>
  <c r="BC25" i="1"/>
  <c r="BN25" i="4" s="1"/>
  <c r="BC34" i="1"/>
  <c r="BN34" i="4" s="1"/>
  <c r="BC43" i="1"/>
  <c r="BN43" i="4" s="1"/>
  <c r="BC52" i="1"/>
  <c r="BC61" i="1"/>
  <c r="BN61" i="4" s="1"/>
  <c r="BC70" i="1"/>
  <c r="BN70" i="4" s="1"/>
  <c r="BC79" i="1"/>
  <c r="BN79" i="4" s="1"/>
  <c r="BC88" i="1"/>
  <c r="BN88" i="4" s="1"/>
  <c r="BC97" i="1"/>
  <c r="BN97" i="4" s="1"/>
  <c r="BC106" i="1"/>
  <c r="BN106" i="4" s="1"/>
  <c r="BC115" i="1"/>
  <c r="BN115" i="4" s="1"/>
  <c r="BC124" i="1"/>
  <c r="BN124" i="4" s="1"/>
  <c r="BP124" i="10" s="1"/>
  <c r="BC133" i="1"/>
  <c r="BN133" i="4" s="1"/>
  <c r="BC142" i="1"/>
  <c r="BN142" i="4" s="1"/>
  <c r="BC151" i="1"/>
  <c r="BN151" i="4" s="1"/>
  <c r="BC160" i="1"/>
  <c r="BC169" i="1"/>
  <c r="BN169" i="4" s="1"/>
  <c r="BC178" i="1"/>
  <c r="BN178" i="4" s="1"/>
  <c r="BC187" i="1"/>
  <c r="BN187" i="4" s="1"/>
  <c r="BC196" i="1"/>
  <c r="BN196" i="4" s="1"/>
  <c r="BC205" i="1"/>
  <c r="BN205" i="4" s="1"/>
  <c r="BC214" i="1"/>
  <c r="BC223" i="1"/>
  <c r="BN223" i="4" s="1"/>
  <c r="BC232" i="1"/>
  <c r="BN232" i="4" s="1"/>
  <c r="BC241" i="1"/>
  <c r="BN241" i="4" s="1"/>
  <c r="BC250" i="1"/>
  <c r="BN250" i="4" s="1"/>
  <c r="BC9" i="1"/>
  <c r="BN9" i="4" s="1"/>
  <c r="BC17" i="1"/>
  <c r="BC27" i="1"/>
  <c r="BC35" i="1"/>
  <c r="BC45" i="1"/>
  <c r="BC53" i="1"/>
  <c r="BN53" i="4" s="1"/>
  <c r="BC63" i="1"/>
  <c r="BN63" i="4" s="1"/>
  <c r="BC71" i="1"/>
  <c r="BC81" i="1"/>
  <c r="BN81" i="4" s="1"/>
  <c r="BC89" i="1"/>
  <c r="BN89" i="4" s="1"/>
  <c r="BP89" i="10" s="1"/>
  <c r="BC99" i="1"/>
  <c r="BC107" i="1"/>
  <c r="BC117" i="1"/>
  <c r="BN117" i="4" s="1"/>
  <c r="BC125" i="1"/>
  <c r="BC135" i="1"/>
  <c r="BN135" i="4" s="1"/>
  <c r="BC143" i="1"/>
  <c r="BN143" i="4" s="1"/>
  <c r="BC153" i="1"/>
  <c r="BN153" i="4" s="1"/>
  <c r="BC161" i="1"/>
  <c r="BN161" i="4" s="1"/>
  <c r="BC171" i="1"/>
  <c r="BN171" i="4" s="1"/>
  <c r="BC179" i="1"/>
  <c r="BC189" i="1"/>
  <c r="BN189" i="4" s="1"/>
  <c r="BC197" i="1"/>
  <c r="BN197" i="4" s="1"/>
  <c r="BC207" i="1"/>
  <c r="BN207" i="4" s="1"/>
  <c r="BC215" i="1"/>
  <c r="BN215" i="4" s="1"/>
  <c r="BC225" i="1"/>
  <c r="BN225" i="4" s="1"/>
  <c r="BC233" i="1"/>
  <c r="BC243" i="1"/>
  <c r="BN243" i="4" s="1"/>
  <c r="BC251" i="1"/>
  <c r="BN251" i="4" s="1"/>
  <c r="BC10" i="1"/>
  <c r="BN10" i="4" s="1"/>
  <c r="BC19" i="1"/>
  <c r="BN19" i="4" s="1"/>
  <c r="BC28" i="1"/>
  <c r="BN28" i="4" s="1"/>
  <c r="BC37" i="1"/>
  <c r="BC46" i="1"/>
  <c r="BN46" i="4" s="1"/>
  <c r="BC55" i="1"/>
  <c r="BN55" i="4" s="1"/>
  <c r="BC64" i="1"/>
  <c r="BN64" i="4" s="1"/>
  <c r="BC73" i="1"/>
  <c r="BN73" i="4" s="1"/>
  <c r="BC82" i="1"/>
  <c r="BN82" i="4" s="1"/>
  <c r="BC91" i="1"/>
  <c r="BC100" i="1"/>
  <c r="BN100" i="4" s="1"/>
  <c r="BC109" i="1"/>
  <c r="BN109" i="4" s="1"/>
  <c r="BC118" i="1"/>
  <c r="BN118" i="4" s="1"/>
  <c r="BC127" i="1"/>
  <c r="BN127" i="4" s="1"/>
  <c r="BC136" i="1"/>
  <c r="BN136" i="4" s="1"/>
  <c r="BC145" i="1"/>
  <c r="BC154" i="1"/>
  <c r="BN154" i="4" s="1"/>
  <c r="BC163" i="1"/>
  <c r="BN163" i="4" s="1"/>
  <c r="BP163" i="10" s="1"/>
  <c r="BC172" i="1"/>
  <c r="BN172" i="4" s="1"/>
  <c r="BC181" i="1"/>
  <c r="BN181" i="4" s="1"/>
  <c r="BC190" i="1"/>
  <c r="BN190" i="4" s="1"/>
  <c r="BC199" i="1"/>
  <c r="BC208" i="1"/>
  <c r="BN208" i="4" s="1"/>
  <c r="BC217" i="1"/>
  <c r="BN217" i="4" s="1"/>
  <c r="BC226" i="1"/>
  <c r="BN226" i="4" s="1"/>
  <c r="BC235" i="1"/>
  <c r="BN235" i="4" s="1"/>
  <c r="BC244" i="1"/>
  <c r="BN244" i="4" s="1"/>
  <c r="BC253" i="1"/>
  <c r="BC11" i="1"/>
  <c r="BC21" i="1"/>
  <c r="BN21" i="4" s="1"/>
  <c r="BC29" i="1"/>
  <c r="BC39" i="1"/>
  <c r="BN39" i="4" s="1"/>
  <c r="BC47" i="1"/>
  <c r="BN47" i="4" s="1"/>
  <c r="BC57" i="1"/>
  <c r="BC65" i="1"/>
  <c r="BC75" i="1"/>
  <c r="BC83" i="1"/>
  <c r="BC93" i="1"/>
  <c r="BN93" i="4" s="1"/>
  <c r="BC101" i="1"/>
  <c r="BN101" i="4" s="1"/>
  <c r="BC111" i="1"/>
  <c r="BC119" i="1"/>
  <c r="BN119" i="4" s="1"/>
  <c r="BC129" i="1"/>
  <c r="BN129" i="4" s="1"/>
  <c r="BP129" i="10" s="1"/>
  <c r="BC137" i="1"/>
  <c r="BN137" i="4" s="1"/>
  <c r="BC147" i="1"/>
  <c r="BN147" i="4" s="1"/>
  <c r="BC155" i="1"/>
  <c r="BN155" i="4" s="1"/>
  <c r="BC165" i="1"/>
  <c r="BC173" i="1"/>
  <c r="BN173" i="4" s="1"/>
  <c r="BC183" i="1"/>
  <c r="BN183" i="4" s="1"/>
  <c r="BP183" i="10" s="1"/>
  <c r="BC191" i="1"/>
  <c r="BN191" i="4" s="1"/>
  <c r="BC201" i="1"/>
  <c r="BN201" i="4" s="1"/>
  <c r="BC209" i="1"/>
  <c r="BN209" i="4" s="1"/>
  <c r="BC219" i="1"/>
  <c r="BC227" i="1"/>
  <c r="BN227" i="4" s="1"/>
  <c r="BC237" i="1"/>
  <c r="BN237" i="4" s="1"/>
  <c r="BP237" i="10" s="1"/>
  <c r="BC245" i="1"/>
  <c r="BN245" i="4" s="1"/>
  <c r="BC255" i="1"/>
  <c r="BN255" i="4" s="1"/>
  <c r="BC4" i="1"/>
  <c r="BN4" i="4" s="1"/>
  <c r="BC13" i="1"/>
  <c r="BC22" i="1"/>
  <c r="BN22" i="4" s="1"/>
  <c r="BC31" i="1"/>
  <c r="BN31" i="4" s="1"/>
  <c r="BC40" i="1"/>
  <c r="BN40" i="4" s="1"/>
  <c r="BC49" i="1"/>
  <c r="BN49" i="4" s="1"/>
  <c r="BC58" i="1"/>
  <c r="BN58" i="4" s="1"/>
  <c r="BC67" i="1"/>
  <c r="BC76" i="1"/>
  <c r="BN76" i="4" s="1"/>
  <c r="BC85" i="1"/>
  <c r="BN85" i="4" s="1"/>
  <c r="BC94" i="1"/>
  <c r="BC103" i="1"/>
  <c r="BN103" i="4" s="1"/>
  <c r="BC112" i="1"/>
  <c r="BN112" i="4" s="1"/>
  <c r="BC121" i="1"/>
  <c r="BC130" i="1"/>
  <c r="BN130" i="4" s="1"/>
  <c r="BC139" i="1"/>
  <c r="BN139" i="4" s="1"/>
  <c r="BP139" i="10" s="1"/>
  <c r="BC148" i="1"/>
  <c r="BN148" i="4" s="1"/>
  <c r="BC157" i="1"/>
  <c r="BN157" i="4" s="1"/>
  <c r="BC166" i="1"/>
  <c r="BN166" i="4" s="1"/>
  <c r="BC175" i="1"/>
  <c r="BC184" i="1"/>
  <c r="BN184" i="4" s="1"/>
  <c r="BC193" i="1"/>
  <c r="BN193" i="4" s="1"/>
  <c r="BP193" i="10" s="1"/>
  <c r="BC202" i="1"/>
  <c r="BN202" i="4" s="1"/>
  <c r="BC211" i="1"/>
  <c r="BN211" i="4" s="1"/>
  <c r="BC220" i="1"/>
  <c r="BN220" i="4" s="1"/>
  <c r="BC229" i="1"/>
  <c r="BC238" i="1"/>
  <c r="BN238" i="4" s="1"/>
  <c r="BC247" i="1"/>
  <c r="BN247" i="4" s="1"/>
  <c r="BP247" i="10" s="1"/>
  <c r="BC23" i="1"/>
  <c r="BN23" i="4" s="1"/>
  <c r="BC77" i="1"/>
  <c r="BN77" i="4" s="1"/>
  <c r="BC131" i="1"/>
  <c r="BN131" i="4" s="1"/>
  <c r="BC185" i="1"/>
  <c r="BN185" i="4" s="1"/>
  <c r="BP185" i="10" s="1"/>
  <c r="BC239" i="1"/>
  <c r="BN239" i="4" s="1"/>
  <c r="BC33" i="1"/>
  <c r="BC87" i="1"/>
  <c r="BN87" i="4" s="1"/>
  <c r="BC141" i="1"/>
  <c r="BN141" i="4" s="1"/>
  <c r="BC195" i="1"/>
  <c r="BN195" i="4" s="1"/>
  <c r="BC249" i="1"/>
  <c r="BC41" i="1"/>
  <c r="BC95" i="1"/>
  <c r="BN95" i="4" s="1"/>
  <c r="BP95" i="10" s="1"/>
  <c r="BC149" i="1"/>
  <c r="BC203" i="1"/>
  <c r="BN203" i="4" s="1"/>
  <c r="BC51" i="1"/>
  <c r="BN51" i="4" s="1"/>
  <c r="BC105" i="1"/>
  <c r="BC159" i="1"/>
  <c r="BN159" i="4" s="1"/>
  <c r="BC213" i="1"/>
  <c r="BN213" i="4" s="1"/>
  <c r="BP213" i="10" s="1"/>
  <c r="BC59" i="1"/>
  <c r="BC221" i="1"/>
  <c r="BN221" i="4" s="1"/>
  <c r="BC69" i="1"/>
  <c r="BN69" i="4" s="1"/>
  <c r="BC231" i="1"/>
  <c r="BC113" i="1"/>
  <c r="BN113" i="4" s="1"/>
  <c r="BP113" i="10" s="1"/>
  <c r="BC123" i="1"/>
  <c r="BN123" i="4" s="1"/>
  <c r="BP123" i="10" s="1"/>
  <c r="BC5" i="1"/>
  <c r="BC167" i="1"/>
  <c r="BN167" i="4" s="1"/>
  <c r="BC177" i="1"/>
  <c r="BN177" i="4" s="1"/>
  <c r="BC15" i="1"/>
  <c r="BP9" i="10"/>
  <c r="BP21" i="10"/>
  <c r="BP39" i="10"/>
  <c r="BP51" i="10"/>
  <c r="BP63" i="10"/>
  <c r="BP69" i="10"/>
  <c r="BP81" i="10"/>
  <c r="BP87" i="10"/>
  <c r="BP93" i="10"/>
  <c r="BP23" i="10"/>
  <c r="BP47" i="10"/>
  <c r="BP53" i="10"/>
  <c r="BP101" i="10"/>
  <c r="BP119" i="10"/>
  <c r="BP131" i="10"/>
  <c r="BP137" i="10"/>
  <c r="BP143" i="10"/>
  <c r="BP155" i="10"/>
  <c r="BP161" i="10"/>
  <c r="BP4" i="10"/>
  <c r="BP22" i="10"/>
  <c r="BP40" i="10"/>
  <c r="BP49" i="10"/>
  <c r="BP58" i="10"/>
  <c r="BP76" i="10"/>
  <c r="BP153" i="10"/>
  <c r="BP191" i="10"/>
  <c r="BP209" i="10"/>
  <c r="BP221" i="10"/>
  <c r="BP245" i="10"/>
  <c r="BP6" i="10"/>
  <c r="BP14" i="10"/>
  <c r="BP24" i="10"/>
  <c r="BP32" i="10"/>
  <c r="BP42" i="10"/>
  <c r="BP50" i="10"/>
  <c r="BP60" i="10"/>
  <c r="BP68" i="10"/>
  <c r="BP78" i="10"/>
  <c r="BP86" i="10"/>
  <c r="BP96" i="10"/>
  <c r="BP104" i="10"/>
  <c r="BP118" i="10"/>
  <c r="BP126" i="10"/>
  <c r="BP133" i="10"/>
  <c r="BP140" i="10"/>
  <c r="BP147" i="10"/>
  <c r="BP154" i="10"/>
  <c r="BP162" i="10"/>
  <c r="BP168" i="10"/>
  <c r="BP174" i="10"/>
  <c r="BP186" i="10"/>
  <c r="BP192" i="10"/>
  <c r="BP198" i="10"/>
  <c r="BP204" i="10"/>
  <c r="BP210" i="10"/>
  <c r="BP222" i="10"/>
  <c r="BP228" i="10"/>
  <c r="BP234" i="10"/>
  <c r="BP240" i="10"/>
  <c r="BP246" i="10"/>
  <c r="BP16" i="10"/>
  <c r="BP34" i="10"/>
  <c r="BP70" i="10"/>
  <c r="BP88" i="10"/>
  <c r="BP97" i="10"/>
  <c r="BP120" i="10"/>
  <c r="BP134" i="10"/>
  <c r="BP148" i="10"/>
  <c r="BP169" i="10"/>
  <c r="BP181" i="10"/>
  <c r="BP205" i="10"/>
  <c r="BP217" i="10"/>
  <c r="BP241" i="10"/>
  <c r="BP7" i="10"/>
  <c r="BP25" i="10"/>
  <c r="BP43" i="10"/>
  <c r="BP61" i="10"/>
  <c r="BP79" i="10"/>
  <c r="BP112" i="10"/>
  <c r="BP127" i="10"/>
  <c r="BP141" i="10"/>
  <c r="BP156" i="10"/>
  <c r="BP187" i="10"/>
  <c r="BP211" i="10"/>
  <c r="BP223" i="10"/>
  <c r="BP235" i="10"/>
  <c r="BP8" i="10"/>
  <c r="BP18" i="10"/>
  <c r="BP26" i="10"/>
  <c r="BP44" i="10"/>
  <c r="BP54" i="10"/>
  <c r="BP62" i="10"/>
  <c r="BP80" i="10"/>
  <c r="BP90" i="10"/>
  <c r="BP98" i="10"/>
  <c r="BP114" i="10"/>
  <c r="BP128" i="10"/>
  <c r="BP135" i="10"/>
  <c r="BP142" i="10"/>
  <c r="BP150" i="10"/>
  <c r="BP157" i="10"/>
  <c r="BP164" i="10"/>
  <c r="BP170" i="10"/>
  <c r="BP176" i="10"/>
  <c r="BP188" i="10"/>
  <c r="BP194" i="10"/>
  <c r="BP200" i="10"/>
  <c r="BP206" i="10"/>
  <c r="BP212" i="10"/>
  <c r="BP224" i="10"/>
  <c r="BP230" i="10"/>
  <c r="BP236" i="10"/>
  <c r="BP242" i="10"/>
  <c r="BP248" i="10"/>
  <c r="BP158" i="10"/>
  <c r="BP189" i="10"/>
  <c r="BP207" i="10"/>
  <c r="BP243" i="10"/>
  <c r="BP10" i="10"/>
  <c r="BP19" i="10"/>
  <c r="BP28" i="10"/>
  <c r="BP46" i="10"/>
  <c r="BP55" i="10"/>
  <c r="BP64" i="10"/>
  <c r="BP73" i="10"/>
  <c r="BP82" i="10"/>
  <c r="BP100" i="10"/>
  <c r="BP115" i="10"/>
  <c r="BP122" i="10"/>
  <c r="BP136" i="10"/>
  <c r="BP151" i="10"/>
  <c r="BP171" i="10"/>
  <c r="BP177" i="10"/>
  <c r="BP195" i="10"/>
  <c r="BP201" i="10"/>
  <c r="BP225" i="10"/>
  <c r="BP255" i="10"/>
  <c r="BP12" i="10"/>
  <c r="BP20" i="10"/>
  <c r="BP30" i="10"/>
  <c r="BP48" i="10"/>
  <c r="BP56" i="10"/>
  <c r="BP66" i="10"/>
  <c r="BP84" i="10"/>
  <c r="BP92" i="10"/>
  <c r="BP102" i="10"/>
  <c r="BP109" i="10"/>
  <c r="BP116" i="10"/>
  <c r="BP130" i="10"/>
  <c r="BP138" i="10"/>
  <c r="BP152" i="10"/>
  <c r="BP159" i="10"/>
  <c r="BP166" i="10"/>
  <c r="BP172" i="10"/>
  <c r="BP178" i="10"/>
  <c r="BP184" i="10"/>
  <c r="BP190" i="10"/>
  <c r="BP196" i="10"/>
  <c r="BP202" i="10"/>
  <c r="BP208" i="10"/>
  <c r="BP220" i="10"/>
  <c r="BP226" i="10"/>
  <c r="BP232" i="10"/>
  <c r="BP238" i="10"/>
  <c r="BP244" i="10"/>
  <c r="BP250" i="10"/>
  <c r="BP31" i="10"/>
  <c r="BP85" i="10"/>
  <c r="BP103" i="10"/>
  <c r="BP117" i="10"/>
  <c r="BP132" i="10"/>
  <c r="BP173" i="10"/>
  <c r="BP197" i="10"/>
  <c r="BP203" i="10"/>
  <c r="BP215" i="10"/>
  <c r="BP227" i="10"/>
  <c r="BP239" i="10"/>
  <c r="BP251" i="10"/>
  <c r="BV2" i="5"/>
  <c r="BR2" i="5" a="1"/>
  <c r="BS2" i="5" a="1"/>
  <c r="BN231" i="4" l="1"/>
  <c r="BN249" i="4"/>
  <c r="BN229" i="4"/>
  <c r="BN121" i="4"/>
  <c r="BN13" i="4"/>
  <c r="BN165" i="4"/>
  <c r="BN111" i="4"/>
  <c r="BN57" i="4"/>
  <c r="BN253" i="4"/>
  <c r="BN145" i="4"/>
  <c r="BN91" i="4"/>
  <c r="BN37" i="4"/>
  <c r="BP37" i="10" s="1"/>
  <c r="BN233" i="4"/>
  <c r="BN179" i="4"/>
  <c r="BN125" i="4"/>
  <c r="BP125" i="10" s="1"/>
  <c r="BN71" i="4"/>
  <c r="BN17" i="4"/>
  <c r="BN214" i="4"/>
  <c r="BP214" i="10" s="1"/>
  <c r="BN160" i="4"/>
  <c r="BN52" i="4"/>
  <c r="BN254" i="4"/>
  <c r="BN218" i="4"/>
  <c r="BN182" i="4"/>
  <c r="BP182" i="10" s="1"/>
  <c r="BN110" i="4"/>
  <c r="BN38" i="4"/>
  <c r="BN252" i="4"/>
  <c r="BN216" i="4"/>
  <c r="BN180" i="4"/>
  <c r="BN144" i="4"/>
  <c r="BN108" i="4"/>
  <c r="BP108" i="10" s="1"/>
  <c r="BN72" i="4"/>
  <c r="BN36" i="4"/>
  <c r="BP106" i="10"/>
  <c r="BP67" i="10"/>
  <c r="BN67" i="4"/>
  <c r="BP199" i="10"/>
  <c r="BN199" i="4"/>
  <c r="BN107" i="4"/>
  <c r="BP107" i="10" s="1"/>
  <c r="BN175" i="4"/>
  <c r="BP175" i="10" s="1"/>
  <c r="BP167" i="10"/>
  <c r="BN5" i="4"/>
  <c r="BN59" i="4"/>
  <c r="BP59" i="10" s="1"/>
  <c r="BN149" i="4"/>
  <c r="BN94" i="4"/>
  <c r="BP94" i="10" s="1"/>
  <c r="BN83" i="4"/>
  <c r="BN29" i="4"/>
  <c r="BP29" i="10" s="1"/>
  <c r="BN99" i="4"/>
  <c r="BN45" i="4"/>
  <c r="BP45" i="10" s="1"/>
  <c r="BN15" i="4"/>
  <c r="BN219" i="4"/>
  <c r="BP219" i="10" s="1"/>
  <c r="BN33" i="4"/>
  <c r="BN75" i="4"/>
  <c r="BN35" i="4"/>
  <c r="BN105" i="4"/>
  <c r="BP77" i="10"/>
  <c r="BP41" i="10"/>
  <c r="BN41" i="4"/>
  <c r="BP65" i="10"/>
  <c r="BN65" i="4"/>
  <c r="BN11" i="4"/>
  <c r="BP11" i="10" s="1"/>
  <c r="BP27" i="10"/>
  <c r="BN27" i="4"/>
  <c r="C110" i="6" a="1"/>
  <c r="C110" i="6" s="1"/>
  <c r="E110" i="6" s="1"/>
  <c r="BC256" i="1"/>
  <c r="BR2" i="5"/>
  <c r="BS2" i="5"/>
  <c r="BP2" i="5" a="1"/>
  <c r="BT2" i="5" a="1"/>
  <c r="BP216" i="10" l="1"/>
  <c r="BP52" i="10"/>
  <c r="BP253" i="10"/>
  <c r="BP165" i="10"/>
  <c r="BP229" i="10"/>
  <c r="BP35" i="10"/>
  <c r="BP15" i="10"/>
  <c r="BP99" i="10"/>
  <c r="BP83" i="10"/>
  <c r="BP5" i="10"/>
  <c r="BP36" i="10"/>
  <c r="BP144" i="10"/>
  <c r="BP252" i="10"/>
  <c r="BP110" i="10"/>
  <c r="BP218" i="10"/>
  <c r="BP17" i="10"/>
  <c r="BP179" i="10"/>
  <c r="BP91" i="10"/>
  <c r="BP57" i="10"/>
  <c r="BP13" i="10"/>
  <c r="BP249" i="10"/>
  <c r="BP105" i="10"/>
  <c r="BP75" i="10"/>
  <c r="BP33" i="10"/>
  <c r="BP149" i="10"/>
  <c r="BP72" i="10"/>
  <c r="BP180" i="10"/>
  <c r="BP38" i="10"/>
  <c r="BP254" i="10"/>
  <c r="BP160" i="10"/>
  <c r="BP71" i="10"/>
  <c r="BP233" i="10"/>
  <c r="BP145" i="10"/>
  <c r="BP111" i="10"/>
  <c r="BP121" i="10"/>
  <c r="BP231" i="10"/>
  <c r="BP2" i="5"/>
  <c r="BN256" i="4"/>
  <c r="BT2" i="5"/>
  <c r="BU2" i="5" a="1"/>
  <c r="AA4" i="2" l="1"/>
  <c r="BP256" i="10"/>
  <c r="BU2" i="5"/>
  <c r="BW2" i="5" a="1"/>
  <c r="AB4" i="2" l="1" a="1"/>
  <c r="AB4" i="2" s="1"/>
  <c r="BW2" i="5"/>
  <c r="BD6" i="1" l="1"/>
  <c r="BO6" i="4" s="1"/>
  <c r="BD12" i="1"/>
  <c r="BO12" i="4" s="1"/>
  <c r="BD18" i="1"/>
  <c r="BO18" i="4" s="1"/>
  <c r="BD24" i="1"/>
  <c r="BO24" i="4" s="1"/>
  <c r="BD30" i="1"/>
  <c r="BD36" i="1"/>
  <c r="BD42" i="1"/>
  <c r="BO42" i="4" s="1"/>
  <c r="BD48" i="1"/>
  <c r="BO48" i="4" s="1"/>
  <c r="BD54" i="1"/>
  <c r="BO54" i="4" s="1"/>
  <c r="BD60" i="1"/>
  <c r="BO60" i="4" s="1"/>
  <c r="BD8" i="1"/>
  <c r="BD14" i="1"/>
  <c r="BD20" i="1"/>
  <c r="BO20" i="4" s="1"/>
  <c r="BD26" i="1"/>
  <c r="BO26" i="4" s="1"/>
  <c r="BD32" i="1"/>
  <c r="BO32" i="4" s="1"/>
  <c r="BD38" i="1"/>
  <c r="BO38" i="4" s="1"/>
  <c r="BD44" i="1"/>
  <c r="BD50" i="1"/>
  <c r="BD56" i="1"/>
  <c r="BO56" i="4" s="1"/>
  <c r="BD62" i="1"/>
  <c r="BO62" i="4" s="1"/>
  <c r="BD68" i="1"/>
  <c r="BO68" i="4" s="1"/>
  <c r="BD74" i="1"/>
  <c r="BO74" i="4" s="1"/>
  <c r="BD80" i="1"/>
  <c r="BD86" i="1"/>
  <c r="BD92" i="1"/>
  <c r="BO92" i="4" s="1"/>
  <c r="BD98" i="1"/>
  <c r="BO98" i="4" s="1"/>
  <c r="BD104" i="1"/>
  <c r="BO104" i="4" s="1"/>
  <c r="BD7" i="1"/>
  <c r="BO7" i="4" s="1"/>
  <c r="BD16" i="1"/>
  <c r="BD25" i="1"/>
  <c r="BD34" i="1"/>
  <c r="BO34" i="4" s="1"/>
  <c r="BD43" i="1"/>
  <c r="BO43" i="4" s="1"/>
  <c r="BD52" i="1"/>
  <c r="BO52" i="4" s="1"/>
  <c r="BD61" i="1"/>
  <c r="BO61" i="4" s="1"/>
  <c r="BD69" i="1"/>
  <c r="BD76" i="1"/>
  <c r="BD83" i="1"/>
  <c r="BO83" i="4" s="1"/>
  <c r="BD90" i="1"/>
  <c r="BO90" i="4" s="1"/>
  <c r="BD97" i="1"/>
  <c r="BO97" i="4" s="1"/>
  <c r="BD105" i="1"/>
  <c r="BO105" i="4" s="1"/>
  <c r="BD111" i="1"/>
  <c r="BO111" i="4" s="1"/>
  <c r="BD117" i="1"/>
  <c r="BO117" i="4" s="1"/>
  <c r="BD123" i="1"/>
  <c r="BO123" i="4" s="1"/>
  <c r="BD129" i="1"/>
  <c r="BO129" i="4" s="1"/>
  <c r="BD135" i="1"/>
  <c r="BO135" i="4" s="1"/>
  <c r="BD141" i="1"/>
  <c r="BO141" i="4" s="1"/>
  <c r="BD147" i="1"/>
  <c r="BD153" i="1"/>
  <c r="BD159" i="1"/>
  <c r="BO159" i="4" s="1"/>
  <c r="BD165" i="1"/>
  <c r="BO165" i="4" s="1"/>
  <c r="BD171" i="1"/>
  <c r="BO171" i="4" s="1"/>
  <c r="BD177" i="1"/>
  <c r="BO177" i="4" s="1"/>
  <c r="BD183" i="1"/>
  <c r="BD189" i="1"/>
  <c r="BD195" i="1"/>
  <c r="BO195" i="4" s="1"/>
  <c r="BD201" i="1"/>
  <c r="BO201" i="4" s="1"/>
  <c r="BD207" i="1"/>
  <c r="BO207" i="4" s="1"/>
  <c r="BD213" i="1"/>
  <c r="BO213" i="4" s="1"/>
  <c r="BD219" i="1"/>
  <c r="BD225" i="1"/>
  <c r="BD231" i="1"/>
  <c r="BO231" i="4" s="1"/>
  <c r="BD237" i="1"/>
  <c r="BO237" i="4" s="1"/>
  <c r="BD243" i="1"/>
  <c r="BO243" i="4" s="1"/>
  <c r="BD249" i="1"/>
  <c r="BO249" i="4" s="1"/>
  <c r="BD255" i="1"/>
  <c r="BD9" i="1"/>
  <c r="BD17" i="1"/>
  <c r="BO17" i="4" s="1"/>
  <c r="BD27" i="1"/>
  <c r="BO27" i="4" s="1"/>
  <c r="BD35" i="1"/>
  <c r="BO35" i="4" s="1"/>
  <c r="BD45" i="1"/>
  <c r="BO45" i="4" s="1"/>
  <c r="BD53" i="1"/>
  <c r="BD63" i="1"/>
  <c r="BD70" i="1"/>
  <c r="BO70" i="4" s="1"/>
  <c r="BD77" i="1"/>
  <c r="BO77" i="4" s="1"/>
  <c r="BD84" i="1"/>
  <c r="BO84" i="4" s="1"/>
  <c r="BD91" i="1"/>
  <c r="BO91" i="4" s="1"/>
  <c r="BD99" i="1"/>
  <c r="BD106" i="1"/>
  <c r="BD112" i="1"/>
  <c r="BO112" i="4" s="1"/>
  <c r="BD118" i="1"/>
  <c r="BO118" i="4" s="1"/>
  <c r="BD124" i="1"/>
  <c r="BO124" i="4" s="1"/>
  <c r="BD130" i="1"/>
  <c r="BO130" i="4" s="1"/>
  <c r="BD136" i="1"/>
  <c r="BO136" i="4" s="1"/>
  <c r="BD142" i="1"/>
  <c r="BD148" i="1"/>
  <c r="BO148" i="4" s="1"/>
  <c r="BD154" i="1"/>
  <c r="BO154" i="4" s="1"/>
  <c r="BD160" i="1"/>
  <c r="BO160" i="4" s="1"/>
  <c r="BD166" i="1"/>
  <c r="BO166" i="4" s="1"/>
  <c r="BD172" i="1"/>
  <c r="BD178" i="1"/>
  <c r="BD184" i="1"/>
  <c r="BO184" i="4" s="1"/>
  <c r="BD190" i="1"/>
  <c r="BO190" i="4" s="1"/>
  <c r="BD196" i="1"/>
  <c r="BO196" i="4" s="1"/>
  <c r="BD202" i="1"/>
  <c r="BO202" i="4" s="1"/>
  <c r="BD208" i="1"/>
  <c r="BO208" i="4" s="1"/>
  <c r="BD214" i="1"/>
  <c r="BD220" i="1"/>
  <c r="BO220" i="4" s="1"/>
  <c r="BD226" i="1"/>
  <c r="BO226" i="4" s="1"/>
  <c r="BD232" i="1"/>
  <c r="BO232" i="4" s="1"/>
  <c r="BD238" i="1"/>
  <c r="BO238" i="4" s="1"/>
  <c r="BD244" i="1"/>
  <c r="BD250" i="1"/>
  <c r="BD10" i="1"/>
  <c r="BO10" i="4" s="1"/>
  <c r="BD19" i="1"/>
  <c r="BO19" i="4" s="1"/>
  <c r="BD28" i="1"/>
  <c r="BO28" i="4" s="1"/>
  <c r="BD37" i="1"/>
  <c r="BO37" i="4" s="1"/>
  <c r="BD46" i="1"/>
  <c r="BD55" i="1"/>
  <c r="BD64" i="1"/>
  <c r="BD71" i="1"/>
  <c r="BO71" i="4" s="1"/>
  <c r="BD78" i="1"/>
  <c r="BO78" i="4" s="1"/>
  <c r="BD85" i="1"/>
  <c r="BO85" i="4" s="1"/>
  <c r="BQ85" i="10" s="1"/>
  <c r="BD93" i="1"/>
  <c r="BD100" i="1"/>
  <c r="BD107" i="1"/>
  <c r="BO107" i="4" s="1"/>
  <c r="BD113" i="1"/>
  <c r="BO113" i="4" s="1"/>
  <c r="BD119" i="1"/>
  <c r="BO119" i="4" s="1"/>
  <c r="BD125" i="1"/>
  <c r="BO125" i="4" s="1"/>
  <c r="BD131" i="1"/>
  <c r="BD137" i="1"/>
  <c r="BD143" i="1"/>
  <c r="BO143" i="4" s="1"/>
  <c r="BD149" i="1"/>
  <c r="BO149" i="4" s="1"/>
  <c r="BD155" i="1"/>
  <c r="BO155" i="4" s="1"/>
  <c r="BQ155" i="10" s="1"/>
  <c r="BD161" i="1"/>
  <c r="BO161" i="4" s="1"/>
  <c r="BQ161" i="10" s="1"/>
  <c r="BD167" i="1"/>
  <c r="BD173" i="1"/>
  <c r="BD179" i="1"/>
  <c r="BO179" i="4" s="1"/>
  <c r="BQ179" i="10" s="1"/>
  <c r="BD185" i="1"/>
  <c r="BO185" i="4" s="1"/>
  <c r="BD191" i="1"/>
  <c r="BO191" i="4" s="1"/>
  <c r="BD197" i="1"/>
  <c r="BO197" i="4" s="1"/>
  <c r="BD203" i="1"/>
  <c r="BD209" i="1"/>
  <c r="BD215" i="1"/>
  <c r="BO215" i="4" s="1"/>
  <c r="BQ215" i="10" s="1"/>
  <c r="BD221" i="1"/>
  <c r="BO221" i="4" s="1"/>
  <c r="BQ221" i="10" s="1"/>
  <c r="BD227" i="1"/>
  <c r="BO227" i="4" s="1"/>
  <c r="BD233" i="1"/>
  <c r="BO233" i="4" s="1"/>
  <c r="BD239" i="1"/>
  <c r="BO239" i="4" s="1"/>
  <c r="BD245" i="1"/>
  <c r="BD251" i="1"/>
  <c r="BO251" i="4" s="1"/>
  <c r="BD11" i="1"/>
  <c r="BO11" i="4" s="1"/>
  <c r="BQ11" i="10" s="1"/>
  <c r="BD21" i="1"/>
  <c r="BO21" i="4" s="1"/>
  <c r="BD29" i="1"/>
  <c r="BO29" i="4" s="1"/>
  <c r="BD39" i="1"/>
  <c r="BD47" i="1"/>
  <c r="BD57" i="1"/>
  <c r="BO57" i="4" s="1"/>
  <c r="BD65" i="1"/>
  <c r="BO65" i="4" s="1"/>
  <c r="BD72" i="1"/>
  <c r="BO72" i="4" s="1"/>
  <c r="BD79" i="1"/>
  <c r="BO79" i="4" s="1"/>
  <c r="BD87" i="1"/>
  <c r="BD94" i="1"/>
  <c r="BD101" i="1"/>
  <c r="BO101" i="4" s="1"/>
  <c r="BD108" i="1"/>
  <c r="BO108" i="4" s="1"/>
  <c r="BQ108" i="10" s="1"/>
  <c r="BD114" i="1"/>
  <c r="BO114" i="4" s="1"/>
  <c r="BD120" i="1"/>
  <c r="BO120" i="4" s="1"/>
  <c r="BQ120" i="10" s="1"/>
  <c r="BD126" i="1"/>
  <c r="BD132" i="1"/>
  <c r="BD138" i="1"/>
  <c r="BO138" i="4" s="1"/>
  <c r="BD144" i="1"/>
  <c r="BO144" i="4" s="1"/>
  <c r="BD150" i="1"/>
  <c r="BO150" i="4" s="1"/>
  <c r="BD156" i="1"/>
  <c r="BO156" i="4" s="1"/>
  <c r="BQ156" i="10" s="1"/>
  <c r="BD162" i="1"/>
  <c r="BD168" i="1"/>
  <c r="BD174" i="1"/>
  <c r="BO174" i="4" s="1"/>
  <c r="BD180" i="1"/>
  <c r="BO180" i="4" s="1"/>
  <c r="BQ180" i="10" s="1"/>
  <c r="BD186" i="1"/>
  <c r="BO186" i="4" s="1"/>
  <c r="BD192" i="1"/>
  <c r="BO192" i="4" s="1"/>
  <c r="BQ192" i="10" s="1"/>
  <c r="BD198" i="1"/>
  <c r="BD204" i="1"/>
  <c r="BD210" i="1"/>
  <c r="BO210" i="4" s="1"/>
  <c r="BQ210" i="10" s="1"/>
  <c r="BD216" i="1"/>
  <c r="BO216" i="4" s="1"/>
  <c r="BD222" i="1"/>
  <c r="BO222" i="4" s="1"/>
  <c r="BD228" i="1"/>
  <c r="BO228" i="4" s="1"/>
  <c r="BD234" i="1"/>
  <c r="BD240" i="1"/>
  <c r="BD246" i="1"/>
  <c r="BO246" i="4" s="1"/>
  <c r="BQ246" i="10" s="1"/>
  <c r="BD252" i="1"/>
  <c r="BO252" i="4" s="1"/>
  <c r="BD4" i="1"/>
  <c r="BO4" i="4" s="1"/>
  <c r="BD13" i="1"/>
  <c r="BO13" i="4" s="1"/>
  <c r="BD22" i="1"/>
  <c r="BD31" i="1"/>
  <c r="BD40" i="1"/>
  <c r="BO40" i="4" s="1"/>
  <c r="BD49" i="1"/>
  <c r="BO49" i="4" s="1"/>
  <c r="BD58" i="1"/>
  <c r="BO58" i="4" s="1"/>
  <c r="BQ58" i="10" s="1"/>
  <c r="BD66" i="1"/>
  <c r="BO66" i="4" s="1"/>
  <c r="BD73" i="1"/>
  <c r="BD81" i="1"/>
  <c r="BD88" i="1"/>
  <c r="BO88" i="4" s="1"/>
  <c r="BD95" i="1"/>
  <c r="BO95" i="4" s="1"/>
  <c r="BD102" i="1"/>
  <c r="BO102" i="4" s="1"/>
  <c r="BQ102" i="10" s="1"/>
  <c r="BD109" i="1"/>
  <c r="BO109" i="4" s="1"/>
  <c r="BD115" i="1"/>
  <c r="BD121" i="1"/>
  <c r="BO121" i="4" s="1"/>
  <c r="BD127" i="1"/>
  <c r="BO127" i="4" s="1"/>
  <c r="BD133" i="1"/>
  <c r="BO133" i="4" s="1"/>
  <c r="BD139" i="1"/>
  <c r="BO139" i="4" s="1"/>
  <c r="BQ139" i="10" s="1"/>
  <c r="BD145" i="1"/>
  <c r="BO145" i="4" s="1"/>
  <c r="BD151" i="1"/>
  <c r="BO151" i="4" s="1"/>
  <c r="BD157" i="1"/>
  <c r="BD163" i="1"/>
  <c r="BO163" i="4" s="1"/>
  <c r="BQ163" i="10" s="1"/>
  <c r="BD169" i="1"/>
  <c r="BO169" i="4" s="1"/>
  <c r="BD175" i="1"/>
  <c r="BO175" i="4" s="1"/>
  <c r="BD181" i="1"/>
  <c r="BO181" i="4" s="1"/>
  <c r="BQ181" i="10" s="1"/>
  <c r="BD187" i="1"/>
  <c r="BD193" i="1"/>
  <c r="BO193" i="4" s="1"/>
  <c r="BD199" i="1"/>
  <c r="BO199" i="4" s="1"/>
  <c r="BQ199" i="10" s="1"/>
  <c r="BD205" i="1"/>
  <c r="BO205" i="4" s="1"/>
  <c r="BD211" i="1"/>
  <c r="BO211" i="4" s="1"/>
  <c r="BQ211" i="10" s="1"/>
  <c r="BD217" i="1"/>
  <c r="BO217" i="4" s="1"/>
  <c r="BD223" i="1"/>
  <c r="BD229" i="1"/>
  <c r="BD235" i="1"/>
  <c r="BO235" i="4" s="1"/>
  <c r="BQ235" i="10" s="1"/>
  <c r="BD241" i="1"/>
  <c r="BO241" i="4" s="1"/>
  <c r="BD247" i="1"/>
  <c r="BO247" i="4" s="1"/>
  <c r="BQ247" i="10" s="1"/>
  <c r="BD253" i="1"/>
  <c r="BO253" i="4" s="1"/>
  <c r="BD41" i="1"/>
  <c r="BD89" i="1"/>
  <c r="BD128" i="1"/>
  <c r="BO128" i="4" s="1"/>
  <c r="BD164" i="1"/>
  <c r="BO164" i="4" s="1"/>
  <c r="BD200" i="1"/>
  <c r="BO200" i="4" s="1"/>
  <c r="BD236" i="1"/>
  <c r="BO236" i="4" s="1"/>
  <c r="BD51" i="1"/>
  <c r="BD96" i="1"/>
  <c r="BO96" i="4" s="1"/>
  <c r="BD134" i="1"/>
  <c r="BO134" i="4" s="1"/>
  <c r="BD170" i="1"/>
  <c r="BO170" i="4" s="1"/>
  <c r="BD206" i="1"/>
  <c r="BO206" i="4" s="1"/>
  <c r="BD242" i="1"/>
  <c r="BO242" i="4" s="1"/>
  <c r="BD5" i="1"/>
  <c r="BD59" i="1"/>
  <c r="BD103" i="1"/>
  <c r="BO103" i="4" s="1"/>
  <c r="BQ103" i="10" s="1"/>
  <c r="BD140" i="1"/>
  <c r="BO140" i="4" s="1"/>
  <c r="BD176" i="1"/>
  <c r="BO176" i="4" s="1"/>
  <c r="BQ176" i="10" s="1"/>
  <c r="BD212" i="1"/>
  <c r="BO212" i="4" s="1"/>
  <c r="BD248" i="1"/>
  <c r="BD15" i="1"/>
  <c r="BD67" i="1"/>
  <c r="BO67" i="4" s="1"/>
  <c r="BQ67" i="10" s="1"/>
  <c r="BD110" i="1"/>
  <c r="BO110" i="4" s="1"/>
  <c r="BQ110" i="10" s="1"/>
  <c r="BD146" i="1"/>
  <c r="BO146" i="4" s="1"/>
  <c r="BD182" i="1"/>
  <c r="BO182" i="4" s="1"/>
  <c r="BD218" i="1"/>
  <c r="BO218" i="4" s="1"/>
  <c r="BD254" i="1"/>
  <c r="BD116" i="1"/>
  <c r="BO116" i="4" s="1"/>
  <c r="BQ116" i="10" s="1"/>
  <c r="BD224" i="1"/>
  <c r="BO224" i="4" s="1"/>
  <c r="BD122" i="1"/>
  <c r="BO122" i="4" s="1"/>
  <c r="BD230" i="1"/>
  <c r="BO230" i="4" s="1"/>
  <c r="BQ230" i="10" s="1"/>
  <c r="BD23" i="1"/>
  <c r="BO23" i="4" s="1"/>
  <c r="BD152" i="1"/>
  <c r="BD33" i="1"/>
  <c r="BO33" i="4" s="1"/>
  <c r="BQ33" i="10" s="1"/>
  <c r="BD158" i="1"/>
  <c r="BO158" i="4" s="1"/>
  <c r="BQ158" i="10" s="1"/>
  <c r="BD75" i="1"/>
  <c r="BO75" i="4" s="1"/>
  <c r="BQ75" i="10" s="1"/>
  <c r="BD188" i="1"/>
  <c r="BO188" i="4" s="1"/>
  <c r="BQ188" i="10" s="1"/>
  <c r="BD82" i="1"/>
  <c r="BD194" i="1"/>
  <c r="BO194" i="4" s="1"/>
  <c r="BQ113" i="10"/>
  <c r="BQ101" i="10"/>
  <c r="BQ207" i="10"/>
  <c r="BQ195" i="10"/>
  <c r="BQ218" i="10"/>
  <c r="BQ98" i="10"/>
  <c r="BQ17" i="10"/>
  <c r="BQ18" i="10"/>
  <c r="BQ150" i="10"/>
  <c r="BQ61" i="10"/>
  <c r="BQ105" i="10"/>
  <c r="BQ123" i="10"/>
  <c r="BQ196" i="10"/>
  <c r="BQ29" i="10"/>
  <c r="BQ24" i="10"/>
  <c r="BQ79" i="10"/>
  <c r="BQ182" i="10"/>
  <c r="BQ135" i="10"/>
  <c r="BQ70" i="10"/>
  <c r="BQ202" i="10"/>
  <c r="BQ91" i="10"/>
  <c r="BQ56" i="10"/>
  <c r="BQ129" i="10"/>
  <c r="BQ141" i="10"/>
  <c r="BQ208" i="10"/>
  <c r="BQ97" i="10"/>
  <c r="BQ62" i="10"/>
  <c r="BQ194" i="10"/>
  <c r="BQ191" i="10"/>
  <c r="BQ65" i="10"/>
  <c r="BQ42" i="10"/>
  <c r="BQ174" i="10"/>
  <c r="BQ109" i="10"/>
  <c r="BQ200" i="10"/>
  <c r="BQ227" i="10"/>
  <c r="BQ78" i="10"/>
  <c r="BQ104" i="10"/>
  <c r="BQ236" i="10"/>
  <c r="BQ231" i="10"/>
  <c r="BQ237" i="10"/>
  <c r="BQ124" i="10"/>
  <c r="BQ149" i="10"/>
  <c r="BQ84" i="10"/>
  <c r="BQ216" i="10"/>
  <c r="BQ193" i="10"/>
  <c r="BQ242" i="10"/>
  <c r="BQ243" i="10"/>
  <c r="BQ249" i="10"/>
  <c r="BQ130" i="10"/>
  <c r="BQ90" i="10"/>
  <c r="BQ222" i="10"/>
  <c r="BQ205" i="10"/>
  <c r="BQ35" i="10"/>
  <c r="BQ253" i="10"/>
  <c r="BQ140" i="10"/>
  <c r="BQ160" i="10"/>
  <c r="BQ252" i="10"/>
  <c r="BQ45" i="10"/>
  <c r="BQ34" i="10"/>
  <c r="BQ95" i="10"/>
  <c r="BQ19" i="10"/>
  <c r="BQ32" i="10"/>
  <c r="BQ184" i="10"/>
  <c r="BQ49" i="10"/>
  <c r="BQ38" i="10"/>
  <c r="BQ143" i="10"/>
  <c r="BQ159" i="10"/>
  <c r="BQ88" i="10"/>
  <c r="BQ77" i="10"/>
  <c r="BQ121" i="10"/>
  <c r="BQ74" i="10"/>
  <c r="BQ171" i="10"/>
  <c r="BQ54" i="10"/>
  <c r="BQ127" i="10"/>
  <c r="BQ212" i="10"/>
  <c r="BQ232" i="10"/>
  <c r="BQ60" i="10"/>
  <c r="BQ228" i="10"/>
  <c r="BQ217" i="10"/>
  <c r="BQ122" i="10"/>
  <c r="BQ10" i="10"/>
  <c r="BQ185" i="10"/>
  <c r="BQ128" i="10"/>
  <c r="BQ27" i="10"/>
  <c r="BQ148" i="10"/>
  <c r="BQ197" i="10"/>
  <c r="BQ241" i="10"/>
  <c r="BQ134" i="10"/>
  <c r="BQ21" i="10"/>
  <c r="BQ154" i="10"/>
  <c r="BQ71" i="10"/>
  <c r="BQ114" i="10"/>
  <c r="BQ28" i="10"/>
  <c r="BQ83" i="10"/>
  <c r="BQ7" i="10"/>
  <c r="BQ146" i="10"/>
  <c r="BQ166" i="10"/>
  <c r="BQ233" i="10"/>
  <c r="BQ13" i="10"/>
  <c r="BQ20" i="10"/>
  <c r="BQ57" i="10"/>
  <c r="BQ40" i="10"/>
  <c r="BQ107" i="10"/>
  <c r="BQ26" i="10"/>
  <c r="BQ119" i="10"/>
  <c r="BQ6" i="10"/>
  <c r="BQ138" i="10"/>
  <c r="BQ37" i="10"/>
  <c r="BQ43" i="10"/>
  <c r="BQ164" i="10"/>
  <c r="BQ52" i="10"/>
  <c r="BQ12" i="10"/>
  <c r="BQ144" i="10"/>
  <c r="BQ170" i="10"/>
  <c r="BQ111" i="10"/>
  <c r="BQ190" i="10"/>
  <c r="BQ68" i="10"/>
  <c r="BQ165" i="10"/>
  <c r="BQ220" i="10"/>
  <c r="BQ48" i="10"/>
  <c r="BQ133" i="10"/>
  <c r="BQ206" i="10"/>
  <c r="BQ177" i="10"/>
  <c r="BQ226" i="10"/>
  <c r="BQ186" i="10"/>
  <c r="BQ224" i="10"/>
  <c r="BQ175" i="10"/>
  <c r="BQ169" i="10"/>
  <c r="BQ145" i="10"/>
  <c r="BQ238" i="10"/>
  <c r="BQ118" i="10"/>
  <c r="BQ112" i="10"/>
  <c r="BQ72" i="10"/>
  <c r="BQ66" i="10"/>
  <c r="BQ213" i="10"/>
  <c r="BQ125" i="10"/>
  <c r="BQ2" i="5" a="1"/>
  <c r="BV194" i="4" l="1"/>
  <c r="BW194" i="4" s="1"/>
  <c r="BX194" i="4" s="1"/>
  <c r="BY194" i="4" s="1"/>
  <c r="BO152" i="4"/>
  <c r="BQ152" i="10" s="1"/>
  <c r="BO254" i="4"/>
  <c r="BO15" i="4"/>
  <c r="BQ59" i="10"/>
  <c r="BO59" i="4"/>
  <c r="BV96" i="4"/>
  <c r="BW96" i="4"/>
  <c r="BX96" i="4" s="1"/>
  <c r="BY96" i="4" s="1"/>
  <c r="BO89" i="4"/>
  <c r="BO229" i="4"/>
  <c r="BQ229" i="10" s="1"/>
  <c r="BV193" i="4"/>
  <c r="BW193" i="4" s="1"/>
  <c r="BX193" i="4" s="1"/>
  <c r="BY193" i="4" s="1"/>
  <c r="BO157" i="4"/>
  <c r="BV121" i="4"/>
  <c r="BW121" i="4" s="1"/>
  <c r="BO81" i="4"/>
  <c r="BO31" i="4"/>
  <c r="BQ240" i="10"/>
  <c r="BO240" i="4"/>
  <c r="BO204" i="4"/>
  <c r="BO168" i="4"/>
  <c r="BO132" i="4"/>
  <c r="BQ132" i="10" s="1"/>
  <c r="BO94" i="4"/>
  <c r="BO47" i="4"/>
  <c r="BO245" i="4"/>
  <c r="BQ245" i="10" s="1"/>
  <c r="BO209" i="4"/>
  <c r="BO173" i="4"/>
  <c r="BQ137" i="10"/>
  <c r="BO137" i="4"/>
  <c r="BO100" i="4"/>
  <c r="BO55" i="4"/>
  <c r="BO250" i="4"/>
  <c r="BQ250" i="10" s="1"/>
  <c r="BO214" i="4"/>
  <c r="BO178" i="4"/>
  <c r="BO142" i="4"/>
  <c r="BQ142" i="10" s="1"/>
  <c r="BO106" i="4"/>
  <c r="BQ106" i="10" s="1"/>
  <c r="BO63" i="4"/>
  <c r="BQ9" i="10"/>
  <c r="BO9" i="4"/>
  <c r="BO225" i="4"/>
  <c r="BQ225" i="10" s="1"/>
  <c r="BO189" i="4"/>
  <c r="BO153" i="4"/>
  <c r="BQ153" i="10" s="1"/>
  <c r="BV117" i="4"/>
  <c r="BW117" i="4" s="1"/>
  <c r="BX117" i="4" s="1"/>
  <c r="BY117" i="4" s="1"/>
  <c r="BO76" i="4"/>
  <c r="BQ25" i="10"/>
  <c r="BO25" i="4"/>
  <c r="BO86" i="4"/>
  <c r="BQ86" i="10" s="1"/>
  <c r="BO50" i="4"/>
  <c r="BO14" i="4"/>
  <c r="BQ14" i="10" s="1"/>
  <c r="BO36" i="4"/>
  <c r="BQ96" i="10"/>
  <c r="BQ117" i="10"/>
  <c r="BQ82" i="10"/>
  <c r="BO82" i="4"/>
  <c r="BV23" i="4"/>
  <c r="BW23" i="4" s="1"/>
  <c r="BX23" i="4" s="1"/>
  <c r="BY23" i="4" s="1"/>
  <c r="BV218" i="4"/>
  <c r="BW218" i="4"/>
  <c r="BX218" i="4" s="1"/>
  <c r="BY218" i="4" s="1"/>
  <c r="BQ248" i="10"/>
  <c r="BO248" i="4"/>
  <c r="BO5" i="4"/>
  <c r="BO51" i="4"/>
  <c r="BO41" i="4"/>
  <c r="BQ41" i="10" s="1"/>
  <c r="BO223" i="4"/>
  <c r="BQ223" i="10" s="1"/>
  <c r="BO187" i="4"/>
  <c r="BW151" i="4"/>
  <c r="BX151" i="4" s="1"/>
  <c r="BY151" i="4" s="1"/>
  <c r="BV151" i="4"/>
  <c r="BO115" i="4"/>
  <c r="BO73" i="4"/>
  <c r="BQ22" i="10"/>
  <c r="BO22" i="4"/>
  <c r="BO234" i="4"/>
  <c r="BQ234" i="10" s="1"/>
  <c r="BO198" i="4"/>
  <c r="BO162" i="4"/>
  <c r="BQ162" i="10" s="1"/>
  <c r="BO126" i="4"/>
  <c r="BQ126" i="10" s="1"/>
  <c r="BO87" i="4"/>
  <c r="BQ39" i="10"/>
  <c r="BO39" i="4"/>
  <c r="BV239" i="4"/>
  <c r="BW239" i="4" s="1"/>
  <c r="BO203" i="4"/>
  <c r="BQ167" i="10"/>
  <c r="BO167" i="4"/>
  <c r="BO131" i="4"/>
  <c r="BO93" i="4"/>
  <c r="BO46" i="4"/>
  <c r="BQ46" i="10" s="1"/>
  <c r="BO244" i="4"/>
  <c r="BQ244" i="10" s="1"/>
  <c r="BV208" i="4"/>
  <c r="BW208" i="4" s="1"/>
  <c r="BQ172" i="10"/>
  <c r="BO172" i="4"/>
  <c r="BV136" i="4"/>
  <c r="BX136" i="10" s="1"/>
  <c r="BO99" i="4"/>
  <c r="BQ53" i="10"/>
  <c r="BO53" i="4"/>
  <c r="BO255" i="4"/>
  <c r="BQ255" i="10" s="1"/>
  <c r="BO219" i="4"/>
  <c r="BO183" i="4"/>
  <c r="BQ183" i="10" s="1"/>
  <c r="BO147" i="4"/>
  <c r="BQ147" i="10" s="1"/>
  <c r="BV111" i="4"/>
  <c r="BW111" i="4" s="1"/>
  <c r="BX111" i="4" s="1"/>
  <c r="BY111" i="4" s="1"/>
  <c r="BO69" i="4"/>
  <c r="BO16" i="4"/>
  <c r="BQ16" i="10" s="1"/>
  <c r="BO80" i="4"/>
  <c r="BO44" i="4"/>
  <c r="BO8" i="4"/>
  <c r="BO30" i="4"/>
  <c r="BV188" i="4"/>
  <c r="BW188" i="4" s="1"/>
  <c r="BX188" i="4" s="1"/>
  <c r="BY188" i="4" s="1"/>
  <c r="BV230" i="4"/>
  <c r="BX230" i="10" s="1"/>
  <c r="BV182" i="4"/>
  <c r="BW182" i="4" s="1"/>
  <c r="BV212" i="4"/>
  <c r="BW212" i="4" s="1"/>
  <c r="BX212" i="4" s="1"/>
  <c r="BY212" i="4" s="1"/>
  <c r="BV242" i="4"/>
  <c r="BW242" i="4" s="1"/>
  <c r="BX242" i="4" s="1"/>
  <c r="BY242" i="4" s="1"/>
  <c r="BV236" i="4"/>
  <c r="BX236" i="10" s="1"/>
  <c r="BW236" i="4"/>
  <c r="BX236" i="4" s="1"/>
  <c r="BY236" i="4" s="1"/>
  <c r="BV253" i="4"/>
  <c r="BW253" i="4" s="1"/>
  <c r="BX253" i="4" s="1"/>
  <c r="BY253" i="4" s="1"/>
  <c r="BV217" i="4"/>
  <c r="BW217" i="4"/>
  <c r="BX217" i="4" s="1"/>
  <c r="BY217" i="4" s="1"/>
  <c r="BV181" i="4"/>
  <c r="BW181" i="4" s="1"/>
  <c r="BX181" i="4" s="1"/>
  <c r="BY181" i="4" s="1"/>
  <c r="BV145" i="4"/>
  <c r="BW145" i="4" s="1"/>
  <c r="BX145" i="4" s="1"/>
  <c r="BY145" i="4" s="1"/>
  <c r="BV109" i="4"/>
  <c r="BW109" i="4" s="1"/>
  <c r="BX109" i="4" s="1"/>
  <c r="BY109" i="4" s="1"/>
  <c r="BV66" i="4"/>
  <c r="BW66" i="4" s="1"/>
  <c r="BX66" i="4" s="1"/>
  <c r="BY66" i="4" s="1"/>
  <c r="BV13" i="4"/>
  <c r="BW13" i="4" s="1"/>
  <c r="BX13" i="4" s="1"/>
  <c r="BY13" i="4" s="1"/>
  <c r="BV228" i="4"/>
  <c r="BW228" i="4" s="1"/>
  <c r="BX228" i="4" s="1"/>
  <c r="BY228" i="4" s="1"/>
  <c r="BV192" i="4"/>
  <c r="BW192" i="4" s="1"/>
  <c r="BX192" i="4" s="1"/>
  <c r="BY192" i="4" s="1"/>
  <c r="BV156" i="4"/>
  <c r="BW156" i="4" s="1"/>
  <c r="BX156" i="4" s="1"/>
  <c r="BY156" i="4" s="1"/>
  <c r="BV120" i="4"/>
  <c r="BX120" i="10" s="1"/>
  <c r="BV79" i="4"/>
  <c r="BW79" i="4" s="1"/>
  <c r="BV29" i="4"/>
  <c r="BW29" i="4" s="1"/>
  <c r="BV233" i="4"/>
  <c r="BW233" i="4"/>
  <c r="BX233" i="4" s="1"/>
  <c r="BY233" i="4" s="1"/>
  <c r="BV197" i="4"/>
  <c r="BW197" i="4" s="1"/>
  <c r="BX197" i="4" s="1"/>
  <c r="BY197" i="4" s="1"/>
  <c r="BV161" i="4"/>
  <c r="BX161" i="10" s="1"/>
  <c r="BV125" i="4"/>
  <c r="BW125" i="4" s="1"/>
  <c r="BX125" i="4" s="1"/>
  <c r="BY125" i="4" s="1"/>
  <c r="BV85" i="4"/>
  <c r="BW85" i="4" s="1"/>
  <c r="BX85" i="4" s="1"/>
  <c r="BY85" i="4" s="1"/>
  <c r="BV37" i="4"/>
  <c r="BW37" i="4" s="1"/>
  <c r="BX37" i="4" s="1"/>
  <c r="BY37" i="4" s="1"/>
  <c r="BV238" i="4"/>
  <c r="BW238" i="4"/>
  <c r="BX238" i="4" s="1"/>
  <c r="BY238" i="4" s="1"/>
  <c r="BV202" i="4"/>
  <c r="BW202" i="4" s="1"/>
  <c r="BX202" i="4" s="1"/>
  <c r="BY202" i="4" s="1"/>
  <c r="BV166" i="4"/>
  <c r="BW166" i="4"/>
  <c r="BX166" i="4" s="1"/>
  <c r="BY166" i="4" s="1"/>
  <c r="BV130" i="4"/>
  <c r="BW130" i="4" s="1"/>
  <c r="BX130" i="4" s="1"/>
  <c r="BY130" i="4" s="1"/>
  <c r="BV91" i="4"/>
  <c r="BW91" i="4"/>
  <c r="BX91" i="4" s="1"/>
  <c r="BY91" i="4" s="1"/>
  <c r="BV45" i="4"/>
  <c r="BW45" i="4" s="1"/>
  <c r="BX45" i="4" s="1"/>
  <c r="BY45" i="4" s="1"/>
  <c r="BV249" i="4"/>
  <c r="BW249" i="4"/>
  <c r="BX249" i="4" s="1"/>
  <c r="BY249" i="4" s="1"/>
  <c r="BV213" i="4"/>
  <c r="BW213" i="4" s="1"/>
  <c r="BX213" i="4" s="1"/>
  <c r="BY213" i="4" s="1"/>
  <c r="BV177" i="4"/>
  <c r="BW177" i="4"/>
  <c r="BX177" i="4" s="1"/>
  <c r="BY177" i="4" s="1"/>
  <c r="BV141" i="4"/>
  <c r="BW141" i="4" s="1"/>
  <c r="BX141" i="4" s="1"/>
  <c r="BY141" i="4" s="1"/>
  <c r="BV105" i="4"/>
  <c r="BW105" i="4" s="1"/>
  <c r="BX105" i="4" s="1"/>
  <c r="BY105" i="4" s="1"/>
  <c r="BV61" i="4"/>
  <c r="BW61" i="4" s="1"/>
  <c r="BX61" i="4" s="1"/>
  <c r="BY61" i="4" s="1"/>
  <c r="BV7" i="4"/>
  <c r="BW7" i="4" s="1"/>
  <c r="BX7" i="4" s="1"/>
  <c r="BY7" i="4" s="1"/>
  <c r="BV74" i="4"/>
  <c r="BW74" i="4" s="1"/>
  <c r="BV38" i="4"/>
  <c r="BW38" i="4" s="1"/>
  <c r="BV60" i="4"/>
  <c r="BX60" i="10" s="1"/>
  <c r="BV24" i="4"/>
  <c r="BW24" i="4" s="1"/>
  <c r="BX24" i="4" s="1"/>
  <c r="BY24" i="4" s="1"/>
  <c r="BV75" i="4"/>
  <c r="BW75" i="4" s="1"/>
  <c r="BX75" i="4" s="1"/>
  <c r="BY75" i="4" s="1"/>
  <c r="BV122" i="4"/>
  <c r="BW122" i="4" s="1"/>
  <c r="BX122" i="4" s="1"/>
  <c r="BY122" i="4" s="1"/>
  <c r="BV146" i="4"/>
  <c r="BW146" i="4" s="1"/>
  <c r="BX146" i="4" s="1"/>
  <c r="BY146" i="4" s="1"/>
  <c r="BV176" i="4"/>
  <c r="BW176" i="4" s="1"/>
  <c r="BX176" i="4" s="1"/>
  <c r="BY176" i="4" s="1"/>
  <c r="BV206" i="4"/>
  <c r="BW206" i="4" s="1"/>
  <c r="BX206" i="4" s="1"/>
  <c r="BY206" i="4" s="1"/>
  <c r="BV200" i="4"/>
  <c r="BW200" i="4" s="1"/>
  <c r="BX200" i="4" s="1"/>
  <c r="BY200" i="4" s="1"/>
  <c r="BV247" i="4"/>
  <c r="BW247" i="4" s="1"/>
  <c r="BX247" i="4" s="1"/>
  <c r="BY247" i="4" s="1"/>
  <c r="BV211" i="4"/>
  <c r="BX211" i="10" s="1"/>
  <c r="BV175" i="4"/>
  <c r="BW175" i="4" s="1"/>
  <c r="BX175" i="4" s="1"/>
  <c r="BY175" i="4" s="1"/>
  <c r="BV139" i="4"/>
  <c r="BW139" i="4" s="1"/>
  <c r="BX139" i="4" s="1"/>
  <c r="BY139" i="4" s="1"/>
  <c r="BV102" i="4"/>
  <c r="BW102" i="4" s="1"/>
  <c r="BX102" i="4" s="1"/>
  <c r="BY102" i="4" s="1"/>
  <c r="BV58" i="4"/>
  <c r="BW58" i="4" s="1"/>
  <c r="BX58" i="4" s="1"/>
  <c r="BY58" i="4" s="1"/>
  <c r="BV4" i="4"/>
  <c r="BW4" i="4" s="1"/>
  <c r="BV222" i="4"/>
  <c r="BW222" i="4" s="1"/>
  <c r="BX222" i="4" s="1"/>
  <c r="BY222" i="4" s="1"/>
  <c r="BV186" i="4"/>
  <c r="BW186" i="4" s="1"/>
  <c r="BX186" i="4" s="1"/>
  <c r="BY186" i="4" s="1"/>
  <c r="BV150" i="4"/>
  <c r="BW150" i="4" s="1"/>
  <c r="BX150" i="4" s="1"/>
  <c r="BY150" i="4" s="1"/>
  <c r="BV114" i="4"/>
  <c r="BX114" i="10" s="1"/>
  <c r="BV72" i="4"/>
  <c r="BW72" i="4" s="1"/>
  <c r="BV21" i="4"/>
  <c r="BW21" i="4" s="1"/>
  <c r="BX21" i="4" s="1"/>
  <c r="BY21" i="4" s="1"/>
  <c r="BV227" i="4"/>
  <c r="BX227" i="10" s="1"/>
  <c r="BV191" i="4"/>
  <c r="BW191" i="4"/>
  <c r="BX191" i="4" s="1"/>
  <c r="BY191" i="4" s="1"/>
  <c r="BV155" i="4"/>
  <c r="BW155" i="4" s="1"/>
  <c r="BX155" i="4" s="1"/>
  <c r="BY155" i="4" s="1"/>
  <c r="BV119" i="4"/>
  <c r="BX119" i="10" s="1"/>
  <c r="BV78" i="4"/>
  <c r="BW78" i="4" s="1"/>
  <c r="BX78" i="4" s="1"/>
  <c r="BY78" i="4" s="1"/>
  <c r="BV28" i="4"/>
  <c r="BW28" i="4" s="1"/>
  <c r="BX28" i="4" s="1"/>
  <c r="BY28" i="4" s="1"/>
  <c r="BV232" i="4"/>
  <c r="BW232" i="4" s="1"/>
  <c r="BX232" i="4" s="1"/>
  <c r="BY232" i="4" s="1"/>
  <c r="BV196" i="4"/>
  <c r="BW196" i="4" s="1"/>
  <c r="BX196" i="4" s="1"/>
  <c r="BY196" i="4" s="1"/>
  <c r="BV160" i="4"/>
  <c r="BW160" i="4" s="1"/>
  <c r="BX160" i="4" s="1"/>
  <c r="BY160" i="4" s="1"/>
  <c r="BV124" i="4"/>
  <c r="BW124" i="4" s="1"/>
  <c r="BX124" i="4" s="1"/>
  <c r="BY124" i="4" s="1"/>
  <c r="BV84" i="4"/>
  <c r="BW84" i="4" s="1"/>
  <c r="BX84" i="4" s="1"/>
  <c r="BY84" i="4" s="1"/>
  <c r="BV35" i="4"/>
  <c r="BW35" i="4" s="1"/>
  <c r="BX35" i="4" s="1"/>
  <c r="BY35" i="4" s="1"/>
  <c r="BV243" i="4"/>
  <c r="BW243" i="4" s="1"/>
  <c r="BX243" i="4" s="1"/>
  <c r="BY243" i="4" s="1"/>
  <c r="BV207" i="4"/>
  <c r="BW207" i="4"/>
  <c r="BX207" i="4" s="1"/>
  <c r="BY207" i="4" s="1"/>
  <c r="BV171" i="4"/>
  <c r="BW171" i="4" s="1"/>
  <c r="BX171" i="4" s="1"/>
  <c r="BY171" i="4" s="1"/>
  <c r="BV135" i="4"/>
  <c r="BW135" i="4" s="1"/>
  <c r="BX135" i="4" s="1"/>
  <c r="BY135" i="4" s="1"/>
  <c r="BV97" i="4"/>
  <c r="BX97" i="10" s="1"/>
  <c r="BV52" i="4"/>
  <c r="BW52" i="4" s="1"/>
  <c r="BX52" i="4" s="1"/>
  <c r="BY52" i="4" s="1"/>
  <c r="BV104" i="4"/>
  <c r="BX104" i="10" s="1"/>
  <c r="BV68" i="4"/>
  <c r="BW68" i="4" s="1"/>
  <c r="BX68" i="4" s="1"/>
  <c r="BY68" i="4" s="1"/>
  <c r="BV32" i="4"/>
  <c r="BW32" i="4" s="1"/>
  <c r="BX32" i="4" s="1"/>
  <c r="BY32" i="4" s="1"/>
  <c r="BV54" i="4"/>
  <c r="BW54" i="4" s="1"/>
  <c r="BX54" i="4" s="1"/>
  <c r="BY54" i="4" s="1"/>
  <c r="BV18" i="4"/>
  <c r="BW18" i="4" s="1"/>
  <c r="BX18" i="4" s="1"/>
  <c r="BY18" i="4" s="1"/>
  <c r="BV158" i="4"/>
  <c r="BW158" i="4" s="1"/>
  <c r="BX158" i="4" s="1"/>
  <c r="BY158" i="4" s="1"/>
  <c r="BV224" i="4"/>
  <c r="BW224" i="4" s="1"/>
  <c r="BX224" i="4" s="1"/>
  <c r="BY224" i="4" s="1"/>
  <c r="BV110" i="4"/>
  <c r="BW110" i="4" s="1"/>
  <c r="BX110" i="4" s="1"/>
  <c r="BY110" i="4" s="1"/>
  <c r="BV140" i="4"/>
  <c r="BW140" i="4" s="1"/>
  <c r="BX140" i="4" s="1"/>
  <c r="BY140" i="4" s="1"/>
  <c r="BV170" i="4"/>
  <c r="BW170" i="4"/>
  <c r="BX170" i="4" s="1"/>
  <c r="BY170" i="4" s="1"/>
  <c r="BV164" i="4"/>
  <c r="BW164" i="4" s="1"/>
  <c r="BX164" i="4" s="1"/>
  <c r="BY164" i="4" s="1"/>
  <c r="BV241" i="4"/>
  <c r="BW241" i="4" s="1"/>
  <c r="BX241" i="4" s="1"/>
  <c r="BY241" i="4" s="1"/>
  <c r="BV205" i="4"/>
  <c r="BW205" i="4" s="1"/>
  <c r="BX205" i="4" s="1"/>
  <c r="BY205" i="4" s="1"/>
  <c r="BV169" i="4"/>
  <c r="BW169" i="4" s="1"/>
  <c r="BX169" i="4" s="1"/>
  <c r="BY169" i="4" s="1"/>
  <c r="BV133" i="4"/>
  <c r="BW133" i="4" s="1"/>
  <c r="BV95" i="4"/>
  <c r="BX95" i="10" s="1"/>
  <c r="BV49" i="4"/>
  <c r="BW49" i="4" s="1"/>
  <c r="BX49" i="4" s="1"/>
  <c r="BY49" i="4" s="1"/>
  <c r="BV252" i="4"/>
  <c r="BW252" i="4" s="1"/>
  <c r="BX252" i="4" s="1"/>
  <c r="BY252" i="4" s="1"/>
  <c r="BV216" i="4"/>
  <c r="BX216" i="10" s="1"/>
  <c r="BV180" i="4"/>
  <c r="BW180" i="4" s="1"/>
  <c r="BX180" i="4" s="1"/>
  <c r="BY180" i="4" s="1"/>
  <c r="BV144" i="4"/>
  <c r="BW144" i="4" s="1"/>
  <c r="BX144" i="4" s="1"/>
  <c r="BY144" i="4" s="1"/>
  <c r="BV108" i="4"/>
  <c r="BX108" i="10" s="1"/>
  <c r="BV65" i="4"/>
  <c r="BW65" i="4" s="1"/>
  <c r="BX65" i="4" s="1"/>
  <c r="BY65" i="4" s="1"/>
  <c r="BV11" i="4"/>
  <c r="BW11" i="4" s="1"/>
  <c r="BX11" i="4" s="1"/>
  <c r="BY11" i="4" s="1"/>
  <c r="BV221" i="4"/>
  <c r="BW221" i="4" s="1"/>
  <c r="BX221" i="4" s="1"/>
  <c r="BY221" i="4" s="1"/>
  <c r="BV185" i="4"/>
  <c r="BW185" i="4" s="1"/>
  <c r="BV149" i="4"/>
  <c r="BW149" i="4" s="1"/>
  <c r="BX149" i="4" s="1"/>
  <c r="BY149" i="4" s="1"/>
  <c r="BV113" i="4"/>
  <c r="BX113" i="10" s="1"/>
  <c r="BV71" i="4"/>
  <c r="BW71" i="4" s="1"/>
  <c r="BX71" i="4" s="1"/>
  <c r="BY71" i="4" s="1"/>
  <c r="BV19" i="4"/>
  <c r="BW19" i="4"/>
  <c r="BX19" i="4" s="1"/>
  <c r="BY19" i="4" s="1"/>
  <c r="BV226" i="4"/>
  <c r="BW226" i="4" s="1"/>
  <c r="BX226" i="4" s="1"/>
  <c r="BY226" i="4" s="1"/>
  <c r="BV190" i="4"/>
  <c r="BW190" i="4"/>
  <c r="BX190" i="4" s="1"/>
  <c r="BY190" i="4" s="1"/>
  <c r="BV154" i="4"/>
  <c r="BW154" i="4" s="1"/>
  <c r="BX154" i="4" s="1"/>
  <c r="BY154" i="4" s="1"/>
  <c r="BV118" i="4"/>
  <c r="BW118" i="4" s="1"/>
  <c r="BX118" i="4" s="1"/>
  <c r="BY118" i="4" s="1"/>
  <c r="BV77" i="4"/>
  <c r="BW77" i="4" s="1"/>
  <c r="BX77" i="4" s="1"/>
  <c r="BY77" i="4" s="1"/>
  <c r="BV27" i="4"/>
  <c r="BW27" i="4" s="1"/>
  <c r="BX27" i="4" s="1"/>
  <c r="BY27" i="4" s="1"/>
  <c r="BV237" i="4"/>
  <c r="BX237" i="10" s="1"/>
  <c r="BV201" i="4"/>
  <c r="BW201" i="4" s="1"/>
  <c r="BV165" i="4"/>
  <c r="BW165" i="4" s="1"/>
  <c r="BX165" i="4" s="1"/>
  <c r="BY165" i="4" s="1"/>
  <c r="BV129" i="4"/>
  <c r="BW129" i="4" s="1"/>
  <c r="BX129" i="4" s="1"/>
  <c r="BY129" i="4" s="1"/>
  <c r="BV90" i="4"/>
  <c r="BW90" i="4" s="1"/>
  <c r="BX90" i="4" s="1"/>
  <c r="BY90" i="4" s="1"/>
  <c r="BV43" i="4"/>
  <c r="BW43" i="4" s="1"/>
  <c r="BX43" i="4" s="1"/>
  <c r="BY43" i="4" s="1"/>
  <c r="BV98" i="4"/>
  <c r="BW98" i="4" s="1"/>
  <c r="BX98" i="4" s="1"/>
  <c r="BY98" i="4" s="1"/>
  <c r="BV62" i="4"/>
  <c r="BW62" i="4" s="1"/>
  <c r="BV26" i="4"/>
  <c r="BW26" i="4" s="1"/>
  <c r="BX26" i="4" s="1"/>
  <c r="BY26" i="4" s="1"/>
  <c r="BV48" i="4"/>
  <c r="BW48" i="4" s="1"/>
  <c r="BX48" i="4" s="1"/>
  <c r="BY48" i="4" s="1"/>
  <c r="BV12" i="4"/>
  <c r="BW12" i="4" s="1"/>
  <c r="BX12" i="4" s="1"/>
  <c r="BY12" i="4" s="1"/>
  <c r="BV33" i="4"/>
  <c r="BW33" i="4" s="1"/>
  <c r="BX33" i="4" s="1"/>
  <c r="BY33" i="4" s="1"/>
  <c r="BV116" i="4"/>
  <c r="BW116" i="4"/>
  <c r="BX116" i="4" s="1"/>
  <c r="BY116" i="4" s="1"/>
  <c r="BV67" i="4"/>
  <c r="BW67" i="4" s="1"/>
  <c r="BX67" i="4" s="1"/>
  <c r="BY67" i="4" s="1"/>
  <c r="BV103" i="4"/>
  <c r="BX103" i="10" s="1"/>
  <c r="BV134" i="4"/>
  <c r="BW134" i="4" s="1"/>
  <c r="BX134" i="4" s="1"/>
  <c r="BY134" i="4" s="1"/>
  <c r="BV128" i="4"/>
  <c r="BW128" i="4" s="1"/>
  <c r="BX128" i="4" s="1"/>
  <c r="BY128" i="4" s="1"/>
  <c r="BV235" i="4"/>
  <c r="BW235" i="4" s="1"/>
  <c r="BX235" i="4" s="1"/>
  <c r="BY235" i="4" s="1"/>
  <c r="BV199" i="4"/>
  <c r="BX199" i="10" s="1"/>
  <c r="BV163" i="4"/>
  <c r="BW163" i="4" s="1"/>
  <c r="BX163" i="4" s="1"/>
  <c r="BY163" i="4" s="1"/>
  <c r="BV127" i="4"/>
  <c r="BW127" i="4" s="1"/>
  <c r="BX127" i="4" s="1"/>
  <c r="BY127" i="4" s="1"/>
  <c r="BV88" i="4"/>
  <c r="BX88" i="10" s="1"/>
  <c r="BV40" i="4"/>
  <c r="BW40" i="4" s="1"/>
  <c r="BX40" i="4" s="1"/>
  <c r="BY40" i="4" s="1"/>
  <c r="BV246" i="4"/>
  <c r="BW246" i="4" s="1"/>
  <c r="BX246" i="4" s="1"/>
  <c r="BY246" i="4" s="1"/>
  <c r="BV210" i="4"/>
  <c r="BW210" i="4" s="1"/>
  <c r="BX210" i="4" s="1"/>
  <c r="BY210" i="4" s="1"/>
  <c r="BV174" i="4"/>
  <c r="BW174" i="4" s="1"/>
  <c r="BX174" i="4" s="1"/>
  <c r="BY174" i="4" s="1"/>
  <c r="BV138" i="4"/>
  <c r="BW138" i="4" s="1"/>
  <c r="BX138" i="4" s="1"/>
  <c r="BY138" i="4" s="1"/>
  <c r="BV101" i="4"/>
  <c r="BW101" i="4" s="1"/>
  <c r="BX101" i="4" s="1"/>
  <c r="BY101" i="4" s="1"/>
  <c r="BV57" i="4"/>
  <c r="BW57" i="4" s="1"/>
  <c r="BX57" i="4" s="1"/>
  <c r="BY57" i="4" s="1"/>
  <c r="BV251" i="4"/>
  <c r="BW251" i="4" s="1"/>
  <c r="BX251" i="4" s="1"/>
  <c r="BY251" i="4" s="1"/>
  <c r="BV215" i="4"/>
  <c r="BW215" i="4" s="1"/>
  <c r="BX215" i="4" s="1"/>
  <c r="BY215" i="4" s="1"/>
  <c r="BV179" i="4"/>
  <c r="BW179" i="4" s="1"/>
  <c r="BX179" i="4" s="1"/>
  <c r="BY179" i="4" s="1"/>
  <c r="BV143" i="4"/>
  <c r="BW143" i="4" s="1"/>
  <c r="BX143" i="4" s="1"/>
  <c r="BY143" i="4" s="1"/>
  <c r="BV107" i="4"/>
  <c r="BW107" i="4" s="1"/>
  <c r="BX107" i="4" s="1"/>
  <c r="BY107" i="4" s="1"/>
  <c r="BO64" i="4"/>
  <c r="BV10" i="4"/>
  <c r="BW10" i="4" s="1"/>
  <c r="BX10" i="4" s="1"/>
  <c r="BY10" i="4" s="1"/>
  <c r="BV220" i="4"/>
  <c r="BX220" i="10" s="1"/>
  <c r="BV184" i="4"/>
  <c r="BW184" i="4" s="1"/>
  <c r="BX184" i="4" s="1"/>
  <c r="BY184" i="4" s="1"/>
  <c r="BV148" i="4"/>
  <c r="BW148" i="4" s="1"/>
  <c r="BX148" i="4" s="1"/>
  <c r="BY148" i="4" s="1"/>
  <c r="BV112" i="4"/>
  <c r="BX112" i="10" s="1"/>
  <c r="BV70" i="4"/>
  <c r="BW70" i="4"/>
  <c r="BX70" i="4" s="1"/>
  <c r="BY70" i="4" s="1"/>
  <c r="BV17" i="4"/>
  <c r="BW17" i="4" s="1"/>
  <c r="BX17" i="4" s="1"/>
  <c r="BY17" i="4" s="1"/>
  <c r="BV231" i="4"/>
  <c r="BX231" i="10" s="1"/>
  <c r="BV195" i="4"/>
  <c r="BW195" i="4" s="1"/>
  <c r="BX195" i="4" s="1"/>
  <c r="BY195" i="4" s="1"/>
  <c r="BV159" i="4"/>
  <c r="BW159" i="4"/>
  <c r="BX159" i="4" s="1"/>
  <c r="BY159" i="4" s="1"/>
  <c r="BV123" i="4"/>
  <c r="BW123" i="4" s="1"/>
  <c r="BX123" i="4" s="1"/>
  <c r="BY123" i="4" s="1"/>
  <c r="BV83" i="4"/>
  <c r="BW83" i="4"/>
  <c r="BX83" i="4" s="1"/>
  <c r="BY83" i="4" s="1"/>
  <c r="BV34" i="4"/>
  <c r="BW34" i="4" s="1"/>
  <c r="BX34" i="4" s="1"/>
  <c r="BY34" i="4" s="1"/>
  <c r="BV92" i="4"/>
  <c r="BX92" i="10" s="1"/>
  <c r="BV56" i="4"/>
  <c r="BW56" i="4" s="1"/>
  <c r="BX56" i="4" s="1"/>
  <c r="BY56" i="4" s="1"/>
  <c r="BV20" i="4"/>
  <c r="BW20" i="4"/>
  <c r="BX20" i="4" s="1"/>
  <c r="BY20" i="4" s="1"/>
  <c r="BV42" i="4"/>
  <c r="BW42" i="4" s="1"/>
  <c r="BX42" i="4" s="1"/>
  <c r="BY42" i="4" s="1"/>
  <c r="BV6" i="4"/>
  <c r="BW6" i="4" s="1"/>
  <c r="BX6" i="4" s="1"/>
  <c r="BY6" i="4" s="1"/>
  <c r="BX121" i="10"/>
  <c r="BX182" i="10"/>
  <c r="BQ23" i="10"/>
  <c r="BX23" i="10"/>
  <c r="BQ151" i="10"/>
  <c r="BX151" i="10"/>
  <c r="BQ239" i="10"/>
  <c r="BX239" i="10"/>
  <c r="BQ136" i="10"/>
  <c r="BQ201" i="10"/>
  <c r="BQ251" i="10"/>
  <c r="BX251" i="10"/>
  <c r="BQ92" i="10"/>
  <c r="BX208" i="10"/>
  <c r="BX155" i="10"/>
  <c r="BQ4" i="10"/>
  <c r="BX38" i="10"/>
  <c r="BX133" i="10"/>
  <c r="BX62" i="10"/>
  <c r="BX181" i="10"/>
  <c r="BX72" i="10"/>
  <c r="BX84" i="10"/>
  <c r="BX171" i="10"/>
  <c r="BX102" i="10"/>
  <c r="BX246" i="10"/>
  <c r="BX68" i="10"/>
  <c r="BX28" i="10"/>
  <c r="BX191" i="10"/>
  <c r="BX18" i="10"/>
  <c r="BX10" i="10"/>
  <c r="BX116" i="10"/>
  <c r="BX150" i="10"/>
  <c r="BX217" i="10"/>
  <c r="BX249" i="10"/>
  <c r="BX40" i="10"/>
  <c r="BX242" i="10"/>
  <c r="BX253" i="10"/>
  <c r="C111" i="6" a="1"/>
  <c r="C111" i="6" s="1"/>
  <c r="E111" i="6" s="1"/>
  <c r="BX20" i="10"/>
  <c r="BX193" i="10"/>
  <c r="BX65" i="10"/>
  <c r="BX196" i="10"/>
  <c r="BX70" i="10"/>
  <c r="BX174" i="10"/>
  <c r="BX170" i="10"/>
  <c r="BX129" i="10"/>
  <c r="BX141" i="10"/>
  <c r="BX91" i="10"/>
  <c r="BX127" i="10"/>
  <c r="BX218" i="10"/>
  <c r="BX21" i="10"/>
  <c r="BD256" i="1"/>
  <c r="BX85" i="10"/>
  <c r="BX83" i="10"/>
  <c r="BX37" i="10"/>
  <c r="BX190" i="10"/>
  <c r="BX154" i="10"/>
  <c r="BX71" i="10"/>
  <c r="BX224" i="10"/>
  <c r="BQ2" i="5"/>
  <c r="BX192" i="10"/>
  <c r="BX66" i="10"/>
  <c r="BX207" i="10"/>
  <c r="BX144" i="10"/>
  <c r="BX111" i="10"/>
  <c r="BX27" i="10"/>
  <c r="BX177" i="10"/>
  <c r="BX165" i="10"/>
  <c r="BX241" i="10"/>
  <c r="BX160" i="10"/>
  <c r="BX12" i="10"/>
  <c r="BX163" i="10"/>
  <c r="BX175" i="10"/>
  <c r="BX125" i="10"/>
  <c r="BX238" i="10"/>
  <c r="BX32" i="10"/>
  <c r="BX197" i="10"/>
  <c r="BY236" i="10"/>
  <c r="BX2" i="5" a="1"/>
  <c r="BY2" i="5" a="1"/>
  <c r="BX62" i="4" l="1"/>
  <c r="BY62" i="4" s="1"/>
  <c r="BY62" i="10"/>
  <c r="BX4" i="4"/>
  <c r="BY4" i="4" s="1"/>
  <c r="BY4" i="10"/>
  <c r="BX185" i="4"/>
  <c r="BY185" i="4" s="1"/>
  <c r="BY185" i="10"/>
  <c r="BX72" i="4"/>
  <c r="BY72" i="4" s="1"/>
  <c r="BY72" i="10"/>
  <c r="BX252" i="10"/>
  <c r="BX143" i="10"/>
  <c r="BX54" i="10"/>
  <c r="BX42" i="10"/>
  <c r="BX33" i="10"/>
  <c r="BX185" i="10"/>
  <c r="BX13" i="10"/>
  <c r="BX195" i="10"/>
  <c r="BX79" i="10"/>
  <c r="BX148" i="10"/>
  <c r="BX210" i="10"/>
  <c r="BX201" i="10"/>
  <c r="BX57" i="10"/>
  <c r="BX74" i="4"/>
  <c r="BY74" i="4" s="1"/>
  <c r="BY74" i="10"/>
  <c r="BX79" i="4"/>
  <c r="BY79" i="4" s="1"/>
  <c r="BY79" i="10"/>
  <c r="BX182" i="4"/>
  <c r="BY182" i="4" s="1"/>
  <c r="BY182" i="10"/>
  <c r="BX239" i="4"/>
  <c r="BY239" i="4" s="1"/>
  <c r="BY239" i="10"/>
  <c r="BX121" i="4"/>
  <c r="BY121" i="4" s="1"/>
  <c r="BY121" i="10"/>
  <c r="BX208" i="4"/>
  <c r="BY208" i="4" s="1"/>
  <c r="BY208" i="10"/>
  <c r="BX133" i="4"/>
  <c r="BY133" i="4" s="1"/>
  <c r="BY133" i="10"/>
  <c r="BX201" i="4"/>
  <c r="BY201" i="4" s="1"/>
  <c r="BY201" i="10"/>
  <c r="BX38" i="4"/>
  <c r="BY38" i="4" s="1"/>
  <c r="BY38" i="10"/>
  <c r="BX29" i="4"/>
  <c r="BY29" i="4" s="1"/>
  <c r="BY29" i="10"/>
  <c r="BV8" i="4"/>
  <c r="BW8" i="4" s="1"/>
  <c r="BV131" i="4"/>
  <c r="BX131" i="10" s="1"/>
  <c r="BV115" i="4"/>
  <c r="BW115" i="4" s="1"/>
  <c r="BV5" i="4"/>
  <c r="BX5" i="10" s="1"/>
  <c r="BV36" i="4"/>
  <c r="BX36" i="10" s="1"/>
  <c r="BV214" i="4"/>
  <c r="BW214" i="4" s="1"/>
  <c r="BV100" i="4"/>
  <c r="BW100" i="4"/>
  <c r="BX100" i="4" s="1"/>
  <c r="BY100" i="4" s="1"/>
  <c r="BV209" i="4"/>
  <c r="BW209" i="4" s="1"/>
  <c r="BV94" i="4"/>
  <c r="BX94" i="10" s="1"/>
  <c r="BV204" i="4"/>
  <c r="BX204" i="10" s="1"/>
  <c r="BV81" i="4"/>
  <c r="BW81" i="4" s="1"/>
  <c r="BV254" i="4"/>
  <c r="BX254" i="10" s="1"/>
  <c r="BY23" i="10"/>
  <c r="BX206" i="10"/>
  <c r="BX222" i="10"/>
  <c r="BX134" i="10"/>
  <c r="BX48" i="10"/>
  <c r="BX179" i="10"/>
  <c r="BX149" i="10"/>
  <c r="BX29" i="10"/>
  <c r="BW92" i="4"/>
  <c r="BX92" i="4" s="1"/>
  <c r="BY92" i="4" s="1"/>
  <c r="BW231" i="4"/>
  <c r="BX231" i="4" s="1"/>
  <c r="BY231" i="4" s="1"/>
  <c r="BW112" i="4"/>
  <c r="BX112" i="4" s="1"/>
  <c r="BY112" i="4" s="1"/>
  <c r="BW220" i="4"/>
  <c r="BX220" i="4" s="1"/>
  <c r="BY220" i="4" s="1"/>
  <c r="BW88" i="4"/>
  <c r="BX88" i="4" s="1"/>
  <c r="BY88" i="4" s="1"/>
  <c r="BW199" i="4"/>
  <c r="BX199" i="4" s="1"/>
  <c r="BY199" i="4" s="1"/>
  <c r="BW237" i="4"/>
  <c r="BW113" i="4"/>
  <c r="BW108" i="4"/>
  <c r="BX108" i="4" s="1"/>
  <c r="BY108" i="4" s="1"/>
  <c r="BW216" i="4"/>
  <c r="BX216" i="4" s="1"/>
  <c r="BY216" i="4" s="1"/>
  <c r="BW95" i="4"/>
  <c r="BW104" i="4"/>
  <c r="BW119" i="4"/>
  <c r="BW227" i="4"/>
  <c r="BW114" i="4"/>
  <c r="BX114" i="4" s="1"/>
  <c r="BY114" i="4" s="1"/>
  <c r="BW211" i="4"/>
  <c r="BX211" i="4" s="1"/>
  <c r="BY211" i="4" s="1"/>
  <c r="BW60" i="4"/>
  <c r="BX60" i="4" s="1"/>
  <c r="BY60" i="4" s="1"/>
  <c r="BW120" i="4"/>
  <c r="BX120" i="4" s="1"/>
  <c r="BY120" i="4" s="1"/>
  <c r="BW230" i="4"/>
  <c r="BX230" i="4" s="1"/>
  <c r="BY230" i="4" s="1"/>
  <c r="BQ8" i="10"/>
  <c r="BW136" i="4"/>
  <c r="BQ131" i="10"/>
  <c r="BQ115" i="10"/>
  <c r="BQ5" i="10"/>
  <c r="BQ36" i="10"/>
  <c r="BQ214" i="10"/>
  <c r="BQ100" i="10"/>
  <c r="BQ209" i="10"/>
  <c r="BQ94" i="10"/>
  <c r="BQ204" i="10"/>
  <c r="BQ81" i="10"/>
  <c r="BQ254" i="10"/>
  <c r="BV255" i="4"/>
  <c r="BW255" i="4" s="1"/>
  <c r="BV126" i="4"/>
  <c r="BX126" i="10" s="1"/>
  <c r="BV86" i="4"/>
  <c r="BW86" i="4" s="1"/>
  <c r="BX86" i="4" s="1"/>
  <c r="BV44" i="4"/>
  <c r="BX44" i="10" s="1"/>
  <c r="BV69" i="4"/>
  <c r="BW69" i="4" s="1"/>
  <c r="BV183" i="4"/>
  <c r="BX183" i="10" s="1"/>
  <c r="BV53" i="4"/>
  <c r="BX53" i="10" s="1"/>
  <c r="BV172" i="4"/>
  <c r="BX172" i="10" s="1"/>
  <c r="BV46" i="4"/>
  <c r="BX46" i="10" s="1"/>
  <c r="BV167" i="4"/>
  <c r="BW167" i="4"/>
  <c r="BX167" i="4" s="1"/>
  <c r="BY167" i="4" s="1"/>
  <c r="BV39" i="4"/>
  <c r="BX39" i="10" s="1"/>
  <c r="BV162" i="4"/>
  <c r="BX162" i="10" s="1"/>
  <c r="BV22" i="4"/>
  <c r="BW22" i="4" s="1"/>
  <c r="BV41" i="4"/>
  <c r="BX41" i="10" s="1"/>
  <c r="BV248" i="4"/>
  <c r="BX248" i="10" s="1"/>
  <c r="BV82" i="4"/>
  <c r="BX82" i="10" s="1"/>
  <c r="BV14" i="4"/>
  <c r="BW14" i="4" s="1"/>
  <c r="BV25" i="4"/>
  <c r="BW25" i="4" s="1"/>
  <c r="BV153" i="4"/>
  <c r="BX153" i="10" s="1"/>
  <c r="BV9" i="4"/>
  <c r="BX9" i="10" s="1"/>
  <c r="BV142" i="4"/>
  <c r="BX142" i="10" s="1"/>
  <c r="BV250" i="4"/>
  <c r="BW250" i="4" s="1"/>
  <c r="BV137" i="4"/>
  <c r="BW137" i="4" s="1"/>
  <c r="BV245" i="4"/>
  <c r="BX245" i="10" s="1"/>
  <c r="BV132" i="4"/>
  <c r="BW132" i="4" s="1"/>
  <c r="BV240" i="4"/>
  <c r="BX240" i="10" s="1"/>
  <c r="BV229" i="4"/>
  <c r="BX229" i="10" s="1"/>
  <c r="BV59" i="4"/>
  <c r="BW59" i="4" s="1"/>
  <c r="BV152" i="4"/>
  <c r="BX152" i="10" s="1"/>
  <c r="BV147" i="4"/>
  <c r="BX147" i="10" s="1"/>
  <c r="BV223" i="4"/>
  <c r="BX223" i="10" s="1"/>
  <c r="BW103" i="4"/>
  <c r="BW161" i="4"/>
  <c r="BQ44" i="10"/>
  <c r="BQ69" i="10"/>
  <c r="BV16" i="4"/>
  <c r="BX16" i="10" s="1"/>
  <c r="BV234" i="4"/>
  <c r="BX234" i="10" s="1"/>
  <c r="BV106" i="4"/>
  <c r="BX106" i="10" s="1"/>
  <c r="BV64" i="4"/>
  <c r="BX64" i="10" s="1"/>
  <c r="BV30" i="4"/>
  <c r="BX30" i="10" s="1"/>
  <c r="BV80" i="4"/>
  <c r="BX80" i="10" s="1"/>
  <c r="BV219" i="4"/>
  <c r="BX219" i="10" s="1"/>
  <c r="BV99" i="4"/>
  <c r="BX99" i="10" s="1"/>
  <c r="BV93" i="4"/>
  <c r="BW93" i="4" s="1"/>
  <c r="BX93" i="4" s="1"/>
  <c r="BY93" i="4" s="1"/>
  <c r="BV203" i="4"/>
  <c r="BX203" i="10" s="1"/>
  <c r="BV87" i="4"/>
  <c r="BW87" i="4" s="1"/>
  <c r="BV198" i="4"/>
  <c r="BX198" i="10" s="1"/>
  <c r="BV73" i="4"/>
  <c r="BX73" i="10" s="1"/>
  <c r="BV187" i="4"/>
  <c r="BX187" i="10" s="1"/>
  <c r="BV51" i="4"/>
  <c r="BX51" i="10" s="1"/>
  <c r="BV50" i="4"/>
  <c r="BX50" i="10" s="1"/>
  <c r="BV76" i="4"/>
  <c r="BW76" i="4" s="1"/>
  <c r="BX76" i="4" s="1"/>
  <c r="BV189" i="4"/>
  <c r="BX189" i="10" s="1"/>
  <c r="BW189" i="4"/>
  <c r="BX189" i="4" s="1"/>
  <c r="BY189" i="4" s="1"/>
  <c r="BV63" i="4"/>
  <c r="BW63" i="4" s="1"/>
  <c r="BV178" i="4"/>
  <c r="BW178" i="4" s="1"/>
  <c r="BV55" i="4"/>
  <c r="BX55" i="10" s="1"/>
  <c r="BV173" i="4"/>
  <c r="BW173" i="4" s="1"/>
  <c r="BV47" i="4"/>
  <c r="BW47" i="4" s="1"/>
  <c r="BV168" i="4"/>
  <c r="BX168" i="10" s="1"/>
  <c r="BV31" i="4"/>
  <c r="BW31" i="4" s="1"/>
  <c r="BV157" i="4"/>
  <c r="BW157" i="4" s="1"/>
  <c r="BX157" i="4" s="1"/>
  <c r="BY157" i="4" s="1"/>
  <c r="BV89" i="4"/>
  <c r="BX89" i="10" s="1"/>
  <c r="BV15" i="4"/>
  <c r="BX15" i="10" s="1"/>
  <c r="BV244" i="4"/>
  <c r="BW244" i="4" s="1"/>
  <c r="BV225" i="4"/>
  <c r="BX225" i="10" s="1"/>
  <c r="BO256" i="4"/>
  <c r="BY210" i="10"/>
  <c r="BX184" i="10"/>
  <c r="BX6" i="10"/>
  <c r="BX74" i="10"/>
  <c r="BQ64" i="10"/>
  <c r="BW97" i="4"/>
  <c r="BX97" i="4" s="1"/>
  <c r="BY97" i="4" s="1"/>
  <c r="BQ30" i="10"/>
  <c r="BQ80" i="10"/>
  <c r="BQ219" i="10"/>
  <c r="BQ99" i="10"/>
  <c r="BQ93" i="10"/>
  <c r="BQ203" i="10"/>
  <c r="BQ87" i="10"/>
  <c r="BQ198" i="10"/>
  <c r="BQ73" i="10"/>
  <c r="BQ187" i="10"/>
  <c r="BQ51" i="10"/>
  <c r="BQ50" i="10"/>
  <c r="BQ76" i="10"/>
  <c r="BQ189" i="10"/>
  <c r="BQ63" i="10"/>
  <c r="BQ178" i="10"/>
  <c r="BQ55" i="10"/>
  <c r="BQ173" i="10"/>
  <c r="BQ47" i="10"/>
  <c r="BQ168" i="10"/>
  <c r="BQ31" i="10"/>
  <c r="BQ157" i="10"/>
  <c r="BQ89" i="10"/>
  <c r="BQ15" i="10"/>
  <c r="BY92" i="10"/>
  <c r="BY28" i="10"/>
  <c r="BY149" i="10"/>
  <c r="BY251" i="10"/>
  <c r="BY246" i="10"/>
  <c r="BY6" i="10"/>
  <c r="BY108" i="10"/>
  <c r="BY33" i="10"/>
  <c r="BX2" i="5"/>
  <c r="BZ68" i="10"/>
  <c r="CA68" i="10" s="1"/>
  <c r="BY68" i="10"/>
  <c r="BY7" i="10"/>
  <c r="BX7" i="10"/>
  <c r="BX63" i="10"/>
  <c r="BY180" i="10"/>
  <c r="BX180" i="10"/>
  <c r="BY100" i="10"/>
  <c r="BX100" i="10"/>
  <c r="BX244" i="10"/>
  <c r="BY194" i="10"/>
  <c r="BX194" i="10"/>
  <c r="BY233" i="10"/>
  <c r="BX233" i="10"/>
  <c r="BY61" i="10"/>
  <c r="BX61" i="10"/>
  <c r="BY130" i="10"/>
  <c r="BX130" i="10"/>
  <c r="BY58" i="10"/>
  <c r="BX58" i="10"/>
  <c r="BY202" i="10"/>
  <c r="BX202" i="10"/>
  <c r="BY176" i="10"/>
  <c r="BX176" i="10"/>
  <c r="BY138" i="10"/>
  <c r="BX138" i="10"/>
  <c r="BX47" i="10"/>
  <c r="BX31" i="10"/>
  <c r="BX209" i="10"/>
  <c r="BY166" i="10"/>
  <c r="BX166" i="10"/>
  <c r="BY96" i="10"/>
  <c r="BX96" i="10"/>
  <c r="BX178" i="10"/>
  <c r="BY212" i="10"/>
  <c r="BX212" i="10"/>
  <c r="BX69" i="10"/>
  <c r="BX81" i="10"/>
  <c r="BY110" i="10"/>
  <c r="BX110" i="10"/>
  <c r="BY158" i="10"/>
  <c r="BX158" i="10"/>
  <c r="BY139" i="10"/>
  <c r="BX139" i="10"/>
  <c r="BY117" i="10"/>
  <c r="BX117" i="10"/>
  <c r="BY105" i="10"/>
  <c r="BX105" i="10"/>
  <c r="BY75" i="10"/>
  <c r="BX75" i="10"/>
  <c r="BY124" i="10"/>
  <c r="BX124" i="10"/>
  <c r="BY52" i="10"/>
  <c r="BX52" i="10"/>
  <c r="BY186" i="10"/>
  <c r="BX186" i="10"/>
  <c r="BY164" i="10"/>
  <c r="BX164" i="10"/>
  <c r="BY43" i="10"/>
  <c r="BX43" i="10"/>
  <c r="BX93" i="10"/>
  <c r="BY11" i="10"/>
  <c r="BX11" i="10"/>
  <c r="BY159" i="10"/>
  <c r="BX159" i="10"/>
  <c r="BY188" i="10"/>
  <c r="BX188" i="10"/>
  <c r="BY243" i="10"/>
  <c r="BX243" i="10"/>
  <c r="BX214" i="10"/>
  <c r="BX137" i="10"/>
  <c r="BY49" i="10"/>
  <c r="BX49" i="10"/>
  <c r="BZ151" i="10"/>
  <c r="CA151" i="10" s="1"/>
  <c r="BY151" i="10"/>
  <c r="BY34" i="10"/>
  <c r="BX34" i="10"/>
  <c r="BY169" i="10"/>
  <c r="BX169" i="10"/>
  <c r="BY109" i="10"/>
  <c r="BX109" i="10"/>
  <c r="BY221" i="10"/>
  <c r="BX221" i="10"/>
  <c r="BY213" i="10"/>
  <c r="BX213" i="10"/>
  <c r="BY98" i="10"/>
  <c r="BX98" i="10"/>
  <c r="BY56" i="10"/>
  <c r="BX56" i="10"/>
  <c r="BY215" i="10"/>
  <c r="BX215" i="10"/>
  <c r="BY123" i="10"/>
  <c r="BX123" i="10"/>
  <c r="BY200" i="10"/>
  <c r="BX200" i="10"/>
  <c r="BY35" i="10"/>
  <c r="BX35" i="10"/>
  <c r="BY226" i="10"/>
  <c r="BX226" i="10"/>
  <c r="BY90" i="10"/>
  <c r="BX90" i="10"/>
  <c r="BZ155" i="10"/>
  <c r="CA155" i="10" s="1"/>
  <c r="BY155" i="10"/>
  <c r="BY67" i="10"/>
  <c r="BX67" i="10"/>
  <c r="BY45" i="10"/>
  <c r="BX45" i="10"/>
  <c r="BY145" i="10"/>
  <c r="BX145" i="10"/>
  <c r="BY128" i="10"/>
  <c r="BX128" i="10"/>
  <c r="BY232" i="10"/>
  <c r="BX232" i="10"/>
  <c r="BY146" i="10"/>
  <c r="BX146" i="10"/>
  <c r="BY235" i="10"/>
  <c r="BX235" i="10"/>
  <c r="BY135" i="10"/>
  <c r="BX135" i="10"/>
  <c r="BX250" i="10"/>
  <c r="BX59" i="10"/>
  <c r="BX115" i="10"/>
  <c r="BY17" i="10"/>
  <c r="BX17" i="10"/>
  <c r="BY156" i="10"/>
  <c r="BX156" i="10"/>
  <c r="BY140" i="10"/>
  <c r="BX140" i="10"/>
  <c r="BY78" i="10"/>
  <c r="BX78" i="10"/>
  <c r="BY77" i="10"/>
  <c r="BX77" i="10"/>
  <c r="BY118" i="10"/>
  <c r="BX118" i="10"/>
  <c r="BY24" i="10"/>
  <c r="BX24" i="10"/>
  <c r="BX25" i="10"/>
  <c r="BY247" i="10"/>
  <c r="BX247" i="10"/>
  <c r="BY26" i="10"/>
  <c r="BX26" i="10"/>
  <c r="BY122" i="10"/>
  <c r="BX122" i="10"/>
  <c r="BY107" i="10"/>
  <c r="BX107" i="10"/>
  <c r="BY205" i="10"/>
  <c r="BX205" i="10"/>
  <c r="BX173" i="10"/>
  <c r="BX14" i="10"/>
  <c r="BY101" i="10"/>
  <c r="BX101" i="10"/>
  <c r="BY167" i="10"/>
  <c r="BX167" i="10"/>
  <c r="BY228" i="10"/>
  <c r="BX228" i="10"/>
  <c r="BY19" i="10"/>
  <c r="BX19" i="10"/>
  <c r="BX255" i="10"/>
  <c r="BX4" i="10"/>
  <c r="BY150" i="10"/>
  <c r="BY253" i="10"/>
  <c r="BY48" i="10"/>
  <c r="BY217" i="10"/>
  <c r="BY84" i="10"/>
  <c r="BY218" i="10"/>
  <c r="BY216" i="10"/>
  <c r="BY144" i="10"/>
  <c r="BY10" i="10"/>
  <c r="BY181" i="10"/>
  <c r="BY211" i="10"/>
  <c r="BY40" i="10"/>
  <c r="BY134" i="10"/>
  <c r="BY249" i="10"/>
  <c r="BY42" i="10"/>
  <c r="BY57" i="10"/>
  <c r="BY195" i="10"/>
  <c r="BY191" i="10"/>
  <c r="BY206" i="10"/>
  <c r="BY83" i="10"/>
  <c r="BY111" i="10"/>
  <c r="BY196" i="10"/>
  <c r="BY65" i="10"/>
  <c r="BY238" i="10"/>
  <c r="BY21" i="10"/>
  <c r="BY91" i="10"/>
  <c r="BY193" i="10"/>
  <c r="BY143" i="10"/>
  <c r="BY220" i="10"/>
  <c r="BY160" i="10"/>
  <c r="BY71" i="10"/>
  <c r="BY192" i="10"/>
  <c r="BY66" i="10"/>
  <c r="BY60" i="10"/>
  <c r="BZ228" i="10"/>
  <c r="CA228" i="10" s="1"/>
  <c r="BZ164" i="10"/>
  <c r="CA164" i="10" s="1"/>
  <c r="BZ133" i="10"/>
  <c r="CA133" i="10" s="1"/>
  <c r="BZ233" i="10"/>
  <c r="CA233" i="10" s="1"/>
  <c r="BZ208" i="10"/>
  <c r="CA208" i="10" s="1"/>
  <c r="BZ56" i="10"/>
  <c r="CA56" i="10" s="1"/>
  <c r="BZ226" i="10"/>
  <c r="CA226" i="10" s="1"/>
  <c r="BZ4" i="10"/>
  <c r="CA4" i="10" s="1"/>
  <c r="BZ28" i="10"/>
  <c r="CA28" i="10" s="1"/>
  <c r="BZ49" i="10"/>
  <c r="CA49" i="10" s="1"/>
  <c r="BZ159" i="10"/>
  <c r="CA159" i="10" s="1"/>
  <c r="BZ61" i="10"/>
  <c r="CA61" i="10" s="1"/>
  <c r="BZ79" i="10"/>
  <c r="CA79" i="10" s="1"/>
  <c r="BZ35" i="10"/>
  <c r="CA35" i="10" s="1"/>
  <c r="BZ236" i="10"/>
  <c r="CA236" i="10" s="1"/>
  <c r="BZ246" i="10"/>
  <c r="CA246" i="10" s="1"/>
  <c r="BZ200" i="10"/>
  <c r="CA200" i="10" s="1"/>
  <c r="BZ196" i="10"/>
  <c r="CA196" i="10" s="1"/>
  <c r="BZ139" i="10"/>
  <c r="CA139" i="10" s="1"/>
  <c r="BZ105" i="10"/>
  <c r="CA105" i="10" s="1"/>
  <c r="BZ251" i="10"/>
  <c r="CA251" i="10" s="1"/>
  <c r="BZ146" i="10"/>
  <c r="CA146" i="10" s="1"/>
  <c r="BZ109" i="10"/>
  <c r="CA109" i="10" s="1"/>
  <c r="BZ92" i="10"/>
  <c r="CA92" i="10" s="1"/>
  <c r="BZ158" i="10"/>
  <c r="CA158" i="10" s="1"/>
  <c r="BZ156" i="10"/>
  <c r="CA156" i="10" s="1"/>
  <c r="BZ62" i="10"/>
  <c r="CA62" i="10" s="1"/>
  <c r="BZ247" i="10"/>
  <c r="CA247" i="10" s="1"/>
  <c r="BZ72" i="10"/>
  <c r="CA72" i="10" s="1"/>
  <c r="BZ239" i="10"/>
  <c r="CA239" i="10" s="1"/>
  <c r="BZ11" i="10"/>
  <c r="CA11" i="10" s="1"/>
  <c r="BZ188" i="10"/>
  <c r="CA188" i="10" s="1"/>
  <c r="BZ235" i="10"/>
  <c r="CA235" i="10" s="1"/>
  <c r="BZ17" i="10"/>
  <c r="CA17" i="10" s="1"/>
  <c r="BZ96" i="10"/>
  <c r="CA96" i="10" s="1"/>
  <c r="BZ221" i="10"/>
  <c r="CA221" i="10" s="1"/>
  <c r="BZ117" i="10"/>
  <c r="CA117" i="10" s="1"/>
  <c r="BZ145" i="10"/>
  <c r="CA145" i="10" s="1"/>
  <c r="BZ52" i="10"/>
  <c r="CA52" i="10" s="1"/>
  <c r="BZ100" i="10"/>
  <c r="CA100" i="10" s="1"/>
  <c r="BZ23" i="10"/>
  <c r="CA23" i="10" s="1"/>
  <c r="BZ24" i="10"/>
  <c r="CA24" i="10" s="1"/>
  <c r="BZ128" i="10"/>
  <c r="CA128" i="10" s="1"/>
  <c r="BZ185" i="10"/>
  <c r="CA185" i="10" s="1"/>
  <c r="BZ29" i="10"/>
  <c r="CA29" i="10" s="1"/>
  <c r="BZ67" i="10"/>
  <c r="CA67" i="10" s="1"/>
  <c r="BZ58" i="10"/>
  <c r="CA58" i="10" s="1"/>
  <c r="BZ210" i="10"/>
  <c r="CA210" i="10" s="1"/>
  <c r="BZ26" i="10"/>
  <c r="CA26" i="10" s="1"/>
  <c r="BZ138" i="10"/>
  <c r="CA138" i="10" s="1"/>
  <c r="BZ124" i="10"/>
  <c r="CA124" i="10" s="1"/>
  <c r="BZ33" i="10"/>
  <c r="CA33" i="10" s="1"/>
  <c r="BZ167" i="10"/>
  <c r="CA167" i="10" s="1"/>
  <c r="BZ48" i="10"/>
  <c r="CA48" i="10" s="1"/>
  <c r="BZ43" i="10"/>
  <c r="CA43" i="10" s="1"/>
  <c r="BZ182" i="10"/>
  <c r="CA182" i="10" s="1"/>
  <c r="BZ78" i="10"/>
  <c r="CA78" i="10" s="1"/>
  <c r="BZ202" i="10"/>
  <c r="CA202" i="10" s="1"/>
  <c r="BZ134" i="10"/>
  <c r="CA134" i="10" s="1"/>
  <c r="BZ77" i="10"/>
  <c r="CA77" i="10" s="1"/>
  <c r="BZ107" i="10"/>
  <c r="CA107" i="10" s="1"/>
  <c r="BZ74" i="10"/>
  <c r="CA74" i="10" s="1"/>
  <c r="BZ98" i="10"/>
  <c r="CA98" i="10" s="1"/>
  <c r="BZ75" i="10"/>
  <c r="CA75" i="10" s="1"/>
  <c r="BZ123" i="10"/>
  <c r="CA123" i="10" s="1"/>
  <c r="BZ34" i="10"/>
  <c r="CA34" i="10" s="1"/>
  <c r="BZ130" i="10"/>
  <c r="CA130" i="10" s="1"/>
  <c r="BZ7" i="10"/>
  <c r="CA7" i="10" s="1"/>
  <c r="BZ149" i="10"/>
  <c r="CA149" i="10" s="1"/>
  <c r="BZ90" i="10"/>
  <c r="CA90" i="10" s="1"/>
  <c r="BZ38" i="10"/>
  <c r="CA38" i="10" s="1"/>
  <c r="BY2" i="5"/>
  <c r="BZ2" i="5" a="1"/>
  <c r="BY86" i="4" l="1"/>
  <c r="BZ86" i="10"/>
  <c r="CA86" i="10" s="1"/>
  <c r="BX255" i="4"/>
  <c r="BY255" i="10"/>
  <c r="BX8" i="4"/>
  <c r="BY8" i="10"/>
  <c r="BX173" i="4"/>
  <c r="BY173" i="10"/>
  <c r="BY76" i="4"/>
  <c r="BZ76" i="10"/>
  <c r="CA76" i="10" s="1"/>
  <c r="BX59" i="4"/>
  <c r="BY59" i="10"/>
  <c r="BX115" i="4"/>
  <c r="BY115" i="4" s="1"/>
  <c r="BY115" i="10"/>
  <c r="BZ121" i="10"/>
  <c r="CA121" i="10" s="1"/>
  <c r="BX76" i="10"/>
  <c r="BQ256" i="10"/>
  <c r="BX22" i="10"/>
  <c r="BW254" i="4"/>
  <c r="BZ201" i="10"/>
  <c r="CA201" i="10" s="1"/>
  <c r="BY97" i="10"/>
  <c r="BX87" i="10"/>
  <c r="BX157" i="10"/>
  <c r="BX8" i="10"/>
  <c r="BY199" i="10"/>
  <c r="BZ97" i="10"/>
  <c r="CA97" i="10" s="1"/>
  <c r="BX86" i="10"/>
  <c r="BX132" i="10"/>
  <c r="BW219" i="4"/>
  <c r="BX219" i="4" s="1"/>
  <c r="BY219" i="4" s="1"/>
  <c r="BW204" i="4"/>
  <c r="BX87" i="4"/>
  <c r="BY87" i="10"/>
  <c r="BX132" i="4"/>
  <c r="BY132" i="10"/>
  <c r="BX47" i="4"/>
  <c r="BY47" i="10"/>
  <c r="BX69" i="4"/>
  <c r="BY69" i="10"/>
  <c r="BX81" i="4"/>
  <c r="BY81" i="10"/>
  <c r="BX22" i="4"/>
  <c r="BY22" i="10"/>
  <c r="BX250" i="4"/>
  <c r="BY250" i="10"/>
  <c r="BX214" i="4"/>
  <c r="BY214" i="10"/>
  <c r="BX31" i="4"/>
  <c r="BY31" i="10"/>
  <c r="BX178" i="4"/>
  <c r="BY178" i="10"/>
  <c r="BX25" i="4"/>
  <c r="BY25" i="10"/>
  <c r="BX244" i="4"/>
  <c r="BY244" i="10"/>
  <c r="BX63" i="4"/>
  <c r="BY63" i="10"/>
  <c r="BX137" i="4"/>
  <c r="BY137" i="4" s="1"/>
  <c r="BY137" i="10"/>
  <c r="BX14" i="4"/>
  <c r="BY14" i="10"/>
  <c r="BX209" i="4"/>
  <c r="BY209" i="10"/>
  <c r="BX227" i="4"/>
  <c r="BY227" i="10"/>
  <c r="BX113" i="4"/>
  <c r="BY113" i="10"/>
  <c r="BY189" i="10"/>
  <c r="BY231" i="10"/>
  <c r="BY76" i="10"/>
  <c r="BY86" i="10"/>
  <c r="BW225" i="4"/>
  <c r="BX225" i="4" s="1"/>
  <c r="BY225" i="4" s="1"/>
  <c r="BW89" i="4"/>
  <c r="BW168" i="4"/>
  <c r="BW55" i="4"/>
  <c r="BW51" i="4"/>
  <c r="BX51" i="4" s="1"/>
  <c r="BY51" i="4" s="1"/>
  <c r="BW198" i="4"/>
  <c r="BW80" i="4"/>
  <c r="BW106" i="4"/>
  <c r="BW147" i="4"/>
  <c r="BW229" i="4"/>
  <c r="BX229" i="4" s="1"/>
  <c r="BY229" i="4" s="1"/>
  <c r="BW245" i="4"/>
  <c r="BX245" i="4" s="1"/>
  <c r="BY245" i="4" s="1"/>
  <c r="BW142" i="4"/>
  <c r="BW248" i="4"/>
  <c r="BW162" i="4"/>
  <c r="BX162" i="4" s="1"/>
  <c r="BY162" i="4" s="1"/>
  <c r="BW46" i="4"/>
  <c r="BW183" i="4"/>
  <c r="BX119" i="4"/>
  <c r="BY119" i="10"/>
  <c r="BX237" i="4"/>
  <c r="BY237" i="10"/>
  <c r="BW36" i="4"/>
  <c r="BX36" i="4" s="1"/>
  <c r="BY36" i="4" s="1"/>
  <c r="BW131" i="4"/>
  <c r="BX161" i="4"/>
  <c r="BY161" i="10"/>
  <c r="BX104" i="4"/>
  <c r="BY104" i="10"/>
  <c r="BW187" i="4"/>
  <c r="BW99" i="4"/>
  <c r="BW30" i="4"/>
  <c r="BX30" i="4" s="1"/>
  <c r="BY30" i="4" s="1"/>
  <c r="BW234" i="4"/>
  <c r="BX234" i="4" s="1"/>
  <c r="BY234" i="4" s="1"/>
  <c r="BX103" i="4"/>
  <c r="BY103" i="10"/>
  <c r="BW152" i="4"/>
  <c r="BW240" i="4"/>
  <c r="BW9" i="4"/>
  <c r="BW41" i="4"/>
  <c r="BX41" i="4" s="1"/>
  <c r="BY41" i="4" s="1"/>
  <c r="BW39" i="4"/>
  <c r="BX39" i="4" s="1"/>
  <c r="BY39" i="4" s="1"/>
  <c r="BW172" i="4"/>
  <c r="BW126" i="4"/>
  <c r="BX95" i="4"/>
  <c r="BY95" i="10"/>
  <c r="BW5" i="4"/>
  <c r="BX5" i="4" s="1"/>
  <c r="BY5" i="4" s="1"/>
  <c r="BV256" i="4"/>
  <c r="BY93" i="10"/>
  <c r="BY157" i="10"/>
  <c r="BW15" i="4"/>
  <c r="BX15" i="4" s="1"/>
  <c r="BY15" i="4" s="1"/>
  <c r="BW50" i="4"/>
  <c r="BW73" i="4"/>
  <c r="BX73" i="4" s="1"/>
  <c r="BY73" i="4" s="1"/>
  <c r="BW203" i="4"/>
  <c r="BW64" i="4"/>
  <c r="BW16" i="4"/>
  <c r="BX16" i="4" s="1"/>
  <c r="BY16" i="4" s="1"/>
  <c r="BW223" i="4"/>
  <c r="BW153" i="4"/>
  <c r="BW82" i="4"/>
  <c r="BW53" i="4"/>
  <c r="BX53" i="4" s="1"/>
  <c r="BY53" i="4" s="1"/>
  <c r="BW44" i="4"/>
  <c r="BX136" i="4"/>
  <c r="BY136" i="10"/>
  <c r="BW94" i="4"/>
  <c r="BZ212" i="10"/>
  <c r="CA212" i="10" s="1"/>
  <c r="BZ205" i="10"/>
  <c r="CA205" i="10" s="1"/>
  <c r="BZ232" i="10"/>
  <c r="CA232" i="10" s="1"/>
  <c r="BZ118" i="10"/>
  <c r="CA118" i="10" s="1"/>
  <c r="BZ110" i="10"/>
  <c r="CA110" i="10" s="1"/>
  <c r="BZ194" i="10"/>
  <c r="CA194" i="10" s="1"/>
  <c r="BZ180" i="10"/>
  <c r="CA180" i="10" s="1"/>
  <c r="BZ115" i="10"/>
  <c r="CA115" i="10" s="1"/>
  <c r="BZ166" i="10"/>
  <c r="CA166" i="10" s="1"/>
  <c r="BZ215" i="10"/>
  <c r="CA215" i="10" s="1"/>
  <c r="BZ122" i="10"/>
  <c r="CA122" i="10" s="1"/>
  <c r="BZ169" i="10"/>
  <c r="CA169" i="10" s="1"/>
  <c r="BZ45" i="10"/>
  <c r="CA45" i="10" s="1"/>
  <c r="BZ186" i="10"/>
  <c r="CA186" i="10" s="1"/>
  <c r="BZ249" i="10"/>
  <c r="CA249" i="10" s="1"/>
  <c r="BZ135" i="10"/>
  <c r="CA135" i="10" s="1"/>
  <c r="BZ213" i="10"/>
  <c r="CA213" i="10" s="1"/>
  <c r="BZ140" i="10"/>
  <c r="CA140" i="10" s="1"/>
  <c r="BZ19" i="10"/>
  <c r="CA19" i="10" s="1"/>
  <c r="BZ176" i="10"/>
  <c r="CA176" i="10" s="1"/>
  <c r="BZ101" i="10"/>
  <c r="CA101" i="10" s="1"/>
  <c r="BZ6" i="10"/>
  <c r="CA6" i="10" s="1"/>
  <c r="BZ93" i="10"/>
  <c r="CA93" i="10" s="1"/>
  <c r="BZ243" i="10"/>
  <c r="CA243" i="10" s="1"/>
  <c r="BZ137" i="10"/>
  <c r="CA137" i="10" s="1"/>
  <c r="BZ157" i="10"/>
  <c r="CA157" i="10" s="1"/>
  <c r="BZ150" i="10"/>
  <c r="CA150" i="10" s="1"/>
  <c r="BZ216" i="10"/>
  <c r="CA216" i="10" s="1"/>
  <c r="BZ253" i="10"/>
  <c r="CA253" i="10" s="1"/>
  <c r="BZ108" i="10"/>
  <c r="CA108" i="10" s="1"/>
  <c r="BZ84" i="10"/>
  <c r="CA84" i="10" s="1"/>
  <c r="BZ193" i="10"/>
  <c r="CA193" i="10" s="1"/>
  <c r="BZ10" i="10"/>
  <c r="CA10" i="10" s="1"/>
  <c r="BZ217" i="10"/>
  <c r="CA217" i="10" s="1"/>
  <c r="BZ163" i="10"/>
  <c r="CA163" i="10" s="1"/>
  <c r="BY163" i="10"/>
  <c r="BZ177" i="10"/>
  <c r="CA177" i="10" s="1"/>
  <c r="BY177" i="10"/>
  <c r="BZ148" i="10"/>
  <c r="CA148" i="10" s="1"/>
  <c r="BY148" i="10"/>
  <c r="BZ141" i="10"/>
  <c r="CA141" i="10" s="1"/>
  <c r="BY141" i="10"/>
  <c r="BZ174" i="10"/>
  <c r="CA174" i="10" s="1"/>
  <c r="BY174" i="10"/>
  <c r="BZ175" i="10"/>
  <c r="CA175" i="10" s="1"/>
  <c r="BY175" i="10"/>
  <c r="BZ112" i="10"/>
  <c r="CA112" i="10" s="1"/>
  <c r="BY112" i="10"/>
  <c r="BZ222" i="10"/>
  <c r="CA222" i="10" s="1"/>
  <c r="BY222" i="10"/>
  <c r="BZ245" i="10"/>
  <c r="CA245" i="10" s="1"/>
  <c r="BY245" i="10"/>
  <c r="BZ242" i="10"/>
  <c r="CA242" i="10" s="1"/>
  <c r="BY242" i="10"/>
  <c r="BY18" i="10"/>
  <c r="BZ37" i="10"/>
  <c r="CA37" i="10" s="1"/>
  <c r="BY37" i="10"/>
  <c r="BY229" i="10"/>
  <c r="BZ15" i="10"/>
  <c r="CA15" i="10" s="1"/>
  <c r="BY15" i="10"/>
  <c r="BZ165" i="10"/>
  <c r="CA165" i="10" s="1"/>
  <c r="BY165" i="10"/>
  <c r="BZ114" i="10"/>
  <c r="CA114" i="10" s="1"/>
  <c r="BY114" i="10"/>
  <c r="BZ20" i="10"/>
  <c r="CA20" i="10" s="1"/>
  <c r="BY20" i="10"/>
  <c r="BZ88" i="10"/>
  <c r="CA88" i="10" s="1"/>
  <c r="BY88" i="10"/>
  <c r="BZ54" i="10"/>
  <c r="CA54" i="10" s="1"/>
  <c r="BY54" i="10"/>
  <c r="BY224" i="10"/>
  <c r="BY36" i="10"/>
  <c r="BZ51" i="10"/>
  <c r="CA51" i="10" s="1"/>
  <c r="BY51" i="10"/>
  <c r="BZ190" i="10"/>
  <c r="CA190" i="10" s="1"/>
  <c r="BY190" i="10"/>
  <c r="BZ171" i="10"/>
  <c r="CA171" i="10" s="1"/>
  <c r="BY171" i="10"/>
  <c r="BZ241" i="10"/>
  <c r="CA241" i="10" s="1"/>
  <c r="BY241" i="10"/>
  <c r="BZ125" i="10"/>
  <c r="CA125" i="10" s="1"/>
  <c r="BY125" i="10"/>
  <c r="BZ129" i="10"/>
  <c r="CA129" i="10" s="1"/>
  <c r="BY129" i="10"/>
  <c r="BZ120" i="10"/>
  <c r="CA120" i="10" s="1"/>
  <c r="BY120" i="10"/>
  <c r="BZ179" i="10"/>
  <c r="CA179" i="10" s="1"/>
  <c r="BY179" i="10"/>
  <c r="BZ32" i="10"/>
  <c r="CA32" i="10" s="1"/>
  <c r="BY32" i="10"/>
  <c r="BZ219" i="10"/>
  <c r="CA219" i="10" s="1"/>
  <c r="BY219" i="10"/>
  <c r="BY16" i="10"/>
  <c r="BZ252" i="10"/>
  <c r="CA252" i="10" s="1"/>
  <c r="BY252" i="10"/>
  <c r="BY12" i="10"/>
  <c r="BY5" i="10"/>
  <c r="BZ184" i="10"/>
  <c r="CA184" i="10" s="1"/>
  <c r="BY184" i="10"/>
  <c r="BZ154" i="10"/>
  <c r="CA154" i="10" s="1"/>
  <c r="BY154" i="10"/>
  <c r="BZ116" i="10"/>
  <c r="CA116" i="10" s="1"/>
  <c r="BY116" i="10"/>
  <c r="BY234" i="10"/>
  <c r="BZ170" i="10"/>
  <c r="CA170" i="10" s="1"/>
  <c r="BY170" i="10"/>
  <c r="BZ70" i="10"/>
  <c r="CA70" i="10" s="1"/>
  <c r="BY70" i="10"/>
  <c r="BZ207" i="10"/>
  <c r="CA207" i="10" s="1"/>
  <c r="BY207" i="10"/>
  <c r="BZ73" i="10"/>
  <c r="CA73" i="10" s="1"/>
  <c r="BY73" i="10"/>
  <c r="BZ197" i="10"/>
  <c r="CA197" i="10" s="1"/>
  <c r="BY197" i="10"/>
  <c r="BZ27" i="10"/>
  <c r="CA27" i="10" s="1"/>
  <c r="BY27" i="10"/>
  <c r="BZ13" i="10"/>
  <c r="CA13" i="10" s="1"/>
  <c r="BY13" i="10"/>
  <c r="BZ127" i="10"/>
  <c r="CA127" i="10" s="1"/>
  <c r="BY127" i="10"/>
  <c r="BZ85" i="10"/>
  <c r="CA85" i="10" s="1"/>
  <c r="BY85" i="10"/>
  <c r="BZ230" i="10"/>
  <c r="CA230" i="10" s="1"/>
  <c r="BY230" i="10"/>
  <c r="BZ41" i="10"/>
  <c r="CA41" i="10" s="1"/>
  <c r="BY41" i="10"/>
  <c r="BZ53" i="10"/>
  <c r="CA53" i="10" s="1"/>
  <c r="BZ30" i="10"/>
  <c r="CA30" i="10" s="1"/>
  <c r="BY30" i="10"/>
  <c r="BZ102" i="10"/>
  <c r="CA102" i="10" s="1"/>
  <c r="BY102" i="10"/>
  <c r="BZ57" i="10"/>
  <c r="CA57" i="10" s="1"/>
  <c r="BZ144" i="10"/>
  <c r="CA144" i="10" s="1"/>
  <c r="BZ40" i="10"/>
  <c r="CA40" i="10" s="1"/>
  <c r="BZ218" i="10"/>
  <c r="CA218" i="10" s="1"/>
  <c r="BZ83" i="10"/>
  <c r="CA83" i="10" s="1"/>
  <c r="BZ181" i="10"/>
  <c r="CA181" i="10" s="1"/>
  <c r="BZ91" i="10"/>
  <c r="CA91" i="10" s="1"/>
  <c r="BZ211" i="10"/>
  <c r="CA211" i="10" s="1"/>
  <c r="BZ65" i="10"/>
  <c r="CA65" i="10" s="1"/>
  <c r="BZ192" i="10"/>
  <c r="CA192" i="10" s="1"/>
  <c r="BZ21" i="10"/>
  <c r="CA21" i="10" s="1"/>
  <c r="BZ238" i="10"/>
  <c r="CA238" i="10" s="1"/>
  <c r="BZ71" i="10"/>
  <c r="CA71" i="10" s="1"/>
  <c r="BZ189" i="10"/>
  <c r="CA189" i="10" s="1"/>
  <c r="BZ60" i="10"/>
  <c r="CA60" i="10" s="1"/>
  <c r="BX256" i="10"/>
  <c r="BZ2" i="5"/>
  <c r="D14" i="6"/>
  <c r="E21" i="6"/>
  <c r="E26" i="6" s="1"/>
  <c r="CA2" i="5" a="1"/>
  <c r="BX204" i="4" l="1"/>
  <c r="BY204" i="4" s="1"/>
  <c r="BY204" i="10"/>
  <c r="BY59" i="4"/>
  <c r="BZ59" i="10"/>
  <c r="CA59" i="10" s="1"/>
  <c r="BY8" i="4"/>
  <c r="BZ8" i="10"/>
  <c r="CA8" i="10" s="1"/>
  <c r="BY255" i="4"/>
  <c r="BZ255" i="10"/>
  <c r="CA255" i="10" s="1"/>
  <c r="BY162" i="10"/>
  <c r="BX254" i="4"/>
  <c r="BY254" i="10"/>
  <c r="BY173" i="4"/>
  <c r="BZ173" i="10"/>
  <c r="CA173" i="10" s="1"/>
  <c r="BX64" i="4"/>
  <c r="BY64" i="10"/>
  <c r="BX203" i="4"/>
  <c r="BY203" i="10"/>
  <c r="BY103" i="4"/>
  <c r="BZ103" i="10"/>
  <c r="CA103" i="10" s="1"/>
  <c r="BY104" i="4"/>
  <c r="BZ104" i="10"/>
  <c r="CA104" i="10" s="1"/>
  <c r="BY237" i="4"/>
  <c r="BZ237" i="10"/>
  <c r="CA237" i="10" s="1"/>
  <c r="BX248" i="4"/>
  <c r="BY248" i="10"/>
  <c r="BX80" i="4"/>
  <c r="BY80" i="10"/>
  <c r="BY113" i="4"/>
  <c r="BZ113" i="10"/>
  <c r="CA113" i="10" s="1"/>
  <c r="BY14" i="4"/>
  <c r="BZ14" i="10"/>
  <c r="CA14" i="10" s="1"/>
  <c r="BY244" i="4"/>
  <c r="BZ244" i="10"/>
  <c r="CA244" i="10" s="1"/>
  <c r="BY31" i="4"/>
  <c r="BZ31" i="10"/>
  <c r="CA31" i="10" s="1"/>
  <c r="BY22" i="4"/>
  <c r="BZ22" i="10"/>
  <c r="CA22" i="10" s="1"/>
  <c r="BY47" i="4"/>
  <c r="BZ47" i="10"/>
  <c r="CA47" i="10" s="1"/>
  <c r="BX82" i="4"/>
  <c r="BY82" i="10"/>
  <c r="BX142" i="4"/>
  <c r="BX256" i="4" s="1"/>
  <c r="BY142" i="10"/>
  <c r="BX198" i="4"/>
  <c r="BY198" i="10"/>
  <c r="BZ162" i="10"/>
  <c r="CA162" i="10" s="1"/>
  <c r="BX94" i="4"/>
  <c r="BY94" i="10"/>
  <c r="BX153" i="4"/>
  <c r="BY153" i="10"/>
  <c r="BX50" i="4"/>
  <c r="BY50" i="10"/>
  <c r="BX9" i="4"/>
  <c r="BY9" i="10"/>
  <c r="BY161" i="4"/>
  <c r="BZ161" i="10"/>
  <c r="CA161" i="10" s="1"/>
  <c r="BY119" i="4"/>
  <c r="BZ119" i="10"/>
  <c r="CA119" i="10" s="1"/>
  <c r="BY227" i="4"/>
  <c r="BZ227" i="10"/>
  <c r="CA227" i="10" s="1"/>
  <c r="BY25" i="4"/>
  <c r="BZ25" i="10"/>
  <c r="CA25" i="10" s="1"/>
  <c r="BY214" i="4"/>
  <c r="BZ214" i="10"/>
  <c r="CA214" i="10" s="1"/>
  <c r="BY81" i="4"/>
  <c r="BZ81" i="10"/>
  <c r="CA81" i="10" s="1"/>
  <c r="BY132" i="4"/>
  <c r="BZ132" i="10"/>
  <c r="CA132" i="10" s="1"/>
  <c r="BX44" i="4"/>
  <c r="BY44" i="10"/>
  <c r="BX106" i="4"/>
  <c r="BY106" i="10"/>
  <c r="BX89" i="4"/>
  <c r="BY89" i="10"/>
  <c r="BY39" i="10"/>
  <c r="BY225" i="10"/>
  <c r="BX223" i="4"/>
  <c r="BY223" i="10"/>
  <c r="BY95" i="4"/>
  <c r="BZ95" i="10"/>
  <c r="CA95" i="10" s="1"/>
  <c r="BX240" i="4"/>
  <c r="BY240" i="10"/>
  <c r="BX99" i="4"/>
  <c r="BY99" i="10"/>
  <c r="BX131" i="4"/>
  <c r="BY131" i="10"/>
  <c r="BX183" i="4"/>
  <c r="BY183" i="10"/>
  <c r="BX55" i="4"/>
  <c r="BY55" i="10"/>
  <c r="BX172" i="4"/>
  <c r="BY172" i="10"/>
  <c r="BW256" i="4"/>
  <c r="BY53" i="10"/>
  <c r="BZ39" i="10"/>
  <c r="CA39" i="10" s="1"/>
  <c r="BY136" i="4"/>
  <c r="BZ136" i="10"/>
  <c r="CA136" i="10" s="1"/>
  <c r="BX126" i="4"/>
  <c r="BY126" i="10"/>
  <c r="BX152" i="4"/>
  <c r="BY152" i="10"/>
  <c r="BX187" i="4"/>
  <c r="BY187" i="10"/>
  <c r="BX46" i="4"/>
  <c r="BY46" i="10"/>
  <c r="BX147" i="4"/>
  <c r="BY147" i="10"/>
  <c r="BX168" i="4"/>
  <c r="BY168" i="10"/>
  <c r="BY209" i="4"/>
  <c r="BZ209" i="10"/>
  <c r="CA209" i="10" s="1"/>
  <c r="BY63" i="4"/>
  <c r="BZ63" i="10"/>
  <c r="CA63" i="10" s="1"/>
  <c r="BY178" i="4"/>
  <c r="BZ178" i="10"/>
  <c r="CA178" i="10" s="1"/>
  <c r="BY250" i="4"/>
  <c r="BZ250" i="10"/>
  <c r="CA250" i="10" s="1"/>
  <c r="BY69" i="4"/>
  <c r="BZ69" i="10"/>
  <c r="CA69" i="10" s="1"/>
  <c r="BY87" i="4"/>
  <c r="BZ87" i="10"/>
  <c r="CA87" i="10" s="1"/>
  <c r="BZ66" i="10"/>
  <c r="CA66" i="10" s="1"/>
  <c r="BZ220" i="10"/>
  <c r="CA220" i="10" s="1"/>
  <c r="BZ204" i="10"/>
  <c r="CA204" i="10" s="1"/>
  <c r="BZ111" i="10"/>
  <c r="CA111" i="10" s="1"/>
  <c r="BZ191" i="10"/>
  <c r="CA191" i="10" s="1"/>
  <c r="BZ234" i="10"/>
  <c r="CA234" i="10" s="1"/>
  <c r="BZ160" i="10"/>
  <c r="CA160" i="10" s="1"/>
  <c r="BZ206" i="10"/>
  <c r="CA206" i="10" s="1"/>
  <c r="BZ42" i="10"/>
  <c r="CA42" i="10" s="1"/>
  <c r="BZ229" i="10"/>
  <c r="CA229" i="10" s="1"/>
  <c r="BZ225" i="10"/>
  <c r="CA225" i="10" s="1"/>
  <c r="BZ5" i="10"/>
  <c r="CA5" i="10" s="1"/>
  <c r="BZ16" i="10"/>
  <c r="CA16" i="10" s="1"/>
  <c r="BZ36" i="10"/>
  <c r="CA36" i="10" s="1"/>
  <c r="BZ143" i="10"/>
  <c r="CA143" i="10" s="1"/>
  <c r="BZ231" i="10"/>
  <c r="CA231" i="10" s="1"/>
  <c r="BZ195" i="10"/>
  <c r="CA195" i="10" s="1"/>
  <c r="BZ199" i="10"/>
  <c r="CA199" i="10" s="1"/>
  <c r="BZ12" i="10"/>
  <c r="CA12" i="10" s="1"/>
  <c r="BZ224" i="10"/>
  <c r="CA224" i="10" s="1"/>
  <c r="BZ18" i="10"/>
  <c r="CA18" i="10" s="1"/>
  <c r="CA2" i="5"/>
  <c r="E31" i="6"/>
  <c r="E39" i="6"/>
  <c r="E76" i="6"/>
  <c r="E63" i="6"/>
  <c r="E66" i="6"/>
  <c r="E29" i="6"/>
  <c r="E28" i="6"/>
  <c r="E80" i="6"/>
  <c r="E75" i="6"/>
  <c r="E122" i="6"/>
  <c r="E65" i="6"/>
  <c r="E68" i="6"/>
  <c r="E33" i="6"/>
  <c r="E27" i="6"/>
  <c r="E38" i="6"/>
  <c r="E79" i="6"/>
  <c r="E37" i="6"/>
  <c r="E78" i="6"/>
  <c r="E77" i="6"/>
  <c r="E32" i="6"/>
  <c r="E40" i="6"/>
  <c r="E69" i="6"/>
  <c r="E67" i="6"/>
  <c r="E64" i="6"/>
  <c r="E30" i="6"/>
  <c r="BY254" i="4" l="1"/>
  <c r="BZ254" i="10"/>
  <c r="CA254" i="10" s="1"/>
  <c r="BY256" i="10"/>
  <c r="BY172" i="4"/>
  <c r="BZ172" i="10"/>
  <c r="CA172" i="10" s="1"/>
  <c r="BY131" i="4"/>
  <c r="BZ131" i="10"/>
  <c r="CA131" i="10" s="1"/>
  <c r="BY89" i="4"/>
  <c r="BZ89" i="10"/>
  <c r="CA89" i="10" s="1"/>
  <c r="BY153" i="4"/>
  <c r="BZ153" i="10"/>
  <c r="CA153" i="10" s="1"/>
  <c r="BY168" i="4"/>
  <c r="BZ168" i="10"/>
  <c r="CA168" i="10" s="1"/>
  <c r="BY187" i="4"/>
  <c r="BZ187" i="10"/>
  <c r="CA187" i="10" s="1"/>
  <c r="BY142" i="4"/>
  <c r="BZ142" i="10"/>
  <c r="CA142" i="10" s="1"/>
  <c r="BY248" i="4"/>
  <c r="BZ248" i="10"/>
  <c r="CA248" i="10" s="1"/>
  <c r="BY9" i="4"/>
  <c r="BZ9" i="10"/>
  <c r="CA9" i="10" s="1"/>
  <c r="BY55" i="4"/>
  <c r="BZ55" i="10"/>
  <c r="CA55" i="10" s="1"/>
  <c r="BY99" i="4"/>
  <c r="BZ99" i="10"/>
  <c r="CA99" i="10" s="1"/>
  <c r="BY223" i="4"/>
  <c r="BZ223" i="10"/>
  <c r="CA223" i="10" s="1"/>
  <c r="BY106" i="4"/>
  <c r="BZ106" i="10"/>
  <c r="CA106" i="10" s="1"/>
  <c r="BY94" i="4"/>
  <c r="BZ94" i="10"/>
  <c r="CA94" i="10" s="1"/>
  <c r="BY147" i="4"/>
  <c r="BZ147" i="10"/>
  <c r="CA147" i="10" s="1"/>
  <c r="BY152" i="4"/>
  <c r="BZ152" i="10"/>
  <c r="CA152" i="10" s="1"/>
  <c r="BY82" i="4"/>
  <c r="BZ82" i="10"/>
  <c r="CA82" i="10" s="1"/>
  <c r="BY203" i="4"/>
  <c r="BZ203" i="10"/>
  <c r="CA203" i="10" s="1"/>
  <c r="BY183" i="4"/>
  <c r="BZ183" i="10"/>
  <c r="CA183" i="10" s="1"/>
  <c r="BY240" i="4"/>
  <c r="BZ240" i="10"/>
  <c r="CA240" i="10" s="1"/>
  <c r="BY44" i="4"/>
  <c r="BZ44" i="10"/>
  <c r="CA44" i="10" s="1"/>
  <c r="BY50" i="4"/>
  <c r="BZ50" i="10"/>
  <c r="CA50" i="10" s="1"/>
  <c r="BY46" i="4"/>
  <c r="BY256" i="4" s="1"/>
  <c r="BZ46" i="10"/>
  <c r="CA46" i="10" s="1"/>
  <c r="BY126" i="4"/>
  <c r="BZ126" i="10"/>
  <c r="CA126" i="10" s="1"/>
  <c r="BY198" i="4"/>
  <c r="BZ198" i="10"/>
  <c r="CA198" i="10" s="1"/>
  <c r="BY80" i="4"/>
  <c r="BZ80" i="10"/>
  <c r="CA80" i="10" s="1"/>
  <c r="BY64" i="4"/>
  <c r="BZ64" i="10"/>
  <c r="CA64" i="10" s="1"/>
  <c r="E41" i="6"/>
  <c r="E55" i="6" s="1"/>
  <c r="E34" i="6"/>
  <c r="E56" i="6" s="1"/>
  <c r="E70" i="6"/>
  <c r="E124" i="6" s="1"/>
  <c r="E81" i="6"/>
  <c r="E92" i="6" s="1"/>
  <c r="E95" i="6" s="1"/>
  <c r="BZ256" i="10" l="1"/>
  <c r="CA256" i="10"/>
  <c r="E125" i="6"/>
  <c r="E58" i="6"/>
  <c r="E123" i="6" s="1"/>
  <c r="E127" i="6" l="1"/>
  <c r="E116" i="6"/>
  <c r="E117" i="6" s="1"/>
  <c r="E128" i="6" s="1"/>
  <c r="E129" i="6" l="1"/>
  <c r="E130" i="6" s="1"/>
</calcChain>
</file>

<file path=xl/connections.xml><?xml version="1.0" encoding="utf-8"?>
<connections xmlns="http://schemas.openxmlformats.org/spreadsheetml/2006/main" xmlns:mc="http://schemas.openxmlformats.org/markup-compatibility/2006" xmlns:xr16="http://schemas.microsoft.com/office/spreadsheetml/2017/revision16" mc:Ignorable="xr16">
  <connection id="1" xr16:uid="{5455B798-67A4-47C2-BCA4-EFA585780FED}" keepAlive="1" name="Consulta - CUSTO GLOBAL" description="Conexão com a consulta 'CUSTO GLOBAL' na pasta de trabalho." type="5" refreshedVersion="8" background="1" refreshOnLoad="1" saveData="1">
    <dbPr connection="Provider=Microsoft.Mashup.OleDb.1;Data Source=$Workbook$;Location=&quot;CUSTO GLOBAL&quot;;Extended Properties=&quot;&quot;" command="SELECT * FROM [CUSTO GLOBAL]"/>
  </connection>
  <connection id="2" xr16:uid="{8503C5D4-5AB6-4480-A23F-AA5D2CA57EEE}" keepAlive="1" name="Consulta - CUSTO UNITARIO" description="Conexão com a consulta 'CUSTO UNITARIO' na pasta de trabalho." type="5" refreshedVersion="8" background="1" refreshOnLoad="1" saveData="1">
    <dbPr connection="Provider=Microsoft.Mashup.OleDb.1;Data Source=$Workbook$;Location=&quot;CUSTO UNITARIO&quot;;Extended Properties=&quot;&quot;" command="SELECT * FROM [CUSTO UNITARIO]"/>
  </connection>
  <connection id="3" xr16:uid="{FB2F68C9-59B6-4F03-942F-70720FB4DDF6}" keepAlive="1" name="Consulta - tabPostos" description="Conexão com a consulta 'tabPostos' na pasta de trabalho." type="5" refreshedVersion="8" background="1" refreshOnLoad="1" saveData="1">
    <dbPr connection="Provider=Microsoft.Mashup.OleDb.1;Data Source=$Workbook$;Location=tabPostos;Extended Properties=&quot;&quot;" command="SELECT * FROM [tabPostos]"/>
  </connection>
  <connection id="4" xr16:uid="{6D00FEB9-BA6A-4D2E-9905-71A0DCC792AA}" keepAlive="1" name="Consulta - tabUniformes (2)" description="Conexão com a consulta 'tabUniformes (2)' na pasta de trabalho." type="5" refreshedVersion="0" background="1" saveData="1">
    <dbPr connection="Provider=Microsoft.Mashup.OleDb.1;Data Source=$Workbook$;Location=&quot;tabUniformes (2)&quot;;Extended Properties=&quot;&quot;" command="SELECT * FROM [tabUniformes (2)]"/>
  </connection>
</connections>
</file>

<file path=xl/metadata.xml><?xml version="1.0" encoding="utf-8"?>
<metadata xmlns="http://schemas.openxmlformats.org/spreadsheetml/2006/main" xmlns:xda="http://schemas.microsoft.com/office/spreadsheetml/2017/dynamicarray">
  <metadataTypes count="1">
    <metadataType name="XLDAPR" minSupportedVersion="120000" copy="1" pasteAll="1" pasteValues="1" merge="1" splitFirst="1" rowColShift="1" clearFormats="1" clearComments="1" assign="1" coerce="1" cellMeta="1"/>
  </metadataTypes>
  <futureMetadata name="XLDAPR" count="1">
    <bk>
      <extLst>
        <ext uri="{bdbb8cdc-fa1e-496e-a857-3c3f30c029c3}">
          <xda:dynamicArrayProperties fDynamic="1" fCollapsed="0"/>
        </ext>
      </extLst>
    </bk>
  </futureMetadata>
  <cellMetadata count="1">
    <bk>
      <rc t="1" v="0"/>
    </bk>
  </cellMetadata>
</metadata>
</file>

<file path=xl/sharedStrings.xml><?xml version="1.0" encoding="utf-8"?>
<sst xmlns="http://schemas.openxmlformats.org/spreadsheetml/2006/main" count="6882" uniqueCount="1618">
  <si>
    <t>Código do Posto</t>
  </si>
  <si>
    <t>Comarca</t>
  </si>
  <si>
    <t>Função</t>
  </si>
  <si>
    <t>Classificação</t>
  </si>
  <si>
    <t>Fonte de Recursos</t>
  </si>
  <si>
    <t>Vagas contratadas</t>
  </si>
  <si>
    <t>Vagas suspensas</t>
  </si>
  <si>
    <t>Salário Base</t>
  </si>
  <si>
    <t>Abaete</t>
  </si>
  <si>
    <t>Limpeza</t>
  </si>
  <si>
    <t>PGJ</t>
  </si>
  <si>
    <t>Abre Campo</t>
  </si>
  <si>
    <t>Aguas Formosas</t>
  </si>
  <si>
    <t>Aimores</t>
  </si>
  <si>
    <t>Aiuruoca</t>
  </si>
  <si>
    <t>Alem Paraiba</t>
  </si>
  <si>
    <t>Alfenas</t>
  </si>
  <si>
    <t>Almenara</t>
  </si>
  <si>
    <t>Alpinopolis</t>
  </si>
  <si>
    <t>Alvinopolis</t>
  </si>
  <si>
    <t>Andradas</t>
  </si>
  <si>
    <t>Andrelandia</t>
  </si>
  <si>
    <t>Aracuai</t>
  </si>
  <si>
    <t>Araguari</t>
  </si>
  <si>
    <t>Araxa</t>
  </si>
  <si>
    <t>Arcos</t>
  </si>
  <si>
    <t>Areado</t>
  </si>
  <si>
    <t>Arinos</t>
  </si>
  <si>
    <t>Baependi</t>
  </si>
  <si>
    <t>Barao de Cocais</t>
  </si>
  <si>
    <t>Barbacena</t>
  </si>
  <si>
    <t>Belo Horizonte</t>
  </si>
  <si>
    <t>Limpador de vidros - 220 h</t>
  </si>
  <si>
    <t>FEPDC</t>
  </si>
  <si>
    <t>Betim</t>
  </si>
  <si>
    <t>Bicas</t>
  </si>
  <si>
    <t>Boa Esperanca</t>
  </si>
  <si>
    <t>Bocaiuva</t>
  </si>
  <si>
    <t>Bom Despacho</t>
  </si>
  <si>
    <t>Bom Sucesso</t>
  </si>
  <si>
    <t>Bonfim</t>
  </si>
  <si>
    <t>Brasilia de Minas</t>
  </si>
  <si>
    <t>Brazopolis</t>
  </si>
  <si>
    <t>Brumadinho</t>
  </si>
  <si>
    <t>Bueno Brandao</t>
  </si>
  <si>
    <t>Buritis</t>
  </si>
  <si>
    <t>Cachoeira de Minas</t>
  </si>
  <si>
    <t>Caete</t>
  </si>
  <si>
    <t>Caldas</t>
  </si>
  <si>
    <t>Camanducaia</t>
  </si>
  <si>
    <t>Cambui</t>
  </si>
  <si>
    <t>Campanha</t>
  </si>
  <si>
    <t>Campo Belo</t>
  </si>
  <si>
    <t>Campos Altos</t>
  </si>
  <si>
    <t>Campos Gerais</t>
  </si>
  <si>
    <t>Canapolis</t>
  </si>
  <si>
    <t>Candeias</t>
  </si>
  <si>
    <t>Capelinha</t>
  </si>
  <si>
    <t>Carandai</t>
  </si>
  <si>
    <t>Carangola</t>
  </si>
  <si>
    <t>Caratinga</t>
  </si>
  <si>
    <t>Carlos Chagas</t>
  </si>
  <si>
    <t>Carmo do Paranaiba</t>
  </si>
  <si>
    <t>Carmo do Rio Claro</t>
  </si>
  <si>
    <t>Carmopolis de Minas</t>
  </si>
  <si>
    <t>Cassia</t>
  </si>
  <si>
    <t>Cataguases</t>
  </si>
  <si>
    <t>Caxambu</t>
  </si>
  <si>
    <t>Claudio</t>
  </si>
  <si>
    <t>Conceicao das Alagoas</t>
  </si>
  <si>
    <t>Conceicao do Mato Dentro</t>
  </si>
  <si>
    <t>Congonhas</t>
  </si>
  <si>
    <t>Conquista</t>
  </si>
  <si>
    <t>Conselheiro Lafaiete</t>
  </si>
  <si>
    <t>Conselheiro Pena</t>
  </si>
  <si>
    <t>Contagem</t>
  </si>
  <si>
    <t>Coracao de Jesus</t>
  </si>
  <si>
    <t>Corinto</t>
  </si>
  <si>
    <t>Coromandel</t>
  </si>
  <si>
    <t>Coronel Fabriciano</t>
  </si>
  <si>
    <t>Cruzilia</t>
  </si>
  <si>
    <t>Curvelo</t>
  </si>
  <si>
    <t>Diamantina</t>
  </si>
  <si>
    <t>Divino</t>
  </si>
  <si>
    <t>Divinopolis</t>
  </si>
  <si>
    <t>Dores do Indaia</t>
  </si>
  <si>
    <t>Eloi Mendes</t>
  </si>
  <si>
    <t>Ervalia</t>
  </si>
  <si>
    <t>Esmeraldas</t>
  </si>
  <si>
    <t>Espinosa</t>
  </si>
  <si>
    <t>Extrema</t>
  </si>
  <si>
    <t>Formiga</t>
  </si>
  <si>
    <t>Francisco Sa</t>
  </si>
  <si>
    <t>Frutal</t>
  </si>
  <si>
    <t>Governador Valadares</t>
  </si>
  <si>
    <t>Grao Mogol</t>
  </si>
  <si>
    <t>Guanhaes</t>
  </si>
  <si>
    <t>Guaranesia</t>
  </si>
  <si>
    <t>Guaxupe</t>
  </si>
  <si>
    <t>Ibia</t>
  </si>
  <si>
    <t>Ibiraci</t>
  </si>
  <si>
    <t>Ibirite</t>
  </si>
  <si>
    <t>Igarape</t>
  </si>
  <si>
    <t>Inhapim</t>
  </si>
  <si>
    <t>Ipanema</t>
  </si>
  <si>
    <t>Ipatinga</t>
  </si>
  <si>
    <t>Itabira</t>
  </si>
  <si>
    <t>Itabirito</t>
  </si>
  <si>
    <t>Itaguara</t>
  </si>
  <si>
    <t>Itajuba</t>
  </si>
  <si>
    <t>Itamarandiba</t>
  </si>
  <si>
    <t>Itambacuri</t>
  </si>
  <si>
    <t>Itamonte</t>
  </si>
  <si>
    <t>Itapagipe</t>
  </si>
  <si>
    <t>Itapecerica</t>
  </si>
  <si>
    <t>Itauna</t>
  </si>
  <si>
    <t>Ituiutaba</t>
  </si>
  <si>
    <t>Iturama</t>
  </si>
  <si>
    <t>Jaboticatubas</t>
  </si>
  <si>
    <t>Jacinto</t>
  </si>
  <si>
    <t>Janauba</t>
  </si>
  <si>
    <t>Januaria</t>
  </si>
  <si>
    <t>Jequitinhonha</t>
  </si>
  <si>
    <t>Joao Monlevade</t>
  </si>
  <si>
    <t>Joao Pinheiro</t>
  </si>
  <si>
    <t>Juiz de Fora</t>
  </si>
  <si>
    <t>Lagoa da Prata</t>
  </si>
  <si>
    <t>Lagoa Santa</t>
  </si>
  <si>
    <t>Lambari</t>
  </si>
  <si>
    <t>Lavras</t>
  </si>
  <si>
    <t>Luz</t>
  </si>
  <si>
    <t>Machado</t>
  </si>
  <si>
    <t>Malacacheta</t>
  </si>
  <si>
    <t>Manga</t>
  </si>
  <si>
    <t>Manhuacu</t>
  </si>
  <si>
    <t>Manhumirim</t>
  </si>
  <si>
    <t>Mantena</t>
  </si>
  <si>
    <t>Mariana</t>
  </si>
  <si>
    <t>Martinho Campos</t>
  </si>
  <si>
    <t>Mateus Leme</t>
  </si>
  <si>
    <t>Matias Barbosa</t>
  </si>
  <si>
    <t>Matozinhos</t>
  </si>
  <si>
    <t>Minas Novas</t>
  </si>
  <si>
    <t>Miradouro</t>
  </si>
  <si>
    <t>Mirai</t>
  </si>
  <si>
    <t>Monte Azul</t>
  </si>
  <si>
    <t>Monte Belo</t>
  </si>
  <si>
    <t>Monte Carmelo</t>
  </si>
  <si>
    <t>Montes Claros</t>
  </si>
  <si>
    <t>Muriae</t>
  </si>
  <si>
    <t>Mutum</t>
  </si>
  <si>
    <t>Muzambinho</t>
  </si>
  <si>
    <t>Nanuque</t>
  </si>
  <si>
    <t>Natercia</t>
  </si>
  <si>
    <t>Nova Lima</t>
  </si>
  <si>
    <t>Nova Ponte</t>
  </si>
  <si>
    <t>Nova Serrana</t>
  </si>
  <si>
    <t>Novo Cruzeiro</t>
  </si>
  <si>
    <t>Oliveira</t>
  </si>
  <si>
    <t>Ouro Fino</t>
  </si>
  <si>
    <t>Ouro Preto</t>
  </si>
  <si>
    <t>Para de Minas</t>
  </si>
  <si>
    <t>Paracatu</t>
  </si>
  <si>
    <t>Paraguacu</t>
  </si>
  <si>
    <t>Paraopeba</t>
  </si>
  <si>
    <t>Passos</t>
  </si>
  <si>
    <t>Patos de Minas</t>
  </si>
  <si>
    <t>Pecanha</t>
  </si>
  <si>
    <t>Pedra Azul</t>
  </si>
  <si>
    <t>Pedro Leopoldo</t>
  </si>
  <si>
    <t>Perdizes</t>
  </si>
  <si>
    <t>Piranga</t>
  </si>
  <si>
    <t>Pirapora</t>
  </si>
  <si>
    <t>Pitangui</t>
  </si>
  <si>
    <t>Piumhi</t>
  </si>
  <si>
    <t>Poco Fundo</t>
  </si>
  <si>
    <t>Pocos de Caldas</t>
  </si>
  <si>
    <t>Pompeu</t>
  </si>
  <si>
    <t>Ponte Nova</t>
  </si>
  <si>
    <t>Porteirinha</t>
  </si>
  <si>
    <t>Pouso Alegre</t>
  </si>
  <si>
    <t>Prados</t>
  </si>
  <si>
    <t>Presidente Olegario</t>
  </si>
  <si>
    <t>Raul Soares</t>
  </si>
  <si>
    <t>Resplendor</t>
  </si>
  <si>
    <t>Ribeirao das Neves</t>
  </si>
  <si>
    <t>Rio Casca</t>
  </si>
  <si>
    <t>Rio Paranaiba</t>
  </si>
  <si>
    <t>Rio Pomba</t>
  </si>
  <si>
    <t>Rio Vermelho</t>
  </si>
  <si>
    <t>Sabara</t>
  </si>
  <si>
    <t>Sabinopolis</t>
  </si>
  <si>
    <t>Sacramento</t>
  </si>
  <si>
    <t>Salinas</t>
  </si>
  <si>
    <t>Santa Barbara</t>
  </si>
  <si>
    <t>Santa Luzia</t>
  </si>
  <si>
    <t>Santa Maria do Suacui</t>
  </si>
  <si>
    <t>Santa Rita de Caldas</t>
  </si>
  <si>
    <t>Santa Rita do Sapucai</t>
  </si>
  <si>
    <t>Santa Vitoria</t>
  </si>
  <si>
    <t>Santo Antonio do Monte</t>
  </si>
  <si>
    <t>Sao Francisco</t>
  </si>
  <si>
    <t>Sao Goncalo do Sapucai</t>
  </si>
  <si>
    <t>Sao Gotardo</t>
  </si>
  <si>
    <t>Sao Joao da Ponte</t>
  </si>
  <si>
    <t>Sao Joao del Rei</t>
  </si>
  <si>
    <t>Sao Joao Nepomuceno</t>
  </si>
  <si>
    <t>Sao Lourenco</t>
  </si>
  <si>
    <t>Sao Romao</t>
  </si>
  <si>
    <t>Sao Sebastiao do Paraiso</t>
  </si>
  <si>
    <t>Serro</t>
  </si>
  <si>
    <t>Sete Lagoas</t>
  </si>
  <si>
    <t>Taiobeiras</t>
  </si>
  <si>
    <t>Teofilo Otoni</t>
  </si>
  <si>
    <t>Timoteo</t>
  </si>
  <si>
    <t>Tombos</t>
  </si>
  <si>
    <t>Tres Coracoes</t>
  </si>
  <si>
    <t>Tres Pontas</t>
  </si>
  <si>
    <t>Tupaciguara</t>
  </si>
  <si>
    <t>Turmalina</t>
  </si>
  <si>
    <t>Uba</t>
  </si>
  <si>
    <t>Uberaba</t>
  </si>
  <si>
    <t>Uberlandia</t>
  </si>
  <si>
    <t>Unai</t>
  </si>
  <si>
    <t>Varginha</t>
  </si>
  <si>
    <t>Varzea da Palma</t>
  </si>
  <si>
    <t>Vespasiano</t>
  </si>
  <si>
    <t>Vicosa</t>
  </si>
  <si>
    <t>Visconde do Rio Branco</t>
  </si>
  <si>
    <t>COMARCA</t>
  </si>
  <si>
    <t>Sigla</t>
  </si>
  <si>
    <t>Codigo Comarca</t>
  </si>
  <si>
    <t>ISS</t>
  </si>
  <si>
    <t>VT</t>
  </si>
  <si>
    <t>Cargo</t>
  </si>
  <si>
    <t>Codigo Cargo</t>
  </si>
  <si>
    <t>Lotacao</t>
  </si>
  <si>
    <t>Tipo</t>
  </si>
  <si>
    <t>Codigo Lote</t>
  </si>
  <si>
    <t>IDENTIFICAÇÃO DO POSTO</t>
  </si>
  <si>
    <t>DESPESA DE VIAGEM</t>
  </si>
  <si>
    <t>VALOR UNIT.</t>
  </si>
  <si>
    <t>QUANT. POSTOS INICIAL</t>
  </si>
  <si>
    <t>VALOR TOTAL PREVISTO</t>
  </si>
  <si>
    <t>ÍNDICE DE REAJUSTE - IPCA / IBGE</t>
  </si>
  <si>
    <t>OUTROS CUSTOS</t>
  </si>
  <si>
    <t>Impostos Nacionais</t>
  </si>
  <si>
    <t>Alíquota</t>
  </si>
  <si>
    <t>ABAETE</t>
  </si>
  <si>
    <t>AET</t>
  </si>
  <si>
    <t>002</t>
  </si>
  <si>
    <t>01</t>
  </si>
  <si>
    <t>LIMPEZA</t>
  </si>
  <si>
    <t>Lote</t>
  </si>
  <si>
    <t>TA / APOSTILAMENTO</t>
  </si>
  <si>
    <t>DATA DA PUBLICAÇÃO</t>
  </si>
  <si>
    <t>PERCENTUAL</t>
  </si>
  <si>
    <t>TIPO</t>
  </si>
  <si>
    <t>VALOR INICIAL P/ FUNCIONÁRIO</t>
  </si>
  <si>
    <t>VALOR CORRIGIDO</t>
  </si>
  <si>
    <t>INSS</t>
  </si>
  <si>
    <t>ABRE CAMPO</t>
  </si>
  <si>
    <t>ABN</t>
  </si>
  <si>
    <t>003</t>
  </si>
  <si>
    <t>02</t>
  </si>
  <si>
    <t>Código</t>
  </si>
  <si>
    <t>Custos Indiretos</t>
  </si>
  <si>
    <t>SESI OU SESC</t>
  </si>
  <si>
    <t>ACUCENA</t>
  </si>
  <si>
    <t>ACN</t>
  </si>
  <si>
    <t>005</t>
  </si>
  <si>
    <t/>
  </si>
  <si>
    <t>03</t>
  </si>
  <si>
    <t>Lucro</t>
  </si>
  <si>
    <t>SENAI OU SENAC</t>
  </si>
  <si>
    <t>AGUAS FORMOSAS</t>
  </si>
  <si>
    <t>AGF</t>
  </si>
  <si>
    <t>009</t>
  </si>
  <si>
    <t>04</t>
  </si>
  <si>
    <t>Nº. Posto</t>
  </si>
  <si>
    <t>Seguro de vida</t>
  </si>
  <si>
    <t>INCRA</t>
  </si>
  <si>
    <t>AIMORES</t>
  </si>
  <si>
    <t>AOR</t>
  </si>
  <si>
    <t>011</t>
  </si>
  <si>
    <t>05</t>
  </si>
  <si>
    <t>Salário Educação</t>
  </si>
  <si>
    <t>AIURUOCA</t>
  </si>
  <si>
    <t>AUD</t>
  </si>
  <si>
    <t>012</t>
  </si>
  <si>
    <t>FGTS</t>
  </si>
  <si>
    <t>ALEM PARAIBA</t>
  </si>
  <si>
    <t>API</t>
  </si>
  <si>
    <t>015</t>
  </si>
  <si>
    <t>RAT Ajustado</t>
  </si>
  <si>
    <t>ALFENAS</t>
  </si>
  <si>
    <t>AFN</t>
  </si>
  <si>
    <t>016</t>
  </si>
  <si>
    <t>SEBRAE</t>
  </si>
  <si>
    <t>ALMENARA</t>
  </si>
  <si>
    <t>AMN</t>
  </si>
  <si>
    <t>017</t>
  </si>
  <si>
    <t>COFINS</t>
  </si>
  <si>
    <t>ALPINOPOLIS</t>
  </si>
  <si>
    <t>ALS</t>
  </si>
  <si>
    <t>019</t>
  </si>
  <si>
    <t>PIS</t>
  </si>
  <si>
    <t>ALTO RIO DOCE</t>
  </si>
  <si>
    <t>ADC</t>
  </si>
  <si>
    <t>021</t>
  </si>
  <si>
    <t>ALVINOPOLIS</t>
  </si>
  <si>
    <t>ALL</t>
  </si>
  <si>
    <t>023</t>
  </si>
  <si>
    <t>ANDRADAS</t>
  </si>
  <si>
    <t>ANA</t>
  </si>
  <si>
    <t>026</t>
  </si>
  <si>
    <t>ANDRELANDIA</t>
  </si>
  <si>
    <t>ADL</t>
  </si>
  <si>
    <t>028</t>
  </si>
  <si>
    <t>ARACUAI</t>
  </si>
  <si>
    <t>AUI</t>
  </si>
  <si>
    <t>034</t>
  </si>
  <si>
    <t>ARAGUARI</t>
  </si>
  <si>
    <t>ARI</t>
  </si>
  <si>
    <t>035</t>
  </si>
  <si>
    <t>ARAXA</t>
  </si>
  <si>
    <t>AXA</t>
  </si>
  <si>
    <t>040</t>
  </si>
  <si>
    <t>ARCOS</t>
  </si>
  <si>
    <t>ACS</t>
  </si>
  <si>
    <t>042</t>
  </si>
  <si>
    <t>AREADO</t>
  </si>
  <si>
    <t>ADO</t>
  </si>
  <si>
    <t>043</t>
  </si>
  <si>
    <t>ARINOS</t>
  </si>
  <si>
    <t>AYN</t>
  </si>
  <si>
    <t>778</t>
  </si>
  <si>
    <t>BAEPENDI</t>
  </si>
  <si>
    <t>BAD</t>
  </si>
  <si>
    <t>049</t>
  </si>
  <si>
    <t>BAMBUI</t>
  </si>
  <si>
    <t>BBI</t>
  </si>
  <si>
    <t>051</t>
  </si>
  <si>
    <t>BARAO DE COCAIS</t>
  </si>
  <si>
    <t>BCS</t>
  </si>
  <si>
    <t>054</t>
  </si>
  <si>
    <t>BARBACENA</t>
  </si>
  <si>
    <t>BCA</t>
  </si>
  <si>
    <t>056</t>
  </si>
  <si>
    <t>BARROSO</t>
  </si>
  <si>
    <t>BSO</t>
  </si>
  <si>
    <t>059</t>
  </si>
  <si>
    <t>BELO HORIZONTE</t>
  </si>
  <si>
    <t>BHE</t>
  </si>
  <si>
    <t>024</t>
  </si>
  <si>
    <t>BELO VALE</t>
  </si>
  <si>
    <t>BLL</t>
  </si>
  <si>
    <t>064</t>
  </si>
  <si>
    <t>BETIM</t>
  </si>
  <si>
    <t>BET</t>
  </si>
  <si>
    <t>027</t>
  </si>
  <si>
    <t>BICAS</t>
  </si>
  <si>
    <t>BIS</t>
  </si>
  <si>
    <t>069</t>
  </si>
  <si>
    <t>BOA ESPERANCA</t>
  </si>
  <si>
    <t>BOE</t>
  </si>
  <si>
    <t>071</t>
  </si>
  <si>
    <t>BOCAIUVA</t>
  </si>
  <si>
    <t>BCV</t>
  </si>
  <si>
    <t>073</t>
  </si>
  <si>
    <t>BOM DESPACHO</t>
  </si>
  <si>
    <t>BDP</t>
  </si>
  <si>
    <t>074</t>
  </si>
  <si>
    <t>BOM SUCESSO</t>
  </si>
  <si>
    <t>BMS</t>
  </si>
  <si>
    <t>080</t>
  </si>
  <si>
    <t>BONFIM</t>
  </si>
  <si>
    <t>BFM</t>
  </si>
  <si>
    <t>081</t>
  </si>
  <si>
    <t>BONFINOPOLIS DE MINAS</t>
  </si>
  <si>
    <t>BFS</t>
  </si>
  <si>
    <t>082</t>
  </si>
  <si>
    <t>BORDA DA MATA</t>
  </si>
  <si>
    <t>BOM</t>
  </si>
  <si>
    <t>083</t>
  </si>
  <si>
    <t>BOTELHOS</t>
  </si>
  <si>
    <t>BHS</t>
  </si>
  <si>
    <t>084</t>
  </si>
  <si>
    <t>BRASILIA DE MINAS</t>
  </si>
  <si>
    <t>BMN</t>
  </si>
  <si>
    <t>086</t>
  </si>
  <si>
    <t>BRAZOPOLIS</t>
  </si>
  <si>
    <t>BPS</t>
  </si>
  <si>
    <t>089</t>
  </si>
  <si>
    <t>BRUMADINHO</t>
  </si>
  <si>
    <t>BMO</t>
  </si>
  <si>
    <t>090</t>
  </si>
  <si>
    <t>BUENO BRANDAO</t>
  </si>
  <si>
    <t>BBD</t>
  </si>
  <si>
    <t>091</t>
  </si>
  <si>
    <t>BUENOPOLIS</t>
  </si>
  <si>
    <t>BUS</t>
  </si>
  <si>
    <t>092</t>
  </si>
  <si>
    <t>BURITIS</t>
  </si>
  <si>
    <t>BII</t>
  </si>
  <si>
    <t>093</t>
  </si>
  <si>
    <t>CABO VERDE</t>
  </si>
  <si>
    <t>CBV</t>
  </si>
  <si>
    <t>095</t>
  </si>
  <si>
    <t>CACHOEIRA DE MINAS</t>
  </si>
  <si>
    <t>CHS</t>
  </si>
  <si>
    <t>097</t>
  </si>
  <si>
    <t>CAETE</t>
  </si>
  <si>
    <t>CET</t>
  </si>
  <si>
    <t>045</t>
  </si>
  <si>
    <t>CALDAS</t>
  </si>
  <si>
    <t>CAD</t>
  </si>
  <si>
    <t>103</t>
  </si>
  <si>
    <t>CAMANDUCAIA</t>
  </si>
  <si>
    <t>CDU</t>
  </si>
  <si>
    <t>CAMBUI</t>
  </si>
  <si>
    <t>CBI</t>
  </si>
  <si>
    <t>CAMBUQUIRA</t>
  </si>
  <si>
    <t>CAQ</t>
  </si>
  <si>
    <t>CAMPANHA</t>
  </si>
  <si>
    <t>CPH</t>
  </si>
  <si>
    <t>CAMPESTRE</t>
  </si>
  <si>
    <t>CST</t>
  </si>
  <si>
    <t>CAMPINA VERDE</t>
  </si>
  <si>
    <t>CVE</t>
  </si>
  <si>
    <t>CAMPO BELO</t>
  </si>
  <si>
    <t>CPO</t>
  </si>
  <si>
    <t>CAMPOS ALTOS</t>
  </si>
  <si>
    <t>CMT</t>
  </si>
  <si>
    <t>CAMPOS GERAIS</t>
  </si>
  <si>
    <t>CPG</t>
  </si>
  <si>
    <t>CANAPOLIS</t>
  </si>
  <si>
    <t>COI</t>
  </si>
  <si>
    <t>CANDEIAS</t>
  </si>
  <si>
    <t>CWA</t>
  </si>
  <si>
    <t>CAPELINHA</t>
  </si>
  <si>
    <t>CLH</t>
  </si>
  <si>
    <t>CAPINOPOLIS</t>
  </si>
  <si>
    <t>CNS</t>
  </si>
  <si>
    <t>CARANDAI</t>
  </si>
  <si>
    <t>CRD</t>
  </si>
  <si>
    <t>CARANGOLA</t>
  </si>
  <si>
    <t>CRL</t>
  </si>
  <si>
    <t>CARATINGA</t>
  </si>
  <si>
    <t>CGA</t>
  </si>
  <si>
    <t>CARLOS CHAGAS</t>
  </si>
  <si>
    <t>CCH</t>
  </si>
  <si>
    <t>CARMO DA MATA</t>
  </si>
  <si>
    <t>COM</t>
  </si>
  <si>
    <t>CARMO DE MINAS</t>
  </si>
  <si>
    <t>CAE</t>
  </si>
  <si>
    <t>CARMO DO CAJURU</t>
  </si>
  <si>
    <t>CCU</t>
  </si>
  <si>
    <t>CARMO DO PARANAIBA</t>
  </si>
  <si>
    <t>CMI</t>
  </si>
  <si>
    <t>CARMO DO RIO CLARO</t>
  </si>
  <si>
    <t>CRC</t>
  </si>
  <si>
    <t>CARMOPOLIS DE MINAS</t>
  </si>
  <si>
    <t>CRM</t>
  </si>
  <si>
    <t>CASSIA</t>
  </si>
  <si>
    <t>CSA</t>
  </si>
  <si>
    <t>CATAGUASES</t>
  </si>
  <si>
    <t>CGS</t>
  </si>
  <si>
    <t>CAXAMBU</t>
  </si>
  <si>
    <t>CAX</t>
  </si>
  <si>
    <t>CLAUDIO</t>
  </si>
  <si>
    <t>CLU</t>
  </si>
  <si>
    <t>CONCEICAO DAS ALAGOAS</t>
  </si>
  <si>
    <t>CLS</t>
  </si>
  <si>
    <t>CONCEICAO DO MATO DENTRO</t>
  </si>
  <si>
    <t>CMD</t>
  </si>
  <si>
    <t>CONCEICAO DO RIO VERDE</t>
  </si>
  <si>
    <t>CVR</t>
  </si>
  <si>
    <t>CONGONHAS</t>
  </si>
  <si>
    <t>CNG</t>
  </si>
  <si>
    <t>CONQUISTA</t>
  </si>
  <si>
    <t>CQT</t>
  </si>
  <si>
    <t>CONSELHEIRO LAFAIETE</t>
  </si>
  <si>
    <t>CNL</t>
  </si>
  <si>
    <t>CONSELHEIRO PENA</t>
  </si>
  <si>
    <t>CSN</t>
  </si>
  <si>
    <t>CONTAGEM</t>
  </si>
  <si>
    <t>CEM</t>
  </si>
  <si>
    <t>079</t>
  </si>
  <si>
    <t>CORACAO DE JESUS</t>
  </si>
  <si>
    <t>COJ</t>
  </si>
  <si>
    <t>CORINTO</t>
  </si>
  <si>
    <t>CIT</t>
  </si>
  <si>
    <t>COROMANDEL</t>
  </si>
  <si>
    <t>CEL</t>
  </si>
  <si>
    <t>CORONEL FABRICIANO</t>
  </si>
  <si>
    <t>CRF</t>
  </si>
  <si>
    <t>CRISTINA</t>
  </si>
  <si>
    <t>CSI</t>
  </si>
  <si>
    <t>CRUZILIA</t>
  </si>
  <si>
    <t>CZL</t>
  </si>
  <si>
    <t>CURVELO</t>
  </si>
  <si>
    <t>CUV</t>
  </si>
  <si>
    <t>DIAMANTINA</t>
  </si>
  <si>
    <t>DMT</t>
  </si>
  <si>
    <t>DIVINO</t>
  </si>
  <si>
    <t>DVO</t>
  </si>
  <si>
    <t>DIVINOPOLIS</t>
  </si>
  <si>
    <t>DVL</t>
  </si>
  <si>
    <t>DORES DO INDAIA</t>
  </si>
  <si>
    <t>DDI</t>
  </si>
  <si>
    <t>ELOI MENDES</t>
  </si>
  <si>
    <t>ELM</t>
  </si>
  <si>
    <t>ENTRE RIOS DE MINAS</t>
  </si>
  <si>
    <t>ERM</t>
  </si>
  <si>
    <t>ERVALIA</t>
  </si>
  <si>
    <t>ERV</t>
  </si>
  <si>
    <t>ESMERALDAS</t>
  </si>
  <si>
    <t>EES</t>
  </si>
  <si>
    <t>ESPERA FELIZ</t>
  </si>
  <si>
    <t>EEP</t>
  </si>
  <si>
    <t>ESPINOSA</t>
  </si>
  <si>
    <t>EPS</t>
  </si>
  <si>
    <t>ESTRELA DO SUL</t>
  </si>
  <si>
    <t>EEL</t>
  </si>
  <si>
    <t>EUGENOPOLIS</t>
  </si>
  <si>
    <t>EOS</t>
  </si>
  <si>
    <t>EXTREMA</t>
  </si>
  <si>
    <t>EXM</t>
  </si>
  <si>
    <t>FERROS</t>
  </si>
  <si>
    <t>FES</t>
  </si>
  <si>
    <t>FORMIGA</t>
  </si>
  <si>
    <t>FMA</t>
  </si>
  <si>
    <t>FRANCISCO SA</t>
  </si>
  <si>
    <t>FCS</t>
  </si>
  <si>
    <t>FRUTAL</t>
  </si>
  <si>
    <t>FRU</t>
  </si>
  <si>
    <t>GALILEIA</t>
  </si>
  <si>
    <t>GLL</t>
  </si>
  <si>
    <t>GOVERNADOR VALADARES</t>
  </si>
  <si>
    <t>GVS</t>
  </si>
  <si>
    <t>GRAO MOGOL</t>
  </si>
  <si>
    <t>GGL</t>
  </si>
  <si>
    <t>GUANHAES</t>
  </si>
  <si>
    <t>GHE</t>
  </si>
  <si>
    <t>GUAPE</t>
  </si>
  <si>
    <t>GUE</t>
  </si>
  <si>
    <t>GUARANESIA</t>
  </si>
  <si>
    <t>GSA</t>
  </si>
  <si>
    <t>GUARANI</t>
  </si>
  <si>
    <t>GNI</t>
  </si>
  <si>
    <t>GUAXUPE</t>
  </si>
  <si>
    <t>GPE</t>
  </si>
  <si>
    <t>IBIA</t>
  </si>
  <si>
    <t>IBY</t>
  </si>
  <si>
    <t>IBIRACI</t>
  </si>
  <si>
    <t>III</t>
  </si>
  <si>
    <t>IBIRITE</t>
  </si>
  <si>
    <t>IIB</t>
  </si>
  <si>
    <t>IGARAPE</t>
  </si>
  <si>
    <t>IRP</t>
  </si>
  <si>
    <t>IGUATAMA</t>
  </si>
  <si>
    <t>IUM</t>
  </si>
  <si>
    <t>INHAPIM</t>
  </si>
  <si>
    <t>INP</t>
  </si>
  <si>
    <t>IPANEMA</t>
  </si>
  <si>
    <t>YAN</t>
  </si>
  <si>
    <t>IPATINGA</t>
  </si>
  <si>
    <t>IIG</t>
  </si>
  <si>
    <t>ITABIRA</t>
  </si>
  <si>
    <t>IBA</t>
  </si>
  <si>
    <t>ITABIRITO</t>
  </si>
  <si>
    <t>IRO</t>
  </si>
  <si>
    <t>ITAGUARA</t>
  </si>
  <si>
    <t>IGR</t>
  </si>
  <si>
    <t>ITAJUBA</t>
  </si>
  <si>
    <t>IJA</t>
  </si>
  <si>
    <t>ITAMARANDIBA</t>
  </si>
  <si>
    <t>IMR</t>
  </si>
  <si>
    <t>ITAMBACURI</t>
  </si>
  <si>
    <t>ITC</t>
  </si>
  <si>
    <t>ITAMOGI</t>
  </si>
  <si>
    <t>IOG</t>
  </si>
  <si>
    <t>ITAMONTE</t>
  </si>
  <si>
    <t>IMO</t>
  </si>
  <si>
    <t>ITANHANDU</t>
  </si>
  <si>
    <t>ITD</t>
  </si>
  <si>
    <t>ITANHOMI</t>
  </si>
  <si>
    <t>INH</t>
  </si>
  <si>
    <t>ITAPAGIPE</t>
  </si>
  <si>
    <t>IGY</t>
  </si>
  <si>
    <t>ITAPECERICA</t>
  </si>
  <si>
    <t>IPC</t>
  </si>
  <si>
    <t>ITAUNA</t>
  </si>
  <si>
    <t>IAN</t>
  </si>
  <si>
    <t>ITUIUTABA</t>
  </si>
  <si>
    <t>IUA</t>
  </si>
  <si>
    <t>ITUMIRIM</t>
  </si>
  <si>
    <t>IYM</t>
  </si>
  <si>
    <t>ITURAMA</t>
  </si>
  <si>
    <t>ITM</t>
  </si>
  <si>
    <t>JABOTICATUBAS</t>
  </si>
  <si>
    <t>JBU</t>
  </si>
  <si>
    <t>JACINTO</t>
  </si>
  <si>
    <t>JNT</t>
  </si>
  <si>
    <t>JACUI</t>
  </si>
  <si>
    <t>JCU</t>
  </si>
  <si>
    <t>JACUTINGA</t>
  </si>
  <si>
    <t>JTA</t>
  </si>
  <si>
    <t>JAIBA</t>
  </si>
  <si>
    <t>JAB</t>
  </si>
  <si>
    <t>JANAUBA</t>
  </si>
  <si>
    <t>JUA</t>
  </si>
  <si>
    <t>JANUARIA</t>
  </si>
  <si>
    <t>JNU</t>
  </si>
  <si>
    <t>JEQUERI</t>
  </si>
  <si>
    <t>JQI</t>
  </si>
  <si>
    <t>JEQUITINHONHA</t>
  </si>
  <si>
    <t>JQT</t>
  </si>
  <si>
    <t>JOAO MONLEVADE</t>
  </si>
  <si>
    <t>JML</t>
  </si>
  <si>
    <t>JOAO PINHEIRO</t>
  </si>
  <si>
    <t>JPI</t>
  </si>
  <si>
    <t>JUATUBA</t>
  </si>
  <si>
    <t>JTB</t>
  </si>
  <si>
    <t>JUIZ DE FORA</t>
  </si>
  <si>
    <t>JFA</t>
  </si>
  <si>
    <t>LAGOA DA PRATA</t>
  </si>
  <si>
    <t>LPT</t>
  </si>
  <si>
    <t>LAGOA SANTA</t>
  </si>
  <si>
    <t>LGT</t>
  </si>
  <si>
    <t>LAJINHA</t>
  </si>
  <si>
    <t>LJA</t>
  </si>
  <si>
    <t>LAMBARI</t>
  </si>
  <si>
    <t>LAM</t>
  </si>
  <si>
    <t>LAVRAS</t>
  </si>
  <si>
    <t>LAV</t>
  </si>
  <si>
    <t>LEOPOLDINA</t>
  </si>
  <si>
    <t>LPD</t>
  </si>
  <si>
    <t>LIMA DUARTE</t>
  </si>
  <si>
    <t>LAD</t>
  </si>
  <si>
    <t>LUZ</t>
  </si>
  <si>
    <t>MACHADO</t>
  </si>
  <si>
    <t>MCD</t>
  </si>
  <si>
    <t>MALACACHETA</t>
  </si>
  <si>
    <t>MCH</t>
  </si>
  <si>
    <t>MANGA</t>
  </si>
  <si>
    <t>MAG</t>
  </si>
  <si>
    <t>MANHUACU</t>
  </si>
  <si>
    <t>MNC</t>
  </si>
  <si>
    <t>MANHUMIRIM</t>
  </si>
  <si>
    <t>MIM</t>
  </si>
  <si>
    <t>MANTENA</t>
  </si>
  <si>
    <t>MNN</t>
  </si>
  <si>
    <t>MAR DE ESPANHA</t>
  </si>
  <si>
    <t>MEH</t>
  </si>
  <si>
    <t>MARIANA</t>
  </si>
  <si>
    <t>MRN</t>
  </si>
  <si>
    <t>MARTINHO CAMPOS</t>
  </si>
  <si>
    <t>MHC</t>
  </si>
  <si>
    <t>MATEUS LEME</t>
  </si>
  <si>
    <t>MAL</t>
  </si>
  <si>
    <t>MATIAS BARBOSA</t>
  </si>
  <si>
    <t>MBB</t>
  </si>
  <si>
    <t>MATOZINHOS</t>
  </si>
  <si>
    <t>MTZ</t>
  </si>
  <si>
    <t>MEDINA</t>
  </si>
  <si>
    <t>MDA</t>
  </si>
  <si>
    <t>MERCES</t>
  </si>
  <si>
    <t>MEE</t>
  </si>
  <si>
    <t>MESQUITA</t>
  </si>
  <si>
    <t>MQI</t>
  </si>
  <si>
    <t>MINAS NOVAS</t>
  </si>
  <si>
    <t>MNV</t>
  </si>
  <si>
    <t>MIRADOURO</t>
  </si>
  <si>
    <t>MDO</t>
  </si>
  <si>
    <t>MIRAI</t>
  </si>
  <si>
    <t>MII</t>
  </si>
  <si>
    <t>MONTALVANIA</t>
  </si>
  <si>
    <t>MTV</t>
  </si>
  <si>
    <t>MONTE ALEGRE DE MINAS</t>
  </si>
  <si>
    <t>MAM</t>
  </si>
  <si>
    <t>MONTE AZUL</t>
  </si>
  <si>
    <t>MZL</t>
  </si>
  <si>
    <t>MONTE BELO</t>
  </si>
  <si>
    <t>MBE</t>
  </si>
  <si>
    <t>MONTE CARMELO</t>
  </si>
  <si>
    <t>MOO</t>
  </si>
  <si>
    <t>MONTE SANTO DE MINAS</t>
  </si>
  <si>
    <t>MSM</t>
  </si>
  <si>
    <t>MONTE SIAO</t>
  </si>
  <si>
    <t>MSI</t>
  </si>
  <si>
    <t>MONTES CLAROS</t>
  </si>
  <si>
    <t>MCL</t>
  </si>
  <si>
    <t>MORADA NOVA DE MINAS</t>
  </si>
  <si>
    <t>MNM</t>
  </si>
  <si>
    <t>MURIAE</t>
  </si>
  <si>
    <t>MRE</t>
  </si>
  <si>
    <t>MUTUM</t>
  </si>
  <si>
    <t>MTM</t>
  </si>
  <si>
    <t>MUZAMBINHO</t>
  </si>
  <si>
    <t>MUZ</t>
  </si>
  <si>
    <t>NANUQUE</t>
  </si>
  <si>
    <t>NNE</t>
  </si>
  <si>
    <t>NATERCIA</t>
  </si>
  <si>
    <t>NAR</t>
  </si>
  <si>
    <t>NEPOMUCENO</t>
  </si>
  <si>
    <t>NPO</t>
  </si>
  <si>
    <t>NOVA ERA</t>
  </si>
  <si>
    <t>NER</t>
  </si>
  <si>
    <t>NOVA LIMA</t>
  </si>
  <si>
    <t>NLA</t>
  </si>
  <si>
    <t>NOVA PONTE</t>
  </si>
  <si>
    <t>NVN</t>
  </si>
  <si>
    <t>NOVA RESENDE</t>
  </si>
  <si>
    <t>NES</t>
  </si>
  <si>
    <t>NOVA SERRANA</t>
  </si>
  <si>
    <t>NVS</t>
  </si>
  <si>
    <t>NOVO CRUZEIRO</t>
  </si>
  <si>
    <t>NZO</t>
  </si>
  <si>
    <t>OLIVEIRA</t>
  </si>
  <si>
    <t>OLV</t>
  </si>
  <si>
    <t>OURO BRANCO</t>
  </si>
  <si>
    <t>OUO</t>
  </si>
  <si>
    <t>OURO FINO</t>
  </si>
  <si>
    <t>OUF</t>
  </si>
  <si>
    <t>OURO PRETO</t>
  </si>
  <si>
    <t>ORP</t>
  </si>
  <si>
    <t>PALMA</t>
  </si>
  <si>
    <t>PAL</t>
  </si>
  <si>
    <t>PARA DE MINAS</t>
  </si>
  <si>
    <t>PRS</t>
  </si>
  <si>
    <t>PARACATU</t>
  </si>
  <si>
    <t>PTU</t>
  </si>
  <si>
    <t>PARAGUACU</t>
  </si>
  <si>
    <t>PGC</t>
  </si>
  <si>
    <t>PARAISOPOLIS</t>
  </si>
  <si>
    <t>PSP</t>
  </si>
  <si>
    <t>PARAOPEBA</t>
  </si>
  <si>
    <t>PEB</t>
  </si>
  <si>
    <t>PASSA QUATRO</t>
  </si>
  <si>
    <t>PQO</t>
  </si>
  <si>
    <t>PASSA TEMPO</t>
  </si>
  <si>
    <t>PST</t>
  </si>
  <si>
    <t>PASSOS</t>
  </si>
  <si>
    <t>PSS</t>
  </si>
  <si>
    <t>PATOS DE MINAS</t>
  </si>
  <si>
    <t>PMS</t>
  </si>
  <si>
    <t>PATROCINIO</t>
  </si>
  <si>
    <t>PTC</t>
  </si>
  <si>
    <t>PECANHA</t>
  </si>
  <si>
    <t>PNH</t>
  </si>
  <si>
    <t>PEDRA AZUL</t>
  </si>
  <si>
    <t>PZL</t>
  </si>
  <si>
    <t>PEDRALVA</t>
  </si>
  <si>
    <t>PDV</t>
  </si>
  <si>
    <t>PEDRO LEOPOLDO</t>
  </si>
  <si>
    <t>PLO</t>
  </si>
  <si>
    <t>PERDIZES</t>
  </si>
  <si>
    <t>PEZ</t>
  </si>
  <si>
    <t>PERDOES</t>
  </si>
  <si>
    <t>PDS</t>
  </si>
  <si>
    <t>PIRANGA</t>
  </si>
  <si>
    <t>PRG</t>
  </si>
  <si>
    <t>PIRAPETINGA</t>
  </si>
  <si>
    <t>PPN</t>
  </si>
  <si>
    <t>PIRAPORA</t>
  </si>
  <si>
    <t>PRR</t>
  </si>
  <si>
    <t>PITANGUI</t>
  </si>
  <si>
    <t>PTI</t>
  </si>
  <si>
    <t>PIUMHI</t>
  </si>
  <si>
    <t>PIU</t>
  </si>
  <si>
    <t>POCO FUNDO</t>
  </si>
  <si>
    <t>POF</t>
  </si>
  <si>
    <t>POCOS DE CALDAS</t>
  </si>
  <si>
    <t>PCS</t>
  </si>
  <si>
    <t>POMPEU</t>
  </si>
  <si>
    <t>PPE</t>
  </si>
  <si>
    <t>PONTE NOVA</t>
  </si>
  <si>
    <t>PNV</t>
  </si>
  <si>
    <t>PORTEIRINHA</t>
  </si>
  <si>
    <t>PTH</t>
  </si>
  <si>
    <t>POUSO ALEGRE</t>
  </si>
  <si>
    <t>PSO</t>
  </si>
  <si>
    <t>PRADOS</t>
  </si>
  <si>
    <t>PAD</t>
  </si>
  <si>
    <t>PRATA</t>
  </si>
  <si>
    <t>PRT</t>
  </si>
  <si>
    <t>PRATAPOLIS</t>
  </si>
  <si>
    <t>PRO</t>
  </si>
  <si>
    <t>PRESIDENTE OLEGARIO</t>
  </si>
  <si>
    <t>PEE</t>
  </si>
  <si>
    <t>RAUL SOARES</t>
  </si>
  <si>
    <t>RSS</t>
  </si>
  <si>
    <t>RESENDE COSTA</t>
  </si>
  <si>
    <t>RED</t>
  </si>
  <si>
    <t>RESPLENDOR</t>
  </si>
  <si>
    <t>RSP</t>
  </si>
  <si>
    <t>RIBEIRAO DAS NEVES</t>
  </si>
  <si>
    <t>RNS</t>
  </si>
  <si>
    <t>RIO CASCA</t>
  </si>
  <si>
    <t>RCS</t>
  </si>
  <si>
    <t>RIO NOVO</t>
  </si>
  <si>
    <t>RNV</t>
  </si>
  <si>
    <t>RIO PARANAIBA</t>
  </si>
  <si>
    <t>RPA</t>
  </si>
  <si>
    <t>RIO PARDO DE MINAS</t>
  </si>
  <si>
    <t>RDS</t>
  </si>
  <si>
    <t>RIO PIRACICABA</t>
  </si>
  <si>
    <t>RPC</t>
  </si>
  <si>
    <t>RIO POMBA</t>
  </si>
  <si>
    <t>RPB</t>
  </si>
  <si>
    <t>RIO PRETO</t>
  </si>
  <si>
    <t>RRE</t>
  </si>
  <si>
    <t>RIO VERMELHO</t>
  </si>
  <si>
    <t>RIV</t>
  </si>
  <si>
    <t>SABARA</t>
  </si>
  <si>
    <t>SBA</t>
  </si>
  <si>
    <t>SABINOPOLIS</t>
  </si>
  <si>
    <t>SNS</t>
  </si>
  <si>
    <t>SACRAMENTO</t>
  </si>
  <si>
    <t>SQN</t>
  </si>
  <si>
    <t>SALINAS</t>
  </si>
  <si>
    <t>SLN</t>
  </si>
  <si>
    <t>SANTA BARBARA</t>
  </si>
  <si>
    <t>SBB</t>
  </si>
  <si>
    <t>SANTA LUZIA</t>
  </si>
  <si>
    <t>SLU</t>
  </si>
  <si>
    <t>SANTA MARIA DO SUACUI</t>
  </si>
  <si>
    <t>SUI</t>
  </si>
  <si>
    <t>SANTA RITA DE CALDAS</t>
  </si>
  <si>
    <t>SRT</t>
  </si>
  <si>
    <t>SANTA RITA DO SAPUCAI</t>
  </si>
  <si>
    <t>SRS</t>
  </si>
  <si>
    <t>SANTA VITORIA</t>
  </si>
  <si>
    <t>STV</t>
  </si>
  <si>
    <t>SANTO ANTONIO DO MONTE</t>
  </si>
  <si>
    <t>SDT</t>
  </si>
  <si>
    <t>SANTOS DUMONT</t>
  </si>
  <si>
    <t>SND</t>
  </si>
  <si>
    <t>SAO DOMINGOS DO PRATA</t>
  </si>
  <si>
    <t>SDG</t>
  </si>
  <si>
    <t>SAO FRANCISCO</t>
  </si>
  <si>
    <t>SFI</t>
  </si>
  <si>
    <t>SAO GONCALO DO SAPUCAI</t>
  </si>
  <si>
    <t>SGS</t>
  </si>
  <si>
    <t>SAO GOTARDO</t>
  </si>
  <si>
    <t>SGT</t>
  </si>
  <si>
    <t>SAO JOAO DA PONTE</t>
  </si>
  <si>
    <t>SJT</t>
  </si>
  <si>
    <t>SAO JOAO DEL REI</t>
  </si>
  <si>
    <t>SOE</t>
  </si>
  <si>
    <t>SAO JOAO DO PARAISO</t>
  </si>
  <si>
    <t>SSK</t>
  </si>
  <si>
    <t>SAO JOAO EVANGELISTA</t>
  </si>
  <si>
    <t>SEG</t>
  </si>
  <si>
    <t>SAO JOAO NEPOMUCENO</t>
  </si>
  <si>
    <t>SJN</t>
  </si>
  <si>
    <t>SAO LOURENCO</t>
  </si>
  <si>
    <t>SAL</t>
  </si>
  <si>
    <t>SAO ROMAO</t>
  </si>
  <si>
    <t>SRW</t>
  </si>
  <si>
    <t>SAO ROQUE DE MINAS</t>
  </si>
  <si>
    <t>SQS</t>
  </si>
  <si>
    <t>SAO SEBASTIAO DO PARAISO</t>
  </si>
  <si>
    <t>SSP</t>
  </si>
  <si>
    <t>SENADOR FIRMINO</t>
  </si>
  <si>
    <t>SDF</t>
  </si>
  <si>
    <t>SERRO</t>
  </si>
  <si>
    <t>SER</t>
  </si>
  <si>
    <t>SETE LAGOAS</t>
  </si>
  <si>
    <t>SLA</t>
  </si>
  <si>
    <t>SILVIANOPOLIS</t>
  </si>
  <si>
    <t>SLP</t>
  </si>
  <si>
    <t>TAIOBEIRAS</t>
  </si>
  <si>
    <t>TOE</t>
  </si>
  <si>
    <t>TARUMIRIM</t>
  </si>
  <si>
    <t>TRM</t>
  </si>
  <si>
    <t>TEIXEIRAS</t>
  </si>
  <si>
    <t>TXS</t>
  </si>
  <si>
    <t>TEOFILO OTONI</t>
  </si>
  <si>
    <t>TOT</t>
  </si>
  <si>
    <t>TIMOTEO</t>
  </si>
  <si>
    <t>TTO</t>
  </si>
  <si>
    <t>TIROS</t>
  </si>
  <si>
    <t>TRZ</t>
  </si>
  <si>
    <t>TOMBOS</t>
  </si>
  <si>
    <t>TOS</t>
  </si>
  <si>
    <t>TRES CORACOES</t>
  </si>
  <si>
    <t>TCS</t>
  </si>
  <si>
    <t>TRES MARIAS</t>
  </si>
  <si>
    <t>TMS</t>
  </si>
  <si>
    <t>058</t>
  </si>
  <si>
    <t>TRES PONTAS</t>
  </si>
  <si>
    <t>TSP</t>
  </si>
  <si>
    <t>TUPACIGUARA</t>
  </si>
  <si>
    <t>TPC</t>
  </si>
  <si>
    <t>TURMALINA</t>
  </si>
  <si>
    <t>TUR</t>
  </si>
  <si>
    <t>UBA</t>
  </si>
  <si>
    <t>UBERABA</t>
  </si>
  <si>
    <t>URA</t>
  </si>
  <si>
    <t>UBERLANDIA</t>
  </si>
  <si>
    <t>ULA</t>
  </si>
  <si>
    <t>UNAI</t>
  </si>
  <si>
    <t>UNI</t>
  </si>
  <si>
    <t>VARGINHA</t>
  </si>
  <si>
    <t>VGA</t>
  </si>
  <si>
    <t>VARZEA DA PALMA</t>
  </si>
  <si>
    <t>VZP</t>
  </si>
  <si>
    <t>VAZANTE</t>
  </si>
  <si>
    <t>VZE</t>
  </si>
  <si>
    <t>VESPASIANO</t>
  </si>
  <si>
    <t>VPN</t>
  </si>
  <si>
    <t>VICOSA</t>
  </si>
  <si>
    <t>VCS</t>
  </si>
  <si>
    <t>VIRGINOPOLIS</t>
  </si>
  <si>
    <t>VGP</t>
  </si>
  <si>
    <t>VISCONDE DO RIO BRANCO</t>
  </si>
  <si>
    <t>VRB</t>
  </si>
  <si>
    <t>Valores</t>
  </si>
  <si>
    <t>DATA PUBLICAÇÃO</t>
  </si>
  <si>
    <t>Valor Inicial</t>
  </si>
  <si>
    <t>Valor Reajustado</t>
  </si>
  <si>
    <t>Qtde. funcionários</t>
  </si>
  <si>
    <t>Total</t>
  </si>
  <si>
    <t>Qtde. Geral anual</t>
  </si>
  <si>
    <t>Valor unit. Mensal</t>
  </si>
  <si>
    <t>Calça Comprida</t>
  </si>
  <si>
    <t>Camisa manga curta</t>
  </si>
  <si>
    <t>Agasalho</t>
  </si>
  <si>
    <t>Calçado</t>
  </si>
  <si>
    <t>Luvas</t>
  </si>
  <si>
    <t>Total Valor p/ ano</t>
  </si>
  <si>
    <t>Total Valor unitário mensal</t>
  </si>
  <si>
    <t>Brim, com cós de ajuste por amarração de cordão</t>
  </si>
  <si>
    <t>LIMPADOR DE VIDROS - 220 H</t>
  </si>
  <si>
    <t>Malha - PV</t>
  </si>
  <si>
    <t>Moletom aberto</t>
  </si>
  <si>
    <t>Valor p/ ano</t>
  </si>
  <si>
    <t>Valor unitário mensal</t>
  </si>
  <si>
    <t>Total Geral</t>
  </si>
  <si>
    <t>ORDEM</t>
  </si>
  <si>
    <t>QUANT. ITEM</t>
  </si>
  <si>
    <t>CARGA HORÁRIA INICIAL</t>
  </si>
  <si>
    <t>DESCRIÇÃO</t>
  </si>
  <si>
    <t>PERIODICIDADE DE FORNECIMENTO</t>
  </si>
  <si>
    <t>TA / APOST</t>
  </si>
  <si>
    <t>PREÇO INICIAL -  (R$)</t>
  </si>
  <si>
    <t>PREÇO TOTAL -  (R$)</t>
  </si>
  <si>
    <t>PREÇO UNIDADE -  (R$)</t>
  </si>
  <si>
    <t>VALOR  - DEPRECIAÇÃO MENSAL - UNIDADE (R$)</t>
  </si>
  <si>
    <t>VALOR DEPRECIAÇÃO MENSAL - TOTAL (R$)</t>
  </si>
  <si>
    <t xml:space="preserve">VALOR  - DEPRECIAÇÃO ANUAL - TOTAL (R$) </t>
  </si>
  <si>
    <t>VALOR UNITÁRIO P/ HORA (R$)</t>
  </si>
  <si>
    <t>Equipamento</t>
  </si>
  <si>
    <t>Dispensador de papel-toalha/Porta papel-toalha - tipo: de parede; apresentação do papel: rolo 200 metros; matéria-prima: plástico abs; com mecanismo para liberar o papel em tamanhos pré-determinados, sem alavancas ou botões ou outro modelo compatível com o insumo fornecido.  </t>
  </si>
  <si>
    <t>Porta-papel higiênico - matéria-prima: polipropileno; tipo: cilíndrico; medidas: 266 x 277,1 x 120 mm ou outro modelo compatível com o insumo fornecido. </t>
  </si>
  <si>
    <t>Produto</t>
  </si>
  <si>
    <t>MENSAL</t>
  </si>
  <si>
    <t>Desinfetante concentrado neutro, frasco com 5 litros, ação germicida e bactericida, concentrado, biodegradável, neutro, para limpeza pesada; princípio ativo: cloreto de benzalcônico, mínimo de 0,28%; marca Búfalo ou similar.</t>
  </si>
  <si>
    <t>Flanela: pedaço medindo aproximadamente 30 x 50cm, 100% algodão, em cores diversas.</t>
  </si>
  <si>
    <t>Pano de chão alvejado 18 batidas medindo aproximadamente 48 x 72 cm, 100% algodão.</t>
  </si>
  <si>
    <t>Material</t>
  </si>
  <si>
    <t>ANUAL (SOB DEMANDA) </t>
  </si>
  <si>
    <t>Desentupidor de pia em borracha macia, com cabo plástico de polietileno, tamanho pequeno.</t>
  </si>
  <si>
    <t>Borrifador em plástico, capacidade de 500 ml.</t>
  </si>
  <si>
    <t>Escova para limpeza de parede e carpete.</t>
  </si>
  <si>
    <t>Pá de lixo em lata, com cabo de madeira com 80 cm de comprimento.</t>
  </si>
  <si>
    <t>Rodo com borracha dupla medindo 60 cm, com cabo de madeira com 1,20 m de comprimento.</t>
  </si>
  <si>
    <t>Rodo com borracha dupla medindo 40 cm, com cabo de madeira com 1,20 m de comprimento.</t>
  </si>
  <si>
    <t>Vasculho, com cerdas de sisal, com cabo em torno de 2,00m de comprimento.</t>
  </si>
  <si>
    <t>Vassoura de pelo de 60 cm, com cerdas tipo crina de animal, com cabo de madeira de 1,20 m.</t>
  </si>
  <si>
    <t>Vassoura com cerdas de piaçava, com base de madeira revestida em lata, de 40 cm de comprimento, com cabo de madeira com 1,20 m de comprimento.</t>
  </si>
  <si>
    <t>Escova para limpeza - cerdas: nylon; utilidade: limpeza de vaso sanitário; apresentação: com corpo, cabo e estojo em plástico.</t>
  </si>
  <si>
    <t xml:space="preserve">APENSO XI - Quantitativo estimado e preços de Máquinas e Equipamentos – Depreciação Mensal 
3) Equipamentos utilizados no serviço de limpeza de vidros </t>
  </si>
  <si>
    <t>QUANT. POSTOS</t>
  </si>
  <si>
    <t>UNIDADE</t>
  </si>
  <si>
    <t>VALOR UNITÁRIO P/ POSTO (R$)</t>
  </si>
  <si>
    <t>SINDICATOS</t>
  </si>
  <si>
    <t>ABRANGÊNCIA</t>
  </si>
  <si>
    <t>COMARCAS PAF</t>
  </si>
  <si>
    <t>FUNÇÕES</t>
  </si>
  <si>
    <t>COMARCAS CONTRATO</t>
  </si>
  <si>
    <t>VA</t>
  </si>
  <si>
    <t>Cesta Básica</t>
  </si>
  <si>
    <t>PAF</t>
  </si>
  <si>
    <t>PQM</t>
  </si>
  <si>
    <t>PAT</t>
  </si>
  <si>
    <t>ANO DA CCT</t>
  </si>
  <si>
    <t>Nº DE PEDIDO DA CCT</t>
  </si>
  <si>
    <t>TERMO ADITIVO  ALTERAÇÃO DA CCT</t>
  </si>
  <si>
    <t>Alto Paranaiba</t>
  </si>
  <si>
    <t>Abadia dos Dourados/MG, Água Comprida/MG, Araguari/MG, Araporã/MG, Cachoeira Dourada/MG, Campina Verde/MG, Campo Florido/MG, Campos Altos/MG, Canápolis/MG, Capinópolis/MG, Carmo do Paranaíba/MG,Carneirinho/MG, Cascalho Rico/MG, Centralina/MG, Conquista/MG, Coromandel/MG, Cruzeiro daFortaleza/MG, Delfinópolis/MG, Douradoquara/MG, Estrela do Sul/MG, Grupiara/MG, Guarda-Mor/MG,Guimarânia/MG, Gurinhatã/MG, Ibiá/MG, Indianópolis/MG, Ipiaçu/MG, Iraí de Minas/MG, Itapagipe/MG,Ituiutaba/MG, Iturama/MG, Lagoa Formosa/MG, Limeira do Oeste/MG, Matutina/MG, Medeiros/MG, Monte Alegre de Minas/MG, Monte Carmelo/MG, Nova Ponte/MG, Pedrinópolis/MG, Perdizes/MG, Pirajuba/MG,Prata/MG, Pratinha/MG, Presidente Olegário/MG, Rio Paranaíba/MG, Romaria/MG, Santa Juliana/MG,Santa Rosa da Serra/MG, Santa Vitória/MG, São Francisco de Sales/MG, São Gotardo/MG, São JoãoBatista do Glória/MG, Tapiraí/MG, Tiros/MG e Tupaciguara/MG</t>
  </si>
  <si>
    <t>Araxá/MG</t>
  </si>
  <si>
    <t>Além Paraíba/MG, Astolfo Dutra/MG,Cataguases/MG, Leopoldina/MG, Muriaé/MG, Santana de Cataguases/MG, Ubá/MG e Visconde do Rio Branco/MG</t>
  </si>
  <si>
    <t>Caxambu/MG</t>
  </si>
  <si>
    <t>Abaeté/MG, Alvorada de Minas/MG,Araçaí/MG, Augusto de Lima/MG, Biquinhas/MG, Buenópolis/MG, Conceição do Mato Dentro/MG,Congonhas do Norte/MG, Cordisburgo/MG, Corinto/MG, Curvelo/MG, Datas/MG, Diamantina/MG,Felixlândia/MG, Gouveia/MG, Inimutaba/MG, Joaquim Felício/MG, Lassance/MG, Monjolos/MG,Morada Nova de Minas/MG, Morro da Garça/MG, Paineiras/MG, Pompéu/MG, Presidente Juscelino/MG, Presidente Kubitschek/MG, Santo Hipólito/MG, São Gonçalo do Abaeté/MG, Serro/MG e Três Marias/MG</t>
  </si>
  <si>
    <t>ABAÉTE, CONCEIÇÃO DO MATO DENTRO, CURVELO, DIAMANTINA, SERRO e TRÊS MARIAS.</t>
  </si>
  <si>
    <t>Divinópolis/MG</t>
  </si>
  <si>
    <t>Fethemg Interior</t>
  </si>
  <si>
    <t>Abre Campo/MG, Água Boa/MG,Águas Vermelhas/MG, Aimorés/MG, Alfredo Vasconcelos/MG, Alpercata/MG, Alto Caparaó/MG, Alto Jequitibá/MG, Alvarenga/MG, Angelândia/MG, Araçuaí/MG, Araponga/MG, Arapuá/MG, Aricanduva/MG,Arinos/MG, Bandeira/MG, Berilo/MG, Berizal/MG, Bertópolis/MG, Bom Despacho/MG, Bom Jesus do Galho/MG, Bom Repouso/MG, Bonfinópolis de Minas/MG, Bonito de Minas/MG, Borda da Mata/MG,Brasilândia de Minas/MG, Brazópolis/MG, Bueno Brandão/MG, Bugre/MG, Buritis/MG, Cabeceira Grande/MG,Cachoeira de Minas/MG, Cachoeira de Pajeú/MG, Camanducaia/MG, Cambuí/MG, Campo Azul/MG,Cantagalo/MG, Capela Nova/MG, Capetinga/MG, Capitão Andrade/MG, Caputira/MG, Caraí/MG, Caranaíba/MG,Carandaí/MG, Carbonita/MG, Carmésia/MG, Carmópolis de Minas/MG, Carvalhópolis/MG, Casa Grande/MG,Cássia/MG, Catas Altas/MG, Catuti/MG, Cedro do Abaeté/MG, Central de Minas/MG, Chapada do Norte/MG,Chapada Gaúcha/MG, Cipotânea/MG, Claraval/MG, Cláudio/MG, Coluna/MG, Comercinho/MG, Conceição da Barra de Minas/MG, Conceição de Ipanema/MG, Cônego Marinho/MG, Conselheiro Pena/MG, Consolação/MG,Coroaci/MG, Coronel Murta/MG, Córrego do Bom Jesus/MG, Córrego Novo/MG, Couto de Magalhães de Minas/MG, Crisólita/MG, Cuparaque/MG, Curral de Dentro/MG, Delta/MG, Desterro de Entre Rios/MG,Dionísio/MG, Divino das Laranjeiras/MG, Divinolândia de Minas/MG, Divisa Alegre/MG, Divisópolis/MG, Dom Bosco/MG, Dom Joaquim/MG, Dom Silvério/MG, Dores de Guanhães/MG, Durandé/MG, Entre Folhas/MG,Felício dos Santos/MG, Felisburgo/MG, Fernandes Tourinho/MG, Fervedouro/MG, Formoso/MG, Fortaleza de Minas/MG, Francisco Badaró/MG, Franciscópolis/MG, Frei Lagonegro/MG, Fronteira dos Vales/MG, Fruta de Leite/MG, Galiléia/MG, Glaucilândia/MG, Goiabeira/MG, Goianá/MG, Gonçalves/MG, Gonzaga/MG,Guaraciama/MG, Guaxupé/MG, Ibiracatu/MG, Ibiraci/MG, Icaraí de Minas/MG, Ijaci/MG, Imbé de Minas/MG,Indaiabira/MG, Ipanema/MG, Itabirinha/MG, Itabirito/MG, Itaguara/MG, Itaipé/MG, Itamarandiba/MG,Itanhomi/MG, Itapeva/MG, Itatiaiuçu/MG, Itaúna/MG, Itueta/MG, Jaboticatubas/MG, Jacinto/MG, Japonvar/MG,Jenipapo de Minas/MG, Jequeri/MG, João Pinheiro/MG, Jordânia/MG, José Gonçalves de Minas/MG, José Raydan/MG, Josenópolis/MG, Juvenília/MG, Lagamar/MG, Lagoa Grande/MG, Lamim/MG, Leme do Prado/MG,Luisburgo/MG, Luislândia/MG, Machacalis/MG, Mantena/MG, Marilac/MG, Martins Soares/MG, Mata Verde/MG,Materlândia/MG, Mathias Lobato/MG, Matipó/MG, Mendes Pimentel/MG, Minas Novas/MG, Miravânia/MG,Monte Formoso/MG, Monte Sião/MG, Montezuma/MG, Morro do Pilar/MG, Munhoz/MG, Mutum/MG,Muzambinho/MG, Nacip Raydan/MG, Naque/MG, Natalândia/MG, Ninheira/MG, Nova Belém/MG, Nova Porteirinha/MG, Nova União/MG, Novo Oriente de Minas/MG, Novorizonte/MG, Olhos-d'Água/MG,Oratórios/MG, Orizânia/MG, Padre Carvalho/MG, Pai Pedro/MG, Palmópolis/MG, Pará de Minas/MG,Paracatu/MG, Patis/MG, Patrocínio do Muriaé/MG, Paulistas/MG, Peçanha/MG, Pedra Bonita/MG,Periquito/MG, Pescador/MG, Piedade de Caratinga/MG, Piedade de Ponte Nova/MG, Pingo d'Água/MG,Pintópolis/MG, Pocrane/MG, Ponto Chique/MG, Ponto dos Volantes/MG, Quartel Geral/MG, Queluzito/MG,Reduto/MG, Resende Costa/MG, Resplendor/MG, Ressaquinha/MG, Riachinho/MG, Rio do Prado/MG, Rio Doce/MG, Rio Espera/MG, Rio Preto/MG, Rio Vermelho/MG, Rosário da Limeira/MG, Rubim/MG,Sabinópolis/MG, Salto da Divisa/MG, Santa Bárbara do Leste/MG, Santa Bárbara do Monte Verde/MG, Santa Cruz de Minas/MG, Santa Cruz de Salinas/MG, Santa Cruz do Escalvado/MG, Santa Efigênia de Minas/MG,Santa Fé de Minas/MG, Santa Helena de Minas/MG, Santa Margarida/MG, Santa Maria do Salto/MG, Santa Maria do Suaçuí/MG, Santa Rita de Minas/MG, Santa Rita do Itueto/MG, Santana do Riacho/MG, Santana dosMontes/MG, Santo Antônio do Grama/MG, Santo Antônio do Itambé/MG, Santo Antônio do Jacinto/MG, Santo Antônio do Retiro/MG, Santo Antônio do Rio Abaixo/MG, São Brás do Suaçuí/MG, São Domingos das Dores/MG, São Félix de Minas/MG, São Geraldo da Piedade/MG, São Geraldo do Baixio/MG, São Gonçalo do Rio Preto/MG, São João da Lagoa/MG, São João das Missões/MG, São João do Manhuaçu/MG, São João do Manteninha/MG, São João do Pacuí/MG, São João Evangelista/MG, São José da Barra/MG, São José da Safira/MG, São José do Goiabal/MG, São José do Jacuri/MG, São Pedro do Suaçuí/MG, São Roque de Minas/MG, São Sebastião da Vargem Alegre/MG, São Sebastião do Anta/MG, São Sebastião do Maranhão/MG,São Sebastião do Rio Preto/MG, Sardoá/MG, Sem-Peixe/MG, Senador Amaral/MG, Senador Modestino Gonçalves/MG, Senhora de Oliveira/MG, Senhora do Porto/MG, Senhora dos Remédios/MG, Sericita/MG,Serra Azul de Minas/MG, Serra da Saudade/MG, Serra do Salitre/MG, Serra dos Aimorés/MG, Serranópolis de Minas/MG, Setubinha/MG, Sobrália/MG, Taparuba/MG, Toledo/MG, Tumiritinga/MG, Turmalina/MG,Umburatiba/MG, Unaí/MG, União de Minas/MG, Uruana de Minas/MG, Urucuia/MG, Vargem Alegre/MG, Vargem Bonita/MG, Vargem Grande do Rio Pardo/MG, Varjão de Minas/MG, Vazante/MG, Verdelândia/MG,Veredinha/MG, Vermelho Novo/MG, Virginópolis/MG e Virgolândia/MG</t>
  </si>
  <si>
    <t>Fethemg RM</t>
  </si>
  <si>
    <t>Caeté/MG, Confins/MG, Esmeraldas/MG, Florestal/MG, Igarapé/MG, Mário Campos/MG, Pedro Leopoldo/MG, Raposos/MG, São Joaquim de Bicas/MG, São José da Lapa/MG e Sarzedo/MG</t>
  </si>
  <si>
    <t>Gov. Valadares</t>
  </si>
  <si>
    <t>Governador Valadares/MG</t>
  </si>
  <si>
    <t>Itabira/MG</t>
  </si>
  <si>
    <t>João Monlevade/MG</t>
  </si>
  <si>
    <t>Juiz de Fora/MG</t>
  </si>
  <si>
    <t>Montes Claros/MG</t>
  </si>
  <si>
    <t>Regiao de Divinopolis</t>
  </si>
  <si>
    <t>Araújos/MG, Arcos/MG, Bambuí/MG, Bonfim/MG,Camacho/MG, Carmo da Mata/MG, Carmo do Cajuru/MG, Conceição do Pará/MG, Córrego Danta/MG,Córrego Fundo/MG, Crucilândia/MG, Dores do Indaiá/MG, Doresópolis/MG, Estrela do Indaiá/MG,Igaratinga/MG, Iguatama/MG, Itapecerica/MG, Japaraíba/MG, Lagoa da Prata/MG, Leandro Ferreira/MG, Luz/MG, Martinho Campos/MG, Moema/MG, Nova Serrana/MG, Oliveira/MG, Onça de Pitangui/MG, Pains/MG, Passa Tempo/MG, Pedra do Indaiá/MG, Perdigão/MG, Piedade dos Gerais/MG, Piracema/MG, Pitangui/MG, Santo Antônio do Monte/MG, São Francisco de Paula/MG,São Gonçalo do Pará/MG, São José da Varginha/MG, São Sebastião do Oeste/MG e São Tiago/MG</t>
  </si>
  <si>
    <t>ARCOS/MG, LAGOA DA PRATA/MG, NOVA SERRANA/MG, OLIVEIRA/MG e SANTO ANTÔNIO DO MONTE/MG.</t>
  </si>
  <si>
    <t>Regiao de Itabira</t>
  </si>
  <si>
    <t>Bom Jesus do Amparo/MG,Ferros/MG, Itambé do Mato Dentro/MG, Passabém/MG, Santa Maria de Itabira/MG e Taquaraçu de Minas/MG</t>
  </si>
  <si>
    <t>Regiao de Joao Monlevade</t>
  </si>
  <si>
    <t>Alvinópolis/MG, Barão de Cocais/MG, Bela Vista de Minas/MG, Nova Era/MG,Rio Piracicaba/MG, Santa Bárbara/MG, São Domingos do Prata/MG e São Gonçalo do Rio Abaixo/MG</t>
  </si>
  <si>
    <t>BARÃO DE COCAIS/MG, NOVA ERA/MG, RIO PIRACICABA/MG, SANTA BÁRBARA/MG e SÃO GONÇALO DO RIO ABAIXO/MG</t>
  </si>
  <si>
    <t>Regiao de Juiz de Fora</t>
  </si>
  <si>
    <r>
      <t xml:space="preserve">Alto Rio Doce/MG, Antônio Carlos/MG, Antônio Prado de Minas/MG, Aracitaba/MG,Arantina/MG, Argirita/MG, Barão de Monte Alto/MG, Barbacena/MG, Barroso/MG, Belmiro Braga/MG,Bias Fortes/MG, Bicas/MG, Bom Jardim de Minas/MG, Brás Pires/MG, Caiana/MG, Caparaó/MG,Carangola/MG, Chácara/MG, Chalé/MG, Chiador/MG, Coronel Pacheco/MG, Coronel Xavier Chaves/MG, Descoberto/MG, Desterro do Melo/MG, Divinésia/MG, </t>
    </r>
    <r>
      <rPr>
        <sz val="11"/>
        <color rgb="FFFF0000"/>
        <rFont val="Aptos Narrow"/>
        <family val="2"/>
        <scheme val="minor"/>
      </rPr>
      <t>Divin/MG</t>
    </r>
    <r>
      <rPr>
        <sz val="11"/>
        <rFont val="Aptos Narrow"/>
        <family val="2"/>
        <scheme val="minor"/>
      </rPr>
      <t>, Dona Eusébia/MG,Dores de Campos/MG, Dores do Turvo/MG, Espera Feliz/MG, Estrela Dalva/MG, Eugenópolis/MG,Ewbank da Câmara/MG, Faria Lemos/MG, Guarani/MG, Guarará/MG, Guidoval/MG, Ibertioga/MG,Itamarati de Minas/MG, Lajinha/MG, Laranjal/MG, Lima Duarte/MG, Madre de Deus de Minas/MG,</t>
    </r>
    <r>
      <rPr>
        <sz val="11"/>
        <color rgb="FFFF0000"/>
        <rFont val="Aptos Narrow"/>
        <family val="2"/>
        <scheme val="minor"/>
      </rPr>
      <t>Manhuaçu</t>
    </r>
    <r>
      <rPr>
        <sz val="11"/>
        <rFont val="Aptos Narrow"/>
        <family val="2"/>
        <scheme val="minor"/>
      </rPr>
      <t>/MG, Mar de Espanha/MG, Maripá de Minas/MG, Matias Barbosa/MG, Mercês/MG,Miradouro/MG, Miraí/MG, Olaria/MG, Oliveira Fortes/MG, Paiva/MG, Palma/MG, Pedra Dourada/MG,Pedro Teixeira/MG, Pequeri/MG, Piau/MG, Piedade do Rio Grande/MG, Pirapetinga/MG, Piraúba/MG,</t>
    </r>
    <r>
      <rPr>
        <sz val="11"/>
        <color rgb="FFFF0000"/>
        <rFont val="Aptos Narrow"/>
        <family val="2"/>
        <scheme val="minor"/>
      </rPr>
      <t>Prados</t>
    </r>
    <r>
      <rPr>
        <sz val="11"/>
        <rFont val="Aptos Narrow"/>
        <family val="2"/>
        <scheme val="minor"/>
      </rPr>
      <t>/MG, Presidente Bernardes/MG, Recreio/MG, Rio Novo/MG, Rio Pomba/MG, Ritápolis/MG,Rochedo de Minas/MG, Rodeiro/MG, Santa Bárbara do Tugúrio/MG, Santa Rita de Ibitipoca/MG, Santa Rita de Jacutinga/MG, Santana do Deserto/MG, Santana do Garambéu/MG, Santana do Manhuaçu/MG, Santo Antônio do Aventureiro/MG, Santos Dumont/MG, São Francisco do Glória/MG,São Geraldo/MG, São João del Rei/MG, São João Nepomuceno/MG, São José do Mantimento/MG,Senador Cortes/MG, Senador Firmino/MG, Silveirânia/MG, Simão Pereira/MG, Simonésia/MG,Tabuleiro/MG, Tiradentes/MG, Tocantins/MG, Tombos/MG, Vieiras/MG e Volta Grande/MG</t>
    </r>
  </si>
  <si>
    <t>Regiao de Ouro Preto</t>
  </si>
  <si>
    <r>
      <t xml:space="preserve">Acaiaca/MG, Barra Longa/MG, Belo Vale/MG, Catas Altas da Noruega/MG, Congonhas/MG, Conselheiro Lafaiete/MG,Cristiano Otoni/MG, Diogo de Vasconcelos/MG, Entre Rios de Minas/MG, Itaverava/MG, Jeceaba/MG,Lagoa Dourada/MG, </t>
    </r>
    <r>
      <rPr>
        <sz val="11"/>
        <color rgb="FFFF0000"/>
        <rFont val="Aptos Narrow"/>
        <family val="2"/>
        <scheme val="minor"/>
      </rPr>
      <t>Manhuaç/MG</t>
    </r>
    <r>
      <rPr>
        <sz val="11"/>
        <rFont val="Aptos Narrow"/>
        <family val="2"/>
        <scheme val="minor"/>
      </rPr>
      <t xml:space="preserve">, Manhumirim/MG, Mariana/MG, Moeda/MG, Ouro Branco/MG, Ouro Preto/MG, Piranga/MG, Ponte Nova/MG, Porto Firme/MG, </t>
    </r>
    <r>
      <rPr>
        <sz val="11"/>
        <color rgb="FFFF0000"/>
        <rFont val="Aptos Narrow"/>
        <family val="2"/>
        <scheme val="minor"/>
      </rPr>
      <t>Prad</t>
    </r>
    <r>
      <rPr>
        <sz val="11"/>
        <rFont val="Aptos Narrow"/>
        <family val="2"/>
        <scheme val="minor"/>
      </rPr>
      <t>/MG, Rio Casca/MG e Urucânia/MG</t>
    </r>
  </si>
  <si>
    <t>CONGONHAS/MG, MARIANA/MG, OURO BRANCO/MG, OURO PRETO/MG e PORTO FIRME/MG</t>
  </si>
  <si>
    <t>Regiao de Sao Lourenco</t>
  </si>
  <si>
    <t>Aguanil/MG, Aiuruoca/MG, Alagoa/MG, Albertina/MG, Alfenas/MG,Alpinópolis/MG, Alterosa/MG, Andradas/MG, Andrelândia/MG, Arceburgo/MG, Areado/MG,Baependi/MG, Bandeira do Sul/MG, Boa Esperança/MG, Bocaina de Minas/MG, Bom Jesus daPenha/MG, Bom Sucesso/MG, Botelhos/MG, Cabo Verde/MG, Caldas/MG, Cambuquira/MG,Campanha/MG, Campestre/MG, Campo Belo/MG, Campo do Meio/MG, Campos Gerais/MG, Cana Verde/MG, Candeias/MG, Capitólio/MG, Careaçu/MG, Carmo da Cachoeira/MG, Carmo de Minas/MG,Carmo do Rio Claro/MG, Carrancas/MG, Carvalhos/MG, Conceição da Aparecida/MG, Conceição dasPedras/MG, Conceição do Rio Verde/MG, Conceição dos Ouros/MG, Congonhal/MG, Coqueiral/MG,Cordislândia/MG, Cristais/MG, Cristina/MG, Cruzília/MG, Delfim Moreira/MG, Divisa Nova/MG, Dom Viçoso/MG, Elói Mendes/MG, Espírito Santo do Dourado/MG, Estiva/MG, Extrema/MG, Fama/MG,Formiga/MG, Guapé/MG, Guaranésia/MG, Heliodora/MG, Ibitiúra de Minas/MG, Ibituruna/MG,Ilicínea/MG, Inconfidentes/MG, Ingaí/MG, Ipuiúna/MG, Itajubá/MG, Itamogi/MG, Itamonte/MG,Itanhandu/MG, Itaú de Minas/MG, Itumirim/MG, Itutinga/MG, Jacuí/MG, Jacutinga/MG, Jesuânia/MG,Juruaia/MG, Lambari/MG, Lavras/MG, Liberdade/MG, Luminárias/MG, Machado/MG, Maria da Fé/MG,Marmelópolis/MG, Minduri/MG, Monsenhor Paulo/MG, Monte Belo/MG, Monte Santo de Minas/MG,Natércia/MG, Nazareno/MG, Nepomuceno/MG, Nova Resende/MG, Olímpio Noronha/MG, Ouro Fino/MG,Paraguaçu/MG, Paraisópolis/MG, Passa Quatro/MG, Passa Vinte/MG, Passos/MG, Pedralva/MG,Perdões/MG, Pimenta/MG, Piranguçu/MG, Piranguinho/MG, Piumhi/MG, Poço Fundo/MG, Pouso Alegre/MG, Pouso Alto/MG, Pratápolis/MG, Ribeirão Vermelho/MG, Santa Rita de Caldas/MG, Santa Rita do Sapucaí/MG, Santana da Vargem/MG, Santana do Jacaré/MG, Santo Antônio do Amparo/MG, São Bento Abade/MG, São Gonçalo do Sapucaí/MG, São João da Mata/MG, São José do Alegre/MG, São Pedro da União/MG, São Sebastião da Bela Vista/MG, São Sebastião do Paraíso/MG, São Sebastião do Rio Verde/MG, São Thomé das Letras/MG, São Tomás de Aquino/MG, São Vicente de Minas/MG, Sapucaí-Mirim/MG, Senador José Bento/MG, Seritinga/MG, Serrania/MG, Serranos/MG, Silvianópolis/MG, Soledade de Minas/MG, Tocos do Moji/MG, Três Corações/MG, Três Pontas/MG,Turvolândia/MG, Varginha/MG, Virgínia/MG e Wenceslau Braz/MG</t>
  </si>
  <si>
    <t>ITAJUBÁ, LAVRAS, POUSO ALEGRE, VARGINHA E TRÊS CORAÇÕES</t>
  </si>
  <si>
    <t>Regiao de Teofilo Otoni</t>
  </si>
  <si>
    <t>Águas Formosas/MG,Almenara/MG, Ataléia/MG, Campanário/MG, Capelinha/MG, Carlos Chagas/MG, Catuji/MG, Frei Gaspar/MG,Frei Inocêncio/MG, Itambacuri/MG, Itaobim/MG, Itinga/MG, Jampruca/MG, Jequitinhonha/MG, Joaíma/MG,Ladainha/MG, Malacacheta/MG, Medina/MG, Nanuque/MG, Nova Módica/MG, Novo Cruzeiro/MG, Ouro Verdede Minas/MG, Padre Paraíso/MG, Pavão/MG, Pedra Azul/MG, Poté/MG, São José do Divino/MG e Virgem da Lapa/MG</t>
  </si>
  <si>
    <t>Regiao Uberaba</t>
  </si>
  <si>
    <t>Comendador Gomes/MG, Conceição das Alagoas/MG, Fronteira/MG, Frutal/MG, Patos de Minas/MG, Patrocínio/MG, Planura/MG,Sacramento/MG e Veríssimo/MG</t>
  </si>
  <si>
    <t>FRUTAL/MG,PATOS DE MINAS/MG e PATROCÍNIO/MG</t>
  </si>
  <si>
    <t>Poços de Caldas/MG</t>
  </si>
  <si>
    <t>São Lourenço/MG</t>
  </si>
  <si>
    <t>SEAC/SINDEAC</t>
  </si>
  <si>
    <t>Belo Horizonte/MG</t>
  </si>
  <si>
    <t>SECI</t>
  </si>
  <si>
    <t>Ipatinga/MG</t>
  </si>
  <si>
    <t>Seethur</t>
  </si>
  <si>
    <r>
      <t xml:space="preserve">Açucena/MG, Antônio Dias/MG, Belo Oriente/MG,Braúnas/MG, Caratinga/MG, Coronel Fabriciano/MG, </t>
    </r>
    <r>
      <rPr>
        <sz val="11"/>
        <color rgb="FFFF0000"/>
        <rFont val="Aptos Narrow"/>
        <family val="2"/>
        <scheme val="minor"/>
      </rPr>
      <t>Divino</t>
    </r>
    <r>
      <rPr>
        <sz val="11"/>
        <rFont val="Aptos Narrow"/>
        <family val="2"/>
        <scheme val="minor"/>
      </rPr>
      <t>/MG, Dom Cavati/MG, EngenheiroCaldas/MG, Guanhães/MG, Iapu/MG, Inhapim/MG, Ipaba/MG, Jaguaraçu/MG, Joanésia/MG, Marliéria/MG,Mesquita/MG, Santana do Paraíso/MG, São João do Oriente/MG, Tarumirim/MG, Timóteo/MG e Ubaporanga/MG</t>
    </r>
  </si>
  <si>
    <t>BELO ORIENTE/MG, CARATINGA/MG, CORONEL FABRICIANO/MG, INHAPIM/MG, SANTANA DO PARAÍSO/MG e TIMÓTEO/MG</t>
  </si>
  <si>
    <t>Baldim/MG, Cachoeira da Prata/MG,Caetanópolis/MG, Capim Branco/MG, Fortuna de Minas/MG, Funilândia/MG, Inhaúma/MG,Jequitibá/MG, Maravilhas/MG, Papagaios/MG, Paraopeba/MG, Pequi/MG, Prudente de Morais/MG,Santana de Pirapama/MG e Sete Lagoas/MG.</t>
  </si>
  <si>
    <t>Sethac Norte de Minas</t>
  </si>
  <si>
    <t>Bocaiúva/MG, Botumirim/MG, Brasília de Minas/MG, Buenópolis/MG, Buritizeiro/MG, CapitãoEnéas/MG, Claro dos Poções/MG, Coração de Jesus/MG, Cristália/MG, Engenheiro Navarro/MG, Espinosa/MG,Francisco Dumont/MG, Francisco Sá/MG, Grão Mogol/MG, Ibiaí/MG, Itacambira/MG, Itacarambi/MG, Jaíba/MG,Janaúba/MG, Januária/MG, Jequitaí/MG, Joaquim Felício/MG, Juramento/MG, Lagoa dos Patos/MG, Lontra/MG,Mamonas/MG, Manga/MG, Matias Cardoso/MG, Mato Verde/MG, Mirabela/MG, Montalvânia/MG, Monte Azul/MG,Pedras de Maria da Cruz/MG, Pirapora/MG, Porteirinha/MG, Riacho dos Machados/MG, Rio Pardo de Minas/MG,Rubelita/MG, Salinas/MG, São Francisco/MG, São João da Ponte/MG, São João do Paraíso/MG, São Romão/MG,Taiobeiras/MG, Ubaí/MG, Várzea da Palma/MG e Varzelândia/MG</t>
  </si>
  <si>
    <t>BOCAIÚVA/MG,JANUÁRIA/MG, PIRAPORA/MG, SALINAS/MG e JANAÚBA/MG</t>
  </si>
  <si>
    <t>SETHPC - Pocos de Caldas</t>
  </si>
  <si>
    <t>Sind - Asseio</t>
  </si>
  <si>
    <t>Betim/MG, Brumadinho/MG, Contagem/MG, Ibirité/MG,Juatuba/MG, Lagoa Santa/MG, Mateus Leme/MG, Matozinhos/MG, Nova Lima/MG, Ribeirão das Neves/MG,Rio Acima/MG, Sabará/MG e Santa Luzia/MG</t>
  </si>
  <si>
    <t>Teofilo Otoni/MG</t>
  </si>
  <si>
    <t>Uberlândia/MG</t>
  </si>
  <si>
    <t>Vespasiano/MG</t>
  </si>
  <si>
    <t>Vicosa e Regiao</t>
  </si>
  <si>
    <t>Amparo do Serra/MG, Araponga/MG, Cajuri/MG, Canaã/MG, Coimbra/MG, Ervália/MG, Guaraciaba/MG,Guiricema/MG, Paula Cândido/MG, Pedra do Anta/MG, Raul Soares/MG, São Miguel do Anta/MG, SãoPedro dos Ferros/MG, Teixeiras/MG e Viçosa/MG</t>
  </si>
  <si>
    <t>CCT DA CATEGORIA</t>
  </si>
  <si>
    <t>Adicional Periculosidade</t>
  </si>
  <si>
    <t>Adicional Insalubridade</t>
  </si>
  <si>
    <t>Adicional Noturno</t>
  </si>
  <si>
    <t>Adicional Motorista II (Gratificação)</t>
  </si>
  <si>
    <t>Adicional de Sobreaviso</t>
  </si>
  <si>
    <t>Adicional de Acúmulo de função</t>
  </si>
  <si>
    <t>13º salário (titular)</t>
  </si>
  <si>
    <t>Férias e Adicional de Férias (titular)</t>
  </si>
  <si>
    <t>Vale - Transporte</t>
  </si>
  <si>
    <t>Vale - Alimentação</t>
  </si>
  <si>
    <t>Seguro de Vida</t>
  </si>
  <si>
    <t>Despesas de Viagem</t>
  </si>
  <si>
    <t>Aviso Prévio Indenizado (API) e Reflexo do Aviso Prévio Indenizado</t>
  </si>
  <si>
    <t>Incidência do FGTS sobre API e Reflexo do API</t>
  </si>
  <si>
    <t>Multa Rescisória do FGTS sobre o Aviso Prévio Indenizado</t>
  </si>
  <si>
    <t>Aviso Prévio Trabalhado - APT</t>
  </si>
  <si>
    <t>Incidência dos encargos do submódulo 2.1 sobre Aviso Prévio Trabalhado</t>
  </si>
  <si>
    <t>Multa Rescisória do FGTS</t>
  </si>
  <si>
    <t>Indenização Adicional (Art. 9º da Lei nº 7.238/84)</t>
  </si>
  <si>
    <t>Ausência por Doença</t>
  </si>
  <si>
    <t>Ausências Legais</t>
  </si>
  <si>
    <t>Licença Paternidade</t>
  </si>
  <si>
    <t>Ausência por Acidente de Trabalho</t>
  </si>
  <si>
    <t>Férias, Adicional de Férias e 13º  com empregada em gozo de Licença Maternidade</t>
  </si>
  <si>
    <t>Incidência do Submódulo 2.1 sobre Ausências Legais</t>
  </si>
  <si>
    <t>Intervalo para Repouso ou Alimentação</t>
  </si>
  <si>
    <t>Suspensão Temporária do Contrato de Trabalho</t>
  </si>
  <si>
    <t>Uniformes e EPIs</t>
  </si>
  <si>
    <t>Materiais de Consumo</t>
  </si>
  <si>
    <t>Máquinas e Equipamentos (depreciação)</t>
  </si>
  <si>
    <t>Produtos de Limpeza e Materiais de Higiene Pessoal</t>
  </si>
  <si>
    <t>Outros (especificar)</t>
  </si>
  <si>
    <t>2.024.01</t>
  </si>
  <si>
    <t>2.024.05</t>
  </si>
  <si>
    <t>2.024.02</t>
  </si>
  <si>
    <t>2.024.03</t>
  </si>
  <si>
    <t>2.024.04</t>
  </si>
  <si>
    <t>2.313.04</t>
  </si>
  <si>
    <t>Legenda:</t>
  </si>
  <si>
    <t>CCT/2024 Homologada</t>
  </si>
  <si>
    <t>Acréscimo de vaga - 01º TA</t>
  </si>
  <si>
    <t xml:space="preserve">1ªRepactuação CCT/2024 Homologada </t>
  </si>
  <si>
    <t>Acréscimo de vaga - 02º TA</t>
  </si>
  <si>
    <t>MÓDULO 1 - COMPOSIÇÃO DA REMUNERAÇÃO</t>
  </si>
  <si>
    <t>MÓDULO 2 – ENCARGOS E BENEFÍCIOS MENSAIS E DIÁRIOS</t>
  </si>
  <si>
    <t>MÓDULO 3 – PROVISÃO PARA RESCISÃO</t>
  </si>
  <si>
    <t>MÓDULO 4 – CUSTO DE REPOSIÇÃO DO PROFISSIONAL AUSENTE</t>
  </si>
  <si>
    <t>MÓDULO 5 – INSUMOS DIVERSOS</t>
  </si>
  <si>
    <t>MÓDULO 6 – CUSTOS INDIRETOS, TRIBUTOS E LUCRO</t>
  </si>
  <si>
    <t>Submódulo 2.1 - Encargos Previdenciários, FGTS e Outras Contribuições</t>
  </si>
  <si>
    <t>Submódulo 2.2 - 13º Salário, Férias e Adicional de Férias</t>
  </si>
  <si>
    <t>Submódulo 2.3 - Benefícios Mensais e Diários</t>
  </si>
  <si>
    <t>Submódulo 4.1 - Ausências Legais</t>
  </si>
  <si>
    <t>Submódulo 4.2 - Intrajornada</t>
  </si>
  <si>
    <t>Submódulo 4.3 - Suspensão Contratual</t>
  </si>
  <si>
    <t xml:space="preserve">MODULO 1 - REMUNERAÇÃO </t>
  </si>
  <si>
    <t>Submódulo 2.1</t>
  </si>
  <si>
    <t>Incidência do Submódulo 2.1 sobre 13º Salário, Férias e Adicional de Férias</t>
  </si>
  <si>
    <t>Submódulo 2.2</t>
  </si>
  <si>
    <t>Vale - Transporte (Descontada parcela do empregado)</t>
  </si>
  <si>
    <t>Vale - Alimentação (Descontada parcela do empregado)</t>
  </si>
  <si>
    <t>Submódulo 2.3</t>
  </si>
  <si>
    <t>MÓDULO 2 - Total Encargos e Benefícios mensais e diários</t>
  </si>
  <si>
    <t>Submódulo 4.1</t>
  </si>
  <si>
    <t>Submódulo 4.2</t>
  </si>
  <si>
    <t>Submódulo 4.3</t>
  </si>
  <si>
    <t>TOTAL MÓDULOS 1+2+3+4+5</t>
  </si>
  <si>
    <t>ISS (Conversão Alíquota s/ fatura)</t>
  </si>
  <si>
    <t>Resumo de Alíquotas (PIS+CONFINS+ISS)</t>
  </si>
  <si>
    <t>PIS + COFINS + ISS (Total Conversão  Alíquota s/ Fatura)</t>
  </si>
  <si>
    <t>Valor dos Tributos (ISS, PIS, CONFINS)</t>
  </si>
  <si>
    <t>CUSTO TOTAL MENSAL</t>
  </si>
  <si>
    <t>CUSTO TOTAL ANUAL</t>
  </si>
  <si>
    <t>ANEXO VI - PLANILHA DE COMPOSIÇÃO DE CUSTOS</t>
  </si>
  <si>
    <t>(Tudo)</t>
  </si>
  <si>
    <t>Dados para composição dos custos referentes à mão-de-obra</t>
  </si>
  <si>
    <t>CARGOS</t>
  </si>
  <si>
    <t>TOTAL DE VAGAS CONTRATADAS</t>
  </si>
  <si>
    <t>MÓDULO 1
REMUNERAÇÃO</t>
  </si>
  <si>
    <t>MODULO 2
ENVARGOS E BENEFÍCIOS MENSAIS E DIÁRIOS</t>
  </si>
  <si>
    <t>MODULO 3
PROVISÃO PARA RESCISÃO</t>
  </si>
  <si>
    <t>MODULO 4
CUSTO DE REPOSIÇÃO DO PROFISSIONAL AUSENTE</t>
  </si>
  <si>
    <t>MODULO 5
INSUMOS DIVERSOS</t>
  </si>
  <si>
    <t>MODULO 6
CUSTOS INDIRETOS, TRIBUTOS E LUCRO</t>
  </si>
  <si>
    <t>CUSTO MENSAL</t>
  </si>
  <si>
    <t>A</t>
  </si>
  <si>
    <t>Localidade</t>
  </si>
  <si>
    <t>B</t>
  </si>
  <si>
    <t>Tipo de serviço</t>
  </si>
  <si>
    <t>C</t>
  </si>
  <si>
    <t>Salário Nominativo da Categoria Profissional</t>
  </si>
  <si>
    <t>D</t>
  </si>
  <si>
    <t>Categoria profissional (vinculada à execução contratual)</t>
  </si>
  <si>
    <t>E</t>
  </si>
  <si>
    <t>Data base da categoria (dia/mês/ano)</t>
  </si>
  <si>
    <t>Composição da Remuneração</t>
  </si>
  <si>
    <t>Referência</t>
  </si>
  <si>
    <t>Valor (R$)</t>
  </si>
  <si>
    <t>F</t>
  </si>
  <si>
    <t>G</t>
  </si>
  <si>
    <t>H</t>
  </si>
  <si>
    <t>Total do Módulo 1</t>
  </si>
  <si>
    <t>2.1</t>
  </si>
  <si>
    <t>Total do Submódulo 2.1</t>
  </si>
  <si>
    <t>2.2</t>
  </si>
  <si>
    <r>
      <t>13º salário</t>
    </r>
    <r>
      <rPr>
        <sz val="10"/>
        <color indexed="10"/>
        <rFont val="Arial"/>
        <family val="2"/>
      </rPr>
      <t xml:space="preserve"> </t>
    </r>
    <r>
      <rPr>
        <sz val="11"/>
        <color theme="1"/>
        <rFont val="Aptos Narrow"/>
        <family val="2"/>
        <scheme val="minor"/>
      </rPr>
      <t>(titular)</t>
    </r>
  </si>
  <si>
    <t>Subtotal</t>
  </si>
  <si>
    <t>Total do Submódulo 2.2</t>
  </si>
  <si>
    <t>2.3</t>
  </si>
  <si>
    <t>Abono Único e Especial</t>
  </si>
  <si>
    <t>Total do Submódulo 2.3</t>
  </si>
  <si>
    <t>2.4</t>
  </si>
  <si>
    <t>Quadro Resumo do Módulo 2 - Encargos e Benefícios Mensais e Diários</t>
  </si>
  <si>
    <t>Encargos Previdenciários, FGTS e Outras Contribuições</t>
  </si>
  <si>
    <t>13º Salário, Férias e Adicional de Férias</t>
  </si>
  <si>
    <t>Benefícios Mensais e Diários</t>
  </si>
  <si>
    <t>Total do Módulo 2</t>
  </si>
  <si>
    <t>Provisão para Rescisão</t>
  </si>
  <si>
    <t>Total do Módulo 3</t>
  </si>
  <si>
    <t>4.1</t>
  </si>
  <si>
    <t>Total do Submódulo 4.1</t>
  </si>
  <si>
    <t>4.2</t>
  </si>
  <si>
    <t>Total do Submódulo 4.2</t>
  </si>
  <si>
    <t>4.3</t>
  </si>
  <si>
    <t>Total do Submódulo 4.3</t>
  </si>
  <si>
    <t>4.4</t>
  </si>
  <si>
    <t>Quadro Resumo do Módulo 4 - Custo de Reposição do Profissional Ausente</t>
  </si>
  <si>
    <t>Intrajornada</t>
  </si>
  <si>
    <t>Suspensão Contratual</t>
  </si>
  <si>
    <t>Total do Módulo 4</t>
  </si>
  <si>
    <t>Insumos Diversos</t>
  </si>
  <si>
    <t>Total do Módulo 5</t>
  </si>
  <si>
    <t>Custos Indiretos, Tributos e Lucro</t>
  </si>
  <si>
    <t>TRIBUTOS</t>
  </si>
  <si>
    <t>%</t>
  </si>
  <si>
    <t>C.1</t>
  </si>
  <si>
    <t>C.2</t>
  </si>
  <si>
    <t>C.3</t>
  </si>
  <si>
    <t>Total Tributos</t>
  </si>
  <si>
    <t>Total do Módulo 6</t>
  </si>
  <si>
    <t>QUADRO RESUMO DO CUSTO POR EMPREGADO</t>
  </si>
  <si>
    <t>Mão-de-Obra vinculada à execução contratual</t>
  </si>
  <si>
    <t>VALOR (R$)</t>
  </si>
  <si>
    <t>-</t>
  </si>
  <si>
    <t>Subtotal (A + B + C + D + E)</t>
  </si>
  <si>
    <t>Custo Total</t>
  </si>
  <si>
    <t>Custo Total Anual</t>
  </si>
  <si>
    <t>Custo Unitário Suspensão</t>
  </si>
  <si>
    <t>Total Qtde. itens p/ ano</t>
  </si>
  <si>
    <t>Qtde. itens p/ ano</t>
  </si>
  <si>
    <t>Nº REGISTRO MTE/ CCT</t>
  </si>
  <si>
    <t>MG004343/2024</t>
  </si>
  <si>
    <t>MG001172/2025</t>
  </si>
  <si>
    <t>MG001342/2025</t>
  </si>
  <si>
    <t>MG001108/2025</t>
  </si>
  <si>
    <t>MG001106/2025</t>
  </si>
  <si>
    <t>MG000344/2025</t>
  </si>
  <si>
    <t>MG000299/2025</t>
  </si>
  <si>
    <t>MG000360/2025</t>
  </si>
  <si>
    <t>MG0000423/2025</t>
  </si>
  <si>
    <t>MG000555/2025</t>
  </si>
  <si>
    <t>MG004482/2024</t>
  </si>
  <si>
    <t>MG004479/2024</t>
  </si>
  <si>
    <t>MG001187/2025</t>
  </si>
  <si>
    <t>MG000255/2025</t>
  </si>
  <si>
    <t>MG001011/2025</t>
  </si>
  <si>
    <t>MG000506/2025</t>
  </si>
  <si>
    <t>MG000212/2025</t>
  </si>
  <si>
    <t>MG000594/2025</t>
  </si>
  <si>
    <t>MG004488/2024</t>
  </si>
  <si>
    <t>MG000478/2025</t>
  </si>
  <si>
    <t>MG000592/2025</t>
  </si>
  <si>
    <t>MG004474/2024</t>
  </si>
  <si>
    <t>MG000736/2025</t>
  </si>
  <si>
    <t>MG000493/2025</t>
  </si>
  <si>
    <t>MG000435/2025</t>
  </si>
  <si>
    <t>MG000256/2025</t>
  </si>
  <si>
    <t>MG000165/2025</t>
  </si>
  <si>
    <t>MG000016/2025</t>
  </si>
  <si>
    <t>MG004477/2024</t>
  </si>
  <si>
    <t>MG000412/2025</t>
  </si>
  <si>
    <t>MG001252/2025</t>
  </si>
  <si>
    <t>MG000989/2025</t>
  </si>
  <si>
    <t>MG001208/2025</t>
  </si>
  <si>
    <t>Salário Mínimo Vigente</t>
  </si>
  <si>
    <t>VIÇOSA/MG, ERVÁLIA/MG, ARAPONGA/MG, TEIXEIRAS/MG, RAUL SOARES/MG e GUARACIABA/MG.</t>
  </si>
  <si>
    <t>Palma</t>
  </si>
  <si>
    <t>TERMO ADITIVO ALTERAÇÃO DA CCT</t>
  </si>
  <si>
    <t>AUXILIAR DE LIMPEZA - 110 H</t>
  </si>
  <si>
    <t>AUXILIAR DE LIMPEZA - 150 H</t>
  </si>
  <si>
    <t>AUXILIAR DE LIMPEZA - 220 H</t>
  </si>
  <si>
    <t>Auxiliar de Limpeza - 110 h</t>
  </si>
  <si>
    <t>Auxiliar de Limpeza - 220 h</t>
  </si>
  <si>
    <t>Auxiliar de Limpeza - 150 h</t>
  </si>
  <si>
    <t>Auxiliar de Limpeza - 75 h</t>
  </si>
  <si>
    <t>AUXILIAR DE LIMPEZA - 75 H</t>
  </si>
  <si>
    <t>CONTRATUAL</t>
  </si>
  <si>
    <t>Lavadora e secadora de pisos, 127v/220v, potência mínima de 700 w, portátil. Karcher ou similar.</t>
  </si>
  <si>
    <t>Dispensador de sabonete líquido - material: plásticoABS; capacidade: 800ML/29CM(ALT.)X12CM(LARG.)X11CM(PROF.); complementação da especificação do item de material: saboneteira para refil 800ml especificações: saboneteira em plástico ABS. Dimensões: 29cm de altura X 12cm de largura X 11cm de profundidade, com tolerância de 20% nas medidas. Possui fechadura e acompanha chave em plástico ABS, bem como um KIT para fixação na parede contendo buchas e parafusos para refil de sabonete líquido de 800 ml (sachê).</t>
  </si>
  <si>
    <t>Dispensador de álcool - igual ao dispensador de sabonete líquido; material: plástico ABS; capacudade: 800ML/29CM(ALT.)X12CM(LARG.)X11CM(PROF.); complementação da especificação do item de material: saboneteira para refil 800ml; especificações: saboneteira em plástico ABS. Dimensões: 29cm de altura X 12cm de largura X 11cm de profundidade, com tolerância de 20% nas medidas. Possui fechadura  e acompanha chave em plástico ABS, bem como um kIT para fixação na parede contendo buchas e parafusos para refil de sabonete líquido de 800ml (sachê)</t>
  </si>
  <si>
    <t>Álcool Líquido,  frasco com 1 litro; 70º, etílico, incolor, para uso doméstico, marca Start ou similar.</t>
  </si>
  <si>
    <t>FRASCO 5L </t>
  </si>
  <si>
    <t>GALÃO 5L </t>
  </si>
  <si>
    <t>FRASCO 1L </t>
  </si>
  <si>
    <t>FRASCO 500ML </t>
  </si>
  <si>
    <t>TABLETE 200G </t>
  </si>
  <si>
    <t>EMBALAGEM 1KG </t>
  </si>
  <si>
    <t>FRASCO 300G</t>
  </si>
  <si>
    <t>PACOTE 100UN </t>
  </si>
  <si>
    <t xml:space="preserve">PACOTE 100UN </t>
  </si>
  <si>
    <t>PACOTE 8 UNIDADES</t>
  </si>
  <si>
    <t>FRASCO 200ML</t>
  </si>
  <si>
    <t>REFIL 800ML</t>
  </si>
  <si>
    <t xml:space="preserve">GALÃO 5L </t>
  </si>
  <si>
    <t>Auxiliar de Limpeza - 12 x 36 - Diurno</t>
  </si>
  <si>
    <t>06</t>
  </si>
  <si>
    <t>AUXILIAR DE LIMPEZA - 12 X 36 - DIURNO</t>
  </si>
  <si>
    <t>2.024.06</t>
  </si>
  <si>
    <t>2.223.05</t>
  </si>
  <si>
    <t>2.313.05</t>
  </si>
  <si>
    <t>2.334.03</t>
  </si>
  <si>
    <t>2.520.03</t>
  </si>
  <si>
    <t>TOTAL</t>
  </si>
  <si>
    <t>AUXILIAR DE LIMPEZA - 12 X 36 - NOTURNO</t>
  </si>
  <si>
    <t>Auxiliar de Limpeza - 12 x 36 - Diurno, Auxiliar de Limpeza - 12 x 36 - Noturno, Auxiliar de Limpeza - 75 h, Auxiliar de Limpeza - 110 h, Auxiliar de Limpeza - 150 h,  Auxiliar de Limpeza - 220 h e Limpador de vidros - 220 h</t>
  </si>
  <si>
    <t>Auxiliar de Limpeza - 12 x 36 - Noturno</t>
  </si>
  <si>
    <t>Higienizador antisséptico de mãos aspecto físico: gel; composição: álcool etílico hidratado + agente hidratante; grau inpm: de 62 a 74 graus; grau gl: de 70 a 84 graus; apresentação: refil para dispenser 800 ml com bico dosador; complementação da especificação do item de material: produto de fácil espalhabilidade, sem resíduos, sem enxague, sem fragrância, sem corante e hipoalergênico. ph: entre 6,5 a 7,5. densidade: d e 0,850 a 0,900 g/cm3. viscosidade: de 8.000 a 10.000 cps, medida a temperatura de 20 a 25 graus celsius. apresentar laudo de atividade antimicrobiana: bactericida contra staphylococus aureus, salmonella chole raesuis e pseudomonas aeruginosa - OBS:  preço para os refis 800 ml; considerando a disponibilização de 282 dispensadores de álcool em gel em comodato ao MPMG</t>
  </si>
  <si>
    <t>Balde plástico, com alça de metal, capacidade: 10 litros.</t>
  </si>
  <si>
    <t>Balde plástico, com alça de metal, capacidade: 15 litros.</t>
  </si>
  <si>
    <t>Desentupidor de vaso sanitário em borracha macia, com cabo de madeira com 0,5 metro de comprimento.</t>
  </si>
  <si>
    <t>Cobertor popular 160x190cm, tipo São Vicente, para proteção de bens durante o transporte.</t>
  </si>
  <si>
    <t>Corda 8mm poliéster - rolo de 40 metros - para serviço de transporte de bens.</t>
  </si>
  <si>
    <t>Saco para Aspirador de pó e água, 1800w, 20L, 127V.</t>
  </si>
  <si>
    <t>Refil para Mop pó seco, cabo e refil retráteis, armação 60 cm.</t>
  </si>
  <si>
    <t>Mangueira flexível e de fácil manuseio, pressão mínima suportável: 12 bar(174PSI), 60m.</t>
  </si>
  <si>
    <t>Mangueira para jardim, flexível e de fácil manuseio, pressão mínima suportável: 12 bar(174PSI), 30m.</t>
  </si>
  <si>
    <t>Esguichos com sistema de fixação rosqueável e acionamento manual. (Os esguichos têm que ser compatíveis com as mangueiras).</t>
  </si>
  <si>
    <t>Extensão15m, com capacidade de corrente, mínima, de 20A.</t>
  </si>
  <si>
    <t>Placas de indicação - tipo: segurança - cuidado piso molhado; código: p5; matéria prima: polietileno com proteção uv, cor amarela; acabamento: cavalete.</t>
  </si>
  <si>
    <t>Extensão 30m, com capacidade de corrente, mínima, de 20A.</t>
  </si>
  <si>
    <t>Luva Nitrílica (Cano Médio)</t>
  </si>
  <si>
    <t>Calçado Ocupacional Tipo Botina</t>
  </si>
  <si>
    <t>Bota de Borracha</t>
  </si>
  <si>
    <t>Calçado Ocupacional de Uso Profissional Tipo Sapato</t>
  </si>
  <si>
    <t>Óculos de Segurança de Sobreposição Incolor Ou Fumê</t>
  </si>
  <si>
    <t>Qtde Anual de Peças</t>
  </si>
  <si>
    <t>Óculos</t>
  </si>
  <si>
    <t>Item</t>
  </si>
  <si>
    <t>Aspirador de pó e água industrial, capacidade mínima de 70 Litros, potência mínima de 2400w, e tensão de 127v ou  bivolt. Marcas Nagano ou Wap ou similar.</t>
  </si>
  <si>
    <t>Aspirador de pó e água, 1800w, 20L, 127V. Eletrolux ou similar.</t>
  </si>
  <si>
    <t>Enceradeira industrial 350mm, com capacidade operacional de 1.500m², cabo de aço com pintura eletrostática, escova de 350mm, rotação de 175 rpm, bivolt -  caixa de ligação de plástico termorresistente, alavanca de acionamento feita de plástico ABS. Referência: Cleaner (site sales.com.br)</t>
  </si>
  <si>
    <t>Jateadora industrial, potência mínima de 3.300 W, 220V, pressão nominal, mínima, de trabalho ( Ib/pol²)(bar) de 1.450(100). Marcas Bosch ou Wap.</t>
  </si>
  <si>
    <t>Carrinho funcional para limpeza, com saco para 90 litros. Dimensões mínimas de 120x46x100 cm(CxLxA).</t>
  </si>
  <si>
    <t>Vaporizador portátil, com potência mínima de 1200 W, tensão de 127 V, ou bivolt. Blace &amp; Decker ou similar.</t>
  </si>
  <si>
    <t>Kit limpa vidros com extensão telescópica em alumínio, com 3 estágios (até 9 metros) composto de lavador, cabo de fixação,  guias removíveis, pulverizador e raspador. Marca Bralimpia ou similar.</t>
  </si>
  <si>
    <t>Rodo limpa tudo –  conjunto suporte LT (suporte de fibra)
Marca Bralimpia ou similar.</t>
  </si>
  <si>
    <t>Mop pó seco, cabo e refil retráteis, armação 60 cm. Bralimpia ou similar.</t>
  </si>
  <si>
    <t>Espanador Eletrostático com fios acrílicos, lavável, 47cm x 19cm. Marca Bralimpia ou similar.</t>
  </si>
  <si>
    <t>Disco de fibra preto 350mm: fibra sintética, abrasivo, para uso em enceradeira industrial, removedor.</t>
  </si>
  <si>
    <t>Disco de fibra verde 350mm: fibra sintética, abrasivo, para uso em enceradeira industrial, limpador.</t>
  </si>
  <si>
    <t>Escova de lavar 350mm: para enceradeira industrial, fibra de náilon.</t>
  </si>
  <si>
    <t xml:space="preserve">Escova para lustrar 350mm: para enceradeira industrial, fibra sintética. </t>
  </si>
  <si>
    <t>Escada em alumínio com 6 (seis) degraus, tapetes e sapatas antiderrapantes, suporta carga de 120kg.</t>
  </si>
  <si>
    <t>Escova de cerdas macias para carpetes, tapetes e estofados.</t>
  </si>
  <si>
    <t>Água sanitária, galão com 5 litros; composição: hipoclorito de sódio, hidróxido de sódio, cloreto de sódio e água; marca Qboa ou similar.</t>
  </si>
  <si>
    <t>Cera líquida, frasco com 5 (cinco) litros, incolor, indicada para diversos tipos de piso, como: cerâmica, lajota, ladrilho, paviflex, sinteco, vulcapiso; composição: resina acrílica, resina solúvel ao álcali, polietileno, surfactantes não iônico e aniônico, conservante, perfume suave e água; marca Ingleza ou similiar.</t>
  </si>
  <si>
    <t>Galão de 5 litros de desinfetante a base de compostos quaternários de amônio. Lysoform ou similar.</t>
  </si>
  <si>
    <t xml:space="preserve">Detergente alcalino, limpeza pesada, frasco com 5 litros; marca Batuta ou similar. </t>
  </si>
  <si>
    <t>Detergente líquido, frasco com 500 ml; concentrado, neutro,  biodegradável, marca Minuano ou similar.</t>
  </si>
  <si>
    <t xml:space="preserve">Esponja dupla face, com fibra sintética e mineral abrasivo, em diversas cores; tipo limpeza pesada; formato 110 X 75 X 20 mm, marca Scotch Brite ou similar. </t>
  </si>
  <si>
    <t>Lã de aço: pacote com 8 unidades; peso 60 g; composição: aço carbono, marca Bombril ou similar.</t>
  </si>
  <si>
    <t>Limpa metais: frasco com  200 ml; composição: água e óleos minerais; marcas Uau, Silvo ou similar.</t>
  </si>
  <si>
    <t>Limpa Pedras (Detergente ácido para remover sujeiras inorgânicas, encardidos de terra, excesso de rejuntes e calcificações) – galão de 5 litros - Marca Pedrex ou similar.</t>
  </si>
  <si>
    <t>Lustra móveis: frasco com 500 ml; marca Poliflor ou similar.</t>
  </si>
  <si>
    <t>Limpador de tecidos e fibras como Carpetes / Tapetes / Estofados / Cadeiras ANTIÁCARO (5 litros), (para limpeza e remoção de manchas, limpeza com Bonnet e método rotativos e limpeza por extração), produto de 1ª linha. Marca Vanish ou similar.</t>
  </si>
  <si>
    <t xml:space="preserve">Papel higiênico em rolo - medindo 10 cm de largura x 300 metros – qualidade: primeira qualidade; tipo de folha: simples, 100% celulose virgem,com 10 cm de largura; acabamento: gofrado, sem picote, para uso em dispensadores; cor: extra branco, sem pigmento
</t>
  </si>
  <si>
    <t>Removedor de cera, de impermeabilizantes e sujeiras, de rápida ação. Linha profissional, galão de 5 litros. Não contém amoníaco. Produto alcalino. Marca Ingleza ou similar.</t>
  </si>
  <si>
    <t xml:space="preserve">Sabão em barra, tablete 200 g; glicerinado; composição: sabão base, sais inorgânicos, coadjuvantes, corante e água; marca Brilhante ou similar. </t>
  </si>
  <si>
    <t>Sabão em pó,  embalagem de 1 kg;  contendo na composição no mínimo: tensoativo aniônico, benzeno sulfonato de sódio, alcalinizantes, enzimas, marca  Assim ou similar.</t>
  </si>
  <si>
    <t>Sabonete - apresentacão: espuma para uso em dispensador, 800 ml; composição: agentes hidratantes, ph 6 a 8, fragância suave; tipo: higiene das maos;</t>
  </si>
  <si>
    <t xml:space="preserve">Saco para lixo, pacote c/ 100 unidades, reforçado, azul, capacidade 60 litros, espessura a partir de 0,12 micra. </t>
  </si>
  <si>
    <t>Saco para lixo, pacote c/ 100 unidades, reforçado, azul, capacidade 100 litros, espessura a partir de 0,12 micra, largura e altura aproximadas 75x85 cm.</t>
  </si>
  <si>
    <t>Saco para lixo, pacote c/ 100 unidades, reforçado, azul, capacidade 20 litros, espessura a partir de 0,12 micra.</t>
  </si>
  <si>
    <t xml:space="preserve">Saco para lixo, pacote c/ 100 unidades, reforçado, azul, capacidade 200 litros, espessura a partir de 0,12 micra, largura e altura aproximadas 115x125 cm. </t>
  </si>
  <si>
    <t>Saco para lixo, pacote c/ 100 unidades, reforçado, azul, capacidade 40 litros, espessura a partir de 0,12 micra.</t>
  </si>
  <si>
    <t xml:space="preserve">Saco para lixo, pacote c/ 100 unidades, reforçado, preto, capacidade 100 litros, espessura a partir de 0,12 micra, largura e altura aproximadas 75x85 cm. </t>
  </si>
  <si>
    <t>Saco para lixo, pacote c/ 100 unidades, reforçado, preto, capacidade 20 litros, espessura a partir de 0,12 micra.</t>
  </si>
  <si>
    <t xml:space="preserve">Saco para lixo, pacote c/ 100 unidades, reforçado, preto, capacidade 200 litros, espessura a partir de 0,12 micra, largura e altura aproximadas 115x125 cm. </t>
  </si>
  <si>
    <t>Saco para lixo, pacote c/ 100 unidades, reforçado, preto, capacidade 40 litros, espessura a partir de 0,12 micra.</t>
  </si>
  <si>
    <t>Saco para lixo, pacote c/ 100 unidades, reforçado, preto, capacidade 60 litros, espessura a partir de 0,12 micra.</t>
  </si>
  <si>
    <t>Saponáceo em pó com 300 gramas; marca Sapólio ou similar.</t>
  </si>
  <si>
    <t xml:space="preserve">Toalha de papel - tipo: gofrada, folha simples, 100% celulose virgem; apresentacao: bobina; medidas: 200 metros x 20cm de largura, gramatura 32g/m2; qualidade: alta qualidade e maior resistencia (nao esfarelar); cor: branca;
</t>
  </si>
  <si>
    <t>Horas Extras TI</t>
  </si>
  <si>
    <t>MG002846/2025</t>
  </si>
  <si>
    <t>Guarani</t>
  </si>
  <si>
    <t>Bonfinopolis de Minas</t>
  </si>
  <si>
    <t>07</t>
  </si>
  <si>
    <t>2.002.04</t>
  </si>
  <si>
    <t>2.003.04</t>
  </si>
  <si>
    <t>2.009.06</t>
  </si>
  <si>
    <t>2.011.03</t>
  </si>
  <si>
    <t>2.012.04</t>
  </si>
  <si>
    <t>2.015.05</t>
  </si>
  <si>
    <t>2.016.06</t>
  </si>
  <si>
    <t>2.017.06</t>
  </si>
  <si>
    <t>2.019.03</t>
  </si>
  <si>
    <t>2.023.03</t>
  </si>
  <si>
    <t>2.026.04</t>
  </si>
  <si>
    <t>2.028.04</t>
  </si>
  <si>
    <t>2.034.04</t>
  </si>
  <si>
    <t>2.035.06</t>
  </si>
  <si>
    <t>2.040.06</t>
  </si>
  <si>
    <t>2.042.03</t>
  </si>
  <si>
    <t>2.043.04</t>
  </si>
  <si>
    <t>2.778.03</t>
  </si>
  <si>
    <t>2.049.03</t>
  </si>
  <si>
    <t>2.054.04</t>
  </si>
  <si>
    <t>2.056.06</t>
  </si>
  <si>
    <t>4.024.06</t>
  </si>
  <si>
    <t>2.024.07</t>
  </si>
  <si>
    <t>2.027.04</t>
  </si>
  <si>
    <t>2.027.06</t>
  </si>
  <si>
    <t>2.069.03</t>
  </si>
  <si>
    <t>2.071.04</t>
  </si>
  <si>
    <t>2.073.06</t>
  </si>
  <si>
    <t>2.074.06</t>
  </si>
  <si>
    <t>2.080.03</t>
  </si>
  <si>
    <t>2.081.03</t>
  </si>
  <si>
    <t>2.082.04</t>
  </si>
  <si>
    <t>2.086.04</t>
  </si>
  <si>
    <t>2.089.03</t>
  </si>
  <si>
    <t>2.090.06</t>
  </si>
  <si>
    <t>2.091.03</t>
  </si>
  <si>
    <t>2.093.04</t>
  </si>
  <si>
    <t>2.097.03</t>
  </si>
  <si>
    <t>2.045.06</t>
  </si>
  <si>
    <t>2.103.03</t>
  </si>
  <si>
    <t>2.878.03</t>
  </si>
  <si>
    <t>2.106.03</t>
  </si>
  <si>
    <t>2.109.04</t>
  </si>
  <si>
    <t>2.112.04</t>
  </si>
  <si>
    <t>2.112.06</t>
  </si>
  <si>
    <t>2.115.03</t>
  </si>
  <si>
    <t>2.116.04</t>
  </si>
  <si>
    <t>2.118.03</t>
  </si>
  <si>
    <t>2.120.05</t>
  </si>
  <si>
    <t>2.123.04</t>
  </si>
  <si>
    <t>2.132.03</t>
  </si>
  <si>
    <t>2.133.06</t>
  </si>
  <si>
    <t>2.134.06</t>
  </si>
  <si>
    <t>2.137.03</t>
  </si>
  <si>
    <t>2.143.06</t>
  </si>
  <si>
    <t>2.144.06</t>
  </si>
  <si>
    <t>2.879.03</t>
  </si>
  <si>
    <t>2.151.06</t>
  </si>
  <si>
    <t>2.153.04</t>
  </si>
  <si>
    <t>2.155.04</t>
  </si>
  <si>
    <t>2.166.03</t>
  </si>
  <si>
    <t>2.172.03</t>
  </si>
  <si>
    <t>2.175.04</t>
  </si>
  <si>
    <t>2.180.06</t>
  </si>
  <si>
    <t>2.182.03</t>
  </si>
  <si>
    <t>2.183.04</t>
  </si>
  <si>
    <t>2.183.06</t>
  </si>
  <si>
    <t>2.184.04</t>
  </si>
  <si>
    <t>2.079.06</t>
  </si>
  <si>
    <t>2.775.03</t>
  </si>
  <si>
    <t>2.191.03</t>
  </si>
  <si>
    <t>2.193.04</t>
  </si>
  <si>
    <t>2.194.06</t>
  </si>
  <si>
    <t>2.208.03</t>
  </si>
  <si>
    <t>2.209.06</t>
  </si>
  <si>
    <t>2.216.06</t>
  </si>
  <si>
    <t>2.220.03</t>
  </si>
  <si>
    <t>2.223.06</t>
  </si>
  <si>
    <t>2.232.03</t>
  </si>
  <si>
    <t>2.236.03</t>
  </si>
  <si>
    <t>2.240.03</t>
  </si>
  <si>
    <t>2.241.04</t>
  </si>
  <si>
    <t>2.243.03</t>
  </si>
  <si>
    <t>2.251.06</t>
  </si>
  <si>
    <t>2.261.04</t>
  </si>
  <si>
    <t>2.261.06</t>
  </si>
  <si>
    <t>2.267.06</t>
  </si>
  <si>
    <t>2.271.04</t>
  </si>
  <si>
    <t>2.271.06</t>
  </si>
  <si>
    <t>2.105.04</t>
  </si>
  <si>
    <t>2.105.06</t>
  </si>
  <si>
    <t>2.278.03</t>
  </si>
  <si>
    <t>2.280.05</t>
  </si>
  <si>
    <t>2.283.04</t>
  </si>
  <si>
    <t>2.284.04</t>
  </si>
  <si>
    <t>2.287.05</t>
  </si>
  <si>
    <t>2.295.03</t>
  </si>
  <si>
    <t>2.297.03</t>
  </si>
  <si>
    <t>2.114.06</t>
  </si>
  <si>
    <t>2.301.05</t>
  </si>
  <si>
    <t>2.309.04</t>
  </si>
  <si>
    <t>2.312.03</t>
  </si>
  <si>
    <t>2.313.06</t>
  </si>
  <si>
    <t>2.317.05</t>
  </si>
  <si>
    <t>2.319.06</t>
  </si>
  <si>
    <t>2.322.03</t>
  </si>
  <si>
    <t>2.324.04</t>
  </si>
  <si>
    <t>2.324.06</t>
  </si>
  <si>
    <t>2.325.03</t>
  </si>
  <si>
    <t>2.327.03</t>
  </si>
  <si>
    <t>2.330.03</t>
  </si>
  <si>
    <t>2.334.04</t>
  </si>
  <si>
    <t>2.335.03</t>
  </si>
  <si>
    <t>2.338.06</t>
  </si>
  <si>
    <t>2.342.05</t>
  </si>
  <si>
    <t>2.344.04</t>
  </si>
  <si>
    <t>2.346.03</t>
  </si>
  <si>
    <t>2.347.03</t>
  </si>
  <si>
    <t>2.351.06</t>
  </si>
  <si>
    <t>2.352.06</t>
  </si>
  <si>
    <t>2.358.03</t>
  </si>
  <si>
    <t>2.362.03</t>
  </si>
  <si>
    <t>2.362.06</t>
  </si>
  <si>
    <t>2.363.06</t>
  </si>
  <si>
    <t>2.145.04</t>
  </si>
  <si>
    <t>2.145.06</t>
  </si>
  <si>
    <t>2.372.05</t>
  </si>
  <si>
    <t>2.148.06</t>
  </si>
  <si>
    <t>2.378.03</t>
  </si>
  <si>
    <t>2.382.04</t>
  </si>
  <si>
    <t>2.382.06</t>
  </si>
  <si>
    <t>2.388.03</t>
  </si>
  <si>
    <t>2.390.06</t>
  </si>
  <si>
    <t>2.392.03</t>
  </si>
  <si>
    <t>2.393.06</t>
  </si>
  <si>
    <t>2.394.06</t>
  </si>
  <si>
    <t>2.395.04</t>
  </si>
  <si>
    <t>2.396.03</t>
  </si>
  <si>
    <t>2.400.04</t>
  </si>
  <si>
    <t>2.405.03</t>
  </si>
  <si>
    <t>2.407.04</t>
  </si>
  <si>
    <t>2.408.03</t>
  </si>
  <si>
    <t>2.411.06</t>
  </si>
  <si>
    <t>2.418.03</t>
  </si>
  <si>
    <t>2.421.03</t>
  </si>
  <si>
    <t>2.422.03</t>
  </si>
  <si>
    <t>2.429.03</t>
  </si>
  <si>
    <t>2.430.04</t>
  </si>
  <si>
    <t>2.431.04</t>
  </si>
  <si>
    <t>2.433.04</t>
  </si>
  <si>
    <t>2.433.06</t>
  </si>
  <si>
    <t>2.439.06</t>
  </si>
  <si>
    <t>2.440.03</t>
  </si>
  <si>
    <t>2.441.04</t>
  </si>
  <si>
    <t>2.443.04</t>
  </si>
  <si>
    <t>2.444.03</t>
  </si>
  <si>
    <t>2.188.06</t>
  </si>
  <si>
    <t>2.450.06</t>
  </si>
  <si>
    <t>2.452.05</t>
  </si>
  <si>
    <t>2.453.03</t>
  </si>
  <si>
    <t>2.456.06</t>
  </si>
  <si>
    <t>2.460.03</t>
  </si>
  <si>
    <t>2.461.06</t>
  </si>
  <si>
    <t>2.467.06</t>
  </si>
  <si>
    <t>2.471.04</t>
  </si>
  <si>
    <t>2.470.03</t>
  </si>
  <si>
    <t>2.470.05</t>
  </si>
  <si>
    <t>2.472.04</t>
  </si>
  <si>
    <t>2.474.04</t>
  </si>
  <si>
    <t>2.479.06</t>
  </si>
  <si>
    <t>2.480.06</t>
  </si>
  <si>
    <t>2.486.05</t>
  </si>
  <si>
    <t>2.487.04</t>
  </si>
  <si>
    <t>2.210.06</t>
  </si>
  <si>
    <t>2.498.04</t>
  </si>
  <si>
    <t>2.508.04</t>
  </si>
  <si>
    <t>2.512.05</t>
  </si>
  <si>
    <t>2.514.04</t>
  </si>
  <si>
    <t>2.515.04</t>
  </si>
  <si>
    <t>2.517.06</t>
  </si>
  <si>
    <t>2.518.06</t>
  </si>
  <si>
    <t>2.520.04</t>
  </si>
  <si>
    <t>2.521.06</t>
  </si>
  <si>
    <t>2.522.04</t>
  </si>
  <si>
    <t>2.525.06</t>
  </si>
  <si>
    <t>2.527.03</t>
  </si>
  <si>
    <t>2.534.03</t>
  </si>
  <si>
    <t>2.540.03</t>
  </si>
  <si>
    <t>2.543.03</t>
  </si>
  <si>
    <t>2.231.04</t>
  </si>
  <si>
    <t>2.231.06</t>
  </si>
  <si>
    <t>2.549.03</t>
  </si>
  <si>
    <t>2.555.04</t>
  </si>
  <si>
    <t>2.558.03</t>
  </si>
  <si>
    <t>2.560.04</t>
  </si>
  <si>
    <t>2.567.05</t>
  </si>
  <si>
    <t>2.568.03</t>
  </si>
  <si>
    <t>2.569.04</t>
  </si>
  <si>
    <t>2.570.03</t>
  </si>
  <si>
    <t>2.572.04</t>
  </si>
  <si>
    <t>2.245.06</t>
  </si>
  <si>
    <t>2.582.04</t>
  </si>
  <si>
    <t>2.592.05</t>
  </si>
  <si>
    <t>2.596.04</t>
  </si>
  <si>
    <t>2.598.03</t>
  </si>
  <si>
    <t>2.604.06</t>
  </si>
  <si>
    <t>2.611.06</t>
  </si>
  <si>
    <t>2.620.03</t>
  </si>
  <si>
    <t>2.621.05</t>
  </si>
  <si>
    <t>2.624.03</t>
  </si>
  <si>
    <t>2.625.06</t>
  </si>
  <si>
    <t>2.629.03</t>
  </si>
  <si>
    <t>2.637.06</t>
  </si>
  <si>
    <t>2.642.04</t>
  </si>
  <si>
    <t>2.642.06</t>
  </si>
  <si>
    <t>2.647.06</t>
  </si>
  <si>
    <t>2.671.04</t>
  </si>
  <si>
    <t>2.672.06</t>
  </si>
  <si>
    <t>2.680.04</t>
  </si>
  <si>
    <t>2.686.06</t>
  </si>
  <si>
    <t>2.687.06</t>
  </si>
  <si>
    <t>2.692.03</t>
  </si>
  <si>
    <t>2.693.04</t>
  </si>
  <si>
    <t>2.693.06</t>
  </si>
  <si>
    <t>2.694.06</t>
  </si>
  <si>
    <t>2.696.04</t>
  </si>
  <si>
    <t>2.696.06</t>
  </si>
  <si>
    <t>2.697.04</t>
  </si>
  <si>
    <t>2.699.03</t>
  </si>
  <si>
    <t>2.699.06</t>
  </si>
  <si>
    <t>2.701.04</t>
  </si>
  <si>
    <t>2.701.06</t>
  </si>
  <si>
    <t>2.702.04</t>
  </si>
  <si>
    <t>2.702.06</t>
  </si>
  <si>
    <t>2.704.06</t>
  </si>
  <si>
    <t>2.707.03</t>
  </si>
  <si>
    <t>2.707.06</t>
  </si>
  <si>
    <t>2.708.04</t>
  </si>
  <si>
    <t>2.290.06</t>
  </si>
  <si>
    <t>2.713.06</t>
  </si>
  <si>
    <t>2.720.06</t>
  </si>
  <si>
    <t>LUCRO - MÓDULO 6 - ITEM B</t>
  </si>
  <si>
    <t>CUSTO INDIRETO - MÓDULO 6 - ITEM A</t>
  </si>
  <si>
    <t>REDUÇÃO DO  CUSTO UNITÁRIO DOS PRODUTOS DE LIMPEZA E MATERIAIS DE HIGIENE PESSOAL - MÓDULO 5 - ITEM D</t>
  </si>
  <si>
    <t>REDUÇÃO DO  CUSTO UNITÁRIO DAS MÁQUINAS E  EQUIPAMENTOS (DEPRECIAÇÃO) - MÓDULO 5 - ITEM C</t>
  </si>
  <si>
    <t>REDUÇÃO DO CUSTO UNITÁRIO DOS MATERIAIS DE CONSUMO - MÓDULO 5 - ITEM B</t>
  </si>
  <si>
    <t>REDUÇÃO DO  CUSTO UNITÁRIO DOS UNIFORMES E EPIS - MÓDULO 5 - ITEM A</t>
  </si>
  <si>
    <t>REDUÇÃO DO SEGURO DE VIDA - SUBMÓDULO 2.3 - ITEM G</t>
  </si>
  <si>
    <t> </t>
  </si>
  <si>
    <t>OBTENÇÃO DO PREÇO DA PROPOSTA</t>
  </si>
  <si>
    <t>ORIENTAÇÕES PARA OS LICITANTES</t>
  </si>
  <si>
    <t>O PREÇO MÁXIMO GLOBAL PERMITIDO PARA A PROPOSTA SERÁ DE R$ 14.682.971,94 - MENSAL E R$ 176.195.663,28 -  ANUAL, SENDO QUE DESSE PREÇO,  R$ 2.083.443,20 (MENSAL) E R$ 25.001.318,35 (ANUAL) CORRESPONDE AO PREÇO DA CATEGORIA LIMPEZA E CONSERVAÇÃO E O RESTANTE R$ 12.599.528,74 (MENSAL) E R$ 151.194.344,93 CORRESPONDE A CATEGORIA APOIO ADMINISTRATIVO E MOTORISTAS.
IMPORTANTE:  VALORES IRRISÓRIOS PARA A PROPOSTA OU PARA QUALQUER UM DOS ITENS PASSÍVEIS DE REDUÇÃO DURANTE A LICITAÇÃO, BEM COMO PARA O LDI (CUSTO INDIRETO E LUCRO), PODERÃO TORNAR A PROPOSTA INEXEQUÍVEL. OCORRENDO TAL FATO, A CONTRATANTE SOLICITARÁ DILIGÊNCIAS PARA QUE O LICITANTE VENCEDOR COMPROVE A EXEQUIBILIDADE DA PROPOSTA . NÃO HAVENDO COMPROVAÇÃO DA EXIQUIBILIDADE O LICITANTE PODERÁ SER DESCLASSIFICADO.
O PREÇO DA PROPOSTA PARA OS CARGOS DE LIMPZA E CONSERVAÇÃO PODERÁ SER OBSERVADO NESTE APENSO NA ABA "CUSTO GLOBAL" CÉLULAS "BZ256" (VALOR MENSAL) E "CA256" (VALOR ANUAL). 
RESSALTA-SE QUE, PARA OBTER O PREÇO DA PROPOSTA, O LICITANTE NÃO PRECISA ALTERAR O VALOR INDICADO NAS CÉLULAS ACIMA, DEVENDO OBSERVAR E PRATICAR AS ORIENTAÇÕES A SEGUIR PARA ALTERAÇÃO SOMENTE DOS CAMPOS PASSÍVEIS DE REDUÇÃO DURANTE A LICITAÇÃO. À  MEDIDA QUE AS ALTERAÇÕES FOREM SENDO REALIZADAS PELO LICITANTE NOS CAMPOS INFRAMENCIONADOS,  O VALOR FINAL DA PROPOSTA SERÁ ATUALIZADO AUTOMATICAMENTE NA ABA "CUSTO GLOBAL" CÉLULAS "BZ256" (VALOR MENSAL) E "CA256" (VALOR ANUAL).</t>
  </si>
  <si>
    <t xml:space="preserve">PREÇO MÁXIMO PERMITIDO R$3,36. Este item poderá ser reduzido na licitação. Para tanto, o licitante deverá alterar o valor contido na célula "AA5" da aba "BASE GERAL" deste Apenso. Ressalva-se que a modificação desse item na célula retromencionada promoverá a atualização em todas as demais abas, sem necessidade de qualquer outra alteração manual em outro campo deste Apenso. O preço informado pela licitante vencedora para este item será praticado durante todo o período de vigência do contrato e o valor correspondente apurado na proposta será fixo para cada posto, podendo ser reajustado anualmente pelo IPCA. </t>
  </si>
  <si>
    <t xml:space="preserve">Os preços unitários dos uniformes poderão ser reduzidos na licitação. Para tanto, basta filtrar o item e o tipo de uniforme e alterar o valor nas células da coluna D preenchidas em "amarelo". </t>
  </si>
  <si>
    <t xml:space="preserve">PREÇOS MÁXIMOS PERMITIDOS CONFORME APENSO VIII E VALORES UNITÁRIOS CONSTANTES NA ABA "UNIFORMES" DESTE APENSO. Este item poderá ser reduzido na licitação. Para tanto, o licitante deverá acessar a aba “UNIFORMES” deste Apenso e alterar as células da coluna D, sinalizadas em amarelo, informando os valores unitários que serão empregados ao longo da execução contratual. Assim, automaticamente os custos de uniforme por posto serão alterados e atualizados nas células da coluna K da aba  “UNIFORMES” e em todas as demais abas da planilha, sem a necessidade de alteração manual em qualquer outro campo deste apenso. O preço informado pela licitante vencedora para este item será praticado durante todo o período de vigência do contrato e o valor correspondente apurado na proposta será fixo para cada posto, podendo ser reajustado anualmente pelo IPCA. </t>
  </si>
  <si>
    <t xml:space="preserve">VALOR MÁXIMO PERMITIDO R$ 189,65 POR POSTO DA CATEGORIA DE Limpeza e Conservação. Para cálculo do Custo Indireto o licitante deverá:    
Na célula "AA3" da aba "BASE GERAL" deste Apenso, reduzir/alterar apenas o percentual de 5% (Limite Máximo) constante na fórmula obtida da seguinte forma:  Divisão do total do Custo Direto (Soma dos módulos 1, 2, 3, 4 e 5 - célula  "BO256" da aba "CUSTO GLOBAL") pelo total de vagas previstas (437 vagas - célula  "G256" da aba "CUSTO GLOBAL") e multiplicação pelo percentual de Custo Indireto a ser praticado pelo licitante vencedor (Máximo 5%).
O valor unitário obtido será fixo por posto de Limpeza e Conservação durante todo o período de vigência contratual, podendo ser alterado anualmente pelo IPCA.
Ressalva-se que o valor obtido na célula "AA3" da aba "BASE GERAL" para o Custo Indireto dos postos de limpeza será automaticamente atualizado em todas as demais abas, sem necessidade de qualquer outra alteração manual em outro campo deste Apenso.
 </t>
  </si>
  <si>
    <t xml:space="preserve">VALOR MÁXIMO PERMITIDO R$ 159,30 POR POSTO DA CATEGORIA Limpeza e Conservação. Para cálculo do Lucro o licitante deverá:
Na célula "AA4" da aba "BASE GERAL" deste Apenso, reduzir/alterar apenas o percentual de 4% (Limite Máximo) constante na fórmula obtida da seguinte forma:- Soma do total do Custo Direto (Soma dos módulos 1, 2, 3, 4 e 5 - célula "BO256" da aba "CUSTO GLOBAL") com o total do Custo Indireto (célula  "BP256" da aba "CUSTO GLOBAL"), dividido pelo total de vagas previstas (437 vagas - célula  "G256" da aba "CUSTO GLOBAL") e multiplicação pelo percentual de Lucro a ser praticado pelo liciante vencedor (Máximo 4%).
O valor unitário obtido  será fixo por posto de Limpeza e Conservação durante todo o período de vigência contratual, podendo ser alterado anualmente pelo IPCA.
Ressalva-se que o valor obtido na célula "AA4" da aba "BASE GERAL" para o Custo Indireto dos postos de limpeza será automaticamente atualizado em todas as demais abas, sem necessidade de qualquer outra alteração manual em outro campo deste Apenso.
 </t>
  </si>
  <si>
    <t>REDUÇÃO DO RAT AJUSTADO - SUBMÓDULO 2.1 - ITEM G</t>
  </si>
  <si>
    <t>COMPOSIÇÃO DO LDI - (DEVERÁ SER CALCULADO APÓS ATUALIZAÇÃO DOS ITENS DE RAT, SEGURO DE VIDA, UNIFORMES, MATERIAIS DE CONSUMO E EQUIPAMENTOS OS QUAIS PODERÃO SER REDUZIDOS NA LICITAÇÃO)</t>
  </si>
  <si>
    <t>O PERCENTUAL MÁXIMO PERMITIDO PARA RAT AJUSTADO É DE 4% (2% DE RAT MULTIPLICADO POR 2 DE FAP). Este item poderá ser reduzido na licitação. Para tanto, o licitante deverá alterar o valor contido "AE8" da aba "BASE GERAL" deste Apenso. Ressalva-se que a modificação desse item na célula retromencionada promoverá a atualização em todas as demais abas, sem necessidade de qualquer outra alteração manual em outro campo deste Apenso. O percentual informado pela licitante vencedora para este item será praticado durante todo o período de vigência do contrato e o valor correspondente apurado na proposta será fixo para cada posto. A alteração do percentual do RAT ajustado, no decorrer do contrato, somente será processada mediante solicitação e comprovação da contratada.</t>
  </si>
  <si>
    <t>APENSO IX - Quantitativo estimado e preços de referência de Materiais de Consumo 
APENSO X – Quantitativo estimado e preços de referência de Produtos de Limpeza
APENSO XI- Quantitativo estimado e preços de Máquinas e Equipamentos – Depreciação Mensal</t>
  </si>
  <si>
    <t xml:space="preserve">PREÇOS MÁXIMOS PERMITIDOS CONFORME APENSO IX E VALORES UNITÁRIOS CONSTANTES NA ABA "INSUMOS AUX. DE LIMPEZA" DESTE APENSO.
**Materiais de consumo utilizados nos serviços de limpeza: na aba "INSUMOS AUX. DE LIMPEZA" os preços unitários constantes nas células da coluna J, sinalizadas em amarelo,  poderão ser reduzidos. Para tanto, basta filtra na coluna tipo o item "Material" e alterar o valor dessas células. Os valores unitários por posto que dependem desse preço serão automaticamente alterados nas células da coluna P e aplicados em todas as demais planilhas para a formação do preço. Não é necessário alterar nenhum outro campo manualmente. O preço informado pela licitante vencedora para estes itens serão praticados durante todo o período de vigência do contrato e o valor correspondente apurado na proposta será fixo para cada posto, podendo ser reajustado anualmente pelo IPCA. 
</t>
  </si>
  <si>
    <t xml:space="preserve">PREÇOS MÁXIMOS PERMITIDOS CONFORME APENSO XI E VALORES UNITÁRIOS CONSTANTES NAS ABAS "INSUMOS AUX. DE LIMPEZA" E "INSUMOS LIMP. DE VIDROS" DESTE APENSO.
**Equipamentos utilizados nos serviços de limpeza: nas abas "INSUMOS AUX. DE LIMPEZA" E "INSUMOS LIMP. DE VIDROS" os preços unitários constantes nas células da coluna J, sinalizadas em amarelo,  poderão ser reduzidos. Para tanto, basta filtra na coluna tipo o item "Equipamento" e alterar o valor dessas células. Os valores unitários por posto que dependem desse preço serão automaticamente alterados nas células da coluna P e aplicados em todas as demais planilhas para a formação do preço. Não é necessário alterar nenhum outro campo manualmente. O preço informado pela licitante vencedora para estes itens serão praticados durante todo o período de vigência do contrato e o valor correspondente apurado na proposta será fixo para cada posto, podendo ser reajustado anualmente pelo IPCA. </t>
  </si>
  <si>
    <t xml:space="preserve">PREÇOS MÁXIMOS PERMITIDOS CONFORME APENSO X E VALORES UNITÁRIOS CONSTANTES NA ABA "INSUMOS AUX. DE LIMPEZA" DESTE APENSO. 
**Para os Produtos utilizados nos serviços de limpeza: na aba "INSUMOS AUX. DE LIMPEZA" os preços unitários constantes nas células da coluna J, sinalizadas em amarelo,  poderão ser reduzidos. Para tanto, basta filtra na coluna tipo o item "Produto" e alterar o valor dessas células. Os valores unitários por posto que dependem desse preço serão automaticamente alterados nas células da coluna P e aplicados em todas as demais planilhas para a formação do preço. Não é necessário alterar nenhum outro campo manualmente. O preço informado pela licitante vencedora para estes itens serão praticados durante todo o período de vigência do contrato e o valor correspondente apurado na proposta será fixo para cada posto, podendo ser reajustado anualmente pelo IPCA. </t>
  </si>
  <si>
    <t>COFINS - MÓDULO 6 - ITEM C.1</t>
  </si>
  <si>
    <t>PIS - MÓDULO 6 - ITEM C.2</t>
  </si>
  <si>
    <t>O PERCENTUAL MÁXIMO PERMITIDO PARA O COFINS É DE 7,6%. Este item poderá ser reduzido na licitação. Para tanto, o licitante deverá alterar o valor contido na célula "AE10" da aba "BASE GERAL" deste Apenso. Ressalva-se que a modificação desse item na célula retromencionada promoverá a atualização em todas as demais abas, sem necessidade de qualquer outra alteração manual em outro campo deste Apenso. O percentual informado pela licitante vencedora para este item será praticado durante todo o período de vigência do contrato, podendo ser alterado, no decorrer do contrato, somente numa eventual mudança do regime tributário, mediante solicitação e comprovação da contratada.</t>
  </si>
  <si>
    <t>O PERCENTUAL MÁXIMO PERMITIDO PARA O PIS É DE 1,65%. Este item poderá ser reduzido na licitação. Para tanto, o licitante deverá alterar o valor contido na célula "AE11" da aba "BASE GERAL" deste Apenso. Ressalva-se que a modificação desse item na célula retromencionada promoverá a atualização em todas as demais abas, sem necessidade de qualquer outra alteração manual em outro campo deste Apenso. O percentual informado pela licitante vencedora para este item será praticado durante todo o período de vigência do contrato, podendo ser alterado, no decorrer do contrato, somente numa eventual mudança do regime tributário, mediante solicitação e comprovação da contratada.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</si>
</sst>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3">
    <numFmt numFmtId="44" formatCode="_-&quot;R$&quot;\ * #,##0.00_-;\-&quot;R$&quot;\ * #,##0.00_-;_-&quot;R$&quot;\ * &quot;-&quot;??_-;_-@_-"/>
    <numFmt numFmtId="43" formatCode="_-* #,##0.00_-;\-* #,##0.00_-;_-* &quot;-&quot;??_-;_-@_-"/>
    <numFmt numFmtId="164" formatCode="_(&quot;R$ &quot;* #,##0.00_);_(&quot;R$ &quot;* \(#,##0.00\);_(&quot;R$ &quot;* &quot;-&quot;??_);_(@_)"/>
    <numFmt numFmtId="165" formatCode="yyyy"/>
    <numFmt numFmtId="166" formatCode="_(* #,##0.00_);_(* \(#,##0.00\);_(* &quot;-&quot;??_);_(@_)"/>
    <numFmt numFmtId="167" formatCode="0.0%"/>
    <numFmt numFmtId="168" formatCode="&quot;R$ &quot;#,##0.00_);[Red]\(&quot;R$ &quot;#,##0.00\)"/>
    <numFmt numFmtId="169" formatCode="&quot;R$&quot;\ #,##0.00"/>
    <numFmt numFmtId="170" formatCode="_(&quot;R$&quot;* #,##0.00_);_(&quot;R$&quot;* \(#,##0.00\);_(&quot;R$&quot;* &quot;-&quot;??_);_(@_)"/>
    <numFmt numFmtId="171" formatCode="&quot;R$ &quot;#,##0.00_);\(&quot;R$ &quot;#,##0.00\)"/>
    <numFmt numFmtId="172" formatCode="&quot; R$&quot;#,##0.00\ ;&quot; R$(&quot;#,##0.00\);&quot; R$-&quot;#\ ;@\ "/>
    <numFmt numFmtId="173" formatCode="00"/>
    <numFmt numFmtId="174" formatCode="_-* #,##0.0000_-;\-* #,##0.0000_-;_-* &quot;-&quot;??_-;_-@_-"/>
  </numFmts>
  <fonts count="29" x14ac:knownFonts="1">
    <font>
      <sz val="11"/>
      <color theme="1"/>
      <name val="Aptos Narrow"/>
      <family val="2"/>
      <scheme val="minor"/>
    </font>
    <font>
      <sz val="11"/>
      <color theme="1"/>
      <name val="Aptos Narrow"/>
      <family val="2"/>
      <scheme val="minor"/>
    </font>
    <font>
      <b/>
      <sz val="11"/>
      <color theme="0"/>
      <name val="Aptos Narrow"/>
      <family val="2"/>
      <scheme val="minor"/>
    </font>
    <font>
      <sz val="10"/>
      <name val="Arial"/>
      <family val="2"/>
    </font>
    <font>
      <sz val="9"/>
      <name val="Arial"/>
      <family val="2"/>
    </font>
    <font>
      <b/>
      <sz val="10"/>
      <name val="Arial"/>
      <family val="2"/>
    </font>
    <font>
      <b/>
      <sz val="10"/>
      <color indexed="8"/>
      <name val="Arial"/>
      <family val="2"/>
    </font>
    <font>
      <sz val="10"/>
      <color indexed="8"/>
      <name val="Arial"/>
      <family val="2"/>
    </font>
    <font>
      <b/>
      <sz val="9"/>
      <color indexed="8"/>
      <name val="Arial"/>
      <family val="2"/>
    </font>
    <font>
      <sz val="8"/>
      <name val="Aptos Narrow"/>
      <family val="2"/>
      <scheme val="minor"/>
    </font>
    <font>
      <b/>
      <sz val="11"/>
      <color theme="1"/>
      <name val="Aptos Narrow"/>
      <family val="2"/>
      <scheme val="minor"/>
    </font>
    <font>
      <sz val="10"/>
      <color indexed="10"/>
      <name val="Arial"/>
      <family val="2"/>
    </font>
    <font>
      <sz val="9"/>
      <color theme="1"/>
      <name val="Aptos Narrow"/>
      <family val="2"/>
      <scheme val="minor"/>
    </font>
    <font>
      <sz val="10"/>
      <color rgb="FF000000"/>
      <name val="Arial"/>
      <family val="2"/>
    </font>
    <font>
      <b/>
      <sz val="10"/>
      <color theme="0"/>
      <name val="Arial"/>
      <family val="2"/>
    </font>
    <font>
      <sz val="10"/>
      <name val="Tahoma"/>
      <family val="2"/>
    </font>
    <font>
      <b/>
      <sz val="12"/>
      <name val="Arial"/>
      <family val="2"/>
    </font>
    <font>
      <sz val="11"/>
      <name val="Aptos Narrow"/>
      <family val="2"/>
      <scheme val="minor"/>
    </font>
    <font>
      <sz val="12"/>
      <name val="Arial"/>
      <family val="2"/>
    </font>
    <font>
      <sz val="11"/>
      <color rgb="FFFF0000"/>
      <name val="Aptos Narrow"/>
      <family val="2"/>
      <scheme val="minor"/>
    </font>
    <font>
      <sz val="11"/>
      <name val="Arial"/>
      <family val="2"/>
    </font>
    <font>
      <b/>
      <sz val="9"/>
      <color theme="0"/>
      <name val="Arial"/>
      <family val="2"/>
    </font>
    <font>
      <b/>
      <sz val="9"/>
      <name val="Arial"/>
      <family val="2"/>
    </font>
    <font>
      <sz val="10"/>
      <name val="Arial"/>
      <family val="2"/>
    </font>
    <font>
      <b/>
      <sz val="12"/>
      <color theme="1"/>
      <name val="Aptos Narrow"/>
      <family val="2"/>
      <scheme val="minor"/>
    </font>
    <font>
      <sz val="10"/>
      <color rgb="FF333333"/>
      <name val="Segoe UI"/>
      <family val="2"/>
    </font>
    <font>
      <sz val="10"/>
      <color rgb="FF000000"/>
      <name val="Segoe UI"/>
      <family val="2"/>
    </font>
    <font>
      <b/>
      <sz val="10"/>
      <color rgb="FFFF0000"/>
      <name val="Segoe UI"/>
      <family val="2"/>
    </font>
    <font>
      <b/>
      <sz val="10"/>
      <color rgb="FFFFFFFF"/>
      <name val="Arial"/>
      <family val="2"/>
    </font>
  </fonts>
  <fills count="35">
    <fill>
      <patternFill patternType="none"/>
    </fill>
    <fill>
      <patternFill patternType="gray125"/>
    </fill>
    <fill>
      <patternFill patternType="solid">
        <fgColor theme="0"/>
        <bgColor indexed="64"/>
      </patternFill>
    </fill>
    <fill>
      <patternFill patternType="solid">
        <fgColor theme="3" tint="0.79998168889431442"/>
        <bgColor indexed="64"/>
      </patternFill>
    </fill>
    <fill>
      <patternFill patternType="solid">
        <fgColor theme="5" tint="0.39997558519241921"/>
        <bgColor indexed="64"/>
      </patternFill>
    </fill>
    <fill>
      <patternFill patternType="solid">
        <fgColor theme="6" tint="0.59999389629810485"/>
        <bgColor indexed="64"/>
      </patternFill>
    </fill>
    <fill>
      <patternFill patternType="solid">
        <fgColor theme="7" tint="0.59999389629810485"/>
        <bgColor indexed="64"/>
      </patternFill>
    </fill>
    <fill>
      <patternFill patternType="solid">
        <fgColor rgb="FFDAE9F8"/>
        <bgColor indexed="64"/>
      </patternFill>
    </fill>
    <fill>
      <patternFill patternType="solid">
        <fgColor rgb="FF92D050"/>
        <bgColor indexed="64"/>
      </patternFill>
    </fill>
    <fill>
      <patternFill patternType="solid">
        <fgColor rgb="FF9999FF"/>
        <bgColor indexed="64"/>
      </patternFill>
    </fill>
    <fill>
      <patternFill patternType="solid">
        <fgColor rgb="FFFFC000"/>
        <bgColor indexed="64"/>
      </patternFill>
    </fill>
    <fill>
      <patternFill patternType="solid">
        <fgColor theme="5" tint="0.79998168889431442"/>
        <bgColor indexed="64"/>
      </patternFill>
    </fill>
    <fill>
      <patternFill patternType="solid">
        <fgColor theme="9" tint="0.79998168889431442"/>
        <bgColor indexed="64"/>
      </patternFill>
    </fill>
    <fill>
      <patternFill patternType="solid">
        <fgColor theme="3" tint="0.59999389629810485"/>
        <bgColor indexed="64"/>
      </patternFill>
    </fill>
    <fill>
      <patternFill patternType="solid">
        <fgColor rgb="FFEEBBEF"/>
        <bgColor indexed="64"/>
      </patternFill>
    </fill>
    <fill>
      <patternFill patternType="solid">
        <fgColor theme="2" tint="-9.9978637043366805E-2"/>
        <bgColor indexed="64"/>
      </patternFill>
    </fill>
    <fill>
      <patternFill patternType="solid">
        <fgColor theme="2" tint="-0.499984740745262"/>
        <bgColor indexed="64"/>
      </patternFill>
    </fill>
    <fill>
      <patternFill patternType="solid">
        <fgColor rgb="FFFFFF00"/>
        <bgColor indexed="64"/>
      </patternFill>
    </fill>
    <fill>
      <patternFill patternType="solid">
        <fgColor theme="7" tint="0.79998168889431442"/>
        <bgColor indexed="64"/>
      </patternFill>
    </fill>
    <fill>
      <patternFill patternType="solid">
        <fgColor rgb="FF00B050"/>
        <bgColor indexed="64"/>
      </patternFill>
    </fill>
    <fill>
      <patternFill patternType="solid">
        <fgColor rgb="FFFF0066"/>
        <bgColor indexed="64"/>
      </patternFill>
    </fill>
    <fill>
      <patternFill patternType="solid">
        <fgColor theme="0"/>
        <bgColor indexed="31"/>
      </patternFill>
    </fill>
    <fill>
      <patternFill patternType="solid">
        <fgColor theme="4"/>
        <bgColor theme="4"/>
      </patternFill>
    </fill>
    <fill>
      <patternFill patternType="solid">
        <fgColor theme="0" tint="-0.14999847407452621"/>
        <bgColor indexed="64"/>
      </patternFill>
    </fill>
    <fill>
      <patternFill patternType="solid">
        <fgColor theme="6"/>
        <bgColor indexed="64"/>
      </patternFill>
    </fill>
    <fill>
      <patternFill patternType="solid">
        <fgColor theme="2" tint="-0.249977111117893"/>
        <bgColor indexed="64"/>
      </patternFill>
    </fill>
    <fill>
      <patternFill patternType="solid">
        <fgColor theme="3" tint="0.749992370372631"/>
        <bgColor indexed="64"/>
      </patternFill>
    </fill>
    <fill>
      <patternFill patternType="solid">
        <fgColor rgb="FFFFFF99"/>
        <bgColor indexed="64"/>
      </patternFill>
    </fill>
    <fill>
      <patternFill patternType="solid">
        <fgColor rgb="FF00B0F0"/>
        <bgColor indexed="64"/>
      </patternFill>
    </fill>
    <fill>
      <patternFill patternType="solid">
        <fgColor rgb="FFDAEEF3"/>
        <bgColor indexed="64"/>
      </patternFill>
    </fill>
    <fill>
      <patternFill patternType="solid">
        <fgColor theme="9" tint="0.79998168889431442"/>
        <bgColor theme="9" tint="0.79998168889431442"/>
      </patternFill>
    </fill>
    <fill>
      <patternFill patternType="solid">
        <fgColor theme="9"/>
        <bgColor theme="9"/>
      </patternFill>
    </fill>
    <fill>
      <patternFill patternType="solid">
        <fgColor rgb="FFFFFF00"/>
        <bgColor rgb="FF000000"/>
      </patternFill>
    </fill>
    <fill>
      <patternFill patternType="solid">
        <fgColor rgb="FFFFFFFF"/>
        <bgColor rgb="FF000000"/>
      </patternFill>
    </fill>
    <fill>
      <patternFill patternType="solid">
        <fgColor rgb="FF305496"/>
        <bgColor rgb="FF000000"/>
      </patternFill>
    </fill>
  </fills>
  <borders count="61">
    <border>
      <left/>
      <right/>
      <top/>
      <bottom/>
      <diagonal/>
    </border>
    <border>
      <left/>
      <right/>
      <top/>
      <bottom style="thin">
        <color indexed="64"/>
      </bottom>
      <diagonal/>
    </border>
    <border>
      <left style="thin">
        <color auto="1"/>
      </left>
      <right style="thin">
        <color auto="1"/>
      </right>
      <top style="thin">
        <color auto="1"/>
      </top>
      <bottom style="thin">
        <color auto="1"/>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right style="thin">
        <color indexed="64"/>
      </right>
      <top style="thin">
        <color indexed="64"/>
      </top>
      <bottom/>
      <diagonal/>
    </border>
    <border>
      <left/>
      <right/>
      <top style="thin">
        <color indexed="64"/>
      </top>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style="thin">
        <color indexed="64"/>
      </top>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right style="medium">
        <color indexed="64"/>
      </right>
      <top style="thin">
        <color indexed="64"/>
      </top>
      <bottom style="thin">
        <color indexed="64"/>
      </bottom>
      <diagonal/>
    </border>
    <border>
      <left style="medium">
        <color indexed="64"/>
      </left>
      <right style="medium">
        <color indexed="64"/>
      </right>
      <top style="thin">
        <color indexed="64"/>
      </top>
      <bottom style="thin">
        <color indexed="64"/>
      </bottom>
      <diagonal/>
    </border>
    <border>
      <left style="medium">
        <color indexed="64"/>
      </left>
      <right/>
      <top style="thin">
        <color indexed="64"/>
      </top>
      <bottom style="thin">
        <color indexed="64"/>
      </bottom>
      <diagonal/>
    </border>
    <border>
      <left/>
      <right/>
      <top style="thin">
        <color indexed="64"/>
      </top>
      <bottom style="thin">
        <color indexed="64"/>
      </bottom>
      <diagonal/>
    </border>
    <border>
      <left/>
      <right style="medium">
        <color indexed="64"/>
      </right>
      <top/>
      <bottom style="thin">
        <color indexed="64"/>
      </bottom>
      <diagonal/>
    </border>
    <border>
      <left style="medium">
        <color indexed="64"/>
      </left>
      <right style="medium">
        <color indexed="64"/>
      </right>
      <top style="thin">
        <color indexed="64"/>
      </top>
      <bottom style="medium">
        <color indexed="64"/>
      </bottom>
      <diagonal/>
    </border>
    <border>
      <left style="medium">
        <color indexed="64"/>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bottom style="thin">
        <color indexed="64"/>
      </bottom>
      <diagonal/>
    </border>
    <border>
      <left style="medium">
        <color indexed="64"/>
      </left>
      <right style="medium">
        <color indexed="64"/>
      </right>
      <top style="medium">
        <color indexed="64"/>
      </top>
      <bottom style="thin">
        <color indexed="64"/>
      </bottom>
      <diagonal/>
    </border>
    <border>
      <left style="medium">
        <color indexed="64"/>
      </left>
      <right/>
      <top style="thin">
        <color indexed="64"/>
      </top>
      <bottom/>
      <diagonal/>
    </border>
    <border>
      <left/>
      <right style="medium">
        <color indexed="64"/>
      </right>
      <top style="thin">
        <color indexed="64"/>
      </top>
      <bottom/>
      <diagonal/>
    </border>
    <border>
      <left/>
      <right style="medium">
        <color indexed="64"/>
      </right>
      <top/>
      <bottom style="medium">
        <color indexed="64"/>
      </bottom>
      <diagonal/>
    </border>
    <border>
      <left style="medium">
        <color indexed="64"/>
      </left>
      <right style="thin">
        <color indexed="64"/>
      </right>
      <top style="medium">
        <color indexed="64"/>
      </top>
      <bottom/>
      <diagonal/>
    </border>
    <border>
      <left style="medium">
        <color indexed="64"/>
      </left>
      <right/>
      <top/>
      <bottom style="medium">
        <color indexed="64"/>
      </bottom>
      <diagonal/>
    </border>
    <border>
      <left/>
      <right/>
      <top/>
      <bottom style="medium">
        <color indexed="64"/>
      </bottom>
      <diagonal/>
    </border>
    <border>
      <left style="medium">
        <color indexed="64"/>
      </left>
      <right style="thin">
        <color indexed="64"/>
      </right>
      <top/>
      <bottom style="thin">
        <color indexed="64"/>
      </bottom>
      <diagonal/>
    </border>
    <border>
      <left style="medium">
        <color indexed="64"/>
      </left>
      <right/>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diagonal/>
    </border>
    <border>
      <left style="medium">
        <color indexed="64"/>
      </left>
      <right style="medium">
        <color indexed="64"/>
      </right>
      <top/>
      <bottom style="medium">
        <color indexed="64"/>
      </bottom>
      <diagonal/>
    </border>
    <border>
      <left style="thin">
        <color auto="1"/>
      </left>
      <right/>
      <top/>
      <bottom/>
      <diagonal/>
    </border>
    <border>
      <left style="thin">
        <color indexed="64"/>
      </left>
      <right/>
      <top/>
      <bottom style="thin">
        <color indexed="64"/>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
      <left/>
      <right/>
      <top style="thin">
        <color rgb="FF000000"/>
      </top>
      <bottom/>
      <diagonal/>
    </border>
    <border>
      <left style="thin">
        <color theme="9" tint="0.39997558519241921"/>
      </left>
      <right/>
      <top style="thin">
        <color theme="9" tint="0.39997558519241921"/>
      </top>
      <bottom style="thin">
        <color theme="9" tint="0.39997558519241921"/>
      </bottom>
      <diagonal/>
    </border>
    <border>
      <left/>
      <right/>
      <top style="thin">
        <color theme="9" tint="0.39997558519241921"/>
      </top>
      <bottom style="thin">
        <color theme="9" tint="0.39997558519241921"/>
      </bottom>
      <diagonal/>
    </border>
    <border>
      <left/>
      <right/>
      <top style="thin">
        <color theme="4"/>
      </top>
      <bottom style="thin">
        <color theme="4"/>
      </bottom>
      <diagonal/>
    </border>
    <border>
      <left style="thin">
        <color indexed="64"/>
      </left>
      <right style="thin">
        <color indexed="64"/>
      </right>
      <top/>
      <bottom/>
      <diagonal/>
    </border>
    <border>
      <left/>
      <right style="thin">
        <color indexed="64"/>
      </right>
      <top/>
      <bottom/>
      <diagonal/>
    </border>
    <border>
      <left/>
      <right style="thin">
        <color rgb="FF000000"/>
      </right>
      <top/>
      <bottom style="thin">
        <color rgb="FF000000"/>
      </bottom>
      <diagonal/>
    </border>
    <border>
      <left style="thin">
        <color rgb="FF000000"/>
      </left>
      <right style="thin">
        <color rgb="FF000000"/>
      </right>
      <top/>
      <bottom style="thin">
        <color rgb="FF000000"/>
      </bottom>
      <diagonal/>
    </border>
    <border>
      <left style="thin">
        <color rgb="FF000000"/>
      </left>
      <right/>
      <top/>
      <bottom style="thin">
        <color rgb="FF000000"/>
      </bottom>
      <diagonal/>
    </border>
    <border>
      <left/>
      <right style="thin">
        <color rgb="FF000000"/>
      </right>
      <top/>
      <bottom/>
      <diagonal/>
    </border>
    <border>
      <left style="thin">
        <color rgb="FF000000"/>
      </left>
      <right style="thin">
        <color rgb="FF000000"/>
      </right>
      <top style="thin">
        <color rgb="FF000000"/>
      </top>
      <bottom style="thin">
        <color rgb="FF000000"/>
      </bottom>
      <diagonal/>
    </border>
  </borders>
  <cellStyleXfs count="15">
    <xf numFmtId="0" fontId="0" fillId="0" borderId="0"/>
    <xf numFmtId="44" fontId="1" fillId="0" borderId="0" applyFont="0" applyFill="0" applyBorder="0" applyAlignment="0" applyProtection="0"/>
    <xf numFmtId="9" fontId="1" fillId="0" borderId="0" applyFont="0" applyFill="0" applyBorder="0" applyAlignment="0" applyProtection="0"/>
    <xf numFmtId="0" fontId="3" fillId="0" borderId="0"/>
    <xf numFmtId="164" fontId="3" fillId="0" borderId="0" applyFill="0" applyBorder="0" applyAlignment="0" applyProtection="0"/>
    <xf numFmtId="0" fontId="1" fillId="0" borderId="0"/>
    <xf numFmtId="166" fontId="3" fillId="0" borderId="0" applyFont="0" applyFill="0" applyBorder="0" applyAlignment="0" applyProtection="0"/>
    <xf numFmtId="9" fontId="3" fillId="0" borderId="0" applyFill="0" applyBorder="0" applyAlignment="0" applyProtection="0"/>
    <xf numFmtId="0" fontId="3" fillId="0" borderId="0"/>
    <xf numFmtId="166" fontId="3" fillId="0" borderId="0" applyFont="0" applyFill="0" applyBorder="0" applyAlignment="0" applyProtection="0"/>
    <xf numFmtId="172" fontId="3" fillId="0" borderId="0" applyFill="0" applyBorder="0" applyAlignment="0" applyProtection="0"/>
    <xf numFmtId="0" fontId="1" fillId="0" borderId="0"/>
    <xf numFmtId="43" fontId="1" fillId="0" borderId="0" applyFont="0" applyFill="0" applyBorder="0" applyAlignment="0" applyProtection="0"/>
    <xf numFmtId="0" fontId="3" fillId="0" borderId="0"/>
    <xf numFmtId="0" fontId="3" fillId="0" borderId="0"/>
  </cellStyleXfs>
  <cellXfs count="426">
    <xf numFmtId="0" fontId="0" fillId="0" borderId="0" xfId="0"/>
    <xf numFmtId="0" fontId="4" fillId="0" borderId="0" xfId="3" applyFont="1"/>
    <xf numFmtId="0" fontId="6" fillId="5" borderId="2" xfId="3" applyFont="1" applyFill="1" applyBorder="1" applyAlignment="1">
      <alignment horizontal="center" vertical="center" wrapText="1"/>
    </xf>
    <xf numFmtId="0" fontId="6" fillId="6" borderId="2" xfId="3" applyFont="1" applyFill="1" applyBorder="1" applyAlignment="1">
      <alignment horizontal="center" vertical="center" wrapText="1"/>
    </xf>
    <xf numFmtId="0" fontId="7" fillId="7" borderId="2" xfId="3" applyFont="1" applyFill="1" applyBorder="1" applyAlignment="1">
      <alignment vertical="center"/>
    </xf>
    <xf numFmtId="0" fontId="4" fillId="2" borderId="0" xfId="3" applyFont="1" applyFill="1"/>
    <xf numFmtId="0" fontId="4" fillId="8" borderId="2" xfId="3" applyFont="1" applyFill="1" applyBorder="1"/>
    <xf numFmtId="0" fontId="4" fillId="0" borderId="2" xfId="3" applyFont="1" applyBorder="1"/>
    <xf numFmtId="0" fontId="4" fillId="10" borderId="0" xfId="3" applyFont="1" applyFill="1"/>
    <xf numFmtId="0" fontId="4" fillId="0" borderId="2" xfId="0" applyFont="1" applyBorder="1"/>
    <xf numFmtId="0" fontId="4" fillId="9" borderId="0" xfId="3" applyFont="1" applyFill="1"/>
    <xf numFmtId="0" fontId="3" fillId="0" borderId="0" xfId="3"/>
    <xf numFmtId="0" fontId="6" fillId="11" borderId="2" xfId="3" applyFont="1" applyFill="1" applyBorder="1" applyAlignment="1">
      <alignment horizontal="center" vertical="center" wrapText="1"/>
    </xf>
    <xf numFmtId="0" fontId="6" fillId="14" borderId="2" xfId="3" applyFont="1" applyFill="1" applyBorder="1" applyAlignment="1">
      <alignment horizontal="center" vertical="center" wrapText="1"/>
    </xf>
    <xf numFmtId="0" fontId="6" fillId="12" borderId="2" xfId="3" applyFont="1" applyFill="1" applyBorder="1" applyAlignment="1">
      <alignment horizontal="center" vertical="center" wrapText="1"/>
    </xf>
    <xf numFmtId="0" fontId="6" fillId="15" borderId="6" xfId="3" applyFont="1" applyFill="1" applyBorder="1" applyAlignment="1">
      <alignment horizontal="center" vertical="center" wrapText="1"/>
    </xf>
    <xf numFmtId="0" fontId="6" fillId="4" borderId="5" xfId="3" applyFont="1" applyFill="1" applyBorder="1" applyAlignment="1">
      <alignment horizontal="center" vertical="center" wrapText="1"/>
    </xf>
    <xf numFmtId="0" fontId="6" fillId="13" borderId="5" xfId="3" applyFont="1" applyFill="1" applyBorder="1" applyAlignment="1">
      <alignment horizontal="center" vertical="center" wrapText="1"/>
    </xf>
    <xf numFmtId="0" fontId="6" fillId="6" borderId="3" xfId="3" applyFont="1" applyFill="1" applyBorder="1" applyAlignment="1">
      <alignment horizontal="center" vertical="center" wrapText="1"/>
    </xf>
    <xf numFmtId="0" fontId="0" fillId="0" borderId="0" xfId="0" applyAlignment="1">
      <alignment horizontal="center" vertical="center" wrapText="1"/>
    </xf>
    <xf numFmtId="0" fontId="0" fillId="0" borderId="0" xfId="0" applyAlignment="1">
      <alignment horizontal="center"/>
    </xf>
    <xf numFmtId="44" fontId="0" fillId="0" borderId="0" xfId="1" applyFont="1"/>
    <xf numFmtId="44" fontId="0" fillId="0" borderId="0" xfId="0" applyNumberFormat="1"/>
    <xf numFmtId="0" fontId="0" fillId="20" borderId="0" xfId="0" applyFill="1" applyAlignment="1">
      <alignment horizontal="center" vertical="center" wrapText="1"/>
    </xf>
    <xf numFmtId="165" fontId="0" fillId="0" borderId="0" xfId="0" applyNumberFormat="1" applyAlignment="1">
      <alignment horizontal="center"/>
    </xf>
    <xf numFmtId="44" fontId="0" fillId="0" borderId="0" xfId="0" applyNumberFormat="1" applyAlignment="1">
      <alignment horizontal="center"/>
    </xf>
    <xf numFmtId="10" fontId="0" fillId="0" borderId="0" xfId="2" applyNumberFormat="1" applyFont="1" applyAlignment="1">
      <alignment horizontal="center"/>
    </xf>
    <xf numFmtId="0" fontId="0" fillId="0" borderId="0" xfId="0" applyAlignment="1">
      <alignment horizontal="left"/>
    </xf>
    <xf numFmtId="167" fontId="0" fillId="0" borderId="0" xfId="2" applyNumberFormat="1" applyFont="1" applyAlignment="1">
      <alignment horizontal="center"/>
    </xf>
    <xf numFmtId="0" fontId="10" fillId="0" borderId="2" xfId="0" applyFont="1" applyBorder="1" applyAlignment="1">
      <alignment horizontal="center" vertical="center" wrapText="1"/>
    </xf>
    <xf numFmtId="0" fontId="10" fillId="17" borderId="2" xfId="0" applyFont="1" applyFill="1" applyBorder="1" applyAlignment="1">
      <alignment horizontal="center" vertical="center" wrapText="1"/>
    </xf>
    <xf numFmtId="0" fontId="10" fillId="18" borderId="2" xfId="0" applyFont="1" applyFill="1" applyBorder="1" applyAlignment="1">
      <alignment horizontal="center" vertical="center" wrapText="1"/>
    </xf>
    <xf numFmtId="0" fontId="10" fillId="19" borderId="2" xfId="0" applyFont="1" applyFill="1" applyBorder="1" applyAlignment="1">
      <alignment horizontal="center" vertical="center" wrapText="1"/>
    </xf>
    <xf numFmtId="0" fontId="10" fillId="20" borderId="2" xfId="0" applyFont="1" applyFill="1" applyBorder="1" applyAlignment="1">
      <alignment horizontal="center" vertical="center" wrapText="1"/>
    </xf>
    <xf numFmtId="0" fontId="5" fillId="2" borderId="19" xfId="3" applyFont="1" applyFill="1" applyBorder="1" applyAlignment="1">
      <alignment horizontal="center" vertical="center"/>
    </xf>
    <xf numFmtId="168" fontId="3" fillId="2" borderId="23" xfId="3" applyNumberFormat="1" applyFill="1" applyBorder="1" applyAlignment="1">
      <alignment horizontal="center" vertical="center"/>
    </xf>
    <xf numFmtId="0" fontId="5" fillId="2" borderId="24" xfId="3" applyFont="1" applyFill="1" applyBorder="1" applyAlignment="1">
      <alignment horizontal="center" vertical="center"/>
    </xf>
    <xf numFmtId="0" fontId="3" fillId="2" borderId="27" xfId="3" applyFill="1" applyBorder="1" applyAlignment="1">
      <alignment horizontal="center" vertical="center"/>
    </xf>
    <xf numFmtId="0" fontId="5" fillId="2" borderId="28" xfId="3" applyFont="1" applyFill="1" applyBorder="1" applyAlignment="1">
      <alignment horizontal="center" vertical="center"/>
    </xf>
    <xf numFmtId="0" fontId="5" fillId="21" borderId="14" xfId="3" applyFont="1" applyFill="1" applyBorder="1" applyAlignment="1">
      <alignment horizontal="center" vertical="center"/>
    </xf>
    <xf numFmtId="0" fontId="5" fillId="21" borderId="15" xfId="3" applyFont="1" applyFill="1" applyBorder="1" applyAlignment="1">
      <alignment horizontal="center" vertical="center"/>
    </xf>
    <xf numFmtId="0" fontId="3" fillId="2" borderId="14" xfId="3" applyFill="1" applyBorder="1"/>
    <xf numFmtId="0" fontId="3" fillId="2" borderId="15" xfId="3" applyFill="1" applyBorder="1"/>
    <xf numFmtId="0" fontId="5" fillId="2" borderId="31" xfId="3" applyFont="1" applyFill="1" applyBorder="1" applyAlignment="1">
      <alignment horizontal="center" vertical="center"/>
    </xf>
    <xf numFmtId="0" fontId="5" fillId="2" borderId="16" xfId="3" applyFont="1" applyFill="1" applyBorder="1" applyAlignment="1">
      <alignment horizontal="center" vertical="center"/>
    </xf>
    <xf numFmtId="0" fontId="5" fillId="2" borderId="18" xfId="3" applyFont="1" applyFill="1" applyBorder="1" applyAlignment="1">
      <alignment horizontal="center" vertical="center"/>
    </xf>
    <xf numFmtId="0" fontId="5" fillId="2" borderId="32" xfId="3" applyFont="1" applyFill="1" applyBorder="1" applyAlignment="1">
      <alignment horizontal="center" vertical="center"/>
    </xf>
    <xf numFmtId="166" fontId="0" fillId="2" borderId="27" xfId="6" applyFont="1" applyFill="1" applyBorder="1" applyAlignment="1">
      <alignment vertical="center"/>
    </xf>
    <xf numFmtId="166" fontId="0" fillId="2" borderId="23" xfId="6" applyFont="1" applyFill="1" applyBorder="1" applyAlignment="1">
      <alignment vertical="center"/>
    </xf>
    <xf numFmtId="10" fontId="3" fillId="2" borderId="23" xfId="7" applyNumberFormat="1" applyFill="1" applyBorder="1" applyAlignment="1">
      <alignment horizontal="center" vertical="center"/>
    </xf>
    <xf numFmtId="166" fontId="0" fillId="2" borderId="30" xfId="6" applyFont="1" applyFill="1" applyBorder="1" applyAlignment="1">
      <alignment vertical="center"/>
    </xf>
    <xf numFmtId="0" fontId="5" fillId="2" borderId="17" xfId="3" applyFont="1" applyFill="1" applyBorder="1" applyAlignment="1">
      <alignment horizontal="center" vertical="center"/>
    </xf>
    <xf numFmtId="166" fontId="5" fillId="2" borderId="31" xfId="6" applyFont="1" applyFill="1" applyBorder="1" applyAlignment="1">
      <alignment vertical="center"/>
    </xf>
    <xf numFmtId="0" fontId="5" fillId="2" borderId="14" xfId="3" applyFont="1" applyFill="1" applyBorder="1" applyAlignment="1">
      <alignment horizontal="center" vertical="center"/>
    </xf>
    <xf numFmtId="2" fontId="5" fillId="2" borderId="15" xfId="3" applyNumberFormat="1" applyFont="1" applyFill="1" applyBorder="1" applyAlignment="1">
      <alignment vertical="center"/>
    </xf>
    <xf numFmtId="10" fontId="3" fillId="2" borderId="33" xfId="3" applyNumberFormat="1" applyFill="1" applyBorder="1" applyAlignment="1">
      <alignment horizontal="center" vertical="center"/>
    </xf>
    <xf numFmtId="166" fontId="0" fillId="2" borderId="22" xfId="6" applyFont="1" applyFill="1" applyBorder="1" applyAlignment="1">
      <alignment vertical="center"/>
    </xf>
    <xf numFmtId="10" fontId="3" fillId="2" borderId="24" xfId="3" applyNumberFormat="1" applyFill="1" applyBorder="1" applyAlignment="1">
      <alignment horizontal="center" vertical="center"/>
    </xf>
    <xf numFmtId="10" fontId="5" fillId="2" borderId="16" xfId="3" applyNumberFormat="1" applyFont="1" applyFill="1" applyBorder="1" applyAlignment="1">
      <alignment horizontal="center" vertical="center"/>
    </xf>
    <xf numFmtId="10" fontId="5" fillId="2" borderId="17" xfId="3" applyNumberFormat="1" applyFont="1" applyFill="1" applyBorder="1" applyAlignment="1">
      <alignment horizontal="center" vertical="center"/>
    </xf>
    <xf numFmtId="166" fontId="5" fillId="2" borderId="18" xfId="6" applyFont="1" applyFill="1" applyBorder="1" applyAlignment="1">
      <alignment vertical="center"/>
    </xf>
    <xf numFmtId="0" fontId="5" fillId="2" borderId="33" xfId="3" applyFont="1" applyFill="1" applyBorder="1" applyAlignment="1">
      <alignment horizontal="center" vertical="center"/>
    </xf>
    <xf numFmtId="10" fontId="3" fillId="2" borderId="27" xfId="3" applyNumberFormat="1" applyFill="1" applyBorder="1" applyAlignment="1">
      <alignment horizontal="center" vertical="center"/>
    </xf>
    <xf numFmtId="10" fontId="3" fillId="2" borderId="35" xfId="3" applyNumberFormat="1" applyFill="1" applyBorder="1" applyAlignment="1">
      <alignment horizontal="center" vertical="center"/>
    </xf>
    <xf numFmtId="166" fontId="0" fillId="2" borderId="35" xfId="6" applyFont="1" applyFill="1" applyBorder="1" applyAlignment="1">
      <alignment vertical="center"/>
    </xf>
    <xf numFmtId="0" fontId="5" fillId="2" borderId="31" xfId="3" applyFont="1" applyFill="1" applyBorder="1" applyAlignment="1">
      <alignment vertical="center"/>
    </xf>
    <xf numFmtId="10" fontId="5" fillId="2" borderId="18" xfId="3" applyNumberFormat="1" applyFont="1" applyFill="1" applyBorder="1" applyAlignment="1">
      <alignment horizontal="center" vertical="center"/>
    </xf>
    <xf numFmtId="10" fontId="3" fillId="2" borderId="31" xfId="3" applyNumberFormat="1" applyFill="1" applyBorder="1" applyAlignment="1">
      <alignment horizontal="center" vertical="center"/>
    </xf>
    <xf numFmtId="166" fontId="0" fillId="2" borderId="18" xfId="6" applyFont="1" applyFill="1" applyBorder="1" applyAlignment="1">
      <alignment vertical="center"/>
    </xf>
    <xf numFmtId="10" fontId="5" fillId="2" borderId="31" xfId="3" applyNumberFormat="1" applyFont="1" applyFill="1" applyBorder="1" applyAlignment="1">
      <alignment horizontal="center" vertical="center"/>
    </xf>
    <xf numFmtId="166" fontId="5" fillId="2" borderId="36" xfId="6" applyFont="1" applyFill="1" applyBorder="1" applyAlignment="1">
      <alignment vertical="center"/>
    </xf>
    <xf numFmtId="0" fontId="5" fillId="21" borderId="16" xfId="3" applyFont="1" applyFill="1" applyBorder="1" applyAlignment="1">
      <alignment vertical="center"/>
    </xf>
    <xf numFmtId="0" fontId="5" fillId="21" borderId="17" xfId="3" applyFont="1" applyFill="1" applyBorder="1" applyAlignment="1">
      <alignment vertical="center"/>
    </xf>
    <xf numFmtId="0" fontId="5" fillId="21" borderId="18" xfId="3" applyFont="1" applyFill="1" applyBorder="1" applyAlignment="1">
      <alignment vertical="center"/>
    </xf>
    <xf numFmtId="0" fontId="5" fillId="2" borderId="37" xfId="3" applyFont="1" applyFill="1" applyBorder="1" applyAlignment="1">
      <alignment horizontal="center" vertical="center"/>
    </xf>
    <xf numFmtId="170" fontId="3" fillId="2" borderId="27" xfId="4" applyNumberFormat="1" applyFill="1" applyBorder="1" applyAlignment="1">
      <alignment horizontal="left" vertical="center"/>
    </xf>
    <xf numFmtId="170" fontId="3" fillId="2" borderId="23" xfId="4" applyNumberFormat="1" applyFill="1" applyBorder="1" applyAlignment="1">
      <alignment horizontal="left" vertical="center"/>
    </xf>
    <xf numFmtId="166" fontId="0" fillId="2" borderId="23" xfId="6" applyFont="1" applyFill="1" applyBorder="1" applyAlignment="1">
      <alignment horizontal="right" vertical="center"/>
    </xf>
    <xf numFmtId="170" fontId="3" fillId="2" borderId="35" xfId="4" applyNumberFormat="1" applyFill="1" applyBorder="1" applyAlignment="1">
      <alignment horizontal="left" vertical="center"/>
    </xf>
    <xf numFmtId="166" fontId="0" fillId="2" borderId="35" xfId="6" applyFont="1" applyFill="1" applyBorder="1" applyAlignment="1">
      <alignment horizontal="right" vertical="center"/>
    </xf>
    <xf numFmtId="170" fontId="3" fillId="2" borderId="28" xfId="4" applyNumberFormat="1" applyFill="1" applyBorder="1" applyAlignment="1">
      <alignment horizontal="center" vertical="center"/>
    </xf>
    <xf numFmtId="166" fontId="0" fillId="2" borderId="30" xfId="6" applyFont="1" applyFill="1" applyBorder="1" applyAlignment="1">
      <alignment horizontal="right" vertical="center"/>
    </xf>
    <xf numFmtId="0" fontId="5" fillId="2" borderId="39" xfId="3" applyFont="1" applyFill="1" applyBorder="1" applyAlignment="1">
      <alignment horizontal="center" vertical="center"/>
    </xf>
    <xf numFmtId="0" fontId="5" fillId="2" borderId="36" xfId="3" applyFont="1" applyFill="1" applyBorder="1" applyAlignment="1">
      <alignment horizontal="center" vertical="center"/>
    </xf>
    <xf numFmtId="0" fontId="5" fillId="21" borderId="14" xfId="3" applyFont="1" applyFill="1" applyBorder="1" applyAlignment="1">
      <alignment vertical="center"/>
    </xf>
    <xf numFmtId="0" fontId="5" fillId="21" borderId="15" xfId="3" applyFont="1" applyFill="1" applyBorder="1" applyAlignment="1">
      <alignment vertical="center"/>
    </xf>
    <xf numFmtId="0" fontId="5" fillId="2" borderId="40" xfId="3" applyFont="1" applyFill="1" applyBorder="1" applyAlignment="1">
      <alignment horizontal="center" vertical="center"/>
    </xf>
    <xf numFmtId="0" fontId="5" fillId="2" borderId="42" xfId="3" applyFont="1" applyFill="1" applyBorder="1" applyAlignment="1">
      <alignment horizontal="center" vertical="center"/>
    </xf>
    <xf numFmtId="0" fontId="5" fillId="2" borderId="43" xfId="3" applyFont="1" applyFill="1" applyBorder="1" applyAlignment="1">
      <alignment horizontal="center" vertical="center"/>
    </xf>
    <xf numFmtId="10" fontId="3" fillId="2" borderId="28" xfId="3" applyNumberFormat="1" applyFill="1" applyBorder="1" applyAlignment="1">
      <alignment horizontal="center" vertical="center"/>
    </xf>
    <xf numFmtId="166" fontId="0" fillId="2" borderId="15" xfId="6" applyFont="1" applyFill="1" applyBorder="1" applyAlignment="1">
      <alignment vertical="center"/>
    </xf>
    <xf numFmtId="10" fontId="5" fillId="2" borderId="44" xfId="3" applyNumberFormat="1" applyFont="1" applyFill="1" applyBorder="1" applyAlignment="1">
      <alignment horizontal="center" vertical="center"/>
    </xf>
    <xf numFmtId="0" fontId="5" fillId="2" borderId="14" xfId="3" applyFont="1" applyFill="1" applyBorder="1" applyAlignment="1">
      <alignment vertical="center"/>
    </xf>
    <xf numFmtId="0" fontId="5" fillId="2" borderId="15" xfId="3" applyFont="1" applyFill="1" applyBorder="1" applyAlignment="1">
      <alignment vertical="center"/>
    </xf>
    <xf numFmtId="10" fontId="3" fillId="0" borderId="23" xfId="3" applyNumberFormat="1" applyBorder="1" applyAlignment="1">
      <alignment horizontal="center" vertical="center"/>
    </xf>
    <xf numFmtId="166" fontId="5" fillId="2" borderId="15" xfId="6" applyFont="1" applyFill="1" applyBorder="1" applyAlignment="1">
      <alignment vertical="center"/>
    </xf>
    <xf numFmtId="166" fontId="0" fillId="2" borderId="31" xfId="6" applyFont="1" applyFill="1" applyBorder="1" applyAlignment="1">
      <alignment vertical="center"/>
    </xf>
    <xf numFmtId="10" fontId="5" fillId="2" borderId="24" xfId="3" applyNumberFormat="1" applyFont="1" applyFill="1" applyBorder="1" applyAlignment="1">
      <alignment horizontal="center" vertical="center"/>
    </xf>
    <xf numFmtId="166" fontId="0" fillId="2" borderId="24" xfId="6" applyFont="1" applyFill="1" applyBorder="1" applyAlignment="1">
      <alignment vertical="center"/>
    </xf>
    <xf numFmtId="0" fontId="5" fillId="2" borderId="44" xfId="3" applyFont="1" applyFill="1" applyBorder="1" applyAlignment="1">
      <alignment horizontal="center" vertical="center"/>
    </xf>
    <xf numFmtId="166" fontId="0" fillId="2" borderId="44" xfId="6" applyFont="1" applyFill="1" applyBorder="1" applyAlignment="1">
      <alignment vertical="center"/>
    </xf>
    <xf numFmtId="0" fontId="3" fillId="2" borderId="36" xfId="3" applyFill="1" applyBorder="1"/>
    <xf numFmtId="166" fontId="0" fillId="2" borderId="23" xfId="6" applyFont="1" applyFill="1" applyBorder="1" applyAlignment="1">
      <alignment horizontal="center" vertical="center"/>
    </xf>
    <xf numFmtId="0" fontId="5" fillId="21" borderId="24" xfId="3" applyFont="1" applyFill="1" applyBorder="1" applyAlignment="1">
      <alignment horizontal="center" vertical="center"/>
    </xf>
    <xf numFmtId="0" fontId="5" fillId="21" borderId="44" xfId="3" applyFont="1" applyFill="1" applyBorder="1" applyAlignment="1">
      <alignment horizontal="center" vertical="center"/>
    </xf>
    <xf numFmtId="166" fontId="0" fillId="2" borderId="36" xfId="6" applyFont="1" applyFill="1" applyBorder="1" applyAlignment="1">
      <alignment vertical="center"/>
    </xf>
    <xf numFmtId="0" fontId="5" fillId="2" borderId="18" xfId="3" applyFont="1" applyFill="1" applyBorder="1" applyAlignment="1">
      <alignment vertical="center" wrapText="1"/>
    </xf>
    <xf numFmtId="164" fontId="3" fillId="2" borderId="27" xfId="4" applyFill="1" applyBorder="1" applyAlignment="1">
      <alignment vertical="center"/>
    </xf>
    <xf numFmtId="166" fontId="3" fillId="2" borderId="27" xfId="6" applyFill="1" applyBorder="1" applyAlignment="1">
      <alignment vertical="center"/>
    </xf>
    <xf numFmtId="164" fontId="3" fillId="2" borderId="23" xfId="4" applyFill="1" applyBorder="1" applyAlignment="1">
      <alignment vertical="center"/>
    </xf>
    <xf numFmtId="166" fontId="3" fillId="2" borderId="23" xfId="6" applyFill="1" applyBorder="1" applyAlignment="1">
      <alignment vertical="center"/>
    </xf>
    <xf numFmtId="10" fontId="0" fillId="2" borderId="25" xfId="7" applyNumberFormat="1" applyFont="1" applyFill="1" applyBorder="1" applyAlignment="1">
      <alignment horizontal="center" vertical="center"/>
    </xf>
    <xf numFmtId="10" fontId="0" fillId="2" borderId="24" xfId="7" applyNumberFormat="1" applyFont="1" applyFill="1" applyBorder="1" applyAlignment="1">
      <alignment horizontal="center" vertical="center"/>
    </xf>
    <xf numFmtId="0" fontId="3" fillId="2" borderId="24" xfId="3" applyFill="1" applyBorder="1" applyAlignment="1">
      <alignment vertical="center"/>
    </xf>
    <xf numFmtId="166" fontId="3" fillId="2" borderId="24" xfId="6" applyFill="1" applyBorder="1" applyAlignment="1">
      <alignment vertical="center"/>
    </xf>
    <xf numFmtId="166" fontId="3" fillId="2" borderId="35" xfId="6" applyFill="1" applyBorder="1" applyAlignment="1">
      <alignment vertical="center"/>
    </xf>
    <xf numFmtId="166" fontId="5" fillId="2" borderId="19" xfId="6" applyFont="1" applyFill="1" applyBorder="1" applyAlignment="1">
      <alignment vertical="center"/>
    </xf>
    <xf numFmtId="0" fontId="3" fillId="2" borderId="11" xfId="3" applyFill="1" applyBorder="1" applyAlignment="1">
      <alignment horizontal="center" vertical="center"/>
    </xf>
    <xf numFmtId="0" fontId="3" fillId="2" borderId="12" xfId="3" applyFill="1" applyBorder="1" applyAlignment="1">
      <alignment horizontal="center" vertical="center"/>
    </xf>
    <xf numFmtId="2" fontId="5" fillId="2" borderId="13" xfId="3" applyNumberFormat="1" applyFont="1" applyFill="1" applyBorder="1" applyAlignment="1">
      <alignment vertical="center"/>
    </xf>
    <xf numFmtId="166" fontId="5" fillId="2" borderId="23" xfId="6" applyFont="1" applyFill="1" applyBorder="1" applyAlignment="1">
      <alignment vertical="center"/>
    </xf>
    <xf numFmtId="0" fontId="3" fillId="2" borderId="11" xfId="3" applyFill="1" applyBorder="1" applyAlignment="1">
      <alignment vertical="center"/>
    </xf>
    <xf numFmtId="0" fontId="3" fillId="2" borderId="12" xfId="3" applyFill="1" applyBorder="1" applyAlignment="1">
      <alignment vertical="center"/>
    </xf>
    <xf numFmtId="0" fontId="3" fillId="2" borderId="13" xfId="3" applyFill="1" applyBorder="1" applyAlignment="1">
      <alignment vertical="center"/>
    </xf>
    <xf numFmtId="0" fontId="5" fillId="21" borderId="0" xfId="3" applyFont="1" applyFill="1" applyAlignment="1">
      <alignment horizontal="center" vertical="center"/>
    </xf>
    <xf numFmtId="0" fontId="3" fillId="2" borderId="38" xfId="3" applyFill="1" applyBorder="1"/>
    <xf numFmtId="0" fontId="3" fillId="2" borderId="39" xfId="3" applyFill="1" applyBorder="1"/>
    <xf numFmtId="165" fontId="3" fillId="2" borderId="35" xfId="3" applyNumberFormat="1" applyFill="1" applyBorder="1" applyAlignment="1">
      <alignment horizontal="center" vertical="center"/>
    </xf>
    <xf numFmtId="2" fontId="3" fillId="0" borderId="23" xfId="6" applyNumberFormat="1" applyFill="1" applyBorder="1" applyAlignment="1">
      <alignment horizontal="center" vertical="center"/>
    </xf>
    <xf numFmtId="166" fontId="5" fillId="2" borderId="44" xfId="6" applyFont="1" applyFill="1" applyBorder="1" applyAlignment="1">
      <alignment vertical="center"/>
    </xf>
    <xf numFmtId="170" fontId="3" fillId="2" borderId="22" xfId="4" applyNumberFormat="1" applyFill="1" applyBorder="1" applyAlignment="1">
      <alignment horizontal="left" vertical="center"/>
    </xf>
    <xf numFmtId="166" fontId="0" fillId="2" borderId="22" xfId="6" applyFont="1" applyFill="1" applyBorder="1" applyAlignment="1">
      <alignment horizontal="right" vertical="center"/>
    </xf>
    <xf numFmtId="0" fontId="5" fillId="2" borderId="0" xfId="3" applyFont="1" applyFill="1" applyAlignment="1">
      <alignment horizontal="center" vertical="center"/>
    </xf>
    <xf numFmtId="0" fontId="5" fillId="21" borderId="0" xfId="3" applyFont="1" applyFill="1" applyAlignment="1">
      <alignment vertical="center"/>
    </xf>
    <xf numFmtId="0" fontId="3" fillId="2" borderId="0" xfId="3" applyFill="1"/>
    <xf numFmtId="0" fontId="5" fillId="2" borderId="0" xfId="3" applyFont="1" applyFill="1" applyAlignment="1">
      <alignment vertical="center"/>
    </xf>
    <xf numFmtId="10" fontId="5" fillId="2" borderId="0" xfId="3" applyNumberFormat="1" applyFont="1" applyFill="1" applyAlignment="1">
      <alignment horizontal="center" vertical="center"/>
    </xf>
    <xf numFmtId="168" fontId="3" fillId="17" borderId="23" xfId="3" applyNumberFormat="1" applyFill="1" applyBorder="1" applyAlignment="1">
      <alignment horizontal="center" vertical="center"/>
    </xf>
    <xf numFmtId="10" fontId="0" fillId="0" borderId="0" xfId="0" applyNumberFormat="1" applyAlignment="1">
      <alignment horizontal="center"/>
    </xf>
    <xf numFmtId="0" fontId="0" fillId="0" borderId="0" xfId="0" applyAlignment="1">
      <alignment horizontal="left" indent="1"/>
    </xf>
    <xf numFmtId="0" fontId="12" fillId="0" borderId="0" xfId="0" applyFont="1" applyAlignment="1">
      <alignment horizontal="center" vertical="center" wrapText="1"/>
    </xf>
    <xf numFmtId="1" fontId="0" fillId="0" borderId="0" xfId="0" applyNumberFormat="1" applyAlignment="1">
      <alignment horizontal="center"/>
    </xf>
    <xf numFmtId="0" fontId="3" fillId="0" borderId="0" xfId="8"/>
    <xf numFmtId="0" fontId="13" fillId="0" borderId="0" xfId="3" applyFont="1"/>
    <xf numFmtId="0" fontId="3" fillId="0" borderId="0" xfId="8" applyAlignment="1">
      <alignment horizontal="center"/>
    </xf>
    <xf numFmtId="0" fontId="14" fillId="22" borderId="0" xfId="8" applyFont="1" applyFill="1" applyAlignment="1">
      <alignment horizontal="center" vertical="center" wrapText="1"/>
    </xf>
    <xf numFmtId="0" fontId="3" fillId="0" borderId="0" xfId="8" applyAlignment="1">
      <alignment wrapText="1"/>
    </xf>
    <xf numFmtId="0" fontId="0" fillId="0" borderId="0" xfId="0" pivotButton="1" applyAlignment="1">
      <alignment horizontal="center"/>
    </xf>
    <xf numFmtId="0" fontId="0" fillId="0" borderId="0" xfId="0" applyAlignment="1">
      <alignment horizontal="center" vertical="center"/>
    </xf>
    <xf numFmtId="0" fontId="5" fillId="13" borderId="5" xfId="3" applyFont="1" applyFill="1" applyBorder="1" applyAlignment="1">
      <alignment horizontal="center" vertical="center" wrapText="1"/>
    </xf>
    <xf numFmtId="0" fontId="3" fillId="0" borderId="0" xfId="3" applyAlignment="1">
      <alignment horizontal="center" vertical="center" wrapText="1"/>
    </xf>
    <xf numFmtId="0" fontId="0" fillId="26" borderId="0" xfId="0" applyFill="1" applyAlignment="1">
      <alignment horizontal="center" vertical="center" wrapText="1"/>
    </xf>
    <xf numFmtId="0" fontId="6" fillId="24" borderId="9" xfId="3" applyFont="1" applyFill="1" applyBorder="1" applyAlignment="1">
      <alignment horizontal="center" vertical="center" wrapText="1"/>
    </xf>
    <xf numFmtId="0" fontId="6" fillId="25" borderId="9" xfId="3" applyFont="1" applyFill="1" applyBorder="1" applyAlignment="1">
      <alignment horizontal="center" vertical="center" wrapText="1"/>
    </xf>
    <xf numFmtId="0" fontId="6" fillId="27" borderId="6" xfId="3" applyFont="1" applyFill="1" applyBorder="1" applyAlignment="1">
      <alignment horizontal="center" vertical="center" wrapText="1"/>
    </xf>
    <xf numFmtId="0" fontId="5" fillId="13" borderId="4" xfId="3" applyFont="1" applyFill="1" applyBorder="1" applyAlignment="1">
      <alignment horizontal="center" vertical="center" wrapText="1"/>
    </xf>
    <xf numFmtId="0" fontId="0" fillId="20" borderId="9" xfId="0" applyFill="1" applyBorder="1" applyAlignment="1">
      <alignment horizontal="center" vertical="center" wrapText="1"/>
    </xf>
    <xf numFmtId="0" fontId="17" fillId="0" borderId="0" xfId="0" applyFont="1" applyAlignment="1">
      <alignment vertical="center"/>
    </xf>
    <xf numFmtId="0" fontId="17" fillId="0" borderId="0" xfId="0" applyFont="1" applyAlignment="1">
      <alignment horizontal="justify" vertical="top" wrapText="1"/>
    </xf>
    <xf numFmtId="0" fontId="17" fillId="0" borderId="0" xfId="0" applyFont="1" applyAlignment="1">
      <alignment horizontal="justify" vertical="top"/>
    </xf>
    <xf numFmtId="0" fontId="0" fillId="0" borderId="0" xfId="0" applyAlignment="1">
      <alignment horizontal="justify" vertical="top"/>
    </xf>
    <xf numFmtId="44" fontId="4" fillId="0" borderId="0" xfId="3" applyNumberFormat="1" applyFont="1"/>
    <xf numFmtId="173" fontId="18" fillId="0" borderId="4" xfId="0" applyNumberFormat="1" applyFont="1" applyBorder="1" applyAlignment="1">
      <alignment horizontal="center" vertical="center"/>
    </xf>
    <xf numFmtId="173" fontId="18" fillId="0" borderId="7" xfId="0" applyNumberFormat="1" applyFont="1" applyBorder="1" applyAlignment="1">
      <alignment horizontal="center" vertical="center"/>
    </xf>
    <xf numFmtId="10" fontId="20" fillId="0" borderId="3" xfId="2" applyNumberFormat="1" applyFont="1" applyBorder="1" applyAlignment="1">
      <alignment horizontal="center" vertical="center"/>
    </xf>
    <xf numFmtId="10" fontId="20" fillId="0" borderId="10" xfId="2" applyNumberFormat="1" applyFont="1" applyBorder="1" applyAlignment="1">
      <alignment horizontal="center" vertical="center"/>
    </xf>
    <xf numFmtId="0" fontId="20" fillId="23" borderId="5" xfId="0" applyFont="1" applyFill="1" applyBorder="1" applyAlignment="1">
      <alignment horizontal="center" vertical="center" wrapText="1"/>
    </xf>
    <xf numFmtId="0" fontId="20" fillId="23" borderId="6" xfId="0" applyFont="1" applyFill="1" applyBorder="1" applyAlignment="1">
      <alignment horizontal="center" vertical="center" wrapText="1"/>
    </xf>
    <xf numFmtId="0" fontId="20" fillId="23" borderId="46" xfId="0" applyFont="1" applyFill="1" applyBorder="1" applyAlignment="1">
      <alignment horizontal="center" vertical="center" wrapText="1"/>
    </xf>
    <xf numFmtId="0" fontId="21" fillId="22" borderId="0" xfId="8" applyFont="1" applyFill="1" applyAlignment="1">
      <alignment horizontal="center" vertical="center" wrapText="1"/>
    </xf>
    <xf numFmtId="0" fontId="3" fillId="0" borderId="0" xfId="8" applyAlignment="1">
      <alignment vertical="center"/>
    </xf>
    <xf numFmtId="0" fontId="3" fillId="0" borderId="0" xfId="8" applyAlignment="1">
      <alignment horizontal="left" vertical="center"/>
    </xf>
    <xf numFmtId="169" fontId="3" fillId="0" borderId="0" xfId="8" applyNumberFormat="1" applyAlignment="1">
      <alignment horizontal="center" vertical="center"/>
    </xf>
    <xf numFmtId="14" fontId="3" fillId="0" borderId="0" xfId="8" applyNumberFormat="1" applyAlignment="1">
      <alignment horizontal="center" vertical="center"/>
    </xf>
    <xf numFmtId="0" fontId="3" fillId="0" borderId="0" xfId="8" applyAlignment="1">
      <alignment horizontal="center" vertical="center"/>
    </xf>
    <xf numFmtId="169" fontId="3" fillId="0" borderId="0" xfId="1" applyNumberFormat="1" applyFont="1" applyFill="1" applyAlignment="1">
      <alignment horizontal="center" vertical="center"/>
    </xf>
    <xf numFmtId="14" fontId="3" fillId="0" borderId="4" xfId="0" applyNumberFormat="1" applyFont="1" applyBorder="1" applyAlignment="1">
      <alignment horizontal="center" vertical="center"/>
    </xf>
    <xf numFmtId="0" fontId="1" fillId="0" borderId="0" xfId="5" applyAlignment="1">
      <alignment vertical="center"/>
    </xf>
    <xf numFmtId="0" fontId="1" fillId="0" borderId="0" xfId="5" applyAlignment="1">
      <alignment horizontal="left" vertical="center"/>
    </xf>
    <xf numFmtId="0" fontId="1" fillId="0" borderId="0" xfId="5" applyAlignment="1">
      <alignment horizontal="center" vertical="center"/>
    </xf>
    <xf numFmtId="0" fontId="3" fillId="23" borderId="5" xfId="0" applyFont="1" applyFill="1" applyBorder="1" applyAlignment="1">
      <alignment horizontal="center" vertical="center" wrapText="1"/>
    </xf>
    <xf numFmtId="0" fontId="3" fillId="23" borderId="6" xfId="0" applyFont="1" applyFill="1" applyBorder="1" applyAlignment="1">
      <alignment horizontal="center" vertical="center" wrapText="1"/>
    </xf>
    <xf numFmtId="0" fontId="0" fillId="0" borderId="0" xfId="0" pivotButton="1" applyAlignment="1">
      <alignment horizontal="center" vertical="top"/>
    </xf>
    <xf numFmtId="0" fontId="0" fillId="0" borderId="0" xfId="0" pivotButton="1" applyAlignment="1">
      <alignment horizontal="center" wrapText="1"/>
    </xf>
    <xf numFmtId="4" fontId="3" fillId="0" borderId="0" xfId="12" applyNumberFormat="1" applyFont="1" applyFill="1" applyBorder="1" applyAlignment="1" applyProtection="1">
      <alignment horizontal="center" vertical="center"/>
    </xf>
    <xf numFmtId="0" fontId="5" fillId="0" borderId="0" xfId="11" applyFont="1" applyAlignment="1">
      <alignment horizontal="center" vertical="center" wrapText="1"/>
    </xf>
    <xf numFmtId="3" fontId="3" fillId="0" borderId="0" xfId="11" applyNumberFormat="1" applyFont="1" applyAlignment="1">
      <alignment horizontal="center" vertical="center" wrapText="1"/>
    </xf>
    <xf numFmtId="3" fontId="3" fillId="0" borderId="0" xfId="13" applyNumberFormat="1" applyAlignment="1">
      <alignment horizontal="center" vertical="center" wrapText="1"/>
    </xf>
    <xf numFmtId="0" fontId="3" fillId="0" borderId="0" xfId="0" applyFont="1" applyAlignment="1">
      <alignment horizontal="center" vertical="center" wrapText="1"/>
    </xf>
    <xf numFmtId="0" fontId="13" fillId="0" borderId="0" xfId="0" applyFont="1" applyAlignment="1">
      <alignment wrapText="1"/>
    </xf>
    <xf numFmtId="4" fontId="3" fillId="0" borderId="0" xfId="0" applyNumberFormat="1" applyFont="1" applyAlignment="1">
      <alignment horizontal="center" vertical="center"/>
    </xf>
    <xf numFmtId="0" fontId="3" fillId="0" borderId="0" xfId="13" applyAlignment="1">
      <alignment horizontal="center" vertical="center"/>
    </xf>
    <xf numFmtId="0" fontId="13" fillId="0" borderId="0" xfId="0" applyFont="1" applyAlignment="1">
      <alignment horizontal="center" vertical="center" wrapText="1"/>
    </xf>
    <xf numFmtId="0" fontId="13" fillId="0" borderId="0" xfId="0" applyFont="1" applyAlignment="1">
      <alignment horizontal="left" vertical="top" wrapText="1"/>
    </xf>
    <xf numFmtId="0" fontId="3" fillId="0" borderId="0" xfId="13" applyAlignment="1">
      <alignment horizontal="left" vertical="top" wrapText="1"/>
    </xf>
    <xf numFmtId="4" fontId="3" fillId="0" borderId="0" xfId="12" applyNumberFormat="1" applyFont="1" applyFill="1" applyAlignment="1" applyProtection="1">
      <alignment horizontal="center" vertical="center"/>
    </xf>
    <xf numFmtId="0" fontId="22" fillId="0" borderId="0" xfId="11" applyFont="1" applyAlignment="1">
      <alignment horizontal="center" vertical="center" wrapText="1"/>
    </xf>
    <xf numFmtId="14" fontId="13" fillId="0" borderId="0" xfId="0" applyNumberFormat="1" applyFont="1" applyAlignment="1">
      <alignment horizontal="center" vertical="center" wrapText="1"/>
    </xf>
    <xf numFmtId="0" fontId="0" fillId="0" borderId="2" xfId="0" applyBorder="1"/>
    <xf numFmtId="0" fontId="6" fillId="29" borderId="5" xfId="3" applyFont="1" applyFill="1" applyBorder="1" applyAlignment="1">
      <alignment horizontal="center" vertical="center" wrapText="1"/>
    </xf>
    <xf numFmtId="0" fontId="0" fillId="0" borderId="0" xfId="0" applyAlignment="1">
      <alignment horizontal="left" vertical="center"/>
    </xf>
    <xf numFmtId="169" fontId="5" fillId="0" borderId="0" xfId="1" applyNumberFormat="1" applyFont="1" applyAlignment="1">
      <alignment horizontal="left" vertical="center" wrapText="1"/>
    </xf>
    <xf numFmtId="0" fontId="14" fillId="16" borderId="5" xfId="3" applyFont="1" applyFill="1" applyBorder="1" applyAlignment="1">
      <alignment horizontal="center" vertical="center" wrapText="1"/>
    </xf>
    <xf numFmtId="10" fontId="23" fillId="2" borderId="23" xfId="7" applyNumberFormat="1" applyFont="1" applyFill="1" applyBorder="1" applyAlignment="1">
      <alignment horizontal="center" vertical="center"/>
    </xf>
    <xf numFmtId="167" fontId="1" fillId="0" borderId="0" xfId="2" applyNumberFormat="1" applyFill="1" applyBorder="1" applyAlignment="1">
      <alignment horizontal="center" vertical="center"/>
    </xf>
    <xf numFmtId="0" fontId="2" fillId="0" borderId="0" xfId="5" applyFont="1" applyAlignment="1">
      <alignment horizontal="center" vertical="center" wrapText="1"/>
    </xf>
    <xf numFmtId="49" fontId="1" fillId="0" borderId="0" xfId="5" applyNumberFormat="1" applyAlignment="1">
      <alignment horizontal="center" vertical="center"/>
    </xf>
    <xf numFmtId="169" fontId="0" fillId="0" borderId="0" xfId="5" applyNumberFormat="1" applyFont="1" applyAlignment="1">
      <alignment horizontal="center" vertical="center"/>
    </xf>
    <xf numFmtId="49" fontId="0" fillId="0" borderId="0" xfId="5" applyNumberFormat="1" applyFont="1" applyAlignment="1">
      <alignment horizontal="center" vertical="center"/>
    </xf>
    <xf numFmtId="0" fontId="15" fillId="0" borderId="0" xfId="3" applyFont="1" applyAlignment="1">
      <alignment horizontal="left" vertical="center" wrapText="1"/>
    </xf>
    <xf numFmtId="172" fontId="3" fillId="0" borderId="0" xfId="10" applyFill="1" applyBorder="1" applyAlignment="1">
      <alignment horizontal="center" vertical="center" wrapText="1"/>
    </xf>
    <xf numFmtId="0" fontId="17" fillId="0" borderId="0" xfId="0" applyFont="1" applyAlignment="1">
      <alignment horizontal="center" vertical="center"/>
    </xf>
    <xf numFmtId="171" fontId="3" fillId="0" borderId="0" xfId="10" applyNumberFormat="1" applyFill="1" applyBorder="1" applyAlignment="1">
      <alignment horizontal="center" vertical="center"/>
    </xf>
    <xf numFmtId="10" fontId="1" fillId="0" borderId="0" xfId="2" applyNumberFormat="1" applyAlignment="1">
      <alignment vertical="center"/>
    </xf>
    <xf numFmtId="44" fontId="17" fillId="0" borderId="0" xfId="1" applyFont="1" applyAlignment="1">
      <alignment vertical="center"/>
    </xf>
    <xf numFmtId="165" fontId="17" fillId="0" borderId="0" xfId="0" applyNumberFormat="1" applyFont="1" applyAlignment="1">
      <alignment horizontal="center" vertical="center"/>
    </xf>
    <xf numFmtId="44" fontId="0" fillId="0" borderId="0" xfId="1" applyFont="1" applyAlignment="1">
      <alignment horizontal="center" vertical="center"/>
    </xf>
    <xf numFmtId="44" fontId="5" fillId="0" borderId="0" xfId="1" applyFont="1" applyAlignment="1">
      <alignment horizontal="left" vertical="center" wrapText="1"/>
    </xf>
    <xf numFmtId="44" fontId="0" fillId="0" borderId="0" xfId="0" applyNumberFormat="1" applyAlignment="1">
      <alignment horizontal="center" vertical="center" wrapText="1"/>
    </xf>
    <xf numFmtId="0" fontId="6" fillId="3" borderId="5" xfId="3" applyFont="1" applyFill="1" applyBorder="1" applyAlignment="1">
      <alignment horizontal="center" vertical="center" wrapText="1"/>
    </xf>
    <xf numFmtId="0" fontId="6" fillId="3" borderId="6" xfId="3" applyFont="1" applyFill="1" applyBorder="1" applyAlignment="1">
      <alignment horizontal="center" vertical="center" wrapText="1"/>
    </xf>
    <xf numFmtId="0" fontId="8" fillId="3" borderId="6" xfId="3" applyFont="1" applyFill="1" applyBorder="1" applyAlignment="1">
      <alignment horizontal="center" vertical="center" wrapText="1"/>
    </xf>
    <xf numFmtId="0" fontId="6" fillId="4" borderId="6" xfId="3" applyFont="1" applyFill="1" applyBorder="1" applyAlignment="1">
      <alignment horizontal="center" vertical="center" wrapText="1"/>
    </xf>
    <xf numFmtId="44" fontId="6" fillId="11" borderId="6" xfId="3" applyNumberFormat="1" applyFont="1" applyFill="1" applyBorder="1" applyAlignment="1">
      <alignment horizontal="center" vertical="center" wrapText="1"/>
    </xf>
    <xf numFmtId="0" fontId="6" fillId="11" borderId="6" xfId="3" applyFont="1" applyFill="1" applyBorder="1" applyAlignment="1">
      <alignment horizontal="center" vertical="center" wrapText="1"/>
    </xf>
    <xf numFmtId="0" fontId="6" fillId="5" borderId="6" xfId="3" applyFont="1" applyFill="1" applyBorder="1" applyAlignment="1">
      <alignment horizontal="center" vertical="center" wrapText="1"/>
    </xf>
    <xf numFmtId="0" fontId="6" fillId="14" borderId="6" xfId="3" applyFont="1" applyFill="1" applyBorder="1" applyAlignment="1">
      <alignment horizontal="center" vertical="center" wrapText="1"/>
    </xf>
    <xf numFmtId="0" fontId="6" fillId="12" borderId="6" xfId="3" applyFont="1" applyFill="1" applyBorder="1" applyAlignment="1">
      <alignment horizontal="center" vertical="center" wrapText="1"/>
    </xf>
    <xf numFmtId="0" fontId="14" fillId="16" borderId="6" xfId="3" applyFont="1" applyFill="1" applyBorder="1" applyAlignment="1">
      <alignment horizontal="center" vertical="center" wrapText="1"/>
    </xf>
    <xf numFmtId="0" fontId="6" fillId="29" borderId="6" xfId="3" applyFont="1" applyFill="1" applyBorder="1" applyAlignment="1">
      <alignment horizontal="center" vertical="center" wrapText="1"/>
    </xf>
    <xf numFmtId="0" fontId="6" fillId="13" borderId="6" xfId="3" applyFont="1" applyFill="1" applyBorder="1" applyAlignment="1">
      <alignment horizontal="center" vertical="center" wrapText="1"/>
    </xf>
    <xf numFmtId="0" fontId="6" fillId="6" borderId="6" xfId="3" applyFont="1" applyFill="1" applyBorder="1" applyAlignment="1">
      <alignment horizontal="center" vertical="center" wrapText="1"/>
    </xf>
    <xf numFmtId="0" fontId="6" fillId="6" borderId="46" xfId="3" applyFont="1" applyFill="1" applyBorder="1" applyAlignment="1">
      <alignment horizontal="center" vertical="center" wrapText="1"/>
    </xf>
    <xf numFmtId="0" fontId="0" fillId="0" borderId="4" xfId="0" applyBorder="1" applyAlignment="1">
      <alignment horizontal="center"/>
    </xf>
    <xf numFmtId="44" fontId="0" fillId="0" borderId="2" xfId="0" applyNumberFormat="1" applyBorder="1"/>
    <xf numFmtId="10" fontId="0" fillId="0" borderId="2" xfId="2" applyNumberFormat="1" applyFont="1" applyBorder="1" applyAlignment="1">
      <alignment horizontal="center"/>
    </xf>
    <xf numFmtId="44" fontId="0" fillId="0" borderId="2" xfId="1" applyFont="1" applyBorder="1"/>
    <xf numFmtId="10" fontId="0" fillId="0" borderId="2" xfId="0" applyNumberFormat="1" applyBorder="1" applyAlignment="1">
      <alignment horizontal="center"/>
    </xf>
    <xf numFmtId="165" fontId="0" fillId="0" borderId="2" xfId="0" applyNumberFormat="1" applyBorder="1" applyAlignment="1">
      <alignment horizontal="center"/>
    </xf>
    <xf numFmtId="10" fontId="3" fillId="0" borderId="23" xfId="2" applyNumberFormat="1" applyFont="1" applyFill="1" applyBorder="1" applyAlignment="1">
      <alignment horizontal="center" vertical="center"/>
    </xf>
    <xf numFmtId="10" fontId="3" fillId="2" borderId="23" xfId="2" applyNumberFormat="1" applyFont="1" applyFill="1" applyBorder="1" applyAlignment="1">
      <alignment horizontal="center" vertical="center"/>
    </xf>
    <xf numFmtId="10" fontId="5" fillId="2" borderId="23" xfId="2" applyNumberFormat="1" applyFont="1" applyFill="1" applyBorder="1" applyAlignment="1">
      <alignment horizontal="center" vertical="center"/>
    </xf>
    <xf numFmtId="174" fontId="3" fillId="0" borderId="0" xfId="3" applyNumberFormat="1"/>
    <xf numFmtId="4" fontId="0" fillId="0" borderId="0" xfId="0" applyNumberFormat="1"/>
    <xf numFmtId="167" fontId="0" fillId="0" borderId="0" xfId="2" applyNumberFormat="1" applyFont="1" applyFill="1" applyBorder="1" applyAlignment="1">
      <alignment horizontal="center" vertical="center"/>
    </xf>
    <xf numFmtId="0" fontId="2" fillId="31" borderId="51" xfId="5" applyFont="1" applyFill="1" applyBorder="1" applyAlignment="1">
      <alignment horizontal="center" vertical="center" wrapText="1"/>
    </xf>
    <xf numFmtId="172" fontId="3" fillId="30" borderId="52" xfId="10" applyFill="1" applyBorder="1" applyAlignment="1">
      <alignment horizontal="center" vertical="center" wrapText="1"/>
    </xf>
    <xf numFmtId="165" fontId="0" fillId="0" borderId="0" xfId="0" applyNumberFormat="1" applyAlignment="1">
      <alignment horizontal="center" vertical="center"/>
    </xf>
    <xf numFmtId="0" fontId="0" fillId="0" borderId="5" xfId="0" applyBorder="1" applyAlignment="1">
      <alignment horizontal="center"/>
    </xf>
    <xf numFmtId="0" fontId="0" fillId="0" borderId="6" xfId="0" applyBorder="1"/>
    <xf numFmtId="44" fontId="0" fillId="0" borderId="6" xfId="0" applyNumberFormat="1" applyBorder="1"/>
    <xf numFmtId="10" fontId="0" fillId="0" borderId="6" xfId="2" applyNumberFormat="1" applyFont="1" applyBorder="1" applyAlignment="1">
      <alignment horizontal="center"/>
    </xf>
    <xf numFmtId="44" fontId="0" fillId="0" borderId="6" xfId="1" applyFont="1" applyBorder="1"/>
    <xf numFmtId="10" fontId="0" fillId="0" borderId="6" xfId="0" applyNumberFormat="1" applyBorder="1" applyAlignment="1">
      <alignment horizontal="center"/>
    </xf>
    <xf numFmtId="165" fontId="0" fillId="0" borderId="6" xfId="0" applyNumberFormat="1" applyBorder="1" applyAlignment="1">
      <alignment horizontal="center"/>
    </xf>
    <xf numFmtId="0" fontId="24" fillId="0" borderId="7" xfId="0" applyFont="1" applyBorder="1" applyAlignment="1">
      <alignment horizontal="center"/>
    </xf>
    <xf numFmtId="0" fontId="24" fillId="0" borderId="9" xfId="0" applyFont="1" applyBorder="1"/>
    <xf numFmtId="0" fontId="24" fillId="0" borderId="9" xfId="0" applyFont="1" applyBorder="1" applyAlignment="1">
      <alignment horizontal="center"/>
    </xf>
    <xf numFmtId="44" fontId="24" fillId="0" borderId="9" xfId="0" applyNumberFormat="1" applyFont="1" applyBorder="1"/>
    <xf numFmtId="10" fontId="24" fillId="0" borderId="9" xfId="0" applyNumberFormat="1" applyFont="1" applyBorder="1" applyAlignment="1">
      <alignment horizontal="center"/>
    </xf>
    <xf numFmtId="165" fontId="24" fillId="0" borderId="9" xfId="0" applyNumberFormat="1" applyFont="1" applyBorder="1" applyAlignment="1">
      <alignment horizontal="center"/>
    </xf>
    <xf numFmtId="0" fontId="24" fillId="0" borderId="10" xfId="0" applyFont="1" applyBorder="1" applyAlignment="1">
      <alignment horizontal="center"/>
    </xf>
    <xf numFmtId="0" fontId="24" fillId="0" borderId="0" xfId="0" applyFont="1"/>
    <xf numFmtId="0" fontId="3" fillId="0" borderId="0" xfId="8" quotePrefix="1"/>
    <xf numFmtId="0" fontId="24" fillId="0" borderId="3" xfId="0" applyFont="1" applyBorder="1" applyAlignment="1">
      <alignment horizontal="center" vertical="center"/>
    </xf>
    <xf numFmtId="0" fontId="24" fillId="0" borderId="26" xfId="0" applyFont="1" applyBorder="1"/>
    <xf numFmtId="0" fontId="24" fillId="0" borderId="26" xfId="0" applyFont="1" applyBorder="1" applyAlignment="1">
      <alignment horizontal="center" vertical="center"/>
    </xf>
    <xf numFmtId="44" fontId="24" fillId="0" borderId="53" xfId="1" applyFont="1" applyBorder="1" applyAlignment="1">
      <alignment horizontal="center" vertical="center"/>
    </xf>
    <xf numFmtId="0" fontId="24" fillId="0" borderId="4" xfId="0" applyFont="1" applyBorder="1"/>
    <xf numFmtId="0" fontId="0" fillId="0" borderId="7" xfId="0" applyBorder="1" applyAlignment="1">
      <alignment horizontal="center"/>
    </xf>
    <xf numFmtId="0" fontId="0" fillId="0" borderId="9" xfId="0" applyBorder="1"/>
    <xf numFmtId="44" fontId="0" fillId="0" borderId="9" xfId="0" applyNumberFormat="1" applyBorder="1"/>
    <xf numFmtId="44" fontId="0" fillId="0" borderId="54" xfId="0" applyNumberFormat="1" applyBorder="1"/>
    <xf numFmtId="10" fontId="0" fillId="0" borderId="9" xfId="2" applyNumberFormat="1" applyFont="1" applyBorder="1" applyAlignment="1">
      <alignment horizontal="center"/>
    </xf>
    <xf numFmtId="44" fontId="0" fillId="0" borderId="9" xfId="1" applyFont="1" applyBorder="1"/>
    <xf numFmtId="10" fontId="0" fillId="0" borderId="9" xfId="0" applyNumberFormat="1" applyBorder="1" applyAlignment="1">
      <alignment horizontal="center"/>
    </xf>
    <xf numFmtId="165" fontId="0" fillId="0" borderId="9" xfId="0" applyNumberFormat="1" applyBorder="1" applyAlignment="1">
      <alignment horizontal="center"/>
    </xf>
    <xf numFmtId="44" fontId="0" fillId="17" borderId="9" xfId="1" applyFont="1" applyFill="1" applyBorder="1" applyAlignment="1">
      <alignment horizontal="center" vertical="center"/>
    </xf>
    <xf numFmtId="44" fontId="0" fillId="17" borderId="7" xfId="1" applyFont="1" applyFill="1" applyBorder="1" applyAlignment="1">
      <alignment horizontal="center" vertical="center"/>
    </xf>
    <xf numFmtId="0" fontId="0" fillId="0" borderId="0" xfId="0" pivotButton="1"/>
    <xf numFmtId="3" fontId="0" fillId="0" borderId="0" xfId="0" applyNumberFormat="1"/>
    <xf numFmtId="44" fontId="0" fillId="0" borderId="6" xfId="0" applyNumberFormat="1" applyBorder="1" applyAlignment="1">
      <alignment wrapText="1"/>
    </xf>
    <xf numFmtId="44" fontId="0" fillId="0" borderId="54" xfId="0" applyNumberFormat="1" applyBorder="1" applyAlignment="1">
      <alignment wrapText="1"/>
    </xf>
    <xf numFmtId="44" fontId="0" fillId="17" borderId="4" xfId="1" applyFont="1" applyFill="1" applyBorder="1" applyAlignment="1">
      <alignment horizontal="center" vertical="center"/>
    </xf>
    <xf numFmtId="44" fontId="0" fillId="17" borderId="2" xfId="1" applyFont="1" applyFill="1" applyBorder="1" applyAlignment="1">
      <alignment horizontal="center" vertical="center"/>
    </xf>
    <xf numFmtId="0" fontId="1" fillId="17" borderId="0" xfId="5" applyFill="1" applyAlignment="1">
      <alignment vertical="center"/>
    </xf>
    <xf numFmtId="10" fontId="1" fillId="17" borderId="0" xfId="2" applyNumberFormat="1" applyFill="1" applyAlignment="1">
      <alignment vertical="center"/>
    </xf>
    <xf numFmtId="44" fontId="0" fillId="0" borderId="3" xfId="1" applyFont="1" applyFill="1" applyBorder="1" applyAlignment="1">
      <alignment vertical="center"/>
    </xf>
    <xf numFmtId="44" fontId="0" fillId="0" borderId="10" xfId="1" applyFont="1" applyFill="1" applyBorder="1" applyAlignment="1">
      <alignment vertical="center"/>
    </xf>
    <xf numFmtId="0" fontId="0" fillId="0" borderId="2" xfId="0" applyBorder="1" applyAlignment="1">
      <alignment horizontal="center"/>
    </xf>
    <xf numFmtId="0" fontId="0" fillId="0" borderId="6" xfId="0" applyBorder="1" applyAlignment="1">
      <alignment horizontal="center"/>
    </xf>
    <xf numFmtId="0" fontId="0" fillId="0" borderId="9" xfId="0" applyBorder="1" applyAlignment="1">
      <alignment horizontal="center"/>
    </xf>
    <xf numFmtId="10" fontId="0" fillId="0" borderId="54" xfId="2" applyNumberFormat="1" applyFont="1" applyBorder="1" applyAlignment="1">
      <alignment horizontal="center"/>
    </xf>
    <xf numFmtId="0" fontId="0" fillId="0" borderId="3" xfId="0" applyBorder="1" applyAlignment="1">
      <alignment horizontal="center"/>
    </xf>
    <xf numFmtId="0" fontId="0" fillId="0" borderId="46" xfId="0" applyBorder="1" applyAlignment="1">
      <alignment horizontal="center"/>
    </xf>
    <xf numFmtId="0" fontId="0" fillId="0" borderId="10" xfId="0" applyBorder="1" applyAlignment="1">
      <alignment horizontal="center"/>
    </xf>
    <xf numFmtId="44" fontId="0" fillId="0" borderId="0" xfId="1" quotePrefix="1" applyFont="1"/>
    <xf numFmtId="0" fontId="25" fillId="0" borderId="56" xfId="3" applyFont="1" applyBorder="1" applyAlignment="1">
      <alignment vertical="center" wrapText="1"/>
    </xf>
    <xf numFmtId="0" fontId="5" fillId="32" borderId="57" xfId="3" applyFont="1" applyFill="1" applyBorder="1" applyAlignment="1">
      <alignment horizontal="center" vertical="center" wrapText="1"/>
    </xf>
    <xf numFmtId="0" fontId="3" fillId="0" borderId="0" xfId="3" applyAlignment="1">
      <alignment wrapText="1"/>
    </xf>
    <xf numFmtId="0" fontId="25" fillId="0" borderId="2" xfId="3" applyFont="1" applyBorder="1" applyAlignment="1">
      <alignment horizontal="left" vertical="center" wrapText="1"/>
    </xf>
    <xf numFmtId="0" fontId="5" fillId="32" borderId="58" xfId="3" applyFont="1" applyFill="1" applyBorder="1" applyAlignment="1">
      <alignment horizontal="center" vertical="center" wrapText="1"/>
    </xf>
    <xf numFmtId="0" fontId="25" fillId="0" borderId="59" xfId="3" applyFont="1" applyBorder="1" applyAlignment="1">
      <alignment horizontal="left" vertical="center" wrapText="1"/>
    </xf>
    <xf numFmtId="0" fontId="26" fillId="0" borderId="56" xfId="3" applyFont="1" applyBorder="1" applyAlignment="1">
      <alignment horizontal="left" vertical="center" wrapText="1"/>
    </xf>
    <xf numFmtId="0" fontId="25" fillId="0" borderId="56" xfId="3" applyFont="1" applyBorder="1" applyAlignment="1">
      <alignment horizontal="left" vertical="center" wrapText="1"/>
    </xf>
    <xf numFmtId="0" fontId="25" fillId="0" borderId="56" xfId="3" applyFont="1" applyBorder="1" applyAlignment="1">
      <alignment wrapText="1"/>
    </xf>
    <xf numFmtId="0" fontId="5" fillId="33" borderId="57" xfId="3" applyFont="1" applyFill="1" applyBorder="1" applyAlignment="1">
      <alignment wrapText="1"/>
    </xf>
    <xf numFmtId="0" fontId="27" fillId="0" borderId="56" xfId="3" applyFont="1" applyBorder="1" applyAlignment="1">
      <alignment vertical="center" wrapText="1"/>
    </xf>
    <xf numFmtId="0" fontId="28" fillId="34" borderId="0" xfId="3" applyFont="1" applyFill="1" applyAlignment="1">
      <alignment wrapText="1"/>
    </xf>
    <xf numFmtId="169" fontId="3" fillId="17" borderId="0" xfId="8" applyNumberFormat="1" applyFill="1" applyAlignment="1">
      <alignment horizontal="center" vertical="center"/>
    </xf>
    <xf numFmtId="0" fontId="3" fillId="0" borderId="0" xfId="3" applyAlignment="1">
      <alignment horizontal="left" vertical="center"/>
    </xf>
    <xf numFmtId="4" fontId="3" fillId="17" borderId="0" xfId="12" applyNumberFormat="1" applyFont="1" applyFill="1" applyBorder="1" applyAlignment="1" applyProtection="1">
      <alignment horizontal="center" vertical="center"/>
    </xf>
    <xf numFmtId="4" fontId="3" fillId="17" borderId="0" xfId="12" applyNumberFormat="1" applyFont="1" applyFill="1" applyAlignment="1" applyProtection="1">
      <alignment horizontal="center" vertical="center"/>
    </xf>
    <xf numFmtId="0" fontId="5" fillId="17" borderId="60" xfId="0" applyFont="1" applyFill="1" applyBorder="1" applyAlignment="1">
      <alignment horizontal="center" vertical="center" wrapText="1"/>
    </xf>
    <xf numFmtId="0" fontId="25" fillId="0" borderId="56" xfId="14" applyFont="1" applyBorder="1" applyAlignment="1">
      <alignment horizontal="justify" vertical="center" wrapText="1"/>
    </xf>
    <xf numFmtId="0" fontId="3" fillId="0" borderId="0" xfId="14"/>
    <xf numFmtId="0" fontId="0" fillId="0" borderId="0" xfId="0" pivotButton="1" applyAlignment="1">
      <alignment horizontal="center" vertical="center" wrapText="1"/>
    </xf>
    <xf numFmtId="0" fontId="28" fillId="34" borderId="0" xfId="3" applyFont="1" applyFill="1" applyAlignment="1">
      <alignment horizontal="center" vertical="center" wrapText="1"/>
    </xf>
    <xf numFmtId="0" fontId="5" fillId="32" borderId="47" xfId="3" applyFont="1" applyFill="1" applyBorder="1" applyAlignment="1">
      <alignment horizontal="center" vertical="center" wrapText="1"/>
    </xf>
    <xf numFmtId="0" fontId="5" fillId="32" borderId="49" xfId="3" applyFont="1" applyFill="1" applyBorder="1" applyAlignment="1">
      <alignment horizontal="center" vertical="center" wrapText="1"/>
    </xf>
    <xf numFmtId="0" fontId="16" fillId="23" borderId="2" xfId="0" applyFont="1" applyFill="1" applyBorder="1" applyAlignment="1">
      <alignment horizontal="center" vertical="center"/>
    </xf>
    <xf numFmtId="0" fontId="5" fillId="28" borderId="50" xfId="11" applyFont="1" applyFill="1" applyBorder="1" applyAlignment="1">
      <alignment horizontal="center" vertical="center" wrapText="1"/>
    </xf>
    <xf numFmtId="0" fontId="5" fillId="28" borderId="0" xfId="11" applyFont="1" applyFill="1" applyAlignment="1">
      <alignment horizontal="center" vertical="center" wrapText="1"/>
    </xf>
    <xf numFmtId="0" fontId="5" fillId="28" borderId="47" xfId="11" applyFont="1" applyFill="1" applyBorder="1" applyAlignment="1">
      <alignment horizontal="center" vertical="center" wrapText="1"/>
    </xf>
    <xf numFmtId="0" fontId="5" fillId="28" borderId="48" xfId="11" applyFont="1" applyFill="1" applyBorder="1" applyAlignment="1">
      <alignment horizontal="center" vertical="center" wrapText="1"/>
    </xf>
    <xf numFmtId="0" fontId="5" fillId="28" borderId="49" xfId="11" applyFont="1" applyFill="1" applyBorder="1" applyAlignment="1">
      <alignment horizontal="center" vertical="center" wrapText="1"/>
    </xf>
    <xf numFmtId="0" fontId="5" fillId="29" borderId="10" xfId="3" applyFont="1" applyFill="1" applyBorder="1" applyAlignment="1">
      <alignment horizontal="center" vertical="center" wrapText="1"/>
    </xf>
    <xf numFmtId="0" fontId="5" fillId="29" borderId="8" xfId="3" applyFont="1" applyFill="1" applyBorder="1" applyAlignment="1">
      <alignment horizontal="center" vertical="center" wrapText="1"/>
    </xf>
    <xf numFmtId="0" fontId="5" fillId="29" borderId="7" xfId="3" applyFont="1" applyFill="1" applyBorder="1" applyAlignment="1">
      <alignment horizontal="center" vertical="center" wrapText="1"/>
    </xf>
    <xf numFmtId="0" fontId="5" fillId="29" borderId="46" xfId="3" applyFont="1" applyFill="1" applyBorder="1" applyAlignment="1">
      <alignment horizontal="center" vertical="center" wrapText="1"/>
    </xf>
    <xf numFmtId="0" fontId="5" fillId="29" borderId="1" xfId="3" applyFont="1" applyFill="1" applyBorder="1" applyAlignment="1">
      <alignment horizontal="center" vertical="center" wrapText="1"/>
    </xf>
    <xf numFmtId="0" fontId="5" fillId="29" borderId="5" xfId="3" applyFont="1" applyFill="1" applyBorder="1" applyAlignment="1">
      <alignment horizontal="center" vertical="center" wrapText="1"/>
    </xf>
    <xf numFmtId="0" fontId="5" fillId="13" borderId="0" xfId="3" applyFont="1" applyFill="1" applyAlignment="1">
      <alignment horizontal="center" vertical="center" wrapText="1"/>
    </xf>
    <xf numFmtId="0" fontId="5" fillId="12" borderId="10" xfId="3" applyFont="1" applyFill="1" applyBorder="1" applyAlignment="1">
      <alignment horizontal="center" vertical="center" wrapText="1"/>
    </xf>
    <xf numFmtId="0" fontId="5" fillId="12" borderId="8" xfId="3" applyFont="1" applyFill="1" applyBorder="1" applyAlignment="1">
      <alignment horizontal="center" vertical="center" wrapText="1"/>
    </xf>
    <xf numFmtId="0" fontId="5" fillId="12" borderId="7" xfId="3" applyFont="1" applyFill="1" applyBorder="1" applyAlignment="1">
      <alignment horizontal="center" vertical="center" wrapText="1"/>
    </xf>
    <xf numFmtId="0" fontId="5" fillId="12" borderId="46" xfId="3" applyFont="1" applyFill="1" applyBorder="1" applyAlignment="1">
      <alignment horizontal="center" vertical="center" wrapText="1"/>
    </xf>
    <xf numFmtId="0" fontId="5" fillId="12" borderId="1" xfId="3" applyFont="1" applyFill="1" applyBorder="1" applyAlignment="1">
      <alignment horizontal="center" vertical="center" wrapText="1"/>
    </xf>
    <xf numFmtId="0" fontId="5" fillId="12" borderId="5" xfId="3" applyFont="1" applyFill="1" applyBorder="1" applyAlignment="1">
      <alignment horizontal="center" vertical="center" wrapText="1"/>
    </xf>
    <xf numFmtId="0" fontId="22" fillId="4" borderId="3" xfId="3" applyFont="1" applyFill="1" applyBorder="1" applyAlignment="1">
      <alignment horizontal="center" vertical="center" wrapText="1"/>
    </xf>
    <xf numFmtId="0" fontId="22" fillId="4" borderId="4" xfId="3" applyFont="1" applyFill="1" applyBorder="1" applyAlignment="1">
      <alignment horizontal="center" vertical="center" wrapText="1"/>
    </xf>
    <xf numFmtId="0" fontId="14" fillId="16" borderId="3" xfId="3" applyFont="1" applyFill="1" applyBorder="1" applyAlignment="1">
      <alignment horizontal="center" vertical="center" wrapText="1"/>
    </xf>
    <xf numFmtId="0" fontId="14" fillId="16" borderId="4" xfId="3" applyFont="1" applyFill="1" applyBorder="1" applyAlignment="1">
      <alignment horizontal="center" vertical="center" wrapText="1"/>
    </xf>
    <xf numFmtId="0" fontId="5" fillId="15" borderId="3" xfId="3" applyFont="1" applyFill="1" applyBorder="1" applyAlignment="1">
      <alignment horizontal="center" vertical="center" wrapText="1"/>
    </xf>
    <xf numFmtId="0" fontId="5" fillId="15" borderId="26" xfId="3" applyFont="1" applyFill="1" applyBorder="1" applyAlignment="1">
      <alignment horizontal="center" vertical="center" wrapText="1"/>
    </xf>
    <xf numFmtId="0" fontId="5" fillId="15" borderId="4" xfId="3" applyFont="1" applyFill="1" applyBorder="1" applyAlignment="1">
      <alignment horizontal="center" vertical="center" wrapText="1"/>
    </xf>
    <xf numFmtId="0" fontId="5" fillId="25" borderId="3" xfId="3" applyFont="1" applyFill="1" applyBorder="1" applyAlignment="1">
      <alignment horizontal="center" vertical="center" wrapText="1"/>
    </xf>
    <xf numFmtId="0" fontId="5" fillId="25" borderId="26" xfId="3" applyFont="1" applyFill="1" applyBorder="1" applyAlignment="1">
      <alignment horizontal="center" vertical="center" wrapText="1"/>
    </xf>
    <xf numFmtId="0" fontId="5" fillId="5" borderId="3" xfId="3" applyFont="1" applyFill="1" applyBorder="1" applyAlignment="1">
      <alignment horizontal="center" vertical="center"/>
    </xf>
    <xf numFmtId="0" fontId="5" fillId="5" borderId="26" xfId="3" applyFont="1" applyFill="1" applyBorder="1" applyAlignment="1">
      <alignment horizontal="center" vertical="center"/>
    </xf>
    <xf numFmtId="0" fontId="5" fillId="5" borderId="4" xfId="3" applyFont="1" applyFill="1" applyBorder="1" applyAlignment="1">
      <alignment horizontal="center" vertical="center"/>
    </xf>
    <xf numFmtId="0" fontId="5" fillId="14" borderId="3" xfId="3" applyFont="1" applyFill="1" applyBorder="1" applyAlignment="1">
      <alignment horizontal="center" vertical="center" wrapText="1"/>
    </xf>
    <xf numFmtId="0" fontId="5" fillId="14" borderId="26" xfId="3" applyFont="1" applyFill="1" applyBorder="1" applyAlignment="1">
      <alignment horizontal="center" vertical="center" wrapText="1"/>
    </xf>
    <xf numFmtId="0" fontId="5" fillId="14" borderId="4" xfId="3" applyFont="1" applyFill="1" applyBorder="1" applyAlignment="1">
      <alignment horizontal="center" vertical="center" wrapText="1"/>
    </xf>
    <xf numFmtId="0" fontId="5" fillId="5" borderId="3" xfId="3" applyFont="1" applyFill="1" applyBorder="1" applyAlignment="1">
      <alignment horizontal="center" vertical="center" wrapText="1"/>
    </xf>
    <xf numFmtId="0" fontId="5" fillId="5" borderId="26" xfId="3" applyFont="1" applyFill="1" applyBorder="1" applyAlignment="1">
      <alignment horizontal="center" vertical="center" wrapText="1"/>
    </xf>
    <xf numFmtId="0" fontId="5" fillId="5" borderId="4" xfId="3" applyFont="1" applyFill="1" applyBorder="1" applyAlignment="1">
      <alignment horizontal="center" vertical="center" wrapText="1"/>
    </xf>
    <xf numFmtId="0" fontId="5" fillId="24" borderId="46" xfId="3" applyFont="1" applyFill="1" applyBorder="1" applyAlignment="1">
      <alignment horizontal="center" vertical="center" wrapText="1"/>
    </xf>
    <xf numFmtId="0" fontId="5" fillId="24" borderId="1" xfId="3" applyFont="1" applyFill="1" applyBorder="1" applyAlignment="1">
      <alignment horizontal="center" vertical="center" wrapText="1"/>
    </xf>
    <xf numFmtId="0" fontId="5" fillId="11" borderId="45" xfId="3" applyFont="1" applyFill="1" applyBorder="1" applyAlignment="1">
      <alignment horizontal="center" vertical="center" wrapText="1"/>
    </xf>
    <xf numFmtId="0" fontId="5" fillId="11" borderId="0" xfId="3" applyFont="1" applyFill="1" applyAlignment="1">
      <alignment horizontal="center" vertical="center" wrapText="1"/>
    </xf>
    <xf numFmtId="0" fontId="5" fillId="11" borderId="55" xfId="3" applyFont="1" applyFill="1" applyBorder="1" applyAlignment="1">
      <alignment horizontal="center" vertical="center" wrapText="1"/>
    </xf>
    <xf numFmtId="0" fontId="5" fillId="11" borderId="46" xfId="3" applyFont="1" applyFill="1" applyBorder="1" applyAlignment="1">
      <alignment horizontal="center" vertical="center" wrapText="1"/>
    </xf>
    <xf numFmtId="0" fontId="5" fillId="11" borderId="1" xfId="3" applyFont="1" applyFill="1" applyBorder="1" applyAlignment="1">
      <alignment horizontal="center" vertical="center" wrapText="1"/>
    </xf>
    <xf numFmtId="0" fontId="5" fillId="11" borderId="5" xfId="3" applyFont="1" applyFill="1" applyBorder="1" applyAlignment="1">
      <alignment horizontal="center" vertical="center" wrapText="1"/>
    </xf>
    <xf numFmtId="0" fontId="5" fillId="24" borderId="45" xfId="3" applyFont="1" applyFill="1" applyBorder="1" applyAlignment="1">
      <alignment horizontal="center" vertical="center" wrapText="1"/>
    </xf>
    <xf numFmtId="0" fontId="5" fillId="24" borderId="0" xfId="3" applyFont="1" applyFill="1" applyAlignment="1">
      <alignment horizontal="center" vertical="center" wrapText="1"/>
    </xf>
    <xf numFmtId="0" fontId="5" fillId="12" borderId="2" xfId="3" applyFont="1" applyFill="1" applyBorder="1" applyAlignment="1">
      <alignment horizontal="center" vertical="center" wrapText="1"/>
    </xf>
    <xf numFmtId="0" fontId="5" fillId="25" borderId="4" xfId="3" applyFont="1" applyFill="1" applyBorder="1" applyAlignment="1">
      <alignment horizontal="center" vertical="center" wrapText="1"/>
    </xf>
    <xf numFmtId="0" fontId="5" fillId="29" borderId="2" xfId="3" applyFont="1" applyFill="1" applyBorder="1" applyAlignment="1">
      <alignment horizontal="center" vertical="center" wrapText="1"/>
    </xf>
    <xf numFmtId="0" fontId="5" fillId="13" borderId="2" xfId="3" applyFont="1" applyFill="1" applyBorder="1" applyAlignment="1">
      <alignment horizontal="center" vertical="center" wrapText="1"/>
    </xf>
    <xf numFmtId="0" fontId="5" fillId="5" borderId="2" xfId="3" applyFont="1" applyFill="1" applyBorder="1" applyAlignment="1">
      <alignment horizontal="center" vertical="center"/>
    </xf>
    <xf numFmtId="0" fontId="5" fillId="15" borderId="6" xfId="3" applyFont="1" applyFill="1" applyBorder="1" applyAlignment="1">
      <alignment horizontal="center" vertical="center" wrapText="1"/>
    </xf>
    <xf numFmtId="0" fontId="5" fillId="4" borderId="3" xfId="3" applyFont="1" applyFill="1" applyBorder="1" applyAlignment="1">
      <alignment horizontal="center" vertical="center" wrapText="1"/>
    </xf>
    <xf numFmtId="0" fontId="5" fillId="4" borderId="4" xfId="3" applyFont="1" applyFill="1" applyBorder="1" applyAlignment="1">
      <alignment horizontal="center" vertical="center" wrapText="1"/>
    </xf>
    <xf numFmtId="0" fontId="5" fillId="2" borderId="16" xfId="3" applyFont="1" applyFill="1" applyBorder="1" applyAlignment="1">
      <alignment horizontal="center" vertical="center"/>
    </xf>
    <xf numFmtId="0" fontId="5" fillId="2" borderId="17" xfId="3" applyFont="1" applyFill="1" applyBorder="1" applyAlignment="1">
      <alignment horizontal="center" vertical="center"/>
    </xf>
    <xf numFmtId="0" fontId="5" fillId="2" borderId="18" xfId="3" applyFont="1" applyFill="1" applyBorder="1" applyAlignment="1">
      <alignment horizontal="center" vertical="center"/>
    </xf>
    <xf numFmtId="0" fontId="5" fillId="0" borderId="11" xfId="3" applyFont="1" applyBorder="1" applyAlignment="1">
      <alignment horizontal="center" vertical="center"/>
    </xf>
    <xf numFmtId="0" fontId="5" fillId="0" borderId="12" xfId="3" applyFont="1" applyBorder="1" applyAlignment="1">
      <alignment horizontal="center" vertical="center"/>
    </xf>
    <xf numFmtId="0" fontId="5" fillId="0" borderId="13" xfId="3" applyFont="1" applyBorder="1" applyAlignment="1">
      <alignment horizontal="center" vertical="center"/>
    </xf>
    <xf numFmtId="0" fontId="5" fillId="0" borderId="38" xfId="3" applyFont="1" applyBorder="1" applyAlignment="1">
      <alignment horizontal="center" vertical="center"/>
    </xf>
    <xf numFmtId="0" fontId="5" fillId="0" borderId="39" xfId="3" applyFont="1" applyBorder="1" applyAlignment="1">
      <alignment horizontal="center" vertical="center"/>
    </xf>
    <xf numFmtId="0" fontId="5" fillId="0" borderId="36" xfId="3" applyFont="1" applyBorder="1" applyAlignment="1">
      <alignment horizontal="center" vertical="center"/>
    </xf>
    <xf numFmtId="0" fontId="3" fillId="2" borderId="25" xfId="3" applyFill="1" applyBorder="1" applyAlignment="1">
      <alignment horizontal="left" vertical="center"/>
    </xf>
    <xf numFmtId="0" fontId="3" fillId="2" borderId="26" xfId="3" applyFill="1" applyBorder="1" applyAlignment="1">
      <alignment horizontal="left" vertical="center"/>
    </xf>
    <xf numFmtId="0" fontId="3" fillId="2" borderId="23" xfId="3" applyFill="1" applyBorder="1" applyAlignment="1">
      <alignment horizontal="left" vertical="center"/>
    </xf>
    <xf numFmtId="0" fontId="3" fillId="2" borderId="0" xfId="3" applyFill="1" applyAlignment="1">
      <alignment horizontal="left" vertical="center"/>
    </xf>
    <xf numFmtId="0" fontId="3" fillId="2" borderId="15" xfId="3" applyFill="1" applyBorder="1" applyAlignment="1">
      <alignment horizontal="left" vertical="center"/>
    </xf>
    <xf numFmtId="0" fontId="3" fillId="2" borderId="34" xfId="3" applyFill="1" applyBorder="1" applyAlignment="1">
      <alignment horizontal="left" vertical="center"/>
    </xf>
    <xf numFmtId="0" fontId="3" fillId="2" borderId="8" xfId="3" applyFill="1" applyBorder="1" applyAlignment="1">
      <alignment horizontal="left" vertical="center"/>
    </xf>
    <xf numFmtId="0" fontId="3" fillId="2" borderId="35" xfId="3" applyFill="1" applyBorder="1" applyAlignment="1">
      <alignment horizontal="left" vertical="center"/>
    </xf>
    <xf numFmtId="0" fontId="5" fillId="2" borderId="25" xfId="3" applyFont="1" applyFill="1" applyBorder="1" applyAlignment="1">
      <alignment horizontal="center" vertical="center"/>
    </xf>
    <xf numFmtId="0" fontId="5" fillId="2" borderId="26" xfId="3" applyFont="1" applyFill="1" applyBorder="1" applyAlignment="1">
      <alignment horizontal="center" vertical="center"/>
    </xf>
    <xf numFmtId="0" fontId="5" fillId="2" borderId="23" xfId="3" applyFont="1" applyFill="1" applyBorder="1" applyAlignment="1">
      <alignment horizontal="center" vertical="center"/>
    </xf>
    <xf numFmtId="0" fontId="3" fillId="2" borderId="41" xfId="3" applyFill="1" applyBorder="1" applyAlignment="1">
      <alignment horizontal="left" vertical="center"/>
    </xf>
    <xf numFmtId="0" fontId="3" fillId="2" borderId="1" xfId="3" applyFill="1" applyBorder="1" applyAlignment="1">
      <alignment horizontal="left" vertical="center"/>
    </xf>
    <xf numFmtId="0" fontId="3" fillId="2" borderId="27" xfId="3" applyFill="1" applyBorder="1" applyAlignment="1">
      <alignment horizontal="left" vertical="center"/>
    </xf>
    <xf numFmtId="0" fontId="5" fillId="2" borderId="29" xfId="3" applyFont="1" applyFill="1" applyBorder="1" applyAlignment="1">
      <alignment horizontal="center" vertical="center"/>
    </xf>
    <xf numFmtId="0" fontId="5" fillId="2" borderId="30" xfId="3" applyFont="1" applyFill="1" applyBorder="1" applyAlignment="1">
      <alignment horizontal="center" vertical="center"/>
    </xf>
    <xf numFmtId="0" fontId="5" fillId="2" borderId="14" xfId="3" applyFont="1" applyFill="1" applyBorder="1" applyAlignment="1">
      <alignment horizontal="center" vertical="center"/>
    </xf>
    <xf numFmtId="0" fontId="5" fillId="2" borderId="0" xfId="3" applyFont="1" applyFill="1" applyAlignment="1">
      <alignment horizontal="center" vertical="center"/>
    </xf>
    <xf numFmtId="0" fontId="5" fillId="2" borderId="15" xfId="3" applyFont="1" applyFill="1" applyBorder="1" applyAlignment="1">
      <alignment horizontal="center" vertical="center"/>
    </xf>
    <xf numFmtId="0" fontId="3" fillId="2" borderId="20" xfId="3" applyFill="1" applyBorder="1" applyAlignment="1">
      <alignment horizontal="left" vertical="center"/>
    </xf>
    <xf numFmtId="0" fontId="3" fillId="2" borderId="21" xfId="3" applyFill="1" applyBorder="1" applyAlignment="1">
      <alignment horizontal="left" vertical="center"/>
    </xf>
    <xf numFmtId="0" fontId="3" fillId="2" borderId="22" xfId="3" applyFill="1" applyBorder="1" applyAlignment="1">
      <alignment horizontal="left" vertical="center"/>
    </xf>
    <xf numFmtId="0" fontId="3" fillId="2" borderId="14" xfId="3" applyFill="1" applyBorder="1" applyAlignment="1">
      <alignment horizontal="left" vertical="center"/>
    </xf>
    <xf numFmtId="0" fontId="5" fillId="2" borderId="16" xfId="3" applyFont="1" applyFill="1" applyBorder="1" applyAlignment="1">
      <alignment horizontal="center" vertical="center" wrapText="1"/>
    </xf>
    <xf numFmtId="0" fontId="5" fillId="2" borderId="17" xfId="3" applyFont="1" applyFill="1" applyBorder="1" applyAlignment="1">
      <alignment horizontal="center" vertical="center" wrapText="1"/>
    </xf>
    <xf numFmtId="0" fontId="5" fillId="21" borderId="14" xfId="3" applyFont="1" applyFill="1" applyBorder="1" applyAlignment="1">
      <alignment horizontal="center" vertical="center"/>
    </xf>
    <xf numFmtId="0" fontId="5" fillId="21" borderId="0" xfId="3" applyFont="1" applyFill="1" applyAlignment="1">
      <alignment horizontal="center" vertical="center"/>
    </xf>
    <xf numFmtId="0" fontId="5" fillId="21" borderId="15" xfId="3" applyFont="1" applyFill="1" applyBorder="1" applyAlignment="1">
      <alignment horizontal="center" vertical="center"/>
    </xf>
    <xf numFmtId="0" fontId="3" fillId="2" borderId="38" xfId="3" applyFill="1" applyBorder="1" applyAlignment="1">
      <alignment horizontal="left" vertical="center"/>
    </xf>
    <xf numFmtId="0" fontId="3" fillId="2" borderId="36" xfId="3" applyFill="1" applyBorder="1" applyAlignment="1">
      <alignment horizontal="left" vertical="center"/>
    </xf>
    <xf numFmtId="0" fontId="3" fillId="2" borderId="16" xfId="3" applyFill="1" applyBorder="1" applyAlignment="1">
      <alignment horizontal="left" vertical="center"/>
    </xf>
    <xf numFmtId="0" fontId="3" fillId="2" borderId="18" xfId="3" applyFill="1" applyBorder="1" applyAlignment="1">
      <alignment horizontal="left" vertical="center"/>
    </xf>
    <xf numFmtId="0" fontId="3" fillId="2" borderId="11" xfId="3" applyFill="1" applyBorder="1" applyAlignment="1">
      <alignment horizontal="left" vertical="center"/>
    </xf>
    <xf numFmtId="0" fontId="3" fillId="2" borderId="13" xfId="3" applyFill="1" applyBorder="1" applyAlignment="1">
      <alignment horizontal="left" vertical="center"/>
    </xf>
    <xf numFmtId="0" fontId="3" fillId="2" borderId="29" xfId="3" applyFill="1" applyBorder="1" applyAlignment="1">
      <alignment horizontal="left" vertical="center"/>
    </xf>
    <xf numFmtId="0" fontId="3" fillId="2" borderId="30" xfId="3" applyFill="1" applyBorder="1" applyAlignment="1">
      <alignment horizontal="left" vertical="center"/>
    </xf>
    <xf numFmtId="0" fontId="5" fillId="2" borderId="38" xfId="3" applyFont="1" applyFill="1" applyBorder="1" applyAlignment="1">
      <alignment horizontal="center" vertical="center"/>
    </xf>
    <xf numFmtId="0" fontId="5" fillId="2" borderId="39" xfId="3" applyFont="1" applyFill="1" applyBorder="1" applyAlignment="1">
      <alignment horizontal="center" vertical="center"/>
    </xf>
    <xf numFmtId="0" fontId="5" fillId="2" borderId="36" xfId="3" applyFont="1" applyFill="1" applyBorder="1" applyAlignment="1">
      <alignment horizontal="center" vertical="center"/>
    </xf>
    <xf numFmtId="0" fontId="5" fillId="2" borderId="16" xfId="3" applyFont="1" applyFill="1" applyBorder="1" applyAlignment="1">
      <alignment horizontal="center"/>
    </xf>
    <xf numFmtId="0" fontId="5" fillId="2" borderId="17" xfId="3" applyFont="1" applyFill="1" applyBorder="1" applyAlignment="1">
      <alignment horizontal="center"/>
    </xf>
    <xf numFmtId="0" fontId="5" fillId="2" borderId="18" xfId="3" applyFont="1" applyFill="1" applyBorder="1" applyAlignment="1">
      <alignment horizontal="center"/>
    </xf>
  </cellXfs>
  <cellStyles count="15">
    <cellStyle name="Moeda" xfId="1" builtinId="4"/>
    <cellStyle name="Moeda 2" xfId="4" xr:uid="{2B1EA85B-488B-403C-97C0-83A1A376BF8D}"/>
    <cellStyle name="Moeda 9" xfId="10" xr:uid="{77AB1A0E-1878-4F90-A8CD-887DA8C431E4}"/>
    <cellStyle name="Normal" xfId="0" builtinId="0"/>
    <cellStyle name="Normal 10" xfId="3" xr:uid="{7CBACBD0-4A7B-4F6A-861C-BE4D0FB5E288}"/>
    <cellStyle name="Normal 13" xfId="11" xr:uid="{EEEABE74-17CA-41F5-A6DB-8BF78BE0CD3A}"/>
    <cellStyle name="Normal 18" xfId="5" xr:uid="{41AE41B0-2678-4167-874C-38036C53237D}"/>
    <cellStyle name="Normal 2" xfId="8" xr:uid="{DEDEE962-F257-47A1-954B-AF1159B7C3F4}"/>
    <cellStyle name="Normal 2 2" xfId="14" xr:uid="{6FCD8B9B-CF68-487F-A4BA-791347A34659}"/>
    <cellStyle name="Normal 3" xfId="13" xr:uid="{1126D46C-3A9D-4B56-B7E5-BC54DD002816}"/>
    <cellStyle name="Porcentagem" xfId="2" builtinId="5"/>
    <cellStyle name="Porcentagem 2" xfId="7" xr:uid="{23E1488F-2C41-41F3-9F12-7A231D1A306D}"/>
    <cellStyle name="Separador de milhares 19" xfId="12" xr:uid="{71E1995D-6B81-423C-81B3-2A330AA9CABF}"/>
    <cellStyle name="Vírgula 2" xfId="6" xr:uid="{FE11E71E-7720-446D-9D6D-E8A182C9A7DE}"/>
    <cellStyle name="Vírgula 4" xfId="9" xr:uid="{768B153B-4666-44A9-A364-F51D0F1338B0}"/>
  </cellStyles>
  <dxfs count="628">
    <dxf>
      <numFmt numFmtId="34" formatCode="_-&quot;R$&quot;\ * #,##0.00_-;\-&quot;R$&quot;\ * #,##0.00_-;_-&quot;R$&quot;\ * &quot;-&quot;??_-;_-@_-"/>
      <alignment horizontal="center" vertical="bottom" textRotation="0" wrapText="0" indent="0" justifyLastLine="0" shrinkToFit="0" readingOrder="0"/>
    </dxf>
    <dxf>
      <numFmt numFmtId="34" formatCode="_-&quot;R$&quot;\ * #,##0.00_-;\-&quot;R$&quot;\ * #,##0.00_-;_-&quot;R$&quot;\ * &quot;-&quot;??_-;_-@_-"/>
      <alignment horizontal="center" vertical="bottom" textRotation="0" wrapText="0" indent="0" justifyLastLine="0" shrinkToFit="0" readingOrder="0"/>
    </dxf>
    <dxf>
      <numFmt numFmtId="165" formatCode="yyyy"/>
      <alignment horizontal="center" vertical="bottom" textRotation="0" wrapText="0" indent="0" justifyLastLine="0" shrinkToFit="0" readingOrder="0"/>
    </dxf>
    <dxf>
      <numFmt numFmtId="34" formatCode="_-&quot;R$&quot;\ * #,##0.00_-;\-&quot;R$&quot;\ * #,##0.00_-;_-&quot;R$&quot;\ * &quot;-&quot;??_-;_-@_-"/>
    </dxf>
    <dxf>
      <numFmt numFmtId="34" formatCode="_-&quot;R$&quot;\ * #,##0.00_-;\-&quot;R$&quot;\ * #,##0.00_-;_-&quot;R$&quot;\ * &quot;-&quot;??_-;_-@_-"/>
    </dxf>
    <dxf>
      <numFmt numFmtId="34" formatCode="_-&quot;R$&quot;\ * #,##0.00_-;\-&quot;R$&quot;\ * #,##0.00_-;_-&quot;R$&quot;\ * &quot;-&quot;??_-;_-@_-"/>
    </dxf>
    <dxf>
      <numFmt numFmtId="34" formatCode="_-&quot;R$&quot;\ * #,##0.00_-;\-&quot;R$&quot;\ * #,##0.00_-;_-&quot;R$&quot;\ * &quot;-&quot;??_-;_-@_-"/>
    </dxf>
    <dxf>
      <numFmt numFmtId="14" formatCode="0.00%"/>
      <alignment horizontal="center" vertical="bottom" textRotation="0" wrapText="0" indent="0" justifyLastLine="0" shrinkToFit="0" readingOrder="0"/>
    </dxf>
    <dxf>
      <numFmt numFmtId="14" formatCode="0.00%"/>
      <alignment horizontal="center" vertical="bottom" textRotation="0" wrapText="0" indent="0" justifyLastLine="0" shrinkToFit="0" readingOrder="0"/>
    </dxf>
    <dxf>
      <numFmt numFmtId="14" formatCode="0.00%"/>
      <alignment horizontal="center" vertical="bottom" textRotation="0" wrapText="0" indent="0" justifyLastLine="0" shrinkToFit="0" readingOrder="0"/>
    </dxf>
    <dxf>
      <numFmt numFmtId="167" formatCode="0.0%"/>
      <alignment horizontal="center" vertical="bottom" textRotation="0" wrapText="0" indent="0" justifyLastLine="0" shrinkToFit="0" readingOrder="0"/>
    </dxf>
    <dxf>
      <numFmt numFmtId="14" formatCode="0.00%"/>
      <alignment horizontal="center" vertical="bottom" textRotation="0" wrapText="0" indent="0" justifyLastLine="0" shrinkToFit="0" readingOrder="0"/>
    </dxf>
    <dxf>
      <numFmt numFmtId="14" formatCode="0.00%"/>
      <alignment horizontal="center" vertical="bottom" textRotation="0" wrapText="0" indent="0" justifyLastLine="0" shrinkToFit="0" readingOrder="0"/>
    </dxf>
    <dxf>
      <numFmt numFmtId="34" formatCode="_-&quot;R$&quot;\ * #,##0.00_-;\-&quot;R$&quot;\ * #,##0.00_-;_-&quot;R$&quot;\ * &quot;-&quot;??_-;_-@_-"/>
    </dxf>
    <dxf>
      <numFmt numFmtId="34" formatCode="_-&quot;R$&quot;\ * #,##0.00_-;\-&quot;R$&quot;\ * #,##0.00_-;_-&quot;R$&quot;\ * &quot;-&quot;??_-;_-@_-"/>
    </dxf>
    <dxf>
      <numFmt numFmtId="34" formatCode="_-&quot;R$&quot;\ * #,##0.00_-;\-&quot;R$&quot;\ * #,##0.00_-;_-&quot;R$&quot;\ * &quot;-&quot;??_-;_-@_-"/>
    </dxf>
    <dxf>
      <numFmt numFmtId="34" formatCode="_-&quot;R$&quot;\ * #,##0.00_-;\-&quot;R$&quot;\ * #,##0.00_-;_-&quot;R$&quot;\ * &quot;-&quot;??_-;_-@_-"/>
    </dxf>
    <dxf>
      <numFmt numFmtId="34" formatCode="_-&quot;R$&quot;\ * #,##0.00_-;\-&quot;R$&quot;\ * #,##0.00_-;_-&quot;R$&quot;\ * &quot;-&quot;??_-;_-@_-"/>
    </dxf>
    <dxf>
      <numFmt numFmtId="34" formatCode="_-&quot;R$&quot;\ * #,##0.00_-;\-&quot;R$&quot;\ * #,##0.00_-;_-&quot;R$&quot;\ * &quot;-&quot;??_-;_-@_-"/>
    </dxf>
    <dxf>
      <numFmt numFmtId="34" formatCode="_-&quot;R$&quot;\ * #,##0.00_-;\-&quot;R$&quot;\ * #,##0.00_-;_-&quot;R$&quot;\ * &quot;-&quot;??_-;_-@_-"/>
    </dxf>
    <dxf>
      <numFmt numFmtId="34" formatCode="_-&quot;R$&quot;\ * #,##0.00_-;\-&quot;R$&quot;\ * #,##0.00_-;_-&quot;R$&quot;\ * &quot;-&quot;??_-;_-@_-"/>
    </dxf>
    <dxf>
      <numFmt numFmtId="34" formatCode="_-&quot;R$&quot;\ * #,##0.00_-;\-&quot;R$&quot;\ * #,##0.00_-;_-&quot;R$&quot;\ * &quot;-&quot;??_-;_-@_-"/>
    </dxf>
    <dxf>
      <numFmt numFmtId="34" formatCode="_-&quot;R$&quot;\ * #,##0.00_-;\-&quot;R$&quot;\ * #,##0.00_-;_-&quot;R$&quot;\ * &quot;-&quot;??_-;_-@_-"/>
    </dxf>
    <dxf>
      <numFmt numFmtId="34" formatCode="_-&quot;R$&quot;\ * #,##0.00_-;\-&quot;R$&quot;\ * #,##0.00_-;_-&quot;R$&quot;\ * &quot;-&quot;??_-;_-@_-"/>
    </dxf>
    <dxf>
      <numFmt numFmtId="34" formatCode="_-&quot;R$&quot;\ * #,##0.00_-;\-&quot;R$&quot;\ * #,##0.00_-;_-&quot;R$&quot;\ * &quot;-&quot;??_-;_-@_-"/>
    </dxf>
    <dxf>
      <numFmt numFmtId="34" formatCode="_-&quot;R$&quot;\ * #,##0.00_-;\-&quot;R$&quot;\ * #,##0.00_-;_-&quot;R$&quot;\ * &quot;-&quot;??_-;_-@_-"/>
    </dxf>
    <dxf>
      <numFmt numFmtId="34" formatCode="_-&quot;R$&quot;\ * #,##0.00_-;\-&quot;R$&quot;\ * #,##0.00_-;_-&quot;R$&quot;\ * &quot;-&quot;??_-;_-@_-"/>
    </dxf>
    <dxf>
      <numFmt numFmtId="34" formatCode="_-&quot;R$&quot;\ * #,##0.00_-;\-&quot;R$&quot;\ * #,##0.00_-;_-&quot;R$&quot;\ * &quot;-&quot;??_-;_-@_-"/>
    </dxf>
    <dxf>
      <numFmt numFmtId="34" formatCode="_-&quot;R$&quot;\ * #,##0.00_-;\-&quot;R$&quot;\ * #,##0.00_-;_-&quot;R$&quot;\ * &quot;-&quot;??_-;_-@_-"/>
    </dxf>
    <dxf>
      <numFmt numFmtId="34" formatCode="_-&quot;R$&quot;\ * #,##0.00_-;\-&quot;R$&quot;\ * #,##0.00_-;_-&quot;R$&quot;\ * &quot;-&quot;??_-;_-@_-"/>
    </dxf>
    <dxf>
      <numFmt numFmtId="34" formatCode="_-&quot;R$&quot;\ * #,##0.00_-;\-&quot;R$&quot;\ * #,##0.00_-;_-&quot;R$&quot;\ * &quot;-&quot;??_-;_-@_-"/>
    </dxf>
    <dxf>
      <numFmt numFmtId="34" formatCode="_-&quot;R$&quot;\ * #,##0.00_-;\-&quot;R$&quot;\ * #,##0.00_-;_-&quot;R$&quot;\ * &quot;-&quot;??_-;_-@_-"/>
    </dxf>
    <dxf>
      <numFmt numFmtId="34" formatCode="_-&quot;R$&quot;\ * #,##0.00_-;\-&quot;R$&quot;\ * #,##0.00_-;_-&quot;R$&quot;\ * &quot;-&quot;??_-;_-@_-"/>
    </dxf>
    <dxf>
      <numFmt numFmtId="34" formatCode="_-&quot;R$&quot;\ * #,##0.00_-;\-&quot;R$&quot;\ * #,##0.00_-;_-&quot;R$&quot;\ * &quot;-&quot;??_-;_-@_-"/>
    </dxf>
    <dxf>
      <numFmt numFmtId="34" formatCode="_-&quot;R$&quot;\ * #,##0.00_-;\-&quot;R$&quot;\ * #,##0.00_-;_-&quot;R$&quot;\ * &quot;-&quot;??_-;_-@_-"/>
    </dxf>
    <dxf>
      <numFmt numFmtId="34" formatCode="_-&quot;R$&quot;\ * #,##0.00_-;\-&quot;R$&quot;\ * #,##0.00_-;_-&quot;R$&quot;\ * &quot;-&quot;??_-;_-@_-"/>
    </dxf>
    <dxf>
      <numFmt numFmtId="34" formatCode="_-&quot;R$&quot;\ * #,##0.00_-;\-&quot;R$&quot;\ * #,##0.00_-;_-&quot;R$&quot;\ * &quot;-&quot;??_-;_-@_-"/>
    </dxf>
    <dxf>
      <numFmt numFmtId="34" formatCode="_-&quot;R$&quot;\ * #,##0.00_-;\-&quot;R$&quot;\ * #,##0.00_-;_-&quot;R$&quot;\ * &quot;-&quot;??_-;_-@_-"/>
    </dxf>
    <dxf>
      <numFmt numFmtId="34" formatCode="_-&quot;R$&quot;\ * #,##0.00_-;\-&quot;R$&quot;\ * #,##0.00_-;_-&quot;R$&quot;\ * &quot;-&quot;??_-;_-@_-"/>
    </dxf>
    <dxf>
      <numFmt numFmtId="34" formatCode="_-&quot;R$&quot;\ * #,##0.00_-;\-&quot;R$&quot;\ * #,##0.00_-;_-&quot;R$&quot;\ * &quot;-&quot;??_-;_-@_-"/>
    </dxf>
    <dxf>
      <numFmt numFmtId="34" formatCode="_-&quot;R$&quot;\ * #,##0.00_-;\-&quot;R$&quot;\ * #,##0.00_-;_-&quot;R$&quot;\ * &quot;-&quot;??_-;_-@_-"/>
    </dxf>
    <dxf>
      <numFmt numFmtId="34" formatCode="_-&quot;R$&quot;\ * #,##0.00_-;\-&quot;R$&quot;\ * #,##0.00_-;_-&quot;R$&quot;\ * &quot;-&quot;??_-;_-@_-"/>
    </dxf>
    <dxf>
      <numFmt numFmtId="34" formatCode="_-&quot;R$&quot;\ * #,##0.00_-;\-&quot;R$&quot;\ * #,##0.00_-;_-&quot;R$&quot;\ * &quot;-&quot;??_-;_-@_-"/>
    </dxf>
    <dxf>
      <numFmt numFmtId="34" formatCode="_-&quot;R$&quot;\ * #,##0.00_-;\-&quot;R$&quot;\ * #,##0.00_-;_-&quot;R$&quot;\ * &quot;-&quot;??_-;_-@_-"/>
    </dxf>
    <dxf>
      <numFmt numFmtId="34" formatCode="_-&quot;R$&quot;\ * #,##0.00_-;\-&quot;R$&quot;\ * #,##0.00_-;_-&quot;R$&quot;\ * &quot;-&quot;??_-;_-@_-"/>
    </dxf>
    <dxf>
      <numFmt numFmtId="34" formatCode="_-&quot;R$&quot;\ * #,##0.00_-;\-&quot;R$&quot;\ * #,##0.00_-;_-&quot;R$&quot;\ * &quot;-&quot;??_-;_-@_-"/>
    </dxf>
    <dxf>
      <numFmt numFmtId="34" formatCode="_-&quot;R$&quot;\ * #,##0.00_-;\-&quot;R$&quot;\ * #,##0.00_-;_-&quot;R$&quot;\ * &quot;-&quot;??_-;_-@_-"/>
    </dxf>
    <dxf>
      <numFmt numFmtId="34" formatCode="_-&quot;R$&quot;\ * #,##0.00_-;\-&quot;R$&quot;\ * #,##0.00_-;_-&quot;R$&quot;\ * &quot;-&quot;??_-;_-@_-"/>
    </dxf>
    <dxf>
      <numFmt numFmtId="34" formatCode="_-&quot;R$&quot;\ * #,##0.00_-;\-&quot;R$&quot;\ * #,##0.00_-;_-&quot;R$&quot;\ * &quot;-&quot;??_-;_-@_-"/>
    </dxf>
    <dxf>
      <numFmt numFmtId="34" formatCode="_-&quot;R$&quot;\ * #,##0.00_-;\-&quot;R$&quot;\ * #,##0.00_-;_-&quot;R$&quot;\ * &quot;-&quot;??_-;_-@_-"/>
    </dxf>
    <dxf>
      <numFmt numFmtId="34" formatCode="_-&quot;R$&quot;\ * #,##0.00_-;\-&quot;R$&quot;\ * #,##0.00_-;_-&quot;R$&quot;\ * &quot;-&quot;??_-;_-@_-"/>
    </dxf>
    <dxf>
      <numFmt numFmtId="34" formatCode="_-&quot;R$&quot;\ * #,##0.00_-;\-&quot;R$&quot;\ * #,##0.00_-;_-&quot;R$&quot;\ * &quot;-&quot;??_-;_-@_-"/>
    </dxf>
    <dxf>
      <numFmt numFmtId="34" formatCode="_-&quot;R$&quot;\ * #,##0.00_-;\-&quot;R$&quot;\ * #,##0.00_-;_-&quot;R$&quot;\ * &quot;-&quot;??_-;_-@_-"/>
    </dxf>
    <dxf>
      <numFmt numFmtId="34" formatCode="_-&quot;R$&quot;\ * #,##0.00_-;\-&quot;R$&quot;\ * #,##0.00_-;_-&quot;R$&quot;\ * &quot;-&quot;??_-;_-@_-"/>
    </dxf>
    <dxf>
      <numFmt numFmtId="34" formatCode="_-&quot;R$&quot;\ * #,##0.00_-;\-&quot;R$&quot;\ * #,##0.00_-;_-&quot;R$&quot;\ * &quot;-&quot;??_-;_-@_-"/>
    </dxf>
    <dxf>
      <numFmt numFmtId="34" formatCode="_-&quot;R$&quot;\ * #,##0.00_-;\-&quot;R$&quot;\ * #,##0.00_-;_-&quot;R$&quot;\ * &quot;-&quot;??_-;_-@_-"/>
    </dxf>
    <dxf>
      <numFmt numFmtId="34" formatCode="_-&quot;R$&quot;\ * #,##0.00_-;\-&quot;R$&quot;\ * #,##0.00_-;_-&quot;R$&quot;\ * &quot;-&quot;??_-;_-@_-"/>
    </dxf>
    <dxf>
      <numFmt numFmtId="34" formatCode="_-&quot;R$&quot;\ * #,##0.00_-;\-&quot;R$&quot;\ * #,##0.00_-;_-&quot;R$&quot;\ * &quot;-&quot;??_-;_-@_-"/>
    </dxf>
    <dxf>
      <numFmt numFmtId="34" formatCode="_-&quot;R$&quot;\ * #,##0.00_-;\-&quot;R$&quot;\ * #,##0.00_-;_-&quot;R$&quot;\ * &quot;-&quot;??_-;_-@_-"/>
    </dxf>
    <dxf>
      <numFmt numFmtId="34" formatCode="_-&quot;R$&quot;\ * #,##0.00_-;\-&quot;R$&quot;\ * #,##0.00_-;_-&quot;R$&quot;\ * &quot;-&quot;??_-;_-@_-"/>
    </dxf>
    <dxf>
      <numFmt numFmtId="34" formatCode="_-&quot;R$&quot;\ * #,##0.00_-;\-&quot;R$&quot;\ * #,##0.00_-;_-&quot;R$&quot;\ * &quot;-&quot;??_-;_-@_-"/>
    </dxf>
    <dxf>
      <numFmt numFmtId="34" formatCode="_-&quot;R$&quot;\ * #,##0.00_-;\-&quot;R$&quot;\ * #,##0.00_-;_-&quot;R$&quot;\ * &quot;-&quot;??_-;_-@_-"/>
    </dxf>
    <dxf>
      <numFmt numFmtId="34" formatCode="_-&quot;R$&quot;\ * #,##0.00_-;\-&quot;R$&quot;\ * #,##0.00_-;_-&quot;R$&quot;\ * &quot;-&quot;??_-;_-@_-"/>
    </dxf>
    <dxf>
      <numFmt numFmtId="34" formatCode="_-&quot;R$&quot;\ * #,##0.00_-;\-&quot;R$&quot;\ * #,##0.00_-;_-&quot;R$&quot;\ * &quot;-&quot;??_-;_-@_-"/>
    </dxf>
    <dxf>
      <numFmt numFmtId="34" formatCode="_-&quot;R$&quot;\ * #,##0.00_-;\-&quot;R$&quot;\ * #,##0.00_-;_-&quot;R$&quot;\ * &quot;-&quot;??_-;_-@_-"/>
    </dxf>
    <dxf>
      <numFmt numFmtId="34" formatCode="_-&quot;R$&quot;\ * #,##0.00_-;\-&quot;R$&quot;\ * #,##0.00_-;_-&quot;R$&quot;\ * &quot;-&quot;??_-;_-@_-"/>
    </dxf>
    <dxf>
      <font>
        <b val="0"/>
        <i val="0"/>
        <strike val="0"/>
        <condense val="0"/>
        <extend val="0"/>
        <outline val="0"/>
        <shadow val="0"/>
        <u val="none"/>
        <vertAlign val="baseline"/>
        <sz val="11"/>
        <color theme="1"/>
        <name val="Aptos Narrow"/>
        <family val="2"/>
        <scheme val="minor"/>
      </font>
    </dxf>
    <dxf>
      <font>
        <b val="0"/>
        <i val="0"/>
        <strike val="0"/>
        <condense val="0"/>
        <extend val="0"/>
        <outline val="0"/>
        <shadow val="0"/>
        <u val="none"/>
        <vertAlign val="baseline"/>
        <sz val="11"/>
        <color theme="1"/>
        <name val="Aptos Narrow"/>
        <family val="2"/>
        <scheme val="minor"/>
      </font>
    </dxf>
    <dxf>
      <font>
        <b val="0"/>
        <i val="0"/>
        <strike val="0"/>
        <condense val="0"/>
        <extend val="0"/>
        <outline val="0"/>
        <shadow val="0"/>
        <u val="none"/>
        <vertAlign val="baseline"/>
        <sz val="11"/>
        <color theme="1"/>
        <name val="Aptos Narrow"/>
        <family val="2"/>
        <scheme val="minor"/>
      </font>
    </dxf>
    <dxf>
      <font>
        <b val="0"/>
        <i val="0"/>
        <strike val="0"/>
        <condense val="0"/>
        <extend val="0"/>
        <outline val="0"/>
        <shadow val="0"/>
        <u val="none"/>
        <vertAlign val="baseline"/>
        <sz val="11"/>
        <color theme="1"/>
        <name val="Aptos Narrow"/>
        <family val="2"/>
        <scheme val="minor"/>
      </font>
    </dxf>
    <dxf>
      <font>
        <b val="0"/>
        <i val="0"/>
        <strike val="0"/>
        <condense val="0"/>
        <extend val="0"/>
        <outline val="0"/>
        <shadow val="0"/>
        <u val="none"/>
        <vertAlign val="baseline"/>
        <sz val="11"/>
        <color theme="1"/>
        <name val="Aptos Narrow"/>
        <family val="2"/>
        <scheme val="minor"/>
      </font>
    </dxf>
    <dxf>
      <font>
        <b val="0"/>
        <i val="0"/>
        <strike val="0"/>
        <condense val="0"/>
        <extend val="0"/>
        <outline val="0"/>
        <shadow val="0"/>
        <u val="none"/>
        <vertAlign val="baseline"/>
        <sz val="11"/>
        <color theme="1"/>
        <name val="Aptos Narrow"/>
        <family val="2"/>
        <scheme val="minor"/>
      </font>
    </dxf>
    <dxf>
      <font>
        <b val="0"/>
        <i val="0"/>
        <strike val="0"/>
        <condense val="0"/>
        <extend val="0"/>
        <outline val="0"/>
        <shadow val="0"/>
        <u val="none"/>
        <vertAlign val="baseline"/>
        <sz val="11"/>
        <color theme="1"/>
        <name val="Aptos Narrow"/>
        <family val="2"/>
        <scheme val="minor"/>
      </font>
    </dxf>
    <dxf>
      <font>
        <b val="0"/>
        <i val="0"/>
        <strike val="0"/>
        <condense val="0"/>
        <extend val="0"/>
        <outline val="0"/>
        <shadow val="0"/>
        <u val="none"/>
        <vertAlign val="baseline"/>
        <sz val="11"/>
        <color theme="1"/>
        <name val="Aptos Narrow"/>
        <family val="2"/>
        <scheme val="minor"/>
      </font>
    </dxf>
    <dxf>
      <alignment horizontal="center" vertical="bottom" textRotation="0" wrapText="0" indent="0" justifyLastLine="0" shrinkToFit="0" readingOrder="0"/>
    </dxf>
    <dxf>
      <alignment horizontal="center" vertical="bottom" textRotation="0" wrapText="0" indent="0" justifyLastLine="0" shrinkToFit="0" readingOrder="0"/>
    </dxf>
    <dxf>
      <alignment horizontal="center" vertical="bottom" textRotation="0" wrapText="0" indent="0" justifyLastLine="0" shrinkToFit="0" readingOrder="0"/>
    </dxf>
    <dxf>
      <alignment horizontal="center" vertical="bottom" textRotation="0" wrapText="0" indent="0" justifyLastLine="0" shrinkToFit="0" readingOrder="0"/>
    </dxf>
    <dxf>
      <alignment horizontal="center" vertical="bottom" textRotation="0" wrapText="0" indent="0" justifyLastLine="0" shrinkToFit="0" readingOrder="0"/>
    </dxf>
    <dxf>
      <alignment horizontal="center" vertical="bottom" textRotation="0" wrapText="0" indent="0" justifyLastLine="0" shrinkToFit="0" readingOrder="0"/>
    </dxf>
    <dxf>
      <numFmt numFmtId="34" formatCode="_-&quot;R$&quot;\ * #,##0.00_-;\-&quot;R$&quot;\ * #,##0.00_-;_-&quot;R$&quot;\ * &quot;-&quot;??_-;_-@_-"/>
      <alignment horizontal="center" vertical="bottom" textRotation="0" wrapText="0" indent="0" justifyLastLine="0" shrinkToFit="0" readingOrder="0"/>
    </dxf>
    <dxf>
      <numFmt numFmtId="34" formatCode="_-&quot;R$&quot;\ * #,##0.00_-;\-&quot;R$&quot;\ * #,##0.00_-;_-&quot;R$&quot;\ * &quot;-&quot;??_-;_-@_-"/>
      <alignment horizontal="center" vertical="bottom" textRotation="0" wrapText="0" indent="0" justifyLastLine="0" shrinkToFit="0" readingOrder="0"/>
    </dxf>
    <dxf>
      <numFmt numFmtId="34" formatCode="_-&quot;R$&quot;\ * #,##0.00_-;\-&quot;R$&quot;\ * #,##0.00_-;_-&quot;R$&quot;\ * &quot;-&quot;??_-;_-@_-"/>
      <alignment horizontal="center" vertical="bottom" textRotation="0" wrapText="0" indent="0" justifyLastLine="0" shrinkToFit="0" readingOrder="0"/>
    </dxf>
    <dxf>
      <numFmt numFmtId="34" formatCode="_-&quot;R$&quot;\ * #,##0.00_-;\-&quot;R$&quot;\ * #,##0.00_-;_-&quot;R$&quot;\ * &quot;-&quot;??_-;_-@_-"/>
      <alignment horizontal="center" vertical="bottom" textRotation="0" wrapText="0" indent="0" justifyLastLine="0" shrinkToFit="0" readingOrder="0"/>
    </dxf>
    <dxf>
      <numFmt numFmtId="34" formatCode="_-&quot;R$&quot;\ * #,##0.00_-;\-&quot;R$&quot;\ * #,##0.00_-;_-&quot;R$&quot;\ * &quot;-&quot;??_-;_-@_-"/>
      <alignment horizontal="center" vertical="bottom" textRotation="0" wrapText="0" indent="0" justifyLastLine="0" shrinkToFit="0" readingOrder="0"/>
    </dxf>
    <dxf>
      <numFmt numFmtId="34" formatCode="_-&quot;R$&quot;\ * #,##0.00_-;\-&quot;R$&quot;\ * #,##0.00_-;_-&quot;R$&quot;\ * &quot;-&quot;??_-;_-@_-"/>
      <alignment horizontal="center" vertical="bottom" textRotation="0" wrapText="0" indent="0" justifyLastLine="0" shrinkToFit="0" readingOrder="0"/>
    </dxf>
    <dxf>
      <numFmt numFmtId="34" formatCode="_-&quot;R$&quot;\ * #,##0.00_-;\-&quot;R$&quot;\ * #,##0.00_-;_-&quot;R$&quot;\ * &quot;-&quot;??_-;_-@_-"/>
      <alignment horizontal="center" vertical="bottom" textRotation="0" wrapText="0" indent="0" justifyLastLine="0" shrinkToFit="0" readingOrder="0"/>
    </dxf>
    <dxf>
      <numFmt numFmtId="34" formatCode="_-&quot;R$&quot;\ * #,##0.00_-;\-&quot;R$&quot;\ * #,##0.00_-;_-&quot;R$&quot;\ * &quot;-&quot;??_-;_-@_-"/>
      <alignment horizontal="center" vertical="bottom" textRotation="0" wrapText="0" indent="0" justifyLastLine="0" shrinkToFit="0" readingOrder="0"/>
    </dxf>
    <dxf>
      <numFmt numFmtId="34" formatCode="_-&quot;R$&quot;\ * #,##0.00_-;\-&quot;R$&quot;\ * #,##0.00_-;_-&quot;R$&quot;\ * &quot;-&quot;??_-;_-@_-"/>
      <alignment horizontal="center" vertical="bottom" textRotation="0" wrapText="0" indent="0" justifyLastLine="0" shrinkToFit="0" readingOrder="0"/>
    </dxf>
    <dxf>
      <numFmt numFmtId="34" formatCode="_-&quot;R$&quot;\ * #,##0.00_-;\-&quot;R$&quot;\ * #,##0.00_-;_-&quot;R$&quot;\ * &quot;-&quot;??_-;_-@_-"/>
      <alignment horizontal="center" vertical="bottom" textRotation="0" wrapText="0" indent="0" justifyLastLine="0" shrinkToFit="0" readingOrder="0"/>
    </dxf>
    <dxf>
      <numFmt numFmtId="34" formatCode="_-&quot;R$&quot;\ * #,##0.00_-;\-&quot;R$&quot;\ * #,##0.00_-;_-&quot;R$&quot;\ * &quot;-&quot;??_-;_-@_-"/>
      <alignment horizontal="center" vertical="bottom" textRotation="0" wrapText="0" indent="0" justifyLastLine="0" shrinkToFit="0" readingOrder="0"/>
    </dxf>
    <dxf>
      <numFmt numFmtId="34" formatCode="_-&quot;R$&quot;\ * #,##0.00_-;\-&quot;R$&quot;\ * #,##0.00_-;_-&quot;R$&quot;\ * &quot;-&quot;??_-;_-@_-"/>
      <alignment horizontal="center" vertical="bottom" textRotation="0" wrapText="0" indent="0" justifyLastLine="0" shrinkToFit="0" readingOrder="0"/>
    </dxf>
    <dxf>
      <numFmt numFmtId="34" formatCode="_-&quot;R$&quot;\ * #,##0.00_-;\-&quot;R$&quot;\ * #,##0.00_-;_-&quot;R$&quot;\ * &quot;-&quot;??_-;_-@_-"/>
      <alignment horizontal="center" vertical="bottom" textRotation="0" wrapText="0" indent="0" justifyLastLine="0" shrinkToFit="0" readingOrder="0"/>
    </dxf>
    <dxf>
      <numFmt numFmtId="34" formatCode="_-&quot;R$&quot;\ * #,##0.00_-;\-&quot;R$&quot;\ * #,##0.00_-;_-&quot;R$&quot;\ * &quot;-&quot;??_-;_-@_-"/>
      <alignment horizontal="center" vertical="bottom" textRotation="0" wrapText="0" indent="0" justifyLastLine="0" shrinkToFit="0" readingOrder="0"/>
    </dxf>
    <dxf>
      <numFmt numFmtId="34" formatCode="_-&quot;R$&quot;\ * #,##0.00_-;\-&quot;R$&quot;\ * #,##0.00_-;_-&quot;R$&quot;\ * &quot;-&quot;??_-;_-@_-"/>
      <alignment horizontal="center" vertical="bottom" textRotation="0" wrapText="0" indent="0" justifyLastLine="0" shrinkToFit="0" readingOrder="0"/>
    </dxf>
    <dxf>
      <numFmt numFmtId="34" formatCode="_-&quot;R$&quot;\ * #,##0.00_-;\-&quot;R$&quot;\ * #,##0.00_-;_-&quot;R$&quot;\ * &quot;-&quot;??_-;_-@_-"/>
      <alignment horizontal="center" vertical="bottom" textRotation="0" wrapText="0" indent="0" justifyLastLine="0" shrinkToFit="0" readingOrder="0"/>
    </dxf>
    <dxf>
      <numFmt numFmtId="34" formatCode="_-&quot;R$&quot;\ * #,##0.00_-;\-&quot;R$&quot;\ * #,##0.00_-;_-&quot;R$&quot;\ * &quot;-&quot;??_-;_-@_-"/>
      <alignment horizontal="center" vertical="bottom" textRotation="0" wrapText="0" indent="0" justifyLastLine="0" shrinkToFit="0" readingOrder="0"/>
    </dxf>
    <dxf>
      <numFmt numFmtId="34" formatCode="_-&quot;R$&quot;\ * #,##0.00_-;\-&quot;R$&quot;\ * #,##0.00_-;_-&quot;R$&quot;\ * &quot;-&quot;??_-;_-@_-"/>
      <alignment horizontal="center" vertical="bottom" textRotation="0" wrapText="0" indent="0" justifyLastLine="0" shrinkToFit="0" readingOrder="0"/>
    </dxf>
    <dxf>
      <numFmt numFmtId="34" formatCode="_-&quot;R$&quot;\ * #,##0.00_-;\-&quot;R$&quot;\ * #,##0.00_-;_-&quot;R$&quot;\ * &quot;-&quot;??_-;_-@_-"/>
      <alignment horizontal="center" vertical="bottom" textRotation="0" wrapText="0" indent="0" justifyLastLine="0" shrinkToFit="0" readingOrder="0"/>
    </dxf>
    <dxf>
      <numFmt numFmtId="34" formatCode="_-&quot;R$&quot;\ * #,##0.00_-;\-&quot;R$&quot;\ * #,##0.00_-;_-&quot;R$&quot;\ * &quot;-&quot;??_-;_-@_-"/>
      <alignment horizontal="center" vertical="bottom" textRotation="0" wrapText="0" indent="0" justifyLastLine="0" shrinkToFit="0" readingOrder="0"/>
    </dxf>
    <dxf>
      <numFmt numFmtId="34" formatCode="_-&quot;R$&quot;\ * #,##0.00_-;\-&quot;R$&quot;\ * #,##0.00_-;_-&quot;R$&quot;\ * &quot;-&quot;??_-;_-@_-"/>
      <alignment horizontal="center" vertical="bottom" textRotation="0" wrapText="0" indent="0" justifyLastLine="0" shrinkToFit="0" readingOrder="0"/>
    </dxf>
    <dxf>
      <numFmt numFmtId="34" formatCode="_-&quot;R$&quot;\ * #,##0.00_-;\-&quot;R$&quot;\ * #,##0.00_-;_-&quot;R$&quot;\ * &quot;-&quot;??_-;_-@_-"/>
      <alignment horizontal="center" vertical="bottom" textRotation="0" wrapText="0" indent="0" justifyLastLine="0" shrinkToFit="0" readingOrder="0"/>
    </dxf>
    <dxf>
      <numFmt numFmtId="34" formatCode="_-&quot;R$&quot;\ * #,##0.00_-;\-&quot;R$&quot;\ * #,##0.00_-;_-&quot;R$&quot;\ * &quot;-&quot;??_-;_-@_-"/>
      <alignment horizontal="center" vertical="bottom" textRotation="0" wrapText="0" indent="0" justifyLastLine="0" shrinkToFit="0" readingOrder="0"/>
    </dxf>
    <dxf>
      <numFmt numFmtId="34" formatCode="_-&quot;R$&quot;\ * #,##0.00_-;\-&quot;R$&quot;\ * #,##0.00_-;_-&quot;R$&quot;\ * &quot;-&quot;??_-;_-@_-"/>
      <alignment horizontal="center" vertical="bottom" textRotation="0" wrapText="0" indent="0" justifyLastLine="0" shrinkToFit="0" readingOrder="0"/>
    </dxf>
    <dxf>
      <numFmt numFmtId="34" formatCode="_-&quot;R$&quot;\ * #,##0.00_-;\-&quot;R$&quot;\ * #,##0.00_-;_-&quot;R$&quot;\ * &quot;-&quot;??_-;_-@_-"/>
      <alignment horizontal="center" vertical="bottom" textRotation="0" wrapText="0" indent="0" justifyLastLine="0" shrinkToFit="0" readingOrder="0"/>
    </dxf>
    <dxf>
      <numFmt numFmtId="34" formatCode="_-&quot;R$&quot;\ * #,##0.00_-;\-&quot;R$&quot;\ * #,##0.00_-;_-&quot;R$&quot;\ * &quot;-&quot;??_-;_-@_-"/>
      <alignment horizontal="center" vertical="bottom" textRotation="0" wrapText="0" indent="0" justifyLastLine="0" shrinkToFit="0" readingOrder="0"/>
    </dxf>
    <dxf>
      <numFmt numFmtId="34" formatCode="_-&quot;R$&quot;\ * #,##0.00_-;\-&quot;R$&quot;\ * #,##0.00_-;_-&quot;R$&quot;\ * &quot;-&quot;??_-;_-@_-"/>
      <alignment horizontal="center" vertical="bottom" textRotation="0" wrapText="0" indent="0" justifyLastLine="0" shrinkToFit="0" readingOrder="0"/>
    </dxf>
    <dxf>
      <numFmt numFmtId="34" formatCode="_-&quot;R$&quot;\ * #,##0.00_-;\-&quot;R$&quot;\ * #,##0.00_-;_-&quot;R$&quot;\ * &quot;-&quot;??_-;_-@_-"/>
      <alignment horizontal="center" vertical="bottom" textRotation="0" wrapText="0" indent="0" justifyLastLine="0" shrinkToFit="0" readingOrder="0"/>
    </dxf>
    <dxf>
      <numFmt numFmtId="34" formatCode="_-&quot;R$&quot;\ * #,##0.00_-;\-&quot;R$&quot;\ * #,##0.00_-;_-&quot;R$&quot;\ * &quot;-&quot;??_-;_-@_-"/>
      <alignment horizontal="center" vertical="bottom" textRotation="0" wrapText="0" indent="0" justifyLastLine="0" shrinkToFit="0" readingOrder="0"/>
    </dxf>
    <dxf>
      <numFmt numFmtId="34" formatCode="_-&quot;R$&quot;\ * #,##0.00_-;\-&quot;R$&quot;\ * #,##0.00_-;_-&quot;R$&quot;\ * &quot;-&quot;??_-;_-@_-"/>
      <alignment horizontal="center" vertical="bottom" textRotation="0" wrapText="0" indent="0" justifyLastLine="0" shrinkToFit="0" readingOrder="0"/>
    </dxf>
    <dxf>
      <numFmt numFmtId="34" formatCode="_-&quot;R$&quot;\ * #,##0.00_-;\-&quot;R$&quot;\ * #,##0.00_-;_-&quot;R$&quot;\ * &quot;-&quot;??_-;_-@_-"/>
      <alignment horizontal="center" vertical="bottom" textRotation="0" wrapText="0" indent="0" justifyLastLine="0" shrinkToFit="0" readingOrder="0"/>
    </dxf>
    <dxf>
      <numFmt numFmtId="34" formatCode="_-&quot;R$&quot;\ * #,##0.00_-;\-&quot;R$&quot;\ * #,##0.00_-;_-&quot;R$&quot;\ * &quot;-&quot;??_-;_-@_-"/>
      <alignment horizontal="center" vertical="bottom" textRotation="0" wrapText="0" indent="0" justifyLastLine="0" shrinkToFit="0" readingOrder="0"/>
    </dxf>
    <dxf>
      <numFmt numFmtId="34" formatCode="_-&quot;R$&quot;\ * #,##0.00_-;\-&quot;R$&quot;\ * #,##0.00_-;_-&quot;R$&quot;\ * &quot;-&quot;??_-;_-@_-"/>
      <alignment horizontal="center" vertical="bottom" textRotation="0" wrapText="0" indent="0" justifyLastLine="0" shrinkToFit="0" readingOrder="0"/>
    </dxf>
    <dxf>
      <numFmt numFmtId="34" formatCode="_-&quot;R$&quot;\ * #,##0.00_-;\-&quot;R$&quot;\ * #,##0.00_-;_-&quot;R$&quot;\ * &quot;-&quot;??_-;_-@_-"/>
      <alignment horizontal="center" vertical="bottom" textRotation="0" wrapText="0" indent="0" justifyLastLine="0" shrinkToFit="0" readingOrder="0"/>
    </dxf>
    <dxf>
      <numFmt numFmtId="34" formatCode="_-&quot;R$&quot;\ * #,##0.00_-;\-&quot;R$&quot;\ * #,##0.00_-;_-&quot;R$&quot;\ * &quot;-&quot;??_-;_-@_-"/>
      <alignment horizontal="center" vertical="bottom" textRotation="0" wrapText="0" indent="0" justifyLastLine="0" shrinkToFit="0" readingOrder="0"/>
    </dxf>
    <dxf>
      <numFmt numFmtId="34" formatCode="_-&quot;R$&quot;\ * #,##0.00_-;\-&quot;R$&quot;\ * #,##0.00_-;_-&quot;R$&quot;\ * &quot;-&quot;??_-;_-@_-"/>
      <alignment horizontal="center" vertical="bottom" textRotation="0" wrapText="0" indent="0" justifyLastLine="0" shrinkToFit="0" readingOrder="0"/>
    </dxf>
    <dxf>
      <numFmt numFmtId="34" formatCode="_-&quot;R$&quot;\ * #,##0.00_-;\-&quot;R$&quot;\ * #,##0.00_-;_-&quot;R$&quot;\ * &quot;-&quot;??_-;_-@_-"/>
      <alignment horizontal="center" vertical="bottom" textRotation="0" wrapText="0" indent="0" justifyLastLine="0" shrinkToFit="0" readingOrder="0"/>
    </dxf>
    <dxf>
      <numFmt numFmtId="34" formatCode="_-&quot;R$&quot;\ * #,##0.00_-;\-&quot;R$&quot;\ * #,##0.00_-;_-&quot;R$&quot;\ * &quot;-&quot;??_-;_-@_-"/>
      <alignment horizontal="center" vertical="bottom" textRotation="0" wrapText="0" indent="0" justifyLastLine="0" shrinkToFit="0" readingOrder="0"/>
    </dxf>
    <dxf>
      <numFmt numFmtId="34" formatCode="_-&quot;R$&quot;\ * #,##0.00_-;\-&quot;R$&quot;\ * #,##0.00_-;_-&quot;R$&quot;\ * &quot;-&quot;??_-;_-@_-"/>
      <alignment horizontal="center" vertical="bottom" textRotation="0" wrapText="0" indent="0" justifyLastLine="0" shrinkToFit="0" readingOrder="0"/>
    </dxf>
    <dxf>
      <numFmt numFmtId="34" formatCode="_-&quot;R$&quot;\ * #,##0.00_-;\-&quot;R$&quot;\ * #,##0.00_-;_-&quot;R$&quot;\ * &quot;-&quot;??_-;_-@_-"/>
      <alignment horizontal="center" vertical="bottom" textRotation="0" wrapText="0" indent="0" justifyLastLine="0" shrinkToFit="0" readingOrder="0"/>
    </dxf>
    <dxf>
      <numFmt numFmtId="34" formatCode="_-&quot;R$&quot;\ * #,##0.00_-;\-&quot;R$&quot;\ * #,##0.00_-;_-&quot;R$&quot;\ * &quot;-&quot;??_-;_-@_-"/>
      <alignment horizontal="center" vertical="bottom" textRotation="0" wrapText="0" indent="0" justifyLastLine="0" shrinkToFit="0" readingOrder="0"/>
    </dxf>
    <dxf>
      <numFmt numFmtId="34" formatCode="_-&quot;R$&quot;\ * #,##0.00_-;\-&quot;R$&quot;\ * #,##0.00_-;_-&quot;R$&quot;\ * &quot;-&quot;??_-;_-@_-"/>
      <alignment horizontal="center" vertical="bottom" textRotation="0" wrapText="0" indent="0" justifyLastLine="0" shrinkToFit="0" readingOrder="0"/>
    </dxf>
    <dxf>
      <numFmt numFmtId="34" formatCode="_-&quot;R$&quot;\ * #,##0.00_-;\-&quot;R$&quot;\ * #,##0.00_-;_-&quot;R$&quot;\ * &quot;-&quot;??_-;_-@_-"/>
      <alignment horizontal="center" vertical="bottom" textRotation="0" wrapText="0" indent="0" justifyLastLine="0" shrinkToFit="0" readingOrder="0"/>
    </dxf>
    <dxf>
      <numFmt numFmtId="34" formatCode="_-&quot;R$&quot;\ * #,##0.00_-;\-&quot;R$&quot;\ * #,##0.00_-;_-&quot;R$&quot;\ * &quot;-&quot;??_-;_-@_-"/>
      <alignment horizontal="center" vertical="bottom" textRotation="0" wrapText="0" indent="0" justifyLastLine="0" shrinkToFit="0" readingOrder="0"/>
    </dxf>
    <dxf>
      <numFmt numFmtId="34" formatCode="_-&quot;R$&quot;\ * #,##0.00_-;\-&quot;R$&quot;\ * #,##0.00_-;_-&quot;R$&quot;\ * &quot;-&quot;??_-;_-@_-"/>
      <alignment horizontal="center" vertical="bottom" textRotation="0" wrapText="0" indent="0" justifyLastLine="0" shrinkToFit="0" readingOrder="0"/>
    </dxf>
    <dxf>
      <numFmt numFmtId="34" formatCode="_-&quot;R$&quot;\ * #,##0.00_-;\-&quot;R$&quot;\ * #,##0.00_-;_-&quot;R$&quot;\ * &quot;-&quot;??_-;_-@_-"/>
      <alignment horizontal="center" vertical="bottom" textRotation="0" wrapText="0" indent="0" justifyLastLine="0" shrinkToFit="0" readingOrder="0"/>
    </dxf>
    <dxf>
      <numFmt numFmtId="34" formatCode="_-&quot;R$&quot;\ * #,##0.00_-;\-&quot;R$&quot;\ * #,##0.00_-;_-&quot;R$&quot;\ * &quot;-&quot;??_-;_-@_-"/>
      <alignment horizontal="center" vertical="bottom" textRotation="0" wrapText="0" indent="0" justifyLastLine="0" shrinkToFit="0" readingOrder="0"/>
    </dxf>
    <dxf>
      <numFmt numFmtId="34" formatCode="_-&quot;R$&quot;\ * #,##0.00_-;\-&quot;R$&quot;\ * #,##0.00_-;_-&quot;R$&quot;\ * &quot;-&quot;??_-;_-@_-"/>
      <alignment horizontal="center" vertical="bottom" textRotation="0" wrapText="0" indent="0" justifyLastLine="0" shrinkToFit="0" readingOrder="0"/>
    </dxf>
    <dxf>
      <numFmt numFmtId="34" formatCode="_-&quot;R$&quot;\ * #,##0.00_-;\-&quot;R$&quot;\ * #,##0.00_-;_-&quot;R$&quot;\ * &quot;-&quot;??_-;_-@_-"/>
      <alignment horizontal="center" vertical="bottom" textRotation="0" wrapText="0" indent="0" justifyLastLine="0" shrinkToFit="0" readingOrder="0"/>
    </dxf>
    <dxf>
      <numFmt numFmtId="34" formatCode="_-&quot;R$&quot;\ * #,##0.00_-;\-&quot;R$&quot;\ * #,##0.00_-;_-&quot;R$&quot;\ * &quot;-&quot;??_-;_-@_-"/>
      <alignment horizontal="center" vertical="bottom" textRotation="0" wrapText="0" indent="0" justifyLastLine="0" shrinkToFit="0" readingOrder="0"/>
    </dxf>
    <dxf>
      <numFmt numFmtId="34" formatCode="_-&quot;R$&quot;\ * #,##0.00_-;\-&quot;R$&quot;\ * #,##0.00_-;_-&quot;R$&quot;\ * &quot;-&quot;??_-;_-@_-"/>
      <alignment horizontal="center" vertical="bottom" textRotation="0" wrapText="0" indent="0" justifyLastLine="0" shrinkToFit="0" readingOrder="0"/>
    </dxf>
    <dxf>
      <numFmt numFmtId="34" formatCode="_-&quot;R$&quot;\ * #,##0.00_-;\-&quot;R$&quot;\ * #,##0.00_-;_-&quot;R$&quot;\ * &quot;-&quot;??_-;_-@_-"/>
      <alignment horizontal="center" vertical="bottom" textRotation="0" wrapText="0" indent="0" justifyLastLine="0" shrinkToFit="0" readingOrder="0"/>
    </dxf>
    <dxf>
      <numFmt numFmtId="34" formatCode="_-&quot;R$&quot;\ * #,##0.00_-;\-&quot;R$&quot;\ * #,##0.00_-;_-&quot;R$&quot;\ * &quot;-&quot;??_-;_-@_-"/>
      <alignment horizontal="center" vertical="bottom" textRotation="0" wrapText="0" indent="0" justifyLastLine="0" shrinkToFit="0" readingOrder="0"/>
    </dxf>
    <dxf>
      <numFmt numFmtId="34" formatCode="_-&quot;R$&quot;\ * #,##0.00_-;\-&quot;R$&quot;\ * #,##0.00_-;_-&quot;R$&quot;\ * &quot;-&quot;??_-;_-@_-"/>
      <alignment horizontal="center" vertical="bottom" textRotation="0" wrapText="0" indent="0" justifyLastLine="0" shrinkToFit="0" readingOrder="0"/>
    </dxf>
    <dxf>
      <numFmt numFmtId="34" formatCode="_-&quot;R$&quot;\ * #,##0.00_-;\-&quot;R$&quot;\ * #,##0.00_-;_-&quot;R$&quot;\ * &quot;-&quot;??_-;_-@_-"/>
      <alignment horizontal="center" vertical="bottom" textRotation="0" wrapText="0" indent="0" justifyLastLine="0" shrinkToFit="0" readingOrder="0"/>
    </dxf>
    <dxf>
      <numFmt numFmtId="34" formatCode="_-&quot;R$&quot;\ * #,##0.00_-;\-&quot;R$&quot;\ * #,##0.00_-;_-&quot;R$&quot;\ * &quot;-&quot;??_-;_-@_-"/>
      <alignment horizontal="center" vertical="bottom" textRotation="0" wrapText="0" indent="0" justifyLastLine="0" shrinkToFit="0" readingOrder="0"/>
    </dxf>
    <dxf>
      <numFmt numFmtId="34" formatCode="_-&quot;R$&quot;\ * #,##0.00_-;\-&quot;R$&quot;\ * #,##0.00_-;_-&quot;R$&quot;\ * &quot;-&quot;??_-;_-@_-"/>
      <alignment horizontal="center" vertical="bottom" textRotation="0" wrapText="0" indent="0" justifyLastLine="0" shrinkToFit="0" readingOrder="0"/>
    </dxf>
    <dxf>
      <numFmt numFmtId="34" formatCode="_-&quot;R$&quot;\ * #,##0.00_-;\-&quot;R$&quot;\ * #,##0.00_-;_-&quot;R$&quot;\ * &quot;-&quot;??_-;_-@_-"/>
      <alignment horizontal="center" vertical="bottom" textRotation="0" wrapText="0" indent="0" justifyLastLine="0" shrinkToFit="0" readingOrder="0"/>
    </dxf>
    <dxf>
      <numFmt numFmtId="34" formatCode="_-&quot;R$&quot;\ * #,##0.00_-;\-&quot;R$&quot;\ * #,##0.00_-;_-&quot;R$&quot;\ * &quot;-&quot;??_-;_-@_-"/>
      <alignment horizontal="center" vertical="bottom" textRotation="0" wrapText="0" indent="0" justifyLastLine="0" shrinkToFit="0" readingOrder="0"/>
    </dxf>
    <dxf>
      <numFmt numFmtId="34" formatCode="_-&quot;R$&quot;\ * #,##0.00_-;\-&quot;R$&quot;\ * #,##0.00_-;_-&quot;R$&quot;\ * &quot;-&quot;??_-;_-@_-"/>
      <alignment horizontal="center" vertical="bottom" textRotation="0" wrapText="0" indent="0" justifyLastLine="0" shrinkToFit="0" readingOrder="0"/>
    </dxf>
    <dxf>
      <numFmt numFmtId="34" formatCode="_-&quot;R$&quot;\ * #,##0.00_-;\-&quot;R$&quot;\ * #,##0.00_-;_-&quot;R$&quot;\ * &quot;-&quot;??_-;_-@_-"/>
      <alignment horizontal="center" vertical="bottom" textRotation="0" wrapText="0" indent="0" justifyLastLine="0" shrinkToFit="0" readingOrder="0"/>
    </dxf>
    <dxf>
      <numFmt numFmtId="14" formatCode="0.00%"/>
      <alignment horizontal="center" vertical="bottom" textRotation="0" wrapText="0" indent="0" justifyLastLine="0" shrinkToFit="0" readingOrder="0"/>
    </dxf>
    <dxf>
      <numFmt numFmtId="14" formatCode="0.00%"/>
      <alignment horizontal="center" vertical="bottom" textRotation="0" wrapText="0" indent="0" justifyLastLine="0" shrinkToFit="0" readingOrder="0"/>
    </dxf>
    <dxf>
      <numFmt numFmtId="14" formatCode="0.00%"/>
      <alignment horizontal="center" vertical="bottom" textRotation="0" wrapText="0" indent="0" justifyLastLine="0" shrinkToFit="0" readingOrder="0"/>
    </dxf>
    <dxf>
      <numFmt numFmtId="14" formatCode="0.00%"/>
      <alignment horizontal="center" vertical="bottom" textRotation="0" wrapText="0" indent="0" justifyLastLine="0" shrinkToFit="0" readingOrder="0"/>
    </dxf>
    <dxf>
      <numFmt numFmtId="14" formatCode="0.00%"/>
      <alignment horizontal="center" vertical="bottom" textRotation="0" wrapText="0" indent="0" justifyLastLine="0" shrinkToFit="0" readingOrder="0"/>
    </dxf>
    <dxf>
      <numFmt numFmtId="14" formatCode="0.00%"/>
      <alignment horizontal="center" vertical="bottom" textRotation="0" wrapText="0" indent="0" justifyLastLine="0" shrinkToFit="0" readingOrder="0"/>
    </dxf>
    <dxf>
      <numFmt numFmtId="34" formatCode="_-&quot;R$&quot;\ * #,##0.00_-;\-&quot;R$&quot;\ * #,##0.00_-;_-&quot;R$&quot;\ * &quot;-&quot;??_-;_-@_-"/>
      <alignment horizontal="center" vertical="bottom" textRotation="0" wrapText="0" indent="0" justifyLastLine="0" shrinkToFit="0" readingOrder="0"/>
    </dxf>
    <dxf>
      <numFmt numFmtId="34" formatCode="_-&quot;R$&quot;\ * #,##0.00_-;\-&quot;R$&quot;\ * #,##0.00_-;_-&quot;R$&quot;\ * &quot;-&quot;??_-;_-@_-"/>
      <alignment horizontal="center" vertical="bottom" textRotation="0" wrapText="0" indent="0" justifyLastLine="0" shrinkToFit="0" readingOrder="0"/>
    </dxf>
    <dxf>
      <numFmt numFmtId="34" formatCode="_-&quot;R$&quot;\ * #,##0.00_-;\-&quot;R$&quot;\ * #,##0.00_-;_-&quot;R$&quot;\ * &quot;-&quot;??_-;_-@_-"/>
      <alignment horizontal="center" vertical="bottom" textRotation="0" wrapText="0" indent="0" justifyLastLine="0" shrinkToFit="0" readingOrder="0"/>
    </dxf>
    <dxf>
      <numFmt numFmtId="34" formatCode="_-&quot;R$&quot;\ * #,##0.00_-;\-&quot;R$&quot;\ * #,##0.00_-;_-&quot;R$&quot;\ * &quot;-&quot;??_-;_-@_-"/>
      <alignment horizontal="center" vertical="bottom" textRotation="0" wrapText="0" indent="0" justifyLastLine="0" shrinkToFit="0" readingOrder="0"/>
    </dxf>
    <dxf>
      <alignment horizontal="center" vertical="bottom" textRotation="0" wrapText="0" indent="0" justifyLastLine="0" shrinkToFit="0" readingOrder="0"/>
    </dxf>
    <dxf>
      <alignment horizontal="center" vertical="bottom" textRotation="0" wrapText="0" indent="0" justifyLastLine="0" shrinkToFit="0" readingOrder="0"/>
    </dxf>
    <dxf>
      <alignment horizontal="center" vertical="bottom" textRotation="0" wrapText="0" indent="0" justifyLastLine="0" shrinkToFit="0" readingOrder="0"/>
    </dxf>
    <dxf>
      <numFmt numFmtId="0" formatCode="General"/>
      <alignment horizontal="center" vertical="bottom" textRotation="0" wrapText="0" indent="0" justifyLastLine="0" shrinkToFit="0" readingOrder="0"/>
      <border diagonalUp="0" diagonalDown="0">
        <left style="thin">
          <color indexed="64"/>
        </left>
        <right/>
        <top style="thin">
          <color indexed="64"/>
        </top>
        <bottom style="thin">
          <color indexed="64"/>
        </bottom>
        <vertical/>
        <horizontal/>
      </border>
    </dxf>
    <dxf>
      <numFmt numFmtId="0" formatCode="General"/>
      <alignment horizontal="center" vertical="bottom" textRotation="0" wrapText="0" indent="0" justifyLastLine="0" shrinkToFit="0" readingOrder="0"/>
      <border diagonalUp="0" diagonalDown="0">
        <left style="thin">
          <color auto="1"/>
        </left>
        <right style="thin">
          <color auto="1"/>
        </right>
        <top style="thin">
          <color auto="1"/>
        </top>
        <bottom style="thin">
          <color auto="1"/>
        </bottom>
        <vertical/>
        <horizontal/>
      </border>
    </dxf>
    <dxf>
      <numFmt numFmtId="165" formatCode="yyyy"/>
      <alignment horizontal="center" vertical="bottom" textRotation="0" wrapText="0" indent="0" justifyLastLine="0" shrinkToFit="0" readingOrder="0"/>
      <border diagonalUp="0" diagonalDown="0">
        <left style="thin">
          <color auto="1"/>
        </left>
        <right style="thin">
          <color auto="1"/>
        </right>
        <top style="thin">
          <color auto="1"/>
        </top>
        <bottom style="thin">
          <color auto="1"/>
        </bottom>
        <vertical/>
        <horizontal/>
      </border>
    </dxf>
    <dxf>
      <numFmt numFmtId="14" formatCode="0.00%"/>
      <alignment horizontal="center" vertical="bottom" textRotation="0" wrapText="0" indent="0" justifyLastLine="0" shrinkToFit="0" readingOrder="0"/>
      <border diagonalUp="0" diagonalDown="0">
        <left style="thin">
          <color auto="1"/>
        </left>
        <right style="thin">
          <color auto="1"/>
        </right>
        <top style="thin">
          <color auto="1"/>
        </top>
        <bottom style="thin">
          <color auto="1"/>
        </bottom>
        <vertical/>
        <horizontal/>
      </border>
    </dxf>
    <dxf>
      <numFmt numFmtId="14" formatCode="0.00%"/>
      <alignment horizontal="center" vertical="bottom" textRotation="0" wrapText="0" indent="0" justifyLastLine="0" shrinkToFit="0" readingOrder="0"/>
      <border diagonalUp="0" diagonalDown="0">
        <left style="thin">
          <color auto="1"/>
        </left>
        <right style="thin">
          <color auto="1"/>
        </right>
        <top style="thin">
          <color auto="1"/>
        </top>
        <bottom style="thin">
          <color auto="1"/>
        </bottom>
        <vertical/>
        <horizontal/>
      </border>
    </dxf>
    <dxf>
      <numFmt numFmtId="14" formatCode="0.00%"/>
      <alignment horizontal="center" vertical="bottom" textRotation="0" wrapText="0" indent="0" justifyLastLine="0" shrinkToFit="0" readingOrder="0"/>
      <border diagonalUp="0" diagonalDown="0">
        <left style="thin">
          <color auto="1"/>
        </left>
        <right style="thin">
          <color auto="1"/>
        </right>
        <top style="thin">
          <color auto="1"/>
        </top>
        <bottom style="thin">
          <color auto="1"/>
        </bottom>
        <vertical/>
        <horizontal/>
      </border>
    </dxf>
    <dxf>
      <border diagonalUp="0" diagonalDown="0">
        <left style="thin">
          <color auto="1"/>
        </left>
        <right style="thin">
          <color auto="1"/>
        </right>
        <top style="thin">
          <color auto="1"/>
        </top>
        <bottom style="thin">
          <color auto="1"/>
        </bottom>
        <vertical/>
        <horizontal/>
      </border>
    </dxf>
    <dxf>
      <border diagonalUp="0" diagonalDown="0">
        <left style="thin">
          <color auto="1"/>
        </left>
        <right style="thin">
          <color auto="1"/>
        </right>
        <top style="thin">
          <color auto="1"/>
        </top>
        <bottom style="thin">
          <color auto="1"/>
        </bottom>
        <vertical/>
        <horizontal/>
      </border>
    </dxf>
    <dxf>
      <numFmt numFmtId="34" formatCode="_-&quot;R$&quot;\ * #,##0.00_-;\-&quot;R$&quot;\ * #,##0.00_-;_-&quot;R$&quot;\ * &quot;-&quot;??_-;_-@_-"/>
      <alignment horizontal="general" vertical="bottom" textRotation="0" wrapText="1" indent="0" justifyLastLine="0" shrinkToFit="0" readingOrder="0"/>
      <border diagonalUp="0" diagonalDown="0">
        <left style="thin">
          <color indexed="64"/>
        </left>
        <right style="thin">
          <color indexed="64"/>
        </right>
        <top/>
        <bottom style="thin">
          <color indexed="64"/>
        </bottom>
        <vertical/>
        <horizontal/>
      </border>
    </dxf>
    <dxf>
      <numFmt numFmtId="34" formatCode="_-&quot;R$&quot;\ * #,##0.00_-;\-&quot;R$&quot;\ * #,##0.00_-;_-&quot;R$&quot;\ * &quot;-&quot;??_-;_-@_-"/>
      <alignment horizontal="general" vertical="bottom" textRotation="0" wrapText="1" indent="0" justifyLastLine="0" shrinkToFit="0" readingOrder="0"/>
      <border diagonalUp="0" diagonalDown="0">
        <left style="thin">
          <color indexed="64"/>
        </left>
        <right style="thin">
          <color indexed="64"/>
        </right>
        <top/>
        <bottom style="thin">
          <color indexed="64"/>
        </bottom>
        <vertical/>
        <horizontal/>
      </border>
    </dxf>
    <dxf>
      <numFmt numFmtId="34" formatCode="_-&quot;R$&quot;\ * #,##0.00_-;\-&quot;R$&quot;\ * #,##0.00_-;_-&quot;R$&quot;\ * &quot;-&quot;??_-;_-@_-"/>
      <alignment horizontal="general" vertical="bottom" textRotation="0" wrapText="1" indent="0" justifyLastLine="0" shrinkToFit="0" readingOrder="0"/>
      <border diagonalUp="0" diagonalDown="0">
        <left style="thin">
          <color indexed="64"/>
        </left>
        <right style="thin">
          <color indexed="64"/>
        </right>
        <top/>
        <bottom style="thin">
          <color indexed="64"/>
        </bottom>
        <vertical/>
        <horizontal/>
      </border>
    </dxf>
    <dxf>
      <numFmt numFmtId="34" formatCode="_-&quot;R$&quot;\ * #,##0.00_-;\-&quot;R$&quot;\ * #,##0.00_-;_-&quot;R$&quot;\ * &quot;-&quot;??_-;_-@_-"/>
      <alignment horizontal="general" vertical="bottom" textRotation="0" wrapText="1" indent="0" justifyLastLine="0" shrinkToFit="0" readingOrder="0"/>
      <border diagonalUp="0" diagonalDown="0">
        <left style="thin">
          <color indexed="64"/>
        </left>
        <right style="thin">
          <color indexed="64"/>
        </right>
        <top/>
        <bottom/>
        <vertical/>
        <horizontal/>
      </border>
    </dxf>
    <dxf>
      <numFmt numFmtId="34" formatCode="_-&quot;R$&quot;\ * #,##0.00_-;\-&quot;R$&quot;\ * #,##0.00_-;_-&quot;R$&quot;\ * &quot;-&quot;??_-;_-@_-"/>
      <border diagonalUp="0" diagonalDown="0">
        <left style="thin">
          <color auto="1"/>
        </left>
        <right style="thin">
          <color auto="1"/>
        </right>
        <top style="thin">
          <color auto="1"/>
        </top>
        <bottom style="thin">
          <color auto="1"/>
        </bottom>
        <vertical/>
        <horizontal/>
      </border>
    </dxf>
    <dxf>
      <numFmt numFmtId="34" formatCode="_-&quot;R$&quot;\ * #,##0.00_-;\-&quot;R$&quot;\ * #,##0.00_-;_-&quot;R$&quot;\ * &quot;-&quot;??_-;_-@_-"/>
      <border diagonalUp="0" diagonalDown="0">
        <left style="thin">
          <color auto="1"/>
        </left>
        <right style="thin">
          <color auto="1"/>
        </right>
        <top style="thin">
          <color auto="1"/>
        </top>
        <bottom style="thin">
          <color auto="1"/>
        </bottom>
        <vertical/>
        <horizontal/>
      </border>
    </dxf>
    <dxf>
      <numFmt numFmtId="34" formatCode="_-&quot;R$&quot;\ * #,##0.00_-;\-&quot;R$&quot;\ * #,##0.00_-;_-&quot;R$&quot;\ * &quot;-&quot;??_-;_-@_-"/>
      <border diagonalUp="0" diagonalDown="0">
        <left style="thin">
          <color auto="1"/>
        </left>
        <right style="thin">
          <color auto="1"/>
        </right>
        <top style="thin">
          <color auto="1"/>
        </top>
        <bottom style="thin">
          <color auto="1"/>
        </bottom>
        <vertical/>
        <horizontal/>
      </border>
    </dxf>
    <dxf>
      <numFmt numFmtId="14" formatCode="0.00%"/>
      <alignment horizontal="center" vertical="bottom" textRotation="0" wrapText="0" indent="0" justifyLastLine="0" shrinkToFit="0" readingOrder="0"/>
      <border diagonalUp="0" diagonalDown="0">
        <left style="thin">
          <color auto="1"/>
        </left>
        <right style="thin">
          <color auto="1"/>
        </right>
        <top style="thin">
          <color auto="1"/>
        </top>
        <bottom style="thin">
          <color auto="1"/>
        </bottom>
        <vertical/>
        <horizontal/>
      </border>
    </dxf>
    <dxf>
      <numFmt numFmtId="14" formatCode="0.00%"/>
      <alignment horizontal="center" vertical="bottom" textRotation="0" wrapText="0" indent="0" justifyLastLine="0" shrinkToFit="0" readingOrder="0"/>
      <border diagonalUp="0" diagonalDown="0">
        <left style="thin">
          <color auto="1"/>
        </left>
        <right style="thin">
          <color auto="1"/>
        </right>
        <top style="thin">
          <color auto="1"/>
        </top>
        <bottom style="thin">
          <color auto="1"/>
        </bottom>
        <vertical/>
        <horizontal/>
      </border>
    </dxf>
    <dxf>
      <numFmt numFmtId="14" formatCode="0.00%"/>
      <alignment horizontal="center" vertical="bottom" textRotation="0" wrapText="0" indent="0" justifyLastLine="0" shrinkToFit="0" readingOrder="0"/>
      <border diagonalUp="0" diagonalDown="0">
        <left style="thin">
          <color auto="1"/>
        </left>
        <right style="thin">
          <color auto="1"/>
        </right>
        <top style="thin">
          <color auto="1"/>
        </top>
        <bottom style="thin">
          <color auto="1"/>
        </bottom>
        <vertical/>
        <horizontal/>
      </border>
    </dxf>
    <dxf>
      <numFmt numFmtId="14" formatCode="0.00%"/>
      <alignment horizontal="center" vertical="bottom" textRotation="0" wrapText="0" indent="0" justifyLastLine="0" shrinkToFit="0" readingOrder="0"/>
      <border diagonalUp="0" diagonalDown="0">
        <left style="thin">
          <color auto="1"/>
        </left>
        <right style="thin">
          <color auto="1"/>
        </right>
        <top style="thin">
          <color auto="1"/>
        </top>
        <bottom style="thin">
          <color auto="1"/>
        </bottom>
        <vertical/>
        <horizontal/>
      </border>
    </dxf>
    <dxf>
      <numFmt numFmtId="14" formatCode="0.00%"/>
      <alignment horizontal="center" vertical="bottom" textRotation="0" wrapText="0" indent="0" justifyLastLine="0" shrinkToFit="0" readingOrder="0"/>
      <border diagonalUp="0" diagonalDown="0">
        <left style="thin">
          <color auto="1"/>
        </left>
        <right style="thin">
          <color auto="1"/>
        </right>
        <top style="thin">
          <color auto="1"/>
        </top>
        <bottom style="thin">
          <color auto="1"/>
        </bottom>
        <vertical/>
        <horizontal/>
      </border>
    </dxf>
    <dxf>
      <numFmt numFmtId="14" formatCode="0.00%"/>
      <alignment horizontal="center" vertical="bottom" textRotation="0" wrapText="0" indent="0" justifyLastLine="0" shrinkToFit="0" readingOrder="0"/>
      <border diagonalUp="0" diagonalDown="0">
        <left style="thin">
          <color auto="1"/>
        </left>
        <right style="thin">
          <color auto="1"/>
        </right>
        <top style="thin">
          <color auto="1"/>
        </top>
        <bottom style="thin">
          <color auto="1"/>
        </bottom>
        <vertical/>
        <horizontal/>
      </border>
    </dxf>
    <dxf>
      <numFmt numFmtId="14" formatCode="0.00%"/>
      <alignment horizontal="center" vertical="bottom" textRotation="0" wrapText="0" indent="0" justifyLastLine="0" shrinkToFit="0" readingOrder="0"/>
      <border diagonalUp="0" diagonalDown="0">
        <left style="thin">
          <color auto="1"/>
        </left>
        <right style="thin">
          <color auto="1"/>
        </right>
        <top style="thin">
          <color auto="1"/>
        </top>
        <bottom style="thin">
          <color auto="1"/>
        </bottom>
        <vertical/>
        <horizontal/>
      </border>
    </dxf>
    <dxf>
      <numFmt numFmtId="14" formatCode="0.00%"/>
      <alignment horizontal="center" vertical="bottom" textRotation="0" wrapText="0" indent="0" justifyLastLine="0" shrinkToFit="0" readingOrder="0"/>
      <border diagonalUp="0" diagonalDown="0">
        <left style="thin">
          <color auto="1"/>
        </left>
        <right style="thin">
          <color auto="1"/>
        </right>
        <top style="thin">
          <color auto="1"/>
        </top>
        <bottom style="thin">
          <color auto="1"/>
        </bottom>
        <vertical/>
        <horizontal/>
      </border>
    </dxf>
    <dxf>
      <numFmt numFmtId="14" formatCode="0.00%"/>
      <alignment horizontal="center" vertical="bottom" textRotation="0" wrapText="0" indent="0" justifyLastLine="0" shrinkToFit="0" readingOrder="0"/>
      <border diagonalUp="0" diagonalDown="0">
        <left style="thin">
          <color auto="1"/>
        </left>
        <right style="thin">
          <color auto="1"/>
        </right>
        <top style="thin">
          <color auto="1"/>
        </top>
        <bottom style="thin">
          <color auto="1"/>
        </bottom>
        <vertical/>
        <horizontal/>
      </border>
    </dxf>
    <dxf>
      <numFmt numFmtId="14" formatCode="0.00%"/>
      <alignment horizontal="center" vertical="bottom" textRotation="0" wrapText="0" indent="0" justifyLastLine="0" shrinkToFit="0" readingOrder="0"/>
      <border diagonalUp="0" diagonalDown="0">
        <left style="thin">
          <color auto="1"/>
        </left>
        <right style="thin">
          <color auto="1"/>
        </right>
        <top style="thin">
          <color auto="1"/>
        </top>
        <bottom style="thin">
          <color auto="1"/>
        </bottom>
        <vertical/>
        <horizontal/>
      </border>
    </dxf>
    <dxf>
      <numFmt numFmtId="14" formatCode="0.00%"/>
      <alignment horizontal="center" vertical="bottom" textRotation="0" wrapText="0" indent="0" justifyLastLine="0" shrinkToFit="0" readingOrder="0"/>
      <border diagonalUp="0" diagonalDown="0">
        <left style="thin">
          <color auto="1"/>
        </left>
        <right style="thin">
          <color auto="1"/>
        </right>
        <top style="thin">
          <color auto="1"/>
        </top>
        <bottom style="thin">
          <color auto="1"/>
        </bottom>
        <vertical/>
        <horizontal/>
      </border>
    </dxf>
    <dxf>
      <numFmt numFmtId="14" formatCode="0.00%"/>
      <alignment horizontal="center" vertical="bottom" textRotation="0" wrapText="0" indent="0" justifyLastLine="0" shrinkToFit="0" readingOrder="0"/>
      <border diagonalUp="0" diagonalDown="0">
        <left style="thin">
          <color auto="1"/>
        </left>
        <right style="thin">
          <color auto="1"/>
        </right>
        <top style="thin">
          <color auto="1"/>
        </top>
        <bottom style="thin">
          <color auto="1"/>
        </bottom>
        <vertical/>
        <horizontal/>
      </border>
    </dxf>
    <dxf>
      <numFmt numFmtId="14" formatCode="0.00%"/>
      <alignment horizontal="center" vertical="bottom" textRotation="0" wrapText="0" indent="0" justifyLastLine="0" shrinkToFit="0" readingOrder="0"/>
      <border diagonalUp="0" diagonalDown="0">
        <left style="thin">
          <color auto="1"/>
        </left>
        <right style="thin">
          <color auto="1"/>
        </right>
        <top style="thin">
          <color auto="1"/>
        </top>
        <bottom style="thin">
          <color auto="1"/>
        </bottom>
        <vertical/>
        <horizontal/>
      </border>
    </dxf>
    <dxf>
      <numFmt numFmtId="34" formatCode="_-&quot;R$&quot;\ * #,##0.00_-;\-&quot;R$&quot;\ * #,##0.00_-;_-&quot;R$&quot;\ * &quot;-&quot;??_-;_-@_-"/>
      <border diagonalUp="0" diagonalDown="0">
        <left style="thin">
          <color auto="1"/>
        </left>
        <right style="thin">
          <color auto="1"/>
        </right>
        <top style="thin">
          <color auto="1"/>
        </top>
        <bottom style="thin">
          <color auto="1"/>
        </bottom>
        <vertical/>
        <horizontal/>
      </border>
    </dxf>
    <dxf>
      <numFmt numFmtId="34" formatCode="_-&quot;R$&quot;\ * #,##0.00_-;\-&quot;R$&quot;\ * #,##0.00_-;_-&quot;R$&quot;\ * &quot;-&quot;??_-;_-@_-"/>
      <border diagonalUp="0" diagonalDown="0">
        <left style="thin">
          <color auto="1"/>
        </left>
        <right style="thin">
          <color auto="1"/>
        </right>
        <top style="thin">
          <color auto="1"/>
        </top>
        <bottom style="thin">
          <color auto="1"/>
        </bottom>
        <vertical/>
        <horizontal/>
      </border>
    </dxf>
    <dxf>
      <numFmt numFmtId="34" formatCode="_-&quot;R$&quot;\ * #,##0.00_-;\-&quot;R$&quot;\ * #,##0.00_-;_-&quot;R$&quot;\ * &quot;-&quot;??_-;_-@_-"/>
      <border diagonalUp="0" diagonalDown="0">
        <left style="thin">
          <color auto="1"/>
        </left>
        <right style="thin">
          <color auto="1"/>
        </right>
        <top style="thin">
          <color auto="1"/>
        </top>
        <bottom style="thin">
          <color auto="1"/>
        </bottom>
        <vertical/>
        <horizontal/>
      </border>
    </dxf>
    <dxf>
      <numFmt numFmtId="34" formatCode="_-&quot;R$&quot;\ * #,##0.00_-;\-&quot;R$&quot;\ * #,##0.00_-;_-&quot;R$&quot;\ * &quot;-&quot;??_-;_-@_-"/>
      <border diagonalUp="0" diagonalDown="0">
        <left style="thin">
          <color auto="1"/>
        </left>
        <right style="thin">
          <color auto="1"/>
        </right>
        <top style="thin">
          <color auto="1"/>
        </top>
        <bottom style="thin">
          <color auto="1"/>
        </bottom>
        <vertical/>
        <horizontal/>
      </border>
    </dxf>
    <dxf>
      <numFmt numFmtId="34" formatCode="_-&quot;R$&quot;\ * #,##0.00_-;\-&quot;R$&quot;\ * #,##0.00_-;_-&quot;R$&quot;\ * &quot;-&quot;??_-;_-@_-"/>
      <border diagonalUp="0" diagonalDown="0">
        <left style="thin">
          <color auto="1"/>
        </left>
        <right style="thin">
          <color auto="1"/>
        </right>
        <top style="thin">
          <color auto="1"/>
        </top>
        <bottom style="thin">
          <color auto="1"/>
        </bottom>
        <vertical/>
        <horizontal/>
      </border>
    </dxf>
    <dxf>
      <numFmt numFmtId="34" formatCode="_-&quot;R$&quot;\ * #,##0.00_-;\-&quot;R$&quot;\ * #,##0.00_-;_-&quot;R$&quot;\ * &quot;-&quot;??_-;_-@_-"/>
      <border diagonalUp="0" diagonalDown="0">
        <left style="thin">
          <color auto="1"/>
        </left>
        <right style="thin">
          <color auto="1"/>
        </right>
        <top style="thin">
          <color auto="1"/>
        </top>
        <bottom style="thin">
          <color auto="1"/>
        </bottom>
        <vertical/>
        <horizontal/>
      </border>
    </dxf>
    <dxf>
      <numFmt numFmtId="34" formatCode="_-&quot;R$&quot;\ * #,##0.00_-;\-&quot;R$&quot;\ * #,##0.00_-;_-&quot;R$&quot;\ * &quot;-&quot;??_-;_-@_-"/>
      <border diagonalUp="0" diagonalDown="0">
        <left style="thin">
          <color auto="1"/>
        </left>
        <right style="thin">
          <color auto="1"/>
        </right>
        <top style="thin">
          <color auto="1"/>
        </top>
        <bottom style="thin">
          <color auto="1"/>
        </bottom>
        <vertical/>
        <horizontal/>
      </border>
    </dxf>
    <dxf>
      <numFmt numFmtId="34" formatCode="_-&quot;R$&quot;\ * #,##0.00_-;\-&quot;R$&quot;\ * #,##0.00_-;_-&quot;R$&quot;\ * &quot;-&quot;??_-;_-@_-"/>
      <border diagonalUp="0" diagonalDown="0">
        <left style="thin">
          <color auto="1"/>
        </left>
        <right style="thin">
          <color auto="1"/>
        </right>
        <top style="thin">
          <color auto="1"/>
        </top>
        <bottom style="thin">
          <color auto="1"/>
        </bottom>
        <vertical/>
        <horizontal/>
      </border>
    </dxf>
    <dxf>
      <numFmt numFmtId="14" formatCode="0.00%"/>
      <alignment horizontal="center" vertical="bottom" textRotation="0" wrapText="0" indent="0" justifyLastLine="0" shrinkToFit="0" readingOrder="0"/>
      <border diagonalUp="0" diagonalDown="0">
        <left style="thin">
          <color indexed="64"/>
        </left>
        <right style="thin">
          <color indexed="64"/>
        </right>
        <top/>
        <bottom/>
        <vertical/>
        <horizontal/>
      </border>
    </dxf>
    <dxf>
      <numFmt numFmtId="14" formatCode="0.00%"/>
      <alignment horizontal="center" vertical="bottom" textRotation="0" wrapText="0" indent="0" justifyLastLine="0" shrinkToFit="0" readingOrder="0"/>
      <border diagonalUp="0" diagonalDown="0">
        <left style="thin">
          <color auto="1"/>
        </left>
        <right style="thin">
          <color auto="1"/>
        </right>
        <top style="thin">
          <color auto="1"/>
        </top>
        <bottom style="thin">
          <color auto="1"/>
        </bottom>
        <vertical/>
        <horizontal/>
      </border>
    </dxf>
    <dxf>
      <numFmt numFmtId="14" formatCode="0.00%"/>
      <alignment horizontal="center" vertical="bottom" textRotation="0" wrapText="0" indent="0" justifyLastLine="0" shrinkToFit="0" readingOrder="0"/>
      <border diagonalUp="0" diagonalDown="0">
        <left style="thin">
          <color auto="1"/>
        </left>
        <right style="thin">
          <color auto="1"/>
        </right>
        <top style="thin">
          <color auto="1"/>
        </top>
        <bottom style="thin">
          <color auto="1"/>
        </bottom>
        <vertical/>
        <horizontal/>
      </border>
    </dxf>
    <dxf>
      <numFmt numFmtId="14" formatCode="0.00%"/>
      <alignment horizontal="center" vertical="bottom" textRotation="0" wrapText="0" indent="0" justifyLastLine="0" shrinkToFit="0" readingOrder="0"/>
      <border diagonalUp="0" diagonalDown="0">
        <left style="thin">
          <color auto="1"/>
        </left>
        <right style="thin">
          <color auto="1"/>
        </right>
        <top style="thin">
          <color auto="1"/>
        </top>
        <bottom style="thin">
          <color auto="1"/>
        </bottom>
        <vertical/>
        <horizontal/>
      </border>
    </dxf>
    <dxf>
      <numFmt numFmtId="14" formatCode="0.00%"/>
      <alignment horizontal="center" vertical="bottom" textRotation="0" wrapText="0" indent="0" justifyLastLine="0" shrinkToFit="0" readingOrder="0"/>
      <border diagonalUp="0" diagonalDown="0">
        <left style="thin">
          <color auto="1"/>
        </left>
        <right style="thin">
          <color auto="1"/>
        </right>
        <top style="thin">
          <color auto="1"/>
        </top>
        <bottom style="thin">
          <color auto="1"/>
        </bottom>
        <vertical/>
        <horizontal/>
      </border>
    </dxf>
    <dxf>
      <numFmt numFmtId="14" formatCode="0.00%"/>
      <alignment horizontal="center" vertical="bottom" textRotation="0" wrapText="0" indent="0" justifyLastLine="0" shrinkToFit="0" readingOrder="0"/>
      <border diagonalUp="0" diagonalDown="0">
        <left style="thin">
          <color auto="1"/>
        </left>
        <right style="thin">
          <color auto="1"/>
        </right>
        <top style="thin">
          <color auto="1"/>
        </top>
        <bottom style="thin">
          <color auto="1"/>
        </bottom>
        <vertical/>
        <horizontal/>
      </border>
    </dxf>
    <dxf>
      <numFmt numFmtId="14" formatCode="0.00%"/>
      <alignment horizontal="center" vertical="bottom" textRotation="0" wrapText="0" indent="0" justifyLastLine="0" shrinkToFit="0" readingOrder="0"/>
      <border diagonalUp="0" diagonalDown="0">
        <left style="thin">
          <color auto="1"/>
        </left>
        <right style="thin">
          <color auto="1"/>
        </right>
        <top style="thin">
          <color auto="1"/>
        </top>
        <bottom style="thin">
          <color auto="1"/>
        </bottom>
        <vertical/>
        <horizontal/>
      </border>
    </dxf>
    <dxf>
      <numFmt numFmtId="14" formatCode="0.00%"/>
      <alignment horizontal="center" vertical="bottom" textRotation="0" wrapText="0" indent="0" justifyLastLine="0" shrinkToFit="0" readingOrder="0"/>
      <border diagonalUp="0" diagonalDown="0">
        <left style="thin">
          <color auto="1"/>
        </left>
        <right style="thin">
          <color auto="1"/>
        </right>
        <top style="thin">
          <color auto="1"/>
        </top>
        <bottom style="thin">
          <color auto="1"/>
        </bottom>
        <vertical/>
        <horizontal/>
      </border>
    </dxf>
    <dxf>
      <numFmt numFmtId="14" formatCode="0.00%"/>
      <alignment horizontal="center" vertical="bottom" textRotation="0" wrapText="0" indent="0" justifyLastLine="0" shrinkToFit="0" readingOrder="0"/>
      <border diagonalUp="0" diagonalDown="0">
        <left style="thin">
          <color auto="1"/>
        </left>
        <right style="thin">
          <color auto="1"/>
        </right>
        <top style="thin">
          <color auto="1"/>
        </top>
        <bottom style="thin">
          <color auto="1"/>
        </bottom>
        <vertical/>
        <horizontal/>
      </border>
    </dxf>
    <dxf>
      <numFmt numFmtId="14" formatCode="0.00%"/>
      <alignment horizontal="center" vertical="bottom" textRotation="0" wrapText="0" indent="0" justifyLastLine="0" shrinkToFit="0" readingOrder="0"/>
      <border diagonalUp="0" diagonalDown="0">
        <left style="thin">
          <color auto="1"/>
        </left>
        <right style="thin">
          <color auto="1"/>
        </right>
        <top style="thin">
          <color auto="1"/>
        </top>
        <bottom style="thin">
          <color auto="1"/>
        </bottom>
        <vertical/>
        <horizontal/>
      </border>
    </dxf>
    <dxf>
      <numFmt numFmtId="34" formatCode="_-&quot;R$&quot;\ * #,##0.00_-;\-&quot;R$&quot;\ * #,##0.00_-;_-&quot;R$&quot;\ * &quot;-&quot;??_-;_-@_-"/>
      <border diagonalUp="0" diagonalDown="0">
        <left style="thin">
          <color indexed="64"/>
        </left>
        <right style="thin">
          <color indexed="64"/>
        </right>
        <top/>
        <bottom/>
        <vertical/>
        <horizontal/>
      </border>
    </dxf>
    <dxf>
      <numFmt numFmtId="34" formatCode="_-&quot;R$&quot;\ * #,##0.00_-;\-&quot;R$&quot;\ * #,##0.00_-;_-&quot;R$&quot;\ * &quot;-&quot;??_-;_-@_-"/>
      <border diagonalUp="0" diagonalDown="0">
        <left style="thin">
          <color auto="1"/>
        </left>
        <right style="thin">
          <color auto="1"/>
        </right>
        <top style="thin">
          <color auto="1"/>
        </top>
        <bottom style="thin">
          <color auto="1"/>
        </bottom>
        <vertical/>
        <horizontal/>
      </border>
    </dxf>
    <dxf>
      <numFmt numFmtId="34" formatCode="_-&quot;R$&quot;\ * #,##0.00_-;\-&quot;R$&quot;\ * #,##0.00_-;_-&quot;R$&quot;\ * &quot;-&quot;??_-;_-@_-"/>
      <border diagonalUp="0" diagonalDown="0">
        <left style="thin">
          <color indexed="64"/>
        </left>
        <right style="thin">
          <color indexed="64"/>
        </right>
        <top/>
        <bottom/>
        <vertical/>
        <horizontal/>
      </border>
    </dxf>
    <dxf>
      <numFmt numFmtId="34" formatCode="_-&quot;R$&quot;\ * #,##0.00_-;\-&quot;R$&quot;\ * #,##0.00_-;_-&quot;R$&quot;\ * &quot;-&quot;??_-;_-@_-"/>
      <border diagonalUp="0" diagonalDown="0">
        <left style="thin">
          <color auto="1"/>
        </left>
        <right style="thin">
          <color auto="1"/>
        </right>
        <top style="thin">
          <color auto="1"/>
        </top>
        <bottom style="thin">
          <color auto="1"/>
        </bottom>
        <vertical/>
        <horizontal/>
      </border>
    </dxf>
    <dxf>
      <numFmt numFmtId="34" formatCode="_-&quot;R$&quot;\ * #,##0.00_-;\-&quot;R$&quot;\ * #,##0.00_-;_-&quot;R$&quot;\ * &quot;-&quot;??_-;_-@_-"/>
      <border diagonalUp="0" diagonalDown="0">
        <left style="thin">
          <color auto="1"/>
        </left>
        <right style="thin">
          <color auto="1"/>
        </right>
        <top style="thin">
          <color auto="1"/>
        </top>
        <bottom style="thin">
          <color auto="1"/>
        </bottom>
        <vertical/>
        <horizontal/>
      </border>
    </dxf>
    <dxf>
      <numFmt numFmtId="34" formatCode="_-&quot;R$&quot;\ * #,##0.00_-;\-&quot;R$&quot;\ * #,##0.00_-;_-&quot;R$&quot;\ * &quot;-&quot;??_-;_-@_-"/>
      <border diagonalUp="0" diagonalDown="0">
        <left style="thin">
          <color auto="1"/>
        </left>
        <right style="thin">
          <color auto="1"/>
        </right>
        <top style="thin">
          <color auto="1"/>
        </top>
        <bottom style="thin">
          <color auto="1"/>
        </bottom>
        <vertical/>
        <horizontal/>
      </border>
    </dxf>
    <dxf>
      <numFmt numFmtId="34" formatCode="_-&quot;R$&quot;\ * #,##0.00_-;\-&quot;R$&quot;\ * #,##0.00_-;_-&quot;R$&quot;\ * &quot;-&quot;??_-;_-@_-"/>
      <border diagonalUp="0" diagonalDown="0">
        <left style="thin">
          <color auto="1"/>
        </left>
        <right style="thin">
          <color auto="1"/>
        </right>
        <top style="thin">
          <color auto="1"/>
        </top>
        <bottom style="thin">
          <color auto="1"/>
        </bottom>
        <vertical/>
        <horizontal/>
      </border>
    </dxf>
    <dxf>
      <numFmt numFmtId="34" formatCode="_-&quot;R$&quot;\ * #,##0.00_-;\-&quot;R$&quot;\ * #,##0.00_-;_-&quot;R$&quot;\ * &quot;-&quot;??_-;_-@_-"/>
      <border diagonalUp="0" diagonalDown="0">
        <left style="thin">
          <color auto="1"/>
        </left>
        <right style="thin">
          <color auto="1"/>
        </right>
        <top style="thin">
          <color auto="1"/>
        </top>
        <bottom style="thin">
          <color auto="1"/>
        </bottom>
        <vertical/>
        <horizontal/>
      </border>
    </dxf>
    <dxf>
      <numFmt numFmtId="0" formatCode="General"/>
      <alignment horizontal="center" vertical="bottom" textRotation="0" wrapText="0" indent="0" justifyLastLine="0" shrinkToFit="0" readingOrder="0"/>
      <border diagonalUp="0" diagonalDown="0">
        <left style="thin">
          <color auto="1"/>
        </left>
        <right style="thin">
          <color auto="1"/>
        </right>
        <top style="thin">
          <color auto="1"/>
        </top>
        <bottom style="thin">
          <color auto="1"/>
        </bottom>
        <vertical/>
        <horizontal/>
      </border>
    </dxf>
    <dxf>
      <numFmt numFmtId="0" formatCode="General"/>
      <alignment horizontal="center" vertical="bottom" textRotation="0" wrapText="0" indent="0" justifyLastLine="0" shrinkToFit="0" readingOrder="0"/>
      <border diagonalUp="0" diagonalDown="0">
        <left style="thin">
          <color auto="1"/>
        </left>
        <right style="thin">
          <color auto="1"/>
        </right>
        <top style="thin">
          <color auto="1"/>
        </top>
        <bottom style="thin">
          <color auto="1"/>
        </bottom>
        <vertical/>
        <horizontal/>
      </border>
    </dxf>
    <dxf>
      <numFmt numFmtId="0" formatCode="General"/>
      <alignment horizontal="center" vertical="bottom" textRotation="0" wrapText="0" indent="0" justifyLastLine="0" shrinkToFit="0" readingOrder="0"/>
      <border diagonalUp="0" diagonalDown="0">
        <left style="thin">
          <color auto="1"/>
        </left>
        <right style="thin">
          <color auto="1"/>
        </right>
        <top style="thin">
          <color auto="1"/>
        </top>
        <bottom style="thin">
          <color auto="1"/>
        </bottom>
        <vertical/>
        <horizontal/>
      </border>
    </dxf>
    <dxf>
      <numFmt numFmtId="0" formatCode="General"/>
      <alignment horizontal="center" vertical="bottom" textRotation="0" wrapText="0" indent="0" justifyLastLine="0" shrinkToFit="0" readingOrder="0"/>
      <border diagonalUp="0" diagonalDown="0">
        <left style="thin">
          <color auto="1"/>
        </left>
        <right style="thin">
          <color auto="1"/>
        </right>
        <top style="thin">
          <color auto="1"/>
        </top>
        <bottom style="thin">
          <color auto="1"/>
        </bottom>
        <vertical/>
        <horizontal/>
      </border>
    </dxf>
    <dxf>
      <numFmt numFmtId="0" formatCode="General"/>
      <border diagonalUp="0" diagonalDown="0">
        <left style="thin">
          <color auto="1"/>
        </left>
        <right style="thin">
          <color auto="1"/>
        </right>
        <top style="thin">
          <color auto="1"/>
        </top>
        <bottom style="thin">
          <color auto="1"/>
        </bottom>
        <vertical/>
        <horizontal/>
      </border>
    </dxf>
    <dxf>
      <border diagonalUp="0" diagonalDown="0">
        <left style="thin">
          <color auto="1"/>
        </left>
        <right style="thin">
          <color auto="1"/>
        </right>
        <top style="thin">
          <color auto="1"/>
        </top>
        <bottom style="thin">
          <color auto="1"/>
        </bottom>
        <vertical/>
        <horizontal/>
      </border>
    </dxf>
    <dxf>
      <border diagonalUp="0" diagonalDown="0">
        <left style="thin">
          <color auto="1"/>
        </left>
        <right style="thin">
          <color auto="1"/>
        </right>
        <top style="thin">
          <color auto="1"/>
        </top>
        <bottom style="thin">
          <color auto="1"/>
        </bottom>
        <vertical/>
        <horizontal/>
      </border>
    </dxf>
    <dxf>
      <alignment horizontal="center" vertical="bottom" textRotation="0" wrapText="0" indent="0" justifyLastLine="0" shrinkToFit="0" readingOrder="0"/>
      <border diagonalUp="0" diagonalDown="0">
        <left/>
        <right style="thin">
          <color indexed="64"/>
        </right>
        <top style="thin">
          <color indexed="64"/>
        </top>
        <bottom style="thin">
          <color indexed="64"/>
        </bottom>
        <vertical/>
        <horizontal/>
      </border>
    </dxf>
    <dxf>
      <font>
        <b/>
        <i val="0"/>
        <strike val="0"/>
        <condense val="0"/>
        <extend val="0"/>
        <outline val="0"/>
        <shadow val="0"/>
        <u val="none"/>
        <vertAlign val="baseline"/>
        <sz val="12"/>
        <color theme="1"/>
        <name val="Aptos Narrow"/>
        <family val="2"/>
        <scheme val="minor"/>
      </font>
      <alignment horizontal="center" vertical="bottom" textRotation="0" wrapText="0" indent="0" justifyLastLine="0" shrinkToFit="0" readingOrder="0"/>
      <border diagonalUp="0" diagonalDown="0" outline="0">
        <left/>
        <right style="thin">
          <color indexed="64"/>
        </right>
        <top style="thin">
          <color indexed="64"/>
        </top>
        <bottom/>
      </border>
    </dxf>
    <dxf>
      <font>
        <b/>
        <i val="0"/>
        <strike val="0"/>
        <condense val="0"/>
        <extend val="0"/>
        <outline val="0"/>
        <shadow val="0"/>
        <u val="none"/>
        <vertAlign val="baseline"/>
        <sz val="12"/>
        <color theme="1"/>
        <name val="Aptos Narrow"/>
        <family val="2"/>
        <scheme val="minor"/>
      </font>
      <border diagonalUp="0" diagonalDown="0" outline="0">
        <left style="thin">
          <color indexed="64"/>
        </left>
        <right style="thin">
          <color indexed="64"/>
        </right>
        <top style="thin">
          <color indexed="64"/>
        </top>
        <bottom/>
      </border>
    </dxf>
    <dxf>
      <font>
        <b/>
        <i val="0"/>
        <strike val="0"/>
        <condense val="0"/>
        <extend val="0"/>
        <outline val="0"/>
        <shadow val="0"/>
        <u val="none"/>
        <vertAlign val="baseline"/>
        <sz val="12"/>
        <color theme="1"/>
        <name val="Aptos Narrow"/>
        <family val="2"/>
        <scheme val="minor"/>
      </font>
      <border diagonalUp="0" diagonalDown="0" outline="0">
        <left style="thin">
          <color indexed="64"/>
        </left>
        <right style="thin">
          <color indexed="64"/>
        </right>
        <top style="thin">
          <color indexed="64"/>
        </top>
        <bottom/>
      </border>
    </dxf>
    <dxf>
      <font>
        <b/>
        <i val="0"/>
        <strike val="0"/>
        <condense val="0"/>
        <extend val="0"/>
        <outline val="0"/>
        <shadow val="0"/>
        <u val="none"/>
        <vertAlign val="baseline"/>
        <sz val="12"/>
        <color theme="1"/>
        <name val="Aptos Narrow"/>
        <family val="2"/>
        <scheme val="minor"/>
      </font>
      <border diagonalUp="0" diagonalDown="0" outline="0">
        <left style="thin">
          <color indexed="64"/>
        </left>
        <right style="thin">
          <color indexed="64"/>
        </right>
        <top style="thin">
          <color indexed="64"/>
        </top>
        <bottom/>
      </border>
    </dxf>
    <dxf>
      <font>
        <b/>
        <i val="0"/>
        <strike val="0"/>
        <condense val="0"/>
        <extend val="0"/>
        <outline val="0"/>
        <shadow val="0"/>
        <u val="none"/>
        <vertAlign val="baseline"/>
        <sz val="12"/>
        <color theme="1"/>
        <name val="Aptos Narrow"/>
        <family val="2"/>
        <scheme val="minor"/>
      </font>
      <alignment horizontal="center" vertical="bottom" textRotation="0" wrapText="0" indent="0" justifyLastLine="0" shrinkToFit="0" readingOrder="0"/>
      <border diagonalUp="0" diagonalDown="0" outline="0">
        <left style="thin">
          <color indexed="64"/>
        </left>
        <right style="thin">
          <color indexed="64"/>
        </right>
        <top style="thin">
          <color indexed="64"/>
        </top>
        <bottom/>
      </border>
    </dxf>
    <dxf>
      <font>
        <b/>
        <i val="0"/>
        <strike val="0"/>
        <condense val="0"/>
        <extend val="0"/>
        <outline val="0"/>
        <shadow val="0"/>
        <u val="none"/>
        <vertAlign val="baseline"/>
        <sz val="12"/>
        <color theme="1"/>
        <name val="Aptos Narrow"/>
        <family val="2"/>
        <scheme val="minor"/>
      </font>
      <alignment horizontal="center" vertical="bottom" textRotation="0" wrapText="0" indent="0" justifyLastLine="0" shrinkToFit="0" readingOrder="0"/>
      <border diagonalUp="0" diagonalDown="0" outline="0">
        <left style="thin">
          <color indexed="64"/>
        </left>
        <right style="thin">
          <color indexed="64"/>
        </right>
        <top style="thin">
          <color indexed="64"/>
        </top>
        <bottom/>
      </border>
    </dxf>
    <dxf>
      <font>
        <b/>
        <i val="0"/>
        <strike val="0"/>
        <condense val="0"/>
        <extend val="0"/>
        <outline val="0"/>
        <shadow val="0"/>
        <u val="none"/>
        <vertAlign val="baseline"/>
        <sz val="12"/>
        <color theme="1"/>
        <name val="Aptos Narrow"/>
        <family val="2"/>
        <scheme val="minor"/>
      </font>
      <alignment horizontal="center" vertical="bottom" textRotation="0" wrapText="0" indent="0" justifyLastLine="0" shrinkToFit="0" readingOrder="0"/>
      <border diagonalUp="0" diagonalDown="0" outline="0">
        <left style="thin">
          <color indexed="64"/>
        </left>
        <right style="thin">
          <color indexed="64"/>
        </right>
        <top style="thin">
          <color indexed="64"/>
        </top>
        <bottom/>
      </border>
    </dxf>
    <dxf>
      <font>
        <b/>
        <i val="0"/>
        <strike val="0"/>
        <condense val="0"/>
        <extend val="0"/>
        <outline val="0"/>
        <shadow val="0"/>
        <u val="none"/>
        <vertAlign val="baseline"/>
        <sz val="12"/>
        <color theme="1"/>
        <name val="Aptos Narrow"/>
        <family val="2"/>
        <scheme val="minor"/>
      </font>
      <alignment horizontal="center" vertical="bottom" textRotation="0" wrapText="0" indent="0" justifyLastLine="0" shrinkToFit="0" readingOrder="0"/>
      <border diagonalUp="0" diagonalDown="0" outline="0">
        <left style="thin">
          <color indexed="64"/>
        </left>
        <right style="thin">
          <color indexed="64"/>
        </right>
        <top style="thin">
          <color indexed="64"/>
        </top>
        <bottom/>
      </border>
    </dxf>
    <dxf>
      <font>
        <b/>
        <i val="0"/>
        <strike val="0"/>
        <condense val="0"/>
        <extend val="0"/>
        <outline val="0"/>
        <shadow val="0"/>
        <u val="none"/>
        <vertAlign val="baseline"/>
        <sz val="12"/>
        <color theme="1"/>
        <name val="Aptos Narrow"/>
        <family val="2"/>
        <scheme val="minor"/>
      </font>
      <numFmt numFmtId="34" formatCode="_-&quot;R$&quot;\ * #,##0.00_-;\-&quot;R$&quot;\ * #,##0.00_-;_-&quot;R$&quot;\ * &quot;-&quot;??_-;_-@_-"/>
      <border diagonalUp="0" diagonalDown="0" outline="0">
        <left style="thin">
          <color indexed="64"/>
        </left>
        <right style="thin">
          <color indexed="64"/>
        </right>
        <top style="thin">
          <color indexed="64"/>
        </top>
        <bottom/>
      </border>
    </dxf>
    <dxf>
      <font>
        <b/>
        <i val="0"/>
        <strike val="0"/>
        <condense val="0"/>
        <extend val="0"/>
        <outline val="0"/>
        <shadow val="0"/>
        <u val="none"/>
        <vertAlign val="baseline"/>
        <sz val="12"/>
        <color theme="1"/>
        <name val="Aptos Narrow"/>
        <family val="2"/>
        <scheme val="minor"/>
      </font>
      <numFmt numFmtId="34" formatCode="_-&quot;R$&quot;\ * #,##0.00_-;\-&quot;R$&quot;\ * #,##0.00_-;_-&quot;R$&quot;\ * &quot;-&quot;??_-;_-@_-"/>
      <border diagonalUp="0" diagonalDown="0" outline="0">
        <left style="thin">
          <color indexed="64"/>
        </left>
        <right style="thin">
          <color indexed="64"/>
        </right>
        <top style="thin">
          <color indexed="64"/>
        </top>
        <bottom/>
      </border>
    </dxf>
    <dxf>
      <font>
        <b/>
        <i val="0"/>
        <strike val="0"/>
        <condense val="0"/>
        <extend val="0"/>
        <outline val="0"/>
        <shadow val="0"/>
        <u val="none"/>
        <vertAlign val="baseline"/>
        <sz val="12"/>
        <color theme="1"/>
        <name val="Aptos Narrow"/>
        <family val="2"/>
        <scheme val="minor"/>
      </font>
      <numFmt numFmtId="34" formatCode="_-&quot;R$&quot;\ * #,##0.00_-;\-&quot;R$&quot;\ * #,##0.00_-;_-&quot;R$&quot;\ * &quot;-&quot;??_-;_-@_-"/>
      <border diagonalUp="0" diagonalDown="0" outline="0">
        <left style="thin">
          <color indexed="64"/>
        </left>
        <right style="thin">
          <color indexed="64"/>
        </right>
        <top style="thin">
          <color indexed="64"/>
        </top>
        <bottom/>
      </border>
    </dxf>
    <dxf>
      <font>
        <b/>
        <i val="0"/>
        <strike val="0"/>
        <condense val="0"/>
        <extend val="0"/>
        <outline val="0"/>
        <shadow val="0"/>
        <u val="none"/>
        <vertAlign val="baseline"/>
        <sz val="12"/>
        <color theme="1"/>
        <name val="Aptos Narrow"/>
        <family val="2"/>
        <scheme val="minor"/>
      </font>
      <numFmt numFmtId="34" formatCode="_-&quot;R$&quot;\ * #,##0.00_-;\-&quot;R$&quot;\ * #,##0.00_-;_-&quot;R$&quot;\ * &quot;-&quot;??_-;_-@_-"/>
      <border diagonalUp="0" diagonalDown="0" outline="0">
        <left style="thin">
          <color indexed="64"/>
        </left>
        <right style="thin">
          <color indexed="64"/>
        </right>
        <top style="thin">
          <color indexed="64"/>
        </top>
        <bottom/>
      </border>
    </dxf>
    <dxf>
      <font>
        <b/>
        <i val="0"/>
        <strike val="0"/>
        <condense val="0"/>
        <extend val="0"/>
        <outline val="0"/>
        <shadow val="0"/>
        <u val="none"/>
        <vertAlign val="baseline"/>
        <sz val="12"/>
        <color theme="1"/>
        <name val="Aptos Narrow"/>
        <family val="2"/>
        <scheme val="minor"/>
      </font>
      <numFmt numFmtId="34" formatCode="_-&quot;R$&quot;\ * #,##0.00_-;\-&quot;R$&quot;\ * #,##0.00_-;_-&quot;R$&quot;\ * &quot;-&quot;??_-;_-@_-"/>
      <border diagonalUp="0" diagonalDown="0" outline="0">
        <left style="thin">
          <color indexed="64"/>
        </left>
        <right style="thin">
          <color indexed="64"/>
        </right>
        <top style="thin">
          <color indexed="64"/>
        </top>
        <bottom/>
      </border>
    </dxf>
    <dxf>
      <font>
        <b/>
        <i val="0"/>
        <strike val="0"/>
        <condense val="0"/>
        <extend val="0"/>
        <outline val="0"/>
        <shadow val="0"/>
        <u val="none"/>
        <vertAlign val="baseline"/>
        <sz val="12"/>
        <color theme="1"/>
        <name val="Aptos Narrow"/>
        <family val="2"/>
        <scheme val="minor"/>
      </font>
      <numFmt numFmtId="34" formatCode="_-&quot;R$&quot;\ * #,##0.00_-;\-&quot;R$&quot;\ * #,##0.00_-;_-&quot;R$&quot;\ * &quot;-&quot;??_-;_-@_-"/>
      <border diagonalUp="0" diagonalDown="0" outline="0">
        <left style="thin">
          <color indexed="64"/>
        </left>
        <right style="thin">
          <color indexed="64"/>
        </right>
        <top style="thin">
          <color indexed="64"/>
        </top>
        <bottom/>
      </border>
    </dxf>
    <dxf>
      <font>
        <b/>
        <i val="0"/>
        <strike val="0"/>
        <condense val="0"/>
        <extend val="0"/>
        <outline val="0"/>
        <shadow val="0"/>
        <u val="none"/>
        <vertAlign val="baseline"/>
        <sz val="12"/>
        <color theme="1"/>
        <name val="Aptos Narrow"/>
        <family val="2"/>
        <scheme val="minor"/>
      </font>
      <numFmt numFmtId="34" formatCode="_-&quot;R$&quot;\ * #,##0.00_-;\-&quot;R$&quot;\ * #,##0.00_-;_-&quot;R$&quot;\ * &quot;-&quot;??_-;_-@_-"/>
      <border diagonalUp="0" diagonalDown="0" outline="0">
        <left style="thin">
          <color indexed="64"/>
        </left>
        <right style="thin">
          <color indexed="64"/>
        </right>
        <top style="thin">
          <color indexed="64"/>
        </top>
        <bottom/>
      </border>
    </dxf>
    <dxf>
      <font>
        <b/>
        <i val="0"/>
        <strike val="0"/>
        <condense val="0"/>
        <extend val="0"/>
        <outline val="0"/>
        <shadow val="0"/>
        <u val="none"/>
        <vertAlign val="baseline"/>
        <sz val="12"/>
        <color theme="1"/>
        <name val="Aptos Narrow"/>
        <family val="2"/>
        <scheme val="minor"/>
      </font>
      <numFmt numFmtId="34" formatCode="_-&quot;R$&quot;\ * #,##0.00_-;\-&quot;R$&quot;\ * #,##0.00_-;_-&quot;R$&quot;\ * &quot;-&quot;??_-;_-@_-"/>
      <border diagonalUp="0" diagonalDown="0" outline="0">
        <left style="thin">
          <color indexed="64"/>
        </left>
        <right style="thin">
          <color indexed="64"/>
        </right>
        <top style="thin">
          <color indexed="64"/>
        </top>
        <bottom/>
      </border>
    </dxf>
    <dxf>
      <font>
        <b/>
        <i val="0"/>
        <strike val="0"/>
        <condense val="0"/>
        <extend val="0"/>
        <outline val="0"/>
        <shadow val="0"/>
        <u val="none"/>
        <vertAlign val="baseline"/>
        <sz val="12"/>
        <color theme="1"/>
        <name val="Aptos Narrow"/>
        <family val="2"/>
        <scheme val="minor"/>
      </font>
      <numFmt numFmtId="14" formatCode="0.00%"/>
      <alignment horizontal="center" vertical="bottom" textRotation="0" wrapText="0" indent="0" justifyLastLine="0" shrinkToFit="0" readingOrder="0"/>
      <border diagonalUp="0" diagonalDown="0" outline="0">
        <left style="thin">
          <color indexed="64"/>
        </left>
        <right style="thin">
          <color indexed="64"/>
        </right>
        <top style="thin">
          <color indexed="64"/>
        </top>
        <bottom/>
      </border>
    </dxf>
    <dxf>
      <font>
        <b/>
        <i val="0"/>
        <strike val="0"/>
        <condense val="0"/>
        <extend val="0"/>
        <outline val="0"/>
        <shadow val="0"/>
        <u val="none"/>
        <vertAlign val="baseline"/>
        <sz val="12"/>
        <color theme="1"/>
        <name val="Aptos Narrow"/>
        <family val="2"/>
        <scheme val="minor"/>
      </font>
      <numFmt numFmtId="14" formatCode="0.00%"/>
      <alignment horizontal="center" vertical="bottom" textRotation="0" wrapText="0" indent="0" justifyLastLine="0" shrinkToFit="0" readingOrder="0"/>
      <border diagonalUp="0" diagonalDown="0" outline="0">
        <left style="thin">
          <color indexed="64"/>
        </left>
        <right style="thin">
          <color indexed="64"/>
        </right>
        <top style="thin">
          <color indexed="64"/>
        </top>
        <bottom/>
      </border>
    </dxf>
    <dxf>
      <font>
        <b/>
        <i val="0"/>
        <strike val="0"/>
        <condense val="0"/>
        <extend val="0"/>
        <outline val="0"/>
        <shadow val="0"/>
        <u val="none"/>
        <vertAlign val="baseline"/>
        <sz val="12"/>
        <color theme="1"/>
        <name val="Aptos Narrow"/>
        <family val="2"/>
        <scheme val="minor"/>
      </font>
      <numFmt numFmtId="14" formatCode="0.00%"/>
      <alignment horizontal="center" vertical="bottom" textRotation="0" wrapText="0" indent="0" justifyLastLine="0" shrinkToFit="0" readingOrder="0"/>
      <border diagonalUp="0" diagonalDown="0" outline="0">
        <left style="thin">
          <color indexed="64"/>
        </left>
        <right style="thin">
          <color indexed="64"/>
        </right>
        <top style="thin">
          <color indexed="64"/>
        </top>
        <bottom/>
      </border>
    </dxf>
    <dxf>
      <font>
        <b/>
        <i val="0"/>
        <strike val="0"/>
        <condense val="0"/>
        <extend val="0"/>
        <outline val="0"/>
        <shadow val="0"/>
        <u val="none"/>
        <vertAlign val="baseline"/>
        <sz val="12"/>
        <color theme="1"/>
        <name val="Aptos Narrow"/>
        <family val="2"/>
        <scheme val="minor"/>
      </font>
      <numFmt numFmtId="14" formatCode="0.00%"/>
      <alignment horizontal="center" vertical="bottom" textRotation="0" wrapText="0" indent="0" justifyLastLine="0" shrinkToFit="0" readingOrder="0"/>
      <border diagonalUp="0" diagonalDown="0" outline="0">
        <left style="thin">
          <color indexed="64"/>
        </left>
        <right style="thin">
          <color indexed="64"/>
        </right>
        <top style="thin">
          <color indexed="64"/>
        </top>
        <bottom/>
      </border>
    </dxf>
    <dxf>
      <font>
        <b/>
        <i val="0"/>
        <strike val="0"/>
        <condense val="0"/>
        <extend val="0"/>
        <outline val="0"/>
        <shadow val="0"/>
        <u val="none"/>
        <vertAlign val="baseline"/>
        <sz val="12"/>
        <color theme="1"/>
        <name val="Aptos Narrow"/>
        <family val="2"/>
        <scheme val="minor"/>
      </font>
      <numFmt numFmtId="14" formatCode="0.00%"/>
      <alignment horizontal="center" vertical="bottom" textRotation="0" wrapText="0" indent="0" justifyLastLine="0" shrinkToFit="0" readingOrder="0"/>
      <border diagonalUp="0" diagonalDown="0" outline="0">
        <left style="thin">
          <color indexed="64"/>
        </left>
        <right style="thin">
          <color indexed="64"/>
        </right>
        <top style="thin">
          <color indexed="64"/>
        </top>
        <bottom/>
      </border>
    </dxf>
    <dxf>
      <font>
        <b/>
        <i val="0"/>
        <strike val="0"/>
        <condense val="0"/>
        <extend val="0"/>
        <outline val="0"/>
        <shadow val="0"/>
        <u val="none"/>
        <vertAlign val="baseline"/>
        <sz val="12"/>
        <color theme="1"/>
        <name val="Aptos Narrow"/>
        <family val="2"/>
        <scheme val="minor"/>
      </font>
      <numFmt numFmtId="14" formatCode="0.00%"/>
      <alignment horizontal="center" vertical="bottom" textRotation="0" wrapText="0" indent="0" justifyLastLine="0" shrinkToFit="0" readingOrder="0"/>
      <border diagonalUp="0" diagonalDown="0" outline="0">
        <left style="thin">
          <color indexed="64"/>
        </left>
        <right style="thin">
          <color indexed="64"/>
        </right>
        <top style="thin">
          <color indexed="64"/>
        </top>
        <bottom/>
      </border>
    </dxf>
    <dxf>
      <font>
        <b/>
        <i val="0"/>
        <strike val="0"/>
        <condense val="0"/>
        <extend val="0"/>
        <outline val="0"/>
        <shadow val="0"/>
        <u val="none"/>
        <vertAlign val="baseline"/>
        <sz val="12"/>
        <color theme="1"/>
        <name val="Aptos Narrow"/>
        <family val="2"/>
        <scheme val="minor"/>
      </font>
      <numFmt numFmtId="14" formatCode="0.00%"/>
      <alignment horizontal="center" vertical="bottom" textRotation="0" wrapText="0" indent="0" justifyLastLine="0" shrinkToFit="0" readingOrder="0"/>
      <border diagonalUp="0" diagonalDown="0" outline="0">
        <left style="thin">
          <color indexed="64"/>
        </left>
        <right style="thin">
          <color indexed="64"/>
        </right>
        <top style="thin">
          <color indexed="64"/>
        </top>
        <bottom/>
      </border>
    </dxf>
    <dxf>
      <font>
        <b/>
        <i val="0"/>
        <strike val="0"/>
        <condense val="0"/>
        <extend val="0"/>
        <outline val="0"/>
        <shadow val="0"/>
        <u val="none"/>
        <vertAlign val="baseline"/>
        <sz val="12"/>
        <color theme="1"/>
        <name val="Aptos Narrow"/>
        <family val="2"/>
        <scheme val="minor"/>
      </font>
      <numFmt numFmtId="14" formatCode="0.00%"/>
      <alignment horizontal="center" vertical="bottom" textRotation="0" wrapText="0" indent="0" justifyLastLine="0" shrinkToFit="0" readingOrder="0"/>
      <border diagonalUp="0" diagonalDown="0" outline="0">
        <left style="thin">
          <color indexed="64"/>
        </left>
        <right style="thin">
          <color indexed="64"/>
        </right>
        <top style="thin">
          <color indexed="64"/>
        </top>
        <bottom/>
      </border>
    </dxf>
    <dxf>
      <font>
        <b/>
        <i val="0"/>
        <strike val="0"/>
        <condense val="0"/>
        <extend val="0"/>
        <outline val="0"/>
        <shadow val="0"/>
        <u val="none"/>
        <vertAlign val="baseline"/>
        <sz val="12"/>
        <color theme="1"/>
        <name val="Aptos Narrow"/>
        <family val="2"/>
        <scheme val="minor"/>
      </font>
      <numFmt numFmtId="14" formatCode="0.00%"/>
      <alignment horizontal="center" vertical="bottom" textRotation="0" wrapText="0" indent="0" justifyLastLine="0" shrinkToFit="0" readingOrder="0"/>
      <border diagonalUp="0" diagonalDown="0" outline="0">
        <left style="thin">
          <color indexed="64"/>
        </left>
        <right style="thin">
          <color indexed="64"/>
        </right>
        <top style="thin">
          <color indexed="64"/>
        </top>
        <bottom/>
      </border>
    </dxf>
    <dxf>
      <font>
        <b/>
        <i val="0"/>
        <strike val="0"/>
        <condense val="0"/>
        <extend val="0"/>
        <outline val="0"/>
        <shadow val="0"/>
        <u val="none"/>
        <vertAlign val="baseline"/>
        <sz val="12"/>
        <color theme="1"/>
        <name val="Aptos Narrow"/>
        <family val="2"/>
        <scheme val="minor"/>
      </font>
      <numFmt numFmtId="14" formatCode="0.00%"/>
      <alignment horizontal="center" vertical="bottom" textRotation="0" wrapText="0" indent="0" justifyLastLine="0" shrinkToFit="0" readingOrder="0"/>
      <border diagonalUp="0" diagonalDown="0" outline="0">
        <left style="thin">
          <color indexed="64"/>
        </left>
        <right style="thin">
          <color indexed="64"/>
        </right>
        <top style="thin">
          <color indexed="64"/>
        </top>
        <bottom/>
      </border>
    </dxf>
    <dxf>
      <font>
        <b/>
        <i val="0"/>
        <strike val="0"/>
        <condense val="0"/>
        <extend val="0"/>
        <outline val="0"/>
        <shadow val="0"/>
        <u val="none"/>
        <vertAlign val="baseline"/>
        <sz val="12"/>
        <color theme="1"/>
        <name val="Aptos Narrow"/>
        <family val="2"/>
        <scheme val="minor"/>
      </font>
      <numFmt numFmtId="34" formatCode="_-&quot;R$&quot;\ * #,##0.00_-;\-&quot;R$&quot;\ * #,##0.00_-;_-&quot;R$&quot;\ * &quot;-&quot;??_-;_-@_-"/>
      <border diagonalUp="0" diagonalDown="0" outline="0">
        <left style="thin">
          <color indexed="64"/>
        </left>
        <right style="thin">
          <color indexed="64"/>
        </right>
        <top style="thin">
          <color indexed="64"/>
        </top>
        <bottom/>
      </border>
    </dxf>
    <dxf>
      <font>
        <b/>
        <i val="0"/>
        <strike val="0"/>
        <condense val="0"/>
        <extend val="0"/>
        <outline val="0"/>
        <shadow val="0"/>
        <u val="none"/>
        <vertAlign val="baseline"/>
        <sz val="12"/>
        <color theme="1"/>
        <name val="Aptos Narrow"/>
        <family val="2"/>
        <scheme val="minor"/>
      </font>
      <numFmt numFmtId="34" formatCode="_-&quot;R$&quot;\ * #,##0.00_-;\-&quot;R$&quot;\ * #,##0.00_-;_-&quot;R$&quot;\ * &quot;-&quot;??_-;_-@_-"/>
      <border diagonalUp="0" diagonalDown="0" outline="0">
        <left style="thin">
          <color indexed="64"/>
        </left>
        <right style="thin">
          <color indexed="64"/>
        </right>
        <top style="thin">
          <color indexed="64"/>
        </top>
        <bottom/>
      </border>
    </dxf>
    <dxf>
      <font>
        <b/>
        <i val="0"/>
        <strike val="0"/>
        <condense val="0"/>
        <extend val="0"/>
        <outline val="0"/>
        <shadow val="0"/>
        <u val="none"/>
        <vertAlign val="baseline"/>
        <sz val="12"/>
        <color theme="1"/>
        <name val="Aptos Narrow"/>
        <family val="2"/>
        <scheme val="minor"/>
      </font>
      <numFmt numFmtId="34" formatCode="_-&quot;R$&quot;\ * #,##0.00_-;\-&quot;R$&quot;\ * #,##0.00_-;_-&quot;R$&quot;\ * &quot;-&quot;??_-;_-@_-"/>
      <border diagonalUp="0" diagonalDown="0" outline="0">
        <left style="thin">
          <color indexed="64"/>
        </left>
        <right style="thin">
          <color indexed="64"/>
        </right>
        <top style="thin">
          <color indexed="64"/>
        </top>
        <bottom/>
      </border>
    </dxf>
    <dxf>
      <font>
        <b/>
        <i val="0"/>
        <strike val="0"/>
        <condense val="0"/>
        <extend val="0"/>
        <outline val="0"/>
        <shadow val="0"/>
        <u val="none"/>
        <vertAlign val="baseline"/>
        <sz val="12"/>
        <color theme="1"/>
        <name val="Aptos Narrow"/>
        <family val="2"/>
        <scheme val="minor"/>
      </font>
      <numFmt numFmtId="34" formatCode="_-&quot;R$&quot;\ * #,##0.00_-;\-&quot;R$&quot;\ * #,##0.00_-;_-&quot;R$&quot;\ * &quot;-&quot;??_-;_-@_-"/>
      <border diagonalUp="0" diagonalDown="0" outline="0">
        <left style="thin">
          <color indexed="64"/>
        </left>
        <right style="thin">
          <color indexed="64"/>
        </right>
        <top style="thin">
          <color indexed="64"/>
        </top>
        <bottom/>
      </border>
    </dxf>
    <dxf>
      <font>
        <b/>
        <i val="0"/>
        <strike val="0"/>
        <condense val="0"/>
        <extend val="0"/>
        <outline val="0"/>
        <shadow val="0"/>
        <u val="none"/>
        <vertAlign val="baseline"/>
        <sz val="12"/>
        <color theme="1"/>
        <name val="Aptos Narrow"/>
        <family val="2"/>
        <scheme val="minor"/>
      </font>
      <numFmt numFmtId="34" formatCode="_-&quot;R$&quot;\ * #,##0.00_-;\-&quot;R$&quot;\ * #,##0.00_-;_-&quot;R$&quot;\ * &quot;-&quot;??_-;_-@_-"/>
      <border diagonalUp="0" diagonalDown="0" outline="0">
        <left style="thin">
          <color indexed="64"/>
        </left>
        <right style="thin">
          <color indexed="64"/>
        </right>
        <top style="thin">
          <color indexed="64"/>
        </top>
        <bottom/>
      </border>
    </dxf>
    <dxf>
      <font>
        <b/>
        <i val="0"/>
        <strike val="0"/>
        <condense val="0"/>
        <extend val="0"/>
        <outline val="0"/>
        <shadow val="0"/>
        <u val="none"/>
        <vertAlign val="baseline"/>
        <sz val="12"/>
        <color theme="1"/>
        <name val="Aptos Narrow"/>
        <family val="2"/>
        <scheme val="minor"/>
      </font>
      <numFmt numFmtId="34" formatCode="_-&quot;R$&quot;\ * #,##0.00_-;\-&quot;R$&quot;\ * #,##0.00_-;_-&quot;R$&quot;\ * &quot;-&quot;??_-;_-@_-"/>
      <border diagonalUp="0" diagonalDown="0" outline="0">
        <left style="thin">
          <color indexed="64"/>
        </left>
        <right style="thin">
          <color indexed="64"/>
        </right>
        <top style="thin">
          <color indexed="64"/>
        </top>
        <bottom/>
      </border>
    </dxf>
    <dxf>
      <font>
        <b/>
        <i val="0"/>
        <strike val="0"/>
        <condense val="0"/>
        <extend val="0"/>
        <outline val="0"/>
        <shadow val="0"/>
        <u val="none"/>
        <vertAlign val="baseline"/>
        <sz val="12"/>
        <color theme="1"/>
        <name val="Aptos Narrow"/>
        <family val="2"/>
        <scheme val="minor"/>
      </font>
      <numFmt numFmtId="34" formatCode="_-&quot;R$&quot;\ * #,##0.00_-;\-&quot;R$&quot;\ * #,##0.00_-;_-&quot;R$&quot;\ * &quot;-&quot;??_-;_-@_-"/>
      <border diagonalUp="0" diagonalDown="0" outline="0">
        <left style="thin">
          <color indexed="64"/>
        </left>
        <right style="thin">
          <color indexed="64"/>
        </right>
        <top style="thin">
          <color indexed="64"/>
        </top>
        <bottom/>
      </border>
    </dxf>
    <dxf>
      <font>
        <b/>
        <i val="0"/>
        <strike val="0"/>
        <condense val="0"/>
        <extend val="0"/>
        <outline val="0"/>
        <shadow val="0"/>
        <u val="none"/>
        <vertAlign val="baseline"/>
        <sz val="12"/>
        <color theme="1"/>
        <name val="Aptos Narrow"/>
        <family val="2"/>
        <scheme val="minor"/>
      </font>
      <numFmt numFmtId="34" formatCode="_-&quot;R$&quot;\ * #,##0.00_-;\-&quot;R$&quot;\ * #,##0.00_-;_-&quot;R$&quot;\ * &quot;-&quot;??_-;_-@_-"/>
      <border diagonalUp="0" diagonalDown="0" outline="0">
        <left style="thin">
          <color indexed="64"/>
        </left>
        <right style="thin">
          <color indexed="64"/>
        </right>
        <top style="thin">
          <color indexed="64"/>
        </top>
        <bottom/>
      </border>
    </dxf>
    <dxf>
      <font>
        <b/>
        <i val="0"/>
        <strike val="0"/>
        <condense val="0"/>
        <extend val="0"/>
        <outline val="0"/>
        <shadow val="0"/>
        <u val="none"/>
        <vertAlign val="baseline"/>
        <sz val="12"/>
        <color theme="1"/>
        <name val="Aptos Narrow"/>
        <family val="2"/>
        <scheme val="minor"/>
      </font>
      <numFmt numFmtId="14" formatCode="0.00%"/>
      <alignment horizontal="center" vertical="bottom" textRotation="0" wrapText="0" indent="0" justifyLastLine="0" shrinkToFit="0" readingOrder="0"/>
      <border diagonalUp="0" diagonalDown="0" outline="0">
        <left style="thin">
          <color indexed="64"/>
        </left>
        <right style="thin">
          <color indexed="64"/>
        </right>
        <top style="thin">
          <color indexed="64"/>
        </top>
        <bottom/>
      </border>
    </dxf>
    <dxf>
      <font>
        <b/>
        <i val="0"/>
        <strike val="0"/>
        <condense val="0"/>
        <extend val="0"/>
        <outline val="0"/>
        <shadow val="0"/>
        <u val="none"/>
        <vertAlign val="baseline"/>
        <sz val="12"/>
        <color theme="1"/>
        <name val="Aptos Narrow"/>
        <family val="2"/>
        <scheme val="minor"/>
      </font>
      <numFmt numFmtId="14" formatCode="0.00%"/>
      <alignment horizontal="center" vertical="bottom" textRotation="0" wrapText="0" indent="0" justifyLastLine="0" shrinkToFit="0" readingOrder="0"/>
      <border diagonalUp="0" diagonalDown="0" outline="0">
        <left style="thin">
          <color indexed="64"/>
        </left>
        <right style="thin">
          <color indexed="64"/>
        </right>
        <top style="thin">
          <color indexed="64"/>
        </top>
        <bottom/>
      </border>
    </dxf>
    <dxf>
      <font>
        <b/>
        <i val="0"/>
        <strike val="0"/>
        <condense val="0"/>
        <extend val="0"/>
        <outline val="0"/>
        <shadow val="0"/>
        <u val="none"/>
        <vertAlign val="baseline"/>
        <sz val="12"/>
        <color theme="1"/>
        <name val="Aptos Narrow"/>
        <family val="2"/>
        <scheme val="minor"/>
      </font>
      <numFmt numFmtId="14" formatCode="0.00%"/>
      <alignment horizontal="center" vertical="bottom" textRotation="0" wrapText="0" indent="0" justifyLastLine="0" shrinkToFit="0" readingOrder="0"/>
      <border diagonalUp="0" diagonalDown="0" outline="0">
        <left style="thin">
          <color indexed="64"/>
        </left>
        <right style="thin">
          <color indexed="64"/>
        </right>
        <top style="thin">
          <color indexed="64"/>
        </top>
        <bottom/>
      </border>
    </dxf>
    <dxf>
      <font>
        <b/>
        <i val="0"/>
        <strike val="0"/>
        <condense val="0"/>
        <extend val="0"/>
        <outline val="0"/>
        <shadow val="0"/>
        <u val="none"/>
        <vertAlign val="baseline"/>
        <sz val="12"/>
        <color theme="1"/>
        <name val="Aptos Narrow"/>
        <family val="2"/>
        <scheme val="minor"/>
      </font>
      <numFmt numFmtId="14" formatCode="0.00%"/>
      <alignment horizontal="center" vertical="bottom" textRotation="0" wrapText="0" indent="0" justifyLastLine="0" shrinkToFit="0" readingOrder="0"/>
      <border diagonalUp="0" diagonalDown="0" outline="0">
        <left style="thin">
          <color indexed="64"/>
        </left>
        <right style="thin">
          <color indexed="64"/>
        </right>
        <top style="thin">
          <color indexed="64"/>
        </top>
        <bottom/>
      </border>
    </dxf>
    <dxf>
      <font>
        <b/>
        <i val="0"/>
        <strike val="0"/>
        <condense val="0"/>
        <extend val="0"/>
        <outline val="0"/>
        <shadow val="0"/>
        <u val="none"/>
        <vertAlign val="baseline"/>
        <sz val="12"/>
        <color theme="1"/>
        <name val="Aptos Narrow"/>
        <family val="2"/>
        <scheme val="minor"/>
      </font>
      <numFmt numFmtId="14" formatCode="0.00%"/>
      <alignment horizontal="center" vertical="bottom" textRotation="0" wrapText="0" indent="0" justifyLastLine="0" shrinkToFit="0" readingOrder="0"/>
      <border diagonalUp="0" diagonalDown="0" outline="0">
        <left style="thin">
          <color indexed="64"/>
        </left>
        <right style="thin">
          <color indexed="64"/>
        </right>
        <top style="thin">
          <color indexed="64"/>
        </top>
        <bottom/>
      </border>
    </dxf>
    <dxf>
      <font>
        <b/>
        <i val="0"/>
        <strike val="0"/>
        <condense val="0"/>
        <extend val="0"/>
        <outline val="0"/>
        <shadow val="0"/>
        <u val="none"/>
        <vertAlign val="baseline"/>
        <sz val="12"/>
        <color theme="1"/>
        <name val="Aptos Narrow"/>
        <family val="2"/>
        <scheme val="minor"/>
      </font>
      <numFmt numFmtId="14" formatCode="0.00%"/>
      <alignment horizontal="center" vertical="bottom" textRotation="0" wrapText="0" indent="0" justifyLastLine="0" shrinkToFit="0" readingOrder="0"/>
      <border diagonalUp="0" diagonalDown="0" outline="0">
        <left style="thin">
          <color indexed="64"/>
        </left>
        <right style="thin">
          <color indexed="64"/>
        </right>
        <top style="thin">
          <color indexed="64"/>
        </top>
        <bottom/>
      </border>
    </dxf>
    <dxf>
      <font>
        <b/>
        <i val="0"/>
        <strike val="0"/>
        <condense val="0"/>
        <extend val="0"/>
        <outline val="0"/>
        <shadow val="0"/>
        <u val="none"/>
        <vertAlign val="baseline"/>
        <sz val="12"/>
        <color theme="1"/>
        <name val="Aptos Narrow"/>
        <family val="2"/>
        <scheme val="minor"/>
      </font>
      <numFmt numFmtId="14" formatCode="0.00%"/>
      <alignment horizontal="center" vertical="bottom" textRotation="0" wrapText="0" indent="0" justifyLastLine="0" shrinkToFit="0" readingOrder="0"/>
      <border diagonalUp="0" diagonalDown="0" outline="0">
        <left style="thin">
          <color indexed="64"/>
        </left>
        <right style="thin">
          <color indexed="64"/>
        </right>
        <top style="thin">
          <color indexed="64"/>
        </top>
        <bottom/>
      </border>
    </dxf>
    <dxf>
      <font>
        <b/>
        <i val="0"/>
        <strike val="0"/>
        <condense val="0"/>
        <extend val="0"/>
        <outline val="0"/>
        <shadow val="0"/>
        <u val="none"/>
        <vertAlign val="baseline"/>
        <sz val="12"/>
        <color theme="1"/>
        <name val="Aptos Narrow"/>
        <family val="2"/>
        <scheme val="minor"/>
      </font>
      <numFmt numFmtId="14" formatCode="0.00%"/>
      <alignment horizontal="center" vertical="bottom" textRotation="0" wrapText="0" indent="0" justifyLastLine="0" shrinkToFit="0" readingOrder="0"/>
      <border diagonalUp="0" diagonalDown="0" outline="0">
        <left style="thin">
          <color indexed="64"/>
        </left>
        <right style="thin">
          <color indexed="64"/>
        </right>
        <top style="thin">
          <color indexed="64"/>
        </top>
        <bottom/>
      </border>
    </dxf>
    <dxf>
      <font>
        <b/>
        <i val="0"/>
        <strike val="0"/>
        <condense val="0"/>
        <extend val="0"/>
        <outline val="0"/>
        <shadow val="0"/>
        <u val="none"/>
        <vertAlign val="baseline"/>
        <sz val="12"/>
        <color theme="1"/>
        <name val="Aptos Narrow"/>
        <family val="2"/>
        <scheme val="minor"/>
      </font>
      <numFmt numFmtId="14" formatCode="0.00%"/>
      <alignment horizontal="center" vertical="bottom" textRotation="0" wrapText="0" indent="0" justifyLastLine="0" shrinkToFit="0" readingOrder="0"/>
      <border diagonalUp="0" diagonalDown="0" outline="0">
        <left style="thin">
          <color indexed="64"/>
        </left>
        <right style="thin">
          <color indexed="64"/>
        </right>
        <top style="thin">
          <color indexed="64"/>
        </top>
        <bottom/>
      </border>
    </dxf>
    <dxf>
      <font>
        <b/>
        <i val="0"/>
        <strike val="0"/>
        <condense val="0"/>
        <extend val="0"/>
        <outline val="0"/>
        <shadow val="0"/>
        <u val="none"/>
        <vertAlign val="baseline"/>
        <sz val="12"/>
        <color theme="1"/>
        <name val="Aptos Narrow"/>
        <family val="2"/>
        <scheme val="minor"/>
      </font>
      <numFmt numFmtId="14" formatCode="0.00%"/>
      <alignment horizontal="center" vertical="bottom" textRotation="0" wrapText="0" indent="0" justifyLastLine="0" shrinkToFit="0" readingOrder="0"/>
      <border diagonalUp="0" diagonalDown="0" outline="0">
        <left style="thin">
          <color indexed="64"/>
        </left>
        <right style="thin">
          <color indexed="64"/>
        </right>
        <top style="thin">
          <color indexed="64"/>
        </top>
        <bottom/>
      </border>
    </dxf>
    <dxf>
      <font>
        <b/>
        <i val="0"/>
        <strike val="0"/>
        <condense val="0"/>
        <extend val="0"/>
        <outline val="0"/>
        <shadow val="0"/>
        <u val="none"/>
        <vertAlign val="baseline"/>
        <sz val="12"/>
        <color theme="1"/>
        <name val="Aptos Narrow"/>
        <family val="2"/>
        <scheme val="minor"/>
      </font>
      <numFmt numFmtId="14" formatCode="0.00%"/>
      <alignment horizontal="center" vertical="bottom" textRotation="0" wrapText="0" indent="0" justifyLastLine="0" shrinkToFit="0" readingOrder="0"/>
      <border diagonalUp="0" diagonalDown="0" outline="0">
        <left style="thin">
          <color indexed="64"/>
        </left>
        <right style="thin">
          <color indexed="64"/>
        </right>
        <top style="thin">
          <color indexed="64"/>
        </top>
        <bottom/>
      </border>
    </dxf>
    <dxf>
      <font>
        <b/>
        <i val="0"/>
        <strike val="0"/>
        <condense val="0"/>
        <extend val="0"/>
        <outline val="0"/>
        <shadow val="0"/>
        <u val="none"/>
        <vertAlign val="baseline"/>
        <sz val="12"/>
        <color theme="1"/>
        <name val="Aptos Narrow"/>
        <family val="2"/>
        <scheme val="minor"/>
      </font>
      <numFmt numFmtId="14" formatCode="0.00%"/>
      <alignment horizontal="center" vertical="bottom" textRotation="0" wrapText="0" indent="0" justifyLastLine="0" shrinkToFit="0" readingOrder="0"/>
      <border diagonalUp="0" diagonalDown="0" outline="0">
        <left style="thin">
          <color indexed="64"/>
        </left>
        <right style="thin">
          <color indexed="64"/>
        </right>
        <top style="thin">
          <color indexed="64"/>
        </top>
        <bottom/>
      </border>
    </dxf>
    <dxf>
      <font>
        <b/>
        <i val="0"/>
        <strike val="0"/>
        <condense val="0"/>
        <extend val="0"/>
        <outline val="0"/>
        <shadow val="0"/>
        <u val="none"/>
        <vertAlign val="baseline"/>
        <sz val="12"/>
        <color theme="1"/>
        <name val="Aptos Narrow"/>
        <family val="2"/>
        <scheme val="minor"/>
      </font>
      <numFmt numFmtId="14" formatCode="0.00%"/>
      <alignment horizontal="center" vertical="bottom" textRotation="0" wrapText="0" indent="0" justifyLastLine="0" shrinkToFit="0" readingOrder="0"/>
      <border diagonalUp="0" diagonalDown="0" outline="0">
        <left style="thin">
          <color indexed="64"/>
        </left>
        <right style="thin">
          <color indexed="64"/>
        </right>
        <top style="thin">
          <color indexed="64"/>
        </top>
        <bottom/>
      </border>
    </dxf>
    <dxf>
      <font>
        <b/>
        <i val="0"/>
        <strike val="0"/>
        <condense val="0"/>
        <extend val="0"/>
        <outline val="0"/>
        <shadow val="0"/>
        <u val="none"/>
        <vertAlign val="baseline"/>
        <sz val="12"/>
        <color theme="1"/>
        <name val="Aptos Narrow"/>
        <family val="2"/>
        <scheme val="minor"/>
      </font>
      <numFmt numFmtId="34" formatCode="_-&quot;R$&quot;\ * #,##0.00_-;\-&quot;R$&quot;\ * #,##0.00_-;_-&quot;R$&quot;\ * &quot;-&quot;??_-;_-@_-"/>
      <border diagonalUp="0" diagonalDown="0" outline="0">
        <left style="thin">
          <color indexed="64"/>
        </left>
        <right style="thin">
          <color indexed="64"/>
        </right>
        <top style="thin">
          <color indexed="64"/>
        </top>
        <bottom/>
      </border>
    </dxf>
    <dxf>
      <font>
        <b/>
        <i val="0"/>
        <strike val="0"/>
        <condense val="0"/>
        <extend val="0"/>
        <outline val="0"/>
        <shadow val="0"/>
        <u val="none"/>
        <vertAlign val="baseline"/>
        <sz val="12"/>
        <color theme="1"/>
        <name val="Aptos Narrow"/>
        <family val="2"/>
        <scheme val="minor"/>
      </font>
      <numFmt numFmtId="34" formatCode="_-&quot;R$&quot;\ * #,##0.00_-;\-&quot;R$&quot;\ * #,##0.00_-;_-&quot;R$&quot;\ * &quot;-&quot;??_-;_-@_-"/>
      <border diagonalUp="0" diagonalDown="0" outline="0">
        <left style="thin">
          <color indexed="64"/>
        </left>
        <right style="thin">
          <color indexed="64"/>
        </right>
        <top style="thin">
          <color indexed="64"/>
        </top>
        <bottom/>
      </border>
    </dxf>
    <dxf>
      <font>
        <b/>
        <i val="0"/>
        <strike val="0"/>
        <condense val="0"/>
        <extend val="0"/>
        <outline val="0"/>
        <shadow val="0"/>
        <u val="none"/>
        <vertAlign val="baseline"/>
        <sz val="12"/>
        <color theme="1"/>
        <name val="Aptos Narrow"/>
        <family val="2"/>
        <scheme val="minor"/>
      </font>
      <numFmt numFmtId="34" formatCode="_-&quot;R$&quot;\ * #,##0.00_-;\-&quot;R$&quot;\ * #,##0.00_-;_-&quot;R$&quot;\ * &quot;-&quot;??_-;_-@_-"/>
      <border diagonalUp="0" diagonalDown="0" outline="0">
        <left style="thin">
          <color indexed="64"/>
        </left>
        <right style="thin">
          <color indexed="64"/>
        </right>
        <top style="thin">
          <color indexed="64"/>
        </top>
        <bottom/>
      </border>
    </dxf>
    <dxf>
      <font>
        <b/>
        <i val="0"/>
        <strike val="0"/>
        <condense val="0"/>
        <extend val="0"/>
        <outline val="0"/>
        <shadow val="0"/>
        <u val="none"/>
        <vertAlign val="baseline"/>
        <sz val="12"/>
        <color theme="1"/>
        <name val="Aptos Narrow"/>
        <family val="2"/>
        <scheme val="minor"/>
      </font>
      <numFmt numFmtId="34" formatCode="_-&quot;R$&quot;\ * #,##0.00_-;\-&quot;R$&quot;\ * #,##0.00_-;_-&quot;R$&quot;\ * &quot;-&quot;??_-;_-@_-"/>
      <border diagonalUp="0" diagonalDown="0" outline="0">
        <left style="thin">
          <color indexed="64"/>
        </left>
        <right style="thin">
          <color indexed="64"/>
        </right>
        <top style="thin">
          <color indexed="64"/>
        </top>
        <bottom/>
      </border>
    </dxf>
    <dxf>
      <font>
        <b/>
        <i val="0"/>
        <strike val="0"/>
        <condense val="0"/>
        <extend val="0"/>
        <outline val="0"/>
        <shadow val="0"/>
        <u val="none"/>
        <vertAlign val="baseline"/>
        <sz val="12"/>
        <color theme="1"/>
        <name val="Aptos Narrow"/>
        <family val="2"/>
        <scheme val="minor"/>
      </font>
      <numFmt numFmtId="34" formatCode="_-&quot;R$&quot;\ * #,##0.00_-;\-&quot;R$&quot;\ * #,##0.00_-;_-&quot;R$&quot;\ * &quot;-&quot;??_-;_-@_-"/>
      <border diagonalUp="0" diagonalDown="0" outline="0">
        <left style="thin">
          <color indexed="64"/>
        </left>
        <right style="thin">
          <color indexed="64"/>
        </right>
        <top style="thin">
          <color indexed="64"/>
        </top>
        <bottom/>
      </border>
    </dxf>
    <dxf>
      <font>
        <b/>
        <i val="0"/>
        <strike val="0"/>
        <condense val="0"/>
        <extend val="0"/>
        <outline val="0"/>
        <shadow val="0"/>
        <u val="none"/>
        <vertAlign val="baseline"/>
        <sz val="12"/>
        <color theme="1"/>
        <name val="Aptos Narrow"/>
        <family val="2"/>
        <scheme val="minor"/>
      </font>
      <numFmt numFmtId="34" formatCode="_-&quot;R$&quot;\ * #,##0.00_-;\-&quot;R$&quot;\ * #,##0.00_-;_-&quot;R$&quot;\ * &quot;-&quot;??_-;_-@_-"/>
      <border diagonalUp="0" diagonalDown="0" outline="0">
        <left style="thin">
          <color indexed="64"/>
        </left>
        <right style="thin">
          <color indexed="64"/>
        </right>
        <top style="thin">
          <color indexed="64"/>
        </top>
        <bottom/>
      </border>
    </dxf>
    <dxf>
      <font>
        <b/>
        <i val="0"/>
        <strike val="0"/>
        <condense val="0"/>
        <extend val="0"/>
        <outline val="0"/>
        <shadow val="0"/>
        <u val="none"/>
        <vertAlign val="baseline"/>
        <sz val="12"/>
        <color theme="1"/>
        <name val="Aptos Narrow"/>
        <family val="2"/>
        <scheme val="minor"/>
      </font>
      <numFmt numFmtId="34" formatCode="_-&quot;R$&quot;\ * #,##0.00_-;\-&quot;R$&quot;\ * #,##0.00_-;_-&quot;R$&quot;\ * &quot;-&quot;??_-;_-@_-"/>
      <border diagonalUp="0" diagonalDown="0" outline="0">
        <left style="thin">
          <color indexed="64"/>
        </left>
        <right style="thin">
          <color indexed="64"/>
        </right>
        <top style="thin">
          <color indexed="64"/>
        </top>
        <bottom/>
      </border>
    </dxf>
    <dxf>
      <font>
        <b/>
        <i val="0"/>
        <strike val="0"/>
        <condense val="0"/>
        <extend val="0"/>
        <outline val="0"/>
        <shadow val="0"/>
        <u val="none"/>
        <vertAlign val="baseline"/>
        <sz val="12"/>
        <color theme="1"/>
        <name val="Aptos Narrow"/>
        <family val="2"/>
        <scheme val="minor"/>
      </font>
      <numFmt numFmtId="34" formatCode="_-&quot;R$&quot;\ * #,##0.00_-;\-&quot;R$&quot;\ * #,##0.00_-;_-&quot;R$&quot;\ * &quot;-&quot;??_-;_-@_-"/>
      <border diagonalUp="0" diagonalDown="0" outline="0">
        <left style="thin">
          <color indexed="64"/>
        </left>
        <right style="thin">
          <color indexed="64"/>
        </right>
        <top style="thin">
          <color indexed="64"/>
        </top>
        <bottom/>
      </border>
    </dxf>
    <dxf>
      <font>
        <b/>
        <i val="0"/>
        <strike val="0"/>
        <condense val="0"/>
        <extend val="0"/>
        <outline val="0"/>
        <shadow val="0"/>
        <u val="none"/>
        <vertAlign val="baseline"/>
        <sz val="12"/>
        <color theme="1"/>
        <name val="Aptos Narrow"/>
        <family val="2"/>
        <scheme val="minor"/>
      </font>
      <numFmt numFmtId="34" formatCode="_-&quot;R$&quot;\ * #,##0.00_-;\-&quot;R$&quot;\ * #,##0.00_-;_-&quot;R$&quot;\ * &quot;-&quot;??_-;_-@_-"/>
      <border diagonalUp="0" diagonalDown="0" outline="0">
        <left style="thin">
          <color indexed="64"/>
        </left>
        <right style="thin">
          <color indexed="64"/>
        </right>
        <top style="thin">
          <color indexed="64"/>
        </top>
        <bottom/>
      </border>
    </dxf>
    <dxf>
      <font>
        <b/>
        <i val="0"/>
        <strike val="0"/>
        <condense val="0"/>
        <extend val="0"/>
        <outline val="0"/>
        <shadow val="0"/>
        <u val="none"/>
        <vertAlign val="baseline"/>
        <sz val="12"/>
        <color theme="1"/>
        <name val="Aptos Narrow"/>
        <family val="2"/>
        <scheme val="minor"/>
      </font>
      <numFmt numFmtId="14" formatCode="0.00%"/>
      <alignment horizontal="center" vertical="bottom" textRotation="0" wrapText="0" indent="0" justifyLastLine="0" shrinkToFit="0" readingOrder="0"/>
      <border diagonalUp="0" diagonalDown="0" outline="0">
        <left style="thin">
          <color indexed="64"/>
        </left>
        <right style="thin">
          <color indexed="64"/>
        </right>
        <top style="thin">
          <color indexed="64"/>
        </top>
        <bottom/>
      </border>
    </dxf>
    <dxf>
      <font>
        <b/>
        <i val="0"/>
        <strike val="0"/>
        <condense val="0"/>
        <extend val="0"/>
        <outline val="0"/>
        <shadow val="0"/>
        <u val="none"/>
        <vertAlign val="baseline"/>
        <sz val="12"/>
        <color theme="1"/>
        <name val="Aptos Narrow"/>
        <family val="2"/>
        <scheme val="minor"/>
      </font>
      <numFmt numFmtId="14" formatCode="0.00%"/>
      <alignment horizontal="center" vertical="bottom" textRotation="0" wrapText="0" indent="0" justifyLastLine="0" shrinkToFit="0" readingOrder="0"/>
      <border diagonalUp="0" diagonalDown="0" outline="0">
        <left style="thin">
          <color indexed="64"/>
        </left>
        <right style="thin">
          <color indexed="64"/>
        </right>
        <top style="thin">
          <color indexed="64"/>
        </top>
        <bottom/>
      </border>
    </dxf>
    <dxf>
      <font>
        <b/>
        <i val="0"/>
        <strike val="0"/>
        <condense val="0"/>
        <extend val="0"/>
        <outline val="0"/>
        <shadow val="0"/>
        <u val="none"/>
        <vertAlign val="baseline"/>
        <sz val="12"/>
        <color theme="1"/>
        <name val="Aptos Narrow"/>
        <family val="2"/>
        <scheme val="minor"/>
      </font>
      <numFmt numFmtId="14" formatCode="0.00%"/>
      <alignment horizontal="center" vertical="bottom" textRotation="0" wrapText="0" indent="0" justifyLastLine="0" shrinkToFit="0" readingOrder="0"/>
      <border diagonalUp="0" diagonalDown="0" outline="0">
        <left style="thin">
          <color indexed="64"/>
        </left>
        <right style="thin">
          <color indexed="64"/>
        </right>
        <top style="thin">
          <color indexed="64"/>
        </top>
        <bottom/>
      </border>
    </dxf>
    <dxf>
      <font>
        <b/>
        <i val="0"/>
        <strike val="0"/>
        <condense val="0"/>
        <extend val="0"/>
        <outline val="0"/>
        <shadow val="0"/>
        <u val="none"/>
        <vertAlign val="baseline"/>
        <sz val="12"/>
        <color theme="1"/>
        <name val="Aptos Narrow"/>
        <family val="2"/>
        <scheme val="minor"/>
      </font>
      <numFmt numFmtId="165" formatCode="yyyy"/>
      <alignment horizontal="center" vertical="bottom" textRotation="0" wrapText="0" indent="0" justifyLastLine="0" shrinkToFit="0" readingOrder="0"/>
      <border diagonalUp="0" diagonalDown="0" outline="0">
        <left style="thin">
          <color indexed="64"/>
        </left>
        <right style="thin">
          <color indexed="64"/>
        </right>
        <top style="thin">
          <color indexed="64"/>
        </top>
        <bottom/>
      </border>
    </dxf>
    <dxf>
      <font>
        <b/>
        <i val="0"/>
        <strike val="0"/>
        <condense val="0"/>
        <extend val="0"/>
        <outline val="0"/>
        <shadow val="0"/>
        <u val="none"/>
        <vertAlign val="baseline"/>
        <sz val="12"/>
        <color theme="1"/>
        <name val="Aptos Narrow"/>
        <family val="2"/>
        <scheme val="minor"/>
      </font>
      <alignment horizontal="center" vertical="bottom" textRotation="0" wrapText="0" indent="0" justifyLastLine="0" shrinkToFit="0" readingOrder="0"/>
      <border diagonalUp="0" diagonalDown="0" outline="0">
        <left style="thin">
          <color indexed="64"/>
        </left>
        <right style="thin">
          <color indexed="64"/>
        </right>
        <top style="thin">
          <color indexed="64"/>
        </top>
        <bottom/>
      </border>
    </dxf>
    <dxf>
      <font>
        <b/>
        <i val="0"/>
        <strike val="0"/>
        <condense val="0"/>
        <extend val="0"/>
        <outline val="0"/>
        <shadow val="0"/>
        <u val="none"/>
        <vertAlign val="baseline"/>
        <sz val="12"/>
        <color theme="1"/>
        <name val="Aptos Narrow"/>
        <family val="2"/>
        <scheme val="minor"/>
      </font>
      <alignment horizontal="center" vertical="bottom" textRotation="0" wrapText="0" indent="0" justifyLastLine="0" shrinkToFit="0" readingOrder="0"/>
      <border diagonalUp="0" diagonalDown="0" outline="0">
        <left style="thin">
          <color indexed="64"/>
        </left>
        <right/>
        <top style="thin">
          <color indexed="64"/>
        </top>
        <bottom/>
      </border>
    </dxf>
    <dxf>
      <numFmt numFmtId="34" formatCode="_-&quot;R$&quot;\ * #,##0.00_-;\-&quot;R$&quot;\ * #,##0.00_-;_-&quot;R$&quot;\ * &quot;-&quot;??_-;_-@_-"/>
      <alignment horizontal="center" vertical="bottom" textRotation="0" wrapText="0" indent="0" justifyLastLine="0" shrinkToFit="0" readingOrder="0"/>
    </dxf>
    <dxf>
      <numFmt numFmtId="34" formatCode="_-&quot;R$&quot;\ * #,##0.00_-;\-&quot;R$&quot;\ * #,##0.00_-;_-&quot;R$&quot;\ * &quot;-&quot;??_-;_-@_-"/>
      <alignment horizontal="center" vertical="bottom" textRotation="0" wrapText="0" indent="0" justifyLastLine="0" shrinkToFit="0" readingOrder="0"/>
    </dxf>
    <dxf>
      <numFmt numFmtId="165" formatCode="yyyy"/>
      <alignment horizontal="center" vertical="bottom" textRotation="0" wrapText="0" indent="0" justifyLastLine="0" shrinkToFit="0" readingOrder="0"/>
    </dxf>
    <dxf>
      <numFmt numFmtId="34" formatCode="_-&quot;R$&quot;\ * #,##0.00_-;\-&quot;R$&quot;\ * #,##0.00_-;_-&quot;R$&quot;\ * &quot;-&quot;??_-;_-@_-"/>
    </dxf>
    <dxf>
      <numFmt numFmtId="34" formatCode="_-&quot;R$&quot;\ * #,##0.00_-;\-&quot;R$&quot;\ * #,##0.00_-;_-&quot;R$&quot;\ * &quot;-&quot;??_-;_-@_-"/>
    </dxf>
    <dxf>
      <numFmt numFmtId="34" formatCode="_-&quot;R$&quot;\ * #,##0.00_-;\-&quot;R$&quot;\ * #,##0.00_-;_-&quot;R$&quot;\ * &quot;-&quot;??_-;_-@_-"/>
    </dxf>
    <dxf>
      <numFmt numFmtId="34" formatCode="_-&quot;R$&quot;\ * #,##0.00_-;\-&quot;R$&quot;\ * #,##0.00_-;_-&quot;R$&quot;\ * &quot;-&quot;??_-;_-@_-"/>
    </dxf>
    <dxf>
      <numFmt numFmtId="14" formatCode="0.00%"/>
      <alignment horizontal="center" vertical="bottom" textRotation="0" wrapText="0" indent="0" justifyLastLine="0" shrinkToFit="0" readingOrder="0"/>
    </dxf>
    <dxf>
      <numFmt numFmtId="14" formatCode="0.00%"/>
      <alignment horizontal="center" vertical="bottom" textRotation="0" wrapText="0" indent="0" justifyLastLine="0" shrinkToFit="0" readingOrder="0"/>
    </dxf>
    <dxf>
      <numFmt numFmtId="14" formatCode="0.00%"/>
      <alignment horizontal="center" vertical="bottom" textRotation="0" wrapText="0" indent="0" justifyLastLine="0" shrinkToFit="0" readingOrder="0"/>
    </dxf>
    <dxf>
      <numFmt numFmtId="167" formatCode="0.0%"/>
      <alignment horizontal="center" vertical="bottom" textRotation="0" wrapText="0" indent="0" justifyLastLine="0" shrinkToFit="0" readingOrder="0"/>
    </dxf>
    <dxf>
      <numFmt numFmtId="14" formatCode="0.00%"/>
      <alignment horizontal="center" vertical="bottom" textRotation="0" wrapText="0" indent="0" justifyLastLine="0" shrinkToFit="0" readingOrder="0"/>
    </dxf>
    <dxf>
      <numFmt numFmtId="14" formatCode="0.00%"/>
      <alignment horizontal="center" vertical="bottom" textRotation="0" wrapText="0" indent="0" justifyLastLine="0" shrinkToFit="0" readingOrder="0"/>
    </dxf>
    <dxf>
      <numFmt numFmtId="34" formatCode="_-&quot;R$&quot;\ * #,##0.00_-;\-&quot;R$&quot;\ * #,##0.00_-;_-&quot;R$&quot;\ * &quot;-&quot;??_-;_-@_-"/>
    </dxf>
    <dxf>
      <numFmt numFmtId="34" formatCode="_-&quot;R$&quot;\ * #,##0.00_-;\-&quot;R$&quot;\ * #,##0.00_-;_-&quot;R$&quot;\ * &quot;-&quot;??_-;_-@_-"/>
    </dxf>
    <dxf>
      <numFmt numFmtId="34" formatCode="_-&quot;R$&quot;\ * #,##0.00_-;\-&quot;R$&quot;\ * #,##0.00_-;_-&quot;R$&quot;\ * &quot;-&quot;??_-;_-@_-"/>
    </dxf>
    <dxf>
      <numFmt numFmtId="34" formatCode="_-&quot;R$&quot;\ * #,##0.00_-;\-&quot;R$&quot;\ * #,##0.00_-;_-&quot;R$&quot;\ * &quot;-&quot;??_-;_-@_-"/>
    </dxf>
    <dxf>
      <numFmt numFmtId="34" formatCode="_-&quot;R$&quot;\ * #,##0.00_-;\-&quot;R$&quot;\ * #,##0.00_-;_-&quot;R$&quot;\ * &quot;-&quot;??_-;_-@_-"/>
    </dxf>
    <dxf>
      <numFmt numFmtId="34" formatCode="_-&quot;R$&quot;\ * #,##0.00_-;\-&quot;R$&quot;\ * #,##0.00_-;_-&quot;R$&quot;\ * &quot;-&quot;??_-;_-@_-"/>
    </dxf>
    <dxf>
      <numFmt numFmtId="34" formatCode="_-&quot;R$&quot;\ * #,##0.00_-;\-&quot;R$&quot;\ * #,##0.00_-;_-&quot;R$&quot;\ * &quot;-&quot;??_-;_-@_-"/>
    </dxf>
    <dxf>
      <numFmt numFmtId="34" formatCode="_-&quot;R$&quot;\ * #,##0.00_-;\-&quot;R$&quot;\ * #,##0.00_-;_-&quot;R$&quot;\ * &quot;-&quot;??_-;_-@_-"/>
    </dxf>
    <dxf>
      <numFmt numFmtId="34" formatCode="_-&quot;R$&quot;\ * #,##0.00_-;\-&quot;R$&quot;\ * #,##0.00_-;_-&quot;R$&quot;\ * &quot;-&quot;??_-;_-@_-"/>
    </dxf>
    <dxf>
      <numFmt numFmtId="34" formatCode="_-&quot;R$&quot;\ * #,##0.00_-;\-&quot;R$&quot;\ * #,##0.00_-;_-&quot;R$&quot;\ * &quot;-&quot;??_-;_-@_-"/>
    </dxf>
    <dxf>
      <numFmt numFmtId="34" formatCode="_-&quot;R$&quot;\ * #,##0.00_-;\-&quot;R$&quot;\ * #,##0.00_-;_-&quot;R$&quot;\ * &quot;-&quot;??_-;_-@_-"/>
    </dxf>
    <dxf>
      <numFmt numFmtId="34" formatCode="_-&quot;R$&quot;\ * #,##0.00_-;\-&quot;R$&quot;\ * #,##0.00_-;_-&quot;R$&quot;\ * &quot;-&quot;??_-;_-@_-"/>
    </dxf>
    <dxf>
      <numFmt numFmtId="34" formatCode="_-&quot;R$&quot;\ * #,##0.00_-;\-&quot;R$&quot;\ * #,##0.00_-;_-&quot;R$&quot;\ * &quot;-&quot;??_-;_-@_-"/>
    </dxf>
    <dxf>
      <numFmt numFmtId="34" formatCode="_-&quot;R$&quot;\ * #,##0.00_-;\-&quot;R$&quot;\ * #,##0.00_-;_-&quot;R$&quot;\ * &quot;-&quot;??_-;_-@_-"/>
    </dxf>
    <dxf>
      <numFmt numFmtId="34" formatCode="_-&quot;R$&quot;\ * #,##0.00_-;\-&quot;R$&quot;\ * #,##0.00_-;_-&quot;R$&quot;\ * &quot;-&quot;??_-;_-@_-"/>
    </dxf>
    <dxf>
      <numFmt numFmtId="34" formatCode="_-&quot;R$&quot;\ * #,##0.00_-;\-&quot;R$&quot;\ * #,##0.00_-;_-&quot;R$&quot;\ * &quot;-&quot;??_-;_-@_-"/>
    </dxf>
    <dxf>
      <numFmt numFmtId="34" formatCode="_-&quot;R$&quot;\ * #,##0.00_-;\-&quot;R$&quot;\ * #,##0.00_-;_-&quot;R$&quot;\ * &quot;-&quot;??_-;_-@_-"/>
    </dxf>
    <dxf>
      <numFmt numFmtId="34" formatCode="_-&quot;R$&quot;\ * #,##0.00_-;\-&quot;R$&quot;\ * #,##0.00_-;_-&quot;R$&quot;\ * &quot;-&quot;??_-;_-@_-"/>
    </dxf>
    <dxf>
      <numFmt numFmtId="34" formatCode="_-&quot;R$&quot;\ * #,##0.00_-;\-&quot;R$&quot;\ * #,##0.00_-;_-&quot;R$&quot;\ * &quot;-&quot;??_-;_-@_-"/>
    </dxf>
    <dxf>
      <numFmt numFmtId="34" formatCode="_-&quot;R$&quot;\ * #,##0.00_-;\-&quot;R$&quot;\ * #,##0.00_-;_-&quot;R$&quot;\ * &quot;-&quot;??_-;_-@_-"/>
    </dxf>
    <dxf>
      <numFmt numFmtId="34" formatCode="_-&quot;R$&quot;\ * #,##0.00_-;\-&quot;R$&quot;\ * #,##0.00_-;_-&quot;R$&quot;\ * &quot;-&quot;??_-;_-@_-"/>
    </dxf>
    <dxf>
      <numFmt numFmtId="34" formatCode="_-&quot;R$&quot;\ * #,##0.00_-;\-&quot;R$&quot;\ * #,##0.00_-;_-&quot;R$&quot;\ * &quot;-&quot;??_-;_-@_-"/>
    </dxf>
    <dxf>
      <numFmt numFmtId="34" formatCode="_-&quot;R$&quot;\ * #,##0.00_-;\-&quot;R$&quot;\ * #,##0.00_-;_-&quot;R$&quot;\ * &quot;-&quot;??_-;_-@_-"/>
    </dxf>
    <dxf>
      <numFmt numFmtId="34" formatCode="_-&quot;R$&quot;\ * #,##0.00_-;\-&quot;R$&quot;\ * #,##0.00_-;_-&quot;R$&quot;\ * &quot;-&quot;??_-;_-@_-"/>
    </dxf>
    <dxf>
      <numFmt numFmtId="34" formatCode="_-&quot;R$&quot;\ * #,##0.00_-;\-&quot;R$&quot;\ * #,##0.00_-;_-&quot;R$&quot;\ * &quot;-&quot;??_-;_-@_-"/>
    </dxf>
    <dxf>
      <numFmt numFmtId="34" formatCode="_-&quot;R$&quot;\ * #,##0.00_-;\-&quot;R$&quot;\ * #,##0.00_-;_-&quot;R$&quot;\ * &quot;-&quot;??_-;_-@_-"/>
    </dxf>
    <dxf>
      <numFmt numFmtId="34" formatCode="_-&quot;R$&quot;\ * #,##0.00_-;\-&quot;R$&quot;\ * #,##0.00_-;_-&quot;R$&quot;\ * &quot;-&quot;??_-;_-@_-"/>
    </dxf>
    <dxf>
      <numFmt numFmtId="34" formatCode="_-&quot;R$&quot;\ * #,##0.00_-;\-&quot;R$&quot;\ * #,##0.00_-;_-&quot;R$&quot;\ * &quot;-&quot;??_-;_-@_-"/>
    </dxf>
    <dxf>
      <numFmt numFmtId="34" formatCode="_-&quot;R$&quot;\ * #,##0.00_-;\-&quot;R$&quot;\ * #,##0.00_-;_-&quot;R$&quot;\ * &quot;-&quot;??_-;_-@_-"/>
    </dxf>
    <dxf>
      <numFmt numFmtId="34" formatCode="_-&quot;R$&quot;\ * #,##0.00_-;\-&quot;R$&quot;\ * #,##0.00_-;_-&quot;R$&quot;\ * &quot;-&quot;??_-;_-@_-"/>
    </dxf>
    <dxf>
      <numFmt numFmtId="34" formatCode="_-&quot;R$&quot;\ * #,##0.00_-;\-&quot;R$&quot;\ * #,##0.00_-;_-&quot;R$&quot;\ * &quot;-&quot;??_-;_-@_-"/>
    </dxf>
    <dxf>
      <numFmt numFmtId="34" formatCode="_-&quot;R$&quot;\ * #,##0.00_-;\-&quot;R$&quot;\ * #,##0.00_-;_-&quot;R$&quot;\ * &quot;-&quot;??_-;_-@_-"/>
    </dxf>
    <dxf>
      <numFmt numFmtId="34" formatCode="_-&quot;R$&quot;\ * #,##0.00_-;\-&quot;R$&quot;\ * #,##0.00_-;_-&quot;R$&quot;\ * &quot;-&quot;??_-;_-@_-"/>
    </dxf>
    <dxf>
      <numFmt numFmtId="34" formatCode="_-&quot;R$&quot;\ * #,##0.00_-;\-&quot;R$&quot;\ * #,##0.00_-;_-&quot;R$&quot;\ * &quot;-&quot;??_-;_-@_-"/>
    </dxf>
    <dxf>
      <numFmt numFmtId="34" formatCode="_-&quot;R$&quot;\ * #,##0.00_-;\-&quot;R$&quot;\ * #,##0.00_-;_-&quot;R$&quot;\ * &quot;-&quot;??_-;_-@_-"/>
    </dxf>
    <dxf>
      <numFmt numFmtId="34" formatCode="_-&quot;R$&quot;\ * #,##0.00_-;\-&quot;R$&quot;\ * #,##0.00_-;_-&quot;R$&quot;\ * &quot;-&quot;??_-;_-@_-"/>
    </dxf>
    <dxf>
      <numFmt numFmtId="34" formatCode="_-&quot;R$&quot;\ * #,##0.00_-;\-&quot;R$&quot;\ * #,##0.00_-;_-&quot;R$&quot;\ * &quot;-&quot;??_-;_-@_-"/>
    </dxf>
    <dxf>
      <numFmt numFmtId="34" formatCode="_-&quot;R$&quot;\ * #,##0.00_-;\-&quot;R$&quot;\ * #,##0.00_-;_-&quot;R$&quot;\ * &quot;-&quot;??_-;_-@_-"/>
    </dxf>
    <dxf>
      <numFmt numFmtId="34" formatCode="_-&quot;R$&quot;\ * #,##0.00_-;\-&quot;R$&quot;\ * #,##0.00_-;_-&quot;R$&quot;\ * &quot;-&quot;??_-;_-@_-"/>
    </dxf>
    <dxf>
      <numFmt numFmtId="34" formatCode="_-&quot;R$&quot;\ * #,##0.00_-;\-&quot;R$&quot;\ * #,##0.00_-;_-&quot;R$&quot;\ * &quot;-&quot;??_-;_-@_-"/>
    </dxf>
    <dxf>
      <numFmt numFmtId="34" formatCode="_-&quot;R$&quot;\ * #,##0.00_-;\-&quot;R$&quot;\ * #,##0.00_-;_-&quot;R$&quot;\ * &quot;-&quot;??_-;_-@_-"/>
    </dxf>
    <dxf>
      <numFmt numFmtId="34" formatCode="_-&quot;R$&quot;\ * #,##0.00_-;\-&quot;R$&quot;\ * #,##0.00_-;_-&quot;R$&quot;\ * &quot;-&quot;??_-;_-@_-"/>
    </dxf>
    <dxf>
      <numFmt numFmtId="34" formatCode="_-&quot;R$&quot;\ * #,##0.00_-;\-&quot;R$&quot;\ * #,##0.00_-;_-&quot;R$&quot;\ * &quot;-&quot;??_-;_-@_-"/>
    </dxf>
    <dxf>
      <numFmt numFmtId="34" formatCode="_-&quot;R$&quot;\ * #,##0.00_-;\-&quot;R$&quot;\ * #,##0.00_-;_-&quot;R$&quot;\ * &quot;-&quot;??_-;_-@_-"/>
    </dxf>
    <dxf>
      <numFmt numFmtId="34" formatCode="_-&quot;R$&quot;\ * #,##0.00_-;\-&quot;R$&quot;\ * #,##0.00_-;_-&quot;R$&quot;\ * &quot;-&quot;??_-;_-@_-"/>
    </dxf>
    <dxf>
      <numFmt numFmtId="34" formatCode="_-&quot;R$&quot;\ * #,##0.00_-;\-&quot;R$&quot;\ * #,##0.00_-;_-&quot;R$&quot;\ * &quot;-&quot;??_-;_-@_-"/>
    </dxf>
    <dxf>
      <numFmt numFmtId="34" formatCode="_-&quot;R$&quot;\ * #,##0.00_-;\-&quot;R$&quot;\ * #,##0.00_-;_-&quot;R$&quot;\ * &quot;-&quot;??_-;_-@_-"/>
    </dxf>
    <dxf>
      <numFmt numFmtId="34" formatCode="_-&quot;R$&quot;\ * #,##0.00_-;\-&quot;R$&quot;\ * #,##0.00_-;_-&quot;R$&quot;\ * &quot;-&quot;??_-;_-@_-"/>
    </dxf>
    <dxf>
      <numFmt numFmtId="34" formatCode="_-&quot;R$&quot;\ * #,##0.00_-;\-&quot;R$&quot;\ * #,##0.00_-;_-&quot;R$&quot;\ * &quot;-&quot;??_-;_-@_-"/>
    </dxf>
    <dxf>
      <numFmt numFmtId="34" formatCode="_-&quot;R$&quot;\ * #,##0.00_-;\-&quot;R$&quot;\ * #,##0.00_-;_-&quot;R$&quot;\ * &quot;-&quot;??_-;_-@_-"/>
    </dxf>
    <dxf>
      <numFmt numFmtId="34" formatCode="_-&quot;R$&quot;\ * #,##0.00_-;\-&quot;R$&quot;\ * #,##0.00_-;_-&quot;R$&quot;\ * &quot;-&quot;??_-;_-@_-"/>
    </dxf>
    <dxf>
      <numFmt numFmtId="34" formatCode="_-&quot;R$&quot;\ * #,##0.00_-;\-&quot;R$&quot;\ * #,##0.00_-;_-&quot;R$&quot;\ * &quot;-&quot;??_-;_-@_-"/>
    </dxf>
    <dxf>
      <numFmt numFmtId="34" formatCode="_-&quot;R$&quot;\ * #,##0.00_-;\-&quot;R$&quot;\ * #,##0.00_-;_-&quot;R$&quot;\ * &quot;-&quot;??_-;_-@_-"/>
    </dxf>
    <dxf>
      <numFmt numFmtId="34" formatCode="_-&quot;R$&quot;\ * #,##0.00_-;\-&quot;R$&quot;\ * #,##0.00_-;_-&quot;R$&quot;\ * &quot;-&quot;??_-;_-@_-"/>
    </dxf>
    <dxf>
      <numFmt numFmtId="34" formatCode="_-&quot;R$&quot;\ * #,##0.00_-;\-&quot;R$&quot;\ * #,##0.00_-;_-&quot;R$&quot;\ * &quot;-&quot;??_-;_-@_-"/>
    </dxf>
    <dxf>
      <numFmt numFmtId="34" formatCode="_-&quot;R$&quot;\ * #,##0.00_-;\-&quot;R$&quot;\ * #,##0.00_-;_-&quot;R$&quot;\ * &quot;-&quot;??_-;_-@_-"/>
    </dxf>
    <dxf>
      <numFmt numFmtId="34" formatCode="_-&quot;R$&quot;\ * #,##0.00_-;\-&quot;R$&quot;\ * #,##0.00_-;_-&quot;R$&quot;\ * &quot;-&quot;??_-;_-@_-"/>
    </dxf>
    <dxf>
      <numFmt numFmtId="34" formatCode="_-&quot;R$&quot;\ * #,##0.00_-;\-&quot;R$&quot;\ * #,##0.00_-;_-&quot;R$&quot;\ * &quot;-&quot;??_-;_-@_-"/>
    </dxf>
    <dxf>
      <numFmt numFmtId="34" formatCode="_-&quot;R$&quot;\ * #,##0.00_-;\-&quot;R$&quot;\ * #,##0.00_-;_-&quot;R$&quot;\ * &quot;-&quot;??_-;_-@_-"/>
    </dxf>
    <dxf>
      <numFmt numFmtId="34" formatCode="_-&quot;R$&quot;\ * #,##0.00_-;\-&quot;R$&quot;\ * #,##0.00_-;_-&quot;R$&quot;\ * &quot;-&quot;??_-;_-@_-"/>
    </dxf>
    <dxf>
      <numFmt numFmtId="34" formatCode="_-&quot;R$&quot;\ * #,##0.00_-;\-&quot;R$&quot;\ * #,##0.00_-;_-&quot;R$&quot;\ * &quot;-&quot;??_-;_-@_-"/>
    </dxf>
    <dxf>
      <alignment horizontal="center" vertical="bottom" textRotation="0" wrapText="0" indent="0" justifyLastLine="0" shrinkToFit="0" readingOrder="0"/>
    </dxf>
    <dxf>
      <alignment horizontal="center" vertical="bottom" textRotation="0" wrapText="0" indent="0" justifyLastLine="0" shrinkToFit="0" readingOrder="0"/>
    </dxf>
    <dxf>
      <alignment horizontal="center" vertical="bottom" textRotation="0" wrapText="0" indent="0" justifyLastLine="0" shrinkToFit="0" readingOrder="0"/>
    </dxf>
    <dxf>
      <alignment horizontal="center" vertical="bottom" textRotation="0" wrapText="0" indent="0" justifyLastLine="0" shrinkToFit="0" readingOrder="0"/>
    </dxf>
    <dxf>
      <alignment horizontal="center" vertical="bottom" textRotation="0" wrapText="0" indent="0" justifyLastLine="0" shrinkToFit="0" readingOrder="0"/>
    </dxf>
    <dxf>
      <alignment horizontal="center" vertical="bottom" textRotation="0" wrapText="0" indent="0" justifyLastLine="0" shrinkToFit="0" readingOrder="0"/>
    </dxf>
    <dxf>
      <alignment horizontal="center" vertical="bottom" textRotation="0" wrapText="0" indent="0" justifyLastLine="0" shrinkToFit="0" readingOrder="0"/>
    </dxf>
    <dxf>
      <alignment horizontal="center" vertical="bottom" textRotation="0" wrapText="0" indent="0" justifyLastLine="0" shrinkToFit="0" readingOrder="0"/>
    </dxf>
    <dxf>
      <numFmt numFmtId="1" formatCode="0"/>
      <alignment horizontal="center" vertical="bottom" textRotation="0" wrapText="0" indent="0" justifyLastLine="0" shrinkToFit="0" readingOrder="0"/>
    </dxf>
    <dxf>
      <numFmt numFmtId="1" formatCode="0"/>
      <alignment horizontal="center" vertical="bottom" textRotation="0" wrapText="0" indent="0" justifyLastLine="0" shrinkToFit="0" readingOrder="0"/>
    </dxf>
    <dxf>
      <numFmt numFmtId="34" formatCode="_-&quot;R$&quot;\ * #,##0.00_-;\-&quot;R$&quot;\ * #,##0.00_-;_-&quot;R$&quot;\ * &quot;-&quot;??_-;_-@_-"/>
    </dxf>
    <dxf>
      <numFmt numFmtId="34" formatCode="_-&quot;R$&quot;\ * #,##0.00_-;\-&quot;R$&quot;\ * #,##0.00_-;_-&quot;R$&quot;\ * &quot;-&quot;??_-;_-@_-"/>
    </dxf>
    <dxf>
      <numFmt numFmtId="34" formatCode="_-&quot;R$&quot;\ * #,##0.00_-;\-&quot;R$&quot;\ * #,##0.00_-;_-&quot;R$&quot;\ * &quot;-&quot;??_-;_-@_-"/>
    </dxf>
    <dxf>
      <numFmt numFmtId="34" formatCode="_-&quot;R$&quot;\ * #,##0.00_-;\-&quot;R$&quot;\ * #,##0.00_-;_-&quot;R$&quot;\ * &quot;-&quot;??_-;_-@_-"/>
    </dxf>
    <dxf>
      <numFmt numFmtId="34" formatCode="_-&quot;R$&quot;\ * #,##0.00_-;\-&quot;R$&quot;\ * #,##0.00_-;_-&quot;R$&quot;\ * &quot;-&quot;??_-;_-@_-"/>
    </dxf>
    <dxf>
      <numFmt numFmtId="34" formatCode="_-&quot;R$&quot;\ * #,##0.00_-;\-&quot;R$&quot;\ * #,##0.00_-;_-&quot;R$&quot;\ * &quot;-&quot;??_-;_-@_-"/>
    </dxf>
    <dxf>
      <numFmt numFmtId="34" formatCode="_-&quot;R$&quot;\ * #,##0.00_-;\-&quot;R$&quot;\ * #,##0.00_-;_-&quot;R$&quot;\ * &quot;-&quot;??_-;_-@_-"/>
    </dxf>
    <dxf>
      <numFmt numFmtId="34" formatCode="_-&quot;R$&quot;\ * #,##0.00_-;\-&quot;R$&quot;\ * #,##0.00_-;_-&quot;R$&quot;\ * &quot;-&quot;??_-;_-@_-"/>
    </dxf>
    <dxf>
      <numFmt numFmtId="34" formatCode="_-&quot;R$&quot;\ * #,##0.00_-;\-&quot;R$&quot;\ * #,##0.00_-;_-&quot;R$&quot;\ * &quot;-&quot;??_-;_-@_-"/>
    </dxf>
    <dxf>
      <numFmt numFmtId="34" formatCode="_-&quot;R$&quot;\ * #,##0.00_-;\-&quot;R$&quot;\ * #,##0.00_-;_-&quot;R$&quot;\ * &quot;-&quot;??_-;_-@_-"/>
    </dxf>
    <dxf>
      <numFmt numFmtId="34" formatCode="_-&quot;R$&quot;\ * #,##0.00_-;\-&quot;R$&quot;\ * #,##0.00_-;_-&quot;R$&quot;\ * &quot;-&quot;??_-;_-@_-"/>
    </dxf>
    <dxf>
      <numFmt numFmtId="34" formatCode="_-&quot;R$&quot;\ * #,##0.00_-;\-&quot;R$&quot;\ * #,##0.00_-;_-&quot;R$&quot;\ * &quot;-&quot;??_-;_-@_-"/>
    </dxf>
    <dxf>
      <numFmt numFmtId="34" formatCode="_-&quot;R$&quot;\ * #,##0.00_-;\-&quot;R$&quot;\ * #,##0.00_-;_-&quot;R$&quot;\ * &quot;-&quot;??_-;_-@_-"/>
    </dxf>
    <dxf>
      <numFmt numFmtId="34" formatCode="_-&quot;R$&quot;\ * #,##0.00_-;\-&quot;R$&quot;\ * #,##0.00_-;_-&quot;R$&quot;\ * &quot;-&quot;??_-;_-@_-"/>
    </dxf>
    <dxf>
      <numFmt numFmtId="34" formatCode="_-&quot;R$&quot;\ * #,##0.00_-;\-&quot;R$&quot;\ * #,##0.00_-;_-&quot;R$&quot;\ * &quot;-&quot;??_-;_-@_-"/>
    </dxf>
    <dxf>
      <numFmt numFmtId="34" formatCode="_-&quot;R$&quot;\ * #,##0.00_-;\-&quot;R$&quot;\ * #,##0.00_-;_-&quot;R$&quot;\ * &quot;-&quot;??_-;_-@_-"/>
    </dxf>
    <dxf>
      <numFmt numFmtId="34" formatCode="_-&quot;R$&quot;\ * #,##0.00_-;\-&quot;R$&quot;\ * #,##0.00_-;_-&quot;R$&quot;\ * &quot;-&quot;??_-;_-@_-"/>
    </dxf>
    <dxf>
      <numFmt numFmtId="34" formatCode="_-&quot;R$&quot;\ * #,##0.00_-;\-&quot;R$&quot;\ * #,##0.00_-;_-&quot;R$&quot;\ * &quot;-&quot;??_-;_-@_-"/>
    </dxf>
    <dxf>
      <numFmt numFmtId="34" formatCode="_-&quot;R$&quot;\ * #,##0.00_-;\-&quot;R$&quot;\ * #,##0.00_-;_-&quot;R$&quot;\ * &quot;-&quot;??_-;_-@_-"/>
    </dxf>
    <dxf>
      <numFmt numFmtId="34" formatCode="_-&quot;R$&quot;\ * #,##0.00_-;\-&quot;R$&quot;\ * #,##0.00_-;_-&quot;R$&quot;\ * &quot;-&quot;??_-;_-@_-"/>
    </dxf>
    <dxf>
      <numFmt numFmtId="34" formatCode="_-&quot;R$&quot;\ * #,##0.00_-;\-&quot;R$&quot;\ * #,##0.00_-;_-&quot;R$&quot;\ * &quot;-&quot;??_-;_-@_-"/>
    </dxf>
    <dxf>
      <numFmt numFmtId="34" formatCode="_-&quot;R$&quot;\ * #,##0.00_-;\-&quot;R$&quot;\ * #,##0.00_-;_-&quot;R$&quot;\ * &quot;-&quot;??_-;_-@_-"/>
    </dxf>
    <dxf>
      <numFmt numFmtId="34" formatCode="_-&quot;R$&quot;\ * #,##0.00_-;\-&quot;R$&quot;\ * #,##0.00_-;_-&quot;R$&quot;\ * &quot;-&quot;??_-;_-@_-"/>
    </dxf>
    <dxf>
      <numFmt numFmtId="34" formatCode="_-&quot;R$&quot;\ * #,##0.00_-;\-&quot;R$&quot;\ * #,##0.00_-;_-&quot;R$&quot;\ * &quot;-&quot;??_-;_-@_-"/>
    </dxf>
    <dxf>
      <numFmt numFmtId="34" formatCode="_-&quot;R$&quot;\ * #,##0.00_-;\-&quot;R$&quot;\ * #,##0.00_-;_-&quot;R$&quot;\ * &quot;-&quot;??_-;_-@_-"/>
    </dxf>
    <dxf>
      <numFmt numFmtId="34" formatCode="_-&quot;R$&quot;\ * #,##0.00_-;\-&quot;R$&quot;\ * #,##0.00_-;_-&quot;R$&quot;\ * &quot;-&quot;??_-;_-@_-"/>
    </dxf>
    <dxf>
      <numFmt numFmtId="34" formatCode="_-&quot;R$&quot;\ * #,##0.00_-;\-&quot;R$&quot;\ * #,##0.00_-;_-&quot;R$&quot;\ * &quot;-&quot;??_-;_-@_-"/>
    </dxf>
    <dxf>
      <numFmt numFmtId="34" formatCode="_-&quot;R$&quot;\ * #,##0.00_-;\-&quot;R$&quot;\ * #,##0.00_-;_-&quot;R$&quot;\ * &quot;-&quot;??_-;_-@_-"/>
    </dxf>
    <dxf>
      <numFmt numFmtId="34" formatCode="_-&quot;R$&quot;\ * #,##0.00_-;\-&quot;R$&quot;\ * #,##0.00_-;_-&quot;R$&quot;\ * &quot;-&quot;??_-;_-@_-"/>
    </dxf>
    <dxf>
      <numFmt numFmtId="34" formatCode="_-&quot;R$&quot;\ * #,##0.00_-;\-&quot;R$&quot;\ * #,##0.00_-;_-&quot;R$&quot;\ * &quot;-&quot;??_-;_-@_-"/>
    </dxf>
    <dxf>
      <numFmt numFmtId="34" formatCode="_-&quot;R$&quot;\ * #,##0.00_-;\-&quot;R$&quot;\ * #,##0.00_-;_-&quot;R$&quot;\ * &quot;-&quot;??_-;_-@_-"/>
    </dxf>
    <dxf>
      <numFmt numFmtId="34" formatCode="_-&quot;R$&quot;\ * #,##0.00_-;\-&quot;R$&quot;\ * #,##0.00_-;_-&quot;R$&quot;\ * &quot;-&quot;??_-;_-@_-"/>
    </dxf>
    <dxf>
      <numFmt numFmtId="34" formatCode="_-&quot;R$&quot;\ * #,##0.00_-;\-&quot;R$&quot;\ * #,##0.00_-;_-&quot;R$&quot;\ * &quot;-&quot;??_-;_-@_-"/>
    </dxf>
    <dxf>
      <numFmt numFmtId="34" formatCode="_-&quot;R$&quot;\ * #,##0.00_-;\-&quot;R$&quot;\ * #,##0.00_-;_-&quot;R$&quot;\ * &quot;-&quot;??_-;_-@_-"/>
    </dxf>
    <dxf>
      <numFmt numFmtId="34" formatCode="_-&quot;R$&quot;\ * #,##0.00_-;\-&quot;R$&quot;\ * #,##0.00_-;_-&quot;R$&quot;\ * &quot;-&quot;??_-;_-@_-"/>
    </dxf>
    <dxf>
      <numFmt numFmtId="34" formatCode="_-&quot;R$&quot;\ * #,##0.00_-;\-&quot;R$&quot;\ * #,##0.00_-;_-&quot;R$&quot;\ * &quot;-&quot;??_-;_-@_-"/>
    </dxf>
    <dxf>
      <numFmt numFmtId="34" formatCode="_-&quot;R$&quot;\ * #,##0.00_-;\-&quot;R$&quot;\ * #,##0.00_-;_-&quot;R$&quot;\ * &quot;-&quot;??_-;_-@_-"/>
    </dxf>
    <dxf>
      <numFmt numFmtId="34" formatCode="_-&quot;R$&quot;\ * #,##0.00_-;\-&quot;R$&quot;\ * #,##0.00_-;_-&quot;R$&quot;\ * &quot;-&quot;??_-;_-@_-"/>
    </dxf>
    <dxf>
      <numFmt numFmtId="34" formatCode="_-&quot;R$&quot;\ * #,##0.00_-;\-&quot;R$&quot;\ * #,##0.00_-;_-&quot;R$&quot;\ * &quot;-&quot;??_-;_-@_-"/>
    </dxf>
    <dxf>
      <numFmt numFmtId="34" formatCode="_-&quot;R$&quot;\ * #,##0.00_-;\-&quot;R$&quot;\ * #,##0.00_-;_-&quot;R$&quot;\ * &quot;-&quot;??_-;_-@_-"/>
    </dxf>
    <dxf>
      <numFmt numFmtId="34" formatCode="_-&quot;R$&quot;\ * #,##0.00_-;\-&quot;R$&quot;\ * #,##0.00_-;_-&quot;R$&quot;\ * &quot;-&quot;??_-;_-@_-"/>
    </dxf>
    <dxf>
      <numFmt numFmtId="34" formatCode="_-&quot;R$&quot;\ * #,##0.00_-;\-&quot;R$&quot;\ * #,##0.00_-;_-&quot;R$&quot;\ * &quot;-&quot;??_-;_-@_-"/>
    </dxf>
    <dxf>
      <numFmt numFmtId="34" formatCode="_-&quot;R$&quot;\ * #,##0.00_-;\-&quot;R$&quot;\ * #,##0.00_-;_-&quot;R$&quot;\ * &quot;-&quot;??_-;_-@_-"/>
    </dxf>
    <dxf>
      <numFmt numFmtId="34" formatCode="_-&quot;R$&quot;\ * #,##0.00_-;\-&quot;R$&quot;\ * #,##0.00_-;_-&quot;R$&quot;\ * &quot;-&quot;??_-;_-@_-"/>
    </dxf>
    <dxf>
      <numFmt numFmtId="34" formatCode="_-&quot;R$&quot;\ * #,##0.00_-;\-&quot;R$&quot;\ * #,##0.00_-;_-&quot;R$&quot;\ * &quot;-&quot;??_-;_-@_-"/>
    </dxf>
    <dxf>
      <numFmt numFmtId="34" formatCode="_-&quot;R$&quot;\ * #,##0.00_-;\-&quot;R$&quot;\ * #,##0.00_-;_-&quot;R$&quot;\ * &quot;-&quot;??_-;_-@_-"/>
    </dxf>
    <dxf>
      <numFmt numFmtId="34" formatCode="_-&quot;R$&quot;\ * #,##0.00_-;\-&quot;R$&quot;\ * #,##0.00_-;_-&quot;R$&quot;\ * &quot;-&quot;??_-;_-@_-"/>
    </dxf>
    <dxf>
      <numFmt numFmtId="34" formatCode="_-&quot;R$&quot;\ * #,##0.00_-;\-&quot;R$&quot;\ * #,##0.00_-;_-&quot;R$&quot;\ * &quot;-&quot;??_-;_-@_-"/>
    </dxf>
    <dxf>
      <numFmt numFmtId="34" formatCode="_-&quot;R$&quot;\ * #,##0.00_-;\-&quot;R$&quot;\ * #,##0.00_-;_-&quot;R$&quot;\ * &quot;-&quot;??_-;_-@_-"/>
    </dxf>
    <dxf>
      <numFmt numFmtId="34" formatCode="_-&quot;R$&quot;\ * #,##0.00_-;\-&quot;R$&quot;\ * #,##0.00_-;_-&quot;R$&quot;\ * &quot;-&quot;??_-;_-@_-"/>
    </dxf>
    <dxf>
      <numFmt numFmtId="34" formatCode="_-&quot;R$&quot;\ * #,##0.00_-;\-&quot;R$&quot;\ * #,##0.00_-;_-&quot;R$&quot;\ * &quot;-&quot;??_-;_-@_-"/>
    </dxf>
    <dxf>
      <numFmt numFmtId="34" formatCode="_-&quot;R$&quot;\ * #,##0.00_-;\-&quot;R$&quot;\ * #,##0.00_-;_-&quot;R$&quot;\ * &quot;-&quot;??_-;_-@_-"/>
    </dxf>
    <dxf>
      <numFmt numFmtId="34" formatCode="_-&quot;R$&quot;\ * #,##0.00_-;\-&quot;R$&quot;\ * #,##0.00_-;_-&quot;R$&quot;\ * &quot;-&quot;??_-;_-@_-"/>
    </dxf>
    <dxf>
      <numFmt numFmtId="34" formatCode="_-&quot;R$&quot;\ * #,##0.00_-;\-&quot;R$&quot;\ * #,##0.00_-;_-&quot;R$&quot;\ * &quot;-&quot;??_-;_-@_-"/>
    </dxf>
    <dxf>
      <numFmt numFmtId="34" formatCode="_-&quot;R$&quot;\ * #,##0.00_-;\-&quot;R$&quot;\ * #,##0.00_-;_-&quot;R$&quot;\ * &quot;-&quot;??_-;_-@_-"/>
    </dxf>
    <dxf>
      <numFmt numFmtId="34" formatCode="_-&quot;R$&quot;\ * #,##0.00_-;\-&quot;R$&quot;\ * #,##0.00_-;_-&quot;R$&quot;\ * &quot;-&quot;??_-;_-@_-"/>
    </dxf>
    <dxf>
      <numFmt numFmtId="34" formatCode="_-&quot;R$&quot;\ * #,##0.00_-;\-&quot;R$&quot;\ * #,##0.00_-;_-&quot;R$&quot;\ * &quot;-&quot;??_-;_-@_-"/>
    </dxf>
    <dxf>
      <numFmt numFmtId="34" formatCode="_-&quot;R$&quot;\ * #,##0.00_-;\-&quot;R$&quot;\ * #,##0.00_-;_-&quot;R$&quot;\ * &quot;-&quot;??_-;_-@_-"/>
    </dxf>
    <dxf>
      <numFmt numFmtId="34" formatCode="_-&quot;R$&quot;\ * #,##0.00_-;\-&quot;R$&quot;\ * #,##0.00_-;_-&quot;R$&quot;\ * &quot;-&quot;??_-;_-@_-"/>
    </dxf>
    <dxf>
      <numFmt numFmtId="34" formatCode="_-&quot;R$&quot;\ * #,##0.00_-;\-&quot;R$&quot;\ * #,##0.00_-;_-&quot;R$&quot;\ * &quot;-&quot;??_-;_-@_-"/>
    </dxf>
    <dxf>
      <numFmt numFmtId="34" formatCode="_-&quot;R$&quot;\ * #,##0.00_-;\-&quot;R$&quot;\ * #,##0.00_-;_-&quot;R$&quot;\ * &quot;-&quot;??_-;_-@_-"/>
    </dxf>
    <dxf>
      <numFmt numFmtId="14" formatCode="0.00%"/>
      <alignment horizontal="center" vertical="bottom" textRotation="0" wrapText="0" indent="0" justifyLastLine="0" shrinkToFit="0" readingOrder="0"/>
    </dxf>
    <dxf>
      <numFmt numFmtId="14" formatCode="0.00%"/>
      <alignment horizontal="center" vertical="bottom" textRotation="0" wrapText="0" indent="0" justifyLastLine="0" shrinkToFit="0" readingOrder="0"/>
    </dxf>
    <dxf>
      <numFmt numFmtId="14" formatCode="0.00%"/>
      <alignment horizontal="center" vertical="bottom" textRotation="0" wrapText="0" indent="0" justifyLastLine="0" shrinkToFit="0" readingOrder="0"/>
    </dxf>
    <dxf>
      <numFmt numFmtId="14" formatCode="0.00%"/>
      <alignment horizontal="center" vertical="bottom" textRotation="0" wrapText="0" indent="0" justifyLastLine="0" shrinkToFit="0" readingOrder="0"/>
    </dxf>
    <dxf>
      <numFmt numFmtId="14" formatCode="0.00%"/>
      <alignment horizontal="center" vertical="bottom" textRotation="0" wrapText="0" indent="0" justifyLastLine="0" shrinkToFit="0" readingOrder="0"/>
    </dxf>
    <dxf>
      <numFmt numFmtId="14" formatCode="0.00%"/>
      <alignment horizontal="center" vertical="bottom" textRotation="0" wrapText="0" indent="0" justifyLastLine="0" shrinkToFit="0" readingOrder="0"/>
    </dxf>
    <dxf>
      <numFmt numFmtId="34" formatCode="_-&quot;R$&quot;\ * #,##0.00_-;\-&quot;R$&quot;\ * #,##0.00_-;_-&quot;R$&quot;\ * &quot;-&quot;??_-;_-@_-"/>
    </dxf>
    <dxf>
      <numFmt numFmtId="34" formatCode="_-&quot;R$&quot;\ * #,##0.00_-;\-&quot;R$&quot;\ * #,##0.00_-;_-&quot;R$&quot;\ * &quot;-&quot;??_-;_-@_-"/>
    </dxf>
    <dxf>
      <numFmt numFmtId="34" formatCode="_-&quot;R$&quot;\ * #,##0.00_-;\-&quot;R$&quot;\ * #,##0.00_-;_-&quot;R$&quot;\ * &quot;-&quot;??_-;_-@_-"/>
    </dxf>
    <dxf>
      <numFmt numFmtId="34" formatCode="_-&quot;R$&quot;\ * #,##0.00_-;\-&quot;R$&quot;\ * #,##0.00_-;_-&quot;R$&quot;\ * &quot;-&quot;??_-;_-@_-"/>
    </dxf>
    <dxf>
      <alignment horizontal="center" vertical="bottom" textRotation="0" wrapText="0" indent="0" justifyLastLine="0" shrinkToFit="0" readingOrder="0"/>
    </dxf>
    <dxf>
      <alignment horizontal="center" vertical="bottom" textRotation="0" wrapText="0" indent="0" justifyLastLine="0" shrinkToFit="0" readingOrder="0"/>
    </dxf>
    <dxf>
      <alignment horizontal="center" vertical="bottom" textRotation="0" wrapText="0" indent="0" justifyLastLine="0" shrinkToFit="0" readingOrder="0"/>
    </dxf>
    <dxf>
      <font>
        <b val="0"/>
        <i val="0"/>
        <strike val="0"/>
        <condense val="0"/>
        <extend val="0"/>
        <outline val="0"/>
        <shadow val="0"/>
        <u val="none"/>
        <vertAlign val="baseline"/>
        <sz val="10"/>
        <color auto="1"/>
        <name val="Arial"/>
        <family val="2"/>
        <scheme val="none"/>
      </font>
      <numFmt numFmtId="4" formatCode="#,##0.00"/>
      <alignment horizontal="center" vertical="center" textRotation="0" wrapText="0" indent="0" justifyLastLine="0" shrinkToFit="0" readingOrder="0"/>
    </dxf>
    <dxf>
      <font>
        <b val="0"/>
        <i val="0"/>
        <strike val="0"/>
        <condense val="0"/>
        <extend val="0"/>
        <outline val="0"/>
        <shadow val="0"/>
        <u val="none"/>
        <vertAlign val="baseline"/>
        <sz val="10"/>
        <color auto="1"/>
        <name val="Arial"/>
        <family val="2"/>
        <scheme val="none"/>
      </font>
      <numFmt numFmtId="4" formatCode="#,##0.00"/>
      <alignment horizontal="center" vertical="center" textRotation="0" wrapText="0" indent="0" justifyLastLine="0" shrinkToFit="0" readingOrder="0"/>
    </dxf>
    <dxf>
      <font>
        <b val="0"/>
        <i val="0"/>
        <strike val="0"/>
        <condense val="0"/>
        <extend val="0"/>
        <outline val="0"/>
        <shadow val="0"/>
        <u val="none"/>
        <vertAlign val="baseline"/>
        <sz val="10"/>
        <color auto="1"/>
        <name val="Arial"/>
        <family val="2"/>
        <scheme val="none"/>
      </font>
      <numFmt numFmtId="4" formatCode="#,##0.00"/>
      <alignment horizontal="center" vertical="center" textRotation="0" wrapText="0" indent="0" justifyLastLine="0" shrinkToFit="0" readingOrder="0"/>
    </dxf>
    <dxf>
      <font>
        <b val="0"/>
        <i val="0"/>
        <strike val="0"/>
        <condense val="0"/>
        <extend val="0"/>
        <outline val="0"/>
        <shadow val="0"/>
        <u val="none"/>
        <vertAlign val="baseline"/>
        <sz val="10"/>
        <color auto="1"/>
        <name val="Arial"/>
        <family val="2"/>
        <scheme val="none"/>
      </font>
      <numFmt numFmtId="4" formatCode="#,##0.00"/>
      <alignment horizontal="center" vertical="center" textRotation="0" wrapText="0" indent="0" justifyLastLine="0" shrinkToFit="0" readingOrder="0"/>
    </dxf>
    <dxf>
      <font>
        <b val="0"/>
        <i val="0"/>
        <strike val="0"/>
        <condense val="0"/>
        <extend val="0"/>
        <outline val="0"/>
        <shadow val="0"/>
        <u val="none"/>
        <vertAlign val="baseline"/>
        <sz val="10"/>
        <color auto="1"/>
        <name val="Arial"/>
        <family val="2"/>
        <scheme val="none"/>
      </font>
      <numFmt numFmtId="4" formatCode="#,##0.00"/>
      <alignment horizontal="center" vertical="center" textRotation="0" wrapText="0" indent="0" justifyLastLine="0" shrinkToFit="0" readingOrder="0"/>
    </dxf>
    <dxf>
      <font>
        <b val="0"/>
        <i val="0"/>
        <strike val="0"/>
        <condense val="0"/>
        <extend val="0"/>
        <outline val="0"/>
        <shadow val="0"/>
        <u val="none"/>
        <vertAlign val="baseline"/>
        <sz val="10"/>
        <color auto="1"/>
        <name val="Arial"/>
        <family val="2"/>
        <scheme val="none"/>
      </font>
      <numFmt numFmtId="4" formatCode="#,##0.00"/>
      <alignment horizontal="center" vertical="center" textRotation="0" wrapText="0" indent="0" justifyLastLine="0" shrinkToFit="0" readingOrder="0"/>
    </dxf>
    <dxf>
      <font>
        <b val="0"/>
        <i val="0"/>
        <strike val="0"/>
        <condense val="0"/>
        <extend val="0"/>
        <outline val="0"/>
        <shadow val="0"/>
        <u val="none"/>
        <vertAlign val="baseline"/>
        <sz val="10"/>
        <color auto="1"/>
        <name val="Arial"/>
        <family val="2"/>
        <scheme val="none"/>
      </font>
      <numFmt numFmtId="4" formatCode="#,##0.00"/>
      <alignment horizontal="center" vertical="center" textRotation="0" wrapText="0" indent="0" justifyLastLine="0" shrinkToFit="0" readingOrder="0"/>
    </dxf>
    <dxf>
      <font>
        <b val="0"/>
        <i val="0"/>
        <strike val="0"/>
        <condense val="0"/>
        <extend val="0"/>
        <outline val="0"/>
        <shadow val="0"/>
        <u val="none"/>
        <vertAlign val="baseline"/>
        <sz val="10"/>
        <color rgb="FF000000"/>
        <name val="Arial"/>
        <family val="2"/>
        <scheme val="none"/>
      </font>
      <alignment horizontal="general" vertical="bottom" textRotation="0" wrapText="1" indent="0" justifyLastLine="0" shrinkToFit="0" readingOrder="0"/>
    </dxf>
    <dxf>
      <font>
        <b val="0"/>
        <i val="0"/>
        <strike val="0"/>
        <condense val="0"/>
        <extend val="0"/>
        <outline val="0"/>
        <shadow val="0"/>
        <u val="none"/>
        <vertAlign val="baseline"/>
        <sz val="10"/>
        <color rgb="FF000000"/>
        <name val="Arial"/>
        <family val="2"/>
        <scheme val="none"/>
      </font>
      <alignment horizontal="general" vertical="bottom" textRotation="0" wrapText="1" indent="0" justifyLastLine="0" shrinkToFit="0" readingOrder="0"/>
    </dxf>
    <dxf>
      <font>
        <b val="0"/>
        <i val="0"/>
        <strike val="0"/>
        <condense val="0"/>
        <extend val="0"/>
        <outline val="0"/>
        <shadow val="0"/>
        <u val="none"/>
        <vertAlign val="baseline"/>
        <sz val="10"/>
        <color rgb="FF000000"/>
        <name val="Arial"/>
        <family val="2"/>
        <scheme val="none"/>
      </font>
      <alignment horizontal="general" vertical="bottom" textRotation="0" wrapText="1" indent="0" justifyLastLine="0" shrinkToFit="0" readingOrder="0"/>
    </dxf>
    <dxf>
      <font>
        <b val="0"/>
        <i val="0"/>
        <strike val="0"/>
        <condense val="0"/>
        <extend val="0"/>
        <outline val="0"/>
        <shadow val="0"/>
        <u val="none"/>
        <vertAlign val="baseline"/>
        <sz val="10"/>
        <color rgb="FF000000"/>
        <name val="Arial"/>
        <family val="2"/>
        <scheme val="none"/>
      </font>
      <alignment horizontal="general" vertical="bottom" textRotation="0" wrapText="1" indent="0" justifyLastLine="0" shrinkToFit="0" readingOrder="0"/>
    </dxf>
    <dxf>
      <font>
        <b val="0"/>
        <i val="0"/>
        <strike val="0"/>
        <condense val="0"/>
        <extend val="0"/>
        <outline val="0"/>
        <shadow val="0"/>
        <u val="none"/>
        <vertAlign val="baseline"/>
        <sz val="10"/>
        <color rgb="FF000000"/>
        <name val="Arial"/>
        <family val="2"/>
        <scheme val="none"/>
      </font>
      <alignment horizontal="general" vertical="bottom" textRotation="0" wrapText="1" indent="0" justifyLastLine="0" shrinkToFit="0" readingOrder="0"/>
    </dxf>
    <dxf>
      <font>
        <b val="0"/>
        <i val="0"/>
        <strike val="0"/>
        <condense val="0"/>
        <extend val="0"/>
        <outline val="0"/>
        <shadow val="0"/>
        <u val="none"/>
        <vertAlign val="baseline"/>
        <sz val="10"/>
        <color auto="1"/>
        <name val="Arial"/>
        <family val="2"/>
        <scheme val="none"/>
      </font>
      <alignment horizontal="center" vertical="center" textRotation="0" wrapText="1" indent="0" justifyLastLine="0" shrinkToFit="0" readingOrder="0"/>
    </dxf>
    <dxf>
      <font>
        <b val="0"/>
        <i val="0"/>
        <strike val="0"/>
        <condense val="0"/>
        <extend val="0"/>
        <outline val="0"/>
        <shadow val="0"/>
        <u val="none"/>
        <vertAlign val="baseline"/>
        <sz val="10"/>
        <color auto="1"/>
        <name val="Arial"/>
        <family val="2"/>
        <scheme val="none"/>
      </font>
      <alignment horizontal="center" vertical="center" textRotation="0" wrapText="1" indent="0" justifyLastLine="0" shrinkToFit="0" readingOrder="0"/>
    </dxf>
    <dxf>
      <font>
        <b val="0"/>
        <i val="0"/>
        <strike val="0"/>
        <condense val="0"/>
        <extend val="0"/>
        <outline val="0"/>
        <shadow val="0"/>
        <u val="none"/>
        <vertAlign val="baseline"/>
        <sz val="10"/>
        <color auto="1"/>
        <name val="Arial"/>
        <family val="2"/>
        <scheme val="none"/>
      </font>
      <alignment horizontal="center" vertical="center" textRotation="0" wrapText="1" indent="0" justifyLastLine="0" shrinkToFit="0" readingOrder="0"/>
    </dxf>
    <dxf>
      <font>
        <b val="0"/>
        <i val="0"/>
        <strike val="0"/>
        <condense val="0"/>
        <extend val="0"/>
        <outline val="0"/>
        <shadow val="0"/>
        <u val="none"/>
        <vertAlign val="baseline"/>
        <sz val="10"/>
        <color auto="1"/>
        <name val="Arial"/>
        <family val="2"/>
        <scheme val="none"/>
      </font>
      <alignment horizontal="center" vertical="center" textRotation="0" wrapText="1" indent="0" justifyLastLine="0" shrinkToFit="0" readingOrder="0"/>
    </dxf>
    <dxf>
      <font>
        <b/>
        <i val="0"/>
      </font>
      <fill>
        <patternFill>
          <bgColor theme="0" tint="-0.24994659260841701"/>
        </patternFill>
      </fill>
      <border>
        <left style="thin">
          <color auto="1"/>
        </left>
        <right style="thin">
          <color auto="1"/>
        </right>
        <top style="thin">
          <color auto="1"/>
        </top>
        <bottom style="thin">
          <color auto="1"/>
        </bottom>
        <vertical/>
        <horizontal/>
      </border>
    </dxf>
    <dxf>
      <border>
        <left style="thin">
          <color auto="1"/>
        </left>
        <right style="thin">
          <color auto="1"/>
        </right>
        <top style="thin">
          <color auto="1"/>
        </top>
        <bottom style="thin">
          <color auto="1"/>
        </bottom>
        <vertical/>
        <horizontal/>
      </border>
    </dxf>
    <dxf>
      <alignment horizontal="center"/>
    </dxf>
    <dxf>
      <font>
        <sz val="11"/>
      </font>
    </dxf>
    <dxf>
      <font>
        <sz val="9"/>
      </font>
      <alignment horizontal="center" vertical="center" wrapText="1"/>
    </dxf>
    <dxf>
      <font>
        <sz val="11"/>
      </font>
    </dxf>
    <dxf>
      <font>
        <sz val="9"/>
      </font>
    </dxf>
    <dxf>
      <alignment horizontal="left"/>
    </dxf>
    <dxf>
      <alignment horizontal="center"/>
    </dxf>
    <dxf>
      <alignment horizontal="center"/>
    </dxf>
    <dxf>
      <alignment horizontal="center" vertical="center" wrapText="1"/>
    </dxf>
    <dxf>
      <alignment wrapText="1"/>
    </dxf>
    <dxf>
      <alignment wrapText="1"/>
    </dxf>
    <dxf>
      <alignment horizontal="center"/>
    </dxf>
    <dxf>
      <alignment horizontal="center"/>
    </dxf>
    <dxf>
      <alignment vertical="center"/>
    </dxf>
    <dxf>
      <alignment vertical="center"/>
    </dxf>
    <dxf>
      <fill>
        <patternFill patternType="none">
          <fgColor indexed="64"/>
          <bgColor auto="1"/>
        </patternFill>
      </fill>
    </dxf>
    <dxf>
      <alignment horizontal="center" vertical="center" textRotation="0" wrapText="1" indent="0" justifyLastLine="0" shrinkToFit="0" readingOrder="0"/>
    </dxf>
    <dxf>
      <border>
        <top style="thin">
          <color indexed="64"/>
        </top>
      </border>
    </dxf>
    <dxf>
      <font>
        <b/>
        <strike val="0"/>
        <outline val="0"/>
        <shadow val="0"/>
        <u val="none"/>
        <vertAlign val="baseline"/>
        <sz val="12"/>
        <color theme="1"/>
        <name val="Aptos Narrow"/>
        <family val="2"/>
        <scheme val="minor"/>
      </font>
    </dxf>
    <dxf>
      <border diagonalUp="0" diagonalDown="0">
        <left style="thin">
          <color indexed="64"/>
        </left>
        <right style="thin">
          <color indexed="64"/>
        </right>
        <top style="thin">
          <color indexed="64"/>
        </top>
        <bottom style="thin">
          <color indexed="64"/>
        </bottom>
      </border>
    </dxf>
    <dxf>
      <border>
        <bottom style="thin">
          <color indexed="64"/>
        </bottom>
      </border>
    </dxf>
    <dxf>
      <border diagonalUp="0" diagonalDown="0">
        <left style="thin">
          <color indexed="64"/>
        </left>
        <right style="thin">
          <color indexed="64"/>
        </right>
        <top/>
        <bottom/>
        <vertical style="thin">
          <color indexed="64"/>
        </vertical>
        <horizontal style="thin">
          <color indexed="64"/>
        </horizontal>
      </border>
    </dxf>
    <dxf>
      <numFmt numFmtId="0" formatCode="General"/>
      <alignment horizontal="center" vertical="center" textRotation="0" wrapText="0" indent="0" justifyLastLine="0" shrinkToFit="0" readingOrder="0"/>
    </dxf>
    <dxf>
      <numFmt numFmtId="0" formatCode="General"/>
      <alignment horizontal="center" vertical="center" textRotation="0" wrapText="0" indent="0" justifyLastLine="0" shrinkToFit="0" readingOrder="0"/>
    </dxf>
    <dxf>
      <numFmt numFmtId="0" formatCode="General"/>
      <alignment horizontal="center" vertical="center" textRotation="0" wrapText="0" indent="0" justifyLastLine="0" shrinkToFit="0" readingOrder="0"/>
    </dxf>
    <dxf>
      <numFmt numFmtId="165" formatCode="yyyy"/>
      <alignment horizontal="center" vertical="center" textRotation="0" wrapText="0" indent="0" justifyLastLine="0" shrinkToFit="0" readingOrder="0"/>
    </dxf>
    <dxf>
      <alignment horizontal="center" vertical="center" textRotation="0" wrapText="0" indent="0" justifyLastLine="0" shrinkToFit="0" readingOrder="0"/>
    </dxf>
    <dxf>
      <alignment horizontal="center" vertical="center" textRotation="0" wrapText="0" indent="0" justifyLastLine="0" shrinkToFit="0" readingOrder="0"/>
    </dxf>
    <dxf>
      <fill>
        <patternFill patternType="none">
          <fgColor indexed="64"/>
          <bgColor auto="1"/>
        </patternFill>
      </fill>
      <alignment horizontal="center" vertical="center" textRotation="0" wrapText="0" indent="0" justifyLastLine="0" shrinkToFit="0" readingOrder="0"/>
    </dxf>
    <dxf>
      <alignment horizontal="center" vertical="center" textRotation="0" wrapText="0" indent="0" justifyLastLine="0" shrinkToFit="0" readingOrder="0"/>
    </dxf>
    <dxf>
      <alignment horizontal="center" vertical="center" textRotation="0" wrapText="0" indent="0" justifyLastLine="0" shrinkToFit="0" readingOrder="0"/>
    </dxf>
    <dxf>
      <numFmt numFmtId="0" formatCode="General"/>
      <alignment horizontal="left" vertical="center" textRotation="0" wrapText="0" indent="0" justifyLastLine="0" shrinkToFit="0" readingOrder="0"/>
    </dxf>
    <dxf>
      <alignment horizontal="left" vertical="center" textRotation="0" wrapText="0" indent="0" justifyLastLine="0" shrinkToFit="0" readingOrder="0"/>
    </dxf>
    <dxf>
      <alignment horizontal="left" vertical="center" textRotation="0" wrapText="0" indent="0" justifyLastLine="0" shrinkToFit="0" readingOrder="0"/>
    </dxf>
    <dxf>
      <alignment horizontal="center" vertical="center" textRotation="0" wrapText="0" indent="0" justifyLastLine="0" shrinkToFit="0" readingOrder="0"/>
    </dxf>
    <dxf>
      <alignment horizontal="center" vertical="center" textRotation="0" wrapText="0" indent="0" justifyLastLine="0" shrinkToFit="0" readingOrder="0"/>
    </dxf>
    <dxf>
      <alignment horizontal="center" vertical="center" textRotation="0" wrapText="1" indent="0" justifyLastLine="0" shrinkToFit="0" readingOrder="0"/>
    </dxf>
    <dxf>
      <font>
        <strike val="0"/>
        <outline val="0"/>
        <shadow val="0"/>
        <u val="none"/>
        <vertAlign val="baseline"/>
        <sz val="11"/>
        <color auto="1"/>
        <name val="Aptos Narrow"/>
        <family val="2"/>
        <scheme val="minor"/>
      </font>
      <numFmt numFmtId="0" formatCode="General"/>
      <alignment horizontal="general" vertical="center" textRotation="0" wrapText="0" indent="0" justifyLastLine="0" shrinkToFit="0" readingOrder="0"/>
    </dxf>
    <dxf>
      <font>
        <strike val="0"/>
        <outline val="0"/>
        <shadow val="0"/>
        <u val="none"/>
        <vertAlign val="baseline"/>
        <sz val="11"/>
        <color auto="1"/>
        <name val="Aptos Narrow"/>
        <family val="2"/>
        <scheme val="minor"/>
      </font>
      <numFmt numFmtId="0" formatCode="General"/>
      <alignment horizontal="center" vertical="center" textRotation="0" wrapText="0" indent="0" justifyLastLine="0" shrinkToFit="0" readingOrder="0"/>
    </dxf>
    <dxf>
      <font>
        <strike val="0"/>
        <outline val="0"/>
        <shadow val="0"/>
        <u val="none"/>
        <vertAlign val="baseline"/>
        <sz val="11"/>
        <color auto="1"/>
        <name val="Aptos Narrow"/>
        <family val="2"/>
        <scheme val="minor"/>
      </font>
      <numFmt numFmtId="0" formatCode="General"/>
      <alignment horizontal="center" vertical="center" textRotation="0" wrapText="0" indent="0" justifyLastLine="0" shrinkToFit="0" readingOrder="0"/>
    </dxf>
    <dxf>
      <font>
        <strike val="0"/>
        <outline val="0"/>
        <shadow val="0"/>
        <u val="none"/>
        <vertAlign val="baseline"/>
        <sz val="11"/>
        <color auto="1"/>
        <name val="Aptos Narrow"/>
        <family val="2"/>
        <scheme val="minor"/>
      </font>
      <numFmt numFmtId="165" formatCode="yyyy"/>
      <alignment horizontal="center" vertical="center" textRotation="0" wrapText="0" indent="0" justifyLastLine="0" shrinkToFit="0" readingOrder="0"/>
    </dxf>
    <dxf>
      <font>
        <strike val="0"/>
        <outline val="0"/>
        <shadow val="0"/>
        <u val="none"/>
        <vertAlign val="baseline"/>
        <sz val="11"/>
        <color auto="1"/>
        <name val="Aptos Narrow"/>
        <family val="2"/>
        <scheme val="minor"/>
      </font>
      <alignment vertical="center" textRotation="0" indent="0" justifyLastLine="0" shrinkToFit="0" readingOrder="0"/>
    </dxf>
    <dxf>
      <font>
        <strike val="0"/>
        <outline val="0"/>
        <shadow val="0"/>
        <u val="none"/>
        <vertAlign val="baseline"/>
        <sz val="11"/>
        <color auto="1"/>
        <name val="Aptos Narrow"/>
        <family val="2"/>
        <scheme val="minor"/>
      </font>
      <alignment vertical="center" textRotation="0" indent="0" justifyLastLine="0" shrinkToFit="0" readingOrder="0"/>
    </dxf>
    <dxf>
      <font>
        <strike val="0"/>
        <outline val="0"/>
        <shadow val="0"/>
        <u val="none"/>
        <vertAlign val="baseline"/>
        <sz val="11"/>
        <color auto="1"/>
        <name val="Aptos Narrow"/>
        <family val="2"/>
        <scheme val="minor"/>
      </font>
      <alignment vertical="center" textRotation="0" indent="0" justifyLastLine="0" shrinkToFit="0" readingOrder="0"/>
    </dxf>
    <dxf>
      <font>
        <strike val="0"/>
        <outline val="0"/>
        <shadow val="0"/>
        <u val="none"/>
        <vertAlign val="baseline"/>
        <sz val="11"/>
        <color auto="1"/>
        <name val="Aptos Narrow"/>
        <family val="2"/>
        <scheme val="minor"/>
      </font>
      <alignment vertical="center" textRotation="0" indent="0" justifyLastLine="0" shrinkToFit="0" readingOrder="0"/>
    </dxf>
    <dxf>
      <font>
        <strike val="0"/>
        <outline val="0"/>
        <shadow val="0"/>
        <u val="none"/>
        <vertAlign val="baseline"/>
        <sz val="11"/>
        <color auto="1"/>
        <name val="Aptos Narrow"/>
        <family val="2"/>
        <scheme val="minor"/>
      </font>
      <alignment vertical="center" textRotation="0" indent="0" justifyLastLine="0" shrinkToFit="0" readingOrder="0"/>
    </dxf>
    <dxf>
      <font>
        <strike val="0"/>
        <outline val="0"/>
        <shadow val="0"/>
        <u val="none"/>
        <vertAlign val="baseline"/>
        <sz val="11"/>
        <color auto="1"/>
        <name val="Aptos Narrow"/>
        <family val="2"/>
        <scheme val="minor"/>
      </font>
      <numFmt numFmtId="0" formatCode="General"/>
      <alignment horizontal="justify" vertical="top" textRotation="0" wrapText="1" indent="0" justifyLastLine="0" shrinkToFit="0" readingOrder="0"/>
    </dxf>
    <dxf>
      <font>
        <strike val="0"/>
        <outline val="0"/>
        <shadow val="0"/>
        <u val="none"/>
        <vertAlign val="baseline"/>
        <sz val="11"/>
        <color auto="1"/>
        <name val="Aptos Narrow"/>
        <family val="2"/>
        <scheme val="minor"/>
      </font>
      <numFmt numFmtId="0" formatCode="General"/>
      <alignment horizontal="justify" vertical="top" textRotation="0" wrapText="0" indent="0" justifyLastLine="0" shrinkToFit="0" readingOrder="0"/>
    </dxf>
    <dxf>
      <font>
        <strike val="0"/>
        <outline val="0"/>
        <shadow val="0"/>
        <u val="none"/>
        <vertAlign val="baseline"/>
        <sz val="11"/>
        <color auto="1"/>
        <name val="Aptos Narrow"/>
        <family val="2"/>
        <scheme val="minor"/>
      </font>
      <alignment horizontal="justify" vertical="top" textRotation="0" wrapText="1" indent="0" justifyLastLine="0" shrinkToFit="0" readingOrder="0"/>
    </dxf>
    <dxf>
      <font>
        <strike val="0"/>
        <outline val="0"/>
        <shadow val="0"/>
        <u val="none"/>
        <vertAlign val="baseline"/>
        <sz val="11"/>
        <color auto="1"/>
        <name val="Aptos Narrow"/>
        <family val="2"/>
        <scheme val="minor"/>
      </font>
      <numFmt numFmtId="0" formatCode="General"/>
      <alignment horizontal="justify" vertical="top" textRotation="0" wrapText="1" indent="0" justifyLastLine="0" shrinkToFit="0" readingOrder="0"/>
    </dxf>
    <dxf>
      <font>
        <strike val="0"/>
        <outline val="0"/>
        <shadow val="0"/>
        <u val="none"/>
        <vertAlign val="baseline"/>
        <sz val="11"/>
        <color auto="1"/>
        <name val="Aptos Narrow"/>
        <family val="2"/>
        <scheme val="minor"/>
      </font>
      <numFmt numFmtId="0" formatCode="General"/>
      <alignment horizontal="general" vertical="center" textRotation="0" wrapText="0" indent="0" justifyLastLine="0" shrinkToFit="0" readingOrder="0"/>
    </dxf>
    <dxf>
      <font>
        <strike val="0"/>
        <outline val="0"/>
        <shadow val="0"/>
        <u val="none"/>
        <vertAlign val="baseline"/>
        <sz val="11"/>
        <color auto="1"/>
        <name val="Aptos Narrow"/>
        <family val="2"/>
        <scheme val="minor"/>
      </font>
      <alignment vertical="center" textRotation="0" indent="0" justifyLastLine="0" shrinkToFit="0" readingOrder="0"/>
    </dxf>
    <dxf>
      <alignment horizontal="center" vertical="center" textRotation="0" wrapText="1" indent="0" justifyLastLine="0" shrinkToFit="0" readingOrder="0"/>
    </dxf>
    <dxf>
      <font>
        <b val="0"/>
        <i val="0"/>
        <strike val="0"/>
        <condense val="0"/>
        <extend val="0"/>
        <outline val="0"/>
        <shadow val="0"/>
        <u val="none"/>
        <vertAlign val="baseline"/>
        <sz val="10"/>
        <color auto="1"/>
        <name val="Arial"/>
        <family val="2"/>
        <scheme val="none"/>
      </font>
      <numFmt numFmtId="4" formatCode="#,##0.00"/>
      <alignment horizontal="center" vertical="center" textRotation="0" wrapText="0" indent="0" justifyLastLine="0" shrinkToFit="0" readingOrder="0"/>
    </dxf>
    <dxf>
      <font>
        <b val="0"/>
        <i val="0"/>
        <strike val="0"/>
        <condense val="0"/>
        <extend val="0"/>
        <outline val="0"/>
        <shadow val="0"/>
        <u val="none"/>
        <vertAlign val="baseline"/>
        <sz val="10"/>
        <color auto="1"/>
        <name val="Arial"/>
        <family val="2"/>
        <scheme val="none"/>
      </font>
      <numFmt numFmtId="4" formatCode="#,##0.00"/>
      <fill>
        <patternFill patternType="none">
          <fgColor indexed="64"/>
          <bgColor auto="1"/>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0"/>
        <color auto="1"/>
        <name val="Arial"/>
        <family val="2"/>
        <scheme val="none"/>
      </font>
      <numFmt numFmtId="4" formatCode="#,##0.00"/>
      <alignment horizontal="center" vertical="center" textRotation="0" wrapText="0" indent="0" justifyLastLine="0" shrinkToFit="0" readingOrder="0"/>
    </dxf>
    <dxf>
      <font>
        <b val="0"/>
        <i val="0"/>
        <strike val="0"/>
        <condense val="0"/>
        <extend val="0"/>
        <outline val="0"/>
        <shadow val="0"/>
        <u val="none"/>
        <vertAlign val="baseline"/>
        <sz val="10"/>
        <color auto="1"/>
        <name val="Arial"/>
        <family val="2"/>
        <scheme val="none"/>
      </font>
      <numFmt numFmtId="4" formatCode="#,##0.00"/>
      <fill>
        <patternFill patternType="none">
          <fgColor indexed="64"/>
          <bgColor auto="1"/>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0"/>
        <color auto="1"/>
        <name val="Arial"/>
        <family val="2"/>
        <scheme val="none"/>
      </font>
      <numFmt numFmtId="4" formatCode="#,##0.00"/>
      <alignment horizontal="center" vertical="center" textRotation="0" wrapText="0" indent="0" justifyLastLine="0" shrinkToFit="0" readingOrder="0"/>
    </dxf>
    <dxf>
      <font>
        <b val="0"/>
        <i val="0"/>
        <strike val="0"/>
        <condense val="0"/>
        <extend val="0"/>
        <outline val="0"/>
        <shadow val="0"/>
        <u val="none"/>
        <vertAlign val="baseline"/>
        <sz val="10"/>
        <color auto="1"/>
        <name val="Arial"/>
        <family val="2"/>
        <scheme val="none"/>
      </font>
      <numFmt numFmtId="4" formatCode="#,##0.00"/>
      <fill>
        <patternFill patternType="none">
          <fgColor indexed="64"/>
          <bgColor auto="1"/>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0"/>
        <color auto="1"/>
        <name val="Arial"/>
        <family val="2"/>
        <scheme val="none"/>
      </font>
      <numFmt numFmtId="4" formatCode="#,##0.00"/>
      <alignment horizontal="center" vertical="center" textRotation="0" wrapText="0" indent="0" justifyLastLine="0" shrinkToFit="0" readingOrder="0"/>
    </dxf>
    <dxf>
      <font>
        <b val="0"/>
        <i val="0"/>
        <strike val="0"/>
        <condense val="0"/>
        <extend val="0"/>
        <outline val="0"/>
        <shadow val="0"/>
        <u val="none"/>
        <vertAlign val="baseline"/>
        <sz val="10"/>
        <color auto="1"/>
        <name val="Arial"/>
        <family val="2"/>
        <scheme val="none"/>
      </font>
      <numFmt numFmtId="4" formatCode="#,##0.00"/>
      <fill>
        <patternFill patternType="none">
          <fgColor indexed="64"/>
          <bgColor auto="1"/>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0"/>
        <color auto="1"/>
        <name val="Arial"/>
        <family val="2"/>
        <scheme val="none"/>
      </font>
      <numFmt numFmtId="4" formatCode="#,##0.00"/>
      <alignment horizontal="center" vertical="center" textRotation="0" wrapText="0" indent="0" justifyLastLine="0" shrinkToFit="0" readingOrder="0"/>
    </dxf>
    <dxf>
      <font>
        <b val="0"/>
        <i val="0"/>
        <strike val="0"/>
        <condense val="0"/>
        <extend val="0"/>
        <outline val="0"/>
        <shadow val="0"/>
        <u val="none"/>
        <vertAlign val="baseline"/>
        <sz val="10"/>
        <color auto="1"/>
        <name val="Arial"/>
        <family val="2"/>
        <scheme val="none"/>
      </font>
      <numFmt numFmtId="4" formatCode="#,##0.00"/>
      <fill>
        <patternFill patternType="none">
          <fgColor indexed="64"/>
          <bgColor auto="1"/>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0"/>
        <color auto="1"/>
        <name val="Arial"/>
        <family val="2"/>
        <scheme val="none"/>
      </font>
      <numFmt numFmtId="4" formatCode="#,##0.00"/>
      <alignment horizontal="center" vertical="center" textRotation="0" wrapText="0" indent="0" justifyLastLine="0" shrinkToFit="0" readingOrder="0"/>
    </dxf>
    <dxf>
      <font>
        <b val="0"/>
        <i val="0"/>
        <strike val="0"/>
        <condense val="0"/>
        <extend val="0"/>
        <outline val="0"/>
        <shadow val="0"/>
        <u val="none"/>
        <vertAlign val="baseline"/>
        <sz val="10"/>
        <color auto="1"/>
        <name val="Arial"/>
        <family val="2"/>
        <scheme val="none"/>
      </font>
      <numFmt numFmtId="4" formatCode="#,##0.00"/>
      <fill>
        <patternFill patternType="none">
          <fgColor indexed="64"/>
          <bgColor auto="1"/>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0"/>
        <color auto="1"/>
        <name val="Arial"/>
        <family val="2"/>
        <scheme val="none"/>
      </font>
      <numFmt numFmtId="4" formatCode="#,##0.00"/>
      <alignment horizontal="center" vertical="center" textRotation="0" wrapText="0" indent="0" justifyLastLine="0" shrinkToFit="0" readingOrder="0"/>
    </dxf>
    <dxf>
      <font>
        <b val="0"/>
        <i val="0"/>
        <strike val="0"/>
        <condense val="0"/>
        <extend val="0"/>
        <outline val="0"/>
        <shadow val="0"/>
        <u val="none"/>
        <vertAlign val="baseline"/>
        <sz val="10"/>
        <color auto="1"/>
        <name val="Arial"/>
        <family val="2"/>
        <scheme val="none"/>
      </font>
      <numFmt numFmtId="4" formatCode="#,##0.00"/>
      <fill>
        <patternFill patternType="solid">
          <fgColor indexed="64"/>
          <bgColor rgb="FFFFFF00"/>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0"/>
        <color rgb="FF000000"/>
        <name val="Arial"/>
        <family val="2"/>
        <scheme val="none"/>
      </font>
      <alignment horizontal="general" vertical="bottom" textRotation="0" wrapText="1" indent="0" justifyLastLine="0" shrinkToFit="0" readingOrder="0"/>
    </dxf>
    <dxf>
      <font>
        <b val="0"/>
        <i val="0"/>
        <strike val="0"/>
        <condense val="0"/>
        <extend val="0"/>
        <outline val="0"/>
        <shadow val="0"/>
        <u val="none"/>
        <vertAlign val="baseline"/>
        <sz val="10"/>
        <color rgb="FF000000"/>
        <name val="Arial"/>
        <family val="2"/>
        <scheme val="none"/>
      </font>
      <fill>
        <patternFill patternType="none">
          <fgColor indexed="64"/>
          <bgColor auto="1"/>
        </patternFill>
      </fill>
      <alignment horizontal="center" vertical="center" textRotation="0" wrapText="1" indent="0" justifyLastLine="0" shrinkToFit="0" readingOrder="0"/>
    </dxf>
    <dxf>
      <font>
        <b val="0"/>
        <i val="0"/>
        <strike val="0"/>
        <condense val="0"/>
        <extend val="0"/>
        <outline val="0"/>
        <shadow val="0"/>
        <u val="none"/>
        <vertAlign val="baseline"/>
        <sz val="10"/>
        <color rgb="FF000000"/>
        <name val="Arial"/>
        <family val="2"/>
        <scheme val="none"/>
      </font>
      <alignment horizontal="general" vertical="bottom" textRotation="0" wrapText="1" indent="0" justifyLastLine="0" shrinkToFit="0" readingOrder="0"/>
    </dxf>
    <dxf>
      <font>
        <b val="0"/>
        <i val="0"/>
        <strike val="0"/>
        <condense val="0"/>
        <extend val="0"/>
        <outline val="0"/>
        <shadow val="0"/>
        <u val="none"/>
        <vertAlign val="baseline"/>
        <sz val="10"/>
        <color rgb="FF000000"/>
        <name val="Arial"/>
        <family val="2"/>
        <scheme val="none"/>
      </font>
      <fill>
        <patternFill patternType="none">
          <fgColor indexed="64"/>
          <bgColor auto="1"/>
        </patternFill>
      </fill>
      <alignment horizontal="center" vertical="center" textRotation="0" wrapText="1" indent="0" justifyLastLine="0" shrinkToFit="0" readingOrder="0"/>
    </dxf>
    <dxf>
      <font>
        <b val="0"/>
        <i val="0"/>
        <strike val="0"/>
        <condense val="0"/>
        <extend val="0"/>
        <outline val="0"/>
        <shadow val="0"/>
        <u val="none"/>
        <vertAlign val="baseline"/>
        <sz val="10"/>
        <color rgb="FF000000"/>
        <name val="Arial"/>
        <family val="2"/>
        <scheme val="none"/>
      </font>
      <alignment horizontal="general" vertical="bottom" textRotation="0" wrapText="1" indent="0" justifyLastLine="0" shrinkToFit="0" readingOrder="0"/>
    </dxf>
    <dxf>
      <font>
        <b val="0"/>
        <i val="0"/>
        <strike val="0"/>
        <condense val="0"/>
        <extend val="0"/>
        <outline val="0"/>
        <shadow val="0"/>
        <u val="none"/>
        <vertAlign val="baseline"/>
        <sz val="10"/>
        <color rgb="FF000000"/>
        <name val="Arial"/>
        <family val="2"/>
        <scheme val="none"/>
      </font>
      <fill>
        <patternFill patternType="none">
          <fgColor indexed="64"/>
          <bgColor indexed="65"/>
        </patternFill>
      </fill>
      <alignment horizontal="center" vertical="center" textRotation="0" wrapText="1" indent="0" justifyLastLine="0" shrinkToFit="0" readingOrder="0"/>
    </dxf>
    <dxf>
      <font>
        <b val="0"/>
        <i val="0"/>
        <strike val="0"/>
        <condense val="0"/>
        <extend val="0"/>
        <outline val="0"/>
        <shadow val="0"/>
        <u val="none"/>
        <vertAlign val="baseline"/>
        <sz val="10"/>
        <color rgb="FF000000"/>
        <name val="Arial"/>
        <family val="2"/>
        <scheme val="none"/>
      </font>
      <alignment horizontal="general" vertical="bottom" textRotation="0" wrapText="1" indent="0" justifyLastLine="0" shrinkToFit="0" readingOrder="0"/>
    </dxf>
    <dxf>
      <font>
        <b val="0"/>
        <i val="0"/>
        <strike val="0"/>
        <condense val="0"/>
        <extend val="0"/>
        <outline val="0"/>
        <shadow val="0"/>
        <u val="none"/>
        <vertAlign val="baseline"/>
        <sz val="10"/>
        <color rgb="FF000000"/>
        <name val="Arial"/>
        <family val="2"/>
        <scheme val="none"/>
      </font>
      <fill>
        <patternFill patternType="none">
          <fgColor indexed="64"/>
          <bgColor indexed="65"/>
        </patternFill>
      </fill>
      <alignment horizontal="center" vertical="center" textRotation="0" wrapText="1" indent="0" justifyLastLine="0" shrinkToFit="0" readingOrder="0"/>
    </dxf>
    <dxf>
      <font>
        <b val="0"/>
        <i val="0"/>
        <strike val="0"/>
        <condense val="0"/>
        <extend val="0"/>
        <outline val="0"/>
        <shadow val="0"/>
        <u val="none"/>
        <vertAlign val="baseline"/>
        <sz val="10"/>
        <color rgb="FF000000"/>
        <name val="Arial"/>
        <family val="2"/>
        <scheme val="none"/>
      </font>
      <alignment horizontal="general" vertical="bottom" textRotation="0" wrapText="1" indent="0" justifyLastLine="0" shrinkToFit="0" readingOrder="0"/>
    </dxf>
    <dxf>
      <font>
        <b val="0"/>
        <i val="0"/>
        <strike val="0"/>
        <condense val="0"/>
        <extend val="0"/>
        <outline val="0"/>
        <shadow val="0"/>
        <u val="none"/>
        <vertAlign val="baseline"/>
        <sz val="10"/>
        <color rgb="FF000000"/>
        <name val="Arial"/>
        <family val="2"/>
        <scheme val="none"/>
      </font>
      <fill>
        <patternFill patternType="none">
          <fgColor indexed="64"/>
          <bgColor auto="1"/>
        </patternFill>
      </fill>
      <alignment horizontal="left" vertical="top" textRotation="0" wrapText="1" indent="0" justifyLastLine="0" shrinkToFit="0" readingOrder="0"/>
    </dxf>
    <dxf>
      <font>
        <b val="0"/>
        <i val="0"/>
        <strike val="0"/>
        <condense val="0"/>
        <extend val="0"/>
        <outline val="0"/>
        <shadow val="0"/>
        <u val="none"/>
        <vertAlign val="baseline"/>
        <sz val="10"/>
        <color auto="1"/>
        <name val="Arial"/>
        <family val="2"/>
        <scheme val="none"/>
      </font>
      <alignment horizontal="center" vertical="center" textRotation="0" wrapText="1" indent="0" justifyLastLine="0" shrinkToFit="0" readingOrder="0"/>
    </dxf>
    <dxf>
      <font>
        <b val="0"/>
        <i val="0"/>
        <strike val="0"/>
        <condense val="0"/>
        <extend val="0"/>
        <outline val="0"/>
        <shadow val="0"/>
        <u val="none"/>
        <vertAlign val="baseline"/>
        <sz val="10"/>
        <color auto="1"/>
        <name val="Arial"/>
        <family val="2"/>
        <scheme val="none"/>
      </font>
      <numFmt numFmtId="3" formatCode="#,##0"/>
      <fill>
        <patternFill patternType="none">
          <fgColor indexed="64"/>
          <bgColor indexed="65"/>
        </patternFill>
      </fill>
      <alignment horizontal="center" vertical="center" textRotation="0" wrapText="1" indent="0" justifyLastLine="0" shrinkToFit="0" readingOrder="0"/>
    </dxf>
    <dxf>
      <font>
        <b val="0"/>
        <i val="0"/>
        <strike val="0"/>
        <condense val="0"/>
        <extend val="0"/>
        <outline val="0"/>
        <shadow val="0"/>
        <u val="none"/>
        <vertAlign val="baseline"/>
        <sz val="10"/>
        <color rgb="FF000000"/>
        <name val="Arial"/>
        <family val="2"/>
        <scheme val="none"/>
      </font>
      <alignment horizontal="general" vertical="bottom" textRotation="0" wrapText="1" indent="0" justifyLastLine="0" shrinkToFit="0" readingOrder="0"/>
    </dxf>
    <dxf>
      <font>
        <b val="0"/>
        <i val="0"/>
        <strike val="0"/>
        <condense val="0"/>
        <extend val="0"/>
        <outline val="0"/>
        <shadow val="0"/>
        <u val="none"/>
        <vertAlign val="baseline"/>
        <sz val="10"/>
        <color rgb="FF000000"/>
        <name val="Arial"/>
        <family val="2"/>
        <scheme val="none"/>
      </font>
      <numFmt numFmtId="3" formatCode="#,##0"/>
      <alignment horizontal="center" vertical="center" textRotation="0" wrapText="1" indent="0" justifyLastLine="0" shrinkToFit="0" readingOrder="0"/>
    </dxf>
    <dxf>
      <font>
        <b val="0"/>
        <i val="0"/>
        <strike val="0"/>
        <condense val="0"/>
        <extend val="0"/>
        <outline val="0"/>
        <shadow val="0"/>
        <u val="none"/>
        <vertAlign val="baseline"/>
        <sz val="10"/>
        <color auto="1"/>
        <name val="Arial"/>
        <family val="2"/>
        <scheme val="none"/>
      </font>
      <alignment horizontal="center" vertical="center" textRotation="0" wrapText="1" indent="0" justifyLastLine="0" shrinkToFit="0" readingOrder="0"/>
    </dxf>
    <dxf>
      <numFmt numFmtId="3" formatCode="#,##0"/>
      <fill>
        <patternFill patternType="none">
          <fgColor indexed="64"/>
          <bgColor auto="1"/>
        </patternFill>
      </fill>
      <alignment horizontal="center" vertical="center" textRotation="0" wrapText="1" indent="0" justifyLastLine="0" shrinkToFit="0" readingOrder="0"/>
    </dxf>
    <dxf>
      <font>
        <b val="0"/>
        <i val="0"/>
        <strike val="0"/>
        <condense val="0"/>
        <extend val="0"/>
        <outline val="0"/>
        <shadow val="0"/>
        <u val="none"/>
        <vertAlign val="baseline"/>
        <sz val="10"/>
        <color auto="1"/>
        <name val="Arial"/>
        <family val="2"/>
        <scheme val="none"/>
      </font>
      <alignment horizontal="center" vertical="center" textRotation="0" wrapText="1" indent="0" justifyLastLine="0" shrinkToFit="0" readingOrder="0"/>
    </dxf>
    <dxf>
      <fill>
        <patternFill patternType="none">
          <fgColor indexed="64"/>
          <bgColor auto="1"/>
        </patternFill>
      </fill>
      <alignment horizontal="center" vertical="center" textRotation="0" wrapText="1" indent="0" justifyLastLine="0" shrinkToFit="0" readingOrder="0"/>
    </dxf>
    <dxf>
      <font>
        <b val="0"/>
        <i val="0"/>
        <strike val="0"/>
        <condense val="0"/>
        <extend val="0"/>
        <outline val="0"/>
        <shadow val="0"/>
        <u val="none"/>
        <vertAlign val="baseline"/>
        <sz val="10"/>
        <color auto="1"/>
        <name val="Arial"/>
        <family val="2"/>
        <scheme val="none"/>
      </font>
      <fill>
        <patternFill patternType="none">
          <fgColor rgb="FF000000"/>
          <bgColor auto="1"/>
        </patternFill>
      </fill>
      <alignment horizontal="center" vertical="center" textRotation="0" wrapText="0" indent="0" justifyLastLine="0" shrinkToFit="0" readingOrder="0"/>
      <protection locked="1" hidden="0"/>
    </dxf>
    <dxf>
      <font>
        <b/>
        <i val="0"/>
        <strike val="0"/>
        <condense val="0"/>
        <extend val="0"/>
        <outline val="0"/>
        <shadow val="0"/>
        <u val="none"/>
        <vertAlign val="baseline"/>
        <sz val="10"/>
        <color auto="1"/>
        <name val="Arial"/>
        <family val="2"/>
        <scheme val="none"/>
      </font>
      <fill>
        <patternFill patternType="none">
          <fgColor indexed="64"/>
          <bgColor auto="1"/>
        </patternFill>
      </fill>
      <alignment horizontal="center" vertical="center" textRotation="0" wrapText="1" indent="0" justifyLastLine="0" shrinkToFit="0" readingOrder="0"/>
      <border diagonalUp="0" diagonalDown="0" outline="0">
        <left style="thin">
          <color indexed="64"/>
        </left>
        <right style="thin">
          <color indexed="64"/>
        </right>
        <top/>
        <bottom/>
      </border>
    </dxf>
    <dxf>
      <font>
        <b val="0"/>
        <i val="0"/>
        <strike val="0"/>
        <condense val="0"/>
        <extend val="0"/>
        <outline val="0"/>
        <shadow val="0"/>
        <u val="none"/>
        <vertAlign val="baseline"/>
        <sz val="10"/>
        <color auto="1"/>
        <name val="Arial"/>
        <family val="2"/>
        <scheme val="none"/>
      </font>
      <numFmt numFmtId="4" formatCode="#,##0.00"/>
      <fill>
        <patternFill patternType="none">
          <fgColor indexed="64"/>
          <bgColor auto="1"/>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0"/>
        <color auto="1"/>
        <name val="Arial"/>
        <family val="2"/>
        <scheme val="none"/>
      </font>
      <numFmt numFmtId="4" formatCode="#,##0.00"/>
      <fill>
        <patternFill patternType="none">
          <fgColor indexed="64"/>
          <bgColor auto="1"/>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0"/>
        <color auto="1"/>
        <name val="Arial"/>
        <family val="2"/>
        <scheme val="none"/>
      </font>
      <numFmt numFmtId="4" formatCode="#,##0.00"/>
      <fill>
        <patternFill patternType="none">
          <fgColor indexed="64"/>
          <bgColor auto="1"/>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0"/>
        <color auto="1"/>
        <name val="Arial"/>
        <family val="2"/>
        <scheme val="none"/>
      </font>
      <numFmt numFmtId="4" formatCode="#,##0.00"/>
      <fill>
        <patternFill patternType="none">
          <fgColor indexed="64"/>
          <bgColor auto="1"/>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0"/>
        <color auto="1"/>
        <name val="Arial"/>
        <family val="2"/>
        <scheme val="none"/>
      </font>
      <numFmt numFmtId="4" formatCode="#,##0.00"/>
      <fill>
        <patternFill patternType="none">
          <fgColor indexed="64"/>
          <bgColor auto="1"/>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0"/>
        <color auto="1"/>
        <name val="Arial"/>
        <family val="2"/>
        <scheme val="none"/>
      </font>
      <numFmt numFmtId="4" formatCode="#,##0.00"/>
      <fill>
        <patternFill patternType="none">
          <fgColor indexed="64"/>
          <bgColor auto="1"/>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0"/>
        <color auto="1"/>
        <name val="Arial"/>
        <family val="2"/>
        <scheme val="none"/>
      </font>
      <numFmt numFmtId="4" formatCode="#,##0.00"/>
      <fill>
        <patternFill patternType="solid">
          <fgColor indexed="64"/>
          <bgColor rgb="FFFFFF00"/>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0"/>
        <color rgb="FF000000"/>
        <name val="Arial"/>
        <family val="2"/>
        <scheme val="none"/>
      </font>
      <fill>
        <patternFill patternType="none">
          <fgColor indexed="64"/>
          <bgColor auto="1"/>
        </patternFill>
      </fill>
      <alignment horizontal="center" vertical="center" textRotation="0" wrapText="1" indent="0" justifyLastLine="0" shrinkToFit="0" readingOrder="0"/>
    </dxf>
    <dxf>
      <font>
        <b val="0"/>
        <i val="0"/>
        <strike val="0"/>
        <condense val="0"/>
        <extend val="0"/>
        <outline val="0"/>
        <shadow val="0"/>
        <u val="none"/>
        <vertAlign val="baseline"/>
        <sz val="10"/>
        <color rgb="FF000000"/>
        <name val="Arial"/>
        <family val="2"/>
        <scheme val="none"/>
      </font>
      <fill>
        <patternFill patternType="none">
          <fgColor indexed="64"/>
          <bgColor auto="1"/>
        </patternFill>
      </fill>
      <alignment horizontal="center" vertical="center" textRotation="0" wrapText="1" indent="0" justifyLastLine="0" shrinkToFit="0" readingOrder="0"/>
    </dxf>
    <dxf>
      <font>
        <b val="0"/>
        <i val="0"/>
        <strike val="0"/>
        <condense val="0"/>
        <extend val="0"/>
        <outline val="0"/>
        <shadow val="0"/>
        <u val="none"/>
        <vertAlign val="baseline"/>
        <sz val="10"/>
        <color rgb="FF000000"/>
        <name val="Arial"/>
        <family val="2"/>
        <scheme val="none"/>
      </font>
      <fill>
        <patternFill patternType="none">
          <fgColor indexed="64"/>
          <bgColor indexed="65"/>
        </patternFill>
      </fill>
      <alignment horizontal="center" vertical="center" textRotation="0" wrapText="1" indent="0" justifyLastLine="0" shrinkToFit="0" readingOrder="0"/>
    </dxf>
    <dxf>
      <font>
        <b val="0"/>
        <i val="0"/>
        <strike val="0"/>
        <condense val="0"/>
        <extend val="0"/>
        <outline val="0"/>
        <shadow val="0"/>
        <u val="none"/>
        <vertAlign val="baseline"/>
        <sz val="10"/>
        <color rgb="FF000000"/>
        <name val="Arial"/>
        <family val="2"/>
        <scheme val="none"/>
      </font>
      <fill>
        <patternFill patternType="none">
          <fgColor indexed="64"/>
          <bgColor indexed="65"/>
        </patternFill>
      </fill>
      <alignment horizontal="center" vertical="center" textRotation="0" wrapText="1" indent="0" justifyLastLine="0" shrinkToFit="0" readingOrder="0"/>
    </dxf>
    <dxf>
      <font>
        <b val="0"/>
        <i val="0"/>
        <strike val="0"/>
        <condense val="0"/>
        <extend val="0"/>
        <outline val="0"/>
        <shadow val="0"/>
        <u val="none"/>
        <vertAlign val="baseline"/>
        <sz val="10"/>
        <color rgb="FF000000"/>
        <name val="Arial"/>
        <family val="2"/>
        <scheme val="none"/>
      </font>
      <fill>
        <patternFill patternType="none">
          <fgColor indexed="64"/>
          <bgColor auto="1"/>
        </patternFill>
      </fill>
      <alignment horizontal="left" vertical="top" textRotation="0" wrapText="1" indent="0" justifyLastLine="0" shrinkToFit="0" readingOrder="0"/>
    </dxf>
    <dxf>
      <font>
        <b val="0"/>
        <i val="0"/>
        <strike val="0"/>
        <condense val="0"/>
        <extend val="0"/>
        <outline val="0"/>
        <shadow val="0"/>
        <u val="none"/>
        <vertAlign val="baseline"/>
        <sz val="10"/>
        <color auto="1"/>
        <name val="Arial"/>
        <family val="2"/>
        <scheme val="none"/>
      </font>
      <numFmt numFmtId="3" formatCode="#,##0"/>
      <fill>
        <patternFill patternType="none">
          <fgColor indexed="64"/>
          <bgColor indexed="65"/>
        </patternFill>
      </fill>
      <alignment horizontal="center" vertical="center" textRotation="0" wrapText="1" indent="0" justifyLastLine="0" shrinkToFit="0" readingOrder="0"/>
    </dxf>
    <dxf>
      <numFmt numFmtId="3" formatCode="#,##0"/>
      <alignment horizontal="center" vertical="center" textRotation="0" wrapText="1" indent="0" justifyLastLine="0" shrinkToFit="0" readingOrder="0"/>
    </dxf>
    <dxf>
      <numFmt numFmtId="3" formatCode="#,##0"/>
      <fill>
        <patternFill patternType="none">
          <fgColor indexed="64"/>
          <bgColor auto="1"/>
        </patternFill>
      </fill>
      <alignment horizontal="center" vertical="center" textRotation="0" wrapText="1" indent="0" justifyLastLine="0" shrinkToFit="0" readingOrder="0"/>
    </dxf>
    <dxf>
      <font>
        <sz val="10"/>
        <color auto="1"/>
        <name val="Arial"/>
        <family val="2"/>
        <scheme val="none"/>
      </font>
      <numFmt numFmtId="3" formatCode="#,##0"/>
      <fill>
        <patternFill patternType="none">
          <fgColor indexed="64"/>
          <bgColor auto="1"/>
        </patternFill>
      </fill>
      <alignment horizontal="center" vertical="center" textRotation="0" wrapText="1" indent="0" justifyLastLine="0" shrinkToFit="0" readingOrder="0"/>
    </dxf>
    <dxf>
      <font>
        <b val="0"/>
        <i val="0"/>
        <strike val="0"/>
        <condense val="0"/>
        <extend val="0"/>
        <outline val="0"/>
        <shadow val="0"/>
        <u val="none"/>
        <vertAlign val="baseline"/>
        <sz val="10"/>
        <color auto="1"/>
        <name val="Arial"/>
        <family val="2"/>
        <scheme val="none"/>
      </font>
      <fill>
        <patternFill patternType="none">
          <fgColor indexed="64"/>
          <bgColor auto="1"/>
        </patternFill>
      </fill>
      <alignment horizontal="center" vertical="center" textRotation="0" wrapText="0" indent="0" justifyLastLine="0" shrinkToFit="0" readingOrder="0"/>
      <protection locked="1" hidden="0"/>
    </dxf>
    <dxf>
      <font>
        <b/>
        <i val="0"/>
        <strike val="0"/>
        <condense val="0"/>
        <extend val="0"/>
        <outline val="0"/>
        <shadow val="0"/>
        <u val="none"/>
        <vertAlign val="baseline"/>
        <sz val="10"/>
        <color auto="1"/>
        <name val="Arial"/>
        <family val="2"/>
        <scheme val="none"/>
      </font>
      <fill>
        <patternFill patternType="none">
          <fgColor indexed="64"/>
          <bgColor auto="1"/>
        </patternFill>
      </fill>
      <alignment horizontal="center" vertical="center" textRotation="0" wrapText="1" indent="0" justifyLastLine="0" shrinkToFit="0" readingOrder="0"/>
      <border diagonalUp="0" diagonalDown="0" outline="0">
        <left style="thin">
          <color indexed="64"/>
        </left>
        <right style="thin">
          <color indexed="64"/>
        </right>
        <top/>
        <bottom/>
      </border>
    </dxf>
    <dxf>
      <numFmt numFmtId="169" formatCode="&quot;R$&quot;\ #,##0.00"/>
      <fill>
        <patternFill patternType="none">
          <fgColor indexed="64"/>
          <bgColor auto="1"/>
        </patternFill>
      </fill>
      <alignment horizontal="center" vertical="center" textRotation="0" wrapText="0" indent="0" justifyLastLine="0" shrinkToFit="0" readingOrder="0"/>
    </dxf>
    <dxf>
      <numFmt numFmtId="0" formatCode="General"/>
      <alignment horizontal="center" vertical="center" textRotation="0" wrapText="0" indent="0" justifyLastLine="0" shrinkToFit="0" readingOrder="0"/>
    </dxf>
    <dxf>
      <font>
        <sz val="10"/>
        <color auto="1"/>
        <name val="Arial"/>
        <family val="2"/>
        <scheme val="none"/>
      </font>
      <numFmt numFmtId="169" formatCode="&quot;R$&quot;\ #,##0.00"/>
      <fill>
        <patternFill patternType="none">
          <fgColor indexed="64"/>
          <bgColor indexed="65"/>
        </patternFill>
      </fill>
      <alignment horizontal="center" vertical="center" textRotation="0" wrapText="0" indent="0" justifyLastLine="0" shrinkToFit="0" readingOrder="0"/>
    </dxf>
    <dxf>
      <font>
        <b val="0"/>
        <i val="0"/>
        <strike val="0"/>
        <condense val="0"/>
        <extend val="0"/>
        <outline val="0"/>
        <shadow val="0"/>
        <u val="none"/>
        <vertAlign val="baseline"/>
        <sz val="10"/>
        <color auto="1"/>
        <name val="Arial"/>
        <family val="2"/>
        <scheme val="none"/>
      </font>
      <numFmt numFmtId="169" formatCode="&quot;R$&quot;\ #,##0.00"/>
      <fill>
        <patternFill patternType="none">
          <fgColor indexed="64"/>
          <bgColor indexed="65"/>
        </patternFill>
      </fill>
      <alignment horizontal="center" vertical="center" textRotation="0" wrapText="0" indent="0" justifyLastLine="0" shrinkToFit="0" readingOrder="0"/>
    </dxf>
    <dxf>
      <alignment horizontal="center" vertical="center" textRotation="0" wrapText="0" indent="0" justifyLastLine="0" shrinkToFit="0" readingOrder="0"/>
    </dxf>
    <dxf>
      <numFmt numFmtId="0" formatCode="General"/>
      <fill>
        <patternFill patternType="none">
          <fgColor indexed="64"/>
          <bgColor auto="1"/>
        </patternFill>
      </fill>
      <alignment horizontal="center" vertical="center" textRotation="0" wrapText="0" indent="0" justifyLastLine="0" shrinkToFit="0" readingOrder="0"/>
    </dxf>
    <dxf>
      <numFmt numFmtId="169" formatCode="&quot;R$&quot;\ #,##0.00"/>
      <fill>
        <patternFill patternType="none">
          <fgColor indexed="64"/>
          <bgColor auto="1"/>
        </patternFill>
      </fill>
      <alignment horizontal="center" vertical="center" textRotation="0" wrapText="0" indent="0" justifyLastLine="0" shrinkToFit="0" readingOrder="0"/>
    </dxf>
    <dxf>
      <numFmt numFmtId="169" formatCode="&quot;R$&quot;\ #,##0.00"/>
      <fill>
        <patternFill patternType="solid">
          <fgColor indexed="64"/>
          <bgColor rgb="FFFFFF00"/>
        </patternFill>
      </fill>
      <alignment horizontal="center" vertical="center" textRotation="0" wrapText="0" indent="0" justifyLastLine="0" shrinkToFit="0" readingOrder="0"/>
    </dxf>
    <dxf>
      <numFmt numFmtId="19" formatCode="dd/mm/yyyy"/>
      <alignment horizontal="center" vertical="center" textRotation="0" wrapText="0" indent="0" justifyLastLine="0" shrinkToFit="0" readingOrder="0"/>
    </dxf>
    <dxf>
      <alignment horizontal="left" vertical="center" textRotation="0" wrapText="0" indent="0" justifyLastLine="0" shrinkToFit="0" readingOrder="0"/>
    </dxf>
    <dxf>
      <alignment vertical="center" textRotation="0" wrapText="0" indent="0" justifyLastLine="0" shrinkToFit="0" readingOrder="0"/>
    </dxf>
    <dxf>
      <alignment horizontal="center" vertical="center" textRotation="0" wrapText="0" indent="0" justifyLastLine="0" shrinkToFit="0" readingOrder="0"/>
    </dxf>
    <dxf>
      <font>
        <b/>
        <i val="0"/>
        <strike val="0"/>
        <condense val="0"/>
        <extend val="0"/>
        <outline val="0"/>
        <shadow val="0"/>
        <u val="none"/>
        <vertAlign val="baseline"/>
        <sz val="10"/>
        <color theme="0"/>
        <name val="Arial"/>
        <family val="2"/>
        <scheme val="none"/>
      </font>
      <numFmt numFmtId="0" formatCode="General"/>
      <fill>
        <patternFill patternType="solid">
          <fgColor theme="4"/>
          <bgColor theme="4"/>
        </patternFill>
      </fill>
      <alignment horizontal="center" vertical="center" textRotation="0" wrapText="1" indent="0" justifyLastLine="0" shrinkToFit="0" readingOrder="0"/>
    </dxf>
    <dxf>
      <alignment vertical="top"/>
    </dxf>
    <dxf>
      <alignment vertical="center"/>
    </dxf>
    <dxf>
      <alignment horizontal="center"/>
    </dxf>
    <dxf>
      <alignment horizontal="center"/>
    </dxf>
    <dxf>
      <alignment wrapText="1"/>
    </dxf>
    <dxf>
      <alignment horizontal="center"/>
    </dxf>
    <dxf>
      <alignment horizontal="center"/>
    </dxf>
    <dxf>
      <alignment vertical="center"/>
    </dxf>
    <dxf>
      <alignment horizontal="center"/>
    </dxf>
    <dxf>
      <alignment wrapText="1"/>
    </dxf>
    <dxf>
      <alignment horizontal="center"/>
    </dxf>
    <dxf>
      <numFmt numFmtId="14" formatCode="0.00%"/>
      <alignment horizontal="general" vertical="center" textRotation="0" wrapText="0" indent="0" justifyLastLine="0" shrinkToFit="0" readingOrder="0"/>
    </dxf>
    <dxf>
      <alignment horizontal="general" vertical="center" textRotation="0" wrapText="0" indent="0" justifyLastLine="0" shrinkToFit="0" readingOrder="0"/>
    </dxf>
    <dxf>
      <alignment horizontal="general" vertical="center" textRotation="0" wrapText="0" indent="0" justifyLastLine="0" shrinkToFit="0" readingOrder="0"/>
    </dxf>
    <dxf>
      <alignment horizontal="general" vertical="center" textRotation="0" wrapText="0" indent="0" justifyLastLine="0" shrinkToFit="0" readingOrder="0"/>
    </dxf>
    <dxf>
      <font>
        <b val="0"/>
        <i val="0"/>
        <strike val="0"/>
        <condense val="0"/>
        <extend val="0"/>
        <outline val="0"/>
        <shadow val="0"/>
        <u val="none"/>
        <vertAlign val="baseline"/>
        <sz val="11"/>
        <color theme="1"/>
        <name val="Aptos Narrow"/>
        <family val="2"/>
        <scheme val="minor"/>
      </font>
      <fill>
        <patternFill patternType="none">
          <fgColor indexed="64"/>
          <bgColor auto="1"/>
        </patternFill>
      </fill>
      <alignment horizontal="general" vertical="center" textRotation="0" wrapText="0" indent="0" justifyLastLine="0" shrinkToFit="0" readingOrder="0"/>
      <border diagonalUp="0" diagonalDown="0" outline="0">
        <left style="thin">
          <color indexed="64"/>
        </left>
        <right/>
        <top style="thin">
          <color indexed="64"/>
        </top>
        <bottom style="thin">
          <color indexed="64"/>
        </bottom>
      </border>
    </dxf>
    <dxf>
      <font>
        <b val="0"/>
        <i val="0"/>
        <strike val="0"/>
        <condense val="0"/>
        <extend val="0"/>
        <outline val="0"/>
        <shadow val="0"/>
        <u val="none"/>
        <vertAlign val="baseline"/>
        <sz val="11"/>
        <color theme="1"/>
        <name val="Aptos Narrow"/>
        <family val="2"/>
        <scheme val="minor"/>
      </font>
      <fill>
        <patternFill>
          <fgColor indexed="64"/>
          <bgColor rgb="FFFFFF00"/>
        </patternFill>
      </fill>
      <alignment horizontal="center" vertical="center" textRotation="0" wrapText="0" indent="0" justifyLastLine="0" shrinkToFit="0" readingOrder="0"/>
      <border diagonalUp="0" diagonalDown="0" outline="0">
        <left style="thin">
          <color indexed="64"/>
        </left>
        <right style="thin">
          <color indexed="64"/>
        </right>
        <top style="thin">
          <color auto="1"/>
        </top>
        <bottom style="thin">
          <color auto="1"/>
        </bottom>
      </border>
    </dxf>
    <dxf>
      <font>
        <b val="0"/>
        <i val="0"/>
        <strike val="0"/>
        <condense val="0"/>
        <extend val="0"/>
        <outline val="0"/>
        <shadow val="0"/>
        <u val="none"/>
        <vertAlign val="baseline"/>
        <sz val="11"/>
        <color theme="1"/>
        <name val="Aptos Narrow"/>
        <family val="2"/>
        <scheme val="minor"/>
      </font>
      <fill>
        <patternFill patternType="solid">
          <fgColor indexed="64"/>
          <bgColor rgb="FFFFFF00"/>
        </patternFill>
      </fill>
      <alignment horizontal="center" vertical="center" textRotation="0" wrapText="0" indent="0" justifyLastLine="0" shrinkToFit="0" readingOrder="0"/>
      <border diagonalUp="0" diagonalDown="0" outline="0">
        <left/>
        <right style="thin">
          <color indexed="64"/>
        </right>
        <top style="thin">
          <color indexed="64"/>
        </top>
        <bottom style="thin">
          <color indexed="64"/>
        </bottom>
      </border>
    </dxf>
    <dxf>
      <border outline="0">
        <top style="thin">
          <color indexed="64"/>
        </top>
      </border>
    </dxf>
    <dxf>
      <border outline="0">
        <left style="thin">
          <color auto="1"/>
        </left>
        <right style="thin">
          <color auto="1"/>
        </right>
        <top style="thin">
          <color indexed="64"/>
        </top>
        <bottom style="thin">
          <color indexed="64"/>
        </bottom>
      </border>
    </dxf>
    <dxf>
      <fill>
        <patternFill>
          <fgColor indexed="64"/>
          <bgColor rgb="FFFFFF00"/>
        </patternFill>
      </fill>
    </dxf>
    <dxf>
      <border outline="0">
        <bottom style="thin">
          <color indexed="64"/>
        </bottom>
      </border>
    </dxf>
    <dxf>
      <font>
        <b val="0"/>
        <i val="0"/>
        <strike val="0"/>
        <condense val="0"/>
        <extend val="0"/>
        <outline val="0"/>
        <shadow val="0"/>
        <u val="none"/>
        <vertAlign val="baseline"/>
        <sz val="11"/>
        <color auto="1"/>
        <name val="Arial"/>
        <family val="2"/>
        <scheme val="none"/>
      </font>
      <numFmt numFmtId="14" formatCode="0.00%"/>
      <alignment horizontal="center" vertical="center" textRotation="0" wrapText="0" indent="0" justifyLastLine="0" shrinkToFit="0" readingOrder="0"/>
      <border diagonalUp="0" diagonalDown="0" outline="0">
        <left style="thin">
          <color indexed="64"/>
        </left>
        <right/>
        <top style="thin">
          <color indexed="64"/>
        </top>
        <bottom style="thin">
          <color indexed="64"/>
        </bottom>
      </border>
    </dxf>
    <dxf>
      <font>
        <b/>
        <i val="0"/>
        <strike val="0"/>
        <condense val="0"/>
        <extend val="0"/>
        <outline val="0"/>
        <shadow val="0"/>
        <u val="none"/>
        <vertAlign val="baseline"/>
        <sz val="10"/>
        <color auto="1"/>
        <name val="Arial"/>
        <family val="2"/>
        <scheme val="none"/>
      </font>
      <numFmt numFmtId="19" formatCode="dd/mm/yyyy"/>
      <alignment horizontal="center" vertical="center" textRotation="0" wrapText="0" indent="0" justifyLastLine="0" shrinkToFit="0" readingOrder="0"/>
      <border diagonalUp="0" diagonalDown="0" outline="0">
        <left/>
        <right style="thin">
          <color indexed="64"/>
        </right>
        <top style="thin">
          <color indexed="64"/>
        </top>
        <bottom style="thin">
          <color indexed="64"/>
        </bottom>
      </border>
    </dxf>
    <dxf>
      <font>
        <b val="0"/>
        <i val="0"/>
        <strike val="0"/>
        <condense val="0"/>
        <extend val="0"/>
        <outline val="0"/>
        <shadow val="0"/>
        <u val="none"/>
        <vertAlign val="baseline"/>
        <sz val="12"/>
        <color auto="1"/>
        <name val="Arial"/>
        <family val="2"/>
        <scheme val="none"/>
      </font>
      <numFmt numFmtId="173" formatCode="00"/>
      <alignment horizontal="center" vertical="center" textRotation="0" wrapText="0" indent="0" justifyLastLine="0" shrinkToFit="0" readingOrder="0"/>
      <border diagonalUp="0" diagonalDown="0" outline="0">
        <left/>
        <right/>
        <top style="thin">
          <color indexed="64"/>
        </top>
        <bottom style="thin">
          <color indexed="64"/>
        </bottom>
      </border>
    </dxf>
    <dxf>
      <border outline="0">
        <top style="thin">
          <color indexed="64"/>
        </top>
      </border>
    </dxf>
    <dxf>
      <border outline="0">
        <left style="thin">
          <color auto="1"/>
        </left>
        <right style="thin">
          <color auto="1"/>
        </right>
        <top style="thin">
          <color indexed="64"/>
        </top>
        <bottom style="thin">
          <color indexed="64"/>
        </bottom>
      </border>
    </dxf>
    <dxf>
      <alignment vertical="center" textRotation="0" indent="0" justifyLastLine="0" shrinkToFit="0" readingOrder="0"/>
    </dxf>
    <dxf>
      <border outline="0">
        <bottom style="thin">
          <color indexed="64"/>
        </bottom>
      </border>
    </dxf>
    <dxf>
      <font>
        <b val="0"/>
        <i val="0"/>
        <strike val="0"/>
        <condense val="0"/>
        <extend val="0"/>
        <outline val="0"/>
        <shadow val="0"/>
        <u val="none"/>
        <vertAlign val="baseline"/>
        <sz val="11"/>
        <color auto="1"/>
        <name val="Arial"/>
        <family val="2"/>
        <scheme val="none"/>
      </font>
      <fill>
        <patternFill patternType="solid">
          <fgColor indexed="64"/>
          <bgColor theme="0" tint="-0.14999847407452621"/>
        </patternFill>
      </fill>
      <alignment horizontal="center" vertical="center" textRotation="0" wrapText="1" indent="0" justifyLastLine="0" shrinkToFit="0" readingOrder="0"/>
      <border diagonalUp="0" diagonalDown="0" outline="0">
        <left style="thin">
          <color indexed="64"/>
        </left>
        <right style="thin">
          <color indexed="64"/>
        </right>
        <top/>
        <bottom/>
      </border>
    </dxf>
    <dxf>
      <numFmt numFmtId="171" formatCode="&quot;R$ &quot;#,##0.00_);\(&quot;R$ &quot;#,##0.00\)"/>
      <fill>
        <patternFill patternType="none">
          <fgColor indexed="64"/>
          <bgColor auto="1"/>
        </patternFill>
      </fill>
      <alignment horizontal="center" vertical="center" textRotation="0" wrapText="0" indent="0" justifyLastLine="0" shrinkToFit="0" readingOrder="0"/>
    </dxf>
    <dxf>
      <font>
        <strike val="0"/>
        <outline val="0"/>
        <shadow val="0"/>
        <u val="none"/>
        <vertAlign val="baseline"/>
        <sz val="11"/>
        <color auto="1"/>
        <name val="Aptos Narrow"/>
        <family val="2"/>
        <scheme val="minor"/>
      </font>
      <fill>
        <patternFill patternType="none">
          <fgColor indexed="64"/>
          <bgColor auto="1"/>
        </patternFill>
      </fill>
      <alignment horizontal="center" vertical="center" textRotation="0" wrapText="0" indent="0" justifyLastLine="0" shrinkToFit="0" readingOrder="0"/>
    </dxf>
    <dxf>
      <fill>
        <patternFill patternType="none">
          <fgColor indexed="64"/>
          <bgColor auto="1"/>
        </patternFill>
      </fill>
      <alignment vertical="center" textRotation="0" indent="0" justifyLastLine="0" shrinkToFit="0" readingOrder="0"/>
    </dxf>
    <dxf>
      <font>
        <b val="0"/>
        <i val="0"/>
        <strike val="0"/>
        <condense val="0"/>
        <extend val="0"/>
        <outline val="0"/>
        <shadow val="0"/>
        <u val="none"/>
        <vertAlign val="baseline"/>
        <sz val="10"/>
        <color auto="1"/>
        <name val="Tahoma"/>
        <family val="2"/>
        <scheme val="none"/>
      </font>
      <fill>
        <patternFill patternType="none">
          <fgColor indexed="64"/>
          <bgColor auto="1"/>
        </patternFill>
      </fill>
      <alignment horizontal="left" vertical="center" textRotation="0" wrapText="1" indent="0" justifyLastLine="0" shrinkToFit="0" readingOrder="0"/>
    </dxf>
    <dxf>
      <fill>
        <patternFill patternType="none">
          <fgColor indexed="64"/>
          <bgColor auto="1"/>
        </patternFill>
      </fill>
      <alignment vertical="center" textRotation="0" indent="0" justifyLastLine="0" shrinkToFit="0" readingOrder="0"/>
    </dxf>
    <dxf>
      <font>
        <b/>
        <i val="0"/>
        <strike val="0"/>
        <condense val="0"/>
        <extend val="0"/>
        <outline val="0"/>
        <shadow val="0"/>
        <u val="none"/>
        <vertAlign val="baseline"/>
        <sz val="11"/>
        <color theme="0"/>
        <name val="Aptos Narrow"/>
        <family val="2"/>
        <scheme val="minor"/>
      </font>
      <fill>
        <patternFill patternType="none">
          <fgColor indexed="64"/>
          <bgColor auto="1"/>
        </patternFill>
      </fill>
      <alignment horizontal="center" vertical="center" textRotation="0" wrapText="1" indent="0" justifyLastLine="0" shrinkToFit="0" readingOrder="0"/>
      <border diagonalUp="0" diagonalDown="0" outline="0">
        <left style="thin">
          <color indexed="64"/>
        </left>
        <right style="thin">
          <color indexed="64"/>
        </right>
        <top/>
        <bottom/>
      </border>
    </dxf>
    <dxf>
      <fill>
        <patternFill patternType="none">
          <fgColor indexed="64"/>
          <bgColor auto="1"/>
        </patternFill>
      </fill>
      <alignment vertical="center" textRotation="0" indent="0" justifyLastLine="0" shrinkToFit="0" readingOrder="0"/>
    </dxf>
    <dxf>
      <fill>
        <patternFill patternType="none">
          <fgColor indexed="64"/>
          <bgColor auto="1"/>
        </patternFill>
      </fill>
      <alignment vertical="center" textRotation="0" indent="0" justifyLastLine="0" shrinkToFit="0" readingOrder="0"/>
    </dxf>
    <dxf>
      <font>
        <b/>
        <i val="0"/>
        <strike val="0"/>
        <condense val="0"/>
        <extend val="0"/>
        <outline val="0"/>
        <shadow val="0"/>
        <u val="none"/>
        <vertAlign val="baseline"/>
        <sz val="11"/>
        <color theme="0"/>
        <name val="Aptos Narrow"/>
        <family val="2"/>
        <scheme val="minor"/>
      </font>
      <fill>
        <patternFill patternType="none">
          <fgColor indexed="64"/>
          <bgColor auto="1"/>
        </patternFill>
      </fill>
      <alignment horizontal="center" vertical="center" textRotation="0" wrapText="1" indent="0" justifyLastLine="0" shrinkToFit="0" readingOrder="0"/>
    </dxf>
    <dxf>
      <numFmt numFmtId="30" formatCode="@"/>
      <fill>
        <patternFill patternType="none">
          <fgColor indexed="64"/>
          <bgColor auto="1"/>
        </patternFill>
      </fill>
      <alignment horizontal="center" vertical="center" textRotation="0" wrapText="0" indent="0" justifyLastLine="0" shrinkToFit="0" readingOrder="0"/>
    </dxf>
    <dxf>
      <fill>
        <patternFill patternType="none">
          <fgColor indexed="64"/>
          <bgColor auto="1"/>
        </patternFill>
      </fill>
      <alignment horizontal="center" vertical="center" textRotation="0" wrapText="0" indent="0" justifyLastLine="0" shrinkToFit="0" readingOrder="0"/>
    </dxf>
    <dxf>
      <fill>
        <patternFill patternType="none">
          <fgColor indexed="64"/>
          <bgColor auto="1"/>
        </patternFill>
      </fill>
      <alignment vertical="center" textRotation="0" wrapText="0" indent="0" justifyLastLine="0" shrinkToFit="0" readingOrder="0"/>
    </dxf>
    <dxf>
      <fill>
        <patternFill patternType="none">
          <fgColor indexed="64"/>
          <bgColor auto="1"/>
        </patternFill>
      </fill>
      <alignment vertical="center" textRotation="0" wrapText="0" indent="0" justifyLastLine="0" shrinkToFit="0" readingOrder="0"/>
    </dxf>
    <dxf>
      <font>
        <b/>
        <i val="0"/>
        <strike val="0"/>
        <condense val="0"/>
        <extend val="0"/>
        <outline val="0"/>
        <shadow val="0"/>
        <u val="none"/>
        <vertAlign val="baseline"/>
        <sz val="11"/>
        <color theme="0"/>
        <name val="Aptos Narrow"/>
        <family val="2"/>
        <scheme val="minor"/>
      </font>
      <fill>
        <patternFill patternType="none">
          <fgColor indexed="64"/>
          <bgColor auto="1"/>
        </patternFill>
      </fill>
      <alignment horizontal="center" vertical="center" textRotation="0" wrapText="1" indent="0" justifyLastLine="0" shrinkToFit="0" readingOrder="0"/>
      <border diagonalUp="0" diagonalDown="0" outline="0">
        <left style="thin">
          <color indexed="64"/>
        </left>
        <right style="thin">
          <color indexed="64"/>
        </right>
        <top/>
        <bottom/>
      </border>
    </dxf>
    <dxf>
      <numFmt numFmtId="169" formatCode="&quot;R$&quot;\ #,##0.00"/>
      <fill>
        <patternFill patternType="none">
          <fgColor indexed="64"/>
          <bgColor auto="1"/>
        </patternFill>
      </fill>
      <alignment horizontal="center" vertical="center" textRotation="0" wrapText="0" indent="0" justifyLastLine="0" shrinkToFit="0" readingOrder="0"/>
    </dxf>
    <dxf>
      <numFmt numFmtId="167" formatCode="0.0%"/>
      <fill>
        <patternFill patternType="none">
          <fgColor indexed="64"/>
          <bgColor indexed="65"/>
        </patternFill>
      </fill>
      <alignment horizontal="center" vertical="center" textRotation="0" wrapText="0" indent="0" justifyLastLine="0" shrinkToFit="0" readingOrder="0"/>
    </dxf>
    <dxf>
      <numFmt numFmtId="30" formatCode="@"/>
      <fill>
        <patternFill patternType="none">
          <fgColor indexed="64"/>
          <bgColor auto="1"/>
        </patternFill>
      </fill>
      <alignment horizontal="center" vertical="center" textRotation="0" wrapText="0" indent="0" justifyLastLine="0" shrinkToFit="0" readingOrder="0"/>
    </dxf>
    <dxf>
      <fill>
        <patternFill patternType="none">
          <fgColor indexed="64"/>
          <bgColor auto="1"/>
        </patternFill>
      </fill>
      <alignment horizontal="center" vertical="center" textRotation="0" wrapText="0" indent="0" justifyLastLine="0" shrinkToFit="0" readingOrder="0"/>
    </dxf>
    <dxf>
      <fill>
        <patternFill patternType="none">
          <fgColor indexed="64"/>
          <bgColor auto="1"/>
        </patternFill>
      </fill>
      <alignment horizontal="left" vertical="center" textRotation="0" wrapText="0" indent="0" justifyLastLine="0" shrinkToFit="0" readingOrder="0"/>
    </dxf>
    <dxf>
      <fill>
        <patternFill patternType="none">
          <fgColor indexed="64"/>
          <bgColor auto="1"/>
        </patternFill>
      </fill>
      <alignment vertical="center" textRotation="0" wrapText="0" indent="0" justifyLastLine="0" shrinkToFit="0" readingOrder="0"/>
    </dxf>
    <dxf>
      <font>
        <b/>
        <i val="0"/>
        <strike val="0"/>
        <condense val="0"/>
        <extend val="0"/>
        <outline val="0"/>
        <shadow val="0"/>
        <u val="none"/>
        <vertAlign val="baseline"/>
        <sz val="11"/>
        <color theme="0"/>
        <name val="Aptos Narrow"/>
        <family val="2"/>
        <scheme val="minor"/>
      </font>
      <fill>
        <patternFill patternType="none">
          <fgColor indexed="64"/>
          <bgColor auto="1"/>
        </patternFill>
      </fill>
      <alignment horizontal="center" vertical="center" textRotation="0" wrapText="1" indent="0" justifyLastLine="0" shrinkToFit="0" readingOrder="0"/>
      <border diagonalUp="0" diagonalDown="0" outline="0">
        <left style="thin">
          <color indexed="64"/>
        </left>
        <right style="thin">
          <color indexed="64"/>
        </right>
        <top/>
        <bottom/>
      </border>
    </dxf>
    <dxf>
      <fill>
        <patternFill patternType="none">
          <fgColor indexed="64"/>
          <bgColor auto="1"/>
        </patternFill>
      </fill>
      <alignment horizontal="center" vertical="center" textRotation="0" wrapText="0" indent="0" justifyLastLine="0" shrinkToFit="0" readingOrder="0"/>
    </dxf>
    <dxf>
      <fill>
        <patternFill patternType="none">
          <fgColor indexed="64"/>
          <bgColor auto="1"/>
        </patternFill>
      </fill>
      <alignment horizontal="center" vertical="center" textRotation="0" wrapText="0" indent="0" justifyLastLine="0" shrinkToFit="0" readingOrder="0"/>
    </dxf>
    <dxf>
      <fill>
        <patternFill patternType="none">
          <fgColor indexed="64"/>
          <bgColor auto="1"/>
        </patternFill>
      </fill>
      <alignment horizontal="center" vertical="center" textRotation="0" wrapText="0" indent="0" justifyLastLine="0" shrinkToFit="0" readingOrder="0"/>
    </dxf>
    <dxf>
      <fill>
        <patternFill patternType="none">
          <fgColor indexed="64"/>
          <bgColor auto="1"/>
        </patternFill>
      </fill>
      <alignment vertical="center" textRotation="0" indent="0" justifyLastLine="0" shrinkToFit="0" readingOrder="0"/>
    </dxf>
    <dxf>
      <fill>
        <patternFill patternType="none">
          <fgColor indexed="64"/>
          <bgColor auto="1"/>
        </patternFill>
      </fill>
      <alignment vertical="center" textRotation="0" indent="0" justifyLastLine="0" shrinkToFit="0" readingOrder="0"/>
    </dxf>
  </dxfs>
  <tableStyles count="0" defaultTableStyle="TableStyleMedium2" defaultPivotStyle="PivotStyleLight16"/>
  <colors>
    <mruColors>
      <color rgb="FFDAEEF3"/>
      <color rgb="FFFF0066"/>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externalLink" Target="externalLinks/externalLink1.xml"/><Relationship Id="rId18" Type="http://schemas.openxmlformats.org/officeDocument/2006/relationships/connections" Target="connections.xml"/><Relationship Id="rId26" Type="http://schemas.openxmlformats.org/officeDocument/2006/relationships/customXml" Target="../customXml/item4.xml"/><Relationship Id="rId3" Type="http://schemas.openxmlformats.org/officeDocument/2006/relationships/worksheet" Target="worksheets/sheet3.xml"/><Relationship Id="rId21" Type="http://schemas.openxmlformats.org/officeDocument/2006/relationships/sheetMetadata" Target="metadata.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theme" Target="theme/theme1.xml"/><Relationship Id="rId25" Type="http://schemas.openxmlformats.org/officeDocument/2006/relationships/customXml" Target="../customXml/item3.xml"/><Relationship Id="rId2" Type="http://schemas.openxmlformats.org/officeDocument/2006/relationships/worksheet" Target="worksheets/sheet2.xml"/><Relationship Id="rId16" Type="http://schemas.microsoft.com/office/2007/relationships/slicerCache" Target="slicerCaches/slicerCache1.xml"/><Relationship Id="rId20"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customXml" Target="../customXml/item2.xml"/><Relationship Id="rId5" Type="http://schemas.openxmlformats.org/officeDocument/2006/relationships/worksheet" Target="worksheets/sheet5.xml"/><Relationship Id="rId15" Type="http://schemas.openxmlformats.org/officeDocument/2006/relationships/pivotCacheDefinition" Target="pivotCache/pivotCacheDefinition2.xml"/><Relationship Id="rId23" Type="http://schemas.openxmlformats.org/officeDocument/2006/relationships/customXml" Target="../customXml/item1.xml"/><Relationship Id="rId10" Type="http://schemas.openxmlformats.org/officeDocument/2006/relationships/worksheet" Target="worksheets/sheet10.xml"/><Relationship Id="rId19"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pivotCacheDefinition" Target="pivotCache/pivotCacheDefinition1.xml"/><Relationship Id="rId22" Type="http://schemas.openxmlformats.org/officeDocument/2006/relationships/calcChain" Target="calcChain.xml"/></Relationships>
</file>

<file path=xl/drawings/_rels/drawing2.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editAs="oneCell">
    <xdr:from>
      <xdr:col>11</xdr:col>
      <xdr:colOff>104774</xdr:colOff>
      <xdr:row>16</xdr:row>
      <xdr:rowOff>133350</xdr:rowOff>
    </xdr:from>
    <xdr:to>
      <xdr:col>11</xdr:col>
      <xdr:colOff>3047999</xdr:colOff>
      <xdr:row>29</xdr:row>
      <xdr:rowOff>85726</xdr:rowOff>
    </xdr:to>
    <mc:AlternateContent xmlns:mc="http://schemas.openxmlformats.org/markup-compatibility/2006" xmlns:a14="http://schemas.microsoft.com/office/drawing/2010/main">
      <mc:Choice Requires="a14">
        <xdr:graphicFrame macro="">
          <xdr:nvGraphicFramePr>
            <xdr:cNvPr id="3" name="Cargo">
              <a:extLst>
                <a:ext uri="{FF2B5EF4-FFF2-40B4-BE49-F238E27FC236}">
                  <a16:creationId xmlns:a16="http://schemas.microsoft.com/office/drawing/2014/main" id="{4749BAE4-F5BB-2539-23B8-BC0B4793A568}"/>
                </a:ext>
              </a:extLst>
            </xdr:cNvPr>
            <xdr:cNvGraphicFramePr/>
          </xdr:nvGraphicFramePr>
          <xdr:xfrm>
            <a:off x="0" y="0"/>
            <a:ext cx="0" cy="0"/>
          </xdr:xfrm>
          <a:graphic>
            <a:graphicData uri="http://schemas.microsoft.com/office/drawing/2010/slicer">
              <sle:slicer xmlns:sle="http://schemas.microsoft.com/office/drawing/2010/slicer" name="Cargo"/>
            </a:graphicData>
          </a:graphic>
        </xdr:graphicFrame>
      </mc:Choice>
      <mc:Fallback xmlns="">
        <xdr:sp macro="" textlink="">
          <xdr:nvSpPr>
            <xdr:cNvPr id="0" name=""/>
            <xdr:cNvSpPr>
              <a:spLocks noTextEdit="1"/>
            </xdr:cNvSpPr>
          </xdr:nvSpPr>
          <xdr:spPr>
            <a:xfrm>
              <a:off x="19850099" y="3638550"/>
              <a:ext cx="2943225" cy="2428876"/>
            </a:xfrm>
            <a:prstGeom prst="rect">
              <a:avLst/>
            </a:prstGeom>
            <a:solidFill>
              <a:prstClr val="white"/>
            </a:solidFill>
            <a:ln w="1">
              <a:solidFill>
                <a:prstClr val="green"/>
              </a:solidFill>
            </a:ln>
          </xdr:spPr>
          <xdr:txBody>
            <a:bodyPr vertOverflow="clip" horzOverflow="clip"/>
            <a:lstStyle/>
            <a:p>
              <a:r>
                <a:rPr lang="pt-BR" sz="1100"/>
                <a:t>Esta forma representa uma segmentação de dados. Segmentações de dados têm suporte no Excel 2010 ou versões posteriores.
\Se a forma tiver sido modificada em uma versão anterior do Excel, ou se a pasta de trabalho tiver sido salva no Excel 2003 ou versões anteriores, a segmentação de dados não poderá ser usada.</a:t>
              </a:r>
            </a:p>
          </xdr:txBody>
        </xdr:sp>
      </mc:Fallback>
    </mc:AlternateContent>
    <xdr:clientData/>
  </xdr:twoCellAnchor>
</xdr:wsDr>
</file>

<file path=xl/drawings/drawing2.xml><?xml version="1.0" encoding="utf-8"?>
<xdr:wsDr xmlns:xdr="http://schemas.openxmlformats.org/drawingml/2006/spreadsheetDrawing" xmlns:a="http://schemas.openxmlformats.org/drawingml/2006/main">
  <xdr:twoCellAnchor>
    <xdr:from>
      <xdr:col>0</xdr:col>
      <xdr:colOff>0</xdr:colOff>
      <xdr:row>0</xdr:row>
      <xdr:rowOff>19050</xdr:rowOff>
    </xdr:from>
    <xdr:to>
      <xdr:col>0</xdr:col>
      <xdr:colOff>1362075</xdr:colOff>
      <xdr:row>1</xdr:row>
      <xdr:rowOff>212164</xdr:rowOff>
    </xdr:to>
    <xdr:pic>
      <xdr:nvPicPr>
        <xdr:cNvPr id="2" name="Imagem 1">
          <a:extLst>
            <a:ext uri="{FF2B5EF4-FFF2-40B4-BE49-F238E27FC236}">
              <a16:creationId xmlns:a16="http://schemas.microsoft.com/office/drawing/2014/main" id="{A7DE0FC5-A489-4588-ABBC-67533AB305A6}"/>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0" y="19050"/>
          <a:ext cx="1362075" cy="506879"/>
        </a:xfrm>
        <a:prstGeom prst="rect">
          <a:avLst/>
        </a:prstGeom>
        <a:solidFill>
          <a:srgbClr val="FFFFFF"/>
        </a:solidFill>
        <a:ln w="9525">
          <a:noFill/>
          <a:miter lim="800000"/>
          <a:headEnd/>
          <a:tailEnd/>
        </a:ln>
      </xdr:spPr>
    </xdr:pic>
    <xdr:clientData/>
  </xdr:twoCellAnchor>
</xdr:wsDr>
</file>

<file path=xl/externalLinks/_rels/externalLink1.xml.rels><?xml version="1.0" encoding="UTF-8" standalone="yes"?>
<Relationships xmlns="http://schemas.openxmlformats.org/package/2006/relationships"><Relationship Id="rId2" Type="http://schemas.openxmlformats.org/officeDocument/2006/relationships/externalLinkPath" Target="https://mpmg.sharepoint.com/sites/msteams_d913b2_873858/Documentos%20Compartilhados/General/DOCUMENTOS%20PREPARAT&#211;RIOS%20-%20NOVA%20CONTRATA&#199;&#195;O%20APOIO%20E%20LIMPEZA/APOIO%20-%20NOVO%20TR.xlsx" TargetMode="External"/><Relationship Id="rId1" Type="http://schemas.openxmlformats.org/officeDocument/2006/relationships/externalLinkPath" Target="APOIO%20-%20NOVO%20TR.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alternateUrls>
    <sheetNames>
      <sheetName val="BASE GERAL"/>
      <sheetName val="UNIFORMES"/>
      <sheetName val="INSUMOS JARDINAGEM"/>
      <sheetName val="INSUMOS LAV. VEÍCULO"/>
      <sheetName val="INSUMOS GARÇOM"/>
      <sheetName val="RELAÇÃO SINDICATOS"/>
      <sheetName val="RELAÇÃO POSTOS"/>
      <sheetName val="PARAMETROS"/>
      <sheetName val="CUSTO UNITARIO"/>
      <sheetName val="CUSTO GLOBAL"/>
      <sheetName val="CUSTO GLOBAL1"/>
      <sheetName val="COMPOSIÇÃO DE CUSTOS"/>
      <sheetName val="ORIENTAÇÕES PARA O LICITANTE"/>
      <sheetName val="APOIO - NOVO TR"/>
    </sheetNames>
    <sheetDataSet>
      <sheetData sheetId="0"/>
      <sheetData sheetId="1"/>
      <sheetData sheetId="2"/>
      <sheetData sheetId="3">
        <row r="3">
          <cell r="B3" t="str">
            <v>QUANT ANUAL DO ITEM</v>
          </cell>
        </row>
      </sheetData>
      <sheetData sheetId="4"/>
      <sheetData sheetId="5"/>
      <sheetData sheetId="6"/>
      <sheetData sheetId="7"/>
      <sheetData sheetId="8"/>
      <sheetData sheetId="9"/>
      <sheetData sheetId="10">
        <row r="1">
          <cell r="A1" t="str">
            <v>Código do Posto</v>
          </cell>
        </row>
        <row r="2">
          <cell r="C2" t="str">
            <v>Jardineiro - 100 h</v>
          </cell>
        </row>
      </sheetData>
      <sheetData sheetId="11"/>
      <sheetData sheetId="12"/>
      <sheetData sheetId="13" refreshError="1"/>
    </sheetDataSet>
  </externalBook>
</externalLink>
</file>

<file path=xl/pivotCache/_rels/pivotCacheDefinition1.xml.rels><?xml version="1.0" encoding="UTF-8" standalone="yes"?>
<Relationships xmlns="http://schemas.openxmlformats.org/package/2006/relationships"><Relationship Id="rId3" Type="http://schemas.microsoft.com/office/2019/04/relationships/externalLinkLongPath" Target="APENSO%20VI%20A%20&#8211;%20Planilha%20de%20estimativa%20de%20custos%20e%20de%20composi&#231;&#227;o%20de%20pre&#231;os%20da%20contrata&#231;&#227;o%20-%20LIMPEZA.xlsx?5B61F532" TargetMode="External"/><Relationship Id="rId2" Type="http://schemas.openxmlformats.org/officeDocument/2006/relationships/externalLinkPath" Target="file:///\\5B61F532\APENSO%20VI%20A%20&#8211;%20Planilha%20de%20estimativa%20de%20custos%20e%20de%20composi&#231;&#227;o%20de%20pre&#231;os%20da%20contrata&#231;&#227;o%20-%20LIMPEZA.xlsx" TargetMode="External"/><Relationship Id="rId1" Type="http://schemas.openxmlformats.org/officeDocument/2006/relationships/pivotCacheRecords" Target="pivotCacheRecords1.xml"/></Relationships>
</file>

<file path=xl/pivotCache/_rels/pivotCacheDefinition2.xml.rels><?xml version="1.0" encoding="UTF-8" standalone="yes"?>
<Relationships xmlns="http://schemas.openxmlformats.org/package/2006/relationships"><Relationship Id="rId3" Type="http://schemas.microsoft.com/office/2019/04/relationships/externalLinkLongPath" Target="APENSO%20VI%20A%20&#8211;%20Planilha%20de%20estimativa%20de%20custos%20e%20de%20composi&#231;&#227;o%20de%20pre&#231;os%20da%20contrata&#231;&#227;o%20-%20LIMPEZA.xlsx?5B61F532" TargetMode="External"/><Relationship Id="rId2" Type="http://schemas.openxmlformats.org/officeDocument/2006/relationships/externalLinkPath" Target="file:///\\5B61F532\APENSO%20VI%20A%20&#8211;%20Planilha%20de%20estimativa%20de%20custos%20e%20de%20composi&#231;&#227;o%20de%20pre&#231;os%20da%20contrata&#231;&#227;o%20-%20LIMPEZA.xlsx" TargetMode="External"/><Relationship Id="rId1" Type="http://schemas.openxmlformats.org/officeDocument/2006/relationships/pivotCacheRecords" Target="pivotCacheRecords2.xml"/></Relationships>
</file>

<file path=xl/pivotCache/pivotCacheDefinition1.xml><?xml version="1.0" encoding="utf-8"?>
<pivotCacheDefinition xmlns="http://schemas.openxmlformats.org/spreadsheetml/2006/main" xmlns:r="http://schemas.openxmlformats.org/officeDocument/2006/relationships" xmlns:mc="http://schemas.openxmlformats.org/markup-compatibility/2006" xmlns:xr="http://schemas.microsoft.com/office/spreadsheetml/2014/revision" mc:Ignorable="xr" r:id="rId1" refreshOnLoad="1" refreshedBy="DANIEL LUIZ DA SILVA" refreshedDate="45919.768943981479" createdVersion="8" refreshedVersion="8" minRefreshableVersion="3" recordCount="42" xr:uid="{6D530BAB-62E0-4A10-AF62-9ABAEB7FCD4D}">
  <cacheSource type="worksheet">
    <worksheetSource name="tabUniformes" r:id="rId2"/>
  </cacheSource>
  <cacheFields count="11">
    <cacheField name="Item" numFmtId="0">
      <sharedItems/>
    </cacheField>
    <cacheField name="Tipo" numFmtId="0">
      <sharedItems count="52">
        <s v="Brim, com cós de ajuste por amarração de cordão"/>
        <s v="Malha - PV"/>
        <s v="Moletom aberto"/>
        <s v="Bota de Borracha"/>
        <s v="Calçado Ocupacional de Uso Profissional Tipo Sapato"/>
        <s v="Luva Nitrílica (Cano Médio)"/>
        <s v="Calçado Ocupacional Tipo Botina"/>
        <s v="Óculos de Segurança de Sobreposição Incolor Ou Fumê"/>
        <s v="Bota PVC forrada cano longo" u="1"/>
        <s v="Sapato Ocupacional de uso profissional" u="1"/>
        <s v="Látex natural, com forro flocado de algodão, com punho reto e palma antiderrapante." u="1"/>
        <s v="Botina de segurança em couro com, solado PU com elástico e biqueira em polipropileno" u="1"/>
        <s v="de sobreposição incolor com lente antiembaçante " u="1"/>
        <s v="Botina PVC forrada cano longo" u="1"/>
        <s v="Transparente" u="1"/>
        <s v="Jeans escuro" u="1"/>
        <s v="Algodão e poliéster com revestimento de palma antiderrapante" u="1"/>
        <s v="social" u="1"/>
        <s v="Auricular, tipo concha" u="1"/>
        <s v="Respirador semifacial" u="1"/>
        <s v="PVC, forrada, com cano longo" u="1"/>
        <s v="nitrílicas, com palma antiderrapante, cano longo" u="1"/>
        <s v="Creme protetor dos membros superiores (Grupo 3) para a pele hidrossolúvel e óleo resistente" u="1"/>
        <s v="Branca tela e pala" u="1"/>
        <s v="Manga curta - Brim - com dois bolsos, com inscrição impressa em serigrafia nas costas" u="1"/>
        <s v="vaqueta com raspa, de boa aderência" u="1"/>
        <s v="Brim preto - com dois bolsos, com inscrição impressa &quot;FOTÓGRAFO&quot; em serigrafia nas costas" u="1"/>
        <s v="Sapato social em couro preto- M/F" u="1"/>
        <s v="Manga comprida - Oxford ou poliéster com dois bolsos frontais" u="1"/>
        <s v="Polo em malha de algodão" u="1"/>
        <s v="Filtro combinado para respirador facial" u="1"/>
        <s v="Lombar" u="1"/>
        <s v="Social em tecido poliéster preto" u="1"/>
        <s v="Tênis em lona" u="1"/>
        <s v="nitrílicas, com palma antiderrapante, cano médio" u="1"/>
        <s v="PVC" u="1"/>
        <s v="PFF2 VO" u="1"/>
        <s v="Em TNT com elástico" u="1"/>
        <s v="para eletricista, incolor, antiembaçante, sem material condutor de energia elétrica" u="1"/>
        <s v="Grafil" u="1"/>
        <s v="Oxford" u="1"/>
        <s v="Calça e blusão impermenáveis em PVC para lavagem de veículos" u="1"/>
        <s v="Borboleta em tecido cetim preto" u="1"/>
        <s v="Sapato segurança em couro com elástico" u="1"/>
        <s v="Isolante de borracha, cano longo - Classe 00 (2,5kV)" u="1"/>
        <s v="manuseio de peças cortantes, tipo Flex Cut" u="1"/>
        <s v="Macacão de segurança de polipropileno " u="1"/>
        <s v="Oxford preto, com bolso frontal tipo faca" u="1"/>
        <s v="microfibra para limpeza automotiva " u="1"/>
        <s v="Botina de segurança em couro com biqueira em aço" u="1"/>
        <s v="Em vinil" u="1"/>
        <s v="Oxford modelo social" u="1"/>
      </sharedItems>
    </cacheField>
    <cacheField name="DATA PUBLICAÇÃO" numFmtId="14">
      <sharedItems containsNonDate="0" containsString="0" containsBlank="1"/>
    </cacheField>
    <cacheField name="Valor Inicial" numFmtId="169">
      <sharedItems containsSemiMixedTypes="0" containsString="0" containsNumber="1" minValue="5.49" maxValue="280.04000000000002"/>
    </cacheField>
    <cacheField name="Valor Reajustado" numFmtId="169">
      <sharedItems containsSemiMixedTypes="0" containsString="0" containsNumber="1" minValue="5.49" maxValue="280.04000000000002"/>
    </cacheField>
    <cacheField name="Qtde Anual de Peças" numFmtId="0">
      <sharedItems containsSemiMixedTypes="0" containsString="0" containsNumber="1" containsInteger="1" minValue="1" maxValue="46"/>
    </cacheField>
    <cacheField name="Cargo" numFmtId="0">
      <sharedItems count="57">
        <s v="AUXILIAR DE LIMPEZA - 110 H"/>
        <s v="AUXILIAR DE LIMPEZA - 12 X 36 - DIURNO"/>
        <s v="AUXILIAR DE LIMPEZA - 12 X 36 - NOTURNO"/>
        <s v="AUXILIAR DE LIMPEZA - 150 H"/>
        <s v="AUXILIAR DE LIMPEZA - 220 H"/>
        <s v="AUXILIAR DE LIMPEZA - 75 H"/>
        <s v="LIMPADOR DE VIDROS - 220 H"/>
        <s v="AUXILIAR DE LIMPEZA - 55 H" u="1"/>
        <s v="SERVENTE DE LIMPEZA - 55 H" u="1"/>
        <s v="SERVENTE DE LIMPEZA - 110 H" u="1"/>
        <s v="SERVENTE DE LIMPEZA - 150 H" u="1"/>
        <s v="SERVENTE DE LIMPEZA - 220 H" u="1"/>
        <s v="COPEIRO - 220 H" u="1"/>
        <s v="AUXILIAR DE ARQUIVO II - 150 H" u="1"/>
        <s v="GARCOM - 220 H" u="1"/>
        <s v="ELETRICISTA - 220 H" u="1"/>
        <s v="ASSISTENTE DE QUALIDADE - 220 H" u="1"/>
        <s v="FOTOGRAFO - 150 H" u="1"/>
        <s v="TECNICO DE OPER. DE EQUIP. DE AUDIO E VIDEO - 150 H" u="1"/>
        <s v="ASSISTENTE ADMINISTRATIVO - 150 H" u="1"/>
        <s v="SUPERVISOR DE MANUTENCAO DE VEICULOS I - 220 H" u="1"/>
        <s v="MARCENEIRO - 220 H" u="1"/>
        <s v="AUXILIAR DE MANUTENCAO PREDIAL - 220 H" u="1"/>
        <s v="TECNICO DE MANUTENCAO ELETRONICA II - 220 H" u="1"/>
        <s v="PORTEIRO - 12 X 36 - DIURNO" u="1"/>
        <s v="MOTORISTA - 220 H" u="1"/>
        <s v="CONTINUO - 220 H" u="1"/>
        <s v="AUXILIAR DE CADASTRO E EXPEDICAO - 220 H" u="1"/>
        <s v="RECEPCIONISTA - 220 H" u="1"/>
        <s v="PINTOR - 220 H" u="1"/>
        <s v="DIGITADOR - 150 H" u="1"/>
        <s v="BOMBEIRO HIDRAULICO - 220 H" u="1"/>
        <s v="TECNICO EM EDIFICACOES - 220 H" u="1"/>
        <s v="PEDREIRO - 220 H" u="1"/>
        <s v="SUPERVISOR DE MANUTENCAO DE VEICULOS II - 220 H" u="1"/>
        <s v="ENCARREGADO - 220 H" u="1"/>
        <s v="TECNICO DE MANUTENCAO ELETRONICA I - 220 H" u="1"/>
        <s v="TECNICO EM ELETROTECNICA/ELETRONICA - 220 H" u="1"/>
        <s v="LAVADOR DE VEICULOS - 220 H" u="1"/>
        <s v="AUXILIAR DE ARQUIVO I - 220 H" u="1"/>
        <s v="ASSISTENTE DE COMPRAS - 220 H" u="1"/>
        <s v="RECEPCIONISTA - 150 H" u="1"/>
        <s v="ASSISTENTE ADMINISTRATIVO - 200 H" u="1"/>
        <s v="TECNICO DE LOGISTICA - 220 H" u="1"/>
        <s v="ALMOXARIFE - 220 H" u="1"/>
        <s v="MANOBRISTA - 220 H" u="1"/>
        <s v="TECNICO EM MECANICA/ELETROMECANICA - 220 H" u="1"/>
        <s v="CARREGADOR - 220 H" u="1"/>
        <s v="PORTEIRO - 12 X 36 - NOTURNO" u="1"/>
        <s v="TECNICO EM TRANSACOES IMOBILIARIAS - 220 H" u="1"/>
        <s v="TECNICO DE MANUTENCAO ELETRONICA III - 220 H" u="1"/>
        <s v="MOTORISTA II - 220 H" u="1"/>
        <s v="JARDINEIRO - 220 H" u="1"/>
        <s v="TELEFONISTA - 150 H" u="1"/>
        <s v="OPERADOR DE MAQUINA REPROGRAFICA - 220 H" u="1"/>
        <s v="PORTEIRO - 220 H" u="1"/>
        <s v="COZINHEIRO - 220 H" u="1"/>
      </sharedItems>
    </cacheField>
    <cacheField name="Qtde. funcionários" numFmtId="0">
      <sharedItems containsSemiMixedTypes="0" containsString="0" containsNumber="1" containsInteger="1" minValue="1" maxValue="572" count="46">
        <n v="77"/>
        <n v="2"/>
        <n v="19"/>
        <n v="254"/>
        <n v="79"/>
        <n v="4"/>
        <n v="75" u="1"/>
        <n v="76" u="1"/>
        <n v="252" u="1"/>
        <n v="20" u="1"/>
        <n v="251" u="1"/>
        <n v="80" u="1"/>
        <n v="82" u="1"/>
        <n v="250" u="1"/>
        <n v="103" u="1"/>
        <n v="92" u="1"/>
        <n v="22" u="1"/>
        <n v="83" u="1"/>
        <n v="50" u="1"/>
        <n v="14" u="1"/>
        <n v="188" u="1"/>
        <n v="13" u="1"/>
        <n v="36" u="1"/>
        <n v="5" u="1"/>
        <n v="40" u="1"/>
        <n v="42" u="1"/>
        <n v="15" u="1"/>
        <n v="44" u="1"/>
        <n v="46" u="1"/>
        <n v="6" u="1"/>
        <n v="17" u="1"/>
        <n v="18" u="1"/>
        <n v="572" u="1"/>
        <n v="189" u="1"/>
        <n v="147" u="1"/>
        <n v="1" u="1"/>
        <n v="3" u="1"/>
        <n v="25" u="1"/>
        <n v="9" u="1"/>
        <n v="27" u="1"/>
        <n v="187" u="1"/>
        <n v="10" u="1"/>
        <n v="28" u="1"/>
        <n v="11" u="1"/>
        <n v="30" u="1"/>
        <n v="12" u="1"/>
      </sharedItems>
    </cacheField>
    <cacheField name="Total" numFmtId="169">
      <sharedItems containsSemiMixedTypes="0" containsString="0" containsNumber="1" minValue="61.36" maxValue="83007.199999999997"/>
    </cacheField>
    <cacheField name="Qtde. Geral anual" numFmtId="0">
      <sharedItems containsSemiMixedTypes="0" containsString="0" containsNumber="1" containsInteger="1" minValue="1" maxValue="11684" count="154">
        <n v="154"/>
        <n v="308"/>
        <n v="77"/>
        <n v="1848"/>
        <n v="8"/>
        <n v="16"/>
        <n v="2"/>
        <n v="4"/>
        <n v="92"/>
        <n v="76"/>
        <n v="152"/>
        <n v="19"/>
        <n v="38"/>
        <n v="874"/>
        <n v="1016"/>
        <n v="2032"/>
        <n v="254"/>
        <n v="508"/>
        <n v="11684"/>
        <n v="158"/>
        <n v="316"/>
        <n v="79"/>
        <n v="1896"/>
        <n v="32"/>
        <n v="96"/>
        <n v="150" u="1"/>
        <n v="300" u="1"/>
        <n v="75" u="1"/>
        <n v="1800" u="1"/>
        <n v="48" u="1"/>
        <n v="948" u="1"/>
        <n v="304" u="1"/>
        <n v="912" u="1"/>
        <n v="456" u="1"/>
        <n v="1008" u="1"/>
        <n v="2016" u="1"/>
        <n v="252" u="1"/>
        <n v="504" u="1"/>
        <n v="6048" u="1"/>
        <n v="80" u="1"/>
        <n v="160" u="1"/>
        <n v="20" u="1"/>
        <n v="40" u="1"/>
        <n v="480" u="1"/>
        <n v="1004" u="1"/>
        <n v="2008" u="1"/>
        <n v="251" u="1"/>
        <n v="502" u="1"/>
        <n v="6024" u="1"/>
        <n v="320" u="1"/>
        <n v="960" u="1"/>
        <n v="900" u="1"/>
        <n v="164" u="1"/>
        <n v="1000" u="1"/>
        <n v="328" u="1"/>
        <n v="2000" u="1"/>
        <n v="82" u="1"/>
        <n v="250" u="1"/>
        <n v="500" u="1"/>
        <n v="984" u="1"/>
        <n v="6000" u="1"/>
        <n v="206" u="1"/>
        <n v="184" u="1"/>
        <n v="88" u="1"/>
        <n v="412" u="1"/>
        <n v="368" u="1"/>
        <n v="176" u="1"/>
        <n v="103" u="1"/>
        <n v="22" u="1"/>
        <n v="44" u="1"/>
        <n v="1236" u="1"/>
        <n v="1104" u="1"/>
        <n v="528" u="1"/>
        <n v="166" u="1"/>
        <n v="100" u="1"/>
        <n v="56" u="1"/>
        <n v="752" u="1"/>
        <n v="332" u="1"/>
        <n v="200" u="1"/>
        <n v="112" u="1"/>
        <n v="1504" u="1"/>
        <n v="83" u="1"/>
        <n v="50" u="1"/>
        <n v="14" u="1"/>
        <n v="188" u="1"/>
        <n v="28" u="1"/>
        <n v="376" u="1"/>
        <n v="996" u="1"/>
        <n v="600" u="1"/>
        <n v="336" u="1"/>
        <n v="4512" u="1"/>
        <n v="3" u="1"/>
        <n v="294" u="1"/>
        <n v="168" u="1"/>
        <n v="108" u="1"/>
        <n v="68" u="1"/>
        <n v="46" u="1"/>
        <n v="3432" u="1"/>
        <n v="1134" u="1"/>
        <n v="120" u="1"/>
        <n v="52" u="1"/>
        <n v="9" u="1"/>
        <n v="6" u="1"/>
        <n v="1122" u="1"/>
        <n v="1" u="1"/>
        <n v="66" u="1"/>
        <n v="588" u="1"/>
        <n v="216" u="1"/>
        <n v="25" u="1"/>
        <n v="189" u="1"/>
        <n v="162" u="1"/>
        <n v="187" u="1"/>
        <n v="240" u="1"/>
        <n v="104" u="1"/>
        <n v="18" u="1"/>
        <n v="12" u="1"/>
        <n v="5" u="1"/>
        <n v="276" u="1"/>
        <n v="572" u="1"/>
        <n v="90" u="1"/>
        <n v="676" u="1"/>
        <n v="378" u="1"/>
        <n v="324" u="1"/>
        <n v="102" u="1"/>
        <n v="374" u="1"/>
        <n v="1470" u="1"/>
        <n v="208" u="1"/>
        <n v="36" u="1"/>
        <n v="24" u="1"/>
        <n v="15" u="1"/>
        <n v="10" u="1"/>
        <n v="264" u="1"/>
        <n v="180" u="1"/>
        <n v="756" u="1"/>
        <n v="42" u="1"/>
        <n v="27" u="1"/>
        <n v="17" u="1"/>
        <n v="260" u="1"/>
        <n v="748" u="1"/>
        <n v="72" u="1"/>
        <n v="30" u="1"/>
        <n v="13" u="1"/>
        <n v="468" u="1"/>
        <n v="2288" u="1"/>
        <n v="360" u="1"/>
        <n v="147" u="1"/>
        <n v="84" u="1"/>
        <n v="54" u="1"/>
        <n v="34" u="1"/>
        <n v="144" u="1"/>
        <n v="60" u="1"/>
        <n v="26" u="1"/>
        <n v="936" u="1"/>
        <n v="11" u="1"/>
      </sharedItems>
    </cacheField>
    <cacheField name="Valor unit. Mensal" numFmtId="169">
      <sharedItems containsSemiMixedTypes="0" containsString="0" containsNumber="1" minValue="1.2783333333333333" maxValue="46.673333333333339"/>
    </cacheField>
  </cacheFields>
  <extLst>
    <ext xmlns:x14="http://schemas.microsoft.com/office/spreadsheetml/2009/9/main" uri="{725AE2AE-9491-48be-B2B4-4EB974FC3084}">
      <x14:pivotCacheDefinition pivotCacheId="1612167498"/>
    </ext>
  </extLst>
</pivotCacheDefinition>
</file>

<file path=xl/pivotCache/pivotCacheDefinition2.xml><?xml version="1.0" encoding="utf-8"?>
<pivotCacheDefinition xmlns="http://schemas.openxmlformats.org/spreadsheetml/2006/main" xmlns:r="http://schemas.openxmlformats.org/officeDocument/2006/relationships" xmlns:mc="http://schemas.openxmlformats.org/markup-compatibility/2006" xmlns:xr="http://schemas.microsoft.com/office/spreadsheetml/2014/revision" mc:Ignorable="xr" r:id="rId1" refreshOnLoad="1" refreshedBy="DANIEL LUIZ DA SILVA" refreshedDate="45919.768944560186" createdVersion="8" refreshedVersion="8" minRefreshableVersion="3" recordCount="252" xr:uid="{C6855432-330E-4D61-A721-70743BDB0BE1}">
  <cacheSource type="worksheet">
    <worksheetSource name="CUSTO_GLOBAL" r:id="rId2"/>
  </cacheSource>
  <cacheFields count="83">
    <cacheField name="Código do Posto" numFmtId="0">
      <sharedItems/>
    </cacheField>
    <cacheField name="Comarca" numFmtId="0">
      <sharedItems containsBlank="1" count="299">
        <s v="Abaete"/>
        <s v="Abre Campo"/>
        <s v="Aguas Formosas"/>
        <s v="Aimores"/>
        <s v="Aiuruoca"/>
        <s v="Alem Paraiba"/>
        <s v="Alfenas"/>
        <s v="Almenara"/>
        <s v="Alpinopolis"/>
        <s v="Alvinopolis"/>
        <s v="Andradas"/>
        <s v="Andrelandia"/>
        <s v="Aracuai"/>
        <s v="Araguari"/>
        <s v="Araxa"/>
        <s v="Arcos"/>
        <s v="Areado"/>
        <s v="Arinos"/>
        <s v="Baependi"/>
        <s v="Barao de Cocais"/>
        <s v="Barbacena"/>
        <s v="Belo Horizonte"/>
        <s v="Betim"/>
        <s v="Bicas"/>
        <s v="Boa Esperanca"/>
        <s v="Bocaiuva"/>
        <s v="Bom Despacho"/>
        <s v="Bom Sucesso"/>
        <s v="Bonfim"/>
        <s v="Bonfinopolis de Minas"/>
        <s v="Brasilia de Minas"/>
        <s v="Brazopolis"/>
        <s v="Brumadinho"/>
        <s v="Bueno Brandao"/>
        <s v="Buritis"/>
        <s v="Cachoeira de Minas"/>
        <s v="Caete"/>
        <s v="Caldas"/>
        <s v="Camanducaia"/>
        <s v="Cambui"/>
        <s v="Campanha"/>
        <s v="Campo Belo"/>
        <s v="Campos Altos"/>
        <s v="Campos Gerais"/>
        <s v="Canapolis"/>
        <s v="Candeias"/>
        <s v="Capelinha"/>
        <s v="Carandai"/>
        <s v="Carangola"/>
        <s v="Caratinga"/>
        <s v="Carlos Chagas"/>
        <s v="Carmo do Paranaiba"/>
        <s v="Carmo do Rio Claro"/>
        <s v="Carmopolis de Minas"/>
        <s v="Cassia"/>
        <s v="Cataguases"/>
        <s v="Caxambu"/>
        <s v="Claudio"/>
        <s v="Conceicao das Alagoas"/>
        <s v="Conceicao do Mato Dentro"/>
        <s v="Congonhas"/>
        <s v="Conquista"/>
        <s v="Conselheiro Lafaiete"/>
        <s v="Conselheiro Pena"/>
        <s v="Contagem"/>
        <s v="Coracao de Jesus"/>
        <s v="Corinto"/>
        <s v="Coromandel"/>
        <s v="Coronel Fabriciano"/>
        <s v="Cruzilia"/>
        <s v="Curvelo"/>
        <s v="Diamantina"/>
        <s v="Divino"/>
        <s v="Divinopolis"/>
        <s v="Dores do Indaia"/>
        <s v="Eloi Mendes"/>
        <s v="Ervalia"/>
        <s v="Esmeraldas"/>
        <s v="Espinosa"/>
        <s v="Extrema"/>
        <s v="Formiga"/>
        <s v="Francisco Sa"/>
        <s v="Frutal"/>
        <s v="Governador Valadares"/>
        <s v="Grao Mogol"/>
        <s v="Guanhaes"/>
        <s v="Guaranesia"/>
        <s v="Guarani"/>
        <s v="Guaxupe"/>
        <s v="Ibia"/>
        <s v="Ibiraci"/>
        <s v="Ibirite"/>
        <s v="Igarape"/>
        <s v="Inhapim"/>
        <s v="Ipanema"/>
        <s v="Ipatinga"/>
        <s v="Itabira"/>
        <s v="Itabirito"/>
        <s v="Itaguara"/>
        <s v="Itajuba"/>
        <s v="Itamarandiba"/>
        <s v="Itambacuri"/>
        <s v="Itamonte"/>
        <s v="Itapagipe"/>
        <s v="Itapecerica"/>
        <s v="Itauna"/>
        <s v="Ituiutaba"/>
        <s v="Iturama"/>
        <s v="Jaboticatubas"/>
        <s v="Jacinto"/>
        <s v="Janauba"/>
        <s v="Januaria"/>
        <s v="Jequitinhonha"/>
        <s v="Joao Monlevade"/>
        <s v="Joao Pinheiro"/>
        <s v="Juiz de Fora"/>
        <s v="Lagoa da Prata"/>
        <s v="Lagoa Santa"/>
        <s v="Lambari"/>
        <s v="Lavras"/>
        <s v="Luz"/>
        <s v="Machado"/>
        <s v="Malacacheta"/>
        <s v="Manga"/>
        <s v="Manhuacu"/>
        <s v="Manhumirim"/>
        <s v="Mantena"/>
        <s v="Mariana"/>
        <s v="Martinho Campos"/>
        <s v="Mateus Leme"/>
        <s v="Matias Barbosa"/>
        <s v="Matozinhos"/>
        <s v="Minas Novas"/>
        <s v="Miradouro"/>
        <s v="Mirai"/>
        <s v="Monte Azul"/>
        <s v="Monte Belo"/>
        <s v="Monte Carmelo"/>
        <s v="Montes Claros"/>
        <s v="Muriae"/>
        <s v="Mutum"/>
        <s v="Muzambinho"/>
        <s v="Nanuque"/>
        <s v="Natercia"/>
        <s v="Nova Lima"/>
        <s v="Nova Ponte"/>
        <s v="Nova Serrana"/>
        <s v="Novo Cruzeiro"/>
        <s v="Oliveira"/>
        <s v="Ouro Fino"/>
        <s v="Ouro Preto"/>
        <s v="Palma"/>
        <s v="Para de Minas"/>
        <s v="Paracatu"/>
        <s v="Paraguacu"/>
        <s v="Paraopeba"/>
        <s v="Passos"/>
        <s v="Patos de Minas"/>
        <s v="Pecanha"/>
        <s v="Pedra Azul"/>
        <s v="Pedro Leopoldo"/>
        <s v="Perdizes"/>
        <s v="Piranga"/>
        <s v="Pirapora"/>
        <s v="Pitangui"/>
        <s v="Piumhi"/>
        <s v="Poco Fundo"/>
        <s v="Pocos de Caldas"/>
        <s v="Pompeu"/>
        <s v="Ponte Nova"/>
        <s v="Porteirinha"/>
        <s v="Pouso Alegre"/>
        <s v="Prados"/>
        <s v="Presidente Olegario"/>
        <s v="Raul Soares"/>
        <s v="Resplendor"/>
        <s v="Ribeirao das Neves"/>
        <s v="Rio Casca"/>
        <s v="Rio Paranaiba"/>
        <s v="Rio Pomba"/>
        <s v="Rio Vermelho"/>
        <s v="Sabara"/>
        <s v="Sabinopolis"/>
        <s v="Sacramento"/>
        <s v="Salinas"/>
        <s v="Santa Barbara"/>
        <s v="Santa Luzia"/>
        <s v="Santa Maria do Suacui"/>
        <s v="Santa Rita de Caldas"/>
        <s v="Santa Rita do Sapucai"/>
        <s v="Santa Vitoria"/>
        <s v="Santo Antonio do Monte"/>
        <s v="Sao Francisco"/>
        <s v="Sao Goncalo do Sapucai"/>
        <s v="Sao Gotardo"/>
        <s v="Sao Joao da Ponte"/>
        <s v="Sao Joao del Rei"/>
        <s v="Sao Joao Nepomuceno"/>
        <s v="Sao Lourenco"/>
        <s v="Sao Romao"/>
        <s v="Sao Sebastiao do Paraiso"/>
        <s v="Serro"/>
        <s v="Sete Lagoas"/>
        <s v="Taiobeiras"/>
        <s v="Teofilo Otoni"/>
        <s v="Timoteo"/>
        <s v="Tombos"/>
        <s v="Tres Coracoes"/>
        <s v="Tres Pontas"/>
        <s v="Tupaciguara"/>
        <s v="Turmalina"/>
        <s v="Uba"/>
        <s v="Uberaba"/>
        <s v="Uberlandia"/>
        <s v="Unai"/>
        <s v="Varginha"/>
        <s v="Varzea da Palma"/>
        <s v="Vespasiano"/>
        <s v="Vicosa"/>
        <s v="Visconde do Rio Branco"/>
        <s v="Prata" u="1"/>
        <m u="1"/>
        <s v="Itanhomi" u="1"/>
        <s v="Santos Dumont" u="1"/>
        <s v="Espera Feliz" u="1"/>
        <s v="Rio Pardo de Minas" u="1"/>
        <s v="Capinopolis" u="1"/>
        <s v="Conceicao do Rio Verde" u="1"/>
        <s v="Juatuba" u="1"/>
        <s v="Rio Preto" u="1"/>
        <s v="Sao Joao Evangelista" u="1"/>
        <s v="Perdoes" u="1"/>
        <s v="Merces" u="1"/>
        <s v="Jacutinga" u="1"/>
        <s v="Pirapetinga" u="1"/>
        <s v="Carmo de Minas" u="1"/>
        <s v="Alto Rio Doce" u="1"/>
        <s v="Iguatama" u="1"/>
        <s v="Botelhos" u="1"/>
        <s v="Mesquita" u="1"/>
        <s v="Ferros" u="1"/>
        <s v="Monte Santo De Minas" u="1"/>
        <s v="Acucena" u="1"/>
        <s v="Sao Domingos do Prata" u="1"/>
        <s v="Nova Resende" u="1"/>
        <s v="Teixeiras" u="1"/>
        <s v="Mar de Espanha" u="1"/>
        <s v="Lima Duarte" u="1"/>
        <s v="Cristina" u="1"/>
        <s v="Barroso" u="1"/>
        <s v="Carmo da Mata" u="1"/>
        <s v="Buenopolis" u="1"/>
        <s v="Carmo do Cajuru" u="1"/>
        <s v="Montalvania" u="1"/>
        <s v="Rio Piracicaba" u="1"/>
        <s v="Itanhandu" u="1"/>
        <s v="Resende Costa" u="1"/>
        <s v="Jacui" u="1"/>
        <s v="Vazante" u="1"/>
        <s v="Ouro Branco" u="1"/>
        <s v="Tiros" u="1"/>
        <s v="Patrocinio" u="1"/>
        <s v="Itamogi" u="1"/>
        <s v="Monte Siao" u="1"/>
        <s v="Cambuquira" u="1"/>
        <s v="Sao Roque de Minas" u="1"/>
        <s v="Passa Quatro" u="1"/>
        <s v="Medina" u="1"/>
        <s v="Guape" u="1"/>
        <s v="Morada Nova de Minas" u="1"/>
        <s v="Tarumirim" u="1"/>
        <s v="Cabo Verde" u="1"/>
        <s v="Virginopolis" u="1"/>
        <s v="Lajinha" u="1"/>
        <s v="Jaiba" u="1"/>
        <s v="Tres Marias" u="1"/>
        <s v="Pratapolis" u="1"/>
        <s v="Itumirim" u="1"/>
        <s v="Nepomuceno" u="1"/>
        <s v="Galileia" u="1"/>
        <s v="Sao Joao do Paraiso" u="1"/>
        <s v="Borda da Mata" u="1"/>
        <s v="Monte Alegre de Minas" u="1"/>
        <s v="Jequeri" u="1"/>
        <s v="Leopoldina" u="1"/>
        <s v="Bambui" u="1"/>
        <s v="Nova Era" u="1"/>
        <s v="Eugenopolis" u="1"/>
        <s v="Rio Novo" u="1"/>
        <s v="Belo Vale" u="1"/>
        <s v="Pedralva" u="1"/>
        <s v="Estrela Do Sul" u="1"/>
        <s v="Paraisopolis" u="1"/>
        <s v="Entre Rios de Minas" u="1"/>
        <s v="Senador Firmino" u="1"/>
        <s v="Passa Tempo" u="1"/>
        <s v="Campina Verde" u="1"/>
        <s v="Campestre" u="1"/>
        <s v="Silvianopolis" u="1"/>
      </sharedItems>
    </cacheField>
    <cacheField name="Função" numFmtId="0">
      <sharedItems containsBlank="1" count="58">
        <s v="Auxiliar de Limpeza - 110 h"/>
        <s v="Auxiliar de Limpeza - 220 h"/>
        <s v="Auxiliar de Limpeza - 75 h"/>
        <s v="Auxiliar de Limpeza - 150 h"/>
        <s v="Auxiliar de Limpeza - 12 x 36 - Diurno"/>
        <s v="Auxiliar de Limpeza - 12 x 36 - Noturno"/>
        <s v="Limpador de vidros - 220 h"/>
        <m u="1"/>
        <s v="Auxiliar de Limpeza - 55 h" u="1"/>
        <s v="Servente de Limpeza - 110 h" u="1"/>
        <s v="Servente de Limpeza - 220 h" u="1"/>
        <s v="Servente de Limpeza - 55 h" u="1"/>
        <s v="Servente de Limpeza - 150 h" u="1"/>
        <s v="Copeiro - 220 h" u="1"/>
        <s v="Auxiliar de Arquivo II - 150 h" u="1"/>
        <s v="Garcom - 220 h" u="1"/>
        <s v="Eletricista - 220 h" u="1"/>
        <s v="Assistente de Qualidade - 220 h" u="1"/>
        <s v="Fotografo - 150 h" u="1"/>
        <s v="Tecnico de Oper. de Equip. de audio e video - 150 h" u="1"/>
        <s v="Assistente Administrativo - 150 h" u="1"/>
        <s v="Supervisor de Manutencao de Veiculos I - 220 h" u="1"/>
        <s v="Marceneiro - 220 h" u="1"/>
        <s v="Auxiliar de Manutencao Predial - 220 h" u="1"/>
        <s v="Tecnico de Manutencao Eletronica II - 220 h" u="1"/>
        <s v="Porteiro - 12 x 36 - Diurno" u="1"/>
        <s v="Motorista - 220 h" u="1"/>
        <s v="Continuo - 220 h" u="1"/>
        <s v="Auxiliar de Cadastro e Expedicao - 220 H" u="1"/>
        <s v="Recepcionista - 220 h" u="1"/>
        <s v="Pintor - 220 h" u="1"/>
        <s v="Digitador - 150 h" u="1"/>
        <s v="Bombeiro Hidraulico - 220 h" u="1"/>
        <s v="Tecnico em Edificacoes - 220 h" u="1"/>
        <s v="Pedreiro - 220 h" u="1"/>
        <s v="Supervisor de Manutencao de Veiculos II - 220 h" u="1"/>
        <s v="Encarregado - 220 h" u="1"/>
        <s v="Tecnico de Manutencao Eletronica I - 220 h" u="1"/>
        <s v="Tecnico em Eletrotecnica/Eletronica - 220 h" u="1"/>
        <s v="Lavador de Veiculos - 220 h" u="1"/>
        <s v="Auxiliar de Arquivo I - 220 h" u="1"/>
        <s v="Assistente de Compras - 220 h" u="1"/>
        <s v="Recepcionista - 150 h" u="1"/>
        <s v="Assistente Administrativo - 200 h" u="1"/>
        <s v="Tecnico de Logistica - 220 h" u="1"/>
        <s v="Almoxarife - 220 h" u="1"/>
        <s v="Manobrista - 220 h" u="1"/>
        <s v="Tecnico em Mecanica/Eletromecanica - 220 h" u="1"/>
        <s v="Carregador - 220 h" u="1"/>
        <s v="Porteiro - 12 x 36 - Noturno" u="1"/>
        <s v="Tecnico em Transacoes Imobiliarias - 220 h" u="1"/>
        <s v="Tecnico de Manutencao Eletronica III - 220 h" u="1"/>
        <s v="Motorista II - 220 h" u="1"/>
        <s v="Jardineiro - 220 h" u="1"/>
        <s v="Telefonista - 150 h" u="1"/>
        <s v="Operador de Maquina Reprografica - 220 h" u="1"/>
        <s v="Porteiro - 220 h" u="1"/>
        <s v="Cozinheiro - 220 h" u="1"/>
      </sharedItems>
    </cacheField>
    <cacheField name="CCT DA CATEGORIA" numFmtId="0">
      <sharedItems/>
    </cacheField>
    <cacheField name="Classificação" numFmtId="0">
      <sharedItems/>
    </cacheField>
    <cacheField name="Fonte de Recursos" numFmtId="0">
      <sharedItems containsMixedTypes="1" containsNumber="1" containsInteger="1" minValue="0" maxValue="0" count="3">
        <s v="PGJ"/>
        <s v="FEPDC"/>
        <n v="0" u="1"/>
      </sharedItems>
    </cacheField>
    <cacheField name="Vagas contratadas" numFmtId="0">
      <sharedItems containsSemiMixedTypes="0" containsString="0" containsNumber="1" containsInteger="1" minValue="1" maxValue="101"/>
    </cacheField>
    <cacheField name="Vagas suspensas" numFmtId="0">
      <sharedItems containsSemiMixedTypes="0" containsString="0" containsNumber="1" containsInteger="1" minValue="0" maxValue="0"/>
    </cacheField>
    <cacheField name="Salário Base" numFmtId="44">
      <sharedItems containsSemiMixedTypes="0" containsString="0" containsNumber="1" minValue="544.17999999999995" maxValue="166561.12"/>
    </cacheField>
    <cacheField name="Adicional Periculosidade" numFmtId="44">
      <sharedItems containsSemiMixedTypes="0" containsString="0" containsNumber="1" containsInteger="1" minValue="0" maxValue="0"/>
    </cacheField>
    <cacheField name="Adicional Insalubridade" numFmtId="44">
      <sharedItems containsSemiMixedTypes="0" containsString="0" containsNumber="1" containsInteger="1" minValue="0" maxValue="0"/>
    </cacheField>
    <cacheField name="Adicional Noturno" numFmtId="44">
      <sharedItems containsSemiMixedTypes="0" containsString="0" containsNumber="1" minValue="0" maxValue="664.59540000000004"/>
    </cacheField>
    <cacheField name="Adicional Motorista II (Gratificação)" numFmtId="44">
      <sharedItems containsSemiMixedTypes="0" containsString="0" containsNumber="1" containsInteger="1" minValue="0" maxValue="0"/>
    </cacheField>
    <cacheField name="Adicional de Sobreaviso" numFmtId="44">
      <sharedItems containsSemiMixedTypes="0" containsString="0" containsNumber="1" containsInteger="1" minValue="0" maxValue="0"/>
    </cacheField>
    <cacheField name="Horas Extras TI" numFmtId="44">
      <sharedItems containsSemiMixedTypes="0" containsString="0" containsNumber="1" containsInteger="1" minValue="0" maxValue="0"/>
    </cacheField>
    <cacheField name="Adicional de Acúmulo de função" numFmtId="44">
      <sharedItems containsSemiMixedTypes="0" containsString="0" containsNumber="1" minValue="0" maxValue="5451.0912000000008"/>
    </cacheField>
    <cacheField name="MODULO 1 - REMUNERAÇÃO " numFmtId="44">
      <sharedItems containsSemiMixedTypes="0" containsString="0" containsNumber="1" minValue="563.77049999999997" maxValue="172012.21119999999"/>
    </cacheField>
    <cacheField name="INSS" numFmtId="44">
      <sharedItems containsSemiMixedTypes="0" containsString="0" containsNumber="1" minValue="112.75409999999999" maxValue="34402.442240000004"/>
    </cacheField>
    <cacheField name="SESI OU SESC" numFmtId="44">
      <sharedItems containsSemiMixedTypes="0" containsString="0" containsNumber="1" minValue="8.4565574999999988" maxValue="2580.1831679999996"/>
    </cacheField>
    <cacheField name="SENAI OU SENAC" numFmtId="44">
      <sharedItems containsSemiMixedTypes="0" containsString="0" containsNumber="1" minValue="5.6377049999999995" maxValue="1720.1221119999998"/>
    </cacheField>
    <cacheField name="INCRA" numFmtId="44">
      <sharedItems containsSemiMixedTypes="0" containsString="0" containsNumber="1" minValue="1.1275409999999999" maxValue="344.02442239999993"/>
    </cacheField>
    <cacheField name="Salário Educação" numFmtId="44">
      <sharedItems containsSemiMixedTypes="0" containsString="0" containsNumber="1" minValue="14.094262499999999" maxValue="4300.3052800000005"/>
    </cacheField>
    <cacheField name="FGTS" numFmtId="44">
      <sharedItems containsSemiMixedTypes="0" containsString="0" containsNumber="1" minValue="45.101639999999996" maxValue="13760.976895999998"/>
    </cacheField>
    <cacheField name="RAT Ajustado" numFmtId="44">
      <sharedItems containsSemiMixedTypes="0" containsString="0" containsNumber="1" minValue="22.550819999999998" maxValue="6880.4884479999992"/>
    </cacheField>
    <cacheField name="SEBRAE" numFmtId="44">
      <sharedItems containsSemiMixedTypes="0" containsString="0" containsNumber="1" minValue="3.3826229999999997" maxValue="1032.0732671999999"/>
    </cacheField>
    <cacheField name="Submódulo 2.1" numFmtId="44">
      <sharedItems containsSemiMixedTypes="0" containsString="0" containsNumber="1" minValue="213.10524899999996" maxValue="65020.615833600001"/>
    </cacheField>
    <cacheField name="13º salário (titular)" numFmtId="44">
      <sharedItems containsSemiMixedTypes="0" containsString="0" containsNumber="1" minValue="46.980874999999997" maxValue="14334.350933333331"/>
    </cacheField>
    <cacheField name="Férias e Adicional de Férias (titular)" numFmtId="44">
      <sharedItems containsSemiMixedTypes="0" containsString="0" containsNumber="1" minValue="62.641166666666663" maxValue="19112.467911111107"/>
    </cacheField>
    <cacheField name="Incidência do Submódulo 2.1 sobre 13º Salário, Férias e Adicional de Férias" numFmtId="44">
      <sharedItems containsSemiMixedTypes="0" containsString="0" containsNumber="1" minValue="41.437131749999992" maxValue="12642.897523199999"/>
    </cacheField>
    <cacheField name="Submódulo 2.2" numFmtId="44">
      <sharedItems containsSemiMixedTypes="0" containsString="0" containsNumber="1" minValue="151.05917341666665" maxValue="46089.71636764444"/>
    </cacheField>
    <cacheField name="Vale - Transporte (Descontada parcela do empregado)" numFmtId="44">
      <sharedItems containsSemiMixedTypes="0" containsString="0" containsNumber="1" minValue="157.05279999999999" maxValue="35456.332799999996"/>
    </cacheField>
    <cacheField name="Vale - Alimentação (Descontada parcela do empregado)" numFmtId="44">
      <sharedItems containsSemiMixedTypes="0" containsString="0" containsNumber="1" containsInteger="1" minValue="0" maxValue="58782"/>
    </cacheField>
    <cacheField name="Cesta Básica" numFmtId="44">
      <sharedItems containsSemiMixedTypes="0" containsString="0" containsNumber="1" minValue="0" maxValue="5041.2700000000004"/>
    </cacheField>
    <cacheField name="PAF" numFmtId="44">
      <sharedItems containsSemiMixedTypes="0" containsString="0" containsNumber="1" minValue="0" maxValue="9685.9000000000015"/>
    </cacheField>
    <cacheField name="PQM" numFmtId="44">
      <sharedItems containsSemiMixedTypes="0" containsString="0" containsNumber="1" minValue="0" maxValue="58.76"/>
    </cacheField>
    <cacheField name="PAT" numFmtId="44">
      <sharedItems containsString="0" containsBlank="1" containsNumber="1" containsInteger="1" minValue="0" maxValue="0"/>
    </cacheField>
    <cacheField name="Seguro de Vida" numFmtId="44">
      <sharedItems containsSemiMixedTypes="0" containsString="0" containsNumber="1" minValue="3.36" maxValue="339.36"/>
    </cacheField>
    <cacheField name="Despesas de Viagem" numFmtId="44">
      <sharedItems containsSemiMixedTypes="0" containsString="0" containsNumber="1" minValue="0" maxValue="1029.19"/>
    </cacheField>
    <cacheField name="Submódulo 2.3" numFmtId="44">
      <sharedItems containsSemiMixedTypes="0" containsString="0" containsNumber="1" minValue="594.34320000000014" maxValue="105292.7828"/>
    </cacheField>
    <cacheField name="MÓDULO 2 - Total Encargos e Benefícios mensais e diários" numFmtId="44">
      <sharedItems containsSemiMixedTypes="0" containsString="0" containsNumber="1" minValue="1021.6336224166668" maxValue="216403.11500124441"/>
    </cacheField>
    <cacheField name="Aviso Prévio Indenizado (API) e Reflexo do Aviso Prévio Indenizado" numFmtId="44">
      <sharedItems containsSemiMixedTypes="0" containsString="0" containsNumber="1" minValue="3.9530273735532404" maxValue="1206.1095418419752"/>
    </cacheField>
    <cacheField name="Incidência do FGTS sobre API e Reflexo do API" numFmtId="44">
      <sharedItems containsSemiMixedTypes="0" containsString="0" containsNumber="1" minValue="0.31624218988425928" maxValue="96.488763347358017"/>
    </cacheField>
    <cacheField name="Multa Rescisória do FGTS sobre o Aviso Prévio Indenizado" numFmtId="44">
      <sharedItems containsSemiMixedTypes="0" containsString="0" containsNumber="1" minValue="0.12649687595370371" maxValue="38.595505338943212"/>
    </cacheField>
    <cacheField name="Aviso Prévio Trabalhado - APT" numFmtId="44">
      <sharedItems containsSemiMixedTypes="0" containsString="0" containsNumber="1" minValue="1.9731967500000003" maxValue="602.04273920000003"/>
    </cacheField>
    <cacheField name="Incidência dos encargos do submódulo 2.1 sobre Aviso Prévio Trabalhado" numFmtId="44">
      <sharedItems containsSemiMixedTypes="0" containsString="0" containsNumber="1" minValue="0.74586837150000018" maxValue="227.57215541760004"/>
    </cacheField>
    <cacheField name="Multa Rescisória do FGTS" numFmtId="44">
      <sharedItems containsSemiMixedTypes="0" containsString="0" containsNumber="1" minValue="17.238849066666663" maxValue="5259.7511691377767"/>
    </cacheField>
    <cacheField name="Indenização Adicional (Art. 9º da Lei nº 7.238/84)" numFmtId="44">
      <sharedItems containsSemiMixedTypes="0" containsString="0" containsNumber="1" minValue="0.46980875" maxValue="143.34350933333334"/>
    </cacheField>
    <cacheField name="MÓDULO 3 – PROVISÃO PARA RESCISÃO" numFmtId="44">
      <sharedItems containsSemiMixedTypes="0" containsString="0" containsNumber="1" minValue="24.823489377557866" maxValue="7573.9033836169865"/>
    </cacheField>
    <cacheField name="Ausência por Doença" numFmtId="44">
      <sharedItems containsSemiMixedTypes="0" containsString="0" containsNumber="1" minValue="4.7607286666666662" maxValue="1452.5475612444441"/>
    </cacheField>
    <cacheField name="Ausências Legais" numFmtId="44">
      <sharedItems containsSemiMixedTypes="0" containsString="0" containsNumber="1" minValue="1.1432012916666665" maxValue="348.80253937777775"/>
    </cacheField>
    <cacheField name="Licença Paternidade" numFmtId="44">
      <sharedItems containsSemiMixedTypes="0" containsString="0" containsNumber="1" minValue="9.6310793749999998E-2" maxValue="29.385419413333331"/>
    </cacheField>
    <cacheField name="Ausência por Acidente de Trabalho" numFmtId="44">
      <sharedItems containsSemiMixedTypes="0" containsString="0" containsNumber="1" minValue="0.1174521875" maxValue="35.835877333333336"/>
    </cacheField>
    <cacheField name="Férias, Adicional de Férias e 13º  com empregada em gozo de Licença Maternidade" numFmtId="44">
      <sharedItems containsSemiMixedTypes="0" containsString="0" containsNumber="1" minValue="0.73081361111111109" maxValue="222.97879229629626"/>
    </cacheField>
    <cacheField name="Incidência do Submódulo 2.1 sobre Ausências Legais" numFmtId="44">
      <sharedItems containsSemiMixedTypes="0" containsString="0" containsNumber="1" minValue="2.5887354761625003" maxValue="789.84997169344001"/>
    </cacheField>
    <cacheField name="Submódulo 4.1" numFmtId="44">
      <sharedItems containsSemiMixedTypes="0" containsString="0" containsNumber="1" minValue="9.4372420268569428" maxValue="2879.4001613586247"/>
    </cacheField>
    <cacheField name="Intervalo para Repouso ou Alimentação" numFmtId="44">
      <sharedItems containsSemiMixedTypes="0" containsString="0" containsNumber="1" minValue="0" maxValue="450.69325199999992"/>
    </cacheField>
    <cacheField name="Submódulo 4.2" numFmtId="44">
      <sharedItems containsSemiMixedTypes="0" containsString="0" containsNumber="1" minValue="0" maxValue="450.69325199999992"/>
    </cacheField>
    <cacheField name="Suspensão Temporária do Contrato de Trabalho" numFmtId="44">
      <sharedItems containsSemiMixedTypes="0" containsString="0" containsNumber="1" containsInteger="1" minValue="0" maxValue="0"/>
    </cacheField>
    <cacheField name="Submódulo 4.3" numFmtId="44">
      <sharedItems containsSemiMixedTypes="0" containsString="0" containsNumber="1" containsInteger="1" minValue="0" maxValue="0"/>
    </cacheField>
    <cacheField name="MÓDULO 4 – CUSTO DE REPOSIÇÃO DO PROFISSIONAL AUSENTE" numFmtId="44">
      <sharedItems containsSemiMixedTypes="0" containsString="0" containsNumber="1" minValue="9.4372420268569428" maxValue="2879.4001613586247"/>
    </cacheField>
    <cacheField name="Uniformes e EPIs" numFmtId="44">
      <sharedItems containsSemiMixedTypes="0" containsString="0" containsNumber="1" minValue="62.806666666666665" maxValue="10181.725833333332"/>
    </cacheField>
    <cacheField name="Materiais de Consumo" numFmtId="44">
      <sharedItems containsSemiMixedTypes="0" containsString="0" containsNumber="1" minValue="0" maxValue="3587.3395088169727"/>
    </cacheField>
    <cacheField name="Máquinas e Equipamentos (depreciação)" numFmtId="44">
      <sharedItems containsSemiMixedTypes="0" containsString="0" containsNumber="1" minValue="21.998657016417809" maxValue="6517.4687853973828"/>
    </cacheField>
    <cacheField name="Produtos de Limpeza e Materiais de Higiene Pessoal" numFmtId="44">
      <sharedItems containsSemiMixedTypes="0" containsString="0" containsNumber="1" minValue="0" maxValue="69717.424810710974"/>
    </cacheField>
    <cacheField name="Outros (especificar)" numFmtId="44">
      <sharedItems containsSemiMixedTypes="0" containsString="0" containsNumber="1" containsInteger="1" minValue="0" maxValue="0"/>
    </cacheField>
    <cacheField name="MÓDULO 5 – INSUMOS DIVERSOS" numFmtId="44">
      <sharedItems containsSemiMixedTypes="0" containsString="0" containsNumber="1" minValue="332.23364609373232" maxValue="90003.958938258656"/>
    </cacheField>
    <cacheField name="TOTAL MÓDULOS 1+2+3+4+5" numFmtId="44">
      <sharedItems containsSemiMixedTypes="0" containsString="0" containsNumber="1" minValue="1951.8984999148138" maxValue="488872.58868447866"/>
    </cacheField>
    <cacheField name="Custos Indiretos" numFmtId="44">
      <sharedItems containsSemiMixedTypes="0" containsString="0" containsNumber="1" minValue="189.64880140242613" maxValue="19154.52894164504"/>
    </cacheField>
    <cacheField name="Lucro" numFmtId="44">
      <sharedItems containsSemiMixedTypes="0" containsString="0" containsNumber="1" minValue="159.30499317803796" maxValue="16089.804310981834"/>
    </cacheField>
    <cacheField name="COFINS" numFmtId="10">
      <sharedItems containsSemiMixedTypes="0" containsString="0" containsNumber="1" minValue="8.5633802816901458E-2" maxValue="8.8629737609329504E-2"/>
    </cacheField>
    <cacheField name="PIS" numFmtId="10">
      <sharedItems containsSemiMixedTypes="0" containsString="0" containsNumber="1" minValue="1.8591549295774657E-2" maxValue="1.9241982507288629E-2"/>
    </cacheField>
    <cacheField name="ISS" numFmtId="167">
      <sharedItems containsSemiMixedTypes="0" containsString="0" containsNumber="1" minValue="0.02" maxValue="0.05"/>
    </cacheField>
    <cacheField name="ISS (Conversão Alíquota s/ fatura)" numFmtId="10">
      <sharedItems containsSemiMixedTypes="0" containsString="0" containsNumber="1" minValue="2.2535211267605645E-2" maxValue="5.8309037900874633E-2"/>
    </cacheField>
    <cacheField name="Resumo de Alíquotas (PIS+CONFINS+ISS)" numFmtId="10">
      <sharedItems containsSemiMixedTypes="0" containsString="0" containsNumber="1" minValue="0.1125" maxValue="0.14250000000000002"/>
    </cacheField>
    <cacheField name="PIS + COFINS + ISS (Total Conversão  Alíquota s/ Fatura)" numFmtId="10">
      <sharedItems containsSemiMixedTypes="0" containsString="0" containsNumber="1" minValue="0.12676056338028174" maxValue="0.16618075801749277"/>
    </cacheField>
    <cacheField name="Valor dos Tributos (ISS, PIS, CONFINS)" numFmtId="44">
      <sharedItems containsSemiMixedTypes="0" containsString="0" containsNumber="1" minValue="291.65733310503532" maxValue="87098.147377303278"/>
    </cacheField>
    <cacheField name="MÓDULO 6 – CUSTOS INDIRETOS, TRIBUTOS E LUCRO" numFmtId="44">
      <sharedItems containsSemiMixedTypes="0" containsString="0" containsNumber="1" minValue="640.61112768549947" maxValue="122342.48062993016"/>
    </cacheField>
    <cacheField name="CUSTO TOTAL MENSAL" numFmtId="44">
      <sharedItems containsSemiMixedTypes="0" containsString="0" containsNumber="1" minValue="2592.5096276003133" maxValue="611215.06931440881"/>
    </cacheField>
    <cacheField name="CUSTO TOTAL ANUAL" numFmtId="44">
      <sharedItems containsSemiMixedTypes="0" containsString="0" containsNumber="1" minValue="31110.115531203759" maxValue="7334580.8317729058"/>
    </cacheField>
    <cacheField name="ANO DA CCT" numFmtId="165">
      <sharedItems containsSemiMixedTypes="0" containsNonDate="0" containsDate="1" containsString="0" minDate="2025-01-01T00:00:00" maxDate="2025-01-02T00:00:00"/>
    </cacheField>
    <cacheField name="Nº DE PEDIDO DA CCT" numFmtId="44">
      <sharedItems/>
    </cacheField>
    <cacheField name="TERMO ADITIVO  ALTERAÇÃO DA CCT" numFmtId="44">
      <sharedItems/>
    </cacheField>
    <cacheField name="CUSTO TOTAL" numFmtId="0" formula="'MODULO 1 - REMUNERAÇÃO '+'MÓDULO 2 - Total Encargos e Benefícios mensais e diários'+'MÓDULO 3 – PROVISÃO PARA RESCISÃO'+'MÓDULO 4 – CUSTO DE REPOSIÇÃO DO PROFISSIONAL AUSENTE'+'MÓDULO 5 – INSUMOS DIVERSOS'+'MÓDULO 6 – CUSTOS INDIRETOS, TRIBUTOS E LUCRO'" databaseField="0"/>
  </cacheFields>
  <extLst>
    <ext xmlns:x14="http://schemas.microsoft.com/office/spreadsheetml/2009/9/main" uri="{725AE2AE-9491-48be-B2B4-4EB974FC3084}">
      <x14:pivotCacheDefinition/>
    </ext>
  </extLst>
</pivotCacheDefinition>
</file>

<file path=xl/pivotCache/pivotCacheRecords1.xml><?xml version="1.0" encoding="utf-8"?>
<pivotCacheRecords xmlns="http://schemas.openxmlformats.org/spreadsheetml/2006/main" xmlns:r="http://schemas.openxmlformats.org/officeDocument/2006/relationships" xmlns:mc="http://schemas.openxmlformats.org/markup-compatibility/2006" xmlns:xr="http://schemas.microsoft.com/office/spreadsheetml/2014/revision" mc:Ignorable="xr" count="42">
  <r>
    <s v="Calça Comprida"/>
    <x v="0"/>
    <m/>
    <n v="60.93"/>
    <n v="60.93"/>
    <n v="2"/>
    <x v="0"/>
    <x v="0"/>
    <n v="9383.2199999999993"/>
    <x v="0"/>
    <n v="10.154999999999999"/>
  </r>
  <r>
    <s v="Camisa manga curta"/>
    <x v="1"/>
    <m/>
    <n v="40.85"/>
    <n v="40.85"/>
    <n v="4"/>
    <x v="0"/>
    <x v="0"/>
    <n v="12581.800000000001"/>
    <x v="1"/>
    <n v="13.616666666666667"/>
  </r>
  <r>
    <s v="Agasalho"/>
    <x v="2"/>
    <m/>
    <n v="95.13"/>
    <n v="95.13"/>
    <n v="1"/>
    <x v="0"/>
    <x v="0"/>
    <n v="7325.0099999999993"/>
    <x v="2"/>
    <n v="7.9274999999999984"/>
  </r>
  <r>
    <s v="Calçado"/>
    <x v="3"/>
    <m/>
    <n v="49.99"/>
    <n v="49.99"/>
    <n v="1"/>
    <x v="0"/>
    <x v="0"/>
    <n v="3849.23"/>
    <x v="2"/>
    <n v="4.1658333333333335"/>
  </r>
  <r>
    <s v="Calçado"/>
    <x v="4"/>
    <m/>
    <n v="95.77"/>
    <n v="95.77"/>
    <n v="2"/>
    <x v="0"/>
    <x v="0"/>
    <n v="14748.58"/>
    <x v="0"/>
    <n v="15.961666666666668"/>
  </r>
  <r>
    <s v="Luvas"/>
    <x v="5"/>
    <m/>
    <n v="5.49"/>
    <n v="5.49"/>
    <n v="24"/>
    <x v="0"/>
    <x v="0"/>
    <n v="10145.519999999999"/>
    <x v="3"/>
    <n v="10.979999999999999"/>
  </r>
  <r>
    <s v="Calça Comprida"/>
    <x v="0"/>
    <m/>
    <n v="60.93"/>
    <n v="60.93"/>
    <n v="4"/>
    <x v="1"/>
    <x v="1"/>
    <n v="487.44"/>
    <x v="4"/>
    <n v="20.309999999999999"/>
  </r>
  <r>
    <s v="Camisa manga curta"/>
    <x v="1"/>
    <m/>
    <n v="40.85"/>
    <n v="40.85"/>
    <n v="8"/>
    <x v="1"/>
    <x v="1"/>
    <n v="653.6"/>
    <x v="5"/>
    <n v="27.233333333333334"/>
  </r>
  <r>
    <s v="Agasalho"/>
    <x v="2"/>
    <m/>
    <n v="95.13"/>
    <n v="95.13"/>
    <n v="1"/>
    <x v="1"/>
    <x v="1"/>
    <n v="190.26"/>
    <x v="6"/>
    <n v="7.9274999999999993"/>
  </r>
  <r>
    <s v="Calçado"/>
    <x v="3"/>
    <m/>
    <n v="49.99"/>
    <n v="49.99"/>
    <n v="2"/>
    <x v="1"/>
    <x v="1"/>
    <n v="199.96"/>
    <x v="7"/>
    <n v="8.331666666666667"/>
  </r>
  <r>
    <s v="Calçado"/>
    <x v="4"/>
    <m/>
    <n v="95.77"/>
    <n v="95.77"/>
    <n v="2"/>
    <x v="1"/>
    <x v="1"/>
    <n v="383.08"/>
    <x v="7"/>
    <n v="15.961666666666666"/>
  </r>
  <r>
    <s v="Luvas"/>
    <x v="5"/>
    <m/>
    <n v="5.49"/>
    <n v="5.49"/>
    <n v="46"/>
    <x v="1"/>
    <x v="1"/>
    <n v="505.08000000000004"/>
    <x v="8"/>
    <n v="21.045000000000002"/>
  </r>
  <r>
    <s v="Calça Comprida"/>
    <x v="0"/>
    <m/>
    <n v="60.93"/>
    <n v="60.93"/>
    <n v="4"/>
    <x v="2"/>
    <x v="1"/>
    <n v="487.44"/>
    <x v="4"/>
    <n v="20.309999999999999"/>
  </r>
  <r>
    <s v="Camisa manga curta"/>
    <x v="1"/>
    <m/>
    <n v="40.85"/>
    <n v="40.85"/>
    <n v="8"/>
    <x v="2"/>
    <x v="1"/>
    <n v="653.6"/>
    <x v="5"/>
    <n v="27.233333333333334"/>
  </r>
  <r>
    <s v="Agasalho"/>
    <x v="2"/>
    <m/>
    <n v="95.13"/>
    <n v="95.13"/>
    <n v="1"/>
    <x v="2"/>
    <x v="1"/>
    <n v="190.26"/>
    <x v="6"/>
    <n v="7.9274999999999993"/>
  </r>
  <r>
    <s v="Calçado"/>
    <x v="3"/>
    <m/>
    <n v="49.99"/>
    <n v="49.99"/>
    <n v="2"/>
    <x v="2"/>
    <x v="1"/>
    <n v="199.96"/>
    <x v="7"/>
    <n v="8.331666666666667"/>
  </r>
  <r>
    <s v="Calçado"/>
    <x v="4"/>
    <m/>
    <n v="95.77"/>
    <n v="95.77"/>
    <n v="2"/>
    <x v="2"/>
    <x v="1"/>
    <n v="383.08"/>
    <x v="7"/>
    <n v="15.961666666666666"/>
  </r>
  <r>
    <s v="Luvas"/>
    <x v="5"/>
    <m/>
    <n v="5.49"/>
    <n v="5.49"/>
    <n v="46"/>
    <x v="2"/>
    <x v="1"/>
    <n v="505.08000000000004"/>
    <x v="8"/>
    <n v="21.045000000000002"/>
  </r>
  <r>
    <s v="Calça Comprida"/>
    <x v="0"/>
    <m/>
    <n v="60.93"/>
    <n v="60.93"/>
    <n v="4"/>
    <x v="3"/>
    <x v="2"/>
    <n v="4630.68"/>
    <x v="9"/>
    <n v="20.310000000000002"/>
  </r>
  <r>
    <s v="Camisa manga curta"/>
    <x v="1"/>
    <m/>
    <n v="40.85"/>
    <n v="40.85"/>
    <n v="8"/>
    <x v="3"/>
    <x v="2"/>
    <n v="6209.2"/>
    <x v="10"/>
    <n v="27.233333333333331"/>
  </r>
  <r>
    <s v="Agasalho"/>
    <x v="2"/>
    <m/>
    <n v="95.13"/>
    <n v="95.13"/>
    <n v="1"/>
    <x v="3"/>
    <x v="2"/>
    <n v="1807.4699999999998"/>
    <x v="11"/>
    <n v="7.9274999999999984"/>
  </r>
  <r>
    <s v="Calçado"/>
    <x v="3"/>
    <m/>
    <n v="49.99"/>
    <n v="49.99"/>
    <n v="2"/>
    <x v="3"/>
    <x v="2"/>
    <n v="1899.6200000000001"/>
    <x v="12"/>
    <n v="8.331666666666667"/>
  </r>
  <r>
    <s v="Calçado"/>
    <x v="4"/>
    <m/>
    <n v="95.77"/>
    <n v="95.77"/>
    <n v="2"/>
    <x v="3"/>
    <x v="2"/>
    <n v="3639.2599999999998"/>
    <x v="12"/>
    <n v="15.961666666666666"/>
  </r>
  <r>
    <s v="Luvas"/>
    <x v="5"/>
    <m/>
    <n v="5.49"/>
    <n v="5.49"/>
    <n v="46"/>
    <x v="3"/>
    <x v="2"/>
    <n v="4798.26"/>
    <x v="13"/>
    <n v="21.045000000000002"/>
  </r>
  <r>
    <s v="Calça Comprida"/>
    <x v="0"/>
    <m/>
    <n v="60.93"/>
    <n v="60.93"/>
    <n v="4"/>
    <x v="4"/>
    <x v="3"/>
    <n v="61904.88"/>
    <x v="14"/>
    <n v="20.309999999999999"/>
  </r>
  <r>
    <s v="Camisa manga curta"/>
    <x v="1"/>
    <m/>
    <n v="40.85"/>
    <n v="40.85"/>
    <n v="8"/>
    <x v="4"/>
    <x v="3"/>
    <n v="83007.199999999997"/>
    <x v="15"/>
    <n v="27.233333333333331"/>
  </r>
  <r>
    <s v="Agasalho"/>
    <x v="2"/>
    <m/>
    <n v="95.13"/>
    <n v="95.13"/>
    <n v="1"/>
    <x v="4"/>
    <x v="3"/>
    <n v="24163.02"/>
    <x v="16"/>
    <n v="7.9275000000000002"/>
  </r>
  <r>
    <s v="Calçado"/>
    <x v="3"/>
    <m/>
    <n v="49.99"/>
    <n v="49.99"/>
    <n v="2"/>
    <x v="4"/>
    <x v="3"/>
    <n v="25394.920000000002"/>
    <x v="17"/>
    <n v="8.331666666666667"/>
  </r>
  <r>
    <s v="Calçado"/>
    <x v="4"/>
    <m/>
    <n v="95.77"/>
    <n v="95.77"/>
    <n v="2"/>
    <x v="4"/>
    <x v="3"/>
    <n v="48651.159999999996"/>
    <x v="17"/>
    <n v="15.961666666666664"/>
  </r>
  <r>
    <s v="Luvas"/>
    <x v="5"/>
    <m/>
    <n v="5.49"/>
    <n v="5.49"/>
    <n v="46"/>
    <x v="4"/>
    <x v="3"/>
    <n v="64145.16"/>
    <x v="18"/>
    <n v="21.045000000000002"/>
  </r>
  <r>
    <s v="Calça Comprida"/>
    <x v="0"/>
    <m/>
    <n v="60.93"/>
    <n v="60.93"/>
    <n v="2"/>
    <x v="5"/>
    <x v="4"/>
    <n v="9626.94"/>
    <x v="19"/>
    <n v="10.154999999999999"/>
  </r>
  <r>
    <s v="Camisa manga curta"/>
    <x v="1"/>
    <m/>
    <n v="40.85"/>
    <n v="40.85"/>
    <n v="4"/>
    <x v="5"/>
    <x v="4"/>
    <n v="12908.6"/>
    <x v="20"/>
    <n v="13.616666666666667"/>
  </r>
  <r>
    <s v="Agasalho"/>
    <x v="2"/>
    <m/>
    <n v="95.13"/>
    <n v="95.13"/>
    <n v="1"/>
    <x v="5"/>
    <x v="4"/>
    <n v="7515.2699999999995"/>
    <x v="21"/>
    <n v="7.9274999999999993"/>
  </r>
  <r>
    <s v="Calçado"/>
    <x v="3"/>
    <m/>
    <n v="49.99"/>
    <n v="49.99"/>
    <n v="1"/>
    <x v="5"/>
    <x v="4"/>
    <n v="3949.21"/>
    <x v="21"/>
    <n v="4.1658333333333335"/>
  </r>
  <r>
    <s v="Calçado"/>
    <x v="4"/>
    <m/>
    <n v="95.77"/>
    <n v="95.77"/>
    <n v="2"/>
    <x v="5"/>
    <x v="4"/>
    <n v="15131.66"/>
    <x v="19"/>
    <n v="15.961666666666666"/>
  </r>
  <r>
    <s v="Luvas"/>
    <x v="5"/>
    <m/>
    <n v="5.49"/>
    <n v="5.49"/>
    <n v="24"/>
    <x v="5"/>
    <x v="4"/>
    <n v="10409.039999999999"/>
    <x v="22"/>
    <n v="10.979999999999999"/>
  </r>
  <r>
    <s v="Calça Comprida"/>
    <x v="0"/>
    <m/>
    <n v="60.93"/>
    <n v="60.93"/>
    <n v="4"/>
    <x v="6"/>
    <x v="5"/>
    <n v="974.88"/>
    <x v="5"/>
    <n v="20.309999999999999"/>
  </r>
  <r>
    <s v="Camisa manga curta"/>
    <x v="1"/>
    <m/>
    <n v="40.85"/>
    <n v="40.85"/>
    <n v="8"/>
    <x v="6"/>
    <x v="5"/>
    <n v="1307.2"/>
    <x v="23"/>
    <n v="27.233333333333334"/>
  </r>
  <r>
    <s v="Agasalho"/>
    <x v="2"/>
    <m/>
    <n v="95.13"/>
    <n v="95.13"/>
    <n v="1"/>
    <x v="6"/>
    <x v="5"/>
    <n v="380.52"/>
    <x v="7"/>
    <n v="7.9274999999999993"/>
  </r>
  <r>
    <s v="Calçado"/>
    <x v="6"/>
    <m/>
    <n v="280.04000000000002"/>
    <n v="280.04000000000002"/>
    <n v="2"/>
    <x v="6"/>
    <x v="5"/>
    <n v="2240.3200000000002"/>
    <x v="4"/>
    <n v="46.673333333333339"/>
  </r>
  <r>
    <s v="Luvas"/>
    <x v="5"/>
    <m/>
    <n v="5.49"/>
    <n v="5.49"/>
    <n v="24"/>
    <x v="6"/>
    <x v="5"/>
    <n v="527.04"/>
    <x v="24"/>
    <n v="10.979999999999999"/>
  </r>
  <r>
    <s v="Óculos"/>
    <x v="7"/>
    <m/>
    <n v="7.67"/>
    <n v="7.67"/>
    <n v="2"/>
    <x v="6"/>
    <x v="5"/>
    <n v="61.36"/>
    <x v="4"/>
    <n v="1.2783333333333333"/>
  </r>
</pivotCacheRecords>
</file>

<file path=xl/pivotCache/pivotCacheRecords2.xml><?xml version="1.0" encoding="utf-8"?>
<pivotCacheRecords xmlns="http://schemas.openxmlformats.org/spreadsheetml/2006/main" xmlns:r="http://schemas.openxmlformats.org/officeDocument/2006/relationships" xmlns:mc="http://schemas.openxmlformats.org/markup-compatibility/2006" xmlns:xr="http://schemas.microsoft.com/office/spreadsheetml/2014/revision" mc:Ignorable="xr" count="252">
  <r>
    <s v="2.002.04"/>
    <x v="0"/>
    <x v="0"/>
    <s v="Curvelo"/>
    <s v="Limpeza"/>
    <x v="0"/>
    <n v="1"/>
    <n v="0"/>
    <n v="798.14"/>
    <n v="0"/>
    <n v="0"/>
    <n v="0"/>
    <n v="0"/>
    <n v="0"/>
    <n v="0"/>
    <n v="26.120899999999999"/>
    <n v="824.26089999999999"/>
    <n v="164.85218"/>
    <n v="12.363913499999999"/>
    <n v="8.2426089999999999"/>
    <n v="1.6485217999999999"/>
    <n v="20.606522500000001"/>
    <n v="65.940871999999999"/>
    <n v="32.970435999999999"/>
    <n v="4.9455654000000004"/>
    <n v="311.57062020000001"/>
    <n v="68.688408333333328"/>
    <n v="91.584544444444433"/>
    <n v="60.583176149999993"/>
    <n v="220.85612892777775"/>
    <n v="208.11160000000001"/>
    <n v="582"/>
    <n v="0"/>
    <n v="51.74"/>
    <n v="0"/>
    <n v="0"/>
    <n v="3.36"/>
    <n v="0"/>
    <n v="845.21159999999998"/>
    <n v="1377.6383491277777"/>
    <n v="5.7795253576581791"/>
    <n v="0.46236202861265435"/>
    <n v="0.18494481144506175"/>
    <n v="2.8849131500000005"/>
    <n v="1.0904971707000004"/>
    <n v="25.204066631111107"/>
    <n v="0.6868840833333334"/>
    <n v="36.293193232860339"/>
    <n v="6.9604253777777769"/>
    <n v="1.671417936111111"/>
    <n v="0.14081123708333332"/>
    <n v="0.17172102083333335"/>
    <n v="1.0684863518518517"/>
    <n v="3.7848618071425006"/>
    <n v="13.797723730799909"/>
    <n v="0"/>
    <n v="0"/>
    <n v="0"/>
    <n v="0"/>
    <n v="13.797723730799909"/>
    <n v="62.806666666666665"/>
    <n v="17.759106479291944"/>
    <n v="32.264696957412788"/>
    <n v="345.13576638965827"/>
    <n v="0"/>
    <n v="457.96623649302967"/>
    <n v="2709.9564025844675"/>
    <n v="189.64880140242613"/>
    <n v="159.30499317803796"/>
    <n v="8.6118980169971604E-2"/>
    <n v="1.8696883852691224E-2"/>
    <n v="2.5000000000000001E-2"/>
    <n v="2.8328611898017008E-2"/>
    <n v="0.11749999999999999"/>
    <n v="0.13314447592067982"/>
    <n v="407.27699508994817"/>
    <n v="756.23078967041226"/>
    <n v="3466.1871922548798"/>
    <n v="41594.246307058558"/>
    <d v="2025-01-01T00:00:00"/>
    <s v="-"/>
    <s v="-"/>
  </r>
  <r>
    <s v="2.003.04"/>
    <x v="1"/>
    <x v="0"/>
    <s v="Fethemg Interior"/>
    <s v="Limpeza"/>
    <x v="0"/>
    <n v="1"/>
    <n v="0"/>
    <n v="798.14"/>
    <n v="0"/>
    <n v="0"/>
    <n v="0"/>
    <n v="0"/>
    <n v="0"/>
    <n v="0"/>
    <n v="26.120899999999999"/>
    <n v="824.26089999999999"/>
    <n v="164.85218"/>
    <n v="12.363913499999999"/>
    <n v="8.2426089999999999"/>
    <n v="1.6485217999999999"/>
    <n v="20.606522500000001"/>
    <n v="65.940871999999999"/>
    <n v="32.970435999999999"/>
    <n v="4.9455654000000004"/>
    <n v="311.57062020000001"/>
    <n v="68.688408333333328"/>
    <n v="91.584544444444433"/>
    <n v="60.583176149999993"/>
    <n v="220.85612892777775"/>
    <n v="208.11160000000001"/>
    <n v="582"/>
    <n v="0"/>
    <n v="0"/>
    <n v="15.07"/>
    <n v="0"/>
    <n v="3.36"/>
    <n v="0"/>
    <n v="808.54160000000002"/>
    <n v="1340.9683491277779"/>
    <n v="5.7795253576581791"/>
    <n v="0.46236202861265435"/>
    <n v="0.18494481144506175"/>
    <n v="2.8849131500000005"/>
    <n v="1.0904971707000004"/>
    <n v="25.204066631111107"/>
    <n v="0.6868840833333334"/>
    <n v="36.293193232860339"/>
    <n v="6.9604253777777769"/>
    <n v="1.671417936111111"/>
    <n v="0.14081123708333332"/>
    <n v="0.17172102083333335"/>
    <n v="1.0684863518518517"/>
    <n v="3.7848618071425006"/>
    <n v="13.797723730799909"/>
    <n v="0"/>
    <n v="0"/>
    <n v="0"/>
    <n v="0"/>
    <n v="13.797723730799909"/>
    <n v="62.806666666666665"/>
    <n v="17.759106479291944"/>
    <n v="32.264696957412788"/>
    <n v="345.13576638965827"/>
    <n v="0"/>
    <n v="457.96623649302967"/>
    <n v="2673.2864025844674"/>
    <n v="189.64880140242613"/>
    <n v="159.30499317803796"/>
    <n v="8.5633802816901458E-2"/>
    <n v="1.8591549295774657E-2"/>
    <n v="0.02"/>
    <n v="2.2535211267605645E-2"/>
    <n v="0.1125"/>
    <n v="0.12676056338028174"/>
    <n v="383.10087006316047"/>
    <n v="732.05466464362462"/>
    <n v="3405.341067228092"/>
    <n v="40864.092806737106"/>
    <d v="2025-01-01T00:00:00"/>
    <s v="-"/>
    <s v="-"/>
  </r>
  <r>
    <s v="2.009.06"/>
    <x v="2"/>
    <x v="1"/>
    <s v="Regiao de Teofilo Otoni"/>
    <s v="Limpeza"/>
    <x v="0"/>
    <n v="1"/>
    <n v="0"/>
    <n v="1596.28"/>
    <n v="0"/>
    <n v="0"/>
    <n v="0"/>
    <n v="0"/>
    <n v="0"/>
    <n v="0"/>
    <n v="52.241900000000001"/>
    <n v="1648.5219"/>
    <n v="329.70438000000001"/>
    <n v="24.727828499999998"/>
    <n v="16.485219000000001"/>
    <n v="3.2970438"/>
    <n v="41.213047500000002"/>
    <n v="131.88175200000001"/>
    <n v="65.940876000000003"/>
    <n v="9.8911314000000008"/>
    <n v="623.14127819999999"/>
    <n v="137.376825"/>
    <n v="183.16909999999999"/>
    <n v="121.16635965"/>
    <n v="441.71228465000002"/>
    <n v="160.22320000000002"/>
    <n v="582"/>
    <n v="0"/>
    <n v="0"/>
    <n v="15.07"/>
    <n v="0"/>
    <n v="3.36"/>
    <n v="0"/>
    <n v="760.65320000000008"/>
    <n v="1825.5067628500001"/>
    <n v="11.559051416493055"/>
    <n v="0.92472411331944449"/>
    <n v="0.36988964532777785"/>
    <n v="5.7698266500000006"/>
    <n v="2.1809944737000007"/>
    <n v="50.40813631999999"/>
    <n v="1.3737682500000001"/>
    <n v="72.586390868840269"/>
    <n v="13.920851599999999"/>
    <n v="3.3428360749999997"/>
    <n v="0.28162249125"/>
    <n v="0.34344206250000003"/>
    <n v="2.1369728333333331"/>
    <n v="7.5697240734675013"/>
    <n v="27.595449135550833"/>
    <n v="0"/>
    <n v="0"/>
    <n v="0"/>
    <n v="0"/>
    <n v="27.595449135550833"/>
    <n v="100.80916666666666"/>
    <n v="35.518212958583888"/>
    <n v="64.529393914825576"/>
    <n v="690.27153277931654"/>
    <n v="0"/>
    <n v="891.12830631939266"/>
    <n v="4465.3388091737834"/>
    <n v="189.64880140242613"/>
    <n v="159.30499317803796"/>
    <n v="8.8629737609329504E-2"/>
    <n v="1.9241982507288629E-2"/>
    <n v="0.05"/>
    <n v="5.8309037900874633E-2"/>
    <n v="0.14250000000000002"/>
    <n v="0.16618075801749277"/>
    <n v="800.04279420988985"/>
    <n v="1148.9965887903541"/>
    <n v="5614.3353979641379"/>
    <n v="67372.024775569647"/>
    <d v="2025-01-01T00:00:00"/>
    <s v="-"/>
    <s v="-"/>
  </r>
  <r>
    <s v="2.011.03"/>
    <x v="3"/>
    <x v="2"/>
    <s v="Fethemg Interior"/>
    <s v="Limpeza"/>
    <x v="0"/>
    <n v="1"/>
    <n v="0"/>
    <n v="544.17999999999995"/>
    <n v="0"/>
    <n v="0"/>
    <n v="0"/>
    <n v="0"/>
    <n v="0"/>
    <n v="0"/>
    <n v="19.590499999999999"/>
    <n v="563.77049999999997"/>
    <n v="112.75409999999999"/>
    <n v="8.4565574999999988"/>
    <n v="5.6377049999999995"/>
    <n v="1.1275409999999999"/>
    <n v="14.094262499999999"/>
    <n v="45.101639999999996"/>
    <n v="22.550819999999998"/>
    <n v="3.3826229999999997"/>
    <n v="213.10524899999996"/>
    <n v="46.980874999999997"/>
    <n v="62.641166666666663"/>
    <n v="41.437131749999992"/>
    <n v="151.05917341666665"/>
    <n v="223.3492"/>
    <n v="582"/>
    <n v="0"/>
    <n v="0"/>
    <n v="15.07"/>
    <n v="0"/>
    <n v="3.36"/>
    <n v="0"/>
    <n v="823.77920000000006"/>
    <n v="1187.9436224166666"/>
    <n v="3.9530273735532404"/>
    <n v="0.31624218988425928"/>
    <n v="0.12649687595370371"/>
    <n v="1.9731967500000003"/>
    <n v="0.74586837150000018"/>
    <n v="17.238849066666663"/>
    <n v="0.46980875"/>
    <n v="24.823489377557866"/>
    <n v="4.7607286666666662"/>
    <n v="1.1432012916666665"/>
    <n v="9.6310793749999998E-2"/>
    <n v="0.1174521875"/>
    <n v="0.73081361111111109"/>
    <n v="2.5887354761625003"/>
    <n v="9.4372420268569428"/>
    <n v="0"/>
    <n v="0"/>
    <n v="0"/>
    <n v="0"/>
    <n v="9.4372420268569428"/>
    <n v="62.806666666666665"/>
    <n v="12.108481690426325"/>
    <n v="21.998657016417809"/>
    <n v="235.31984072022155"/>
    <n v="0"/>
    <n v="332.23364609373232"/>
    <n v="2118.2084999148137"/>
    <n v="189.64880140242613"/>
    <n v="159.30499317803796"/>
    <n v="8.8629737609329504E-2"/>
    <n v="1.9241982507288629E-2"/>
    <n v="0.05"/>
    <n v="5.8309037900874633E-2"/>
    <n v="0.14250000000000002"/>
    <n v="0.16618075801749277"/>
    <n v="409.99490025140199"/>
    <n v="758.94869483186608"/>
    <n v="2877.15719474668"/>
    <n v="34525.88633696016"/>
    <d v="2025-01-01T00:00:00"/>
    <s v="-"/>
    <s v="-"/>
  </r>
  <r>
    <s v="2.012.04"/>
    <x v="4"/>
    <x v="0"/>
    <s v="Regiao de Sao Lourenco"/>
    <s v="Limpeza"/>
    <x v="0"/>
    <n v="1"/>
    <n v="0"/>
    <n v="798.14"/>
    <n v="0"/>
    <n v="0"/>
    <n v="0"/>
    <n v="0"/>
    <n v="0"/>
    <n v="0"/>
    <n v="26.120899999999999"/>
    <n v="824.26089999999999"/>
    <n v="164.85218"/>
    <n v="12.363913499999999"/>
    <n v="8.2426089999999999"/>
    <n v="1.6485217999999999"/>
    <n v="20.606522500000001"/>
    <n v="65.940871999999999"/>
    <n v="32.970435999999999"/>
    <n v="4.9455654000000004"/>
    <n v="311.57062020000001"/>
    <n v="68.688408333333328"/>
    <n v="91.584544444444433"/>
    <n v="60.583176149999993"/>
    <n v="220.85612892777775"/>
    <n v="208.11160000000001"/>
    <n v="582"/>
    <n v="0"/>
    <n v="0"/>
    <n v="0"/>
    <n v="0"/>
    <n v="3.36"/>
    <n v="0"/>
    <n v="793.47159999999997"/>
    <n v="1325.8983491277777"/>
    <n v="5.7795253576581791"/>
    <n v="0.46236202861265435"/>
    <n v="0.18494481144506175"/>
    <n v="2.8849131500000005"/>
    <n v="1.0904971707000004"/>
    <n v="25.204066631111107"/>
    <n v="0.6868840833333334"/>
    <n v="36.293193232860339"/>
    <n v="6.9604253777777769"/>
    <n v="1.671417936111111"/>
    <n v="0.14081123708333332"/>
    <n v="0.17172102083333335"/>
    <n v="1.0684863518518517"/>
    <n v="3.7848618071425006"/>
    <n v="13.797723730799909"/>
    <n v="0"/>
    <n v="0"/>
    <n v="0"/>
    <n v="0"/>
    <n v="13.797723730799909"/>
    <n v="62.806666666666665"/>
    <n v="17.759106479291944"/>
    <n v="32.264696957412788"/>
    <n v="345.13576638965827"/>
    <n v="0"/>
    <n v="457.96623649302967"/>
    <n v="2658.2164025844677"/>
    <n v="189.64880140242613"/>
    <n v="159.30499317803796"/>
    <n v="8.6609686609686695E-2"/>
    <n v="1.880341880341882E-2"/>
    <n v="0.03"/>
    <n v="3.4188034188034219E-2"/>
    <n v="0.1225"/>
    <n v="0.13960113960113973"/>
    <n v="419.80438649880853"/>
    <n v="768.75818107927262"/>
    <n v="3426.9745836637403"/>
    <n v="41123.69500396488"/>
    <d v="2025-01-01T00:00:00"/>
    <s v="-"/>
    <s v="-"/>
  </r>
  <r>
    <s v="2.015.05"/>
    <x v="5"/>
    <x v="3"/>
    <s v="Cataguases"/>
    <s v="Limpeza"/>
    <x v="0"/>
    <n v="1"/>
    <n v="0"/>
    <n v="1088.3699999999999"/>
    <n v="0"/>
    <n v="0"/>
    <n v="0"/>
    <n v="0"/>
    <n v="0"/>
    <n v="0"/>
    <n v="39.1813"/>
    <n v="1127.5512999999999"/>
    <n v="225.51025999999999"/>
    <n v="16.913269499999998"/>
    <n v="11.275512999999998"/>
    <n v="2.2551025999999998"/>
    <n v="28.188782499999999"/>
    <n v="90.204103999999987"/>
    <n v="45.102051999999993"/>
    <n v="6.7653077999999995"/>
    <n v="426.21439139999995"/>
    <n v="93.962608333333321"/>
    <n v="125.28347777777776"/>
    <n v="82.875020549999988"/>
    <n v="302.12110666111107"/>
    <n v="190.69780000000003"/>
    <n v="582"/>
    <n v="0"/>
    <n v="57.07"/>
    <n v="0"/>
    <n v="0"/>
    <n v="3.36"/>
    <n v="0"/>
    <n v="833.12780000000009"/>
    <n v="1561.4632980611111"/>
    <n v="7.9061269683063262"/>
    <n v="0.6324901574645061"/>
    <n v="0.25299606298580246"/>
    <n v="3.94642955"/>
    <n v="1.4917503699000003"/>
    <n v="34.478013084444434"/>
    <n v="0.93962608333333331"/>
    <n v="49.647432276434401"/>
    <n v="9.5215443111111089"/>
    <n v="2.2864234694444439"/>
    <n v="0.19262334708333331"/>
    <n v="0.23490652083333333"/>
    <n v="1.4616405740740739"/>
    <n v="5.1775182481225004"/>
    <n v="18.874656470668793"/>
    <n v="0"/>
    <n v="0"/>
    <n v="0"/>
    <n v="0"/>
    <n v="18.874656470668793"/>
    <n v="100.80916666666666"/>
    <n v="24.216963380852651"/>
    <n v="43.997314032835618"/>
    <n v="470.6396814404431"/>
    <n v="0"/>
    <n v="639.66312552079808"/>
    <n v="3397.1998123290123"/>
    <n v="189.64880140242613"/>
    <n v="159.30499317803796"/>
    <n v="8.5633802816901458E-2"/>
    <n v="1.8591549295774657E-2"/>
    <n v="0.02"/>
    <n v="2.2535211267605645E-2"/>
    <n v="0.1125"/>
    <n v="0.12676056338028174"/>
    <n v="474.86454172091976"/>
    <n v="823.81833630138385"/>
    <n v="4221.0181486303964"/>
    <n v="50652.21778356476"/>
    <d v="2025-01-01T00:00:00"/>
    <s v="-"/>
    <s v="-"/>
  </r>
  <r>
    <s v="2.016.06"/>
    <x v="6"/>
    <x v="1"/>
    <s v="Regiao de Sao Lourenco"/>
    <s v="Limpeza"/>
    <x v="0"/>
    <n v="2"/>
    <n v="0"/>
    <n v="3192.56"/>
    <n v="0"/>
    <n v="0"/>
    <n v="0"/>
    <n v="0"/>
    <n v="0"/>
    <n v="0"/>
    <n v="104.4838"/>
    <n v="3297.0437999999999"/>
    <n v="659.40876000000003"/>
    <n v="49.455656999999995"/>
    <n v="32.970438000000001"/>
    <n v="6.5940875999999999"/>
    <n v="82.426095000000004"/>
    <n v="263.76350400000001"/>
    <n v="131.88175200000001"/>
    <n v="19.782262800000002"/>
    <n v="1246.2825564"/>
    <n v="274.75364999999999"/>
    <n v="366.33819999999997"/>
    <n v="242.33271930000001"/>
    <n v="883.42456930000003"/>
    <n v="320.44640000000004"/>
    <n v="1164"/>
    <n v="0"/>
    <n v="0"/>
    <n v="0"/>
    <n v="0"/>
    <n v="6.72"/>
    <n v="0"/>
    <n v="1491.1664000000001"/>
    <n v="3620.8735256999998"/>
    <n v="23.118102832986111"/>
    <n v="1.849448226638889"/>
    <n v="0.7397792906555557"/>
    <n v="11.539653300000001"/>
    <n v="4.3619889474000013"/>
    <n v="100.81627263999998"/>
    <n v="2.7475365000000003"/>
    <n v="145.17278173768054"/>
    <n v="27.841703199999998"/>
    <n v="6.6856721499999994"/>
    <n v="0.56324498249999999"/>
    <n v="0.68688412500000007"/>
    <n v="4.2739456666666662"/>
    <n v="15.139448146935003"/>
    <n v="55.190898271101666"/>
    <n v="0"/>
    <n v="0"/>
    <n v="0"/>
    <n v="0"/>
    <n v="55.190898271101666"/>
    <n v="201.61833333333331"/>
    <n v="71.036425917167776"/>
    <n v="129.05878782965115"/>
    <n v="1380.5430655586331"/>
    <n v="0"/>
    <n v="1782.2566126387853"/>
    <n v="8900.5376183475673"/>
    <n v="379.29760280485226"/>
    <n v="318.60998635607592"/>
    <n v="8.8629737609329504E-2"/>
    <n v="1.9241982507288629E-2"/>
    <n v="0.05"/>
    <n v="5.8309037900874633E-2"/>
    <n v="0.14250000000000002"/>
    <n v="0.16618075801749277"/>
    <n v="1595.0769003731325"/>
    <n v="2292.9844895340607"/>
    <n v="11193.522107881628"/>
    <n v="134322.26529457956"/>
    <d v="2025-01-01T00:00:00"/>
    <s v="-"/>
    <s v="-"/>
  </r>
  <r>
    <s v="2.017.06"/>
    <x v="7"/>
    <x v="1"/>
    <s v="Regiao de Teofilo Otoni"/>
    <s v="Limpeza"/>
    <x v="0"/>
    <n v="1"/>
    <n v="0"/>
    <n v="1596.28"/>
    <n v="0"/>
    <n v="0"/>
    <n v="0"/>
    <n v="0"/>
    <n v="0"/>
    <n v="0"/>
    <n v="52.241900000000001"/>
    <n v="1648.5219"/>
    <n v="329.70438000000001"/>
    <n v="24.727828499999998"/>
    <n v="16.485219000000001"/>
    <n v="3.2970438"/>
    <n v="41.213047500000002"/>
    <n v="131.88175200000001"/>
    <n v="65.940876000000003"/>
    <n v="9.8911314000000008"/>
    <n v="623.14127819999999"/>
    <n v="137.376825"/>
    <n v="183.16909999999999"/>
    <n v="121.16635965"/>
    <n v="441.71228465000002"/>
    <n v="160.22320000000002"/>
    <n v="582"/>
    <n v="0"/>
    <n v="0"/>
    <n v="15.07"/>
    <n v="0"/>
    <n v="3.36"/>
    <n v="0"/>
    <n v="760.65320000000008"/>
    <n v="1825.5067628500001"/>
    <n v="11.559051416493055"/>
    <n v="0.92472411331944449"/>
    <n v="0.36988964532777785"/>
    <n v="5.7698266500000006"/>
    <n v="2.1809944737000007"/>
    <n v="50.40813631999999"/>
    <n v="1.3737682500000001"/>
    <n v="72.586390868840269"/>
    <n v="13.920851599999999"/>
    <n v="3.3428360749999997"/>
    <n v="0.28162249125"/>
    <n v="0.34344206250000003"/>
    <n v="2.1369728333333331"/>
    <n v="7.5697240734675013"/>
    <n v="27.595449135550833"/>
    <n v="0"/>
    <n v="0"/>
    <n v="0"/>
    <n v="0"/>
    <n v="27.595449135550833"/>
    <n v="100.80916666666666"/>
    <n v="35.518212958583888"/>
    <n v="64.529393914825576"/>
    <n v="690.27153277931654"/>
    <n v="0"/>
    <n v="891.12830631939266"/>
    <n v="4465.3388091737834"/>
    <n v="189.64880140242613"/>
    <n v="159.30499317803796"/>
    <n v="8.8629737609329504E-2"/>
    <n v="1.9241982507288629E-2"/>
    <n v="0.05"/>
    <n v="5.8309037900874633E-2"/>
    <n v="0.14250000000000002"/>
    <n v="0.16618075801749277"/>
    <n v="800.04279420988985"/>
    <n v="1148.9965887903541"/>
    <n v="5614.3353979641379"/>
    <n v="67372.024775569647"/>
    <d v="2025-01-01T00:00:00"/>
    <s v="-"/>
    <s v="-"/>
  </r>
  <r>
    <s v="2.019.03"/>
    <x v="8"/>
    <x v="2"/>
    <s v="Regiao de Sao Lourenco"/>
    <s v="Limpeza"/>
    <x v="0"/>
    <n v="1"/>
    <n v="0"/>
    <n v="544.17999999999995"/>
    <n v="0"/>
    <n v="0"/>
    <n v="0"/>
    <n v="0"/>
    <n v="0"/>
    <n v="0"/>
    <n v="19.590499999999999"/>
    <n v="563.77049999999997"/>
    <n v="112.75409999999999"/>
    <n v="8.4565574999999988"/>
    <n v="5.6377049999999995"/>
    <n v="1.1275409999999999"/>
    <n v="14.094262499999999"/>
    <n v="45.101639999999996"/>
    <n v="22.550819999999998"/>
    <n v="3.3826229999999997"/>
    <n v="213.10524899999996"/>
    <n v="46.980874999999997"/>
    <n v="62.641166666666663"/>
    <n v="41.437131749999992"/>
    <n v="151.05917341666665"/>
    <n v="223.3492"/>
    <n v="582"/>
    <n v="0"/>
    <n v="0"/>
    <n v="0"/>
    <n v="0"/>
    <n v="3.36"/>
    <n v="0"/>
    <n v="808.70920000000001"/>
    <n v="1172.8736224166666"/>
    <n v="3.9530273735532404"/>
    <n v="0.31624218988425928"/>
    <n v="0.12649687595370371"/>
    <n v="1.9731967500000003"/>
    <n v="0.74586837150000018"/>
    <n v="17.238849066666663"/>
    <n v="0.46980875"/>
    <n v="24.823489377557866"/>
    <n v="4.7607286666666662"/>
    <n v="1.1432012916666665"/>
    <n v="9.6310793749999998E-2"/>
    <n v="0.1174521875"/>
    <n v="0.73081361111111109"/>
    <n v="2.5887354761625003"/>
    <n v="9.4372420268569428"/>
    <n v="0"/>
    <n v="0"/>
    <n v="0"/>
    <n v="0"/>
    <n v="9.4372420268569428"/>
    <n v="62.806666666666665"/>
    <n v="12.108481690426325"/>
    <n v="21.998657016417809"/>
    <n v="235.31984072022155"/>
    <n v="0"/>
    <n v="332.23364609373232"/>
    <n v="2103.1384999148136"/>
    <n v="189.64880140242613"/>
    <n v="159.30499317803796"/>
    <n v="8.5633802816901458E-2"/>
    <n v="1.8591549295774657E-2"/>
    <n v="0.02"/>
    <n v="2.2535211267605645E-2"/>
    <n v="0.1125"/>
    <n v="0.12676056338028174"/>
    <n v="310.82860071066915"/>
    <n v="659.7823952911333"/>
    <n v="2762.9208952059471"/>
    <n v="33155.050742471365"/>
    <d v="2025-01-01T00:00:00"/>
    <s v="-"/>
    <s v="-"/>
  </r>
  <r>
    <s v="2.023.03"/>
    <x v="9"/>
    <x v="2"/>
    <s v="Regiao de Joao Monlevade"/>
    <s v="Limpeza"/>
    <x v="0"/>
    <n v="1"/>
    <n v="0"/>
    <n v="544.17999999999995"/>
    <n v="0"/>
    <n v="0"/>
    <n v="0"/>
    <n v="0"/>
    <n v="0"/>
    <n v="0"/>
    <n v="19.590499999999999"/>
    <n v="563.77049999999997"/>
    <n v="112.75409999999999"/>
    <n v="8.4565574999999988"/>
    <n v="5.6377049999999995"/>
    <n v="1.1275409999999999"/>
    <n v="14.094262499999999"/>
    <n v="45.101639999999996"/>
    <n v="22.550819999999998"/>
    <n v="3.3826229999999997"/>
    <n v="213.10524899999996"/>
    <n v="46.980874999999997"/>
    <n v="62.641166666666663"/>
    <n v="41.437131749999992"/>
    <n v="151.05917341666665"/>
    <n v="223.3492"/>
    <n v="582"/>
    <n v="0"/>
    <n v="0"/>
    <n v="0"/>
    <n v="0"/>
    <n v="3.36"/>
    <n v="0"/>
    <n v="808.70920000000001"/>
    <n v="1172.8736224166666"/>
    <n v="3.9530273735532404"/>
    <n v="0.31624218988425928"/>
    <n v="0.12649687595370371"/>
    <n v="1.9731967500000003"/>
    <n v="0.74586837150000018"/>
    <n v="17.238849066666663"/>
    <n v="0.46980875"/>
    <n v="24.823489377557866"/>
    <n v="4.7607286666666662"/>
    <n v="1.1432012916666665"/>
    <n v="9.6310793749999998E-2"/>
    <n v="0.1174521875"/>
    <n v="0.73081361111111109"/>
    <n v="2.5887354761625003"/>
    <n v="9.4372420268569428"/>
    <n v="0"/>
    <n v="0"/>
    <n v="0"/>
    <n v="0"/>
    <n v="9.4372420268569428"/>
    <n v="62.806666666666665"/>
    <n v="12.108481690426325"/>
    <n v="21.998657016417809"/>
    <n v="235.31984072022155"/>
    <n v="0"/>
    <n v="332.23364609373232"/>
    <n v="2103.1384999148136"/>
    <n v="189.64880140242613"/>
    <n v="159.30499317803796"/>
    <n v="8.8629737609329504E-2"/>
    <n v="1.9241982507288629E-2"/>
    <n v="0.05"/>
    <n v="5.8309037900874633E-2"/>
    <n v="0.14250000000000002"/>
    <n v="0.16618075801749277"/>
    <n v="407.49055622807833"/>
    <n v="756.44435080854237"/>
    <n v="2859.5828507233559"/>
    <n v="34314.994208680269"/>
    <d v="2025-01-01T00:00:00"/>
    <s v="-"/>
    <s v="-"/>
  </r>
  <r>
    <s v="2.026.04"/>
    <x v="10"/>
    <x v="0"/>
    <s v="Regiao de Sao Lourenco"/>
    <s v="Limpeza"/>
    <x v="0"/>
    <n v="1"/>
    <n v="0"/>
    <n v="798.14"/>
    <n v="0"/>
    <n v="0"/>
    <n v="0"/>
    <n v="0"/>
    <n v="0"/>
    <n v="0"/>
    <n v="26.120899999999999"/>
    <n v="824.26089999999999"/>
    <n v="164.85218"/>
    <n v="12.363913499999999"/>
    <n v="8.2426089999999999"/>
    <n v="1.6485217999999999"/>
    <n v="20.606522500000001"/>
    <n v="65.940871999999999"/>
    <n v="32.970435999999999"/>
    <n v="4.9455654000000004"/>
    <n v="311.57062020000001"/>
    <n v="68.688408333333328"/>
    <n v="91.584544444444433"/>
    <n v="60.583176149999993"/>
    <n v="220.85612892777775"/>
    <n v="208.11160000000001"/>
    <n v="582"/>
    <n v="0"/>
    <n v="0"/>
    <n v="0"/>
    <n v="0"/>
    <n v="3.36"/>
    <n v="0"/>
    <n v="793.47159999999997"/>
    <n v="1325.8983491277777"/>
    <n v="5.7795253576581791"/>
    <n v="0.46236202861265435"/>
    <n v="0.18494481144506175"/>
    <n v="2.8849131500000005"/>
    <n v="1.0904971707000004"/>
    <n v="25.204066631111107"/>
    <n v="0.6868840833333334"/>
    <n v="36.293193232860339"/>
    <n v="6.9604253777777769"/>
    <n v="1.671417936111111"/>
    <n v="0.14081123708333332"/>
    <n v="0.17172102083333335"/>
    <n v="1.0684863518518517"/>
    <n v="3.7848618071425006"/>
    <n v="13.797723730799909"/>
    <n v="0"/>
    <n v="0"/>
    <n v="0"/>
    <n v="0"/>
    <n v="13.797723730799909"/>
    <n v="62.806666666666665"/>
    <n v="17.759106479291944"/>
    <n v="32.264696957412788"/>
    <n v="345.13576638965827"/>
    <n v="0"/>
    <n v="457.96623649302967"/>
    <n v="2658.2164025844677"/>
    <n v="189.64880140242613"/>
    <n v="159.30499317803796"/>
    <n v="8.8629737609329504E-2"/>
    <n v="1.9241982507288629E-2"/>
    <n v="0.05"/>
    <n v="5.8309037900874633E-2"/>
    <n v="0.14250000000000002"/>
    <n v="0.16618075801749277"/>
    <n v="499.73382285248152"/>
    <n v="848.68761743294567"/>
    <n v="3506.9040200174131"/>
    <n v="42082.848240208958"/>
    <d v="2025-01-01T00:00:00"/>
    <s v="-"/>
    <s v="-"/>
  </r>
  <r>
    <s v="2.028.04"/>
    <x v="11"/>
    <x v="0"/>
    <s v="Regiao de Sao Lourenco"/>
    <s v="Limpeza"/>
    <x v="0"/>
    <n v="1"/>
    <n v="0"/>
    <n v="798.14"/>
    <n v="0"/>
    <n v="0"/>
    <n v="0"/>
    <n v="0"/>
    <n v="0"/>
    <n v="0"/>
    <n v="26.120899999999999"/>
    <n v="824.26089999999999"/>
    <n v="164.85218"/>
    <n v="12.363913499999999"/>
    <n v="8.2426089999999999"/>
    <n v="1.6485217999999999"/>
    <n v="20.606522500000001"/>
    <n v="65.940871999999999"/>
    <n v="32.970435999999999"/>
    <n v="4.9455654000000004"/>
    <n v="311.57062020000001"/>
    <n v="68.688408333333328"/>
    <n v="91.584544444444433"/>
    <n v="60.583176149999993"/>
    <n v="220.85612892777775"/>
    <n v="208.11160000000001"/>
    <n v="582"/>
    <n v="0"/>
    <n v="0"/>
    <n v="0"/>
    <n v="0"/>
    <n v="3.36"/>
    <n v="0"/>
    <n v="793.47159999999997"/>
    <n v="1325.8983491277777"/>
    <n v="5.7795253576581791"/>
    <n v="0.46236202861265435"/>
    <n v="0.18494481144506175"/>
    <n v="2.8849131500000005"/>
    <n v="1.0904971707000004"/>
    <n v="25.204066631111107"/>
    <n v="0.6868840833333334"/>
    <n v="36.293193232860339"/>
    <n v="6.9604253777777769"/>
    <n v="1.671417936111111"/>
    <n v="0.14081123708333332"/>
    <n v="0.17172102083333335"/>
    <n v="1.0684863518518517"/>
    <n v="3.7848618071425006"/>
    <n v="13.797723730799909"/>
    <n v="0"/>
    <n v="0"/>
    <n v="0"/>
    <n v="0"/>
    <n v="13.797723730799909"/>
    <n v="62.806666666666665"/>
    <n v="17.759106479291944"/>
    <n v="32.264696957412788"/>
    <n v="345.13576638965827"/>
    <n v="0"/>
    <n v="457.96623649302967"/>
    <n v="2658.2164025844677"/>
    <n v="189.64880140242613"/>
    <n v="159.30499317803796"/>
    <n v="8.6609686609686695E-2"/>
    <n v="1.880341880341882E-2"/>
    <n v="0.03"/>
    <n v="3.4188034188034219E-2"/>
    <n v="0.1225"/>
    <n v="0.13960113960113973"/>
    <n v="419.80438649880853"/>
    <n v="768.75818107927262"/>
    <n v="3426.9745836637403"/>
    <n v="41123.69500396488"/>
    <d v="2025-01-01T00:00:00"/>
    <s v="-"/>
    <s v="-"/>
  </r>
  <r>
    <s v="2.034.04"/>
    <x v="12"/>
    <x v="0"/>
    <s v="Fethemg Interior"/>
    <s v="Limpeza"/>
    <x v="0"/>
    <n v="1"/>
    <n v="0"/>
    <n v="798.14"/>
    <n v="0"/>
    <n v="0"/>
    <n v="0"/>
    <n v="0"/>
    <n v="0"/>
    <n v="0"/>
    <n v="26.120899999999999"/>
    <n v="824.26089999999999"/>
    <n v="164.85218"/>
    <n v="12.363913499999999"/>
    <n v="8.2426089999999999"/>
    <n v="1.6485217999999999"/>
    <n v="20.606522500000001"/>
    <n v="65.940871999999999"/>
    <n v="32.970435999999999"/>
    <n v="4.9455654000000004"/>
    <n v="311.57062020000001"/>
    <n v="68.688408333333328"/>
    <n v="91.584544444444433"/>
    <n v="60.583176149999993"/>
    <n v="220.85612892777775"/>
    <n v="208.11160000000001"/>
    <n v="582"/>
    <n v="0"/>
    <n v="0"/>
    <n v="15.07"/>
    <n v="0"/>
    <n v="3.36"/>
    <n v="0"/>
    <n v="808.54160000000002"/>
    <n v="1340.9683491277779"/>
    <n v="5.7795253576581791"/>
    <n v="0.46236202861265435"/>
    <n v="0.18494481144506175"/>
    <n v="2.8849131500000005"/>
    <n v="1.0904971707000004"/>
    <n v="25.204066631111107"/>
    <n v="0.6868840833333334"/>
    <n v="36.293193232860339"/>
    <n v="6.9604253777777769"/>
    <n v="1.671417936111111"/>
    <n v="0.14081123708333332"/>
    <n v="0.17172102083333335"/>
    <n v="1.0684863518518517"/>
    <n v="3.7848618071425006"/>
    <n v="13.797723730799909"/>
    <n v="0"/>
    <n v="0"/>
    <n v="0"/>
    <n v="0"/>
    <n v="13.797723730799909"/>
    <n v="62.806666666666665"/>
    <n v="17.759106479291944"/>
    <n v="32.264696957412788"/>
    <n v="345.13576638965827"/>
    <n v="0"/>
    <n v="457.96623649302967"/>
    <n v="2673.2864025844674"/>
    <n v="189.64880140242613"/>
    <n v="159.30499317803796"/>
    <n v="8.6609686609686695E-2"/>
    <n v="1.880341880341882E-2"/>
    <n v="0.03"/>
    <n v="3.4188034188034219E-2"/>
    <n v="0.1225"/>
    <n v="0.13960113960113973"/>
    <n v="421.90817567259768"/>
    <n v="770.86197025306183"/>
    <n v="3444.1483728375292"/>
    <n v="41329.780474050349"/>
    <d v="2025-01-01T00:00:00"/>
    <s v="-"/>
    <s v="-"/>
  </r>
  <r>
    <s v="2.035.06"/>
    <x v="13"/>
    <x v="1"/>
    <s v="Alto Paranaiba"/>
    <s v="Limpeza"/>
    <x v="0"/>
    <n v="2"/>
    <n v="0"/>
    <n v="3192.56"/>
    <n v="0"/>
    <n v="0"/>
    <n v="0"/>
    <n v="0"/>
    <n v="0"/>
    <n v="0"/>
    <n v="104.4838"/>
    <n v="3297.0437999999999"/>
    <n v="659.40876000000003"/>
    <n v="49.455656999999995"/>
    <n v="32.970438000000001"/>
    <n v="6.5940875999999999"/>
    <n v="82.426095000000004"/>
    <n v="263.76350400000001"/>
    <n v="131.88175200000001"/>
    <n v="19.782262800000002"/>
    <n v="1246.2825564"/>
    <n v="274.75364999999999"/>
    <n v="366.33819999999997"/>
    <n v="242.33271930000001"/>
    <n v="883.42456930000003"/>
    <n v="320.44640000000004"/>
    <n v="0"/>
    <n v="775.58"/>
    <n v="85.94"/>
    <n v="0"/>
    <n v="0"/>
    <n v="6.72"/>
    <n v="0"/>
    <n v="1188.6864000000003"/>
    <n v="3318.3935257000003"/>
    <n v="23.118102832986111"/>
    <n v="1.849448226638889"/>
    <n v="0.7397792906555557"/>
    <n v="11.539653300000001"/>
    <n v="4.3619889474000013"/>
    <n v="100.81627263999998"/>
    <n v="2.7475365000000003"/>
    <n v="145.17278173768054"/>
    <n v="27.841703199999998"/>
    <n v="6.6856721499999994"/>
    <n v="0.56324498249999999"/>
    <n v="0.68688412500000007"/>
    <n v="4.2739456666666662"/>
    <n v="15.139448146935003"/>
    <n v="55.190898271101666"/>
    <n v="0"/>
    <n v="0"/>
    <n v="0"/>
    <n v="0"/>
    <n v="55.190898271101666"/>
    <n v="201.61833333333331"/>
    <n v="71.036425917167776"/>
    <n v="129.05878782965115"/>
    <n v="1380.5430655586331"/>
    <n v="0"/>
    <n v="1782.2566126387853"/>
    <n v="8598.0576183475678"/>
    <n v="379.29760280485226"/>
    <n v="318.60998635607592"/>
    <n v="8.6609686609686695E-2"/>
    <n v="1.880341880341882E-2"/>
    <n v="0.03"/>
    <n v="3.4188034188034219E-2"/>
    <n v="0.1225"/>
    <n v="0.13960113960113973"/>
    <n v="1297.7273366607315"/>
    <n v="1995.6349258216596"/>
    <n v="10593.692544169227"/>
    <n v="127124.31053003072"/>
    <d v="2025-01-01T00:00:00"/>
    <s v="-"/>
    <s v="-"/>
  </r>
  <r>
    <s v="2.040.06"/>
    <x v="14"/>
    <x v="1"/>
    <s v="Araxa"/>
    <s v="Limpeza"/>
    <x v="0"/>
    <n v="2"/>
    <n v="0"/>
    <n v="3298.24"/>
    <n v="0"/>
    <n v="0"/>
    <n v="0"/>
    <n v="0"/>
    <n v="0"/>
    <n v="0"/>
    <n v="107.94240000000001"/>
    <n v="3406.1823999999997"/>
    <n v="681.23648000000003"/>
    <n v="51.092735999999995"/>
    <n v="34.061823999999994"/>
    <n v="6.8123647999999992"/>
    <n v="85.154560000000004"/>
    <n v="272.49459199999995"/>
    <n v="136.24729599999998"/>
    <n v="20.437094399999999"/>
    <n v="1287.5369472"/>
    <n v="283.84853333333331"/>
    <n v="378.46471111111106"/>
    <n v="250.35440639999999"/>
    <n v="912.66765084444432"/>
    <n v="314.10559999999998"/>
    <n v="1164"/>
    <n v="0"/>
    <n v="117.92"/>
    <n v="0"/>
    <n v="0"/>
    <n v="6.72"/>
    <n v="0"/>
    <n v="1602.7456"/>
    <n v="3802.9501980444447"/>
    <n v="23.883357264197528"/>
    <n v="1.9106685811358024"/>
    <n v="0.76426743245432105"/>
    <n v="11.921638400000001"/>
    <n v="4.5063793152000011"/>
    <n v="104.15348849777776"/>
    <n v="2.8384853333333333"/>
    <n v="149.97828482409875"/>
    <n v="28.763318044444439"/>
    <n v="6.9069809777777769"/>
    <n v="0.58188949333333329"/>
    <n v="0.70962133333333333"/>
    <n v="4.4154216296296287"/>
    <n v="15.640593498880001"/>
    <n v="57.017824977398512"/>
    <n v="0"/>
    <n v="0"/>
    <n v="0"/>
    <n v="0"/>
    <n v="57.017824977398512"/>
    <n v="201.61833333333331"/>
    <n v="71.036425917167776"/>
    <n v="129.05878782965115"/>
    <n v="1380.5430655586331"/>
    <n v="0"/>
    <n v="1782.2566126387853"/>
    <n v="9198.3853204847273"/>
    <n v="379.29760280485226"/>
    <n v="318.60998635607592"/>
    <n v="8.5633802816901458E-2"/>
    <n v="1.8591549295774657E-2"/>
    <n v="0.02"/>
    <n v="2.2535211267605645E-2"/>
    <n v="0.1125"/>
    <n v="0.12676056338028174"/>
    <n v="1254.4596646029709"/>
    <n v="1952.367253763899"/>
    <n v="11150.752574248627"/>
    <n v="133809.03089098353"/>
    <d v="2025-01-01T00:00:00"/>
    <s v="-"/>
    <s v="-"/>
  </r>
  <r>
    <s v="2.042.03"/>
    <x v="15"/>
    <x v="2"/>
    <s v="Regiao de Divinopolis"/>
    <s v="Limpeza"/>
    <x v="0"/>
    <n v="1"/>
    <n v="0"/>
    <n v="544.17999999999995"/>
    <n v="0"/>
    <n v="0"/>
    <n v="0"/>
    <n v="0"/>
    <n v="0"/>
    <n v="0"/>
    <n v="19.590499999999999"/>
    <n v="563.77049999999997"/>
    <n v="112.75409999999999"/>
    <n v="8.4565574999999988"/>
    <n v="5.6377049999999995"/>
    <n v="1.1275409999999999"/>
    <n v="14.094262499999999"/>
    <n v="45.101639999999996"/>
    <n v="22.550819999999998"/>
    <n v="3.3826229999999997"/>
    <n v="213.10524899999996"/>
    <n v="46.980874999999997"/>
    <n v="62.641166666666663"/>
    <n v="41.437131749999992"/>
    <n v="151.05917341666665"/>
    <n v="223.3492"/>
    <n v="582"/>
    <n v="0"/>
    <n v="51.88"/>
    <n v="0"/>
    <n v="0"/>
    <n v="3.36"/>
    <n v="0"/>
    <n v="860.58920000000001"/>
    <n v="1224.7536224166665"/>
    <n v="3.9530273735532404"/>
    <n v="0.31624218988425928"/>
    <n v="0.12649687595370371"/>
    <n v="1.9731967500000003"/>
    <n v="0.74586837150000018"/>
    <n v="17.238849066666663"/>
    <n v="0.46980875"/>
    <n v="24.823489377557866"/>
    <n v="4.7607286666666662"/>
    <n v="1.1432012916666665"/>
    <n v="9.6310793749999998E-2"/>
    <n v="0.1174521875"/>
    <n v="0.73081361111111109"/>
    <n v="2.5887354761625003"/>
    <n v="9.4372420268569428"/>
    <n v="0"/>
    <n v="0"/>
    <n v="0"/>
    <n v="0"/>
    <n v="9.4372420268569428"/>
    <n v="62.806666666666665"/>
    <n v="12.108481690426325"/>
    <n v="21.998657016417809"/>
    <n v="235.31984072022155"/>
    <n v="0"/>
    <n v="332.23364609373232"/>
    <n v="2155.0184999148137"/>
    <n v="189.64880140242613"/>
    <n v="159.30499317803796"/>
    <n v="8.5633802816901458E-2"/>
    <n v="1.8591549295774657E-2"/>
    <n v="0.02"/>
    <n v="2.2535211267605645E-2"/>
    <n v="0.1125"/>
    <n v="0.12676056338028174"/>
    <n v="317.40493873883815"/>
    <n v="666.35873331930225"/>
    <n v="2821.3772332341159"/>
    <n v="33856.526798809391"/>
    <d v="2025-01-01T00:00:00"/>
    <s v="-"/>
    <s v="-"/>
  </r>
  <r>
    <s v="2.043.04"/>
    <x v="16"/>
    <x v="0"/>
    <s v="Regiao de Sao Lourenco"/>
    <s v="Limpeza"/>
    <x v="0"/>
    <n v="1"/>
    <n v="0"/>
    <n v="798.14"/>
    <n v="0"/>
    <n v="0"/>
    <n v="0"/>
    <n v="0"/>
    <n v="0"/>
    <n v="0"/>
    <n v="26.120899999999999"/>
    <n v="824.26089999999999"/>
    <n v="164.85218"/>
    <n v="12.363913499999999"/>
    <n v="8.2426089999999999"/>
    <n v="1.6485217999999999"/>
    <n v="20.606522500000001"/>
    <n v="65.940871999999999"/>
    <n v="32.970435999999999"/>
    <n v="4.9455654000000004"/>
    <n v="311.57062020000001"/>
    <n v="68.688408333333328"/>
    <n v="91.584544444444433"/>
    <n v="60.583176149999993"/>
    <n v="220.85612892777775"/>
    <n v="208.11160000000001"/>
    <n v="582"/>
    <n v="0"/>
    <n v="0"/>
    <n v="0"/>
    <n v="0"/>
    <n v="3.36"/>
    <n v="0"/>
    <n v="793.47159999999997"/>
    <n v="1325.8983491277777"/>
    <n v="5.7795253576581791"/>
    <n v="0.46236202861265435"/>
    <n v="0.18494481144506175"/>
    <n v="2.8849131500000005"/>
    <n v="1.0904971707000004"/>
    <n v="25.204066631111107"/>
    <n v="0.6868840833333334"/>
    <n v="36.293193232860339"/>
    <n v="6.9604253777777769"/>
    <n v="1.671417936111111"/>
    <n v="0.14081123708333332"/>
    <n v="0.17172102083333335"/>
    <n v="1.0684863518518517"/>
    <n v="3.7848618071425006"/>
    <n v="13.797723730799909"/>
    <n v="0"/>
    <n v="0"/>
    <n v="0"/>
    <n v="0"/>
    <n v="13.797723730799909"/>
    <n v="62.806666666666665"/>
    <n v="17.759106479291944"/>
    <n v="32.264696957412788"/>
    <n v="345.13576638965827"/>
    <n v="0"/>
    <n v="457.96623649302967"/>
    <n v="2658.2164025844677"/>
    <n v="189.64880140242613"/>
    <n v="159.30499317803796"/>
    <n v="8.7608069164265154E-2"/>
    <n v="1.9020172910662814E-2"/>
    <n v="0.04"/>
    <n v="4.6109510086455294E-2"/>
    <n v="0.13250000000000001"/>
    <n v="0.15273775216138324"/>
    <n v="459.30841628167536"/>
    <n v="808.26221086213945"/>
    <n v="3466.4786134466071"/>
    <n v="41597.743361359288"/>
    <d v="2025-01-01T00:00:00"/>
    <s v="-"/>
    <s v="-"/>
  </r>
  <r>
    <s v="2.778.03"/>
    <x v="17"/>
    <x v="2"/>
    <s v="Fethemg Interior"/>
    <s v="Limpeza"/>
    <x v="0"/>
    <n v="1"/>
    <n v="0"/>
    <n v="544.17999999999995"/>
    <n v="0"/>
    <n v="0"/>
    <n v="0"/>
    <n v="0"/>
    <n v="0"/>
    <n v="0"/>
    <n v="19.590499999999999"/>
    <n v="563.77049999999997"/>
    <n v="112.75409999999999"/>
    <n v="8.4565574999999988"/>
    <n v="5.6377049999999995"/>
    <n v="1.1275409999999999"/>
    <n v="14.094262499999999"/>
    <n v="45.101639999999996"/>
    <n v="22.550819999999998"/>
    <n v="3.3826229999999997"/>
    <n v="213.10524899999996"/>
    <n v="46.980874999999997"/>
    <n v="62.641166666666663"/>
    <n v="41.437131749999992"/>
    <n v="151.05917341666665"/>
    <n v="223.3492"/>
    <n v="582"/>
    <n v="0"/>
    <n v="0"/>
    <n v="15.07"/>
    <n v="0"/>
    <n v="3.36"/>
    <n v="0"/>
    <n v="823.77920000000006"/>
    <n v="1187.9436224166666"/>
    <n v="3.9530273735532404"/>
    <n v="0.31624218988425928"/>
    <n v="0.12649687595370371"/>
    <n v="1.9731967500000003"/>
    <n v="0.74586837150000018"/>
    <n v="17.238849066666663"/>
    <n v="0.46980875"/>
    <n v="24.823489377557866"/>
    <n v="4.7607286666666662"/>
    <n v="1.1432012916666665"/>
    <n v="9.6310793749999998E-2"/>
    <n v="0.1174521875"/>
    <n v="0.73081361111111109"/>
    <n v="2.5887354761625003"/>
    <n v="9.4372420268569428"/>
    <n v="0"/>
    <n v="0"/>
    <n v="0"/>
    <n v="0"/>
    <n v="9.4372420268569428"/>
    <n v="62.806666666666665"/>
    <n v="12.108481690426325"/>
    <n v="21.998657016417809"/>
    <n v="235.31984072022155"/>
    <n v="0"/>
    <n v="332.23364609373232"/>
    <n v="2118.2084999148137"/>
    <n v="189.64880140242613"/>
    <n v="159.30499317803796"/>
    <n v="8.6609686609686695E-2"/>
    <n v="1.880341880341882E-2"/>
    <n v="0.03"/>
    <n v="3.4188034188034219E-2"/>
    <n v="0.1225"/>
    <n v="0.13960113960113973"/>
    <n v="344.41866789250349"/>
    <n v="693.37246247296753"/>
    <n v="2811.5809623877813"/>
    <n v="33738.971548653375"/>
    <d v="2025-01-01T00:00:00"/>
    <s v="-"/>
    <s v="-"/>
  </r>
  <r>
    <s v="2.049.03"/>
    <x v="18"/>
    <x v="2"/>
    <s v="Regiao de Sao Lourenco"/>
    <s v="Limpeza"/>
    <x v="0"/>
    <n v="1"/>
    <n v="0"/>
    <n v="544.17999999999995"/>
    <n v="0"/>
    <n v="0"/>
    <n v="0"/>
    <n v="0"/>
    <n v="0"/>
    <n v="0"/>
    <n v="19.590499999999999"/>
    <n v="563.77049999999997"/>
    <n v="112.75409999999999"/>
    <n v="8.4565574999999988"/>
    <n v="5.6377049999999995"/>
    <n v="1.1275409999999999"/>
    <n v="14.094262499999999"/>
    <n v="45.101639999999996"/>
    <n v="22.550819999999998"/>
    <n v="3.3826229999999997"/>
    <n v="213.10524899999996"/>
    <n v="46.980874999999997"/>
    <n v="62.641166666666663"/>
    <n v="41.437131749999992"/>
    <n v="151.05917341666665"/>
    <n v="223.3492"/>
    <n v="582"/>
    <n v="0"/>
    <n v="0"/>
    <n v="0"/>
    <n v="0"/>
    <n v="3.36"/>
    <n v="0"/>
    <n v="808.70920000000001"/>
    <n v="1172.8736224166666"/>
    <n v="3.9530273735532404"/>
    <n v="0.31624218988425928"/>
    <n v="0.12649687595370371"/>
    <n v="1.9731967500000003"/>
    <n v="0.74586837150000018"/>
    <n v="17.238849066666663"/>
    <n v="0.46980875"/>
    <n v="24.823489377557866"/>
    <n v="4.7607286666666662"/>
    <n v="1.1432012916666665"/>
    <n v="9.6310793749999998E-2"/>
    <n v="0.1174521875"/>
    <n v="0.73081361111111109"/>
    <n v="2.5887354761625003"/>
    <n v="9.4372420268569428"/>
    <n v="0"/>
    <n v="0"/>
    <n v="0"/>
    <n v="0"/>
    <n v="9.4372420268569428"/>
    <n v="62.806666666666665"/>
    <n v="12.108481690426325"/>
    <n v="21.998657016417809"/>
    <n v="235.31984072022155"/>
    <n v="0"/>
    <n v="332.23364609373232"/>
    <n v="2103.1384999148136"/>
    <n v="189.64880140242613"/>
    <n v="159.30499317803796"/>
    <n v="8.6609686609686695E-2"/>
    <n v="1.880341880341882E-2"/>
    <n v="0.03"/>
    <n v="3.4188034188034219E-2"/>
    <n v="0.1225"/>
    <n v="0.13960113960113973"/>
    <n v="342.31487871871428"/>
    <n v="691.26867329917832"/>
    <n v="2794.4071732139919"/>
    <n v="33532.886078567899"/>
    <d v="2025-01-01T00:00:00"/>
    <s v="-"/>
    <s v="-"/>
  </r>
  <r>
    <s v="2.054.04"/>
    <x v="19"/>
    <x v="0"/>
    <s v="Regiao de Joao Monlevade"/>
    <s v="Limpeza"/>
    <x v="0"/>
    <n v="1"/>
    <n v="0"/>
    <n v="798.14"/>
    <n v="0"/>
    <n v="0"/>
    <n v="0"/>
    <n v="0"/>
    <n v="0"/>
    <n v="0"/>
    <n v="26.120899999999999"/>
    <n v="824.26089999999999"/>
    <n v="164.85218"/>
    <n v="12.363913499999999"/>
    <n v="8.2426089999999999"/>
    <n v="1.6485217999999999"/>
    <n v="20.606522500000001"/>
    <n v="65.940871999999999"/>
    <n v="32.970435999999999"/>
    <n v="4.9455654000000004"/>
    <n v="311.57062020000001"/>
    <n v="68.688408333333328"/>
    <n v="91.584544444444433"/>
    <n v="60.583176149999993"/>
    <n v="220.85612892777775"/>
    <n v="208.11160000000001"/>
    <n v="582"/>
    <n v="0"/>
    <n v="50.74"/>
    <n v="0"/>
    <n v="0"/>
    <n v="3.36"/>
    <n v="0"/>
    <n v="844.21159999999998"/>
    <n v="1376.6383491277777"/>
    <n v="5.7795253576581791"/>
    <n v="0.46236202861265435"/>
    <n v="0.18494481144506175"/>
    <n v="2.8849131500000005"/>
    <n v="1.0904971707000004"/>
    <n v="25.204066631111107"/>
    <n v="0.6868840833333334"/>
    <n v="36.293193232860339"/>
    <n v="6.9604253777777769"/>
    <n v="1.671417936111111"/>
    <n v="0.14081123708333332"/>
    <n v="0.17172102083333335"/>
    <n v="1.0684863518518517"/>
    <n v="3.7848618071425006"/>
    <n v="13.797723730799909"/>
    <n v="0"/>
    <n v="0"/>
    <n v="0"/>
    <n v="0"/>
    <n v="13.797723730799909"/>
    <n v="62.806666666666665"/>
    <n v="17.759106479291944"/>
    <n v="32.264696957412788"/>
    <n v="345.13576638965827"/>
    <n v="0"/>
    <n v="457.96623649302967"/>
    <n v="2708.9564025844675"/>
    <n v="189.64880140242613"/>
    <n v="159.30499317803796"/>
    <n v="8.8629737609329504E-2"/>
    <n v="1.9241982507288629E-2"/>
    <n v="0.05"/>
    <n v="5.8309037900874633E-2"/>
    <n v="0.14250000000000002"/>
    <n v="0.16618075801749277"/>
    <n v="508.16583451428909"/>
    <n v="857.11962909475324"/>
    <n v="3566.0760316792207"/>
    <n v="42792.91238015065"/>
    <d v="2025-01-01T00:00:00"/>
    <s v="-"/>
    <s v="-"/>
  </r>
  <r>
    <s v="2.056.06"/>
    <x v="20"/>
    <x v="1"/>
    <s v="Regiao de Juiz de Fora"/>
    <s v="Limpeza"/>
    <x v="0"/>
    <n v="2"/>
    <n v="0"/>
    <n v="3192.56"/>
    <n v="0"/>
    <n v="0"/>
    <n v="0"/>
    <n v="0"/>
    <n v="0"/>
    <n v="0"/>
    <n v="104.4838"/>
    <n v="3297.0437999999999"/>
    <n v="659.40876000000003"/>
    <n v="49.455656999999995"/>
    <n v="32.970438000000001"/>
    <n v="6.5940875999999999"/>
    <n v="82.426095000000004"/>
    <n v="263.76350400000001"/>
    <n v="131.88175200000001"/>
    <n v="19.782262800000002"/>
    <n v="1246.2825564"/>
    <n v="274.75364999999999"/>
    <n v="366.33819999999997"/>
    <n v="242.33271930000001"/>
    <n v="883.42456930000003"/>
    <n v="320.44640000000004"/>
    <n v="1164"/>
    <n v="0"/>
    <n v="103.76"/>
    <n v="0"/>
    <n v="0"/>
    <n v="6.72"/>
    <n v="0"/>
    <n v="1594.9264000000001"/>
    <n v="3724.6335257000001"/>
    <n v="23.118102832986111"/>
    <n v="1.849448226638889"/>
    <n v="0.7397792906555557"/>
    <n v="11.539653300000001"/>
    <n v="4.3619889474000013"/>
    <n v="100.81627263999998"/>
    <n v="2.7475365000000003"/>
    <n v="145.17278173768054"/>
    <n v="27.841703199999998"/>
    <n v="6.6856721499999994"/>
    <n v="0.56324498249999999"/>
    <n v="0.68688412500000007"/>
    <n v="4.2739456666666662"/>
    <n v="15.139448146935003"/>
    <n v="55.190898271101666"/>
    <n v="0"/>
    <n v="0"/>
    <n v="0"/>
    <n v="0"/>
    <n v="55.190898271101666"/>
    <n v="201.61833333333331"/>
    <n v="71.036425917167776"/>
    <n v="129.05878782965115"/>
    <n v="1380.5430655586331"/>
    <n v="0"/>
    <n v="1782.2566126387853"/>
    <n v="9004.2976183475675"/>
    <n v="379.29760280485226"/>
    <n v="318.60998635607592"/>
    <n v="8.6118980169971604E-2"/>
    <n v="1.8696883852691224E-2"/>
    <n v="2.5000000000000001E-2"/>
    <n v="2.8328611898017008E-2"/>
    <n v="0.11749999999999999"/>
    <n v="0.13314447592067982"/>
    <n v="1291.7950276286092"/>
    <n v="1989.7026167895374"/>
    <n v="10994.000235137104"/>
    <n v="131928.00282164523"/>
    <d v="2025-01-01T00:00:00"/>
    <s v="-"/>
    <s v="-"/>
  </r>
  <r>
    <s v="2.024.01"/>
    <x v="21"/>
    <x v="4"/>
    <s v="SEAC/SINDEAC"/>
    <s v="Limpeza"/>
    <x v="0"/>
    <n v="2"/>
    <n v="0"/>
    <n v="3298.24"/>
    <n v="0"/>
    <n v="0"/>
    <n v="0"/>
    <n v="0"/>
    <n v="0"/>
    <n v="0"/>
    <n v="107.94240000000001"/>
    <n v="3406.1823999999997"/>
    <n v="681.23648000000003"/>
    <n v="51.092735999999995"/>
    <n v="34.061823999999994"/>
    <n v="6.8123647999999992"/>
    <n v="85.154560000000004"/>
    <n v="272.49459199999995"/>
    <n v="136.24729599999998"/>
    <n v="20.437094399999999"/>
    <n v="1287.5369472"/>
    <n v="283.84853333333331"/>
    <n v="378.46471111111106"/>
    <n v="250.35440639999999"/>
    <n v="912.66765084444432"/>
    <n v="702.10559999999998"/>
    <n v="1164"/>
    <n v="0"/>
    <n v="191.8"/>
    <n v="0"/>
    <n v="0"/>
    <n v="6.72"/>
    <n v="20.38"/>
    <n v="2085.0056"/>
    <n v="4285.210198044444"/>
    <n v="23.883357264197528"/>
    <n v="1.9106685811358024"/>
    <n v="0.76426743245432105"/>
    <n v="11.921638400000001"/>
    <n v="4.5063793152000011"/>
    <n v="104.15348849777776"/>
    <n v="2.8384853333333333"/>
    <n v="149.97828482409875"/>
    <n v="28.763318044444439"/>
    <n v="6.9069809777777769"/>
    <n v="0.58188949333333329"/>
    <n v="0.70962133333333333"/>
    <n v="4.4154216296296287"/>
    <n v="15.640593498880001"/>
    <n v="57.017824977398512"/>
    <n v="377.11305142857134"/>
    <n v="377.11305142857134"/>
    <n v="0"/>
    <n v="0"/>
    <n v="434.13087640596984"/>
    <n v="201.61833333333337"/>
    <n v="71.036425917167776"/>
    <n v="129.05878782965115"/>
    <n v="1380.5430655586331"/>
    <n v="0"/>
    <n v="1782.2566126387853"/>
    <n v="10057.758371913296"/>
    <n v="379.29760280485226"/>
    <n v="318.60998635607592"/>
    <n v="8.8629737609329504E-2"/>
    <n v="1.9241982507288629E-2"/>
    <n v="0.05"/>
    <n v="5.8309037900874633E-2"/>
    <n v="0.14250000000000002"/>
    <n v="0.16618075801749277"/>
    <n v="1787.3847223942596"/>
    <n v="2485.2923115551876"/>
    <n v="12543.050683468484"/>
    <n v="150516.6082016218"/>
    <d v="2025-01-01T00:00:00"/>
    <s v="-"/>
    <s v="-"/>
  </r>
  <r>
    <s v="2.024.02"/>
    <x v="21"/>
    <x v="5"/>
    <s v="SEAC/SINDEAC"/>
    <s v="Limpeza"/>
    <x v="0"/>
    <n v="2"/>
    <n v="0"/>
    <n v="3298.24"/>
    <n v="0"/>
    <n v="0"/>
    <n v="664.59540000000004"/>
    <n v="0"/>
    <n v="0"/>
    <n v="0"/>
    <n v="107.94240000000001"/>
    <n v="4070.7777999999998"/>
    <n v="814.15556000000004"/>
    <n v="61.061666999999993"/>
    <n v="40.707777999999998"/>
    <n v="8.1415556000000002"/>
    <n v="101.769445"/>
    <n v="325.66222399999998"/>
    <n v="162.83111199999999"/>
    <n v="24.424666800000001"/>
    <n v="1538.7540084"/>
    <n v="339.2314833333333"/>
    <n v="452.30864444444438"/>
    <n v="299.20216829999998"/>
    <n v="1090.7422960777776"/>
    <n v="702.10559999999998"/>
    <n v="1164"/>
    <n v="0"/>
    <n v="191.8"/>
    <n v="0"/>
    <n v="0"/>
    <n v="6.72"/>
    <n v="20.38"/>
    <n v="2085.0056"/>
    <n v="4714.5019044777782"/>
    <n v="28.543345341859567"/>
    <n v="2.2834676273487657"/>
    <n v="0.91338705093950634"/>
    <n v="14.247722300000001"/>
    <n v="5.3856390294000009"/>
    <n v="124.47533895111108"/>
    <n v="3.3923148333333333"/>
    <n v="179.24121513399226"/>
    <n v="34.375456977777773"/>
    <n v="8.254632761111111"/>
    <n v="0.69542454083333327"/>
    <n v="0.84807870833333332"/>
    <n v="5.2769341851851852"/>
    <n v="18.692299271485002"/>
    <n v="68.142826444725742"/>
    <n v="450.69325199999992"/>
    <n v="450.69325199999992"/>
    <n v="0"/>
    <n v="0"/>
    <n v="518.83607844472567"/>
    <n v="201.61833333333337"/>
    <n v="71.036425917167776"/>
    <n v="129.05878782965115"/>
    <n v="1380.5430655586331"/>
    <n v="0"/>
    <n v="1782.2566126387853"/>
    <n v="11265.61361069528"/>
    <n v="379.29760280485226"/>
    <n v="318.60998635607592"/>
    <n v="8.8629737609329504E-2"/>
    <n v="1.9241982507288629E-2"/>
    <n v="0.05"/>
    <n v="5.8309037900874633E-2"/>
    <n v="0.14250000000000002"/>
    <n v="0.16618075801749277"/>
    <n v="1988.1070215504492"/>
    <n v="2686.0146107113774"/>
    <n v="13951.628221406658"/>
    <n v="167419.53865687989"/>
    <d v="2025-01-01T00:00:00"/>
    <s v="-"/>
    <s v="-"/>
  </r>
  <r>
    <s v="2.024.03"/>
    <x v="21"/>
    <x v="2"/>
    <s v="SEAC/SINDEAC"/>
    <s v="Limpeza"/>
    <x v="0"/>
    <n v="1"/>
    <n v="0"/>
    <n v="562.20000000000005"/>
    <n v="0"/>
    <n v="0"/>
    <n v="0"/>
    <n v="0"/>
    <n v="0"/>
    <n v="0"/>
    <n v="20.2392"/>
    <n v="582.43920000000003"/>
    <n v="116.48784000000001"/>
    <n v="8.7365879999999994"/>
    <n v="5.8243920000000005"/>
    <n v="1.1648784000000001"/>
    <n v="14.560980000000001"/>
    <n v="46.595136000000004"/>
    <n v="23.297568000000002"/>
    <n v="3.4946352000000003"/>
    <n v="220.16201760000001"/>
    <n v="48.5366"/>
    <n v="64.715466666666671"/>
    <n v="42.809281200000008"/>
    <n v="156.06134786666669"/>
    <n v="416.26800000000003"/>
    <n v="582"/>
    <n v="0"/>
    <n v="95.9"/>
    <n v="0"/>
    <n v="0"/>
    <n v="3.36"/>
    <n v="10.19"/>
    <n v="1107.7180000000001"/>
    <n v="1483.9413654666669"/>
    <n v="4.0839279476851855"/>
    <n v="0.32671423581481485"/>
    <n v="0.13068569432592594"/>
    <n v="2.0385372000000004"/>
    <n v="0.77056706160000021"/>
    <n v="17.809696426666665"/>
    <n v="0.48536600000000008"/>
    <n v="25.645494566092591"/>
    <n v="4.9183754666666664"/>
    <n v="1.1810572666666665"/>
    <n v="9.9500030000000003E-2"/>
    <n v="0.12134150000000002"/>
    <n v="0.75501377777777778"/>
    <n v="2.6744588795400004"/>
    <n v="9.7497469206511109"/>
    <n v="0"/>
    <n v="0"/>
    <n v="0"/>
    <n v="0"/>
    <n v="9.7497469206511109"/>
    <n v="62.806666666666665"/>
    <n v="12.108481690426325"/>
    <n v="21.998657016417809"/>
    <n v="235.31984072022155"/>
    <n v="0"/>
    <n v="332.23364609373232"/>
    <n v="2434.0094530471424"/>
    <n v="189.64880140242613"/>
    <n v="159.30499317803796"/>
    <n v="8.8629737609329504E-2"/>
    <n v="1.9241982507288629E-2"/>
    <n v="0.05"/>
    <n v="5.8309037900874633E-2"/>
    <n v="0.14250000000000002"/>
    <n v="0.16618075801749277"/>
    <n v="462.47494202557908"/>
    <n v="811.42873660604323"/>
    <n v="3245.4381896531859"/>
    <n v="38945.258275838234"/>
    <d v="2025-01-01T00:00:00"/>
    <s v="-"/>
    <s v="-"/>
  </r>
  <r>
    <s v="2.024.04"/>
    <x v="21"/>
    <x v="0"/>
    <s v="SEAC/SINDEAC"/>
    <s v="Limpeza"/>
    <x v="0"/>
    <n v="6"/>
    <n v="0"/>
    <n v="4947.3599999999997"/>
    <n v="0"/>
    <n v="0"/>
    <n v="0"/>
    <n v="0"/>
    <n v="0"/>
    <n v="0"/>
    <n v="161.9136"/>
    <n v="5109.2735999999995"/>
    <n v="1021.85472"/>
    <n v="76.639103999999989"/>
    <n v="51.092735999999988"/>
    <n v="10.2185472"/>
    <n v="127.73184000000001"/>
    <n v="408.7418879999999"/>
    <n v="204.37094399999995"/>
    <n v="30.655641599999999"/>
    <n v="1931.3054207999999"/>
    <n v="425.77279999999996"/>
    <n v="567.69706666666661"/>
    <n v="375.53160959999997"/>
    <n v="1369.0014762666665"/>
    <n v="2403.1584000000003"/>
    <n v="3492"/>
    <n v="0"/>
    <n v="575.40000000000009"/>
    <n v="0"/>
    <n v="0"/>
    <n v="20.16"/>
    <n v="61.14"/>
    <n v="6551.8584000000001"/>
    <n v="9852.1652970666673"/>
    <n v="35.825035896296292"/>
    <n v="2.8660028717037038"/>
    <n v="1.1464011486814816"/>
    <n v="17.882457600000002"/>
    <n v="6.7595689728000021"/>
    <n v="156.23023274666664"/>
    <n v="4.2577280000000002"/>
    <n v="224.96742723614813"/>
    <n v="43.144977066666655"/>
    <n v="10.360471466666665"/>
    <n v="0.87283423999999998"/>
    <n v="1.064432"/>
    <n v="6.623132444444443"/>
    <n v="23.460890248320002"/>
    <n v="85.526737466097771"/>
    <n v="0"/>
    <n v="0"/>
    <n v="0"/>
    <n v="0"/>
    <n v="85.526737466097771"/>
    <n v="376.84"/>
    <n v="106.55463887575166"/>
    <n v="193.58818174447674"/>
    <n v="2070.8145983379495"/>
    <n v="0"/>
    <n v="2747.7974189581782"/>
    <n v="18019.730480727092"/>
    <n v="1137.8928084145568"/>
    <n v="955.82995906822771"/>
    <n v="8.8629737609329504E-2"/>
    <n v="1.9241982507288629E-2"/>
    <n v="0.05"/>
    <n v="5.8309037900874633E-2"/>
    <n v="0.14250000000000002"/>
    <n v="0.16618075801749277"/>
    <n v="3342.4689071369194"/>
    <n v="5436.1916746197039"/>
    <n v="23455.922155346794"/>
    <n v="281471.06586416153"/>
    <d v="2025-01-01T00:00:00"/>
    <s v="-"/>
    <s v="-"/>
  </r>
  <r>
    <s v="2.024.05"/>
    <x v="21"/>
    <x v="3"/>
    <s v="SEAC/SINDEAC"/>
    <s v="Limpeza"/>
    <x v="0"/>
    <n v="2"/>
    <n v="0"/>
    <n v="2248.7800000000002"/>
    <n v="0"/>
    <n v="0"/>
    <n v="0"/>
    <n v="0"/>
    <n v="0"/>
    <n v="0"/>
    <n v="80.956000000000003"/>
    <n v="2329.7360000000003"/>
    <n v="465.94720000000007"/>
    <n v="34.946040000000004"/>
    <n v="23.297360000000005"/>
    <n v="4.6594720000000009"/>
    <n v="58.243400000000008"/>
    <n v="186.37888000000004"/>
    <n v="93.189440000000019"/>
    <n v="13.978416000000003"/>
    <n v="880.64020800000003"/>
    <n v="194.14466666666669"/>
    <n v="258.85955555555557"/>
    <n v="171.23559599999999"/>
    <n v="624.23981822222231"/>
    <n v="765.07320000000004"/>
    <n v="1164"/>
    <n v="0"/>
    <n v="191.8"/>
    <n v="0"/>
    <n v="0"/>
    <n v="6.72"/>
    <n v="20.38"/>
    <n v="2147.9731999999999"/>
    <n v="3652.8532262222225"/>
    <n v="16.335565945987657"/>
    <n v="1.3068452756790125"/>
    <n v="0.52273811027160511"/>
    <n v="8.1540760000000017"/>
    <n v="3.0822407280000013"/>
    <n v="71.238149688888882"/>
    <n v="1.941446666666667"/>
    <n v="102.58106241549383"/>
    <n v="19.673326222222222"/>
    <n v="4.7241868888888892"/>
    <n v="0.39799656666666672"/>
    <n v="0.48536166666666675"/>
    <n v="3.0200281481481484"/>
    <n v="10.697740008200004"/>
    <n v="38.998639500792592"/>
    <n v="0"/>
    <n v="0"/>
    <n v="0"/>
    <n v="0"/>
    <n v="38.998639500792592"/>
    <n v="201.61833333333331"/>
    <n v="48.433926761705301"/>
    <n v="87.994628065671236"/>
    <n v="941.2793628808862"/>
    <n v="0"/>
    <n v="1279.3262510415962"/>
    <n v="7403.495179180105"/>
    <n v="379.29760280485226"/>
    <n v="318.60998635607592"/>
    <n v="8.8629737609329504E-2"/>
    <n v="1.9241982507288629E-2"/>
    <n v="0.05"/>
    <n v="5.8309037900874633E-2"/>
    <n v="0.14250000000000002"/>
    <n v="0.16618075801749277"/>
    <n v="1346.2972530479274"/>
    <n v="2044.2048422088556"/>
    <n v="9447.7000213889605"/>
    <n v="113372.40025666752"/>
    <d v="2025-01-01T00:00:00"/>
    <s v="-"/>
    <s v="-"/>
  </r>
  <r>
    <s v="2.024.06"/>
    <x v="21"/>
    <x v="1"/>
    <s v="SEAC/SINDEAC"/>
    <s v="Limpeza"/>
    <x v="0"/>
    <n v="101"/>
    <n v="0"/>
    <n v="166561.12"/>
    <n v="0"/>
    <n v="0"/>
    <n v="0"/>
    <n v="0"/>
    <n v="0"/>
    <n v="0"/>
    <n v="5451.0912000000008"/>
    <n v="172012.21119999999"/>
    <n v="34402.442240000004"/>
    <n v="2580.1831679999996"/>
    <n v="1720.1221119999998"/>
    <n v="344.02442239999993"/>
    <n v="4300.3052800000005"/>
    <n v="13760.976895999998"/>
    <n v="6880.4884479999992"/>
    <n v="1032.0732671999999"/>
    <n v="65020.615833600001"/>
    <n v="14334.350933333331"/>
    <n v="19112.467911111107"/>
    <n v="12642.897523199999"/>
    <n v="46089.71636764444"/>
    <n v="35456.332799999996"/>
    <n v="58782"/>
    <n v="0"/>
    <n v="9685.9000000000015"/>
    <n v="0"/>
    <n v="0"/>
    <n v="339.36"/>
    <n v="1029.19"/>
    <n v="105292.7828"/>
    <n v="216403.11500124441"/>
    <n v="1206.1095418419752"/>
    <n v="96.488763347358017"/>
    <n v="38.595505338943212"/>
    <n v="602.04273920000003"/>
    <n v="227.57215541760004"/>
    <n v="5259.7511691377767"/>
    <n v="143.34350933333334"/>
    <n v="7573.9033836169865"/>
    <n v="1452.5475612444441"/>
    <n v="348.80253937777775"/>
    <n v="29.385419413333331"/>
    <n v="35.835877333333336"/>
    <n v="222.97879229629626"/>
    <n v="789.84997169344001"/>
    <n v="2879.4001613586247"/>
    <n v="0"/>
    <n v="0"/>
    <n v="0"/>
    <n v="0"/>
    <n v="2879.4001613586247"/>
    <n v="10181.725833333332"/>
    <n v="3587.3395088169727"/>
    <n v="6517.4687853973828"/>
    <n v="69717.424810710974"/>
    <n v="0"/>
    <n v="90003.958938258656"/>
    <n v="488872.58868447866"/>
    <n v="19154.52894164504"/>
    <n v="16089.804310981834"/>
    <n v="8.8629737609329504E-2"/>
    <n v="1.9241982507288629E-2"/>
    <n v="0.05"/>
    <n v="5.8309037900874633E-2"/>
    <n v="0.14250000000000002"/>
    <n v="0.16618075801749277"/>
    <n v="87098.147377303278"/>
    <n v="122342.48062993016"/>
    <n v="611215.06931440881"/>
    <n v="7334580.8317729058"/>
    <d v="2025-01-01T00:00:00"/>
    <s v="-"/>
    <s v="-"/>
  </r>
  <r>
    <s v="4.024.06"/>
    <x v="21"/>
    <x v="1"/>
    <s v="SEAC/SINDEAC"/>
    <s v="Limpeza"/>
    <x v="1"/>
    <n v="2"/>
    <n v="0"/>
    <n v="3298.24"/>
    <n v="0"/>
    <n v="0"/>
    <n v="0"/>
    <n v="0"/>
    <n v="0"/>
    <n v="0"/>
    <n v="107.94240000000001"/>
    <n v="3406.1823999999997"/>
    <n v="681.23648000000003"/>
    <n v="51.092735999999995"/>
    <n v="34.061823999999994"/>
    <n v="6.8123647999999992"/>
    <n v="85.154560000000004"/>
    <n v="272.49459199999995"/>
    <n v="136.24729599999998"/>
    <n v="20.437094399999999"/>
    <n v="1287.5369472"/>
    <n v="283.84853333333331"/>
    <n v="378.46471111111106"/>
    <n v="250.35440639999999"/>
    <n v="912.66765084444432"/>
    <n v="702.10559999999998"/>
    <n v="1164"/>
    <n v="0"/>
    <n v="191.8"/>
    <n v="0"/>
    <n v="0"/>
    <n v="6.72"/>
    <n v="20.38"/>
    <n v="2085.0056"/>
    <n v="4285.210198044444"/>
    <n v="23.883357264197528"/>
    <n v="1.9106685811358024"/>
    <n v="0.76426743245432105"/>
    <n v="11.921638400000001"/>
    <n v="4.5063793152000011"/>
    <n v="104.15348849777776"/>
    <n v="2.8384853333333333"/>
    <n v="149.97828482409875"/>
    <n v="28.763318044444439"/>
    <n v="6.9069809777777769"/>
    <n v="0.58188949333333329"/>
    <n v="0.70962133333333333"/>
    <n v="4.4154216296296287"/>
    <n v="15.640593498880001"/>
    <n v="57.017824977398512"/>
    <n v="0"/>
    <n v="0"/>
    <n v="0"/>
    <n v="0"/>
    <n v="57.017824977398512"/>
    <n v="201.61833333333331"/>
    <n v="71.036425917167776"/>
    <n v="129.05878782965115"/>
    <n v="1380.5430655586331"/>
    <n v="0"/>
    <n v="1782.2566126387853"/>
    <n v="9680.6453204847257"/>
    <n v="379.29760280485226"/>
    <n v="318.60998635607592"/>
    <n v="8.8629737609329504E-2"/>
    <n v="1.9241982507288629E-2"/>
    <n v="0.05"/>
    <n v="5.8309037900874633E-2"/>
    <n v="0.14250000000000002"/>
    <n v="0.16618075801749277"/>
    <n v="1724.7157896495698"/>
    <n v="2422.6233788104983"/>
    <n v="12103.268699295224"/>
    <n v="145239.2243915427"/>
    <d v="2025-01-01T00:00:00"/>
    <s v="-"/>
    <s v="-"/>
  </r>
  <r>
    <s v="2.024.07"/>
    <x v="21"/>
    <x v="6"/>
    <s v="SEAC/SINDEAC"/>
    <s v="Limpeza"/>
    <x v="0"/>
    <n v="4"/>
    <n v="0"/>
    <n v="7223.76"/>
    <n v="0"/>
    <n v="0"/>
    <n v="0"/>
    <n v="0"/>
    <n v="0"/>
    <n v="0"/>
    <n v="0"/>
    <n v="7223.76"/>
    <n v="1444.7520000000002"/>
    <n v="108.35639999999999"/>
    <n v="72.2376"/>
    <n v="14.447520000000001"/>
    <n v="180.59400000000002"/>
    <n v="577.9008"/>
    <n v="288.9504"/>
    <n v="43.342559999999999"/>
    <n v="2730.5812800000003"/>
    <n v="601.98"/>
    <n v="802.64"/>
    <n v="530.94636000000003"/>
    <n v="1935.5663599999998"/>
    <n v="1366.5744"/>
    <n v="2328"/>
    <n v="0"/>
    <n v="383.6"/>
    <n v="0"/>
    <n v="0"/>
    <n v="13.44"/>
    <n v="40.76"/>
    <n v="4132.3743999999997"/>
    <n v="8798.5220399999998"/>
    <n v="50.651321805555554"/>
    <n v="4.0521057444444448"/>
    <n v="1.6208422977777781"/>
    <n v="25.283160000000006"/>
    <n v="9.557034480000004"/>
    <n v="220.88652799999997"/>
    <n v="6.0198000000000009"/>
    <n v="318.07079232777772"/>
    <n v="61.000639999999997"/>
    <n v="14.64818"/>
    <n v="1.234059"/>
    <n v="1.5049500000000002"/>
    <n v="9.3641333333333332"/>
    <n v="33.170241762000003"/>
    <n v="120.92220409533333"/>
    <n v="0"/>
    <n v="0"/>
    <n v="0"/>
    <n v="0"/>
    <n v="120.92220409533333"/>
    <n v="457.61000000000007"/>
    <n v="0"/>
    <n v="24.886666666666667"/>
    <n v="0"/>
    <n v="0"/>
    <n v="482.49666666666673"/>
    <n v="16943.771703089777"/>
    <n v="758.59520560970452"/>
    <n v="637.21997271215184"/>
    <n v="8.8629737609329504E-2"/>
    <n v="1.9241982507288629E-2"/>
    <n v="0.05"/>
    <n v="5.8309037900874633E-2"/>
    <n v="0.14250000000000002"/>
    <n v="0.16618075801749277"/>
    <n v="3047.6864496806515"/>
    <n v="4443.5016280025084"/>
    <n v="21387.273331092285"/>
    <n v="256647.27997310742"/>
    <d v="2025-01-01T00:00:00"/>
    <s v="-"/>
    <s v="-"/>
  </r>
  <r>
    <s v="2.027.04"/>
    <x v="22"/>
    <x v="0"/>
    <s v="Sind - Asseio"/>
    <s v="Limpeza"/>
    <x v="0"/>
    <n v="1"/>
    <n v="0"/>
    <n v="824.56"/>
    <n v="0"/>
    <n v="0"/>
    <n v="0"/>
    <n v="0"/>
    <n v="0"/>
    <n v="0"/>
    <n v="26.985600000000002"/>
    <n v="851.54559999999992"/>
    <n v="170.30912000000001"/>
    <n v="12.773183999999999"/>
    <n v="8.5154559999999986"/>
    <n v="1.7030911999999998"/>
    <n v="21.288640000000001"/>
    <n v="68.123647999999989"/>
    <n v="34.061823999999994"/>
    <n v="5.1092735999999999"/>
    <n v="321.8842368"/>
    <n v="70.962133333333327"/>
    <n v="94.616177777777764"/>
    <n v="62.588601599999997"/>
    <n v="228.16691271111108"/>
    <n v="206.5264"/>
    <n v="582"/>
    <n v="0"/>
    <n v="77.25"/>
    <n v="0"/>
    <n v="0"/>
    <n v="3.36"/>
    <n v="0"/>
    <n v="869.13639999999998"/>
    <n v="1419.1875495111112"/>
    <n v="5.970839316049382"/>
    <n v="0.4776671452839506"/>
    <n v="0.19106685811358026"/>
    <n v="2.9804096000000002"/>
    <n v="1.1265948288000003"/>
    <n v="26.038372124444439"/>
    <n v="0.70962133333333333"/>
    <n v="37.494571206024688"/>
    <n v="7.1908295111111098"/>
    <n v="1.7267452444444442"/>
    <n v="0.14547237333333332"/>
    <n v="0.17740533333333333"/>
    <n v="1.1038554074074072"/>
    <n v="3.9101483747200003"/>
    <n v="14.254456244349628"/>
    <n v="0"/>
    <n v="0"/>
    <n v="0"/>
    <n v="0"/>
    <n v="14.254456244349628"/>
    <n v="62.806666666666665"/>
    <n v="17.759106479291944"/>
    <n v="32.264696957412788"/>
    <n v="345.13576638965827"/>
    <n v="0"/>
    <n v="457.96623649302967"/>
    <n v="2780.448413454515"/>
    <n v="189.64880140242613"/>
    <n v="159.30499317803796"/>
    <n v="8.7406555491661944E-2"/>
    <n v="1.8976423231742381E-2"/>
    <n v="3.7999999999999999E-2"/>
    <n v="4.370327774583093E-2"/>
    <n v="0.1305"/>
    <n v="0.15008625646923526"/>
    <n v="469.68026239052898"/>
    <n v="818.63405697099302"/>
    <n v="3599.0824704255083"/>
    <n v="43188.989645106099"/>
    <d v="2025-01-01T00:00:00"/>
    <s v="-"/>
    <s v="-"/>
  </r>
  <r>
    <s v="2.027.06"/>
    <x v="22"/>
    <x v="1"/>
    <s v="Sind - Asseio"/>
    <s v="Limpeza"/>
    <x v="0"/>
    <n v="3"/>
    <n v="0"/>
    <n v="4947.3599999999997"/>
    <n v="0"/>
    <n v="0"/>
    <n v="0"/>
    <n v="0"/>
    <n v="0"/>
    <n v="0"/>
    <n v="161.9136"/>
    <n v="5109.2735999999995"/>
    <n v="1021.85472"/>
    <n v="76.639103999999989"/>
    <n v="51.092735999999988"/>
    <n v="10.2185472"/>
    <n v="127.73184000000001"/>
    <n v="408.7418879999999"/>
    <n v="204.37094399999995"/>
    <n v="30.655641599999999"/>
    <n v="1931.3054207999999"/>
    <n v="425.77279999999996"/>
    <n v="567.69706666666661"/>
    <n v="375.53160959999997"/>
    <n v="1369.0014762666665"/>
    <n v="471.15839999999997"/>
    <n v="1746"/>
    <n v="0"/>
    <n v="231.75"/>
    <n v="0"/>
    <n v="0"/>
    <n v="10.08"/>
    <n v="0"/>
    <n v="2458.9883999999997"/>
    <n v="5759.2952970666665"/>
    <n v="35.825035896296292"/>
    <n v="2.8660028717037038"/>
    <n v="1.1464011486814816"/>
    <n v="17.882457600000002"/>
    <n v="6.7595689728000021"/>
    <n v="156.23023274666664"/>
    <n v="4.2577280000000002"/>
    <n v="224.96742723614813"/>
    <n v="43.144977066666655"/>
    <n v="10.360471466666665"/>
    <n v="0.87283423999999998"/>
    <n v="1.064432"/>
    <n v="6.623132444444443"/>
    <n v="23.460890248320002"/>
    <n v="85.526737466097771"/>
    <n v="0"/>
    <n v="0"/>
    <n v="0"/>
    <n v="0"/>
    <n v="85.526737466097771"/>
    <n v="302.42749999999995"/>
    <n v="106.55463887575166"/>
    <n v="193.58818174447674"/>
    <n v="2070.8145983379495"/>
    <n v="0"/>
    <n v="2673.3849189581779"/>
    <n v="13852.447980727091"/>
    <n v="568.94640420727842"/>
    <n v="477.91497953411385"/>
    <n v="8.7406555491661944E-2"/>
    <n v="1.8976423231742381E-2"/>
    <n v="3.7999999999999999E-2"/>
    <n v="4.370327774583093E-2"/>
    <n v="0.1305"/>
    <n v="0.15008625646923526"/>
    <n v="2236.1815664900955"/>
    <n v="3283.0429502314878"/>
    <n v="17135.490930958578"/>
    <n v="205625.89117150294"/>
    <d v="2025-01-01T00:00:00"/>
    <s v="-"/>
    <s v="-"/>
  </r>
  <r>
    <s v="2.069.03"/>
    <x v="23"/>
    <x v="2"/>
    <s v="Regiao de Juiz de Fora"/>
    <s v="Limpeza"/>
    <x v="0"/>
    <n v="1"/>
    <n v="0"/>
    <n v="544.17999999999995"/>
    <n v="0"/>
    <n v="0"/>
    <n v="0"/>
    <n v="0"/>
    <n v="0"/>
    <n v="0"/>
    <n v="19.590499999999999"/>
    <n v="563.77049999999997"/>
    <n v="112.75409999999999"/>
    <n v="8.4565574999999988"/>
    <n v="5.6377049999999995"/>
    <n v="1.1275409999999999"/>
    <n v="14.094262499999999"/>
    <n v="45.101639999999996"/>
    <n v="22.550819999999998"/>
    <n v="3.3826229999999997"/>
    <n v="213.10524899999996"/>
    <n v="46.980874999999997"/>
    <n v="62.641166666666663"/>
    <n v="41.437131749999992"/>
    <n v="151.05917341666665"/>
    <n v="223.3492"/>
    <n v="582"/>
    <n v="0"/>
    <n v="51.88"/>
    <n v="0"/>
    <n v="0"/>
    <n v="3.36"/>
    <n v="0"/>
    <n v="860.58920000000001"/>
    <n v="1224.7536224166665"/>
    <n v="3.9530273735532404"/>
    <n v="0.31624218988425928"/>
    <n v="0.12649687595370371"/>
    <n v="1.9731967500000003"/>
    <n v="0.74586837150000018"/>
    <n v="17.238849066666663"/>
    <n v="0.46980875"/>
    <n v="24.823489377557866"/>
    <n v="4.7607286666666662"/>
    <n v="1.1432012916666665"/>
    <n v="9.6310793749999998E-2"/>
    <n v="0.1174521875"/>
    <n v="0.73081361111111109"/>
    <n v="2.5887354761625003"/>
    <n v="9.4372420268569428"/>
    <n v="0"/>
    <n v="0"/>
    <n v="0"/>
    <n v="0"/>
    <n v="9.4372420268569428"/>
    <n v="62.806666666666665"/>
    <n v="12.108481690426325"/>
    <n v="21.998657016417809"/>
    <n v="235.31984072022155"/>
    <n v="0"/>
    <n v="332.23364609373232"/>
    <n v="2155.0184999148137"/>
    <n v="189.64880140242613"/>
    <n v="159.30499317803796"/>
    <n v="8.5633802816901458E-2"/>
    <n v="1.8591549295774657E-2"/>
    <n v="0.02"/>
    <n v="2.2535211267605645E-2"/>
    <n v="0.1125"/>
    <n v="0.12676056338028174"/>
    <n v="317.40493873883815"/>
    <n v="666.35873331930225"/>
    <n v="2821.3772332341159"/>
    <n v="33856.526798809391"/>
    <d v="2025-01-01T00:00:00"/>
    <s v="-"/>
    <s v="-"/>
  </r>
  <r>
    <s v="2.071.04"/>
    <x v="24"/>
    <x v="0"/>
    <s v="Regiao de Sao Lourenco"/>
    <s v="Limpeza"/>
    <x v="0"/>
    <n v="1"/>
    <n v="0"/>
    <n v="798.14"/>
    <n v="0"/>
    <n v="0"/>
    <n v="0"/>
    <n v="0"/>
    <n v="0"/>
    <n v="0"/>
    <n v="26.120899999999999"/>
    <n v="824.26089999999999"/>
    <n v="164.85218"/>
    <n v="12.363913499999999"/>
    <n v="8.2426089999999999"/>
    <n v="1.6485217999999999"/>
    <n v="20.606522500000001"/>
    <n v="65.940871999999999"/>
    <n v="32.970435999999999"/>
    <n v="4.9455654000000004"/>
    <n v="311.57062020000001"/>
    <n v="68.688408333333328"/>
    <n v="91.584544444444433"/>
    <n v="60.583176149999993"/>
    <n v="220.85612892777775"/>
    <n v="208.11160000000001"/>
    <n v="582"/>
    <n v="0"/>
    <n v="0"/>
    <n v="0"/>
    <n v="0"/>
    <n v="3.36"/>
    <n v="0"/>
    <n v="793.47159999999997"/>
    <n v="1325.8983491277777"/>
    <n v="5.7795253576581791"/>
    <n v="0.46236202861265435"/>
    <n v="0.18494481144506175"/>
    <n v="2.8849131500000005"/>
    <n v="1.0904971707000004"/>
    <n v="25.204066631111107"/>
    <n v="0.6868840833333334"/>
    <n v="36.293193232860339"/>
    <n v="6.9604253777777769"/>
    <n v="1.671417936111111"/>
    <n v="0.14081123708333332"/>
    <n v="0.17172102083333335"/>
    <n v="1.0684863518518517"/>
    <n v="3.7848618071425006"/>
    <n v="13.797723730799909"/>
    <n v="0"/>
    <n v="0"/>
    <n v="0"/>
    <n v="0"/>
    <n v="13.797723730799909"/>
    <n v="62.806666666666665"/>
    <n v="17.759106479291944"/>
    <n v="32.264696957412788"/>
    <n v="345.13576638965827"/>
    <n v="0"/>
    <n v="457.96623649302967"/>
    <n v="2658.2164025844677"/>
    <n v="189.64880140242613"/>
    <n v="159.30499317803796"/>
    <n v="8.7608069164265154E-2"/>
    <n v="1.9020172910662814E-2"/>
    <n v="0.04"/>
    <n v="4.6109510086455294E-2"/>
    <n v="0.13250000000000001"/>
    <n v="0.15273775216138324"/>
    <n v="459.30841628167536"/>
    <n v="808.26221086213945"/>
    <n v="3466.4786134466071"/>
    <n v="41597.743361359288"/>
    <d v="2025-01-01T00:00:00"/>
    <s v="-"/>
    <s v="-"/>
  </r>
  <r>
    <s v="2.073.06"/>
    <x v="25"/>
    <x v="1"/>
    <s v="Sethac Norte de Minas"/>
    <s v="Limpeza"/>
    <x v="0"/>
    <n v="1"/>
    <n v="0"/>
    <n v="1596.28"/>
    <n v="0"/>
    <n v="0"/>
    <n v="0"/>
    <n v="0"/>
    <n v="0"/>
    <n v="0"/>
    <n v="52.241900000000001"/>
    <n v="1648.5219"/>
    <n v="329.70438000000001"/>
    <n v="24.727828499999998"/>
    <n v="16.485219000000001"/>
    <n v="3.2970438"/>
    <n v="41.213047500000002"/>
    <n v="131.88175200000001"/>
    <n v="65.940876000000003"/>
    <n v="9.8911314000000008"/>
    <n v="623.14127819999999"/>
    <n v="137.376825"/>
    <n v="183.16909999999999"/>
    <n v="121.16635965"/>
    <n v="441.71228465000002"/>
    <n v="160.22320000000002"/>
    <n v="582"/>
    <n v="0"/>
    <n v="51.86"/>
    <n v="0"/>
    <n v="0"/>
    <n v="3.36"/>
    <n v="0"/>
    <n v="797.44320000000005"/>
    <n v="1862.2967628500001"/>
    <n v="11.559051416493055"/>
    <n v="0.92472411331944449"/>
    <n v="0.36988964532777785"/>
    <n v="5.7698266500000006"/>
    <n v="2.1809944737000007"/>
    <n v="50.40813631999999"/>
    <n v="1.3737682500000001"/>
    <n v="72.586390868840269"/>
    <n v="13.920851599999999"/>
    <n v="3.3428360749999997"/>
    <n v="0.28162249125"/>
    <n v="0.34344206250000003"/>
    <n v="2.1369728333333331"/>
    <n v="7.5697240734675013"/>
    <n v="27.595449135550833"/>
    <n v="0"/>
    <n v="0"/>
    <n v="0"/>
    <n v="0"/>
    <n v="27.595449135550833"/>
    <n v="100.80916666666666"/>
    <n v="35.518212958583888"/>
    <n v="64.529393914825576"/>
    <n v="690.27153277931654"/>
    <n v="0"/>
    <n v="891.12830631939266"/>
    <n v="4502.1288091737833"/>
    <n v="189.64880140242613"/>
    <n v="159.30499317803796"/>
    <n v="8.8629737609329504E-2"/>
    <n v="1.9241982507288629E-2"/>
    <n v="0.05"/>
    <n v="5.8309037900874633E-2"/>
    <n v="0.14250000000000002"/>
    <n v="0.16618075801749277"/>
    <n v="806.15658429735333"/>
    <n v="1155.1103788778173"/>
    <n v="5657.2391880516006"/>
    <n v="67886.870256619208"/>
    <d v="2025-01-01T00:00:00"/>
    <s v="-"/>
    <s v="-"/>
  </r>
  <r>
    <s v="2.074.06"/>
    <x v="26"/>
    <x v="1"/>
    <s v="Fethemg Interior"/>
    <s v="Limpeza"/>
    <x v="0"/>
    <n v="1"/>
    <n v="0"/>
    <n v="1596.28"/>
    <n v="0"/>
    <n v="0"/>
    <n v="0"/>
    <n v="0"/>
    <n v="0"/>
    <n v="0"/>
    <n v="52.241900000000001"/>
    <n v="1648.5219"/>
    <n v="329.70438000000001"/>
    <n v="24.727828499999998"/>
    <n v="16.485219000000001"/>
    <n v="3.2970438"/>
    <n v="41.213047500000002"/>
    <n v="131.88175200000001"/>
    <n v="65.940876000000003"/>
    <n v="9.8911314000000008"/>
    <n v="623.14127819999999"/>
    <n v="137.376825"/>
    <n v="183.16909999999999"/>
    <n v="121.16635965"/>
    <n v="441.71228465000002"/>
    <n v="160.22320000000002"/>
    <n v="582"/>
    <n v="0"/>
    <n v="0"/>
    <n v="15.07"/>
    <n v="0"/>
    <n v="3.36"/>
    <n v="0"/>
    <n v="760.65320000000008"/>
    <n v="1825.5067628500001"/>
    <n v="11.559051416493055"/>
    <n v="0.92472411331944449"/>
    <n v="0.36988964532777785"/>
    <n v="5.7698266500000006"/>
    <n v="2.1809944737000007"/>
    <n v="50.40813631999999"/>
    <n v="1.3737682500000001"/>
    <n v="72.586390868840269"/>
    <n v="13.920851599999999"/>
    <n v="3.3428360749999997"/>
    <n v="0.28162249125"/>
    <n v="0.34344206250000003"/>
    <n v="2.1369728333333331"/>
    <n v="7.5697240734675013"/>
    <n v="27.595449135550833"/>
    <n v="0"/>
    <n v="0"/>
    <n v="0"/>
    <n v="0"/>
    <n v="27.595449135550833"/>
    <n v="100.80916666666666"/>
    <n v="35.518212958583888"/>
    <n v="64.529393914825576"/>
    <n v="690.27153277931654"/>
    <n v="0"/>
    <n v="891.12830631939266"/>
    <n v="4465.3388091737834"/>
    <n v="189.64880140242613"/>
    <n v="159.30499317803796"/>
    <n v="8.6609686609686695E-2"/>
    <n v="1.880341880341882E-2"/>
    <n v="0.03"/>
    <n v="3.4188034188034219E-2"/>
    <n v="0.1225"/>
    <n v="0.13960113960113973"/>
    <n v="672.08073385743126"/>
    <n v="1021.0345284378953"/>
    <n v="5486.3733376116788"/>
    <n v="65836.480051340142"/>
    <d v="2025-01-01T00:00:00"/>
    <s v="-"/>
    <s v="-"/>
  </r>
  <r>
    <s v="2.080.03"/>
    <x v="27"/>
    <x v="2"/>
    <s v="Regiao de Sao Lourenco"/>
    <s v="Limpeza"/>
    <x v="0"/>
    <n v="1"/>
    <n v="0"/>
    <n v="544.17999999999995"/>
    <n v="0"/>
    <n v="0"/>
    <n v="0"/>
    <n v="0"/>
    <n v="0"/>
    <n v="0"/>
    <n v="19.590499999999999"/>
    <n v="563.77049999999997"/>
    <n v="112.75409999999999"/>
    <n v="8.4565574999999988"/>
    <n v="5.6377049999999995"/>
    <n v="1.1275409999999999"/>
    <n v="14.094262499999999"/>
    <n v="45.101639999999996"/>
    <n v="22.550819999999998"/>
    <n v="3.3826229999999997"/>
    <n v="213.10524899999996"/>
    <n v="46.980874999999997"/>
    <n v="62.641166666666663"/>
    <n v="41.437131749999992"/>
    <n v="151.05917341666665"/>
    <n v="223.3492"/>
    <n v="582"/>
    <n v="0"/>
    <n v="0"/>
    <n v="0"/>
    <n v="0"/>
    <n v="3.36"/>
    <n v="0"/>
    <n v="808.70920000000001"/>
    <n v="1172.8736224166666"/>
    <n v="3.9530273735532404"/>
    <n v="0.31624218988425928"/>
    <n v="0.12649687595370371"/>
    <n v="1.9731967500000003"/>
    <n v="0.74586837150000018"/>
    <n v="17.238849066666663"/>
    <n v="0.46980875"/>
    <n v="24.823489377557866"/>
    <n v="4.7607286666666662"/>
    <n v="1.1432012916666665"/>
    <n v="9.6310793749999998E-2"/>
    <n v="0.1174521875"/>
    <n v="0.73081361111111109"/>
    <n v="2.5887354761625003"/>
    <n v="9.4372420268569428"/>
    <n v="0"/>
    <n v="0"/>
    <n v="0"/>
    <n v="0"/>
    <n v="9.4372420268569428"/>
    <n v="62.806666666666665"/>
    <n v="12.108481690426325"/>
    <n v="21.998657016417809"/>
    <n v="235.31984072022155"/>
    <n v="0"/>
    <n v="332.23364609373232"/>
    <n v="2103.1384999148136"/>
    <n v="189.64880140242613"/>
    <n v="159.30499317803796"/>
    <n v="8.6609686609686695E-2"/>
    <n v="1.880341880341882E-2"/>
    <n v="0.03"/>
    <n v="3.4188034188034219E-2"/>
    <n v="0.1225"/>
    <n v="0.13960113960113973"/>
    <n v="342.31487871871428"/>
    <n v="691.26867329917832"/>
    <n v="2794.4071732139919"/>
    <n v="33532.886078567899"/>
    <d v="2025-01-01T00:00:00"/>
    <s v="-"/>
    <s v="-"/>
  </r>
  <r>
    <s v="2.081.03"/>
    <x v="28"/>
    <x v="2"/>
    <s v="Regiao de Divinopolis"/>
    <s v="Limpeza"/>
    <x v="0"/>
    <n v="1"/>
    <n v="0"/>
    <n v="544.17999999999995"/>
    <n v="0"/>
    <n v="0"/>
    <n v="0"/>
    <n v="0"/>
    <n v="0"/>
    <n v="0"/>
    <n v="19.590499999999999"/>
    <n v="563.77049999999997"/>
    <n v="112.75409999999999"/>
    <n v="8.4565574999999988"/>
    <n v="5.6377049999999995"/>
    <n v="1.1275409999999999"/>
    <n v="14.094262499999999"/>
    <n v="45.101639999999996"/>
    <n v="22.550819999999998"/>
    <n v="3.3826229999999997"/>
    <n v="213.10524899999996"/>
    <n v="46.980874999999997"/>
    <n v="62.641166666666663"/>
    <n v="41.437131749999992"/>
    <n v="151.05917341666665"/>
    <n v="223.3492"/>
    <n v="582"/>
    <n v="0"/>
    <n v="0"/>
    <n v="0"/>
    <n v="0"/>
    <n v="3.36"/>
    <n v="0"/>
    <n v="808.70920000000001"/>
    <n v="1172.8736224166666"/>
    <n v="3.9530273735532404"/>
    <n v="0.31624218988425928"/>
    <n v="0.12649687595370371"/>
    <n v="1.9731967500000003"/>
    <n v="0.74586837150000018"/>
    <n v="17.238849066666663"/>
    <n v="0.46980875"/>
    <n v="24.823489377557866"/>
    <n v="4.7607286666666662"/>
    <n v="1.1432012916666665"/>
    <n v="9.6310793749999998E-2"/>
    <n v="0.1174521875"/>
    <n v="0.73081361111111109"/>
    <n v="2.5887354761625003"/>
    <n v="9.4372420268569428"/>
    <n v="0"/>
    <n v="0"/>
    <n v="0"/>
    <n v="0"/>
    <n v="9.4372420268569428"/>
    <n v="62.806666666666665"/>
    <n v="12.108481690426325"/>
    <n v="21.998657016417809"/>
    <n v="235.31984072022155"/>
    <n v="0"/>
    <n v="332.23364609373232"/>
    <n v="2103.1384999148136"/>
    <n v="189.64880140242613"/>
    <n v="159.30499317803796"/>
    <n v="8.5633802816901458E-2"/>
    <n v="1.8591549295774657E-2"/>
    <n v="0.02"/>
    <n v="2.2535211267605645E-2"/>
    <n v="0.1125"/>
    <n v="0.12676056338028174"/>
    <n v="310.82860071066915"/>
    <n v="659.7823952911333"/>
    <n v="2762.9208952059471"/>
    <n v="33155.050742471365"/>
    <d v="2025-01-01T00:00:00"/>
    <s v="-"/>
    <s v="-"/>
  </r>
  <r>
    <s v="2.082.04"/>
    <x v="29"/>
    <x v="0"/>
    <s v="Fethemg Interior"/>
    <s v="Limpeza"/>
    <x v="0"/>
    <n v="1"/>
    <n v="0"/>
    <n v="798.14"/>
    <n v="0"/>
    <n v="0"/>
    <n v="0"/>
    <n v="0"/>
    <n v="0"/>
    <n v="0"/>
    <n v="26.120899999999999"/>
    <n v="824.26089999999999"/>
    <n v="164.85218"/>
    <n v="12.363913499999999"/>
    <n v="8.2426089999999999"/>
    <n v="1.6485217999999999"/>
    <n v="20.606522500000001"/>
    <n v="65.940871999999999"/>
    <n v="32.970435999999999"/>
    <n v="4.9455654000000004"/>
    <n v="311.57062020000001"/>
    <n v="68.688408333333328"/>
    <n v="91.584544444444433"/>
    <n v="60.583176149999993"/>
    <n v="220.85612892777775"/>
    <n v="208.11160000000001"/>
    <n v="582"/>
    <n v="0"/>
    <n v="0"/>
    <n v="15.07"/>
    <n v="0"/>
    <n v="3.36"/>
    <n v="0"/>
    <n v="808.54160000000002"/>
    <n v="1340.9683491277779"/>
    <n v="5.7795253576581791"/>
    <n v="0.46236202861265435"/>
    <n v="0.18494481144506175"/>
    <n v="2.8849131500000005"/>
    <n v="1.0904971707000004"/>
    <n v="25.204066631111107"/>
    <n v="0.6868840833333334"/>
    <n v="36.293193232860339"/>
    <n v="6.9604253777777769"/>
    <n v="1.671417936111111"/>
    <n v="0.14081123708333332"/>
    <n v="0.17172102083333335"/>
    <n v="1.0684863518518517"/>
    <n v="3.7848618071425006"/>
    <n v="13.797723730799909"/>
    <n v="0"/>
    <n v="0"/>
    <n v="0"/>
    <n v="0"/>
    <n v="13.797723730799909"/>
    <n v="62.806666666666665"/>
    <n v="17.759106479291944"/>
    <n v="32.264696957412788"/>
    <n v="345.13576638965827"/>
    <n v="0"/>
    <n v="457.96623649302967"/>
    <n v="2673.2864025844674"/>
    <n v="189.64880140242613"/>
    <n v="159.30499317803796"/>
    <n v="8.5633802816901458E-2"/>
    <n v="1.8591549295774657E-2"/>
    <n v="0.02"/>
    <n v="2.2535211267605645E-2"/>
    <n v="0.1125"/>
    <n v="0.12676056338028174"/>
    <n v="383.10087006316047"/>
    <n v="732.05466464362462"/>
    <n v="3405.341067228092"/>
    <n v="40864.092806737106"/>
    <d v="2025-01-01T00:00:00"/>
    <s v="-"/>
    <s v="-"/>
  </r>
  <r>
    <s v="2.086.04"/>
    <x v="30"/>
    <x v="0"/>
    <s v="Sethac Norte de Minas"/>
    <s v="Limpeza"/>
    <x v="0"/>
    <n v="1"/>
    <n v="0"/>
    <n v="798.14"/>
    <n v="0"/>
    <n v="0"/>
    <n v="0"/>
    <n v="0"/>
    <n v="0"/>
    <n v="0"/>
    <n v="26.120899999999999"/>
    <n v="824.26089999999999"/>
    <n v="164.85218"/>
    <n v="12.363913499999999"/>
    <n v="8.2426089999999999"/>
    <n v="1.6485217999999999"/>
    <n v="20.606522500000001"/>
    <n v="65.940871999999999"/>
    <n v="32.970435999999999"/>
    <n v="4.9455654000000004"/>
    <n v="311.57062020000001"/>
    <n v="68.688408333333328"/>
    <n v="91.584544444444433"/>
    <n v="60.583176149999993"/>
    <n v="220.85612892777775"/>
    <n v="208.11160000000001"/>
    <n v="582"/>
    <n v="0"/>
    <n v="0"/>
    <n v="0"/>
    <n v="0"/>
    <n v="3.36"/>
    <n v="0"/>
    <n v="793.47159999999997"/>
    <n v="1325.8983491277777"/>
    <n v="5.7795253576581791"/>
    <n v="0.46236202861265435"/>
    <n v="0.18494481144506175"/>
    <n v="2.8849131500000005"/>
    <n v="1.0904971707000004"/>
    <n v="25.204066631111107"/>
    <n v="0.6868840833333334"/>
    <n v="36.293193232860339"/>
    <n v="6.9604253777777769"/>
    <n v="1.671417936111111"/>
    <n v="0.14081123708333332"/>
    <n v="0.17172102083333335"/>
    <n v="1.0684863518518517"/>
    <n v="3.7848618071425006"/>
    <n v="13.797723730799909"/>
    <n v="0"/>
    <n v="0"/>
    <n v="0"/>
    <n v="0"/>
    <n v="13.797723730799909"/>
    <n v="62.806666666666665"/>
    <n v="17.759106479291944"/>
    <n v="32.264696957412788"/>
    <n v="345.13576638965827"/>
    <n v="0"/>
    <n v="457.96623649302967"/>
    <n v="2658.2164025844677"/>
    <n v="189.64880140242613"/>
    <n v="159.30499317803796"/>
    <n v="8.6609686609686695E-2"/>
    <n v="1.880341880341882E-2"/>
    <n v="0.03"/>
    <n v="3.4188034188034219E-2"/>
    <n v="0.1225"/>
    <n v="0.13960113960113973"/>
    <n v="419.80438649880853"/>
    <n v="768.75818107927262"/>
    <n v="3426.9745836637403"/>
    <n v="41123.69500396488"/>
    <d v="2025-01-01T00:00:00"/>
    <s v="-"/>
    <s v="-"/>
  </r>
  <r>
    <s v="2.089.03"/>
    <x v="31"/>
    <x v="2"/>
    <s v="Fethemg Interior"/>
    <s v="Limpeza"/>
    <x v="0"/>
    <n v="1"/>
    <n v="0"/>
    <n v="544.17999999999995"/>
    <n v="0"/>
    <n v="0"/>
    <n v="0"/>
    <n v="0"/>
    <n v="0"/>
    <n v="0"/>
    <n v="19.590499999999999"/>
    <n v="563.77049999999997"/>
    <n v="112.75409999999999"/>
    <n v="8.4565574999999988"/>
    <n v="5.6377049999999995"/>
    <n v="1.1275409999999999"/>
    <n v="14.094262499999999"/>
    <n v="45.101639999999996"/>
    <n v="22.550819999999998"/>
    <n v="3.3826229999999997"/>
    <n v="213.10524899999996"/>
    <n v="46.980874999999997"/>
    <n v="62.641166666666663"/>
    <n v="41.437131749999992"/>
    <n v="151.05917341666665"/>
    <n v="223.3492"/>
    <n v="582"/>
    <n v="0"/>
    <n v="0"/>
    <n v="15.07"/>
    <n v="0"/>
    <n v="3.36"/>
    <n v="0"/>
    <n v="823.77920000000006"/>
    <n v="1187.9436224166666"/>
    <n v="3.9530273735532404"/>
    <n v="0.31624218988425928"/>
    <n v="0.12649687595370371"/>
    <n v="1.9731967500000003"/>
    <n v="0.74586837150000018"/>
    <n v="17.238849066666663"/>
    <n v="0.46980875"/>
    <n v="24.823489377557866"/>
    <n v="4.7607286666666662"/>
    <n v="1.1432012916666665"/>
    <n v="9.6310793749999998E-2"/>
    <n v="0.1174521875"/>
    <n v="0.73081361111111109"/>
    <n v="2.5887354761625003"/>
    <n v="9.4372420268569428"/>
    <n v="0"/>
    <n v="0"/>
    <n v="0"/>
    <n v="0"/>
    <n v="9.4372420268569428"/>
    <n v="62.806666666666665"/>
    <n v="12.108481690426325"/>
    <n v="21.998657016417809"/>
    <n v="235.31984072022155"/>
    <n v="0"/>
    <n v="332.23364609373232"/>
    <n v="2118.2084999148137"/>
    <n v="189.64880140242613"/>
    <n v="159.30499317803796"/>
    <n v="8.5633802816901458E-2"/>
    <n v="1.8591549295774657E-2"/>
    <n v="0.02"/>
    <n v="2.2535211267605645E-2"/>
    <n v="0.1125"/>
    <n v="0.12676056338028174"/>
    <n v="312.73888240080998"/>
    <n v="661.69267698127408"/>
    <n v="2779.9011768960877"/>
    <n v="33358.81412275305"/>
    <d v="2025-01-01T00:00:00"/>
    <s v="-"/>
    <s v="-"/>
  </r>
  <r>
    <s v="2.090.06"/>
    <x v="32"/>
    <x v="1"/>
    <s v="Sind - Asseio"/>
    <s v="Limpeza"/>
    <x v="0"/>
    <n v="1"/>
    <n v="0"/>
    <n v="1649.12"/>
    <n v="0"/>
    <n v="0"/>
    <n v="0"/>
    <n v="0"/>
    <n v="0"/>
    <n v="0"/>
    <n v="53.971200000000003"/>
    <n v="1703.0911999999998"/>
    <n v="340.61824000000001"/>
    <n v="25.546367999999998"/>
    <n v="17.030911999999997"/>
    <n v="3.4061823999999996"/>
    <n v="42.577280000000002"/>
    <n v="136.24729599999998"/>
    <n v="68.123647999999989"/>
    <n v="10.2185472"/>
    <n v="643.76847359999999"/>
    <n v="141.92426666666665"/>
    <n v="189.23235555555553"/>
    <n v="125.17720319999999"/>
    <n v="456.33382542222216"/>
    <n v="157.05279999999999"/>
    <n v="582"/>
    <n v="0"/>
    <n v="77.25"/>
    <n v="0"/>
    <n v="0"/>
    <n v="3.36"/>
    <n v="0"/>
    <n v="819.66279999999995"/>
    <n v="1919.7650990222223"/>
    <n v="11.941678632098764"/>
    <n v="0.9553342905679012"/>
    <n v="0.38213371622716052"/>
    <n v="5.9608192000000004"/>
    <n v="2.2531896576000006"/>
    <n v="52.076744248888879"/>
    <n v="1.4192426666666667"/>
    <n v="74.989142412049375"/>
    <n v="14.38165902222222"/>
    <n v="3.4534904888888884"/>
    <n v="0.29094474666666664"/>
    <n v="0.35481066666666666"/>
    <n v="2.2077108148148143"/>
    <n v="7.8202967494400006"/>
    <n v="28.508912488699256"/>
    <n v="0"/>
    <n v="0"/>
    <n v="0"/>
    <n v="0"/>
    <n v="28.508912488699256"/>
    <n v="100.80916666666666"/>
    <n v="35.518212958583888"/>
    <n v="64.529393914825576"/>
    <n v="690.27153277931654"/>
    <n v="0"/>
    <n v="891.12830631939266"/>
    <n v="4617.4826602423636"/>
    <n v="189.64880140242613"/>
    <n v="159.30499317803796"/>
    <n v="8.8629737609329504E-2"/>
    <n v="1.9241982507288629E-2"/>
    <n v="0.05"/>
    <n v="5.8309037900874633E-2"/>
    <n v="0.14250000000000002"/>
    <n v="0.16618075801749277"/>
    <n v="825.32617470816695"/>
    <n v="1174.279969288631"/>
    <n v="5791.7626295309947"/>
    <n v="69501.151554371929"/>
    <d v="2025-01-01T00:00:00"/>
    <s v="-"/>
    <s v="-"/>
  </r>
  <r>
    <s v="2.091.03"/>
    <x v="33"/>
    <x v="2"/>
    <s v="Fethemg Interior"/>
    <s v="Limpeza"/>
    <x v="0"/>
    <n v="1"/>
    <n v="0"/>
    <n v="544.17999999999995"/>
    <n v="0"/>
    <n v="0"/>
    <n v="0"/>
    <n v="0"/>
    <n v="0"/>
    <n v="0"/>
    <n v="19.590499999999999"/>
    <n v="563.77049999999997"/>
    <n v="112.75409999999999"/>
    <n v="8.4565574999999988"/>
    <n v="5.6377049999999995"/>
    <n v="1.1275409999999999"/>
    <n v="14.094262499999999"/>
    <n v="45.101639999999996"/>
    <n v="22.550819999999998"/>
    <n v="3.3826229999999997"/>
    <n v="213.10524899999996"/>
    <n v="46.980874999999997"/>
    <n v="62.641166666666663"/>
    <n v="41.437131749999992"/>
    <n v="151.05917341666665"/>
    <n v="223.3492"/>
    <n v="582"/>
    <n v="0"/>
    <n v="0"/>
    <n v="15.07"/>
    <n v="0"/>
    <n v="3.36"/>
    <n v="0"/>
    <n v="823.77920000000006"/>
    <n v="1187.9436224166666"/>
    <n v="3.9530273735532404"/>
    <n v="0.31624218988425928"/>
    <n v="0.12649687595370371"/>
    <n v="1.9731967500000003"/>
    <n v="0.74586837150000018"/>
    <n v="17.238849066666663"/>
    <n v="0.46980875"/>
    <n v="24.823489377557866"/>
    <n v="4.7607286666666662"/>
    <n v="1.1432012916666665"/>
    <n v="9.6310793749999998E-2"/>
    <n v="0.1174521875"/>
    <n v="0.73081361111111109"/>
    <n v="2.5887354761625003"/>
    <n v="9.4372420268569428"/>
    <n v="0"/>
    <n v="0"/>
    <n v="0"/>
    <n v="0"/>
    <n v="9.4372420268569428"/>
    <n v="62.806666666666665"/>
    <n v="12.108481690426325"/>
    <n v="21.998657016417809"/>
    <n v="235.31984072022155"/>
    <n v="0"/>
    <n v="332.23364609373232"/>
    <n v="2118.2084999148137"/>
    <n v="189.64880140242613"/>
    <n v="159.30499317803796"/>
    <n v="8.5633802816901458E-2"/>
    <n v="1.8591549295774657E-2"/>
    <n v="0.02"/>
    <n v="2.2535211267605645E-2"/>
    <n v="0.1125"/>
    <n v="0.12676056338028174"/>
    <n v="312.73888240080998"/>
    <n v="661.69267698127408"/>
    <n v="2779.9011768960877"/>
    <n v="33358.81412275305"/>
    <d v="2025-01-01T00:00:00"/>
    <s v="-"/>
    <s v="-"/>
  </r>
  <r>
    <s v="2.093.04"/>
    <x v="34"/>
    <x v="0"/>
    <s v="Fethemg Interior"/>
    <s v="Limpeza"/>
    <x v="0"/>
    <n v="1"/>
    <n v="0"/>
    <n v="798.14"/>
    <n v="0"/>
    <n v="0"/>
    <n v="0"/>
    <n v="0"/>
    <n v="0"/>
    <n v="0"/>
    <n v="26.120899999999999"/>
    <n v="824.26089999999999"/>
    <n v="164.85218"/>
    <n v="12.363913499999999"/>
    <n v="8.2426089999999999"/>
    <n v="1.6485217999999999"/>
    <n v="20.606522500000001"/>
    <n v="65.940871999999999"/>
    <n v="32.970435999999999"/>
    <n v="4.9455654000000004"/>
    <n v="311.57062020000001"/>
    <n v="68.688408333333328"/>
    <n v="91.584544444444433"/>
    <n v="60.583176149999993"/>
    <n v="220.85612892777775"/>
    <n v="208.11160000000001"/>
    <n v="582"/>
    <n v="0"/>
    <n v="0"/>
    <n v="15.07"/>
    <n v="0"/>
    <n v="3.36"/>
    <n v="0"/>
    <n v="808.54160000000002"/>
    <n v="1340.9683491277779"/>
    <n v="5.7795253576581791"/>
    <n v="0.46236202861265435"/>
    <n v="0.18494481144506175"/>
    <n v="2.8849131500000005"/>
    <n v="1.0904971707000004"/>
    <n v="25.204066631111107"/>
    <n v="0.6868840833333334"/>
    <n v="36.293193232860339"/>
    <n v="6.9604253777777769"/>
    <n v="1.671417936111111"/>
    <n v="0.14081123708333332"/>
    <n v="0.17172102083333335"/>
    <n v="1.0684863518518517"/>
    <n v="3.7848618071425006"/>
    <n v="13.797723730799909"/>
    <n v="0"/>
    <n v="0"/>
    <n v="0"/>
    <n v="0"/>
    <n v="13.797723730799909"/>
    <n v="62.806666666666665"/>
    <n v="17.759106479291944"/>
    <n v="32.264696957412788"/>
    <n v="345.13576638965827"/>
    <n v="0"/>
    <n v="457.96623649302967"/>
    <n v="2673.2864025844674"/>
    <n v="189.64880140242613"/>
    <n v="159.30499317803796"/>
    <n v="8.5633802816901458E-2"/>
    <n v="1.8591549295774657E-2"/>
    <n v="0.02"/>
    <n v="2.2535211267605645E-2"/>
    <n v="0.1125"/>
    <n v="0.12676056338028174"/>
    <n v="383.10087006316047"/>
    <n v="732.05466464362462"/>
    <n v="3405.341067228092"/>
    <n v="40864.092806737106"/>
    <d v="2025-01-01T00:00:00"/>
    <s v="-"/>
    <s v="-"/>
  </r>
  <r>
    <s v="2.097.03"/>
    <x v="35"/>
    <x v="2"/>
    <s v="Fethemg Interior"/>
    <s v="Limpeza"/>
    <x v="0"/>
    <n v="1"/>
    <n v="0"/>
    <n v="544.17999999999995"/>
    <n v="0"/>
    <n v="0"/>
    <n v="0"/>
    <n v="0"/>
    <n v="0"/>
    <n v="0"/>
    <n v="19.590499999999999"/>
    <n v="563.77049999999997"/>
    <n v="112.75409999999999"/>
    <n v="8.4565574999999988"/>
    <n v="5.6377049999999995"/>
    <n v="1.1275409999999999"/>
    <n v="14.094262499999999"/>
    <n v="45.101639999999996"/>
    <n v="22.550819999999998"/>
    <n v="3.3826229999999997"/>
    <n v="213.10524899999996"/>
    <n v="46.980874999999997"/>
    <n v="62.641166666666663"/>
    <n v="41.437131749999992"/>
    <n v="151.05917341666665"/>
    <n v="223.3492"/>
    <n v="582"/>
    <n v="0"/>
    <n v="0"/>
    <n v="15.07"/>
    <n v="0"/>
    <n v="3.36"/>
    <n v="0"/>
    <n v="823.77920000000006"/>
    <n v="1187.9436224166666"/>
    <n v="3.9530273735532404"/>
    <n v="0.31624218988425928"/>
    <n v="0.12649687595370371"/>
    <n v="1.9731967500000003"/>
    <n v="0.74586837150000018"/>
    <n v="17.238849066666663"/>
    <n v="0.46980875"/>
    <n v="24.823489377557866"/>
    <n v="4.7607286666666662"/>
    <n v="1.1432012916666665"/>
    <n v="9.6310793749999998E-2"/>
    <n v="0.1174521875"/>
    <n v="0.73081361111111109"/>
    <n v="2.5887354761625003"/>
    <n v="9.4372420268569428"/>
    <n v="0"/>
    <n v="0"/>
    <n v="0"/>
    <n v="0"/>
    <n v="9.4372420268569428"/>
    <n v="62.806666666666665"/>
    <n v="12.108481690426325"/>
    <n v="21.998657016417809"/>
    <n v="235.31984072022155"/>
    <n v="0"/>
    <n v="332.23364609373232"/>
    <n v="2118.2084999148137"/>
    <n v="189.64880140242613"/>
    <n v="159.30499317803796"/>
    <n v="8.6609686609686695E-2"/>
    <n v="1.880341880341882E-2"/>
    <n v="0.03"/>
    <n v="3.4188034188034219E-2"/>
    <n v="0.1225"/>
    <n v="0.13960113960113973"/>
    <n v="344.41866789250349"/>
    <n v="693.37246247296753"/>
    <n v="2811.5809623877813"/>
    <n v="33738.971548653375"/>
    <d v="2025-01-01T00:00:00"/>
    <s v="-"/>
    <s v="-"/>
  </r>
  <r>
    <s v="2.045.06"/>
    <x v="36"/>
    <x v="1"/>
    <s v="Fethemg RM"/>
    <s v="Limpeza"/>
    <x v="0"/>
    <n v="1"/>
    <n v="0"/>
    <n v="1649.12"/>
    <n v="0"/>
    <n v="0"/>
    <n v="0"/>
    <n v="0"/>
    <n v="0"/>
    <n v="0"/>
    <n v="53.971200000000003"/>
    <n v="1703.0911999999998"/>
    <n v="340.61824000000001"/>
    <n v="25.546367999999998"/>
    <n v="17.030911999999997"/>
    <n v="3.4061823999999996"/>
    <n v="42.577280000000002"/>
    <n v="136.24729599999998"/>
    <n v="68.123647999999989"/>
    <n v="10.2185472"/>
    <n v="643.76847359999999"/>
    <n v="141.92426666666665"/>
    <n v="189.23235555555553"/>
    <n v="125.17720319999999"/>
    <n v="456.33382542222216"/>
    <n v="157.05279999999999"/>
    <n v="582"/>
    <n v="0"/>
    <n v="0"/>
    <n v="15.07"/>
    <n v="0"/>
    <n v="3.36"/>
    <n v="0"/>
    <n v="757.4828"/>
    <n v="1857.5850990222223"/>
    <n v="11.941678632098764"/>
    <n v="0.9553342905679012"/>
    <n v="0.38213371622716052"/>
    <n v="5.9608192000000004"/>
    <n v="2.2531896576000006"/>
    <n v="52.076744248888879"/>
    <n v="1.4192426666666667"/>
    <n v="74.989142412049375"/>
    <n v="14.38165902222222"/>
    <n v="3.4534904888888884"/>
    <n v="0.29094474666666664"/>
    <n v="0.35481066666666666"/>
    <n v="2.2077108148148143"/>
    <n v="7.8202967494400006"/>
    <n v="28.508912488699256"/>
    <n v="0"/>
    <n v="0"/>
    <n v="0"/>
    <n v="0"/>
    <n v="28.508912488699256"/>
    <n v="100.80916666666666"/>
    <n v="35.518212958583888"/>
    <n v="64.529393914825576"/>
    <n v="690.27153277931654"/>
    <n v="0"/>
    <n v="891.12830631939266"/>
    <n v="4555.3026602423633"/>
    <n v="189.64880140242613"/>
    <n v="159.30499317803796"/>
    <n v="8.6609686609686695E-2"/>
    <n v="1.880341880341882E-2"/>
    <n v="0.03"/>
    <n v="3.4188034188034219E-2"/>
    <n v="0.1225"/>
    <n v="0.13960113960113973"/>
    <n v="684.63978998951222"/>
    <n v="1033.5935845699764"/>
    <n v="5588.8962448123402"/>
    <n v="67066.754937748075"/>
    <d v="2025-01-01T00:00:00"/>
    <s v="-"/>
    <s v="-"/>
  </r>
  <r>
    <s v="2.103.03"/>
    <x v="37"/>
    <x v="2"/>
    <s v="Regiao de Sao Lourenco"/>
    <s v="Limpeza"/>
    <x v="0"/>
    <n v="1"/>
    <n v="0"/>
    <n v="544.17999999999995"/>
    <n v="0"/>
    <n v="0"/>
    <n v="0"/>
    <n v="0"/>
    <n v="0"/>
    <n v="0"/>
    <n v="19.590499999999999"/>
    <n v="563.77049999999997"/>
    <n v="112.75409999999999"/>
    <n v="8.4565574999999988"/>
    <n v="5.6377049999999995"/>
    <n v="1.1275409999999999"/>
    <n v="14.094262499999999"/>
    <n v="45.101639999999996"/>
    <n v="22.550819999999998"/>
    <n v="3.3826229999999997"/>
    <n v="213.10524899999996"/>
    <n v="46.980874999999997"/>
    <n v="62.641166666666663"/>
    <n v="41.437131749999992"/>
    <n v="151.05917341666665"/>
    <n v="223.3492"/>
    <n v="582"/>
    <n v="0"/>
    <n v="0"/>
    <n v="0"/>
    <n v="0"/>
    <n v="3.36"/>
    <n v="0"/>
    <n v="808.70920000000001"/>
    <n v="1172.8736224166666"/>
    <n v="3.9530273735532404"/>
    <n v="0.31624218988425928"/>
    <n v="0.12649687595370371"/>
    <n v="1.9731967500000003"/>
    <n v="0.74586837150000018"/>
    <n v="17.238849066666663"/>
    <n v="0.46980875"/>
    <n v="24.823489377557866"/>
    <n v="4.7607286666666662"/>
    <n v="1.1432012916666665"/>
    <n v="9.6310793749999998E-2"/>
    <n v="0.1174521875"/>
    <n v="0.73081361111111109"/>
    <n v="2.5887354761625003"/>
    <n v="9.4372420268569428"/>
    <n v="0"/>
    <n v="0"/>
    <n v="0"/>
    <n v="0"/>
    <n v="9.4372420268569428"/>
    <n v="62.806666666666665"/>
    <n v="12.108481690426325"/>
    <n v="21.998657016417809"/>
    <n v="235.31984072022155"/>
    <n v="0"/>
    <n v="332.23364609373232"/>
    <n v="2103.1384999148136"/>
    <n v="189.64880140242613"/>
    <n v="159.30499317803796"/>
    <n v="8.6609686609686695E-2"/>
    <n v="1.880341880341882E-2"/>
    <n v="0.03"/>
    <n v="3.4188034188034219E-2"/>
    <n v="0.1225"/>
    <n v="0.13960113960113973"/>
    <n v="342.31487871871428"/>
    <n v="691.26867329917832"/>
    <n v="2794.4071732139919"/>
    <n v="33532.886078567899"/>
    <d v="2025-01-01T00:00:00"/>
    <s v="-"/>
    <s v="-"/>
  </r>
  <r>
    <s v="2.878.03"/>
    <x v="38"/>
    <x v="2"/>
    <s v="Fethemg Interior"/>
    <s v="Limpeza"/>
    <x v="0"/>
    <n v="1"/>
    <n v="0"/>
    <n v="544.17999999999995"/>
    <n v="0"/>
    <n v="0"/>
    <n v="0"/>
    <n v="0"/>
    <n v="0"/>
    <n v="0"/>
    <n v="19.590499999999999"/>
    <n v="563.77049999999997"/>
    <n v="112.75409999999999"/>
    <n v="8.4565574999999988"/>
    <n v="5.6377049999999995"/>
    <n v="1.1275409999999999"/>
    <n v="14.094262499999999"/>
    <n v="45.101639999999996"/>
    <n v="22.550819999999998"/>
    <n v="3.3826229999999997"/>
    <n v="213.10524899999996"/>
    <n v="46.980874999999997"/>
    <n v="62.641166666666663"/>
    <n v="41.437131749999992"/>
    <n v="151.05917341666665"/>
    <n v="223.3492"/>
    <n v="582"/>
    <n v="0"/>
    <n v="0"/>
    <n v="15.07"/>
    <n v="0"/>
    <n v="3.36"/>
    <n v="0"/>
    <n v="823.77920000000006"/>
    <n v="1187.9436224166666"/>
    <n v="3.9530273735532404"/>
    <n v="0.31624218988425928"/>
    <n v="0.12649687595370371"/>
    <n v="1.9731967500000003"/>
    <n v="0.74586837150000018"/>
    <n v="17.238849066666663"/>
    <n v="0.46980875"/>
    <n v="24.823489377557866"/>
    <n v="4.7607286666666662"/>
    <n v="1.1432012916666665"/>
    <n v="9.6310793749999998E-2"/>
    <n v="0.1174521875"/>
    <n v="0.73081361111111109"/>
    <n v="2.5887354761625003"/>
    <n v="9.4372420268569428"/>
    <n v="0"/>
    <n v="0"/>
    <n v="0"/>
    <n v="0"/>
    <n v="9.4372420268569428"/>
    <n v="62.806666666666665"/>
    <n v="12.108481690426325"/>
    <n v="21.998657016417809"/>
    <n v="235.31984072022155"/>
    <n v="0"/>
    <n v="332.23364609373232"/>
    <n v="2118.2084999148137"/>
    <n v="189.64880140242613"/>
    <n v="159.30499317803796"/>
    <n v="8.5633802816901458E-2"/>
    <n v="1.8591549295774657E-2"/>
    <n v="0.02"/>
    <n v="2.2535211267605645E-2"/>
    <n v="0.1125"/>
    <n v="0.12676056338028174"/>
    <n v="312.73888240080998"/>
    <n v="661.69267698127408"/>
    <n v="2779.9011768960877"/>
    <n v="33358.81412275305"/>
    <d v="2025-01-01T00:00:00"/>
    <s v="-"/>
    <s v="-"/>
  </r>
  <r>
    <s v="2.106.03"/>
    <x v="39"/>
    <x v="2"/>
    <s v="Fethemg Interior"/>
    <s v="Limpeza"/>
    <x v="0"/>
    <n v="1"/>
    <n v="0"/>
    <n v="544.17999999999995"/>
    <n v="0"/>
    <n v="0"/>
    <n v="0"/>
    <n v="0"/>
    <n v="0"/>
    <n v="0"/>
    <n v="19.590499999999999"/>
    <n v="563.77049999999997"/>
    <n v="112.75409999999999"/>
    <n v="8.4565574999999988"/>
    <n v="5.6377049999999995"/>
    <n v="1.1275409999999999"/>
    <n v="14.094262499999999"/>
    <n v="45.101639999999996"/>
    <n v="22.550819999999998"/>
    <n v="3.3826229999999997"/>
    <n v="213.10524899999996"/>
    <n v="46.980874999999997"/>
    <n v="62.641166666666663"/>
    <n v="41.437131749999992"/>
    <n v="151.05917341666665"/>
    <n v="223.3492"/>
    <n v="582"/>
    <n v="0"/>
    <n v="0"/>
    <n v="15.07"/>
    <n v="0"/>
    <n v="3.36"/>
    <n v="0"/>
    <n v="823.77920000000006"/>
    <n v="1187.9436224166666"/>
    <n v="3.9530273735532404"/>
    <n v="0.31624218988425928"/>
    <n v="0.12649687595370371"/>
    <n v="1.9731967500000003"/>
    <n v="0.74586837150000018"/>
    <n v="17.238849066666663"/>
    <n v="0.46980875"/>
    <n v="24.823489377557866"/>
    <n v="4.7607286666666662"/>
    <n v="1.1432012916666665"/>
    <n v="9.6310793749999998E-2"/>
    <n v="0.1174521875"/>
    <n v="0.73081361111111109"/>
    <n v="2.5887354761625003"/>
    <n v="9.4372420268569428"/>
    <n v="0"/>
    <n v="0"/>
    <n v="0"/>
    <n v="0"/>
    <n v="9.4372420268569428"/>
    <n v="62.806666666666665"/>
    <n v="12.108481690426325"/>
    <n v="21.998657016417809"/>
    <n v="235.31984072022155"/>
    <n v="0"/>
    <n v="332.23364609373232"/>
    <n v="2118.2084999148137"/>
    <n v="189.64880140242613"/>
    <n v="159.30499317803796"/>
    <n v="8.6609686609686695E-2"/>
    <n v="1.880341880341882E-2"/>
    <n v="0.03"/>
    <n v="3.4188034188034219E-2"/>
    <n v="0.1225"/>
    <n v="0.13960113960113973"/>
    <n v="344.41866789250349"/>
    <n v="693.37246247296753"/>
    <n v="2811.5809623877813"/>
    <n v="33738.971548653375"/>
    <d v="2025-01-01T00:00:00"/>
    <s v="-"/>
    <s v="-"/>
  </r>
  <r>
    <s v="2.109.04"/>
    <x v="40"/>
    <x v="0"/>
    <s v="Regiao de Sao Lourenco"/>
    <s v="Limpeza"/>
    <x v="0"/>
    <n v="1"/>
    <n v="0"/>
    <n v="798.14"/>
    <n v="0"/>
    <n v="0"/>
    <n v="0"/>
    <n v="0"/>
    <n v="0"/>
    <n v="0"/>
    <n v="26.120899999999999"/>
    <n v="824.26089999999999"/>
    <n v="164.85218"/>
    <n v="12.363913499999999"/>
    <n v="8.2426089999999999"/>
    <n v="1.6485217999999999"/>
    <n v="20.606522500000001"/>
    <n v="65.940871999999999"/>
    <n v="32.970435999999999"/>
    <n v="4.9455654000000004"/>
    <n v="311.57062020000001"/>
    <n v="68.688408333333328"/>
    <n v="91.584544444444433"/>
    <n v="60.583176149999993"/>
    <n v="220.85612892777775"/>
    <n v="208.11160000000001"/>
    <n v="582"/>
    <n v="0"/>
    <n v="0"/>
    <n v="0"/>
    <n v="0"/>
    <n v="3.36"/>
    <n v="0"/>
    <n v="793.47159999999997"/>
    <n v="1325.8983491277777"/>
    <n v="5.7795253576581791"/>
    <n v="0.46236202861265435"/>
    <n v="0.18494481144506175"/>
    <n v="2.8849131500000005"/>
    <n v="1.0904971707000004"/>
    <n v="25.204066631111107"/>
    <n v="0.6868840833333334"/>
    <n v="36.293193232860339"/>
    <n v="6.9604253777777769"/>
    <n v="1.671417936111111"/>
    <n v="0.14081123708333332"/>
    <n v="0.17172102083333335"/>
    <n v="1.0684863518518517"/>
    <n v="3.7848618071425006"/>
    <n v="13.797723730799909"/>
    <n v="0"/>
    <n v="0"/>
    <n v="0"/>
    <n v="0"/>
    <n v="13.797723730799909"/>
    <n v="62.806666666666665"/>
    <n v="17.759106479291944"/>
    <n v="32.264696957412788"/>
    <n v="345.13576638965827"/>
    <n v="0"/>
    <n v="457.96623649302967"/>
    <n v="2658.2164025844677"/>
    <n v="189.64880140242613"/>
    <n v="159.30499317803796"/>
    <n v="8.6609686609686695E-2"/>
    <n v="1.880341880341882E-2"/>
    <n v="0.03"/>
    <n v="3.4188034188034219E-2"/>
    <n v="0.1225"/>
    <n v="0.13960113960113973"/>
    <n v="419.80438649880853"/>
    <n v="768.75818107927262"/>
    <n v="3426.9745836637403"/>
    <n v="41123.69500396488"/>
    <d v="2025-01-01T00:00:00"/>
    <s v="-"/>
    <s v="-"/>
  </r>
  <r>
    <s v="2.112.04"/>
    <x v="41"/>
    <x v="0"/>
    <s v="Regiao de Sao Lourenco"/>
    <s v="Limpeza"/>
    <x v="0"/>
    <n v="1"/>
    <n v="0"/>
    <n v="798.14"/>
    <n v="0"/>
    <n v="0"/>
    <n v="0"/>
    <n v="0"/>
    <n v="0"/>
    <n v="0"/>
    <n v="26.120899999999999"/>
    <n v="824.26089999999999"/>
    <n v="164.85218"/>
    <n v="12.363913499999999"/>
    <n v="8.2426089999999999"/>
    <n v="1.6485217999999999"/>
    <n v="20.606522500000001"/>
    <n v="65.940871999999999"/>
    <n v="32.970435999999999"/>
    <n v="4.9455654000000004"/>
    <n v="311.57062020000001"/>
    <n v="68.688408333333328"/>
    <n v="91.584544444444433"/>
    <n v="60.583176149999993"/>
    <n v="220.85612892777775"/>
    <n v="208.11160000000001"/>
    <n v="582"/>
    <n v="0"/>
    <n v="0"/>
    <n v="0"/>
    <n v="0"/>
    <n v="3.36"/>
    <n v="0"/>
    <n v="793.47159999999997"/>
    <n v="1325.8983491277777"/>
    <n v="5.7795253576581791"/>
    <n v="0.46236202861265435"/>
    <n v="0.18494481144506175"/>
    <n v="2.8849131500000005"/>
    <n v="1.0904971707000004"/>
    <n v="25.204066631111107"/>
    <n v="0.6868840833333334"/>
    <n v="36.293193232860339"/>
    <n v="6.9604253777777769"/>
    <n v="1.671417936111111"/>
    <n v="0.14081123708333332"/>
    <n v="0.17172102083333335"/>
    <n v="1.0684863518518517"/>
    <n v="3.7848618071425006"/>
    <n v="13.797723730799909"/>
    <n v="0"/>
    <n v="0"/>
    <n v="0"/>
    <n v="0"/>
    <n v="13.797723730799909"/>
    <n v="62.806666666666665"/>
    <n v="17.759106479291944"/>
    <n v="32.264696957412788"/>
    <n v="345.13576638965827"/>
    <n v="0"/>
    <n v="457.96623649302967"/>
    <n v="2658.2164025844677"/>
    <n v="189.64880140242613"/>
    <n v="159.30499317803796"/>
    <n v="8.6609686609686695E-2"/>
    <n v="1.880341880341882E-2"/>
    <n v="0.03"/>
    <n v="3.4188034188034219E-2"/>
    <n v="0.1225"/>
    <n v="0.13960113960113973"/>
    <n v="419.80438649880853"/>
    <n v="768.75818107927262"/>
    <n v="3426.9745836637403"/>
    <n v="41123.69500396488"/>
    <d v="2025-01-01T00:00:00"/>
    <s v="-"/>
    <s v="-"/>
  </r>
  <r>
    <s v="2.112.06"/>
    <x v="41"/>
    <x v="1"/>
    <s v="Regiao de Sao Lourenco"/>
    <s v="Limpeza"/>
    <x v="0"/>
    <n v="1"/>
    <n v="0"/>
    <n v="1596.28"/>
    <n v="0"/>
    <n v="0"/>
    <n v="0"/>
    <n v="0"/>
    <n v="0"/>
    <n v="0"/>
    <n v="52.241900000000001"/>
    <n v="1648.5219"/>
    <n v="329.70438000000001"/>
    <n v="24.727828499999998"/>
    <n v="16.485219000000001"/>
    <n v="3.2970438"/>
    <n v="41.213047500000002"/>
    <n v="131.88175200000001"/>
    <n v="65.940876000000003"/>
    <n v="9.8911314000000008"/>
    <n v="623.14127819999999"/>
    <n v="137.376825"/>
    <n v="183.16909999999999"/>
    <n v="121.16635965"/>
    <n v="441.71228465000002"/>
    <n v="160.22320000000002"/>
    <n v="582"/>
    <n v="0"/>
    <n v="0"/>
    <n v="0"/>
    <n v="0"/>
    <n v="3.36"/>
    <n v="0"/>
    <n v="745.58320000000003"/>
    <n v="1810.4367628499999"/>
    <n v="11.559051416493055"/>
    <n v="0.92472411331944449"/>
    <n v="0.36988964532777785"/>
    <n v="5.7698266500000006"/>
    <n v="2.1809944737000007"/>
    <n v="50.40813631999999"/>
    <n v="1.3737682500000001"/>
    <n v="72.586390868840269"/>
    <n v="13.920851599999999"/>
    <n v="3.3428360749999997"/>
    <n v="0.28162249125"/>
    <n v="0.34344206250000003"/>
    <n v="2.1369728333333331"/>
    <n v="7.5697240734675013"/>
    <n v="27.595449135550833"/>
    <n v="0"/>
    <n v="0"/>
    <n v="0"/>
    <n v="0"/>
    <n v="27.595449135550833"/>
    <n v="100.80916666666666"/>
    <n v="35.518212958583888"/>
    <n v="64.529393914825576"/>
    <n v="690.27153277931654"/>
    <n v="0"/>
    <n v="891.12830631939266"/>
    <n v="4450.2688091737837"/>
    <n v="189.64880140242613"/>
    <n v="159.30499317803796"/>
    <n v="8.6609686609686695E-2"/>
    <n v="1.880341880341882E-2"/>
    <n v="0.03"/>
    <n v="3.4188034188034219E-2"/>
    <n v="0.1225"/>
    <n v="0.13960113960113973"/>
    <n v="669.97694468364205"/>
    <n v="1018.9307392641061"/>
    <n v="5469.1995484378895"/>
    <n v="65630.394581254674"/>
    <d v="2025-01-01T00:00:00"/>
    <s v="-"/>
    <s v="-"/>
  </r>
  <r>
    <s v="2.115.03"/>
    <x v="42"/>
    <x v="2"/>
    <s v="Alto Paranaiba"/>
    <s v="Limpeza"/>
    <x v="0"/>
    <n v="1"/>
    <n v="0"/>
    <n v="544.17999999999995"/>
    <n v="0"/>
    <n v="0"/>
    <n v="0"/>
    <n v="0"/>
    <n v="0"/>
    <n v="0"/>
    <n v="19.590499999999999"/>
    <n v="563.77049999999997"/>
    <n v="112.75409999999999"/>
    <n v="8.4565574999999988"/>
    <n v="5.6377049999999995"/>
    <n v="1.1275409999999999"/>
    <n v="14.094262499999999"/>
    <n v="45.101639999999996"/>
    <n v="22.550819999999998"/>
    <n v="3.3826229999999997"/>
    <n v="213.10524899999996"/>
    <n v="46.980874999999997"/>
    <n v="62.641166666666663"/>
    <n v="41.437131749999992"/>
    <n v="151.05917341666665"/>
    <n v="223.3492"/>
    <n v="0"/>
    <n v="387.79"/>
    <n v="42.97"/>
    <n v="0"/>
    <n v="0"/>
    <n v="3.36"/>
    <n v="0"/>
    <n v="657.46920000000011"/>
    <n v="1021.6336224166668"/>
    <n v="3.9530273735532404"/>
    <n v="0.31624218988425928"/>
    <n v="0.12649687595370371"/>
    <n v="1.9731967500000003"/>
    <n v="0.74586837150000018"/>
    <n v="17.238849066666663"/>
    <n v="0.46980875"/>
    <n v="24.823489377557866"/>
    <n v="4.7607286666666662"/>
    <n v="1.1432012916666665"/>
    <n v="9.6310793749999998E-2"/>
    <n v="0.1174521875"/>
    <n v="0.73081361111111109"/>
    <n v="2.5887354761625003"/>
    <n v="9.4372420268569428"/>
    <n v="0"/>
    <n v="0"/>
    <n v="0"/>
    <n v="0"/>
    <n v="9.4372420268569428"/>
    <n v="62.806666666666665"/>
    <n v="12.108481690426325"/>
    <n v="21.998657016417809"/>
    <n v="235.31984072022155"/>
    <n v="0"/>
    <n v="332.23364609373232"/>
    <n v="1951.8984999148138"/>
    <n v="189.64880140242613"/>
    <n v="159.30499317803796"/>
    <n v="8.6609686609686695E-2"/>
    <n v="1.880341880341882E-2"/>
    <n v="0.03"/>
    <n v="3.4188034188034219E-2"/>
    <n v="0.1225"/>
    <n v="0.13960113960113973"/>
    <n v="321.20160236543796"/>
    <n v="670.15539694590211"/>
    <n v="2622.0538968607161"/>
    <n v="31464.646762328593"/>
    <d v="2025-01-01T00:00:00"/>
    <s v="-"/>
    <s v="-"/>
  </r>
  <r>
    <s v="2.116.04"/>
    <x v="43"/>
    <x v="0"/>
    <s v="Regiao de Sao Lourenco"/>
    <s v="Limpeza"/>
    <x v="0"/>
    <n v="1"/>
    <n v="0"/>
    <n v="798.14"/>
    <n v="0"/>
    <n v="0"/>
    <n v="0"/>
    <n v="0"/>
    <n v="0"/>
    <n v="0"/>
    <n v="26.120899999999999"/>
    <n v="824.26089999999999"/>
    <n v="164.85218"/>
    <n v="12.363913499999999"/>
    <n v="8.2426089999999999"/>
    <n v="1.6485217999999999"/>
    <n v="20.606522500000001"/>
    <n v="65.940871999999999"/>
    <n v="32.970435999999999"/>
    <n v="4.9455654000000004"/>
    <n v="311.57062020000001"/>
    <n v="68.688408333333328"/>
    <n v="91.584544444444433"/>
    <n v="60.583176149999993"/>
    <n v="220.85612892777775"/>
    <n v="208.11160000000001"/>
    <n v="582"/>
    <n v="0"/>
    <n v="0"/>
    <n v="0"/>
    <n v="0"/>
    <n v="3.36"/>
    <n v="0"/>
    <n v="793.47159999999997"/>
    <n v="1325.8983491277777"/>
    <n v="5.7795253576581791"/>
    <n v="0.46236202861265435"/>
    <n v="0.18494481144506175"/>
    <n v="2.8849131500000005"/>
    <n v="1.0904971707000004"/>
    <n v="25.204066631111107"/>
    <n v="0.6868840833333334"/>
    <n v="36.293193232860339"/>
    <n v="6.9604253777777769"/>
    <n v="1.671417936111111"/>
    <n v="0.14081123708333332"/>
    <n v="0.17172102083333335"/>
    <n v="1.0684863518518517"/>
    <n v="3.7848618071425006"/>
    <n v="13.797723730799909"/>
    <n v="0"/>
    <n v="0"/>
    <n v="0"/>
    <n v="0"/>
    <n v="13.797723730799909"/>
    <n v="62.806666666666665"/>
    <n v="17.759106479291944"/>
    <n v="32.264696957412788"/>
    <n v="345.13576638965827"/>
    <n v="0"/>
    <n v="457.96623649302967"/>
    <n v="2658.2164025844677"/>
    <n v="189.64880140242613"/>
    <n v="159.30499317803796"/>
    <n v="8.5633802816901458E-2"/>
    <n v="1.8591549295774657E-2"/>
    <n v="0.02"/>
    <n v="2.2535211267605645E-2"/>
    <n v="0.1125"/>
    <n v="0.12676056338028174"/>
    <n v="381.19058837301969"/>
    <n v="730.14438295348373"/>
    <n v="3388.3607855379514"/>
    <n v="40660.329426455413"/>
    <d v="2025-01-01T00:00:00"/>
    <s v="-"/>
    <s v="-"/>
  </r>
  <r>
    <s v="2.118.03"/>
    <x v="44"/>
    <x v="2"/>
    <s v="Alto Paranaiba"/>
    <s v="Limpeza"/>
    <x v="0"/>
    <n v="1"/>
    <n v="0"/>
    <n v="544.17999999999995"/>
    <n v="0"/>
    <n v="0"/>
    <n v="0"/>
    <n v="0"/>
    <n v="0"/>
    <n v="0"/>
    <n v="19.590499999999999"/>
    <n v="563.77049999999997"/>
    <n v="112.75409999999999"/>
    <n v="8.4565574999999988"/>
    <n v="5.6377049999999995"/>
    <n v="1.1275409999999999"/>
    <n v="14.094262499999999"/>
    <n v="45.101639999999996"/>
    <n v="22.550819999999998"/>
    <n v="3.3826229999999997"/>
    <n v="213.10524899999996"/>
    <n v="46.980874999999997"/>
    <n v="62.641166666666663"/>
    <n v="41.437131749999992"/>
    <n v="151.05917341666665"/>
    <n v="223.3492"/>
    <n v="0"/>
    <n v="387.79"/>
    <n v="42.97"/>
    <n v="0"/>
    <n v="0"/>
    <n v="3.36"/>
    <n v="0"/>
    <n v="657.46920000000011"/>
    <n v="1021.6336224166668"/>
    <n v="3.9530273735532404"/>
    <n v="0.31624218988425928"/>
    <n v="0.12649687595370371"/>
    <n v="1.9731967500000003"/>
    <n v="0.74586837150000018"/>
    <n v="17.238849066666663"/>
    <n v="0.46980875"/>
    <n v="24.823489377557866"/>
    <n v="4.7607286666666662"/>
    <n v="1.1432012916666665"/>
    <n v="9.6310793749999998E-2"/>
    <n v="0.1174521875"/>
    <n v="0.73081361111111109"/>
    <n v="2.5887354761625003"/>
    <n v="9.4372420268569428"/>
    <n v="0"/>
    <n v="0"/>
    <n v="0"/>
    <n v="0"/>
    <n v="9.4372420268569428"/>
    <n v="62.806666666666665"/>
    <n v="12.108481690426325"/>
    <n v="21.998657016417809"/>
    <n v="235.31984072022155"/>
    <n v="0"/>
    <n v="332.23364609373232"/>
    <n v="1951.8984999148138"/>
    <n v="189.64880140242613"/>
    <n v="159.30499317803796"/>
    <n v="8.8629737609329504E-2"/>
    <n v="1.9241982507288629E-2"/>
    <n v="0.05"/>
    <n v="5.8309037900874633E-2"/>
    <n v="0.14250000000000002"/>
    <n v="0.16618075801749277"/>
    <n v="382.35737838551279"/>
    <n v="731.31117296597688"/>
    <n v="2683.2096728807905"/>
    <n v="32198.516074569488"/>
    <d v="2025-01-01T00:00:00"/>
    <s v="-"/>
    <s v="-"/>
  </r>
  <r>
    <s v="2.120.05"/>
    <x v="45"/>
    <x v="3"/>
    <s v="Regiao de Sao Lourenco"/>
    <s v="Limpeza"/>
    <x v="0"/>
    <n v="1"/>
    <n v="0"/>
    <n v="1088.3699999999999"/>
    <n v="0"/>
    <n v="0"/>
    <n v="0"/>
    <n v="0"/>
    <n v="0"/>
    <n v="0"/>
    <n v="39.1813"/>
    <n v="1127.5512999999999"/>
    <n v="225.51025999999999"/>
    <n v="16.913269499999998"/>
    <n v="11.275512999999998"/>
    <n v="2.2551025999999998"/>
    <n v="28.188782499999999"/>
    <n v="90.204103999999987"/>
    <n v="45.102051999999993"/>
    <n v="6.7653077999999995"/>
    <n v="426.21439139999995"/>
    <n v="93.962608333333321"/>
    <n v="125.28347777777776"/>
    <n v="82.875020549999988"/>
    <n v="302.12110666111107"/>
    <n v="190.69780000000003"/>
    <n v="582"/>
    <n v="0"/>
    <n v="0"/>
    <n v="0"/>
    <n v="0"/>
    <n v="3.36"/>
    <n v="0"/>
    <n v="776.05780000000004"/>
    <n v="1504.3932980611112"/>
    <n v="7.9061269683063262"/>
    <n v="0.6324901574645061"/>
    <n v="0.25299606298580246"/>
    <n v="3.94642955"/>
    <n v="1.4917503699000003"/>
    <n v="34.478013084444434"/>
    <n v="0.93962608333333331"/>
    <n v="49.647432276434401"/>
    <n v="9.5215443111111089"/>
    <n v="2.2864234694444439"/>
    <n v="0.19262334708333331"/>
    <n v="0.23490652083333333"/>
    <n v="1.4616405740740739"/>
    <n v="5.1775182481225004"/>
    <n v="18.874656470668793"/>
    <n v="0"/>
    <n v="0"/>
    <n v="0"/>
    <n v="0"/>
    <n v="18.874656470668793"/>
    <n v="100.80916666666666"/>
    <n v="24.216963380852651"/>
    <n v="43.997314032835618"/>
    <n v="470.6396814404431"/>
    <n v="0"/>
    <n v="639.66312552079808"/>
    <n v="3340.1298123290121"/>
    <n v="189.64880140242613"/>
    <n v="159.30499317803796"/>
    <n v="8.5633802816901458E-2"/>
    <n v="1.8591549295774657E-2"/>
    <n v="0.02"/>
    <n v="2.2535211267605645E-2"/>
    <n v="0.1125"/>
    <n v="0.12676056338028174"/>
    <n v="467.63031636880703"/>
    <n v="816.58411094927112"/>
    <n v="4156.7139232782829"/>
    <n v="49880.567079339395"/>
    <d v="2025-01-01T00:00:00"/>
    <s v="-"/>
    <s v="-"/>
  </r>
  <r>
    <s v="2.123.04"/>
    <x v="46"/>
    <x v="0"/>
    <s v="Regiao de Teofilo Otoni"/>
    <s v="Limpeza"/>
    <x v="0"/>
    <n v="1"/>
    <n v="0"/>
    <n v="798.14"/>
    <n v="0"/>
    <n v="0"/>
    <n v="0"/>
    <n v="0"/>
    <n v="0"/>
    <n v="0"/>
    <n v="26.120899999999999"/>
    <n v="824.26089999999999"/>
    <n v="164.85218"/>
    <n v="12.363913499999999"/>
    <n v="8.2426089999999999"/>
    <n v="1.6485217999999999"/>
    <n v="20.606522500000001"/>
    <n v="65.940871999999999"/>
    <n v="32.970435999999999"/>
    <n v="4.9455654000000004"/>
    <n v="311.57062020000001"/>
    <n v="68.688408333333328"/>
    <n v="91.584544444444433"/>
    <n v="60.583176149999993"/>
    <n v="220.85612892777775"/>
    <n v="208.11160000000001"/>
    <n v="582"/>
    <n v="0"/>
    <n v="0"/>
    <n v="15.07"/>
    <n v="0"/>
    <n v="3.36"/>
    <n v="0"/>
    <n v="808.54160000000002"/>
    <n v="1340.9683491277779"/>
    <n v="5.7795253576581791"/>
    <n v="0.46236202861265435"/>
    <n v="0.18494481144506175"/>
    <n v="2.8849131500000005"/>
    <n v="1.0904971707000004"/>
    <n v="25.204066631111107"/>
    <n v="0.6868840833333334"/>
    <n v="36.293193232860339"/>
    <n v="6.9604253777777769"/>
    <n v="1.671417936111111"/>
    <n v="0.14081123708333332"/>
    <n v="0.17172102083333335"/>
    <n v="1.0684863518518517"/>
    <n v="3.7848618071425006"/>
    <n v="13.797723730799909"/>
    <n v="0"/>
    <n v="0"/>
    <n v="0"/>
    <n v="0"/>
    <n v="13.797723730799909"/>
    <n v="62.806666666666665"/>
    <n v="17.759106479291944"/>
    <n v="32.264696957412788"/>
    <n v="345.13576638965827"/>
    <n v="0"/>
    <n v="457.96623649302967"/>
    <n v="2673.2864025844674"/>
    <n v="189.64880140242613"/>
    <n v="159.30499317803796"/>
    <n v="8.6609686609686695E-2"/>
    <n v="1.880341880341882E-2"/>
    <n v="0.03"/>
    <n v="3.4188034188034219E-2"/>
    <n v="0.1225"/>
    <n v="0.13960113960113973"/>
    <n v="421.90817567259768"/>
    <n v="770.86197025306183"/>
    <n v="3444.1483728375292"/>
    <n v="41329.780474050349"/>
    <d v="2025-01-01T00:00:00"/>
    <s v="-"/>
    <s v="-"/>
  </r>
  <r>
    <s v="2.132.03"/>
    <x v="47"/>
    <x v="2"/>
    <s v="Fethemg Interior"/>
    <s v="Limpeza"/>
    <x v="0"/>
    <n v="1"/>
    <n v="0"/>
    <n v="544.17999999999995"/>
    <n v="0"/>
    <n v="0"/>
    <n v="0"/>
    <n v="0"/>
    <n v="0"/>
    <n v="0"/>
    <n v="19.590499999999999"/>
    <n v="563.77049999999997"/>
    <n v="112.75409999999999"/>
    <n v="8.4565574999999988"/>
    <n v="5.6377049999999995"/>
    <n v="1.1275409999999999"/>
    <n v="14.094262499999999"/>
    <n v="45.101639999999996"/>
    <n v="22.550819999999998"/>
    <n v="3.3826229999999997"/>
    <n v="213.10524899999996"/>
    <n v="46.980874999999997"/>
    <n v="62.641166666666663"/>
    <n v="41.437131749999992"/>
    <n v="151.05917341666665"/>
    <n v="223.3492"/>
    <n v="582"/>
    <n v="0"/>
    <n v="0"/>
    <n v="15.07"/>
    <n v="0"/>
    <n v="3.36"/>
    <n v="0"/>
    <n v="823.77920000000006"/>
    <n v="1187.9436224166666"/>
    <n v="3.9530273735532404"/>
    <n v="0.31624218988425928"/>
    <n v="0.12649687595370371"/>
    <n v="1.9731967500000003"/>
    <n v="0.74586837150000018"/>
    <n v="17.238849066666663"/>
    <n v="0.46980875"/>
    <n v="24.823489377557866"/>
    <n v="4.7607286666666662"/>
    <n v="1.1432012916666665"/>
    <n v="9.6310793749999998E-2"/>
    <n v="0.1174521875"/>
    <n v="0.73081361111111109"/>
    <n v="2.5887354761625003"/>
    <n v="9.4372420268569428"/>
    <n v="0"/>
    <n v="0"/>
    <n v="0"/>
    <n v="0"/>
    <n v="9.4372420268569428"/>
    <n v="62.806666666666665"/>
    <n v="12.108481690426325"/>
    <n v="21.998657016417809"/>
    <n v="235.31984072022155"/>
    <n v="0"/>
    <n v="332.23364609373232"/>
    <n v="2118.2084999148137"/>
    <n v="189.64880140242613"/>
    <n v="159.30499317803796"/>
    <n v="8.8629737609329504E-2"/>
    <n v="1.9241982507288629E-2"/>
    <n v="0.05"/>
    <n v="5.8309037900874633E-2"/>
    <n v="0.14250000000000002"/>
    <n v="0.16618075801749277"/>
    <n v="409.99490025140199"/>
    <n v="758.94869483186608"/>
    <n v="2877.15719474668"/>
    <n v="34525.88633696016"/>
    <d v="2025-01-01T00:00:00"/>
    <s v="-"/>
    <s v="-"/>
  </r>
  <r>
    <s v="2.133.06"/>
    <x v="48"/>
    <x v="1"/>
    <s v="Regiao de Juiz de Fora"/>
    <s v="Limpeza"/>
    <x v="0"/>
    <n v="1"/>
    <n v="0"/>
    <n v="1596.28"/>
    <n v="0"/>
    <n v="0"/>
    <n v="0"/>
    <n v="0"/>
    <n v="0"/>
    <n v="0"/>
    <n v="52.241900000000001"/>
    <n v="1648.5219"/>
    <n v="329.70438000000001"/>
    <n v="24.727828499999998"/>
    <n v="16.485219000000001"/>
    <n v="3.2970438"/>
    <n v="41.213047500000002"/>
    <n v="131.88175200000001"/>
    <n v="65.940876000000003"/>
    <n v="9.8911314000000008"/>
    <n v="623.14127819999999"/>
    <n v="137.376825"/>
    <n v="183.16909999999999"/>
    <n v="121.16635965"/>
    <n v="441.71228465000002"/>
    <n v="160.22320000000002"/>
    <n v="582"/>
    <n v="0"/>
    <n v="51.88"/>
    <n v="0"/>
    <n v="0"/>
    <n v="3.36"/>
    <n v="0"/>
    <n v="797.46320000000003"/>
    <n v="1862.31676285"/>
    <n v="11.559051416493055"/>
    <n v="0.92472411331944449"/>
    <n v="0.36988964532777785"/>
    <n v="5.7698266500000006"/>
    <n v="2.1809944737000007"/>
    <n v="50.40813631999999"/>
    <n v="1.3737682500000001"/>
    <n v="72.586390868840269"/>
    <n v="13.920851599999999"/>
    <n v="3.3428360749999997"/>
    <n v="0.28162249125"/>
    <n v="0.34344206250000003"/>
    <n v="2.1369728333333331"/>
    <n v="7.5697240734675013"/>
    <n v="27.595449135550833"/>
    <n v="0"/>
    <n v="0"/>
    <n v="0"/>
    <n v="0"/>
    <n v="27.595449135550833"/>
    <n v="100.80916666666666"/>
    <n v="35.518212958583888"/>
    <n v="64.529393914825576"/>
    <n v="690.27153277931654"/>
    <n v="0"/>
    <n v="891.12830631939266"/>
    <n v="4502.1488091737838"/>
    <n v="189.64880140242613"/>
    <n v="159.30499317803796"/>
    <n v="8.8629737609329504E-2"/>
    <n v="1.9241982507288629E-2"/>
    <n v="0.05"/>
    <n v="5.8309037900874633E-2"/>
    <n v="0.14250000000000002"/>
    <n v="0.16618075801749277"/>
    <n v="806.15990791251375"/>
    <n v="1155.1137024929778"/>
    <n v="5657.2625116667614"/>
    <n v="67887.150140001133"/>
    <d v="2025-01-01T00:00:00"/>
    <s v="-"/>
    <s v="-"/>
  </r>
  <r>
    <s v="2.134.06"/>
    <x v="49"/>
    <x v="1"/>
    <s v="Seethur"/>
    <s v="Limpeza"/>
    <x v="0"/>
    <n v="1"/>
    <n v="0"/>
    <n v="1596.28"/>
    <n v="0"/>
    <n v="0"/>
    <n v="0"/>
    <n v="0"/>
    <n v="0"/>
    <n v="0"/>
    <n v="52.241900000000001"/>
    <n v="1648.5219"/>
    <n v="329.70438000000001"/>
    <n v="24.727828499999998"/>
    <n v="16.485219000000001"/>
    <n v="3.2970438"/>
    <n v="41.213047500000002"/>
    <n v="131.88175200000001"/>
    <n v="65.940876000000003"/>
    <n v="9.8911314000000008"/>
    <n v="623.14127819999999"/>
    <n v="137.376825"/>
    <n v="183.16909999999999"/>
    <n v="121.16635965"/>
    <n v="441.71228465000002"/>
    <n v="160.22320000000002"/>
    <n v="582"/>
    <n v="0"/>
    <n v="51.86"/>
    <n v="0"/>
    <n v="0"/>
    <n v="3.36"/>
    <n v="0"/>
    <n v="797.44320000000005"/>
    <n v="1862.2967628500001"/>
    <n v="11.559051416493055"/>
    <n v="0.92472411331944449"/>
    <n v="0.36988964532777785"/>
    <n v="5.7698266500000006"/>
    <n v="2.1809944737000007"/>
    <n v="50.40813631999999"/>
    <n v="1.3737682500000001"/>
    <n v="72.586390868840269"/>
    <n v="13.920851599999999"/>
    <n v="3.3428360749999997"/>
    <n v="0.28162249125"/>
    <n v="0.34344206250000003"/>
    <n v="2.1369728333333331"/>
    <n v="7.5697240734675013"/>
    <n v="27.595449135550833"/>
    <n v="0"/>
    <n v="0"/>
    <n v="0"/>
    <n v="0"/>
    <n v="27.595449135550833"/>
    <n v="100.80916666666666"/>
    <n v="35.518212958583888"/>
    <n v="64.529393914825576"/>
    <n v="690.27153277931654"/>
    <n v="0"/>
    <n v="891.12830631939266"/>
    <n v="4502.1288091737833"/>
    <n v="189.64880140242613"/>
    <n v="159.30499317803796"/>
    <n v="8.6609686609686695E-2"/>
    <n v="1.880341880341882E-2"/>
    <n v="0.03"/>
    <n v="3.4188034188034219E-2"/>
    <n v="0.1225"/>
    <n v="0.13960113960113973"/>
    <n v="677.21665978335716"/>
    <n v="1026.1704543638211"/>
    <n v="5528.2992635376049"/>
    <n v="66339.591162451252"/>
    <d v="2025-01-01T00:00:00"/>
    <s v="-"/>
    <s v="-"/>
  </r>
  <r>
    <s v="2.137.03"/>
    <x v="50"/>
    <x v="2"/>
    <s v="Regiao de Teofilo Otoni"/>
    <s v="Limpeza"/>
    <x v="0"/>
    <n v="1"/>
    <n v="0"/>
    <n v="544.17999999999995"/>
    <n v="0"/>
    <n v="0"/>
    <n v="0"/>
    <n v="0"/>
    <n v="0"/>
    <n v="0"/>
    <n v="19.590499999999999"/>
    <n v="563.77049999999997"/>
    <n v="112.75409999999999"/>
    <n v="8.4565574999999988"/>
    <n v="5.6377049999999995"/>
    <n v="1.1275409999999999"/>
    <n v="14.094262499999999"/>
    <n v="45.101639999999996"/>
    <n v="22.550819999999998"/>
    <n v="3.3826229999999997"/>
    <n v="213.10524899999996"/>
    <n v="46.980874999999997"/>
    <n v="62.641166666666663"/>
    <n v="41.437131749999992"/>
    <n v="151.05917341666665"/>
    <n v="223.3492"/>
    <n v="582"/>
    <n v="0"/>
    <n v="0"/>
    <n v="15.07"/>
    <n v="0"/>
    <n v="3.36"/>
    <n v="0"/>
    <n v="823.77920000000006"/>
    <n v="1187.9436224166666"/>
    <n v="3.9530273735532404"/>
    <n v="0.31624218988425928"/>
    <n v="0.12649687595370371"/>
    <n v="1.9731967500000003"/>
    <n v="0.74586837150000018"/>
    <n v="17.238849066666663"/>
    <n v="0.46980875"/>
    <n v="24.823489377557866"/>
    <n v="4.7607286666666662"/>
    <n v="1.1432012916666665"/>
    <n v="9.6310793749999998E-2"/>
    <n v="0.1174521875"/>
    <n v="0.73081361111111109"/>
    <n v="2.5887354761625003"/>
    <n v="9.4372420268569428"/>
    <n v="0"/>
    <n v="0"/>
    <n v="0"/>
    <n v="0"/>
    <n v="9.4372420268569428"/>
    <n v="62.806666666666665"/>
    <n v="12.108481690426325"/>
    <n v="21.998657016417809"/>
    <n v="235.31984072022155"/>
    <n v="0"/>
    <n v="332.23364609373232"/>
    <n v="2118.2084999148137"/>
    <n v="189.64880140242613"/>
    <n v="159.30499317803796"/>
    <n v="8.8629737609329504E-2"/>
    <n v="1.9241982507288629E-2"/>
    <n v="0.05"/>
    <n v="5.8309037900874633E-2"/>
    <n v="0.14250000000000002"/>
    <n v="0.16618075801749277"/>
    <n v="409.99490025140199"/>
    <n v="758.94869483186608"/>
    <n v="2877.15719474668"/>
    <n v="34525.88633696016"/>
    <d v="2025-01-01T00:00:00"/>
    <s v="-"/>
    <s v="-"/>
  </r>
  <r>
    <s v="2.143.06"/>
    <x v="51"/>
    <x v="1"/>
    <s v="Alto Paranaiba"/>
    <s v="Limpeza"/>
    <x v="0"/>
    <n v="1"/>
    <n v="0"/>
    <n v="1596.28"/>
    <n v="0"/>
    <n v="0"/>
    <n v="0"/>
    <n v="0"/>
    <n v="0"/>
    <n v="0"/>
    <n v="52.241900000000001"/>
    <n v="1648.5219"/>
    <n v="329.70438000000001"/>
    <n v="24.727828499999998"/>
    <n v="16.485219000000001"/>
    <n v="3.2970438"/>
    <n v="41.213047500000002"/>
    <n v="131.88175200000001"/>
    <n v="65.940876000000003"/>
    <n v="9.8911314000000008"/>
    <n v="623.14127819999999"/>
    <n v="137.376825"/>
    <n v="183.16909999999999"/>
    <n v="121.16635965"/>
    <n v="441.71228465000002"/>
    <n v="160.22320000000002"/>
    <n v="0"/>
    <n v="387.79"/>
    <n v="42.97"/>
    <n v="0"/>
    <n v="0"/>
    <n v="3.36"/>
    <n v="0"/>
    <n v="594.34320000000014"/>
    <n v="1659.1967628500001"/>
    <n v="11.559051416493055"/>
    <n v="0.92472411331944449"/>
    <n v="0.36988964532777785"/>
    <n v="5.7698266500000006"/>
    <n v="2.1809944737000007"/>
    <n v="50.40813631999999"/>
    <n v="1.3737682500000001"/>
    <n v="72.586390868840269"/>
    <n v="13.920851599999999"/>
    <n v="3.3428360749999997"/>
    <n v="0.28162249125"/>
    <n v="0.34344206250000003"/>
    <n v="2.1369728333333331"/>
    <n v="7.5697240734675013"/>
    <n v="27.595449135550833"/>
    <n v="0"/>
    <n v="0"/>
    <n v="0"/>
    <n v="0"/>
    <n v="27.595449135550833"/>
    <n v="100.80916666666666"/>
    <n v="35.518212958583888"/>
    <n v="64.529393914825576"/>
    <n v="690.27153277931654"/>
    <n v="0"/>
    <n v="891.12830631939266"/>
    <n v="4299.0288091737839"/>
    <n v="189.64880140242613"/>
    <n v="159.30499317803796"/>
    <n v="8.6609686609686695E-2"/>
    <n v="1.880341880341882E-2"/>
    <n v="0.03"/>
    <n v="3.4188034188034219E-2"/>
    <n v="0.1225"/>
    <n v="0.13960113960113973"/>
    <n v="648.86366833036573"/>
    <n v="997.81746291082982"/>
    <n v="5296.8462720846137"/>
    <n v="63562.155265015361"/>
    <d v="2025-01-01T00:00:00"/>
    <s v="-"/>
    <s v="-"/>
  </r>
  <r>
    <s v="2.144.06"/>
    <x v="52"/>
    <x v="1"/>
    <s v="Regiao de Sao Lourenco"/>
    <s v="Limpeza"/>
    <x v="0"/>
    <n v="1"/>
    <n v="0"/>
    <n v="1596.28"/>
    <n v="0"/>
    <n v="0"/>
    <n v="0"/>
    <n v="0"/>
    <n v="0"/>
    <n v="0"/>
    <n v="52.241900000000001"/>
    <n v="1648.5219"/>
    <n v="329.70438000000001"/>
    <n v="24.727828499999998"/>
    <n v="16.485219000000001"/>
    <n v="3.2970438"/>
    <n v="41.213047500000002"/>
    <n v="131.88175200000001"/>
    <n v="65.940876000000003"/>
    <n v="9.8911314000000008"/>
    <n v="623.14127819999999"/>
    <n v="137.376825"/>
    <n v="183.16909999999999"/>
    <n v="121.16635965"/>
    <n v="441.71228465000002"/>
    <n v="160.22320000000002"/>
    <n v="582"/>
    <n v="0"/>
    <n v="0"/>
    <n v="0"/>
    <n v="0"/>
    <n v="3.36"/>
    <n v="0"/>
    <n v="745.58320000000003"/>
    <n v="1810.4367628499999"/>
    <n v="11.559051416493055"/>
    <n v="0.92472411331944449"/>
    <n v="0.36988964532777785"/>
    <n v="5.7698266500000006"/>
    <n v="2.1809944737000007"/>
    <n v="50.40813631999999"/>
    <n v="1.3737682500000001"/>
    <n v="72.586390868840269"/>
    <n v="13.920851599999999"/>
    <n v="3.3428360749999997"/>
    <n v="0.28162249125"/>
    <n v="0.34344206250000003"/>
    <n v="2.1369728333333331"/>
    <n v="7.5697240734675013"/>
    <n v="27.595449135550833"/>
    <n v="0"/>
    <n v="0"/>
    <n v="0"/>
    <n v="0"/>
    <n v="27.595449135550833"/>
    <n v="100.80916666666666"/>
    <n v="35.518212958583888"/>
    <n v="64.529393914825576"/>
    <n v="690.27153277931654"/>
    <n v="0"/>
    <n v="891.12830631939266"/>
    <n v="4450.2688091737837"/>
    <n v="189.64880140242613"/>
    <n v="159.30499317803796"/>
    <n v="8.5633802816901458E-2"/>
    <n v="1.8591549295774657E-2"/>
    <n v="0.02"/>
    <n v="2.2535211267605645E-2"/>
    <n v="0.1125"/>
    <n v="0.12676056338028174"/>
    <n v="608.3521610392711"/>
    <n v="957.30595561973519"/>
    <n v="5407.5747647935186"/>
    <n v="64890.897177522224"/>
    <d v="2025-01-01T00:00:00"/>
    <s v="-"/>
    <s v="-"/>
  </r>
  <r>
    <s v="2.879.03"/>
    <x v="53"/>
    <x v="2"/>
    <s v="Fethemg Interior"/>
    <s v="Limpeza"/>
    <x v="0"/>
    <n v="1"/>
    <n v="0"/>
    <n v="544.17999999999995"/>
    <n v="0"/>
    <n v="0"/>
    <n v="0"/>
    <n v="0"/>
    <n v="0"/>
    <n v="0"/>
    <n v="19.590499999999999"/>
    <n v="563.77049999999997"/>
    <n v="112.75409999999999"/>
    <n v="8.4565574999999988"/>
    <n v="5.6377049999999995"/>
    <n v="1.1275409999999999"/>
    <n v="14.094262499999999"/>
    <n v="45.101639999999996"/>
    <n v="22.550819999999998"/>
    <n v="3.3826229999999997"/>
    <n v="213.10524899999996"/>
    <n v="46.980874999999997"/>
    <n v="62.641166666666663"/>
    <n v="41.437131749999992"/>
    <n v="151.05917341666665"/>
    <n v="223.3492"/>
    <n v="582"/>
    <n v="0"/>
    <n v="0"/>
    <n v="15.07"/>
    <n v="0"/>
    <n v="3.36"/>
    <n v="0"/>
    <n v="823.77920000000006"/>
    <n v="1187.9436224166666"/>
    <n v="3.9530273735532404"/>
    <n v="0.31624218988425928"/>
    <n v="0.12649687595370371"/>
    <n v="1.9731967500000003"/>
    <n v="0.74586837150000018"/>
    <n v="17.238849066666663"/>
    <n v="0.46980875"/>
    <n v="24.823489377557866"/>
    <n v="4.7607286666666662"/>
    <n v="1.1432012916666665"/>
    <n v="9.6310793749999998E-2"/>
    <n v="0.1174521875"/>
    <n v="0.73081361111111109"/>
    <n v="2.5887354761625003"/>
    <n v="9.4372420268569428"/>
    <n v="0"/>
    <n v="0"/>
    <n v="0"/>
    <n v="0"/>
    <n v="9.4372420268569428"/>
    <n v="62.806666666666665"/>
    <n v="12.108481690426325"/>
    <n v="21.998657016417809"/>
    <n v="235.31984072022155"/>
    <n v="0"/>
    <n v="332.23364609373232"/>
    <n v="2118.2084999148137"/>
    <n v="189.64880140242613"/>
    <n v="159.30499317803796"/>
    <n v="8.8629737609329504E-2"/>
    <n v="1.9241982507288629E-2"/>
    <n v="0.05"/>
    <n v="5.8309037900874633E-2"/>
    <n v="0.14250000000000002"/>
    <n v="0.16618075801749277"/>
    <n v="409.99490025140199"/>
    <n v="758.94869483186608"/>
    <n v="2877.15719474668"/>
    <n v="34525.88633696016"/>
    <d v="2025-01-01T00:00:00"/>
    <s v="-"/>
    <s v="-"/>
  </r>
  <r>
    <s v="2.151.06"/>
    <x v="54"/>
    <x v="1"/>
    <s v="Fethemg Interior"/>
    <s v="Limpeza"/>
    <x v="0"/>
    <n v="1"/>
    <n v="0"/>
    <n v="1596.28"/>
    <n v="0"/>
    <n v="0"/>
    <n v="0"/>
    <n v="0"/>
    <n v="0"/>
    <n v="0"/>
    <n v="52.241900000000001"/>
    <n v="1648.5219"/>
    <n v="329.70438000000001"/>
    <n v="24.727828499999998"/>
    <n v="16.485219000000001"/>
    <n v="3.2970438"/>
    <n v="41.213047500000002"/>
    <n v="131.88175200000001"/>
    <n v="65.940876000000003"/>
    <n v="9.8911314000000008"/>
    <n v="623.14127819999999"/>
    <n v="137.376825"/>
    <n v="183.16909999999999"/>
    <n v="121.16635965"/>
    <n v="441.71228465000002"/>
    <n v="160.22320000000002"/>
    <n v="582"/>
    <n v="0"/>
    <n v="0"/>
    <n v="15.07"/>
    <n v="0"/>
    <n v="3.36"/>
    <n v="0"/>
    <n v="760.65320000000008"/>
    <n v="1825.5067628500001"/>
    <n v="11.559051416493055"/>
    <n v="0.92472411331944449"/>
    <n v="0.36988964532777785"/>
    <n v="5.7698266500000006"/>
    <n v="2.1809944737000007"/>
    <n v="50.40813631999999"/>
    <n v="1.3737682500000001"/>
    <n v="72.586390868840269"/>
    <n v="13.920851599999999"/>
    <n v="3.3428360749999997"/>
    <n v="0.28162249125"/>
    <n v="0.34344206250000003"/>
    <n v="2.1369728333333331"/>
    <n v="7.5697240734675013"/>
    <n v="27.595449135550833"/>
    <n v="0"/>
    <n v="0"/>
    <n v="0"/>
    <n v="0"/>
    <n v="27.595449135550833"/>
    <n v="100.80916666666666"/>
    <n v="35.518212958583888"/>
    <n v="64.529393914825576"/>
    <n v="690.27153277931654"/>
    <n v="0"/>
    <n v="891.12830631939266"/>
    <n v="4465.3388091737834"/>
    <n v="189.64880140242613"/>
    <n v="159.30499317803796"/>
    <n v="8.6609686609686695E-2"/>
    <n v="1.880341880341882E-2"/>
    <n v="0.03"/>
    <n v="3.4188034188034219E-2"/>
    <n v="0.1225"/>
    <n v="0.13960113960113973"/>
    <n v="672.08073385743126"/>
    <n v="1021.0345284378953"/>
    <n v="5486.3733376116788"/>
    <n v="65836.480051340142"/>
    <d v="2025-01-01T00:00:00"/>
    <s v="-"/>
    <s v="-"/>
  </r>
  <r>
    <s v="2.153.04"/>
    <x v="55"/>
    <x v="0"/>
    <s v="Cataguases"/>
    <s v="Limpeza"/>
    <x v="0"/>
    <n v="2"/>
    <n v="0"/>
    <n v="1596.28"/>
    <n v="0"/>
    <n v="0"/>
    <n v="0"/>
    <n v="0"/>
    <n v="0"/>
    <n v="0"/>
    <n v="52.241799999999998"/>
    <n v="1648.5218"/>
    <n v="329.70436000000001"/>
    <n v="24.727826999999998"/>
    <n v="16.485218"/>
    <n v="3.2970435999999999"/>
    <n v="41.213045000000001"/>
    <n v="131.881744"/>
    <n v="65.940871999999999"/>
    <n v="9.8911308000000009"/>
    <n v="623.14124040000002"/>
    <n v="137.37681666666666"/>
    <n v="183.16908888888887"/>
    <n v="121.16635229999999"/>
    <n v="441.71225785555549"/>
    <n v="416.22320000000002"/>
    <n v="1164"/>
    <n v="0"/>
    <n v="114.14"/>
    <n v="0"/>
    <n v="0"/>
    <n v="6.72"/>
    <n v="0"/>
    <n v="1701.0832"/>
    <n v="2765.9366982555557"/>
    <n v="11.559050715316358"/>
    <n v="0.9247240572253087"/>
    <n v="0.3698896228901235"/>
    <n v="5.769826300000001"/>
    <n v="2.1809943414000008"/>
    <n v="50.408133262222215"/>
    <n v="1.3737681666666668"/>
    <n v="72.586386465720679"/>
    <n v="13.920850755555554"/>
    <n v="3.342835872222222"/>
    <n v="0.28162247416666664"/>
    <n v="0.3434420416666667"/>
    <n v="2.1369727037037034"/>
    <n v="7.5697236142850013"/>
    <n v="27.595447461599818"/>
    <n v="0"/>
    <n v="0"/>
    <n v="0"/>
    <n v="0"/>
    <n v="27.595447461599818"/>
    <n v="125.61333333333333"/>
    <n v="35.518212958583888"/>
    <n v="64.529393914825576"/>
    <n v="690.27153277931654"/>
    <n v="0"/>
    <n v="915.93247298605934"/>
    <n v="5430.5728051689348"/>
    <n v="379.29760280485226"/>
    <n v="318.60998635607592"/>
    <n v="8.8629737609329504E-2"/>
    <n v="1.9241982507288629E-2"/>
    <n v="0.05"/>
    <n v="5.8309037900874633E-2"/>
    <n v="0.14250000000000002"/>
    <n v="0.16618075801749277"/>
    <n v="1018.4355174250796"/>
    <n v="1716.3431065860077"/>
    <n v="7146.9159117549425"/>
    <n v="85762.99094105931"/>
    <d v="2025-01-01T00:00:00"/>
    <s v="-"/>
    <s v="-"/>
  </r>
  <r>
    <s v="2.155.04"/>
    <x v="56"/>
    <x v="0"/>
    <s v="Caxambu"/>
    <s v="Limpeza"/>
    <x v="0"/>
    <n v="1"/>
    <n v="0"/>
    <n v="798.14"/>
    <n v="0"/>
    <n v="0"/>
    <n v="0"/>
    <n v="0"/>
    <n v="0"/>
    <n v="0"/>
    <n v="26.120899999999999"/>
    <n v="824.26089999999999"/>
    <n v="164.85218"/>
    <n v="12.363913499999999"/>
    <n v="8.2426089999999999"/>
    <n v="1.6485217999999999"/>
    <n v="20.606522500000001"/>
    <n v="65.940871999999999"/>
    <n v="32.970435999999999"/>
    <n v="4.9455654000000004"/>
    <n v="311.57062020000001"/>
    <n v="68.688408333333328"/>
    <n v="91.584544444444433"/>
    <n v="60.583176149999993"/>
    <n v="220.85612892777775"/>
    <n v="208.11160000000001"/>
    <n v="582"/>
    <n v="0"/>
    <n v="0"/>
    <n v="15.07"/>
    <n v="0"/>
    <n v="3.36"/>
    <n v="0"/>
    <n v="808.54160000000002"/>
    <n v="1340.9683491277779"/>
    <n v="5.7795253576581791"/>
    <n v="0.46236202861265435"/>
    <n v="0.18494481144506175"/>
    <n v="2.8849131500000005"/>
    <n v="1.0904971707000004"/>
    <n v="25.204066631111107"/>
    <n v="0.6868840833333334"/>
    <n v="36.293193232860339"/>
    <n v="6.9604253777777769"/>
    <n v="1.671417936111111"/>
    <n v="0.14081123708333332"/>
    <n v="0.17172102083333335"/>
    <n v="1.0684863518518517"/>
    <n v="3.7848618071425006"/>
    <n v="13.797723730799909"/>
    <n v="0"/>
    <n v="0"/>
    <n v="0"/>
    <n v="0"/>
    <n v="13.797723730799909"/>
    <n v="62.806666666666665"/>
    <n v="17.759106479291944"/>
    <n v="32.264696957412788"/>
    <n v="345.13576638965827"/>
    <n v="0"/>
    <n v="457.96623649302967"/>
    <n v="2673.2864025844674"/>
    <n v="189.64880140242613"/>
    <n v="159.30499317803796"/>
    <n v="8.6609686609686695E-2"/>
    <n v="1.880341880341882E-2"/>
    <n v="0.03"/>
    <n v="3.4188034188034219E-2"/>
    <n v="0.1225"/>
    <n v="0.13960113960113973"/>
    <n v="421.90817567259768"/>
    <n v="770.86197025306183"/>
    <n v="3444.1483728375292"/>
    <n v="41329.780474050349"/>
    <d v="2025-01-01T00:00:00"/>
    <s v="-"/>
    <s v="-"/>
  </r>
  <r>
    <s v="2.166.03"/>
    <x v="57"/>
    <x v="2"/>
    <s v="Fethemg Interior"/>
    <s v="Limpeza"/>
    <x v="0"/>
    <n v="1"/>
    <n v="0"/>
    <n v="544.17999999999995"/>
    <n v="0"/>
    <n v="0"/>
    <n v="0"/>
    <n v="0"/>
    <n v="0"/>
    <n v="0"/>
    <n v="19.590499999999999"/>
    <n v="563.77049999999997"/>
    <n v="112.75409999999999"/>
    <n v="8.4565574999999988"/>
    <n v="5.6377049999999995"/>
    <n v="1.1275409999999999"/>
    <n v="14.094262499999999"/>
    <n v="45.101639999999996"/>
    <n v="22.550819999999998"/>
    <n v="3.3826229999999997"/>
    <n v="213.10524899999996"/>
    <n v="46.980874999999997"/>
    <n v="62.641166666666663"/>
    <n v="41.437131749999992"/>
    <n v="151.05917341666665"/>
    <n v="223.3492"/>
    <n v="582"/>
    <n v="0"/>
    <n v="0"/>
    <n v="15.07"/>
    <n v="0"/>
    <n v="3.36"/>
    <n v="0"/>
    <n v="823.77920000000006"/>
    <n v="1187.9436224166666"/>
    <n v="3.9530273735532404"/>
    <n v="0.31624218988425928"/>
    <n v="0.12649687595370371"/>
    <n v="1.9731967500000003"/>
    <n v="0.74586837150000018"/>
    <n v="17.238849066666663"/>
    <n v="0.46980875"/>
    <n v="24.823489377557866"/>
    <n v="4.7607286666666662"/>
    <n v="1.1432012916666665"/>
    <n v="9.6310793749999998E-2"/>
    <n v="0.1174521875"/>
    <n v="0.73081361111111109"/>
    <n v="2.5887354761625003"/>
    <n v="9.4372420268569428"/>
    <n v="0"/>
    <n v="0"/>
    <n v="0"/>
    <n v="0"/>
    <n v="9.4372420268569428"/>
    <n v="62.806666666666665"/>
    <n v="12.108481690426325"/>
    <n v="21.998657016417809"/>
    <n v="235.31984072022155"/>
    <n v="0"/>
    <n v="332.23364609373232"/>
    <n v="2118.2084999148137"/>
    <n v="189.64880140242613"/>
    <n v="159.30499317803796"/>
    <n v="8.6609686609686695E-2"/>
    <n v="1.880341880341882E-2"/>
    <n v="0.03"/>
    <n v="3.4188034188034219E-2"/>
    <n v="0.1225"/>
    <n v="0.13960113960113973"/>
    <n v="344.41866789250349"/>
    <n v="693.37246247296753"/>
    <n v="2811.5809623877813"/>
    <n v="33738.971548653375"/>
    <d v="2025-01-01T00:00:00"/>
    <s v="-"/>
    <s v="-"/>
  </r>
  <r>
    <s v="2.172.03"/>
    <x v="58"/>
    <x v="2"/>
    <s v="Regiao Uberaba"/>
    <s v="Limpeza"/>
    <x v="0"/>
    <n v="1"/>
    <n v="0"/>
    <n v="544.17999999999995"/>
    <n v="0"/>
    <n v="0"/>
    <n v="0"/>
    <n v="0"/>
    <n v="0"/>
    <n v="0"/>
    <n v="19.590499999999999"/>
    <n v="563.77049999999997"/>
    <n v="112.75409999999999"/>
    <n v="8.4565574999999988"/>
    <n v="5.6377049999999995"/>
    <n v="1.1275409999999999"/>
    <n v="14.094262499999999"/>
    <n v="45.101639999999996"/>
    <n v="22.550819999999998"/>
    <n v="3.3826229999999997"/>
    <n v="213.10524899999996"/>
    <n v="46.980874999999997"/>
    <n v="62.641166666666663"/>
    <n v="41.437131749999992"/>
    <n v="151.05917341666665"/>
    <n v="223.3492"/>
    <n v="582"/>
    <n v="0"/>
    <n v="0"/>
    <n v="0"/>
    <n v="0"/>
    <n v="3.36"/>
    <n v="0"/>
    <n v="808.70920000000001"/>
    <n v="1172.8736224166666"/>
    <n v="3.9530273735532404"/>
    <n v="0.31624218988425928"/>
    <n v="0.12649687595370371"/>
    <n v="1.9731967500000003"/>
    <n v="0.74586837150000018"/>
    <n v="17.238849066666663"/>
    <n v="0.46980875"/>
    <n v="24.823489377557866"/>
    <n v="4.7607286666666662"/>
    <n v="1.1432012916666665"/>
    <n v="9.6310793749999998E-2"/>
    <n v="0.1174521875"/>
    <n v="0.73081361111111109"/>
    <n v="2.5887354761625003"/>
    <n v="9.4372420268569428"/>
    <n v="0"/>
    <n v="0"/>
    <n v="0"/>
    <n v="0"/>
    <n v="9.4372420268569428"/>
    <n v="62.806666666666665"/>
    <n v="12.108481690426325"/>
    <n v="21.998657016417809"/>
    <n v="235.31984072022155"/>
    <n v="0"/>
    <n v="332.23364609373232"/>
    <n v="2103.1384999148136"/>
    <n v="189.64880140242613"/>
    <n v="159.30499317803796"/>
    <n v="8.5633802816901458E-2"/>
    <n v="1.8591549295774657E-2"/>
    <n v="0.02"/>
    <n v="2.2535211267605645E-2"/>
    <n v="0.1125"/>
    <n v="0.12676056338028174"/>
    <n v="310.82860071066915"/>
    <n v="659.7823952911333"/>
    <n v="2762.9208952059471"/>
    <n v="33155.050742471365"/>
    <d v="2025-01-01T00:00:00"/>
    <s v="-"/>
    <s v="-"/>
  </r>
  <r>
    <s v="2.175.04"/>
    <x v="59"/>
    <x v="0"/>
    <s v="Curvelo"/>
    <s v="Limpeza"/>
    <x v="0"/>
    <n v="1"/>
    <n v="0"/>
    <n v="798.14"/>
    <n v="0"/>
    <n v="0"/>
    <n v="0"/>
    <n v="0"/>
    <n v="0"/>
    <n v="0"/>
    <n v="26.120899999999999"/>
    <n v="824.26089999999999"/>
    <n v="164.85218"/>
    <n v="12.363913499999999"/>
    <n v="8.2426089999999999"/>
    <n v="1.6485217999999999"/>
    <n v="20.606522500000001"/>
    <n v="65.940871999999999"/>
    <n v="32.970435999999999"/>
    <n v="4.9455654000000004"/>
    <n v="311.57062020000001"/>
    <n v="68.688408333333328"/>
    <n v="91.584544444444433"/>
    <n v="60.583176149999993"/>
    <n v="220.85612892777775"/>
    <n v="208.11160000000001"/>
    <n v="582"/>
    <n v="0"/>
    <n v="51.74"/>
    <n v="0"/>
    <n v="0"/>
    <n v="3.36"/>
    <n v="0"/>
    <n v="845.21159999999998"/>
    <n v="1377.6383491277777"/>
    <n v="5.7795253576581791"/>
    <n v="0.46236202861265435"/>
    <n v="0.18494481144506175"/>
    <n v="2.8849131500000005"/>
    <n v="1.0904971707000004"/>
    <n v="25.204066631111107"/>
    <n v="0.6868840833333334"/>
    <n v="36.293193232860339"/>
    <n v="6.9604253777777769"/>
    <n v="1.671417936111111"/>
    <n v="0.14081123708333332"/>
    <n v="0.17172102083333335"/>
    <n v="1.0684863518518517"/>
    <n v="3.7848618071425006"/>
    <n v="13.797723730799909"/>
    <n v="0"/>
    <n v="0"/>
    <n v="0"/>
    <n v="0"/>
    <n v="13.797723730799909"/>
    <n v="62.806666666666665"/>
    <n v="17.759106479291944"/>
    <n v="32.264696957412788"/>
    <n v="345.13576638965827"/>
    <n v="0"/>
    <n v="457.96623649302967"/>
    <n v="2709.9564025844675"/>
    <n v="189.64880140242613"/>
    <n v="159.30499317803796"/>
    <n v="8.6609686609686695E-2"/>
    <n v="1.880341880341882E-2"/>
    <n v="0.03"/>
    <n v="3.4188034188034219E-2"/>
    <n v="0.1225"/>
    <n v="0.13960113960113973"/>
    <n v="427.02734946177151"/>
    <n v="775.98114404223566"/>
    <n v="3485.9375466267029"/>
    <n v="41831.250559520435"/>
    <d v="2025-01-01T00:00:00"/>
    <s v="-"/>
    <s v="-"/>
  </r>
  <r>
    <s v="2.180.06"/>
    <x v="60"/>
    <x v="1"/>
    <s v="Regiao de Ouro Preto"/>
    <s v="Limpeza"/>
    <x v="0"/>
    <n v="1"/>
    <n v="0"/>
    <n v="1596.28"/>
    <n v="0"/>
    <n v="0"/>
    <n v="0"/>
    <n v="0"/>
    <n v="0"/>
    <n v="0"/>
    <n v="52.241900000000001"/>
    <n v="1648.5219"/>
    <n v="329.70438000000001"/>
    <n v="24.727828499999998"/>
    <n v="16.485219000000001"/>
    <n v="3.2970438"/>
    <n v="41.213047500000002"/>
    <n v="131.88175200000001"/>
    <n v="65.940876000000003"/>
    <n v="9.8911314000000008"/>
    <n v="623.14127819999999"/>
    <n v="137.376825"/>
    <n v="183.16909999999999"/>
    <n v="121.16635965"/>
    <n v="441.71228465000002"/>
    <n v="160.22320000000002"/>
    <n v="582"/>
    <n v="0"/>
    <n v="51.87"/>
    <n v="0"/>
    <n v="0"/>
    <n v="3.36"/>
    <n v="0"/>
    <n v="797.45320000000004"/>
    <n v="1862.3067628499998"/>
    <n v="11.559051416493055"/>
    <n v="0.92472411331944449"/>
    <n v="0.36988964532777785"/>
    <n v="5.7698266500000006"/>
    <n v="2.1809944737000007"/>
    <n v="50.40813631999999"/>
    <n v="1.3737682500000001"/>
    <n v="72.586390868840269"/>
    <n v="13.920851599999999"/>
    <n v="3.3428360749999997"/>
    <n v="0.28162249125"/>
    <n v="0.34344206250000003"/>
    <n v="2.1369728333333331"/>
    <n v="7.5697240734675013"/>
    <n v="27.595449135550833"/>
    <n v="0"/>
    <n v="0"/>
    <n v="0"/>
    <n v="0"/>
    <n v="27.595449135550833"/>
    <n v="100.80916666666666"/>
    <n v="35.518212958583888"/>
    <n v="64.529393914825576"/>
    <n v="690.27153277931654"/>
    <n v="0"/>
    <n v="891.12830631939266"/>
    <n v="4502.1388091737836"/>
    <n v="189.64880140242613"/>
    <n v="159.30499317803796"/>
    <n v="8.8629737609329504E-2"/>
    <n v="1.9241982507288629E-2"/>
    <n v="0.05"/>
    <n v="5.8309037900874633E-2"/>
    <n v="0.14250000000000002"/>
    <n v="0.16618075801749277"/>
    <n v="806.1582461049336"/>
    <n v="1155.1120406853977"/>
    <n v="5657.2508498591815"/>
    <n v="67887.010198310178"/>
    <d v="2025-01-01T00:00:00"/>
    <s v="-"/>
    <s v="-"/>
  </r>
  <r>
    <s v="2.182.03"/>
    <x v="61"/>
    <x v="2"/>
    <s v="Alto Paranaiba"/>
    <s v="Limpeza"/>
    <x v="0"/>
    <n v="1"/>
    <n v="0"/>
    <n v="544.17999999999995"/>
    <n v="0"/>
    <n v="0"/>
    <n v="0"/>
    <n v="0"/>
    <n v="0"/>
    <n v="0"/>
    <n v="19.590499999999999"/>
    <n v="563.77049999999997"/>
    <n v="112.75409999999999"/>
    <n v="8.4565574999999988"/>
    <n v="5.6377049999999995"/>
    <n v="1.1275409999999999"/>
    <n v="14.094262499999999"/>
    <n v="45.101639999999996"/>
    <n v="22.550819999999998"/>
    <n v="3.3826229999999997"/>
    <n v="213.10524899999996"/>
    <n v="46.980874999999997"/>
    <n v="62.641166666666663"/>
    <n v="41.437131749999992"/>
    <n v="151.05917341666665"/>
    <n v="223.3492"/>
    <n v="0"/>
    <n v="387.79"/>
    <n v="42.97"/>
    <n v="0"/>
    <n v="0"/>
    <n v="3.36"/>
    <n v="0"/>
    <n v="657.46920000000011"/>
    <n v="1021.6336224166668"/>
    <n v="3.9530273735532404"/>
    <n v="0.31624218988425928"/>
    <n v="0.12649687595370371"/>
    <n v="1.9731967500000003"/>
    <n v="0.74586837150000018"/>
    <n v="17.238849066666663"/>
    <n v="0.46980875"/>
    <n v="24.823489377557866"/>
    <n v="4.7607286666666662"/>
    <n v="1.1432012916666665"/>
    <n v="9.6310793749999998E-2"/>
    <n v="0.1174521875"/>
    <n v="0.73081361111111109"/>
    <n v="2.5887354761625003"/>
    <n v="9.4372420268569428"/>
    <n v="0"/>
    <n v="0"/>
    <n v="0"/>
    <n v="0"/>
    <n v="9.4372420268569428"/>
    <n v="62.806666666666665"/>
    <n v="12.108481690426325"/>
    <n v="21.998657016417809"/>
    <n v="235.31984072022155"/>
    <n v="0"/>
    <n v="332.23364609373232"/>
    <n v="1951.8984999148138"/>
    <n v="189.64880140242613"/>
    <n v="159.30499317803796"/>
    <n v="8.8629737609329504E-2"/>
    <n v="1.9241982507288629E-2"/>
    <n v="0.05"/>
    <n v="5.8309037900874633E-2"/>
    <n v="0.14250000000000002"/>
    <n v="0.16618075801749277"/>
    <n v="382.35737838551279"/>
    <n v="731.31117296597688"/>
    <n v="2683.2096728807905"/>
    <n v="32198.516074569488"/>
    <d v="2025-01-01T00:00:00"/>
    <s v="-"/>
    <s v="-"/>
  </r>
  <r>
    <s v="2.183.04"/>
    <x v="62"/>
    <x v="0"/>
    <s v="Regiao de Ouro Preto"/>
    <s v="Limpeza"/>
    <x v="0"/>
    <n v="1"/>
    <n v="0"/>
    <n v="798.14"/>
    <n v="0"/>
    <n v="0"/>
    <n v="0"/>
    <n v="0"/>
    <n v="0"/>
    <n v="0"/>
    <n v="26.120899999999999"/>
    <n v="824.26089999999999"/>
    <n v="164.85218"/>
    <n v="12.363913499999999"/>
    <n v="8.2426089999999999"/>
    <n v="1.6485217999999999"/>
    <n v="20.606522500000001"/>
    <n v="65.940871999999999"/>
    <n v="32.970435999999999"/>
    <n v="4.9455654000000004"/>
    <n v="311.57062020000001"/>
    <n v="68.688408333333328"/>
    <n v="91.584544444444433"/>
    <n v="60.583176149999993"/>
    <n v="220.85612892777775"/>
    <n v="208.11160000000001"/>
    <n v="582"/>
    <n v="0"/>
    <n v="0"/>
    <n v="0"/>
    <n v="0"/>
    <n v="3.36"/>
    <n v="0"/>
    <n v="793.47159999999997"/>
    <n v="1325.8983491277777"/>
    <n v="5.7795253576581791"/>
    <n v="0.46236202861265435"/>
    <n v="0.18494481144506175"/>
    <n v="2.8849131500000005"/>
    <n v="1.0904971707000004"/>
    <n v="25.204066631111107"/>
    <n v="0.6868840833333334"/>
    <n v="36.293193232860339"/>
    <n v="6.9604253777777769"/>
    <n v="1.671417936111111"/>
    <n v="0.14081123708333332"/>
    <n v="0.17172102083333335"/>
    <n v="1.0684863518518517"/>
    <n v="3.7848618071425006"/>
    <n v="13.797723730799909"/>
    <n v="0"/>
    <n v="0"/>
    <n v="0"/>
    <n v="0"/>
    <n v="13.797723730799909"/>
    <n v="62.806666666666665"/>
    <n v="17.759106479291944"/>
    <n v="32.264696957412788"/>
    <n v="345.13576638965827"/>
    <n v="0"/>
    <n v="457.96623649302967"/>
    <n v="2658.2164025844677"/>
    <n v="189.64880140242613"/>
    <n v="159.30499317803796"/>
    <n v="8.6609686609686695E-2"/>
    <n v="1.880341880341882E-2"/>
    <n v="0.03"/>
    <n v="3.4188034188034219E-2"/>
    <n v="0.1225"/>
    <n v="0.13960113960113973"/>
    <n v="419.80438649880853"/>
    <n v="768.75818107927262"/>
    <n v="3426.9745836637403"/>
    <n v="41123.69500396488"/>
    <d v="2025-01-01T00:00:00"/>
    <s v="-"/>
    <s v="-"/>
  </r>
  <r>
    <s v="2.183.06"/>
    <x v="62"/>
    <x v="1"/>
    <s v="Regiao de Ouro Preto"/>
    <s v="Limpeza"/>
    <x v="0"/>
    <n v="1"/>
    <n v="0"/>
    <n v="1596.28"/>
    <n v="0"/>
    <n v="0"/>
    <n v="0"/>
    <n v="0"/>
    <n v="0"/>
    <n v="0"/>
    <n v="52.241900000000001"/>
    <n v="1648.5219"/>
    <n v="329.70438000000001"/>
    <n v="24.727828499999998"/>
    <n v="16.485219000000001"/>
    <n v="3.2970438"/>
    <n v="41.213047500000002"/>
    <n v="131.88175200000001"/>
    <n v="65.940876000000003"/>
    <n v="9.8911314000000008"/>
    <n v="623.14127819999999"/>
    <n v="137.376825"/>
    <n v="183.16909999999999"/>
    <n v="121.16635965"/>
    <n v="441.71228465000002"/>
    <n v="160.22320000000002"/>
    <n v="582"/>
    <n v="0"/>
    <n v="0"/>
    <n v="0"/>
    <n v="0"/>
    <n v="3.36"/>
    <n v="0"/>
    <n v="745.58320000000003"/>
    <n v="1810.4367628499999"/>
    <n v="11.559051416493055"/>
    <n v="0.92472411331944449"/>
    <n v="0.36988964532777785"/>
    <n v="5.7698266500000006"/>
    <n v="2.1809944737000007"/>
    <n v="50.40813631999999"/>
    <n v="1.3737682500000001"/>
    <n v="72.586390868840269"/>
    <n v="13.920851599999999"/>
    <n v="3.3428360749999997"/>
    <n v="0.28162249125"/>
    <n v="0.34344206250000003"/>
    <n v="2.1369728333333331"/>
    <n v="7.5697240734675013"/>
    <n v="27.595449135550833"/>
    <n v="0"/>
    <n v="0"/>
    <n v="0"/>
    <n v="0"/>
    <n v="27.595449135550833"/>
    <n v="100.80916666666666"/>
    <n v="35.518212958583888"/>
    <n v="64.529393914825576"/>
    <n v="690.27153277931654"/>
    <n v="0"/>
    <n v="891.12830631939266"/>
    <n v="4450.2688091737837"/>
    <n v="189.64880140242613"/>
    <n v="159.30499317803796"/>
    <n v="8.6609686609686695E-2"/>
    <n v="1.880341880341882E-2"/>
    <n v="0.03"/>
    <n v="3.4188034188034219E-2"/>
    <n v="0.1225"/>
    <n v="0.13960113960113973"/>
    <n v="669.97694468364205"/>
    <n v="1018.9307392641061"/>
    <n v="5469.1995484378895"/>
    <n v="65630.394581254674"/>
    <d v="2025-01-01T00:00:00"/>
    <s v="-"/>
    <s v="-"/>
  </r>
  <r>
    <s v="2.184.04"/>
    <x v="63"/>
    <x v="0"/>
    <s v="Fethemg Interior"/>
    <s v="Limpeza"/>
    <x v="0"/>
    <n v="1"/>
    <n v="0"/>
    <n v="798.14"/>
    <n v="0"/>
    <n v="0"/>
    <n v="0"/>
    <n v="0"/>
    <n v="0"/>
    <n v="0"/>
    <n v="26.120899999999999"/>
    <n v="824.26089999999999"/>
    <n v="164.85218"/>
    <n v="12.363913499999999"/>
    <n v="8.2426089999999999"/>
    <n v="1.6485217999999999"/>
    <n v="20.606522500000001"/>
    <n v="65.940871999999999"/>
    <n v="32.970435999999999"/>
    <n v="4.9455654000000004"/>
    <n v="311.57062020000001"/>
    <n v="68.688408333333328"/>
    <n v="91.584544444444433"/>
    <n v="60.583176149999993"/>
    <n v="220.85612892777775"/>
    <n v="208.11160000000001"/>
    <n v="582"/>
    <n v="0"/>
    <n v="0"/>
    <n v="15.07"/>
    <n v="0"/>
    <n v="3.36"/>
    <n v="0"/>
    <n v="808.54160000000002"/>
    <n v="1340.9683491277779"/>
    <n v="5.7795253576581791"/>
    <n v="0.46236202861265435"/>
    <n v="0.18494481144506175"/>
    <n v="2.8849131500000005"/>
    <n v="1.0904971707000004"/>
    <n v="25.204066631111107"/>
    <n v="0.6868840833333334"/>
    <n v="36.293193232860339"/>
    <n v="6.9604253777777769"/>
    <n v="1.671417936111111"/>
    <n v="0.14081123708333332"/>
    <n v="0.17172102083333335"/>
    <n v="1.0684863518518517"/>
    <n v="3.7848618071425006"/>
    <n v="13.797723730799909"/>
    <n v="0"/>
    <n v="0"/>
    <n v="0"/>
    <n v="0"/>
    <n v="13.797723730799909"/>
    <n v="62.806666666666665"/>
    <n v="17.759106479291944"/>
    <n v="32.264696957412788"/>
    <n v="345.13576638965827"/>
    <n v="0"/>
    <n v="457.96623649302967"/>
    <n v="2673.2864025844674"/>
    <n v="189.64880140242613"/>
    <n v="159.30499317803796"/>
    <n v="8.6609686609686695E-2"/>
    <n v="1.880341880341882E-2"/>
    <n v="0.03"/>
    <n v="3.4188034188034219E-2"/>
    <n v="0.1225"/>
    <n v="0.13960113960113973"/>
    <n v="421.90817567259768"/>
    <n v="770.86197025306183"/>
    <n v="3444.1483728375292"/>
    <n v="41329.780474050349"/>
    <d v="2025-01-01T00:00:00"/>
    <s v="-"/>
    <s v="-"/>
  </r>
  <r>
    <s v="2.079.06"/>
    <x v="64"/>
    <x v="1"/>
    <s v="Sind - Asseio"/>
    <s v="Limpeza"/>
    <x v="0"/>
    <n v="5"/>
    <n v="0"/>
    <n v="8245.5999999999985"/>
    <n v="0"/>
    <n v="0"/>
    <n v="0"/>
    <n v="0"/>
    <n v="0"/>
    <n v="0"/>
    <n v="269.85599999999999"/>
    <n v="8515.4559999999983"/>
    <n v="1703.0912000000001"/>
    <n v="127.73183999999999"/>
    <n v="85.154559999999989"/>
    <n v="17.030911999999997"/>
    <n v="212.88640000000001"/>
    <n v="681.23647999999991"/>
    <n v="340.61823999999996"/>
    <n v="51.092736000000002"/>
    <n v="3218.8423680000001"/>
    <n v="709.62133333333327"/>
    <n v="946.16177777777762"/>
    <n v="625.88601599999993"/>
    <n v="2281.6691271111108"/>
    <n v="785.2639999999999"/>
    <n v="2910"/>
    <n v="0"/>
    <n v="386.25"/>
    <n v="0"/>
    <n v="0"/>
    <n v="16.8"/>
    <n v="0"/>
    <n v="4098.3139999999994"/>
    <n v="9598.8254951111121"/>
    <n v="59.70839316049382"/>
    <n v="4.7766714528395058"/>
    <n v="1.9106685811358026"/>
    <n v="29.804096000000001"/>
    <n v="11.265948288000002"/>
    <n v="260.38372124444442"/>
    <n v="7.096213333333333"/>
    <n v="374.94571206024688"/>
    <n v="71.908295111111102"/>
    <n v="17.267452444444441"/>
    <n v="1.4547237333333332"/>
    <n v="1.7740533333333333"/>
    <n v="11.038554074074071"/>
    <n v="39.101483747200007"/>
    <n v="142.54456244349629"/>
    <n v="0"/>
    <n v="0"/>
    <n v="0"/>
    <n v="0"/>
    <n v="142.54456244349629"/>
    <n v="504.04583333333329"/>
    <n v="177.59106479291944"/>
    <n v="322.64696957412787"/>
    <n v="3451.3576638965828"/>
    <n v="0"/>
    <n v="4455.6415315969634"/>
    <n v="23087.413301211818"/>
    <n v="948.24400701213062"/>
    <n v="796.52496589018983"/>
    <n v="8.5633802816901458E-2"/>
    <n v="1.8591549295774657E-2"/>
    <n v="0.02"/>
    <n v="2.2535211267605645E-2"/>
    <n v="0.1125"/>
    <n v="0.12676056338028174"/>
    <n v="3147.741415028554"/>
    <n v="4892.5103879308745"/>
    <n v="27979.923689142692"/>
    <n v="335759.08426971233"/>
    <d v="2025-01-01T00:00:00"/>
    <s v="-"/>
    <s v="-"/>
  </r>
  <r>
    <s v="2.775.03"/>
    <x v="65"/>
    <x v="2"/>
    <s v="Sethac Norte de Minas"/>
    <s v="Limpeza"/>
    <x v="0"/>
    <n v="1"/>
    <n v="0"/>
    <n v="544.17999999999995"/>
    <n v="0"/>
    <n v="0"/>
    <n v="0"/>
    <n v="0"/>
    <n v="0"/>
    <n v="0"/>
    <n v="19.590499999999999"/>
    <n v="563.77049999999997"/>
    <n v="112.75409999999999"/>
    <n v="8.4565574999999988"/>
    <n v="5.6377049999999995"/>
    <n v="1.1275409999999999"/>
    <n v="14.094262499999999"/>
    <n v="45.101639999999996"/>
    <n v="22.550819999999998"/>
    <n v="3.3826229999999997"/>
    <n v="213.10524899999996"/>
    <n v="46.980874999999997"/>
    <n v="62.641166666666663"/>
    <n v="41.437131749999992"/>
    <n v="151.05917341666665"/>
    <n v="223.3492"/>
    <n v="582"/>
    <n v="0"/>
    <n v="0"/>
    <n v="0"/>
    <n v="0"/>
    <n v="3.36"/>
    <n v="0"/>
    <n v="808.70920000000001"/>
    <n v="1172.8736224166666"/>
    <n v="3.9530273735532404"/>
    <n v="0.31624218988425928"/>
    <n v="0.12649687595370371"/>
    <n v="1.9731967500000003"/>
    <n v="0.74586837150000018"/>
    <n v="17.238849066666663"/>
    <n v="0.46980875"/>
    <n v="24.823489377557866"/>
    <n v="4.7607286666666662"/>
    <n v="1.1432012916666665"/>
    <n v="9.6310793749999998E-2"/>
    <n v="0.1174521875"/>
    <n v="0.73081361111111109"/>
    <n v="2.5887354761625003"/>
    <n v="9.4372420268569428"/>
    <n v="0"/>
    <n v="0"/>
    <n v="0"/>
    <n v="0"/>
    <n v="9.4372420268569428"/>
    <n v="62.806666666666665"/>
    <n v="12.108481690426325"/>
    <n v="21.998657016417809"/>
    <n v="235.31984072022155"/>
    <n v="0"/>
    <n v="332.23364609373232"/>
    <n v="2103.1384999148136"/>
    <n v="189.64880140242613"/>
    <n v="159.30499317803796"/>
    <n v="8.8629737609329504E-2"/>
    <n v="1.9241982507288629E-2"/>
    <n v="0.05"/>
    <n v="5.8309037900874633E-2"/>
    <n v="0.14250000000000002"/>
    <n v="0.16618075801749277"/>
    <n v="407.49055622807833"/>
    <n v="756.44435080854237"/>
    <n v="2859.5828507233559"/>
    <n v="34314.994208680269"/>
    <d v="2025-01-01T00:00:00"/>
    <s v="-"/>
    <s v="-"/>
  </r>
  <r>
    <s v="2.191.03"/>
    <x v="66"/>
    <x v="2"/>
    <s v="Curvelo"/>
    <s v="Limpeza"/>
    <x v="0"/>
    <n v="1"/>
    <n v="0"/>
    <n v="544.17999999999995"/>
    <n v="0"/>
    <n v="0"/>
    <n v="0"/>
    <n v="0"/>
    <n v="0"/>
    <n v="0"/>
    <n v="19.590499999999999"/>
    <n v="563.77049999999997"/>
    <n v="112.75409999999999"/>
    <n v="8.4565574999999988"/>
    <n v="5.6377049999999995"/>
    <n v="1.1275409999999999"/>
    <n v="14.094262499999999"/>
    <n v="45.101639999999996"/>
    <n v="22.550819999999998"/>
    <n v="3.3826229999999997"/>
    <n v="213.10524899999996"/>
    <n v="46.980874999999997"/>
    <n v="62.641166666666663"/>
    <n v="41.437131749999992"/>
    <n v="151.05917341666665"/>
    <n v="223.3492"/>
    <n v="582"/>
    <n v="0"/>
    <n v="0"/>
    <n v="0"/>
    <n v="0"/>
    <n v="3.36"/>
    <n v="0"/>
    <n v="808.70920000000001"/>
    <n v="1172.8736224166666"/>
    <n v="3.9530273735532404"/>
    <n v="0.31624218988425928"/>
    <n v="0.12649687595370371"/>
    <n v="1.9731967500000003"/>
    <n v="0.74586837150000018"/>
    <n v="17.238849066666663"/>
    <n v="0.46980875"/>
    <n v="24.823489377557866"/>
    <n v="4.7607286666666662"/>
    <n v="1.1432012916666665"/>
    <n v="9.6310793749999998E-2"/>
    <n v="0.1174521875"/>
    <n v="0.73081361111111109"/>
    <n v="2.5887354761625003"/>
    <n v="9.4372420268569428"/>
    <n v="0"/>
    <n v="0"/>
    <n v="0"/>
    <n v="0"/>
    <n v="9.4372420268569428"/>
    <n v="62.806666666666665"/>
    <n v="12.108481690426325"/>
    <n v="21.998657016417809"/>
    <n v="235.31984072022155"/>
    <n v="0"/>
    <n v="332.23364609373232"/>
    <n v="2103.1384999148136"/>
    <n v="189.64880140242613"/>
    <n v="159.30499317803796"/>
    <n v="8.8629737609329504E-2"/>
    <n v="1.9241982507288629E-2"/>
    <n v="0.05"/>
    <n v="5.8309037900874633E-2"/>
    <n v="0.14250000000000002"/>
    <n v="0.16618075801749277"/>
    <n v="407.49055622807833"/>
    <n v="756.44435080854237"/>
    <n v="2859.5828507233559"/>
    <n v="34314.994208680269"/>
    <d v="2025-01-01T00:00:00"/>
    <s v="-"/>
    <s v="-"/>
  </r>
  <r>
    <s v="2.193.04"/>
    <x v="67"/>
    <x v="0"/>
    <s v="Alto Paranaiba"/>
    <s v="Limpeza"/>
    <x v="0"/>
    <n v="1"/>
    <n v="0"/>
    <n v="798.14"/>
    <n v="0"/>
    <n v="0"/>
    <n v="0"/>
    <n v="0"/>
    <n v="0"/>
    <n v="0"/>
    <n v="26.120899999999999"/>
    <n v="824.26089999999999"/>
    <n v="164.85218"/>
    <n v="12.363913499999999"/>
    <n v="8.2426089999999999"/>
    <n v="1.6485217999999999"/>
    <n v="20.606522500000001"/>
    <n v="65.940871999999999"/>
    <n v="32.970435999999999"/>
    <n v="4.9455654000000004"/>
    <n v="311.57062020000001"/>
    <n v="68.688408333333328"/>
    <n v="91.584544444444433"/>
    <n v="60.583176149999993"/>
    <n v="220.85612892777775"/>
    <n v="208.11160000000001"/>
    <n v="0"/>
    <n v="387.79"/>
    <n v="42.97"/>
    <n v="0"/>
    <n v="0"/>
    <n v="3.36"/>
    <n v="0"/>
    <n v="642.23160000000007"/>
    <n v="1174.6583491277779"/>
    <n v="5.7795253576581791"/>
    <n v="0.46236202861265435"/>
    <n v="0.18494481144506175"/>
    <n v="2.8849131500000005"/>
    <n v="1.0904971707000004"/>
    <n v="25.204066631111107"/>
    <n v="0.6868840833333334"/>
    <n v="36.293193232860339"/>
    <n v="6.9604253777777769"/>
    <n v="1.671417936111111"/>
    <n v="0.14081123708333332"/>
    <n v="0.17172102083333335"/>
    <n v="1.0684863518518517"/>
    <n v="3.7848618071425006"/>
    <n v="13.797723730799909"/>
    <n v="0"/>
    <n v="0"/>
    <n v="0"/>
    <n v="0"/>
    <n v="13.797723730799909"/>
    <n v="62.806666666666665"/>
    <n v="17.759106479291944"/>
    <n v="32.264696957412788"/>
    <n v="345.13576638965827"/>
    <n v="0"/>
    <n v="457.96623649302967"/>
    <n v="2506.9764025844679"/>
    <n v="189.64880140242613"/>
    <n v="159.30499317803796"/>
    <n v="8.8629737609329504E-2"/>
    <n v="1.9241982507288629E-2"/>
    <n v="0.05"/>
    <n v="5.8309037900874633E-2"/>
    <n v="0.14250000000000002"/>
    <n v="0.16618075801749277"/>
    <n v="474.60064500991598"/>
    <n v="823.55443959038007"/>
    <n v="3330.5308421748477"/>
    <n v="39966.370106098169"/>
    <d v="2025-01-01T00:00:00"/>
    <s v="-"/>
    <s v="-"/>
  </r>
  <r>
    <s v="2.194.06"/>
    <x v="68"/>
    <x v="1"/>
    <s v="Seethur"/>
    <s v="Limpeza"/>
    <x v="0"/>
    <n v="1"/>
    <n v="0"/>
    <n v="1596.28"/>
    <n v="0"/>
    <n v="0"/>
    <n v="0"/>
    <n v="0"/>
    <n v="0"/>
    <n v="0"/>
    <n v="52.241900000000001"/>
    <n v="1648.5219"/>
    <n v="329.70438000000001"/>
    <n v="24.727828499999998"/>
    <n v="16.485219000000001"/>
    <n v="3.2970438"/>
    <n v="41.213047500000002"/>
    <n v="131.88175200000001"/>
    <n v="65.940876000000003"/>
    <n v="9.8911314000000008"/>
    <n v="623.14127819999999"/>
    <n v="137.376825"/>
    <n v="183.16909999999999"/>
    <n v="121.16635965"/>
    <n v="441.71228465000002"/>
    <n v="160.22320000000002"/>
    <n v="582"/>
    <n v="0"/>
    <n v="51.86"/>
    <n v="0"/>
    <n v="0"/>
    <n v="3.36"/>
    <n v="0"/>
    <n v="797.44320000000005"/>
    <n v="1862.2967628500001"/>
    <n v="11.559051416493055"/>
    <n v="0.92472411331944449"/>
    <n v="0.36988964532777785"/>
    <n v="5.7698266500000006"/>
    <n v="2.1809944737000007"/>
    <n v="50.40813631999999"/>
    <n v="1.3737682500000001"/>
    <n v="72.586390868840269"/>
    <n v="13.920851599999999"/>
    <n v="3.3428360749999997"/>
    <n v="0.28162249125"/>
    <n v="0.34344206250000003"/>
    <n v="2.1369728333333331"/>
    <n v="7.5697240734675013"/>
    <n v="27.595449135550833"/>
    <n v="0"/>
    <n v="0"/>
    <n v="0"/>
    <n v="0"/>
    <n v="27.595449135550833"/>
    <n v="100.80916666666666"/>
    <n v="35.518212958583888"/>
    <n v="64.529393914825576"/>
    <n v="690.27153277931654"/>
    <n v="0"/>
    <n v="891.12830631939266"/>
    <n v="4502.1288091737833"/>
    <n v="189.64880140242613"/>
    <n v="159.30499317803796"/>
    <n v="8.8629737609329504E-2"/>
    <n v="1.9241982507288629E-2"/>
    <n v="0.05"/>
    <n v="5.8309037900874633E-2"/>
    <n v="0.14250000000000002"/>
    <n v="0.16618075801749277"/>
    <n v="806.15658429735333"/>
    <n v="1155.1103788778173"/>
    <n v="5657.2391880516006"/>
    <n v="67886.870256619208"/>
    <d v="2025-01-01T00:00:00"/>
    <s v="-"/>
    <s v="-"/>
  </r>
  <r>
    <s v="2.208.03"/>
    <x v="69"/>
    <x v="2"/>
    <s v="Regiao de Sao Lourenco"/>
    <s v="Limpeza"/>
    <x v="0"/>
    <n v="1"/>
    <n v="0"/>
    <n v="544.17999999999995"/>
    <n v="0"/>
    <n v="0"/>
    <n v="0"/>
    <n v="0"/>
    <n v="0"/>
    <n v="0"/>
    <n v="19.590499999999999"/>
    <n v="563.77049999999997"/>
    <n v="112.75409999999999"/>
    <n v="8.4565574999999988"/>
    <n v="5.6377049999999995"/>
    <n v="1.1275409999999999"/>
    <n v="14.094262499999999"/>
    <n v="45.101639999999996"/>
    <n v="22.550819999999998"/>
    <n v="3.3826229999999997"/>
    <n v="213.10524899999996"/>
    <n v="46.980874999999997"/>
    <n v="62.641166666666663"/>
    <n v="41.437131749999992"/>
    <n v="151.05917341666665"/>
    <n v="223.3492"/>
    <n v="582"/>
    <n v="0"/>
    <n v="0"/>
    <n v="0"/>
    <n v="0"/>
    <n v="3.36"/>
    <n v="0"/>
    <n v="808.70920000000001"/>
    <n v="1172.8736224166666"/>
    <n v="3.9530273735532404"/>
    <n v="0.31624218988425928"/>
    <n v="0.12649687595370371"/>
    <n v="1.9731967500000003"/>
    <n v="0.74586837150000018"/>
    <n v="17.238849066666663"/>
    <n v="0.46980875"/>
    <n v="24.823489377557866"/>
    <n v="4.7607286666666662"/>
    <n v="1.1432012916666665"/>
    <n v="9.6310793749999998E-2"/>
    <n v="0.1174521875"/>
    <n v="0.73081361111111109"/>
    <n v="2.5887354761625003"/>
    <n v="9.4372420268569428"/>
    <n v="0"/>
    <n v="0"/>
    <n v="0"/>
    <n v="0"/>
    <n v="9.4372420268569428"/>
    <n v="62.806666666666665"/>
    <n v="12.108481690426325"/>
    <n v="21.998657016417809"/>
    <n v="235.31984072022155"/>
    <n v="0"/>
    <n v="332.23364609373232"/>
    <n v="2103.1384999148136"/>
    <n v="189.64880140242613"/>
    <n v="159.30499317803796"/>
    <n v="8.6609686609686695E-2"/>
    <n v="1.880341880341882E-2"/>
    <n v="0.03"/>
    <n v="3.4188034188034219E-2"/>
    <n v="0.1225"/>
    <n v="0.13960113960113973"/>
    <n v="342.31487871871428"/>
    <n v="691.26867329917832"/>
    <n v="2794.4071732139919"/>
    <n v="33532.886078567899"/>
    <d v="2025-01-01T00:00:00"/>
    <s v="-"/>
    <s v="-"/>
  </r>
  <r>
    <s v="2.209.06"/>
    <x v="70"/>
    <x v="1"/>
    <s v="Curvelo"/>
    <s v="Limpeza"/>
    <x v="0"/>
    <n v="3"/>
    <n v="0"/>
    <n v="4788.84"/>
    <n v="0"/>
    <n v="0"/>
    <n v="0"/>
    <n v="0"/>
    <n v="0"/>
    <n v="0"/>
    <n v="156.72570000000002"/>
    <n v="4945.5657000000001"/>
    <n v="989.11314000000004"/>
    <n v="74.183485499999989"/>
    <n v="49.455657000000002"/>
    <n v="9.891131399999999"/>
    <n v="123.63914250000001"/>
    <n v="395.64525600000002"/>
    <n v="197.82262800000001"/>
    <n v="29.673394200000004"/>
    <n v="1869.4238346"/>
    <n v="412.13047499999999"/>
    <n v="549.50729999999999"/>
    <n v="363.49907895000001"/>
    <n v="1325.1368539499999"/>
    <n v="480.66960000000006"/>
    <n v="1746"/>
    <n v="0"/>
    <n v="155.22"/>
    <n v="0"/>
    <n v="0"/>
    <n v="10.08"/>
    <n v="0"/>
    <n v="2391.9696000000004"/>
    <n v="5586.5302885499996"/>
    <n v="34.677154249479166"/>
    <n v="2.7741723399583336"/>
    <n v="1.1096689359833336"/>
    <n v="17.309479950000004"/>
    <n v="6.5429834211000024"/>
    <n v="151.22440895999998"/>
    <n v="4.1213047500000002"/>
    <n v="217.75917260652079"/>
    <n v="41.762554799999997"/>
    <n v="10.028508224999999"/>
    <n v="0.84486747374999993"/>
    <n v="1.0303261875"/>
    <n v="6.4109184999999993"/>
    <n v="22.709172220402504"/>
    <n v="82.786347406652496"/>
    <n v="0"/>
    <n v="0"/>
    <n v="0"/>
    <n v="0"/>
    <n v="82.786347406652496"/>
    <n v="302.42749999999995"/>
    <n v="106.55463887575166"/>
    <n v="193.58818174447674"/>
    <n v="2070.8145983379495"/>
    <n v="0"/>
    <n v="2673.3849189581779"/>
    <n v="13506.02642752135"/>
    <n v="568.94640420727842"/>
    <n v="477.91497953411385"/>
    <n v="8.5633802816901458E-2"/>
    <n v="1.8591549295774657E-2"/>
    <n v="0.02"/>
    <n v="2.2535211267605645E-2"/>
    <n v="0.1125"/>
    <n v="0.12676056338028174"/>
    <n v="1844.7322577657005"/>
    <n v="2891.5936415070928"/>
    <n v="16397.620069028442"/>
    <n v="196771.44082834129"/>
    <d v="2025-01-01T00:00:00"/>
    <s v="-"/>
    <s v="-"/>
  </r>
  <r>
    <s v="2.216.06"/>
    <x v="71"/>
    <x v="1"/>
    <s v="Curvelo"/>
    <s v="Limpeza"/>
    <x v="0"/>
    <n v="1"/>
    <n v="0"/>
    <n v="1596.28"/>
    <n v="0"/>
    <n v="0"/>
    <n v="0"/>
    <n v="0"/>
    <n v="0"/>
    <n v="0"/>
    <n v="52.241900000000001"/>
    <n v="1648.5219"/>
    <n v="329.70438000000001"/>
    <n v="24.727828499999998"/>
    <n v="16.485219000000001"/>
    <n v="3.2970438"/>
    <n v="41.213047500000002"/>
    <n v="131.88175200000001"/>
    <n v="65.940876000000003"/>
    <n v="9.8911314000000008"/>
    <n v="623.14127819999999"/>
    <n v="137.376825"/>
    <n v="183.16909999999999"/>
    <n v="121.16635965"/>
    <n v="441.71228465000002"/>
    <n v="160.22320000000002"/>
    <n v="582"/>
    <n v="0"/>
    <n v="51.74"/>
    <n v="0"/>
    <n v="0"/>
    <n v="3.36"/>
    <n v="0"/>
    <n v="797.32320000000004"/>
    <n v="1862.1767628499999"/>
    <n v="11.559051416493055"/>
    <n v="0.92472411331944449"/>
    <n v="0.36988964532777785"/>
    <n v="5.7698266500000006"/>
    <n v="2.1809944737000007"/>
    <n v="50.40813631999999"/>
    <n v="1.3737682500000001"/>
    <n v="72.586390868840269"/>
    <n v="13.920851599999999"/>
    <n v="3.3428360749999997"/>
    <n v="0.28162249125"/>
    <n v="0.34344206250000003"/>
    <n v="2.1369728333333331"/>
    <n v="7.5697240734675013"/>
    <n v="27.595449135550833"/>
    <n v="0"/>
    <n v="0"/>
    <n v="0"/>
    <n v="0"/>
    <n v="27.595449135550833"/>
    <n v="100.80916666666666"/>
    <n v="35.518212958583888"/>
    <n v="64.529393914825576"/>
    <n v="690.27153277931654"/>
    <n v="0"/>
    <n v="891.12830631939266"/>
    <n v="4502.0088091737834"/>
    <n v="189.64880140242613"/>
    <n v="159.30499317803796"/>
    <n v="8.6609686609686695E-2"/>
    <n v="1.880341880341882E-2"/>
    <n v="0.03"/>
    <n v="3.4188034188034219E-2"/>
    <n v="0.1225"/>
    <n v="0.13960113960113973"/>
    <n v="677.19990764660497"/>
    <n v="1026.1537022270691"/>
    <n v="5528.162511400853"/>
    <n v="66337.950136810236"/>
    <d v="2025-01-01T00:00:00"/>
    <s v="-"/>
    <s v="-"/>
  </r>
  <r>
    <s v="2.220.03"/>
    <x v="72"/>
    <x v="2"/>
    <s v="Seethur"/>
    <s v="Limpeza"/>
    <x v="0"/>
    <n v="1"/>
    <n v="0"/>
    <n v="544.17999999999995"/>
    <n v="0"/>
    <n v="0"/>
    <n v="0"/>
    <n v="0"/>
    <n v="0"/>
    <n v="0"/>
    <n v="19.590499999999999"/>
    <n v="563.77049999999997"/>
    <n v="112.75409999999999"/>
    <n v="8.4565574999999988"/>
    <n v="5.6377049999999995"/>
    <n v="1.1275409999999999"/>
    <n v="14.094262499999999"/>
    <n v="45.101639999999996"/>
    <n v="22.550819999999998"/>
    <n v="3.3826229999999997"/>
    <n v="213.10524899999996"/>
    <n v="46.980874999999997"/>
    <n v="62.641166666666663"/>
    <n v="41.437131749999992"/>
    <n v="151.05917341666665"/>
    <n v="223.3492"/>
    <n v="582"/>
    <n v="0"/>
    <n v="0"/>
    <n v="0"/>
    <n v="0"/>
    <n v="3.36"/>
    <n v="0"/>
    <n v="808.70920000000001"/>
    <n v="1172.8736224166666"/>
    <n v="3.9530273735532404"/>
    <n v="0.31624218988425928"/>
    <n v="0.12649687595370371"/>
    <n v="1.9731967500000003"/>
    <n v="0.74586837150000018"/>
    <n v="17.238849066666663"/>
    <n v="0.46980875"/>
    <n v="24.823489377557866"/>
    <n v="4.7607286666666662"/>
    <n v="1.1432012916666665"/>
    <n v="9.6310793749999998E-2"/>
    <n v="0.1174521875"/>
    <n v="0.73081361111111109"/>
    <n v="2.5887354761625003"/>
    <n v="9.4372420268569428"/>
    <n v="0"/>
    <n v="0"/>
    <n v="0"/>
    <n v="0"/>
    <n v="9.4372420268569428"/>
    <n v="62.806666666666665"/>
    <n v="12.108481690426325"/>
    <n v="21.998657016417809"/>
    <n v="235.31984072022155"/>
    <n v="0"/>
    <n v="332.23364609373232"/>
    <n v="2103.1384999148136"/>
    <n v="189.64880140242613"/>
    <n v="159.30499317803796"/>
    <n v="8.8629737609329504E-2"/>
    <n v="1.9241982507288629E-2"/>
    <n v="0.05"/>
    <n v="5.8309037900874633E-2"/>
    <n v="0.14250000000000002"/>
    <n v="0.16618075801749277"/>
    <n v="407.49055622807833"/>
    <n v="756.44435080854237"/>
    <n v="2859.5828507233559"/>
    <n v="34314.994208680269"/>
    <d v="2025-01-01T00:00:00"/>
    <s v="-"/>
    <s v="-"/>
  </r>
  <r>
    <s v="2.223.05"/>
    <x v="73"/>
    <x v="3"/>
    <s v="Divinopolis"/>
    <s v="Limpeza"/>
    <x v="0"/>
    <n v="1"/>
    <n v="0"/>
    <n v="1124.3900000000001"/>
    <n v="0"/>
    <n v="0"/>
    <n v="0"/>
    <n v="0"/>
    <n v="0"/>
    <n v="0"/>
    <n v="40.478000000000002"/>
    <n v="1164.8680000000002"/>
    <n v="232.97360000000003"/>
    <n v="17.473020000000002"/>
    <n v="11.648680000000002"/>
    <n v="2.3297360000000005"/>
    <n v="29.121700000000004"/>
    <n v="93.189440000000019"/>
    <n v="46.594720000000009"/>
    <n v="6.9892080000000014"/>
    <n v="440.32010400000001"/>
    <n v="97.072333333333347"/>
    <n v="129.42977777777779"/>
    <n v="85.617797999999993"/>
    <n v="312.11990911111116"/>
    <n v="188.53659999999999"/>
    <n v="582"/>
    <n v="0"/>
    <n v="51.88"/>
    <n v="0"/>
    <n v="0"/>
    <n v="3.36"/>
    <n v="0"/>
    <n v="825.77660000000003"/>
    <n v="1578.2166131111112"/>
    <n v="8.1677829729938285"/>
    <n v="0.65342263783950627"/>
    <n v="0.26136905513580255"/>
    <n v="4.0770380000000008"/>
    <n v="1.5411203640000006"/>
    <n v="35.619074844444441"/>
    <n v="0.97072333333333349"/>
    <n v="51.290531207746916"/>
    <n v="9.8366631111111111"/>
    <n v="2.3620934444444446"/>
    <n v="0.19899828333333336"/>
    <n v="0.24268083333333337"/>
    <n v="1.5100140740740742"/>
    <n v="5.3488700041000019"/>
    <n v="19.499319750396296"/>
    <n v="0"/>
    <n v="0"/>
    <n v="0"/>
    <n v="0"/>
    <n v="19.499319750396296"/>
    <n v="100.80916666666666"/>
    <n v="24.216963380852651"/>
    <n v="43.997314032835618"/>
    <n v="470.6396814404431"/>
    <n v="0"/>
    <n v="639.66312552079808"/>
    <n v="3453.5375895900524"/>
    <n v="189.64880140242613"/>
    <n v="159.30499317803796"/>
    <n v="8.6609686609686695E-2"/>
    <n v="1.880341880341882E-2"/>
    <n v="0.03"/>
    <n v="3.4188034188034219E-2"/>
    <n v="0.1225"/>
    <n v="0.13960113960113973"/>
    <n v="530.83213055371937"/>
    <n v="879.78592513418346"/>
    <n v="4333.3235147242358"/>
    <n v="51999.88217669083"/>
    <d v="2025-01-01T00:00:00"/>
    <s v="-"/>
    <s v="-"/>
  </r>
  <r>
    <s v="2.223.06"/>
    <x v="73"/>
    <x v="1"/>
    <s v="Divinopolis"/>
    <s v="Limpeza"/>
    <x v="0"/>
    <n v="2"/>
    <n v="0"/>
    <n v="3298.24"/>
    <n v="0"/>
    <n v="0"/>
    <n v="0"/>
    <n v="0"/>
    <n v="0"/>
    <n v="0"/>
    <n v="107.94240000000001"/>
    <n v="3406.1823999999997"/>
    <n v="681.23648000000003"/>
    <n v="51.092735999999995"/>
    <n v="34.061823999999994"/>
    <n v="6.8123647999999992"/>
    <n v="85.154560000000004"/>
    <n v="272.49459199999995"/>
    <n v="136.24729599999998"/>
    <n v="20.437094399999999"/>
    <n v="1287.5369472"/>
    <n v="283.84853333333331"/>
    <n v="378.46471111111106"/>
    <n v="250.35440639999999"/>
    <n v="912.66765084444432"/>
    <n v="314.10559999999998"/>
    <n v="1164"/>
    <n v="0"/>
    <n v="103.76"/>
    <n v="0"/>
    <n v="0"/>
    <n v="6.72"/>
    <n v="0"/>
    <n v="1588.5855999999999"/>
    <n v="3788.7901980444444"/>
    <n v="23.883357264197528"/>
    <n v="1.9106685811358024"/>
    <n v="0.76426743245432105"/>
    <n v="11.921638400000001"/>
    <n v="4.5063793152000011"/>
    <n v="104.15348849777776"/>
    <n v="2.8384853333333333"/>
    <n v="149.97828482409875"/>
    <n v="28.763318044444439"/>
    <n v="6.9069809777777769"/>
    <n v="0.58188949333333329"/>
    <n v="0.70962133333333333"/>
    <n v="4.4154216296296287"/>
    <n v="15.640593498880001"/>
    <n v="57.017824977398512"/>
    <n v="0"/>
    <n v="0"/>
    <n v="0"/>
    <n v="0"/>
    <n v="57.017824977398512"/>
    <n v="201.61833333333331"/>
    <n v="71.036425917167776"/>
    <n v="129.05878782965115"/>
    <n v="1380.5430655586331"/>
    <n v="0"/>
    <n v="1782.2566126387853"/>
    <n v="9184.2253204847257"/>
    <n v="379.29760280485226"/>
    <n v="318.60998635607592"/>
    <n v="8.6609686609686695E-2"/>
    <n v="1.880341880341882E-2"/>
    <n v="0.03"/>
    <n v="3.4188034188034219E-2"/>
    <n v="0.1225"/>
    <n v="0.13960113960113973"/>
    <n v="1379.5570158764601"/>
    <n v="2077.4646050373885"/>
    <n v="11261.689925522114"/>
    <n v="135140.27910626537"/>
    <d v="2025-01-01T00:00:00"/>
    <s v="-"/>
    <s v="-"/>
  </r>
  <r>
    <s v="2.232.03"/>
    <x v="74"/>
    <x v="2"/>
    <s v="Regiao de Divinopolis"/>
    <s v="Limpeza"/>
    <x v="0"/>
    <n v="1"/>
    <n v="0"/>
    <n v="544.17999999999995"/>
    <n v="0"/>
    <n v="0"/>
    <n v="0"/>
    <n v="0"/>
    <n v="0"/>
    <n v="0"/>
    <n v="19.590499999999999"/>
    <n v="563.77049999999997"/>
    <n v="112.75409999999999"/>
    <n v="8.4565574999999988"/>
    <n v="5.6377049999999995"/>
    <n v="1.1275409999999999"/>
    <n v="14.094262499999999"/>
    <n v="45.101639999999996"/>
    <n v="22.550819999999998"/>
    <n v="3.3826229999999997"/>
    <n v="213.10524899999996"/>
    <n v="46.980874999999997"/>
    <n v="62.641166666666663"/>
    <n v="41.437131749999992"/>
    <n v="151.05917341666665"/>
    <n v="223.3492"/>
    <n v="582"/>
    <n v="0"/>
    <n v="0"/>
    <n v="0"/>
    <n v="0"/>
    <n v="3.36"/>
    <n v="0"/>
    <n v="808.70920000000001"/>
    <n v="1172.8736224166666"/>
    <n v="3.9530273735532404"/>
    <n v="0.31624218988425928"/>
    <n v="0.12649687595370371"/>
    <n v="1.9731967500000003"/>
    <n v="0.74586837150000018"/>
    <n v="17.238849066666663"/>
    <n v="0.46980875"/>
    <n v="24.823489377557866"/>
    <n v="4.7607286666666662"/>
    <n v="1.1432012916666665"/>
    <n v="9.6310793749999998E-2"/>
    <n v="0.1174521875"/>
    <n v="0.73081361111111109"/>
    <n v="2.5887354761625003"/>
    <n v="9.4372420268569428"/>
    <n v="0"/>
    <n v="0"/>
    <n v="0"/>
    <n v="0"/>
    <n v="9.4372420268569428"/>
    <n v="62.806666666666665"/>
    <n v="12.108481690426325"/>
    <n v="21.998657016417809"/>
    <n v="235.31984072022155"/>
    <n v="0"/>
    <n v="332.23364609373232"/>
    <n v="2103.1384999148136"/>
    <n v="189.64880140242613"/>
    <n v="159.30499317803796"/>
    <n v="8.5633802816901458E-2"/>
    <n v="1.8591549295774657E-2"/>
    <n v="0.02"/>
    <n v="2.2535211267605645E-2"/>
    <n v="0.1125"/>
    <n v="0.12676056338028174"/>
    <n v="310.82860071066915"/>
    <n v="659.7823952911333"/>
    <n v="2762.9208952059471"/>
    <n v="33155.050742471365"/>
    <d v="2025-01-01T00:00:00"/>
    <s v="-"/>
    <s v="-"/>
  </r>
  <r>
    <s v="2.236.03"/>
    <x v="75"/>
    <x v="2"/>
    <s v="Regiao de Sao Lourenco"/>
    <s v="Limpeza"/>
    <x v="0"/>
    <n v="1"/>
    <n v="0"/>
    <n v="544.17999999999995"/>
    <n v="0"/>
    <n v="0"/>
    <n v="0"/>
    <n v="0"/>
    <n v="0"/>
    <n v="0"/>
    <n v="19.590499999999999"/>
    <n v="563.77049999999997"/>
    <n v="112.75409999999999"/>
    <n v="8.4565574999999988"/>
    <n v="5.6377049999999995"/>
    <n v="1.1275409999999999"/>
    <n v="14.094262499999999"/>
    <n v="45.101639999999996"/>
    <n v="22.550819999999998"/>
    <n v="3.3826229999999997"/>
    <n v="213.10524899999996"/>
    <n v="46.980874999999997"/>
    <n v="62.641166666666663"/>
    <n v="41.437131749999992"/>
    <n v="151.05917341666665"/>
    <n v="223.3492"/>
    <n v="582"/>
    <n v="0"/>
    <n v="0"/>
    <n v="0"/>
    <n v="0"/>
    <n v="3.36"/>
    <n v="0"/>
    <n v="808.70920000000001"/>
    <n v="1172.8736224166666"/>
    <n v="3.9530273735532404"/>
    <n v="0.31624218988425928"/>
    <n v="0.12649687595370371"/>
    <n v="1.9731967500000003"/>
    <n v="0.74586837150000018"/>
    <n v="17.238849066666663"/>
    <n v="0.46980875"/>
    <n v="24.823489377557866"/>
    <n v="4.7607286666666662"/>
    <n v="1.1432012916666665"/>
    <n v="9.6310793749999998E-2"/>
    <n v="0.1174521875"/>
    <n v="0.73081361111111109"/>
    <n v="2.5887354761625003"/>
    <n v="9.4372420268569428"/>
    <n v="0"/>
    <n v="0"/>
    <n v="0"/>
    <n v="0"/>
    <n v="9.4372420268569428"/>
    <n v="62.806666666666665"/>
    <n v="12.108481690426325"/>
    <n v="21.998657016417809"/>
    <n v="235.31984072022155"/>
    <n v="0"/>
    <n v="332.23364609373232"/>
    <n v="2103.1384999148136"/>
    <n v="189.64880140242613"/>
    <n v="159.30499317803796"/>
    <n v="8.8629737609329504E-2"/>
    <n v="1.9241982507288629E-2"/>
    <n v="0.05"/>
    <n v="5.8309037900874633E-2"/>
    <n v="0.14250000000000002"/>
    <n v="0.16618075801749277"/>
    <n v="407.49055622807833"/>
    <n v="756.44435080854237"/>
    <n v="2859.5828507233559"/>
    <n v="34314.994208680269"/>
    <d v="2025-01-01T00:00:00"/>
    <s v="-"/>
    <s v="-"/>
  </r>
  <r>
    <s v="2.240.03"/>
    <x v="76"/>
    <x v="2"/>
    <s v="Vicosa e Regiao"/>
    <s v="Limpeza"/>
    <x v="0"/>
    <n v="1"/>
    <n v="0"/>
    <n v="544.17999999999995"/>
    <n v="0"/>
    <n v="0"/>
    <n v="0"/>
    <n v="0"/>
    <n v="0"/>
    <n v="0"/>
    <n v="19.590499999999999"/>
    <n v="563.77049999999997"/>
    <n v="112.75409999999999"/>
    <n v="8.4565574999999988"/>
    <n v="5.6377049999999995"/>
    <n v="1.1275409999999999"/>
    <n v="14.094262499999999"/>
    <n v="45.101639999999996"/>
    <n v="22.550819999999998"/>
    <n v="3.3826229999999997"/>
    <n v="213.10524899999996"/>
    <n v="46.980874999999997"/>
    <n v="62.641166666666663"/>
    <n v="41.437131749999992"/>
    <n v="151.05917341666665"/>
    <n v="223.3492"/>
    <n v="582"/>
    <n v="0"/>
    <n v="51.86"/>
    <n v="0"/>
    <n v="0"/>
    <n v="3.36"/>
    <n v="0"/>
    <n v="860.56920000000002"/>
    <n v="1224.7336224166665"/>
    <n v="3.9530273735532404"/>
    <n v="0.31624218988425928"/>
    <n v="0.12649687595370371"/>
    <n v="1.9731967500000003"/>
    <n v="0.74586837150000018"/>
    <n v="17.238849066666663"/>
    <n v="0.46980875"/>
    <n v="24.823489377557866"/>
    <n v="4.7607286666666662"/>
    <n v="1.1432012916666665"/>
    <n v="9.6310793749999998E-2"/>
    <n v="0.1174521875"/>
    <n v="0.73081361111111109"/>
    <n v="2.5887354761625003"/>
    <n v="9.4372420268569428"/>
    <n v="0"/>
    <n v="0"/>
    <n v="0"/>
    <n v="0"/>
    <n v="9.4372420268569428"/>
    <n v="62.806666666666665"/>
    <n v="12.108481690426325"/>
    <n v="21.998657016417809"/>
    <n v="235.31984072022155"/>
    <n v="0"/>
    <n v="332.23364609373232"/>
    <n v="2154.9984999148137"/>
    <n v="189.64880140242613"/>
    <n v="159.30499317803796"/>
    <n v="8.6609686609686695E-2"/>
    <n v="1.880341880341882E-2"/>
    <n v="0.03"/>
    <n v="3.4188034188034219E-2"/>
    <n v="0.1225"/>
    <n v="0.13960113960113973"/>
    <n v="349.55459381842945"/>
    <n v="698.50838839889354"/>
    <n v="2853.5068883137073"/>
    <n v="34242.082659764492"/>
    <d v="2025-01-01T00:00:00"/>
    <s v="-"/>
    <s v="-"/>
  </r>
  <r>
    <s v="2.241.04"/>
    <x v="77"/>
    <x v="0"/>
    <s v="Fethemg RM"/>
    <s v="Limpeza"/>
    <x v="0"/>
    <n v="1"/>
    <n v="0"/>
    <n v="824.56"/>
    <n v="0"/>
    <n v="0"/>
    <n v="0"/>
    <n v="0"/>
    <n v="0"/>
    <n v="0"/>
    <n v="26.985600000000002"/>
    <n v="851.54559999999992"/>
    <n v="170.30912000000001"/>
    <n v="12.773183999999999"/>
    <n v="8.5154559999999986"/>
    <n v="1.7030911999999998"/>
    <n v="21.288640000000001"/>
    <n v="68.123647999999989"/>
    <n v="34.061823999999994"/>
    <n v="5.1092735999999999"/>
    <n v="321.8842368"/>
    <n v="70.962133333333327"/>
    <n v="94.616177777777764"/>
    <n v="62.588601599999997"/>
    <n v="228.16691271111108"/>
    <n v="206.5264"/>
    <n v="582"/>
    <n v="0"/>
    <n v="0"/>
    <n v="15.07"/>
    <n v="0"/>
    <n v="3.36"/>
    <n v="0"/>
    <n v="806.95640000000003"/>
    <n v="1357.0075495111112"/>
    <n v="5.970839316049382"/>
    <n v="0.4776671452839506"/>
    <n v="0.19106685811358026"/>
    <n v="2.9804096000000002"/>
    <n v="1.1265948288000003"/>
    <n v="26.038372124444439"/>
    <n v="0.70962133333333333"/>
    <n v="37.494571206024688"/>
    <n v="7.1908295111111098"/>
    <n v="1.7267452444444442"/>
    <n v="0.14547237333333332"/>
    <n v="0.17740533333333333"/>
    <n v="1.1038554074074072"/>
    <n v="3.9101483747200003"/>
    <n v="14.254456244349628"/>
    <n v="0"/>
    <n v="0"/>
    <n v="0"/>
    <n v="0"/>
    <n v="14.254456244349628"/>
    <n v="62.806666666666665"/>
    <n v="17.759106479291944"/>
    <n v="32.264696957412788"/>
    <n v="345.13576638965827"/>
    <n v="0"/>
    <n v="457.96623649302967"/>
    <n v="2718.2684134545148"/>
    <n v="189.64880140242613"/>
    <n v="159.30499317803796"/>
    <n v="8.5633802816901458E-2"/>
    <n v="1.8591549295774657E-2"/>
    <n v="0.02"/>
    <n v="2.2535211267605645E-2"/>
    <n v="0.1125"/>
    <n v="0.12676056338028174"/>
    <n v="388.80281510302564"/>
    <n v="737.75660968348973"/>
    <n v="3456.0250231380046"/>
    <n v="41472.300277656053"/>
    <d v="2025-01-01T00:00:00"/>
    <s v="-"/>
    <s v="-"/>
  </r>
  <r>
    <s v="2.243.03"/>
    <x v="78"/>
    <x v="2"/>
    <s v="Sethac Norte de Minas"/>
    <s v="Limpeza"/>
    <x v="0"/>
    <n v="1"/>
    <n v="0"/>
    <n v="544.17999999999995"/>
    <n v="0"/>
    <n v="0"/>
    <n v="0"/>
    <n v="0"/>
    <n v="0"/>
    <n v="0"/>
    <n v="19.590499999999999"/>
    <n v="563.77049999999997"/>
    <n v="112.75409999999999"/>
    <n v="8.4565574999999988"/>
    <n v="5.6377049999999995"/>
    <n v="1.1275409999999999"/>
    <n v="14.094262499999999"/>
    <n v="45.101639999999996"/>
    <n v="22.550819999999998"/>
    <n v="3.3826229999999997"/>
    <n v="213.10524899999996"/>
    <n v="46.980874999999997"/>
    <n v="62.641166666666663"/>
    <n v="41.437131749999992"/>
    <n v="151.05917341666665"/>
    <n v="223.3492"/>
    <n v="582"/>
    <n v="0"/>
    <n v="0"/>
    <n v="0"/>
    <n v="0"/>
    <n v="3.36"/>
    <n v="0"/>
    <n v="808.70920000000001"/>
    <n v="1172.8736224166666"/>
    <n v="3.9530273735532404"/>
    <n v="0.31624218988425928"/>
    <n v="0.12649687595370371"/>
    <n v="1.9731967500000003"/>
    <n v="0.74586837150000018"/>
    <n v="17.238849066666663"/>
    <n v="0.46980875"/>
    <n v="24.823489377557866"/>
    <n v="4.7607286666666662"/>
    <n v="1.1432012916666665"/>
    <n v="9.6310793749999998E-2"/>
    <n v="0.1174521875"/>
    <n v="0.73081361111111109"/>
    <n v="2.5887354761625003"/>
    <n v="9.4372420268569428"/>
    <n v="0"/>
    <n v="0"/>
    <n v="0"/>
    <n v="0"/>
    <n v="9.4372420268569428"/>
    <n v="62.806666666666665"/>
    <n v="12.108481690426325"/>
    <n v="21.998657016417809"/>
    <n v="235.31984072022155"/>
    <n v="0"/>
    <n v="332.23364609373232"/>
    <n v="2103.1384999148136"/>
    <n v="189.64880140242613"/>
    <n v="159.30499317803796"/>
    <n v="8.6609686609686695E-2"/>
    <n v="1.880341880341882E-2"/>
    <n v="0.03"/>
    <n v="3.4188034188034219E-2"/>
    <n v="0.1225"/>
    <n v="0.13960113960113973"/>
    <n v="342.31487871871428"/>
    <n v="691.26867329917832"/>
    <n v="2794.4071732139919"/>
    <n v="33532.886078567899"/>
    <d v="2025-01-01T00:00:00"/>
    <s v="-"/>
    <s v="-"/>
  </r>
  <r>
    <s v="2.251.06"/>
    <x v="79"/>
    <x v="1"/>
    <s v="Regiao de Sao Lourenco"/>
    <s v="Limpeza"/>
    <x v="0"/>
    <n v="1"/>
    <n v="0"/>
    <n v="1596.28"/>
    <n v="0"/>
    <n v="0"/>
    <n v="0"/>
    <n v="0"/>
    <n v="0"/>
    <n v="0"/>
    <n v="52.241900000000001"/>
    <n v="1648.5219"/>
    <n v="329.70438000000001"/>
    <n v="24.727828499999998"/>
    <n v="16.485219000000001"/>
    <n v="3.2970438"/>
    <n v="41.213047500000002"/>
    <n v="131.88175200000001"/>
    <n v="65.940876000000003"/>
    <n v="9.8911314000000008"/>
    <n v="623.14127819999999"/>
    <n v="137.376825"/>
    <n v="183.16909999999999"/>
    <n v="121.16635965"/>
    <n v="441.71228465000002"/>
    <n v="160.22320000000002"/>
    <n v="582"/>
    <n v="0"/>
    <n v="0"/>
    <n v="0"/>
    <n v="0"/>
    <n v="3.36"/>
    <n v="0"/>
    <n v="745.58320000000003"/>
    <n v="1810.4367628499999"/>
    <n v="11.559051416493055"/>
    <n v="0.92472411331944449"/>
    <n v="0.36988964532777785"/>
    <n v="5.7698266500000006"/>
    <n v="2.1809944737000007"/>
    <n v="50.40813631999999"/>
    <n v="1.3737682500000001"/>
    <n v="72.586390868840269"/>
    <n v="13.920851599999999"/>
    <n v="3.3428360749999997"/>
    <n v="0.28162249125"/>
    <n v="0.34344206250000003"/>
    <n v="2.1369728333333331"/>
    <n v="7.5697240734675013"/>
    <n v="27.595449135550833"/>
    <n v="0"/>
    <n v="0"/>
    <n v="0"/>
    <n v="0"/>
    <n v="27.595449135550833"/>
    <n v="100.80916666666666"/>
    <n v="35.518212958583888"/>
    <n v="64.529393914825576"/>
    <n v="690.27153277931654"/>
    <n v="0"/>
    <n v="891.12830631939266"/>
    <n v="4450.2688091737837"/>
    <n v="189.64880140242613"/>
    <n v="159.30499317803796"/>
    <n v="8.5633802816901458E-2"/>
    <n v="1.8591549295774657E-2"/>
    <n v="0.02"/>
    <n v="2.2535211267605645E-2"/>
    <n v="0.1125"/>
    <n v="0.12676056338028174"/>
    <n v="608.3521610392711"/>
    <n v="957.30595561973519"/>
    <n v="5407.5747647935186"/>
    <n v="64890.897177522224"/>
    <d v="2025-01-01T00:00:00"/>
    <s v="-"/>
    <s v="-"/>
  </r>
  <r>
    <s v="2.261.04"/>
    <x v="80"/>
    <x v="0"/>
    <s v="Regiao de Sao Lourenco"/>
    <s v="Limpeza"/>
    <x v="0"/>
    <n v="1"/>
    <n v="0"/>
    <n v="798.14"/>
    <n v="0"/>
    <n v="0"/>
    <n v="0"/>
    <n v="0"/>
    <n v="0"/>
    <n v="0"/>
    <n v="26.120899999999999"/>
    <n v="824.26089999999999"/>
    <n v="164.85218"/>
    <n v="12.363913499999999"/>
    <n v="8.2426089999999999"/>
    <n v="1.6485217999999999"/>
    <n v="20.606522500000001"/>
    <n v="65.940871999999999"/>
    <n v="32.970435999999999"/>
    <n v="4.9455654000000004"/>
    <n v="311.57062020000001"/>
    <n v="68.688408333333328"/>
    <n v="91.584544444444433"/>
    <n v="60.583176149999993"/>
    <n v="220.85612892777775"/>
    <n v="208.11160000000001"/>
    <n v="582"/>
    <n v="0"/>
    <n v="0"/>
    <n v="0"/>
    <n v="0"/>
    <n v="3.36"/>
    <n v="0"/>
    <n v="793.47159999999997"/>
    <n v="1325.8983491277777"/>
    <n v="5.7795253576581791"/>
    <n v="0.46236202861265435"/>
    <n v="0.18494481144506175"/>
    <n v="2.8849131500000005"/>
    <n v="1.0904971707000004"/>
    <n v="25.204066631111107"/>
    <n v="0.6868840833333334"/>
    <n v="36.293193232860339"/>
    <n v="6.9604253777777769"/>
    <n v="1.671417936111111"/>
    <n v="0.14081123708333332"/>
    <n v="0.17172102083333335"/>
    <n v="1.0684863518518517"/>
    <n v="3.7848618071425006"/>
    <n v="13.797723730799909"/>
    <n v="0"/>
    <n v="0"/>
    <n v="0"/>
    <n v="0"/>
    <n v="13.797723730799909"/>
    <n v="62.806666666666665"/>
    <n v="17.759106479291944"/>
    <n v="32.264696957412788"/>
    <n v="345.13576638965827"/>
    <n v="0"/>
    <n v="457.96623649302967"/>
    <n v="2658.2164025844677"/>
    <n v="189.64880140242613"/>
    <n v="159.30499317803796"/>
    <n v="8.5633802816901458E-2"/>
    <n v="1.8591549295774657E-2"/>
    <n v="0.02"/>
    <n v="2.2535211267605645E-2"/>
    <n v="0.1125"/>
    <n v="0.12676056338028174"/>
    <n v="381.19058837301969"/>
    <n v="730.14438295348373"/>
    <n v="3388.3607855379514"/>
    <n v="40660.329426455413"/>
    <d v="2025-01-01T00:00:00"/>
    <s v="-"/>
    <s v="-"/>
  </r>
  <r>
    <s v="2.261.06"/>
    <x v="80"/>
    <x v="1"/>
    <s v="Regiao de Sao Lourenco"/>
    <s v="Limpeza"/>
    <x v="0"/>
    <n v="1"/>
    <n v="0"/>
    <n v="1596.28"/>
    <n v="0"/>
    <n v="0"/>
    <n v="0"/>
    <n v="0"/>
    <n v="0"/>
    <n v="0"/>
    <n v="52.241900000000001"/>
    <n v="1648.5219"/>
    <n v="329.70438000000001"/>
    <n v="24.727828499999998"/>
    <n v="16.485219000000001"/>
    <n v="3.2970438"/>
    <n v="41.213047500000002"/>
    <n v="131.88175200000001"/>
    <n v="65.940876000000003"/>
    <n v="9.8911314000000008"/>
    <n v="623.14127819999999"/>
    <n v="137.376825"/>
    <n v="183.16909999999999"/>
    <n v="121.16635965"/>
    <n v="441.71228465000002"/>
    <n v="160.22320000000002"/>
    <n v="582"/>
    <n v="0"/>
    <n v="0"/>
    <n v="0"/>
    <n v="0"/>
    <n v="3.36"/>
    <n v="0"/>
    <n v="745.58320000000003"/>
    <n v="1810.4367628499999"/>
    <n v="11.559051416493055"/>
    <n v="0.92472411331944449"/>
    <n v="0.36988964532777785"/>
    <n v="5.7698266500000006"/>
    <n v="2.1809944737000007"/>
    <n v="50.40813631999999"/>
    <n v="1.3737682500000001"/>
    <n v="72.586390868840269"/>
    <n v="13.920851599999999"/>
    <n v="3.3428360749999997"/>
    <n v="0.28162249125"/>
    <n v="0.34344206250000003"/>
    <n v="2.1369728333333331"/>
    <n v="7.5697240734675013"/>
    <n v="27.595449135550833"/>
    <n v="0"/>
    <n v="0"/>
    <n v="0"/>
    <n v="0"/>
    <n v="27.595449135550833"/>
    <n v="100.80916666666666"/>
    <n v="35.518212958583888"/>
    <n v="64.529393914825576"/>
    <n v="690.27153277931654"/>
    <n v="0"/>
    <n v="891.12830631939266"/>
    <n v="4450.2688091737837"/>
    <n v="189.64880140242613"/>
    <n v="159.30499317803796"/>
    <n v="8.5633802816901458E-2"/>
    <n v="1.8591549295774657E-2"/>
    <n v="0.02"/>
    <n v="2.2535211267605645E-2"/>
    <n v="0.1125"/>
    <n v="0.12676056338028174"/>
    <n v="608.3521610392711"/>
    <n v="957.30595561973519"/>
    <n v="5407.5747647935186"/>
    <n v="64890.897177522224"/>
    <d v="2025-01-01T00:00:00"/>
    <s v="-"/>
    <s v="-"/>
  </r>
  <r>
    <s v="2.267.06"/>
    <x v="81"/>
    <x v="1"/>
    <s v="Sethac Norte de Minas"/>
    <s v="Limpeza"/>
    <x v="0"/>
    <n v="1"/>
    <n v="0"/>
    <n v="1596.28"/>
    <n v="0"/>
    <n v="0"/>
    <n v="0"/>
    <n v="0"/>
    <n v="0"/>
    <n v="0"/>
    <n v="52.241900000000001"/>
    <n v="1648.5219"/>
    <n v="329.70438000000001"/>
    <n v="24.727828499999998"/>
    <n v="16.485219000000001"/>
    <n v="3.2970438"/>
    <n v="41.213047500000002"/>
    <n v="131.88175200000001"/>
    <n v="65.940876000000003"/>
    <n v="9.8911314000000008"/>
    <n v="623.14127819999999"/>
    <n v="137.376825"/>
    <n v="183.16909999999999"/>
    <n v="121.16635965"/>
    <n v="441.71228465000002"/>
    <n v="160.22320000000002"/>
    <n v="582"/>
    <n v="0"/>
    <n v="0"/>
    <n v="0"/>
    <n v="0"/>
    <n v="3.36"/>
    <n v="0"/>
    <n v="745.58320000000003"/>
    <n v="1810.4367628499999"/>
    <n v="11.559051416493055"/>
    <n v="0.92472411331944449"/>
    <n v="0.36988964532777785"/>
    <n v="5.7698266500000006"/>
    <n v="2.1809944737000007"/>
    <n v="50.40813631999999"/>
    <n v="1.3737682500000001"/>
    <n v="72.586390868840269"/>
    <n v="13.920851599999999"/>
    <n v="3.3428360749999997"/>
    <n v="0.28162249125"/>
    <n v="0.34344206250000003"/>
    <n v="2.1369728333333331"/>
    <n v="7.5697240734675013"/>
    <n v="27.595449135550833"/>
    <n v="0"/>
    <n v="0"/>
    <n v="0"/>
    <n v="0"/>
    <n v="27.595449135550833"/>
    <n v="100.80916666666666"/>
    <n v="35.518212958583888"/>
    <n v="64.529393914825576"/>
    <n v="690.27153277931654"/>
    <n v="0"/>
    <n v="891.12830631939266"/>
    <n v="4450.2688091737837"/>
    <n v="189.64880140242613"/>
    <n v="159.30499317803796"/>
    <n v="8.5633802816901458E-2"/>
    <n v="1.8591549295774657E-2"/>
    <n v="0.02"/>
    <n v="2.2535211267605645E-2"/>
    <n v="0.1125"/>
    <n v="0.12676056338028174"/>
    <n v="608.3521610392711"/>
    <n v="957.30595561973519"/>
    <n v="5407.5747647935186"/>
    <n v="64890.897177522224"/>
    <d v="2025-01-01T00:00:00"/>
    <s v="-"/>
    <s v="-"/>
  </r>
  <r>
    <s v="2.271.04"/>
    <x v="82"/>
    <x v="0"/>
    <s v="Regiao Uberaba"/>
    <s v="Limpeza"/>
    <x v="0"/>
    <n v="1"/>
    <n v="0"/>
    <n v="798.14"/>
    <n v="0"/>
    <n v="0"/>
    <n v="0"/>
    <n v="0"/>
    <n v="0"/>
    <n v="0"/>
    <n v="26.120899999999999"/>
    <n v="824.26089999999999"/>
    <n v="164.85218"/>
    <n v="12.363913499999999"/>
    <n v="8.2426089999999999"/>
    <n v="1.6485217999999999"/>
    <n v="20.606522500000001"/>
    <n v="65.940871999999999"/>
    <n v="32.970435999999999"/>
    <n v="4.9455654000000004"/>
    <n v="311.57062020000001"/>
    <n v="68.688408333333328"/>
    <n v="91.584544444444433"/>
    <n v="60.583176149999993"/>
    <n v="220.85612892777775"/>
    <n v="208.11160000000001"/>
    <n v="582"/>
    <n v="0"/>
    <n v="51.86"/>
    <n v="0"/>
    <n v="0"/>
    <n v="3.36"/>
    <n v="0"/>
    <n v="845.33159999999998"/>
    <n v="1377.7583491277778"/>
    <n v="5.7795253576581791"/>
    <n v="0.46236202861265435"/>
    <n v="0.18494481144506175"/>
    <n v="2.8849131500000005"/>
    <n v="1.0904971707000004"/>
    <n v="25.204066631111107"/>
    <n v="0.6868840833333334"/>
    <n v="36.293193232860339"/>
    <n v="6.9604253777777769"/>
    <n v="1.671417936111111"/>
    <n v="0.14081123708333332"/>
    <n v="0.17172102083333335"/>
    <n v="1.0684863518518517"/>
    <n v="3.7848618071425006"/>
    <n v="13.797723730799909"/>
    <n v="0"/>
    <n v="0"/>
    <n v="0"/>
    <n v="0"/>
    <n v="13.797723730799909"/>
    <n v="62.806666666666665"/>
    <n v="17.759106479291944"/>
    <n v="32.264696957412788"/>
    <n v="345.13576638965827"/>
    <n v="0"/>
    <n v="457.96623649302967"/>
    <n v="2710.0764025844674"/>
    <n v="189.64880140242613"/>
    <n v="159.30499317803796"/>
    <n v="8.5633802816901458E-2"/>
    <n v="1.8591549295774657E-2"/>
    <n v="0.02"/>
    <n v="2.2535211267605645E-2"/>
    <n v="0.1125"/>
    <n v="0.12676056338028174"/>
    <n v="387.76439118992107"/>
    <n v="736.71818577038516"/>
    <n v="3446.7945883548527"/>
    <n v="41361.535060258233"/>
    <d v="2025-01-01T00:00:00"/>
    <s v="-"/>
    <s v="-"/>
  </r>
  <r>
    <s v="2.271.06"/>
    <x v="82"/>
    <x v="1"/>
    <s v="Regiao Uberaba"/>
    <s v="Limpeza"/>
    <x v="0"/>
    <n v="1"/>
    <n v="0"/>
    <n v="1596.28"/>
    <n v="0"/>
    <n v="0"/>
    <n v="0"/>
    <n v="0"/>
    <n v="0"/>
    <n v="0"/>
    <n v="52.241900000000001"/>
    <n v="1648.5219"/>
    <n v="329.70438000000001"/>
    <n v="24.727828499999998"/>
    <n v="16.485219000000001"/>
    <n v="3.2970438"/>
    <n v="41.213047500000002"/>
    <n v="131.88175200000001"/>
    <n v="65.940876000000003"/>
    <n v="9.8911314000000008"/>
    <n v="623.14127819999999"/>
    <n v="137.376825"/>
    <n v="183.16909999999999"/>
    <n v="121.16635965"/>
    <n v="441.71228465000002"/>
    <n v="160.22320000000002"/>
    <n v="582"/>
    <n v="0"/>
    <n v="51.86"/>
    <n v="0"/>
    <n v="0"/>
    <n v="3.36"/>
    <n v="0"/>
    <n v="797.44320000000005"/>
    <n v="1862.2967628500001"/>
    <n v="11.559051416493055"/>
    <n v="0.92472411331944449"/>
    <n v="0.36988964532777785"/>
    <n v="5.7698266500000006"/>
    <n v="2.1809944737000007"/>
    <n v="50.40813631999999"/>
    <n v="1.3737682500000001"/>
    <n v="72.586390868840269"/>
    <n v="13.920851599999999"/>
    <n v="3.3428360749999997"/>
    <n v="0.28162249125"/>
    <n v="0.34344206250000003"/>
    <n v="2.1369728333333331"/>
    <n v="7.5697240734675013"/>
    <n v="27.595449135550833"/>
    <n v="0"/>
    <n v="0"/>
    <n v="0"/>
    <n v="0"/>
    <n v="27.595449135550833"/>
    <n v="100.80916666666666"/>
    <n v="35.518212958583888"/>
    <n v="64.529393914825576"/>
    <n v="690.27153277931654"/>
    <n v="0"/>
    <n v="891.12830631939266"/>
    <n v="4502.1288091737833"/>
    <n v="189.64880140242613"/>
    <n v="159.30499317803796"/>
    <n v="8.5633802816901458E-2"/>
    <n v="1.8591549295774657E-2"/>
    <n v="0.02"/>
    <n v="2.2535211267605645E-2"/>
    <n v="0.1125"/>
    <n v="0.12676056338028174"/>
    <n v="614.92596385617242"/>
    <n v="963.87975843663651"/>
    <n v="5466.00856761042"/>
    <n v="65592.102811325036"/>
    <d v="2025-01-01T00:00:00"/>
    <s v="-"/>
    <s v="-"/>
  </r>
  <r>
    <s v="2.105.04"/>
    <x v="83"/>
    <x v="0"/>
    <s v="Gov. Valadares"/>
    <s v="Limpeza"/>
    <x v="0"/>
    <n v="1"/>
    <n v="0"/>
    <n v="824.56"/>
    <n v="0"/>
    <n v="0"/>
    <n v="0"/>
    <n v="0"/>
    <n v="0"/>
    <n v="0"/>
    <n v="26.985600000000002"/>
    <n v="851.54559999999992"/>
    <n v="170.30912000000001"/>
    <n v="12.773183999999999"/>
    <n v="8.5154559999999986"/>
    <n v="1.7030911999999998"/>
    <n v="21.288640000000001"/>
    <n v="68.123647999999989"/>
    <n v="34.061823999999994"/>
    <n v="5.1092735999999999"/>
    <n v="321.8842368"/>
    <n v="70.962133333333327"/>
    <n v="94.616177777777764"/>
    <n v="62.588601599999997"/>
    <n v="228.16691271111108"/>
    <n v="206.5264"/>
    <n v="582"/>
    <n v="0"/>
    <n v="51.88"/>
    <n v="0"/>
    <n v="0"/>
    <n v="3.36"/>
    <n v="0"/>
    <n v="843.76639999999998"/>
    <n v="1393.8175495111111"/>
    <n v="5.970839316049382"/>
    <n v="0.4776671452839506"/>
    <n v="0.19106685811358026"/>
    <n v="2.9804096000000002"/>
    <n v="1.1265948288000003"/>
    <n v="26.038372124444439"/>
    <n v="0.70962133333333333"/>
    <n v="37.494571206024688"/>
    <n v="7.1908295111111098"/>
    <n v="1.7267452444444442"/>
    <n v="0.14547237333333332"/>
    <n v="0.17740533333333333"/>
    <n v="1.1038554074074072"/>
    <n v="3.9101483747200003"/>
    <n v="14.254456244349628"/>
    <n v="0"/>
    <n v="0"/>
    <n v="0"/>
    <n v="0"/>
    <n v="14.254456244349628"/>
    <n v="62.806666666666665"/>
    <n v="17.759106479291944"/>
    <n v="32.264696957412788"/>
    <n v="345.13576638965827"/>
    <n v="0"/>
    <n v="457.96623649302967"/>
    <n v="2755.0784134545152"/>
    <n v="189.64880140242613"/>
    <n v="159.30499317803796"/>
    <n v="8.8629737609329504E-2"/>
    <n v="1.9241982507288629E-2"/>
    <n v="0.05"/>
    <n v="5.8309037900874633E-2"/>
    <n v="0.14250000000000002"/>
    <n v="0.16618075801749277"/>
    <n v="515.83042524196469"/>
    <n v="864.78421982242878"/>
    <n v="3619.8626332769441"/>
    <n v="43438.35159932333"/>
    <d v="2025-01-01T00:00:00"/>
    <s v="-"/>
    <s v="-"/>
  </r>
  <r>
    <s v="2.105.06"/>
    <x v="83"/>
    <x v="1"/>
    <s v="Gov. Valadares"/>
    <s v="Limpeza"/>
    <x v="0"/>
    <n v="8"/>
    <n v="0"/>
    <n v="13192.9288"/>
    <n v="0"/>
    <n v="0"/>
    <n v="0"/>
    <n v="0"/>
    <n v="0"/>
    <n v="0"/>
    <n v="431.7688"/>
    <n v="13624.6976"/>
    <n v="2724.9395199999999"/>
    <n v="204.370464"/>
    <n v="136.24697599999999"/>
    <n v="27.249395199999999"/>
    <n v="340.61743999999999"/>
    <n v="1089.9758079999999"/>
    <n v="544.98790399999996"/>
    <n v="81.748185599999999"/>
    <n v="5150.1356927999996"/>
    <n v="1135.3914666666665"/>
    <n v="1513.8552888888887"/>
    <n v="1001.4152735999998"/>
    <n v="3650.6620291555546"/>
    <n v="1256.4242720000002"/>
    <n v="4656"/>
    <n v="0"/>
    <n v="415.04"/>
    <n v="0"/>
    <n v="0"/>
    <n v="26.88"/>
    <n v="0"/>
    <n v="6354.3442720000003"/>
    <n v="15155.141993955554"/>
    <n v="95.533204680246911"/>
    <n v="7.6426563744197535"/>
    <n v="3.0570625497679016"/>
    <n v="47.686441600000002"/>
    <n v="18.025474924800005"/>
    <n v="416.61297550222213"/>
    <n v="11.353914666666666"/>
    <n v="599.91173029812342"/>
    <n v="115.05300195555554"/>
    <n v="27.627859022222218"/>
    <n v="2.3275525066666667"/>
    <n v="2.8384786666666666"/>
    <n v="17.661645037037037"/>
    <n v="62.562227057120005"/>
    <n v="228.07076424526815"/>
    <n v="0"/>
    <n v="0"/>
    <n v="0"/>
    <n v="0"/>
    <n v="228.07076424526815"/>
    <n v="806.47333333333324"/>
    <n v="284.1457036686711"/>
    <n v="516.23515131860461"/>
    <n v="5522.1722622345324"/>
    <n v="0"/>
    <n v="7129.0264505551413"/>
    <n v="36736.848539054088"/>
    <n v="1517.190411219409"/>
    <n v="1274.4399454243037"/>
    <n v="8.8629737609329504E-2"/>
    <n v="1.9241982507288629E-2"/>
    <n v="0.05"/>
    <n v="5.8309037900874633E-2"/>
    <n v="0.14250000000000002"/>
    <n v="0.16618075801749277"/>
    <n v="6568.8725861655257"/>
    <n v="9360.5029428092384"/>
    <n v="46097.351481863327"/>
    <n v="553168.21778235992"/>
    <d v="2025-01-01T00:00:00"/>
    <s v="-"/>
    <s v="-"/>
  </r>
  <r>
    <s v="2.278.03"/>
    <x v="84"/>
    <x v="2"/>
    <s v="Sethac Norte de Minas"/>
    <s v="Limpeza"/>
    <x v="0"/>
    <n v="1"/>
    <n v="0"/>
    <n v="544.17999999999995"/>
    <n v="0"/>
    <n v="0"/>
    <n v="0"/>
    <n v="0"/>
    <n v="0"/>
    <n v="0"/>
    <n v="19.590499999999999"/>
    <n v="563.77049999999997"/>
    <n v="112.75409999999999"/>
    <n v="8.4565574999999988"/>
    <n v="5.6377049999999995"/>
    <n v="1.1275409999999999"/>
    <n v="14.094262499999999"/>
    <n v="45.101639999999996"/>
    <n v="22.550819999999998"/>
    <n v="3.3826229999999997"/>
    <n v="213.10524899999996"/>
    <n v="46.980874999999997"/>
    <n v="62.641166666666663"/>
    <n v="41.437131749999992"/>
    <n v="151.05917341666665"/>
    <n v="223.3492"/>
    <n v="582"/>
    <n v="0"/>
    <n v="0"/>
    <n v="0"/>
    <n v="0"/>
    <n v="3.36"/>
    <n v="0"/>
    <n v="808.70920000000001"/>
    <n v="1172.8736224166666"/>
    <n v="3.9530273735532404"/>
    <n v="0.31624218988425928"/>
    <n v="0.12649687595370371"/>
    <n v="1.9731967500000003"/>
    <n v="0.74586837150000018"/>
    <n v="17.238849066666663"/>
    <n v="0.46980875"/>
    <n v="24.823489377557866"/>
    <n v="4.7607286666666662"/>
    <n v="1.1432012916666665"/>
    <n v="9.6310793749999998E-2"/>
    <n v="0.1174521875"/>
    <n v="0.73081361111111109"/>
    <n v="2.5887354761625003"/>
    <n v="9.4372420268569428"/>
    <n v="0"/>
    <n v="0"/>
    <n v="0"/>
    <n v="0"/>
    <n v="9.4372420268569428"/>
    <n v="62.806666666666665"/>
    <n v="12.108481690426325"/>
    <n v="21.998657016417809"/>
    <n v="235.31984072022155"/>
    <n v="0"/>
    <n v="332.23364609373232"/>
    <n v="2103.1384999148136"/>
    <n v="189.64880140242613"/>
    <n v="159.30499317803796"/>
    <n v="8.5633802816901458E-2"/>
    <n v="1.8591549295774657E-2"/>
    <n v="0.02"/>
    <n v="2.2535211267605645E-2"/>
    <n v="0.1125"/>
    <n v="0.12676056338028174"/>
    <n v="310.82860071066915"/>
    <n v="659.7823952911333"/>
    <n v="2762.9208952059471"/>
    <n v="33155.050742471365"/>
    <d v="2025-01-01T00:00:00"/>
    <s v="-"/>
    <s v="-"/>
  </r>
  <r>
    <s v="2.280.05"/>
    <x v="85"/>
    <x v="3"/>
    <s v="Seethur"/>
    <s v="Limpeza"/>
    <x v="0"/>
    <n v="1"/>
    <n v="0"/>
    <n v="1088.3699999999999"/>
    <n v="0"/>
    <n v="0"/>
    <n v="0"/>
    <n v="0"/>
    <n v="0"/>
    <n v="0"/>
    <n v="39.1813"/>
    <n v="1127.5512999999999"/>
    <n v="225.51025999999999"/>
    <n v="16.913269499999998"/>
    <n v="11.275512999999998"/>
    <n v="2.2551025999999998"/>
    <n v="28.188782499999999"/>
    <n v="90.204103999999987"/>
    <n v="45.102051999999993"/>
    <n v="6.7653077999999995"/>
    <n v="426.21439139999995"/>
    <n v="93.962608333333321"/>
    <n v="125.28347777777776"/>
    <n v="82.875020549999988"/>
    <n v="302.12110666111107"/>
    <n v="190.69780000000003"/>
    <n v="582"/>
    <n v="0"/>
    <n v="0"/>
    <n v="0"/>
    <n v="0"/>
    <n v="3.36"/>
    <n v="0"/>
    <n v="776.05780000000004"/>
    <n v="1504.3932980611112"/>
    <n v="7.9061269683063262"/>
    <n v="0.6324901574645061"/>
    <n v="0.25299606298580246"/>
    <n v="3.94642955"/>
    <n v="1.4917503699000003"/>
    <n v="34.478013084444434"/>
    <n v="0.93962608333333331"/>
    <n v="49.647432276434401"/>
    <n v="9.5215443111111089"/>
    <n v="2.2864234694444439"/>
    <n v="0.19262334708333331"/>
    <n v="0.23490652083333333"/>
    <n v="1.4616405740740739"/>
    <n v="5.1775182481225004"/>
    <n v="18.874656470668793"/>
    <n v="0"/>
    <n v="0"/>
    <n v="0"/>
    <n v="0"/>
    <n v="18.874656470668793"/>
    <n v="100.80916666666666"/>
    <n v="24.216963380852651"/>
    <n v="43.997314032835618"/>
    <n v="470.6396814404431"/>
    <n v="0"/>
    <n v="639.66312552079808"/>
    <n v="3340.1298123290121"/>
    <n v="189.64880140242613"/>
    <n v="159.30499317803796"/>
    <n v="8.8629737609329504E-2"/>
    <n v="1.9241982507288629E-2"/>
    <n v="0.05"/>
    <n v="5.8309037900874633E-2"/>
    <n v="0.14250000000000002"/>
    <n v="0.16618075801749277"/>
    <n v="613.05471018612309"/>
    <n v="962.00850476658718"/>
    <n v="4302.1383170955996"/>
    <n v="51625.659805147196"/>
    <d v="2025-01-01T00:00:00"/>
    <s v="-"/>
    <s v="-"/>
  </r>
  <r>
    <s v="2.283.04"/>
    <x v="86"/>
    <x v="0"/>
    <s v="Regiao de Sao Lourenco"/>
    <s v="Limpeza"/>
    <x v="0"/>
    <n v="1"/>
    <n v="0"/>
    <n v="798.14"/>
    <n v="0"/>
    <n v="0"/>
    <n v="0"/>
    <n v="0"/>
    <n v="0"/>
    <n v="0"/>
    <n v="26.120899999999999"/>
    <n v="824.26089999999999"/>
    <n v="164.85218"/>
    <n v="12.363913499999999"/>
    <n v="8.2426089999999999"/>
    <n v="1.6485217999999999"/>
    <n v="20.606522500000001"/>
    <n v="65.940871999999999"/>
    <n v="32.970435999999999"/>
    <n v="4.9455654000000004"/>
    <n v="311.57062020000001"/>
    <n v="68.688408333333328"/>
    <n v="91.584544444444433"/>
    <n v="60.583176149999993"/>
    <n v="220.85612892777775"/>
    <n v="208.11160000000001"/>
    <n v="582"/>
    <n v="0"/>
    <n v="0"/>
    <n v="0"/>
    <n v="0"/>
    <n v="3.36"/>
    <n v="0"/>
    <n v="793.47159999999997"/>
    <n v="1325.8983491277777"/>
    <n v="5.7795253576581791"/>
    <n v="0.46236202861265435"/>
    <n v="0.18494481144506175"/>
    <n v="2.8849131500000005"/>
    <n v="1.0904971707000004"/>
    <n v="25.204066631111107"/>
    <n v="0.6868840833333334"/>
    <n v="36.293193232860339"/>
    <n v="6.9604253777777769"/>
    <n v="1.671417936111111"/>
    <n v="0.14081123708333332"/>
    <n v="0.17172102083333335"/>
    <n v="1.0684863518518517"/>
    <n v="3.7848618071425006"/>
    <n v="13.797723730799909"/>
    <n v="0"/>
    <n v="0"/>
    <n v="0"/>
    <n v="0"/>
    <n v="13.797723730799909"/>
    <n v="62.806666666666665"/>
    <n v="17.759106479291944"/>
    <n v="32.264696957412788"/>
    <n v="345.13576638965827"/>
    <n v="0"/>
    <n v="457.96623649302967"/>
    <n v="2658.2164025844677"/>
    <n v="189.64880140242613"/>
    <n v="159.30499317803796"/>
    <n v="8.5633802816901458E-2"/>
    <n v="1.8591549295774657E-2"/>
    <n v="0.02"/>
    <n v="2.2535211267605645E-2"/>
    <n v="0.1125"/>
    <n v="0.12676056338028174"/>
    <n v="381.19058837301969"/>
    <n v="730.14438295348373"/>
    <n v="3388.3607855379514"/>
    <n v="40660.329426455413"/>
    <d v="2025-01-01T00:00:00"/>
    <s v="-"/>
    <s v="-"/>
  </r>
  <r>
    <s v="2.284.04"/>
    <x v="87"/>
    <x v="0"/>
    <s v="Regiao de Juiz de Fora"/>
    <s v="Limpeza"/>
    <x v="0"/>
    <n v="1"/>
    <n v="0"/>
    <n v="798.14"/>
    <n v="0"/>
    <n v="0"/>
    <n v="0"/>
    <n v="0"/>
    <n v="0"/>
    <n v="0"/>
    <n v="26.120899999999999"/>
    <n v="824.26089999999999"/>
    <n v="164.85218"/>
    <n v="12.363913499999999"/>
    <n v="8.2426089999999999"/>
    <n v="1.6485217999999999"/>
    <n v="20.606522500000001"/>
    <n v="65.940871999999999"/>
    <n v="32.970435999999999"/>
    <n v="4.9455654000000004"/>
    <n v="311.57062020000001"/>
    <n v="68.688408333333328"/>
    <n v="91.584544444444433"/>
    <n v="60.583176149999993"/>
    <n v="220.85612892777775"/>
    <n v="208.11160000000001"/>
    <n v="582"/>
    <n v="0"/>
    <n v="51.88"/>
    <n v="0"/>
    <n v="0"/>
    <n v="3.36"/>
    <n v="0"/>
    <n v="845.35159999999996"/>
    <n v="1377.7783491277778"/>
    <n v="5.7795253576581791"/>
    <n v="0.46236202861265435"/>
    <n v="0.18494481144506175"/>
    <n v="2.8849131500000005"/>
    <n v="1.0904971707000004"/>
    <n v="25.204066631111107"/>
    <n v="0.6868840833333334"/>
    <n v="36.293193232860339"/>
    <n v="6.9604253777777769"/>
    <n v="1.671417936111111"/>
    <n v="0.14081123708333332"/>
    <n v="0.17172102083333335"/>
    <n v="1.0684863518518517"/>
    <n v="3.7848618071425006"/>
    <n v="13.797723730799909"/>
    <n v="0"/>
    <n v="0"/>
    <n v="0"/>
    <n v="0"/>
    <n v="13.797723730799909"/>
    <n v="62.806666666666665"/>
    <n v="17.759106479291944"/>
    <n v="32.264696957412788"/>
    <n v="345.13576638965827"/>
    <n v="0"/>
    <n v="457.96623649302967"/>
    <n v="2710.0964025844678"/>
    <n v="189.64880140242613"/>
    <n v="159.30499317803796"/>
    <n v="8.5633802816901458E-2"/>
    <n v="1.8591549295774657E-2"/>
    <n v="0.02"/>
    <n v="2.2535211267605645E-2"/>
    <n v="0.1125"/>
    <n v="0.12676056338028174"/>
    <n v="387.7669264011887"/>
    <n v="736.72072098165279"/>
    <n v="3446.8171235661207"/>
    <n v="41361.805482793447"/>
    <d v="2025-01-01T00:00:00"/>
    <s v="-"/>
    <s v="-"/>
  </r>
  <r>
    <s v="2.287.05"/>
    <x v="88"/>
    <x v="3"/>
    <s v="Fethemg Interior"/>
    <s v="Limpeza"/>
    <x v="0"/>
    <n v="1"/>
    <n v="0"/>
    <n v="1088.3699999999999"/>
    <n v="0"/>
    <n v="0"/>
    <n v="0"/>
    <n v="0"/>
    <n v="0"/>
    <n v="0"/>
    <n v="39.1813"/>
    <n v="1127.5512999999999"/>
    <n v="225.51025999999999"/>
    <n v="16.913269499999998"/>
    <n v="11.275512999999998"/>
    <n v="2.2551025999999998"/>
    <n v="28.188782499999999"/>
    <n v="90.204103999999987"/>
    <n v="45.102051999999993"/>
    <n v="6.7653077999999995"/>
    <n v="426.21439139999995"/>
    <n v="93.962608333333321"/>
    <n v="125.28347777777776"/>
    <n v="82.875020549999988"/>
    <n v="302.12110666111107"/>
    <n v="190.69780000000003"/>
    <n v="582"/>
    <n v="0"/>
    <n v="0"/>
    <n v="15.07"/>
    <n v="0"/>
    <n v="3.36"/>
    <n v="0"/>
    <n v="791.12780000000009"/>
    <n v="1519.4632980611111"/>
    <n v="7.9061269683063262"/>
    <n v="0.6324901574645061"/>
    <n v="0.25299606298580246"/>
    <n v="3.94642955"/>
    <n v="1.4917503699000003"/>
    <n v="34.478013084444434"/>
    <n v="0.93962608333333331"/>
    <n v="49.647432276434401"/>
    <n v="9.5215443111111089"/>
    <n v="2.2864234694444439"/>
    <n v="0.19262334708333331"/>
    <n v="0.23490652083333333"/>
    <n v="1.4616405740740739"/>
    <n v="5.1775182481225004"/>
    <n v="18.874656470668793"/>
    <n v="0"/>
    <n v="0"/>
    <n v="0"/>
    <n v="0"/>
    <n v="18.874656470668793"/>
    <n v="100.80916666666666"/>
    <n v="24.216963380852651"/>
    <n v="43.997314032835618"/>
    <n v="470.6396814404431"/>
    <n v="0"/>
    <n v="639.66312552079808"/>
    <n v="3355.1998123290123"/>
    <n v="189.64880140242613"/>
    <n v="159.30499317803796"/>
    <n v="8.6118980169971604E-2"/>
    <n v="1.8696883852691224E-2"/>
    <n v="2.5000000000000001E-2"/>
    <n v="2.8328611898017008E-2"/>
    <n v="0.11749999999999999"/>
    <n v="0.13314447592067982"/>
    <n v="493.18759072165807"/>
    <n v="842.14138530212222"/>
    <n v="4197.3411976311345"/>
    <n v="50368.094371573614"/>
    <d v="2025-01-01T00:00:00"/>
    <s v="-"/>
    <s v="-"/>
  </r>
  <r>
    <s v="2.295.03"/>
    <x v="89"/>
    <x v="2"/>
    <s v="Alto Paranaiba"/>
    <s v="Limpeza"/>
    <x v="0"/>
    <n v="1"/>
    <n v="0"/>
    <n v="544.17999999999995"/>
    <n v="0"/>
    <n v="0"/>
    <n v="0"/>
    <n v="0"/>
    <n v="0"/>
    <n v="0"/>
    <n v="19.590499999999999"/>
    <n v="563.77049999999997"/>
    <n v="112.75409999999999"/>
    <n v="8.4565574999999988"/>
    <n v="5.6377049999999995"/>
    <n v="1.1275409999999999"/>
    <n v="14.094262499999999"/>
    <n v="45.101639999999996"/>
    <n v="22.550819999999998"/>
    <n v="3.3826229999999997"/>
    <n v="213.10524899999996"/>
    <n v="46.980874999999997"/>
    <n v="62.641166666666663"/>
    <n v="41.437131749999992"/>
    <n v="151.05917341666665"/>
    <n v="223.3492"/>
    <n v="0"/>
    <n v="387.79"/>
    <n v="42.97"/>
    <n v="0"/>
    <n v="0"/>
    <n v="3.36"/>
    <n v="0"/>
    <n v="657.46920000000011"/>
    <n v="1021.6336224166668"/>
    <n v="3.9530273735532404"/>
    <n v="0.31624218988425928"/>
    <n v="0.12649687595370371"/>
    <n v="1.9731967500000003"/>
    <n v="0.74586837150000018"/>
    <n v="17.238849066666663"/>
    <n v="0.46980875"/>
    <n v="24.823489377557866"/>
    <n v="4.7607286666666662"/>
    <n v="1.1432012916666665"/>
    <n v="9.6310793749999998E-2"/>
    <n v="0.1174521875"/>
    <n v="0.73081361111111109"/>
    <n v="2.5887354761625003"/>
    <n v="9.4372420268569428"/>
    <n v="0"/>
    <n v="0"/>
    <n v="0"/>
    <n v="0"/>
    <n v="9.4372420268569428"/>
    <n v="62.806666666666665"/>
    <n v="12.108481690426325"/>
    <n v="21.998657016417809"/>
    <n v="235.31984072022155"/>
    <n v="0"/>
    <n v="332.23364609373232"/>
    <n v="1951.8984999148138"/>
    <n v="189.64880140242613"/>
    <n v="159.30499317803796"/>
    <n v="8.5633802816901458E-2"/>
    <n v="1.8591549295774657E-2"/>
    <n v="0.02"/>
    <n v="2.2535211267605645E-2"/>
    <n v="0.1125"/>
    <n v="0.12676056338028174"/>
    <n v="291.65733310503532"/>
    <n v="640.61112768549947"/>
    <n v="2592.5096276003133"/>
    <n v="31110.115531203759"/>
    <d v="2025-01-01T00:00:00"/>
    <s v="-"/>
    <s v="-"/>
  </r>
  <r>
    <s v="2.297.03"/>
    <x v="90"/>
    <x v="2"/>
    <s v="Fethemg Interior"/>
    <s v="Limpeza"/>
    <x v="0"/>
    <n v="1"/>
    <n v="0"/>
    <n v="544.17999999999995"/>
    <n v="0"/>
    <n v="0"/>
    <n v="0"/>
    <n v="0"/>
    <n v="0"/>
    <n v="0"/>
    <n v="19.590499999999999"/>
    <n v="563.77049999999997"/>
    <n v="112.75409999999999"/>
    <n v="8.4565574999999988"/>
    <n v="5.6377049999999995"/>
    <n v="1.1275409999999999"/>
    <n v="14.094262499999999"/>
    <n v="45.101639999999996"/>
    <n v="22.550819999999998"/>
    <n v="3.3826229999999997"/>
    <n v="213.10524899999996"/>
    <n v="46.980874999999997"/>
    <n v="62.641166666666663"/>
    <n v="41.437131749999992"/>
    <n v="151.05917341666665"/>
    <n v="223.3492"/>
    <n v="582"/>
    <n v="0"/>
    <n v="0"/>
    <n v="15.07"/>
    <n v="0"/>
    <n v="3.36"/>
    <n v="0"/>
    <n v="823.77920000000006"/>
    <n v="1187.9436224166666"/>
    <n v="3.9530273735532404"/>
    <n v="0.31624218988425928"/>
    <n v="0.12649687595370371"/>
    <n v="1.9731967500000003"/>
    <n v="0.74586837150000018"/>
    <n v="17.238849066666663"/>
    <n v="0.46980875"/>
    <n v="24.823489377557866"/>
    <n v="4.7607286666666662"/>
    <n v="1.1432012916666665"/>
    <n v="9.6310793749999998E-2"/>
    <n v="0.1174521875"/>
    <n v="0.73081361111111109"/>
    <n v="2.5887354761625003"/>
    <n v="9.4372420268569428"/>
    <n v="0"/>
    <n v="0"/>
    <n v="0"/>
    <n v="0"/>
    <n v="9.4372420268569428"/>
    <n v="62.806666666666665"/>
    <n v="12.108481690426325"/>
    <n v="21.998657016417809"/>
    <n v="235.31984072022155"/>
    <n v="0"/>
    <n v="332.23364609373232"/>
    <n v="2118.2084999148137"/>
    <n v="189.64880140242613"/>
    <n v="159.30499317803796"/>
    <n v="8.6609686609686695E-2"/>
    <n v="1.880341880341882E-2"/>
    <n v="0.03"/>
    <n v="3.4188034188034219E-2"/>
    <n v="0.1225"/>
    <n v="0.13960113960113973"/>
    <n v="344.41866789250349"/>
    <n v="693.37246247296753"/>
    <n v="2811.5809623877813"/>
    <n v="33738.971548653375"/>
    <d v="2025-01-01T00:00:00"/>
    <s v="-"/>
    <s v="-"/>
  </r>
  <r>
    <s v="2.114.06"/>
    <x v="91"/>
    <x v="1"/>
    <s v="Sind - Asseio"/>
    <s v="Limpeza"/>
    <x v="0"/>
    <n v="1"/>
    <n v="0"/>
    <n v="1649.12"/>
    <n v="0"/>
    <n v="0"/>
    <n v="0"/>
    <n v="0"/>
    <n v="0"/>
    <n v="0"/>
    <n v="53.971200000000003"/>
    <n v="1703.0911999999998"/>
    <n v="340.61824000000001"/>
    <n v="25.546367999999998"/>
    <n v="17.030911999999997"/>
    <n v="3.4061823999999996"/>
    <n v="42.577280000000002"/>
    <n v="136.24729599999998"/>
    <n v="68.123647999999989"/>
    <n v="10.2185472"/>
    <n v="643.76847359999999"/>
    <n v="141.92426666666665"/>
    <n v="189.23235555555553"/>
    <n v="125.17720319999999"/>
    <n v="456.33382542222216"/>
    <n v="157.05279999999999"/>
    <n v="582"/>
    <n v="0"/>
    <n v="77.25"/>
    <n v="0"/>
    <n v="0"/>
    <n v="3.36"/>
    <n v="0"/>
    <n v="819.66279999999995"/>
    <n v="1919.7650990222223"/>
    <n v="11.941678632098764"/>
    <n v="0.9553342905679012"/>
    <n v="0.38213371622716052"/>
    <n v="5.9608192000000004"/>
    <n v="2.2531896576000006"/>
    <n v="52.076744248888879"/>
    <n v="1.4192426666666667"/>
    <n v="74.989142412049375"/>
    <n v="14.38165902222222"/>
    <n v="3.4534904888888884"/>
    <n v="0.29094474666666664"/>
    <n v="0.35481066666666666"/>
    <n v="2.2077108148148143"/>
    <n v="7.8202967494400006"/>
    <n v="28.508912488699256"/>
    <n v="0"/>
    <n v="0"/>
    <n v="0"/>
    <n v="0"/>
    <n v="28.508912488699256"/>
    <n v="100.80916666666666"/>
    <n v="35.518212958583888"/>
    <n v="64.529393914825576"/>
    <n v="690.27153277931654"/>
    <n v="0"/>
    <n v="891.12830631939266"/>
    <n v="4617.4826602423636"/>
    <n v="189.64880140242613"/>
    <n v="159.30499317803796"/>
    <n v="8.7608069164265154E-2"/>
    <n v="1.9020172910662814E-2"/>
    <n v="0.04"/>
    <n v="4.6109510086455294E-2"/>
    <n v="0.13250000000000001"/>
    <n v="0.15273775216138324"/>
    <n v="758.56234036198794"/>
    <n v="1107.516134942452"/>
    <n v="5724.9987951848161"/>
    <n v="68699.985542217793"/>
    <d v="2025-01-01T00:00:00"/>
    <s v="-"/>
    <s v="-"/>
  </r>
  <r>
    <s v="2.301.05"/>
    <x v="92"/>
    <x v="3"/>
    <s v="Fethemg RM"/>
    <s v="Limpeza"/>
    <x v="0"/>
    <n v="1"/>
    <n v="0"/>
    <n v="1124.3900000000001"/>
    <n v="0"/>
    <n v="0"/>
    <n v="0"/>
    <n v="0"/>
    <n v="0"/>
    <n v="0"/>
    <n v="40.478000000000002"/>
    <n v="1164.8680000000002"/>
    <n v="232.97360000000003"/>
    <n v="17.473020000000002"/>
    <n v="11.648680000000002"/>
    <n v="2.3297360000000005"/>
    <n v="29.121700000000004"/>
    <n v="93.189440000000019"/>
    <n v="46.594720000000009"/>
    <n v="6.9892080000000014"/>
    <n v="440.32010400000001"/>
    <n v="97.072333333333347"/>
    <n v="129.42977777777779"/>
    <n v="85.617797999999993"/>
    <n v="312.11990911111116"/>
    <n v="188.53659999999999"/>
    <n v="582"/>
    <n v="0"/>
    <n v="0"/>
    <n v="15.07"/>
    <n v="0"/>
    <n v="3.36"/>
    <n v="0"/>
    <n v="788.96660000000008"/>
    <n v="1541.4066131111113"/>
    <n v="8.1677829729938285"/>
    <n v="0.65342263783950627"/>
    <n v="0.26136905513580255"/>
    <n v="4.0770380000000008"/>
    <n v="1.5411203640000006"/>
    <n v="35.619074844444441"/>
    <n v="0.97072333333333349"/>
    <n v="51.290531207746916"/>
    <n v="9.8366631111111111"/>
    <n v="2.3620934444444446"/>
    <n v="0.19899828333333336"/>
    <n v="0.24268083333333337"/>
    <n v="1.5100140740740742"/>
    <n v="5.3488700041000019"/>
    <n v="19.499319750396296"/>
    <n v="0"/>
    <n v="0"/>
    <n v="0"/>
    <n v="0"/>
    <n v="19.499319750396296"/>
    <n v="100.80916666666666"/>
    <n v="24.216963380852651"/>
    <n v="43.997314032835618"/>
    <n v="470.6396814404431"/>
    <n v="0"/>
    <n v="639.66312552079808"/>
    <n v="3416.727589590053"/>
    <n v="189.64880140242613"/>
    <n v="159.30499317803796"/>
    <n v="8.5633802816901458E-2"/>
    <n v="1.8591549295774657E-2"/>
    <n v="0.02"/>
    <n v="2.2535211267605645E-2"/>
    <n v="0.1125"/>
    <n v="0.12676056338028174"/>
    <n v="477.33989376809393"/>
    <n v="826.29368834855802"/>
    <n v="4243.0212779386111"/>
    <n v="50916.255335263333"/>
    <d v="2025-01-01T00:00:00"/>
    <s v="-"/>
    <s v="-"/>
  </r>
  <r>
    <s v="2.309.04"/>
    <x v="93"/>
    <x v="0"/>
    <s v="Seethur"/>
    <s v="Limpeza"/>
    <x v="0"/>
    <n v="1"/>
    <n v="0"/>
    <n v="798.14"/>
    <n v="0"/>
    <n v="0"/>
    <n v="0"/>
    <n v="0"/>
    <n v="0"/>
    <n v="0"/>
    <n v="26.120899999999999"/>
    <n v="824.26089999999999"/>
    <n v="164.85218"/>
    <n v="12.363913499999999"/>
    <n v="8.2426089999999999"/>
    <n v="1.6485217999999999"/>
    <n v="20.606522500000001"/>
    <n v="65.940871999999999"/>
    <n v="32.970435999999999"/>
    <n v="4.9455654000000004"/>
    <n v="311.57062020000001"/>
    <n v="68.688408333333328"/>
    <n v="91.584544444444433"/>
    <n v="60.583176149999993"/>
    <n v="220.85612892777775"/>
    <n v="208.11160000000001"/>
    <n v="582"/>
    <n v="0"/>
    <n v="51.86"/>
    <n v="0"/>
    <n v="0"/>
    <n v="3.36"/>
    <n v="0"/>
    <n v="845.33159999999998"/>
    <n v="1377.7583491277778"/>
    <n v="5.7795253576581791"/>
    <n v="0.46236202861265435"/>
    <n v="0.18494481144506175"/>
    <n v="2.8849131500000005"/>
    <n v="1.0904971707000004"/>
    <n v="25.204066631111107"/>
    <n v="0.6868840833333334"/>
    <n v="36.293193232860339"/>
    <n v="6.9604253777777769"/>
    <n v="1.671417936111111"/>
    <n v="0.14081123708333332"/>
    <n v="0.17172102083333335"/>
    <n v="1.0684863518518517"/>
    <n v="3.7848618071425006"/>
    <n v="13.797723730799909"/>
    <n v="0"/>
    <n v="0"/>
    <n v="0"/>
    <n v="0"/>
    <n v="13.797723730799909"/>
    <n v="62.806666666666665"/>
    <n v="17.759106479291944"/>
    <n v="32.264696957412788"/>
    <n v="345.13576638965827"/>
    <n v="0"/>
    <n v="457.96623649302967"/>
    <n v="2710.0764025844674"/>
    <n v="189.64880140242613"/>
    <n v="159.30499317803796"/>
    <n v="8.8629737609329504E-2"/>
    <n v="1.9241982507288629E-2"/>
    <n v="0.05"/>
    <n v="5.8309037900874633E-2"/>
    <n v="0.14250000000000002"/>
    <n v="0.16618075801749277"/>
    <n v="508.35195696326866"/>
    <n v="857.30575154373275"/>
    <n v="3567.3821541282"/>
    <n v="42808.585849538402"/>
    <d v="2025-01-01T00:00:00"/>
    <s v="-"/>
    <s v="-"/>
  </r>
  <r>
    <s v="2.312.03"/>
    <x v="94"/>
    <x v="2"/>
    <s v="Fethemg Interior"/>
    <s v="Limpeza"/>
    <x v="0"/>
    <n v="1"/>
    <n v="0"/>
    <n v="544.17999999999995"/>
    <n v="0"/>
    <n v="0"/>
    <n v="0"/>
    <n v="0"/>
    <n v="0"/>
    <n v="0"/>
    <n v="19.590499999999999"/>
    <n v="563.77049999999997"/>
    <n v="112.75409999999999"/>
    <n v="8.4565574999999988"/>
    <n v="5.6377049999999995"/>
    <n v="1.1275409999999999"/>
    <n v="14.094262499999999"/>
    <n v="45.101639999999996"/>
    <n v="22.550819999999998"/>
    <n v="3.3826229999999997"/>
    <n v="213.10524899999996"/>
    <n v="46.980874999999997"/>
    <n v="62.641166666666663"/>
    <n v="41.437131749999992"/>
    <n v="151.05917341666665"/>
    <n v="223.3492"/>
    <n v="582"/>
    <n v="0"/>
    <n v="0"/>
    <n v="15.07"/>
    <n v="0"/>
    <n v="3.36"/>
    <n v="0"/>
    <n v="823.77920000000006"/>
    <n v="1187.9436224166666"/>
    <n v="3.9530273735532404"/>
    <n v="0.31624218988425928"/>
    <n v="0.12649687595370371"/>
    <n v="1.9731967500000003"/>
    <n v="0.74586837150000018"/>
    <n v="17.238849066666663"/>
    <n v="0.46980875"/>
    <n v="24.823489377557866"/>
    <n v="4.7607286666666662"/>
    <n v="1.1432012916666665"/>
    <n v="9.6310793749999998E-2"/>
    <n v="0.1174521875"/>
    <n v="0.73081361111111109"/>
    <n v="2.5887354761625003"/>
    <n v="9.4372420268569428"/>
    <n v="0"/>
    <n v="0"/>
    <n v="0"/>
    <n v="0"/>
    <n v="9.4372420268569428"/>
    <n v="62.806666666666665"/>
    <n v="12.108481690426325"/>
    <n v="21.998657016417809"/>
    <n v="235.31984072022155"/>
    <n v="0"/>
    <n v="332.23364609373232"/>
    <n v="2118.2084999148137"/>
    <n v="189.64880140242613"/>
    <n v="159.30499317803796"/>
    <n v="8.8629737609329504E-2"/>
    <n v="1.9241982507288629E-2"/>
    <n v="0.05"/>
    <n v="5.8309037900874633E-2"/>
    <n v="0.14250000000000002"/>
    <n v="0.16618075801749277"/>
    <n v="409.99490025140199"/>
    <n v="758.94869483186608"/>
    <n v="2877.15719474668"/>
    <n v="34525.88633696016"/>
    <d v="2025-01-01T00:00:00"/>
    <s v="-"/>
    <s v="-"/>
  </r>
  <r>
    <s v="2.313.04"/>
    <x v="95"/>
    <x v="0"/>
    <s v="SECI"/>
    <s v="Limpeza"/>
    <x v="0"/>
    <n v="1"/>
    <n v="0"/>
    <n v="824.56"/>
    <n v="0"/>
    <n v="0"/>
    <n v="0"/>
    <n v="0"/>
    <n v="0"/>
    <n v="0"/>
    <n v="26.985600000000002"/>
    <n v="851.54559999999992"/>
    <n v="170.30912000000001"/>
    <n v="12.773183999999999"/>
    <n v="8.5154559999999986"/>
    <n v="1.7030911999999998"/>
    <n v="21.288640000000001"/>
    <n v="68.123647999999989"/>
    <n v="34.061823999999994"/>
    <n v="5.1092735999999999"/>
    <n v="321.8842368"/>
    <n v="70.962133333333327"/>
    <n v="94.616177777777764"/>
    <n v="62.588601599999997"/>
    <n v="228.16691271111108"/>
    <n v="206.5264"/>
    <n v="582"/>
    <n v="0"/>
    <n v="51.86"/>
    <n v="0"/>
    <n v="0"/>
    <n v="3.36"/>
    <n v="0"/>
    <n v="843.74639999999999"/>
    <n v="1393.7975495111111"/>
    <n v="5.970839316049382"/>
    <n v="0.4776671452839506"/>
    <n v="0.19106685811358026"/>
    <n v="2.9804096000000002"/>
    <n v="1.1265948288000003"/>
    <n v="26.038372124444439"/>
    <n v="0.70962133333333333"/>
    <n v="37.494571206024688"/>
    <n v="7.1908295111111098"/>
    <n v="1.7267452444444442"/>
    <n v="0.14547237333333332"/>
    <n v="0.17740533333333333"/>
    <n v="1.1038554074074072"/>
    <n v="3.9101483747200003"/>
    <n v="14.254456244349628"/>
    <n v="0"/>
    <n v="0"/>
    <n v="0"/>
    <n v="0"/>
    <n v="14.254456244349628"/>
    <n v="62.806666666666665"/>
    <n v="17.759106479291944"/>
    <n v="32.264696957412788"/>
    <n v="345.13576638965827"/>
    <n v="0"/>
    <n v="457.96623649302967"/>
    <n v="2755.0584134545147"/>
    <n v="189.64880140242613"/>
    <n v="159.30499317803796"/>
    <n v="8.6609686609686695E-2"/>
    <n v="1.880341880341882E-2"/>
    <n v="0.03"/>
    <n v="3.4188034188034219E-2"/>
    <n v="0.1225"/>
    <n v="0.13960113960113973"/>
    <n v="433.32364157753307"/>
    <n v="782.27743615799716"/>
    <n v="3537.335849612512"/>
    <n v="42448.030195350148"/>
    <d v="2025-01-01T00:00:00"/>
    <s v="-"/>
    <s v="-"/>
  </r>
  <r>
    <s v="2.313.05"/>
    <x v="95"/>
    <x v="3"/>
    <s v="SECI"/>
    <s v="Limpeza"/>
    <x v="0"/>
    <n v="1"/>
    <n v="0"/>
    <n v="1124.3900000000001"/>
    <n v="0"/>
    <n v="0"/>
    <n v="0"/>
    <n v="0"/>
    <n v="0"/>
    <n v="0"/>
    <n v="40.478000000000002"/>
    <n v="1164.8680000000002"/>
    <n v="232.97360000000003"/>
    <n v="17.473020000000002"/>
    <n v="11.648680000000002"/>
    <n v="2.3297360000000005"/>
    <n v="29.121700000000004"/>
    <n v="93.189440000000019"/>
    <n v="46.594720000000009"/>
    <n v="6.9892080000000014"/>
    <n v="440.32010400000001"/>
    <n v="97.072333333333347"/>
    <n v="129.42977777777779"/>
    <n v="85.617797999999993"/>
    <n v="312.11990911111116"/>
    <n v="188.53659999999999"/>
    <n v="582"/>
    <n v="0"/>
    <n v="51.86"/>
    <n v="0"/>
    <n v="0"/>
    <n v="3.36"/>
    <n v="0"/>
    <n v="825.75660000000005"/>
    <n v="1578.1966131111112"/>
    <n v="8.1677829729938285"/>
    <n v="0.65342263783950627"/>
    <n v="0.26136905513580255"/>
    <n v="4.0770380000000008"/>
    <n v="1.5411203640000006"/>
    <n v="35.619074844444441"/>
    <n v="0.97072333333333349"/>
    <n v="51.290531207746916"/>
    <n v="9.8366631111111111"/>
    <n v="2.3620934444444446"/>
    <n v="0.19899828333333336"/>
    <n v="0.24268083333333337"/>
    <n v="1.5100140740740742"/>
    <n v="5.3488700041000019"/>
    <n v="19.499319750396296"/>
    <n v="0"/>
    <n v="0"/>
    <n v="0"/>
    <n v="0"/>
    <n v="19.499319750396296"/>
    <n v="100.80916666666666"/>
    <n v="24.216963380852651"/>
    <n v="43.997314032835618"/>
    <n v="470.6396814404431"/>
    <n v="0"/>
    <n v="639.66312552079808"/>
    <n v="3453.5175895900529"/>
    <n v="189.64880140242613"/>
    <n v="159.30499317803796"/>
    <n v="8.6609686609686695E-2"/>
    <n v="1.880341880341882E-2"/>
    <n v="0.03"/>
    <n v="3.4188034188034219E-2"/>
    <n v="0.1225"/>
    <n v="0.13960113960113973"/>
    <n v="530.82933853092743"/>
    <n v="879.78313311139152"/>
    <n v="4333.3007227014441"/>
    <n v="51999.608672417329"/>
    <d v="2025-01-01T00:00:00"/>
    <s v="-"/>
    <s v="-"/>
  </r>
  <r>
    <s v="2.313.06"/>
    <x v="95"/>
    <x v="1"/>
    <s v="SECI"/>
    <s v="Limpeza"/>
    <x v="0"/>
    <n v="2"/>
    <n v="0"/>
    <n v="3298.24"/>
    <n v="0"/>
    <n v="0"/>
    <n v="0"/>
    <n v="0"/>
    <n v="0"/>
    <n v="0"/>
    <n v="107.94240000000001"/>
    <n v="3406.1823999999997"/>
    <n v="681.23648000000003"/>
    <n v="51.092735999999995"/>
    <n v="34.061823999999994"/>
    <n v="6.8123647999999992"/>
    <n v="85.154560000000004"/>
    <n v="272.49459199999995"/>
    <n v="136.24729599999998"/>
    <n v="20.437094399999999"/>
    <n v="1287.5369472"/>
    <n v="283.84853333333331"/>
    <n v="378.46471111111106"/>
    <n v="250.35440639999999"/>
    <n v="912.66765084444432"/>
    <n v="314.10559999999998"/>
    <n v="1164"/>
    <n v="0"/>
    <n v="103.72"/>
    <n v="0"/>
    <n v="0"/>
    <n v="6.72"/>
    <n v="0"/>
    <n v="1588.5455999999999"/>
    <n v="3788.7501980444445"/>
    <n v="23.883357264197528"/>
    <n v="1.9106685811358024"/>
    <n v="0.76426743245432105"/>
    <n v="11.921638400000001"/>
    <n v="4.5063793152000011"/>
    <n v="104.15348849777776"/>
    <n v="2.8384853333333333"/>
    <n v="149.97828482409875"/>
    <n v="28.763318044444439"/>
    <n v="6.9069809777777769"/>
    <n v="0.58188949333333329"/>
    <n v="0.70962133333333333"/>
    <n v="4.4154216296296287"/>
    <n v="15.640593498880001"/>
    <n v="57.017824977398512"/>
    <n v="0"/>
    <n v="0"/>
    <n v="0"/>
    <n v="0"/>
    <n v="57.017824977398512"/>
    <n v="201.61833333333331"/>
    <n v="71.036425917167776"/>
    <n v="129.05878782965115"/>
    <n v="1380.5430655586331"/>
    <n v="0"/>
    <n v="1782.2566126387853"/>
    <n v="9184.1853204847266"/>
    <n v="379.29760280485226"/>
    <n v="318.60998635607592"/>
    <n v="8.6609686609686695E-2"/>
    <n v="1.880341880341882E-2"/>
    <n v="0.03"/>
    <n v="3.4188034188034219E-2"/>
    <n v="0.1225"/>
    <n v="0.13960113960113973"/>
    <n v="1379.5514318308763"/>
    <n v="2077.4590209918042"/>
    <n v="11261.644341476531"/>
    <n v="135139.73209771837"/>
    <d v="2025-01-01T00:00:00"/>
    <s v="-"/>
    <s v="-"/>
  </r>
  <r>
    <s v="2.317.05"/>
    <x v="96"/>
    <x v="3"/>
    <s v="Itabira"/>
    <s v="Limpeza"/>
    <x v="0"/>
    <n v="1"/>
    <n v="0"/>
    <n v="1124.3900000000001"/>
    <n v="0"/>
    <n v="0"/>
    <n v="0"/>
    <n v="0"/>
    <n v="0"/>
    <n v="0"/>
    <n v="40.478000000000002"/>
    <n v="1164.8680000000002"/>
    <n v="232.97360000000003"/>
    <n v="17.473020000000002"/>
    <n v="11.648680000000002"/>
    <n v="2.3297360000000005"/>
    <n v="29.121700000000004"/>
    <n v="93.189440000000019"/>
    <n v="46.594720000000009"/>
    <n v="6.9892080000000014"/>
    <n v="440.32010400000001"/>
    <n v="97.072333333333347"/>
    <n v="129.42977777777779"/>
    <n v="85.617797999999993"/>
    <n v="312.11990911111116"/>
    <n v="188.53659999999999"/>
    <n v="582"/>
    <n v="0"/>
    <n v="51.88"/>
    <n v="0"/>
    <n v="0"/>
    <n v="3.36"/>
    <n v="0"/>
    <n v="825.77660000000003"/>
    <n v="1578.2166131111112"/>
    <n v="8.1677829729938285"/>
    <n v="0.65342263783950627"/>
    <n v="0.26136905513580255"/>
    <n v="4.0770380000000008"/>
    <n v="1.5411203640000006"/>
    <n v="35.619074844444441"/>
    <n v="0.97072333333333349"/>
    <n v="51.290531207746916"/>
    <n v="9.8366631111111111"/>
    <n v="2.3620934444444446"/>
    <n v="0.19899828333333336"/>
    <n v="0.24268083333333337"/>
    <n v="1.5100140740740742"/>
    <n v="5.3488700041000019"/>
    <n v="19.499319750396296"/>
    <n v="0"/>
    <n v="0"/>
    <n v="0"/>
    <n v="0"/>
    <n v="19.499319750396296"/>
    <n v="100.80916666666666"/>
    <n v="24.216963380852651"/>
    <n v="43.997314032835618"/>
    <n v="470.6396814404431"/>
    <n v="0"/>
    <n v="639.66312552079808"/>
    <n v="3453.5375895900524"/>
    <n v="189.64880140242613"/>
    <n v="159.30499317803796"/>
    <n v="8.6609686609686695E-2"/>
    <n v="1.880341880341882E-2"/>
    <n v="0.03"/>
    <n v="3.4188034188034219E-2"/>
    <n v="0.1225"/>
    <n v="0.13960113960113973"/>
    <n v="530.83213055371937"/>
    <n v="879.78592513418346"/>
    <n v="4333.3235147242358"/>
    <n v="51999.88217669083"/>
    <d v="2025-01-01T00:00:00"/>
    <s v="-"/>
    <s v="-"/>
  </r>
  <r>
    <s v="2.319.06"/>
    <x v="97"/>
    <x v="1"/>
    <s v="Fethemg Interior"/>
    <s v="Limpeza"/>
    <x v="0"/>
    <n v="1"/>
    <n v="0"/>
    <n v="1596.28"/>
    <n v="0"/>
    <n v="0"/>
    <n v="0"/>
    <n v="0"/>
    <n v="0"/>
    <n v="0"/>
    <n v="52.241900000000001"/>
    <n v="1648.5219"/>
    <n v="329.70438000000001"/>
    <n v="24.727828499999998"/>
    <n v="16.485219000000001"/>
    <n v="3.2970438"/>
    <n v="41.213047500000002"/>
    <n v="131.88175200000001"/>
    <n v="65.940876000000003"/>
    <n v="9.8911314000000008"/>
    <n v="623.14127819999999"/>
    <n v="137.376825"/>
    <n v="183.16909999999999"/>
    <n v="121.16635965"/>
    <n v="441.71228465000002"/>
    <n v="160.22320000000002"/>
    <n v="582"/>
    <n v="0"/>
    <n v="0"/>
    <n v="15.07"/>
    <n v="0"/>
    <n v="3.36"/>
    <n v="0"/>
    <n v="760.65320000000008"/>
    <n v="1825.5067628500001"/>
    <n v="11.559051416493055"/>
    <n v="0.92472411331944449"/>
    <n v="0.36988964532777785"/>
    <n v="5.7698266500000006"/>
    <n v="2.1809944737000007"/>
    <n v="50.40813631999999"/>
    <n v="1.3737682500000001"/>
    <n v="72.586390868840269"/>
    <n v="13.920851599999999"/>
    <n v="3.3428360749999997"/>
    <n v="0.28162249125"/>
    <n v="0.34344206250000003"/>
    <n v="2.1369728333333331"/>
    <n v="7.5697240734675013"/>
    <n v="27.595449135550833"/>
    <n v="0"/>
    <n v="0"/>
    <n v="0"/>
    <n v="0"/>
    <n v="27.595449135550833"/>
    <n v="100.80916666666666"/>
    <n v="35.518212958583888"/>
    <n v="64.529393914825576"/>
    <n v="690.27153277931654"/>
    <n v="0"/>
    <n v="891.12830631939266"/>
    <n v="4465.3388091737834"/>
    <n v="189.64880140242613"/>
    <n v="159.30499317803796"/>
    <n v="8.6609686609686695E-2"/>
    <n v="1.880341880341882E-2"/>
    <n v="0.03"/>
    <n v="3.4188034188034219E-2"/>
    <n v="0.1225"/>
    <n v="0.13960113960113973"/>
    <n v="672.08073385743126"/>
    <n v="1021.0345284378953"/>
    <n v="5486.3733376116788"/>
    <n v="65836.480051340142"/>
    <d v="2025-01-01T00:00:00"/>
    <s v="-"/>
    <s v="-"/>
  </r>
  <r>
    <s v="2.322.03"/>
    <x v="98"/>
    <x v="2"/>
    <s v="Fethemg Interior"/>
    <s v="Limpeza"/>
    <x v="0"/>
    <n v="1"/>
    <n v="0"/>
    <n v="544.17999999999995"/>
    <n v="0"/>
    <n v="0"/>
    <n v="0"/>
    <n v="0"/>
    <n v="0"/>
    <n v="0"/>
    <n v="19.590499999999999"/>
    <n v="563.77049999999997"/>
    <n v="112.75409999999999"/>
    <n v="8.4565574999999988"/>
    <n v="5.6377049999999995"/>
    <n v="1.1275409999999999"/>
    <n v="14.094262499999999"/>
    <n v="45.101639999999996"/>
    <n v="22.550819999999998"/>
    <n v="3.3826229999999997"/>
    <n v="213.10524899999996"/>
    <n v="46.980874999999997"/>
    <n v="62.641166666666663"/>
    <n v="41.437131749999992"/>
    <n v="151.05917341666665"/>
    <n v="223.3492"/>
    <n v="582"/>
    <n v="0"/>
    <n v="0"/>
    <n v="15.07"/>
    <n v="0"/>
    <n v="3.36"/>
    <n v="0"/>
    <n v="823.77920000000006"/>
    <n v="1187.9436224166666"/>
    <n v="3.9530273735532404"/>
    <n v="0.31624218988425928"/>
    <n v="0.12649687595370371"/>
    <n v="1.9731967500000003"/>
    <n v="0.74586837150000018"/>
    <n v="17.238849066666663"/>
    <n v="0.46980875"/>
    <n v="24.823489377557866"/>
    <n v="4.7607286666666662"/>
    <n v="1.1432012916666665"/>
    <n v="9.6310793749999998E-2"/>
    <n v="0.1174521875"/>
    <n v="0.73081361111111109"/>
    <n v="2.5887354761625003"/>
    <n v="9.4372420268569428"/>
    <n v="0"/>
    <n v="0"/>
    <n v="0"/>
    <n v="0"/>
    <n v="9.4372420268569428"/>
    <n v="62.806666666666665"/>
    <n v="12.108481690426325"/>
    <n v="21.998657016417809"/>
    <n v="235.31984072022155"/>
    <n v="0"/>
    <n v="332.23364609373232"/>
    <n v="2118.2084999148137"/>
    <n v="189.64880140242613"/>
    <n v="159.30499317803796"/>
    <n v="8.8629737609329504E-2"/>
    <n v="1.9241982507288629E-2"/>
    <n v="0.05"/>
    <n v="5.8309037900874633E-2"/>
    <n v="0.14250000000000002"/>
    <n v="0.16618075801749277"/>
    <n v="409.99490025140199"/>
    <n v="758.94869483186608"/>
    <n v="2877.15719474668"/>
    <n v="34525.88633696016"/>
    <d v="2025-01-01T00:00:00"/>
    <s v="-"/>
    <s v="-"/>
  </r>
  <r>
    <s v="2.324.04"/>
    <x v="99"/>
    <x v="0"/>
    <s v="Regiao de Sao Lourenco"/>
    <s v="Limpeza"/>
    <x v="0"/>
    <n v="1"/>
    <n v="0"/>
    <n v="798.14"/>
    <n v="0"/>
    <n v="0"/>
    <n v="0"/>
    <n v="0"/>
    <n v="0"/>
    <n v="0"/>
    <n v="26.120899999999999"/>
    <n v="824.26089999999999"/>
    <n v="164.85218"/>
    <n v="12.363913499999999"/>
    <n v="8.2426089999999999"/>
    <n v="1.6485217999999999"/>
    <n v="20.606522500000001"/>
    <n v="65.940871999999999"/>
    <n v="32.970435999999999"/>
    <n v="4.9455654000000004"/>
    <n v="311.57062020000001"/>
    <n v="68.688408333333328"/>
    <n v="91.584544444444433"/>
    <n v="60.583176149999993"/>
    <n v="220.85612892777775"/>
    <n v="208.11160000000001"/>
    <n v="582"/>
    <n v="0"/>
    <n v="53.27"/>
    <n v="0"/>
    <n v="0"/>
    <n v="3.36"/>
    <n v="0"/>
    <n v="846.74159999999995"/>
    <n v="1379.1683491277777"/>
    <n v="5.7795253576581791"/>
    <n v="0.46236202861265435"/>
    <n v="0.18494481144506175"/>
    <n v="2.8849131500000005"/>
    <n v="1.0904971707000004"/>
    <n v="25.204066631111107"/>
    <n v="0.6868840833333334"/>
    <n v="36.293193232860339"/>
    <n v="6.9604253777777769"/>
    <n v="1.671417936111111"/>
    <n v="0.14081123708333332"/>
    <n v="0.17172102083333335"/>
    <n v="1.0684863518518517"/>
    <n v="3.7848618071425006"/>
    <n v="13.797723730799909"/>
    <n v="0"/>
    <n v="0"/>
    <n v="0"/>
    <n v="0"/>
    <n v="13.797723730799909"/>
    <n v="62.806666666666665"/>
    <n v="17.759106479291944"/>
    <n v="32.264696957412788"/>
    <n v="345.13576638965827"/>
    <n v="0"/>
    <n v="457.96623649302967"/>
    <n v="2711.4864025844672"/>
    <n v="189.64880140242613"/>
    <n v="159.30499317803796"/>
    <n v="8.5633802816901458E-2"/>
    <n v="1.8591549295774657E-2"/>
    <n v="0.02"/>
    <n v="2.2535211267605645E-2"/>
    <n v="0.1125"/>
    <n v="0.12676056338028174"/>
    <n v="387.94312358428721"/>
    <n v="736.89691816475124"/>
    <n v="3448.3833207492185"/>
    <n v="41380.59984899062"/>
    <d v="2025-01-01T00:00:00"/>
    <s v="-"/>
    <s v="-"/>
  </r>
  <r>
    <s v="2.324.06"/>
    <x v="99"/>
    <x v="1"/>
    <s v="Regiao de Sao Lourenco"/>
    <s v="Limpeza"/>
    <x v="0"/>
    <n v="1"/>
    <n v="0"/>
    <n v="1596.28"/>
    <n v="0"/>
    <n v="0"/>
    <n v="0"/>
    <n v="0"/>
    <n v="0"/>
    <n v="0"/>
    <n v="52.241900000000001"/>
    <n v="1648.5219"/>
    <n v="329.70438000000001"/>
    <n v="24.727828499999998"/>
    <n v="16.485219000000001"/>
    <n v="3.2970438"/>
    <n v="41.213047500000002"/>
    <n v="131.88175200000001"/>
    <n v="65.940876000000003"/>
    <n v="9.8911314000000008"/>
    <n v="623.14127819999999"/>
    <n v="137.376825"/>
    <n v="183.16909999999999"/>
    <n v="121.16635965"/>
    <n v="441.71228465000002"/>
    <n v="160.22320000000002"/>
    <n v="582"/>
    <n v="0"/>
    <n v="53.27"/>
    <n v="0"/>
    <n v="0"/>
    <n v="3.36"/>
    <n v="0"/>
    <n v="798.85320000000002"/>
    <n v="1863.7067628499999"/>
    <n v="11.559051416493055"/>
    <n v="0.92472411331944449"/>
    <n v="0.36988964532777785"/>
    <n v="5.7698266500000006"/>
    <n v="2.1809944737000007"/>
    <n v="50.40813631999999"/>
    <n v="1.3737682500000001"/>
    <n v="72.586390868840269"/>
    <n v="13.920851599999999"/>
    <n v="3.3428360749999997"/>
    <n v="0.28162249125"/>
    <n v="0.34344206250000003"/>
    <n v="2.1369728333333331"/>
    <n v="7.5697240734675013"/>
    <n v="27.595449135550833"/>
    <n v="0"/>
    <n v="0"/>
    <n v="0"/>
    <n v="0"/>
    <n v="27.595449135550833"/>
    <n v="100.80916666666666"/>
    <n v="35.518212958583888"/>
    <n v="64.529393914825576"/>
    <n v="690.27153277931654"/>
    <n v="0"/>
    <n v="891.12830631939266"/>
    <n v="4503.5388091737832"/>
    <n v="189.64880140242613"/>
    <n v="159.30499317803796"/>
    <n v="8.5633802816901458E-2"/>
    <n v="1.8591549295774657E-2"/>
    <n v="0.02"/>
    <n v="2.2535211267605645E-2"/>
    <n v="0.1125"/>
    <n v="0.12676056338028174"/>
    <n v="615.10469625053861"/>
    <n v="964.0584908310027"/>
    <n v="5467.5973000047861"/>
    <n v="65611.167600057437"/>
    <d v="2025-01-01T00:00:00"/>
    <s v="-"/>
    <s v="-"/>
  </r>
  <r>
    <s v="2.325.03"/>
    <x v="100"/>
    <x v="2"/>
    <s v="Fethemg Interior"/>
    <s v="Limpeza"/>
    <x v="0"/>
    <n v="1"/>
    <n v="0"/>
    <n v="544.17999999999995"/>
    <n v="0"/>
    <n v="0"/>
    <n v="0"/>
    <n v="0"/>
    <n v="0"/>
    <n v="0"/>
    <n v="19.590499999999999"/>
    <n v="563.77049999999997"/>
    <n v="112.75409999999999"/>
    <n v="8.4565574999999988"/>
    <n v="5.6377049999999995"/>
    <n v="1.1275409999999999"/>
    <n v="14.094262499999999"/>
    <n v="45.101639999999996"/>
    <n v="22.550819999999998"/>
    <n v="3.3826229999999997"/>
    <n v="213.10524899999996"/>
    <n v="46.980874999999997"/>
    <n v="62.641166666666663"/>
    <n v="41.437131749999992"/>
    <n v="151.05917341666665"/>
    <n v="223.3492"/>
    <n v="582"/>
    <n v="0"/>
    <n v="0"/>
    <n v="15.07"/>
    <n v="0"/>
    <n v="3.36"/>
    <n v="0"/>
    <n v="823.77920000000006"/>
    <n v="1187.9436224166666"/>
    <n v="3.9530273735532404"/>
    <n v="0.31624218988425928"/>
    <n v="0.12649687595370371"/>
    <n v="1.9731967500000003"/>
    <n v="0.74586837150000018"/>
    <n v="17.238849066666663"/>
    <n v="0.46980875"/>
    <n v="24.823489377557866"/>
    <n v="4.7607286666666662"/>
    <n v="1.1432012916666665"/>
    <n v="9.6310793749999998E-2"/>
    <n v="0.1174521875"/>
    <n v="0.73081361111111109"/>
    <n v="2.5887354761625003"/>
    <n v="9.4372420268569428"/>
    <n v="0"/>
    <n v="0"/>
    <n v="0"/>
    <n v="0"/>
    <n v="9.4372420268569428"/>
    <n v="62.806666666666665"/>
    <n v="12.108481690426325"/>
    <n v="21.998657016417809"/>
    <n v="235.31984072022155"/>
    <n v="0"/>
    <n v="332.23364609373232"/>
    <n v="2118.2084999148137"/>
    <n v="189.64880140242613"/>
    <n v="159.30499317803796"/>
    <n v="8.8629737609329504E-2"/>
    <n v="1.9241982507288629E-2"/>
    <n v="0.05"/>
    <n v="5.8309037900874633E-2"/>
    <n v="0.14250000000000002"/>
    <n v="0.16618075801749277"/>
    <n v="409.99490025140199"/>
    <n v="758.94869483186608"/>
    <n v="2877.15719474668"/>
    <n v="34525.88633696016"/>
    <d v="2025-01-01T00:00:00"/>
    <s v="-"/>
    <s v="-"/>
  </r>
  <r>
    <s v="2.327.03"/>
    <x v="101"/>
    <x v="2"/>
    <s v="Regiao de Teofilo Otoni"/>
    <s v="Limpeza"/>
    <x v="0"/>
    <n v="1"/>
    <n v="0"/>
    <n v="544.17999999999995"/>
    <n v="0"/>
    <n v="0"/>
    <n v="0"/>
    <n v="0"/>
    <n v="0"/>
    <n v="0"/>
    <n v="19.590499999999999"/>
    <n v="563.77049999999997"/>
    <n v="112.75409999999999"/>
    <n v="8.4565574999999988"/>
    <n v="5.6377049999999995"/>
    <n v="1.1275409999999999"/>
    <n v="14.094262499999999"/>
    <n v="45.101639999999996"/>
    <n v="22.550819999999998"/>
    <n v="3.3826229999999997"/>
    <n v="213.10524899999996"/>
    <n v="46.980874999999997"/>
    <n v="62.641166666666663"/>
    <n v="41.437131749999992"/>
    <n v="151.05917341666665"/>
    <n v="223.3492"/>
    <n v="582"/>
    <n v="0"/>
    <n v="0"/>
    <n v="15.07"/>
    <n v="0"/>
    <n v="3.36"/>
    <n v="0"/>
    <n v="823.77920000000006"/>
    <n v="1187.9436224166666"/>
    <n v="3.9530273735532404"/>
    <n v="0.31624218988425928"/>
    <n v="0.12649687595370371"/>
    <n v="1.9731967500000003"/>
    <n v="0.74586837150000018"/>
    <n v="17.238849066666663"/>
    <n v="0.46980875"/>
    <n v="24.823489377557866"/>
    <n v="4.7607286666666662"/>
    <n v="1.1432012916666665"/>
    <n v="9.6310793749999998E-2"/>
    <n v="0.1174521875"/>
    <n v="0.73081361111111109"/>
    <n v="2.5887354761625003"/>
    <n v="9.4372420268569428"/>
    <n v="0"/>
    <n v="0"/>
    <n v="0"/>
    <n v="0"/>
    <n v="9.4372420268569428"/>
    <n v="62.806666666666665"/>
    <n v="12.108481690426325"/>
    <n v="21.998657016417809"/>
    <n v="235.31984072022155"/>
    <n v="0"/>
    <n v="332.23364609373232"/>
    <n v="2118.2084999148137"/>
    <n v="189.64880140242613"/>
    <n v="159.30499317803796"/>
    <n v="8.6609686609686695E-2"/>
    <n v="1.880341880341882E-2"/>
    <n v="0.03"/>
    <n v="3.4188034188034219E-2"/>
    <n v="0.1225"/>
    <n v="0.13960113960113973"/>
    <n v="344.41866789250349"/>
    <n v="693.37246247296753"/>
    <n v="2811.5809623877813"/>
    <n v="33738.971548653375"/>
    <d v="2025-01-01T00:00:00"/>
    <s v="-"/>
    <s v="-"/>
  </r>
  <r>
    <s v="2.330.03"/>
    <x v="102"/>
    <x v="2"/>
    <s v="Regiao de Sao Lourenco"/>
    <s v="Limpeza"/>
    <x v="0"/>
    <n v="1"/>
    <n v="0"/>
    <n v="544.17999999999995"/>
    <n v="0"/>
    <n v="0"/>
    <n v="0"/>
    <n v="0"/>
    <n v="0"/>
    <n v="0"/>
    <n v="19.590499999999999"/>
    <n v="563.77049999999997"/>
    <n v="112.75409999999999"/>
    <n v="8.4565574999999988"/>
    <n v="5.6377049999999995"/>
    <n v="1.1275409999999999"/>
    <n v="14.094262499999999"/>
    <n v="45.101639999999996"/>
    <n v="22.550819999999998"/>
    <n v="3.3826229999999997"/>
    <n v="213.10524899999996"/>
    <n v="46.980874999999997"/>
    <n v="62.641166666666663"/>
    <n v="41.437131749999992"/>
    <n v="151.05917341666665"/>
    <n v="223.3492"/>
    <n v="582"/>
    <n v="0"/>
    <n v="0"/>
    <n v="0"/>
    <n v="0"/>
    <n v="3.36"/>
    <n v="0"/>
    <n v="808.70920000000001"/>
    <n v="1172.8736224166666"/>
    <n v="3.9530273735532404"/>
    <n v="0.31624218988425928"/>
    <n v="0.12649687595370371"/>
    <n v="1.9731967500000003"/>
    <n v="0.74586837150000018"/>
    <n v="17.238849066666663"/>
    <n v="0.46980875"/>
    <n v="24.823489377557866"/>
    <n v="4.7607286666666662"/>
    <n v="1.1432012916666665"/>
    <n v="9.6310793749999998E-2"/>
    <n v="0.1174521875"/>
    <n v="0.73081361111111109"/>
    <n v="2.5887354761625003"/>
    <n v="9.4372420268569428"/>
    <n v="0"/>
    <n v="0"/>
    <n v="0"/>
    <n v="0"/>
    <n v="9.4372420268569428"/>
    <n v="62.806666666666665"/>
    <n v="12.108481690426325"/>
    <n v="21.998657016417809"/>
    <n v="235.31984072022155"/>
    <n v="0"/>
    <n v="332.23364609373232"/>
    <n v="2103.1384999148136"/>
    <n v="189.64880140242613"/>
    <n v="159.30499317803796"/>
    <n v="8.6609686609686695E-2"/>
    <n v="1.880341880341882E-2"/>
    <n v="0.03"/>
    <n v="3.4188034188034219E-2"/>
    <n v="0.1225"/>
    <n v="0.13960113960113973"/>
    <n v="342.31487871871428"/>
    <n v="691.26867329917832"/>
    <n v="2794.4071732139919"/>
    <n v="33532.886078567899"/>
    <d v="2025-01-01T00:00:00"/>
    <s v="-"/>
    <s v="-"/>
  </r>
  <r>
    <s v="2.334.03"/>
    <x v="103"/>
    <x v="2"/>
    <s v="Alto Paranaiba"/>
    <s v="Limpeza"/>
    <x v="0"/>
    <n v="1"/>
    <n v="0"/>
    <n v="544.17999999999995"/>
    <n v="0"/>
    <n v="0"/>
    <n v="0"/>
    <n v="0"/>
    <n v="0"/>
    <n v="0"/>
    <n v="19.590499999999999"/>
    <n v="563.77049999999997"/>
    <n v="112.75409999999999"/>
    <n v="8.4565574999999988"/>
    <n v="5.6377049999999995"/>
    <n v="1.1275409999999999"/>
    <n v="14.094262499999999"/>
    <n v="45.101639999999996"/>
    <n v="22.550819999999998"/>
    <n v="3.3826229999999997"/>
    <n v="213.10524899999996"/>
    <n v="46.980874999999997"/>
    <n v="62.641166666666663"/>
    <n v="41.437131749999992"/>
    <n v="151.05917341666665"/>
    <n v="223.3492"/>
    <n v="0"/>
    <n v="387.79"/>
    <n v="42.97"/>
    <n v="0"/>
    <n v="0"/>
    <n v="3.36"/>
    <n v="0"/>
    <n v="657.46920000000011"/>
    <n v="1021.6336224166668"/>
    <n v="3.9530273735532404"/>
    <n v="0.31624218988425928"/>
    <n v="0.12649687595370371"/>
    <n v="1.9731967500000003"/>
    <n v="0.74586837150000018"/>
    <n v="17.238849066666663"/>
    <n v="0.46980875"/>
    <n v="24.823489377557866"/>
    <n v="4.7607286666666662"/>
    <n v="1.1432012916666665"/>
    <n v="9.6310793749999998E-2"/>
    <n v="0.1174521875"/>
    <n v="0.73081361111111109"/>
    <n v="2.5887354761625003"/>
    <n v="9.4372420268569428"/>
    <n v="0"/>
    <n v="0"/>
    <n v="0"/>
    <n v="0"/>
    <n v="9.4372420268569428"/>
    <n v="62.806666666666665"/>
    <n v="12.108481690426325"/>
    <n v="21.998657016417809"/>
    <n v="235.31984072022155"/>
    <n v="0"/>
    <n v="332.23364609373232"/>
    <n v="1951.8984999148138"/>
    <n v="189.64880140242613"/>
    <n v="159.30499317803796"/>
    <n v="8.8629737609329504E-2"/>
    <n v="1.9241982507288629E-2"/>
    <n v="0.05"/>
    <n v="5.8309037900874633E-2"/>
    <n v="0.14250000000000002"/>
    <n v="0.16618075801749277"/>
    <n v="382.35737838551279"/>
    <n v="731.31117296597688"/>
    <n v="2683.2096728807905"/>
    <n v="32198.516074569488"/>
    <d v="2025-01-01T00:00:00"/>
    <s v="-"/>
    <s v="-"/>
  </r>
  <r>
    <s v="2.334.04"/>
    <x v="103"/>
    <x v="0"/>
    <s v="Alto Paranaiba"/>
    <s v="Limpeza"/>
    <x v="0"/>
    <n v="1"/>
    <n v="0"/>
    <n v="798.14"/>
    <n v="0"/>
    <n v="0"/>
    <n v="0"/>
    <n v="0"/>
    <n v="0"/>
    <n v="0"/>
    <n v="26.120899999999999"/>
    <n v="824.26089999999999"/>
    <n v="164.85218"/>
    <n v="12.363913499999999"/>
    <n v="8.2426089999999999"/>
    <n v="1.6485217999999999"/>
    <n v="20.606522500000001"/>
    <n v="65.940871999999999"/>
    <n v="32.970435999999999"/>
    <n v="4.9455654000000004"/>
    <n v="311.57062020000001"/>
    <n v="68.688408333333328"/>
    <n v="91.584544444444433"/>
    <n v="60.583176149999993"/>
    <n v="220.85612892777775"/>
    <n v="208.11160000000001"/>
    <n v="0"/>
    <n v="387.79"/>
    <n v="42.97"/>
    <n v="0"/>
    <n v="0"/>
    <n v="3.36"/>
    <n v="0"/>
    <n v="642.23160000000007"/>
    <n v="1174.6583491277779"/>
    <n v="5.7795253576581791"/>
    <n v="0.46236202861265435"/>
    <n v="0.18494481144506175"/>
    <n v="2.8849131500000005"/>
    <n v="1.0904971707000004"/>
    <n v="25.204066631111107"/>
    <n v="0.6868840833333334"/>
    <n v="36.293193232860339"/>
    <n v="6.9604253777777769"/>
    <n v="1.671417936111111"/>
    <n v="0.14081123708333332"/>
    <n v="0.17172102083333335"/>
    <n v="1.0684863518518517"/>
    <n v="3.7848618071425006"/>
    <n v="13.797723730799909"/>
    <n v="0"/>
    <n v="0"/>
    <n v="0"/>
    <n v="0"/>
    <n v="13.797723730799909"/>
    <n v="62.806666666666665"/>
    <n v="17.759106479291944"/>
    <n v="32.264696957412788"/>
    <n v="345.13576638965827"/>
    <n v="0"/>
    <n v="457.96623649302967"/>
    <n v="2506.9764025844679"/>
    <n v="189.64880140242613"/>
    <n v="159.30499317803796"/>
    <n v="8.8629737609329504E-2"/>
    <n v="1.9241982507288629E-2"/>
    <n v="0.05"/>
    <n v="5.8309037900874633E-2"/>
    <n v="0.14250000000000002"/>
    <n v="0.16618075801749277"/>
    <n v="474.60064500991598"/>
    <n v="823.55443959038007"/>
    <n v="3330.5308421748477"/>
    <n v="39966.370106098169"/>
    <d v="2025-01-01T00:00:00"/>
    <s v="-"/>
    <s v="-"/>
  </r>
  <r>
    <s v="2.335.03"/>
    <x v="104"/>
    <x v="2"/>
    <s v="Regiao de Divinopolis"/>
    <s v="Limpeza"/>
    <x v="0"/>
    <n v="1"/>
    <n v="0"/>
    <n v="544.17999999999995"/>
    <n v="0"/>
    <n v="0"/>
    <n v="0"/>
    <n v="0"/>
    <n v="0"/>
    <n v="0"/>
    <n v="19.590499999999999"/>
    <n v="563.77049999999997"/>
    <n v="112.75409999999999"/>
    <n v="8.4565574999999988"/>
    <n v="5.6377049999999995"/>
    <n v="1.1275409999999999"/>
    <n v="14.094262499999999"/>
    <n v="45.101639999999996"/>
    <n v="22.550819999999998"/>
    <n v="3.3826229999999997"/>
    <n v="213.10524899999996"/>
    <n v="46.980874999999997"/>
    <n v="62.641166666666663"/>
    <n v="41.437131749999992"/>
    <n v="151.05917341666665"/>
    <n v="223.3492"/>
    <n v="582"/>
    <n v="0"/>
    <n v="0"/>
    <n v="0"/>
    <n v="0"/>
    <n v="3.36"/>
    <n v="0"/>
    <n v="808.70920000000001"/>
    <n v="1172.8736224166666"/>
    <n v="3.9530273735532404"/>
    <n v="0.31624218988425928"/>
    <n v="0.12649687595370371"/>
    <n v="1.9731967500000003"/>
    <n v="0.74586837150000018"/>
    <n v="17.238849066666663"/>
    <n v="0.46980875"/>
    <n v="24.823489377557866"/>
    <n v="4.7607286666666662"/>
    <n v="1.1432012916666665"/>
    <n v="9.6310793749999998E-2"/>
    <n v="0.1174521875"/>
    <n v="0.73081361111111109"/>
    <n v="2.5887354761625003"/>
    <n v="9.4372420268569428"/>
    <n v="0"/>
    <n v="0"/>
    <n v="0"/>
    <n v="0"/>
    <n v="9.4372420268569428"/>
    <n v="62.806666666666665"/>
    <n v="12.108481690426325"/>
    <n v="21.998657016417809"/>
    <n v="235.31984072022155"/>
    <n v="0"/>
    <n v="332.23364609373232"/>
    <n v="2103.1384999148136"/>
    <n v="189.64880140242613"/>
    <n v="159.30499317803796"/>
    <n v="8.6609686609686695E-2"/>
    <n v="1.880341880341882E-2"/>
    <n v="0.03"/>
    <n v="3.4188034188034219E-2"/>
    <n v="0.1225"/>
    <n v="0.13960113960113973"/>
    <n v="342.31487871871428"/>
    <n v="691.26867329917832"/>
    <n v="2794.4071732139919"/>
    <n v="33532.886078567899"/>
    <d v="2025-01-01T00:00:00"/>
    <s v="-"/>
    <s v="-"/>
  </r>
  <r>
    <s v="2.338.06"/>
    <x v="105"/>
    <x v="1"/>
    <s v="Fethemg Interior"/>
    <s v="Limpeza"/>
    <x v="0"/>
    <n v="2"/>
    <n v="0"/>
    <n v="3192.56"/>
    <n v="0"/>
    <n v="0"/>
    <n v="0"/>
    <n v="0"/>
    <n v="0"/>
    <n v="0"/>
    <n v="104.4838"/>
    <n v="3297.0437999999999"/>
    <n v="659.40876000000003"/>
    <n v="49.455656999999995"/>
    <n v="32.970438000000001"/>
    <n v="6.5940875999999999"/>
    <n v="82.426095000000004"/>
    <n v="263.76350400000001"/>
    <n v="131.88175200000001"/>
    <n v="19.782262800000002"/>
    <n v="1246.2825564"/>
    <n v="274.75364999999999"/>
    <n v="366.33819999999997"/>
    <n v="242.33271930000001"/>
    <n v="883.42456930000003"/>
    <n v="320.44640000000004"/>
    <n v="1164"/>
    <n v="0"/>
    <n v="0"/>
    <n v="30.14"/>
    <n v="0"/>
    <n v="6.72"/>
    <n v="0"/>
    <n v="1521.3064000000002"/>
    <n v="3651.0135257000002"/>
    <n v="23.118102832986111"/>
    <n v="1.849448226638889"/>
    <n v="0.7397792906555557"/>
    <n v="11.539653300000001"/>
    <n v="4.3619889474000013"/>
    <n v="100.81627263999998"/>
    <n v="2.7475365000000003"/>
    <n v="145.17278173768054"/>
    <n v="27.841703199999998"/>
    <n v="6.6856721499999994"/>
    <n v="0.56324498249999999"/>
    <n v="0.68688412500000007"/>
    <n v="4.2739456666666662"/>
    <n v="15.139448146935003"/>
    <n v="55.190898271101666"/>
    <n v="0"/>
    <n v="0"/>
    <n v="0"/>
    <n v="0"/>
    <n v="55.190898271101666"/>
    <n v="201.61833333333331"/>
    <n v="71.036425917167776"/>
    <n v="129.05878782965115"/>
    <n v="1380.5430655586331"/>
    <n v="0"/>
    <n v="1782.2566126387853"/>
    <n v="8930.6776183475667"/>
    <n v="379.29760280485226"/>
    <n v="318.60998635607592"/>
    <n v="8.5633802816901458E-2"/>
    <n v="1.8591549295774657E-2"/>
    <n v="0.02"/>
    <n v="2.2535211267605645E-2"/>
    <n v="0.1125"/>
    <n v="0.12676056338028174"/>
    <n v="1220.5248854588237"/>
    <n v="1918.4324746197519"/>
    <n v="10849.110092967319"/>
    <n v="130189.32111560783"/>
    <d v="2025-01-01T00:00:00"/>
    <s v="-"/>
    <s v="-"/>
  </r>
  <r>
    <s v="2.342.05"/>
    <x v="106"/>
    <x v="3"/>
    <s v="Alto Paranaiba"/>
    <s v="Limpeza"/>
    <x v="0"/>
    <n v="1"/>
    <n v="0"/>
    <n v="1088.3699999999999"/>
    <n v="0"/>
    <n v="0"/>
    <n v="0"/>
    <n v="0"/>
    <n v="0"/>
    <n v="0"/>
    <n v="39.1813"/>
    <n v="1127.5512999999999"/>
    <n v="225.51025999999999"/>
    <n v="16.913269499999998"/>
    <n v="11.275512999999998"/>
    <n v="2.2551025999999998"/>
    <n v="28.188782499999999"/>
    <n v="90.204103999999987"/>
    <n v="45.102051999999993"/>
    <n v="6.7653077999999995"/>
    <n v="426.21439139999995"/>
    <n v="93.962608333333321"/>
    <n v="125.28347777777776"/>
    <n v="82.875020549999988"/>
    <n v="302.12110666111107"/>
    <n v="190.69780000000003"/>
    <n v="0"/>
    <n v="387.79"/>
    <n v="42.97"/>
    <n v="0"/>
    <n v="0"/>
    <n v="3.36"/>
    <n v="0"/>
    <n v="624.81780000000015"/>
    <n v="1353.1532980611112"/>
    <n v="7.9061269683063262"/>
    <n v="0.6324901574645061"/>
    <n v="0.25299606298580246"/>
    <n v="3.94642955"/>
    <n v="1.4917503699000003"/>
    <n v="34.478013084444434"/>
    <n v="0.93962608333333331"/>
    <n v="49.647432276434401"/>
    <n v="9.5215443111111089"/>
    <n v="2.2864234694444439"/>
    <n v="0.19262334708333331"/>
    <n v="0.23490652083333333"/>
    <n v="1.4616405740740739"/>
    <n v="5.1775182481225004"/>
    <n v="18.874656470668793"/>
    <n v="0"/>
    <n v="0"/>
    <n v="0"/>
    <n v="0"/>
    <n v="18.874656470668793"/>
    <n v="100.80916666666666"/>
    <n v="24.216963380852651"/>
    <n v="43.997314032835618"/>
    <n v="470.6396814404431"/>
    <n v="0"/>
    <n v="639.66312552079808"/>
    <n v="3188.8898123290123"/>
    <n v="189.64880140242613"/>
    <n v="159.30499317803796"/>
    <n v="8.7608069164265154E-2"/>
    <n v="1.9020172910662814E-2"/>
    <n v="0.04"/>
    <n v="4.6109510086455294E-2"/>
    <n v="0.13250000000000001"/>
    <n v="0.15273775216138324"/>
    <n v="540.36228001787379"/>
    <n v="889.31607459833788"/>
    <n v="4078.2058869273501"/>
    <n v="48938.470643128203"/>
    <d v="2025-01-01T00:00:00"/>
    <s v="-"/>
    <s v="-"/>
  </r>
  <r>
    <s v="2.344.04"/>
    <x v="107"/>
    <x v="0"/>
    <s v="Alto Paranaiba"/>
    <s v="Limpeza"/>
    <x v="0"/>
    <n v="1"/>
    <n v="0"/>
    <n v="798.14"/>
    <n v="0"/>
    <n v="0"/>
    <n v="0"/>
    <n v="0"/>
    <n v="0"/>
    <n v="0"/>
    <n v="26.120899999999999"/>
    <n v="824.26089999999999"/>
    <n v="164.85218"/>
    <n v="12.363913499999999"/>
    <n v="8.2426089999999999"/>
    <n v="1.6485217999999999"/>
    <n v="20.606522500000001"/>
    <n v="65.940871999999999"/>
    <n v="32.970435999999999"/>
    <n v="4.9455654000000004"/>
    <n v="311.57062020000001"/>
    <n v="68.688408333333328"/>
    <n v="91.584544444444433"/>
    <n v="60.583176149999993"/>
    <n v="220.85612892777775"/>
    <n v="208.11160000000001"/>
    <n v="0"/>
    <n v="387.79"/>
    <n v="42.97"/>
    <n v="0"/>
    <n v="0"/>
    <n v="3.36"/>
    <n v="0"/>
    <n v="642.23160000000007"/>
    <n v="1174.6583491277779"/>
    <n v="5.7795253576581791"/>
    <n v="0.46236202861265435"/>
    <n v="0.18494481144506175"/>
    <n v="2.8849131500000005"/>
    <n v="1.0904971707000004"/>
    <n v="25.204066631111107"/>
    <n v="0.6868840833333334"/>
    <n v="36.293193232860339"/>
    <n v="6.9604253777777769"/>
    <n v="1.671417936111111"/>
    <n v="0.14081123708333332"/>
    <n v="0.17172102083333335"/>
    <n v="1.0684863518518517"/>
    <n v="3.7848618071425006"/>
    <n v="13.797723730799909"/>
    <n v="0"/>
    <n v="0"/>
    <n v="0"/>
    <n v="0"/>
    <n v="13.797723730799909"/>
    <n v="62.806666666666665"/>
    <n v="17.759106479291944"/>
    <n v="32.264696957412788"/>
    <n v="345.13576638965827"/>
    <n v="0"/>
    <n v="457.96623649302967"/>
    <n v="2506.9764025844679"/>
    <n v="189.64880140242613"/>
    <n v="159.30499317803796"/>
    <n v="8.6609686609686695E-2"/>
    <n v="1.880341880341882E-2"/>
    <n v="0.03"/>
    <n v="3.4188034188034219E-2"/>
    <n v="0.1225"/>
    <n v="0.13960113960113973"/>
    <n v="398.69111014553221"/>
    <n v="747.6449047259963"/>
    <n v="3254.6213073104641"/>
    <n v="39055.455687725567"/>
    <d v="2025-01-01T00:00:00"/>
    <s v="-"/>
    <s v="-"/>
  </r>
  <r>
    <s v="2.346.03"/>
    <x v="108"/>
    <x v="2"/>
    <s v="Fethemg Interior"/>
    <s v="Limpeza"/>
    <x v="0"/>
    <n v="1"/>
    <n v="0"/>
    <n v="544.17999999999995"/>
    <n v="0"/>
    <n v="0"/>
    <n v="0"/>
    <n v="0"/>
    <n v="0"/>
    <n v="0"/>
    <n v="19.590499999999999"/>
    <n v="563.77049999999997"/>
    <n v="112.75409999999999"/>
    <n v="8.4565574999999988"/>
    <n v="5.6377049999999995"/>
    <n v="1.1275409999999999"/>
    <n v="14.094262499999999"/>
    <n v="45.101639999999996"/>
    <n v="22.550819999999998"/>
    <n v="3.3826229999999997"/>
    <n v="213.10524899999996"/>
    <n v="46.980874999999997"/>
    <n v="62.641166666666663"/>
    <n v="41.437131749999992"/>
    <n v="151.05917341666665"/>
    <n v="223.3492"/>
    <n v="582"/>
    <n v="0"/>
    <n v="0"/>
    <n v="15.07"/>
    <n v="0"/>
    <n v="3.36"/>
    <n v="0"/>
    <n v="823.77920000000006"/>
    <n v="1187.9436224166666"/>
    <n v="3.9530273735532404"/>
    <n v="0.31624218988425928"/>
    <n v="0.12649687595370371"/>
    <n v="1.9731967500000003"/>
    <n v="0.74586837150000018"/>
    <n v="17.238849066666663"/>
    <n v="0.46980875"/>
    <n v="24.823489377557866"/>
    <n v="4.7607286666666662"/>
    <n v="1.1432012916666665"/>
    <n v="9.6310793749999998E-2"/>
    <n v="0.1174521875"/>
    <n v="0.73081361111111109"/>
    <n v="2.5887354761625003"/>
    <n v="9.4372420268569428"/>
    <n v="0"/>
    <n v="0"/>
    <n v="0"/>
    <n v="0"/>
    <n v="9.4372420268569428"/>
    <n v="62.806666666666665"/>
    <n v="12.108481690426325"/>
    <n v="21.998657016417809"/>
    <n v="235.31984072022155"/>
    <n v="0"/>
    <n v="332.23364609373232"/>
    <n v="2118.2084999148137"/>
    <n v="189.64880140242613"/>
    <n v="159.30499317803796"/>
    <n v="8.7608069164265154E-2"/>
    <n v="1.9020172910662814E-2"/>
    <n v="0.04"/>
    <n v="4.6109510086455294E-2"/>
    <n v="0.13250000000000001"/>
    <n v="0.15273775216138324"/>
    <n v="376.82882307852935"/>
    <n v="725.78261765899344"/>
    <n v="2843.9911175738071"/>
    <n v="34127.893410885685"/>
    <d v="2025-01-01T00:00:00"/>
    <s v="-"/>
    <s v="-"/>
  </r>
  <r>
    <s v="2.347.03"/>
    <x v="109"/>
    <x v="2"/>
    <s v="Fethemg Interior"/>
    <s v="Limpeza"/>
    <x v="0"/>
    <n v="1"/>
    <n v="0"/>
    <n v="544.17999999999995"/>
    <n v="0"/>
    <n v="0"/>
    <n v="0"/>
    <n v="0"/>
    <n v="0"/>
    <n v="0"/>
    <n v="19.590499999999999"/>
    <n v="563.77049999999997"/>
    <n v="112.75409999999999"/>
    <n v="8.4565574999999988"/>
    <n v="5.6377049999999995"/>
    <n v="1.1275409999999999"/>
    <n v="14.094262499999999"/>
    <n v="45.101639999999996"/>
    <n v="22.550819999999998"/>
    <n v="3.3826229999999997"/>
    <n v="213.10524899999996"/>
    <n v="46.980874999999997"/>
    <n v="62.641166666666663"/>
    <n v="41.437131749999992"/>
    <n v="151.05917341666665"/>
    <n v="223.3492"/>
    <n v="582"/>
    <n v="0"/>
    <n v="0"/>
    <n v="15.07"/>
    <n v="0"/>
    <n v="3.36"/>
    <n v="0"/>
    <n v="823.77920000000006"/>
    <n v="1187.9436224166666"/>
    <n v="3.9530273735532404"/>
    <n v="0.31624218988425928"/>
    <n v="0.12649687595370371"/>
    <n v="1.9731967500000003"/>
    <n v="0.74586837150000018"/>
    <n v="17.238849066666663"/>
    <n v="0.46980875"/>
    <n v="24.823489377557866"/>
    <n v="4.7607286666666662"/>
    <n v="1.1432012916666665"/>
    <n v="9.6310793749999998E-2"/>
    <n v="0.1174521875"/>
    <n v="0.73081361111111109"/>
    <n v="2.5887354761625003"/>
    <n v="9.4372420268569428"/>
    <n v="0"/>
    <n v="0"/>
    <n v="0"/>
    <n v="0"/>
    <n v="9.4372420268569428"/>
    <n v="62.806666666666665"/>
    <n v="12.108481690426325"/>
    <n v="21.998657016417809"/>
    <n v="235.31984072022155"/>
    <n v="0"/>
    <n v="332.23364609373232"/>
    <n v="2118.2084999148137"/>
    <n v="189.64880140242613"/>
    <n v="159.30499317803796"/>
    <n v="8.6609686609686695E-2"/>
    <n v="1.880341880341882E-2"/>
    <n v="0.03"/>
    <n v="3.4188034188034219E-2"/>
    <n v="0.1225"/>
    <n v="0.13960113960113973"/>
    <n v="344.41866789250349"/>
    <n v="693.37246247296753"/>
    <n v="2811.5809623877813"/>
    <n v="33738.971548653375"/>
    <d v="2025-01-01T00:00:00"/>
    <s v="-"/>
    <s v="-"/>
  </r>
  <r>
    <s v="2.351.06"/>
    <x v="110"/>
    <x v="1"/>
    <s v="Sethac Norte de Minas"/>
    <s v="Limpeza"/>
    <x v="0"/>
    <n v="1"/>
    <n v="0"/>
    <n v="1596.28"/>
    <n v="0"/>
    <n v="0"/>
    <n v="0"/>
    <n v="0"/>
    <n v="0"/>
    <n v="0"/>
    <n v="52.241900000000001"/>
    <n v="1648.5219"/>
    <n v="329.70438000000001"/>
    <n v="24.727828499999998"/>
    <n v="16.485219000000001"/>
    <n v="3.2970438"/>
    <n v="41.213047500000002"/>
    <n v="131.88175200000001"/>
    <n v="65.940876000000003"/>
    <n v="9.8911314000000008"/>
    <n v="623.14127819999999"/>
    <n v="137.376825"/>
    <n v="183.16909999999999"/>
    <n v="121.16635965"/>
    <n v="441.71228465000002"/>
    <n v="160.22320000000002"/>
    <n v="582"/>
    <n v="0"/>
    <n v="51.86"/>
    <n v="0"/>
    <n v="0"/>
    <n v="3.36"/>
    <n v="0"/>
    <n v="797.44320000000005"/>
    <n v="1862.2967628500001"/>
    <n v="11.559051416493055"/>
    <n v="0.92472411331944449"/>
    <n v="0.36988964532777785"/>
    <n v="5.7698266500000006"/>
    <n v="2.1809944737000007"/>
    <n v="50.40813631999999"/>
    <n v="1.3737682500000001"/>
    <n v="72.586390868840269"/>
    <n v="13.920851599999999"/>
    <n v="3.3428360749999997"/>
    <n v="0.28162249125"/>
    <n v="0.34344206250000003"/>
    <n v="2.1369728333333331"/>
    <n v="7.5697240734675013"/>
    <n v="27.595449135550833"/>
    <n v="0"/>
    <n v="0"/>
    <n v="0"/>
    <n v="0"/>
    <n v="27.595449135550833"/>
    <n v="100.80916666666666"/>
    <n v="35.518212958583888"/>
    <n v="64.529393914825576"/>
    <n v="690.27153277931654"/>
    <n v="0"/>
    <n v="891.12830631939266"/>
    <n v="4502.1288091737833"/>
    <n v="189.64880140242613"/>
    <n v="159.30499317803796"/>
    <n v="8.7608069164265154E-2"/>
    <n v="1.9020172910662814E-2"/>
    <n v="0.04"/>
    <n v="4.6109510086455294E-2"/>
    <n v="0.13250000000000001"/>
    <n v="0.15273775216138324"/>
    <n v="740.94345244661395"/>
    <n v="1089.897247027078"/>
    <n v="5592.0260562008616"/>
    <n v="67104.312674410336"/>
    <d v="2025-01-01T00:00:00"/>
    <s v="-"/>
    <s v="-"/>
  </r>
  <r>
    <s v="2.352.06"/>
    <x v="111"/>
    <x v="1"/>
    <s v="Sethac Norte de Minas"/>
    <s v="Limpeza"/>
    <x v="0"/>
    <n v="1"/>
    <n v="0"/>
    <n v="1596.28"/>
    <n v="0"/>
    <n v="0"/>
    <n v="0"/>
    <n v="0"/>
    <n v="0"/>
    <n v="0"/>
    <n v="52.241900000000001"/>
    <n v="1648.5219"/>
    <n v="329.70438000000001"/>
    <n v="24.727828499999998"/>
    <n v="16.485219000000001"/>
    <n v="3.2970438"/>
    <n v="41.213047500000002"/>
    <n v="131.88175200000001"/>
    <n v="65.940876000000003"/>
    <n v="9.8911314000000008"/>
    <n v="623.14127819999999"/>
    <n v="137.376825"/>
    <n v="183.16909999999999"/>
    <n v="121.16635965"/>
    <n v="441.71228465000002"/>
    <n v="160.22320000000002"/>
    <n v="582"/>
    <n v="0"/>
    <n v="51.86"/>
    <n v="0"/>
    <n v="0"/>
    <n v="3.36"/>
    <n v="0"/>
    <n v="797.44320000000005"/>
    <n v="1862.2967628500001"/>
    <n v="11.559051416493055"/>
    <n v="0.92472411331944449"/>
    <n v="0.36988964532777785"/>
    <n v="5.7698266500000006"/>
    <n v="2.1809944737000007"/>
    <n v="50.40813631999999"/>
    <n v="1.3737682500000001"/>
    <n v="72.586390868840269"/>
    <n v="13.920851599999999"/>
    <n v="3.3428360749999997"/>
    <n v="0.28162249125"/>
    <n v="0.34344206250000003"/>
    <n v="2.1369728333333331"/>
    <n v="7.5697240734675013"/>
    <n v="27.595449135550833"/>
    <n v="0"/>
    <n v="0"/>
    <n v="0"/>
    <n v="0"/>
    <n v="27.595449135550833"/>
    <n v="100.80916666666666"/>
    <n v="35.518212958583888"/>
    <n v="64.529393914825576"/>
    <n v="690.27153277931654"/>
    <n v="0"/>
    <n v="891.12830631939266"/>
    <n v="4502.1288091737833"/>
    <n v="189.64880140242613"/>
    <n v="159.30499317803796"/>
    <n v="8.6609686609686695E-2"/>
    <n v="1.880341880341882E-2"/>
    <n v="0.03"/>
    <n v="3.4188034188034219E-2"/>
    <n v="0.1225"/>
    <n v="0.13960113960113973"/>
    <n v="677.21665978335716"/>
    <n v="1026.1704543638211"/>
    <n v="5528.2992635376049"/>
    <n v="66339.591162451252"/>
    <d v="2025-01-01T00:00:00"/>
    <s v="-"/>
    <s v="-"/>
  </r>
  <r>
    <s v="2.358.03"/>
    <x v="112"/>
    <x v="2"/>
    <s v="Regiao de Teofilo Otoni"/>
    <s v="Limpeza"/>
    <x v="0"/>
    <n v="1"/>
    <n v="0"/>
    <n v="544.17999999999995"/>
    <n v="0"/>
    <n v="0"/>
    <n v="0"/>
    <n v="0"/>
    <n v="0"/>
    <n v="0"/>
    <n v="19.590499999999999"/>
    <n v="563.77049999999997"/>
    <n v="112.75409999999999"/>
    <n v="8.4565574999999988"/>
    <n v="5.6377049999999995"/>
    <n v="1.1275409999999999"/>
    <n v="14.094262499999999"/>
    <n v="45.101639999999996"/>
    <n v="22.550819999999998"/>
    <n v="3.3826229999999997"/>
    <n v="213.10524899999996"/>
    <n v="46.980874999999997"/>
    <n v="62.641166666666663"/>
    <n v="41.437131749999992"/>
    <n v="151.05917341666665"/>
    <n v="223.3492"/>
    <n v="582"/>
    <n v="0"/>
    <n v="0"/>
    <n v="15.07"/>
    <n v="0"/>
    <n v="3.36"/>
    <n v="0"/>
    <n v="823.77920000000006"/>
    <n v="1187.9436224166666"/>
    <n v="3.9530273735532404"/>
    <n v="0.31624218988425928"/>
    <n v="0.12649687595370371"/>
    <n v="1.9731967500000003"/>
    <n v="0.74586837150000018"/>
    <n v="17.238849066666663"/>
    <n v="0.46980875"/>
    <n v="24.823489377557866"/>
    <n v="4.7607286666666662"/>
    <n v="1.1432012916666665"/>
    <n v="9.6310793749999998E-2"/>
    <n v="0.1174521875"/>
    <n v="0.73081361111111109"/>
    <n v="2.5887354761625003"/>
    <n v="9.4372420268569428"/>
    <n v="0"/>
    <n v="0"/>
    <n v="0"/>
    <n v="0"/>
    <n v="9.4372420268569428"/>
    <n v="62.806666666666665"/>
    <n v="12.108481690426325"/>
    <n v="21.998657016417809"/>
    <n v="235.31984072022155"/>
    <n v="0"/>
    <n v="332.23364609373232"/>
    <n v="2118.2084999148137"/>
    <n v="189.64880140242613"/>
    <n v="159.30499317803796"/>
    <n v="8.8629737609329504E-2"/>
    <n v="1.9241982507288629E-2"/>
    <n v="0.05"/>
    <n v="5.8309037900874633E-2"/>
    <n v="0.14250000000000002"/>
    <n v="0.16618075801749277"/>
    <n v="409.99490025140199"/>
    <n v="758.94869483186608"/>
    <n v="2877.15719474668"/>
    <n v="34525.88633696016"/>
    <d v="2025-01-01T00:00:00"/>
    <s v="-"/>
    <s v="-"/>
  </r>
  <r>
    <s v="2.362.03"/>
    <x v="113"/>
    <x v="2"/>
    <s v="Joao Monlevade"/>
    <s v="Limpeza"/>
    <x v="0"/>
    <n v="1"/>
    <n v="0"/>
    <n v="562.20000000000005"/>
    <n v="0"/>
    <n v="0"/>
    <n v="0"/>
    <n v="0"/>
    <n v="0"/>
    <n v="0"/>
    <n v="20.2392"/>
    <n v="582.43920000000003"/>
    <n v="116.48784000000001"/>
    <n v="8.7365879999999994"/>
    <n v="5.8243920000000005"/>
    <n v="1.1648784000000001"/>
    <n v="14.560980000000001"/>
    <n v="46.595136000000004"/>
    <n v="23.297568000000002"/>
    <n v="3.4946352000000003"/>
    <n v="220.16201760000001"/>
    <n v="48.5366"/>
    <n v="64.715466666666671"/>
    <n v="42.809281200000008"/>
    <n v="156.06134786666669"/>
    <n v="222.268"/>
    <n v="582"/>
    <n v="0"/>
    <n v="51.88"/>
    <n v="0"/>
    <n v="0"/>
    <n v="3.36"/>
    <n v="0"/>
    <n v="859.50800000000004"/>
    <n v="1235.7313654666668"/>
    <n v="4.0839279476851855"/>
    <n v="0.32671423581481485"/>
    <n v="0.13068569432592594"/>
    <n v="2.0385372000000004"/>
    <n v="0.77056706160000021"/>
    <n v="17.809696426666665"/>
    <n v="0.48536600000000008"/>
    <n v="25.645494566092591"/>
    <n v="4.9183754666666664"/>
    <n v="1.1810572666666665"/>
    <n v="9.9500030000000003E-2"/>
    <n v="0.12134150000000002"/>
    <n v="0.75501377777777778"/>
    <n v="2.6744588795400004"/>
    <n v="9.7497469206511109"/>
    <n v="0"/>
    <n v="0"/>
    <n v="0"/>
    <n v="0"/>
    <n v="9.7497469206511109"/>
    <n v="62.806666666666665"/>
    <n v="12.108481690426325"/>
    <n v="21.998657016417809"/>
    <n v="235.31984072022155"/>
    <n v="0"/>
    <n v="332.23364609373232"/>
    <n v="2185.7994530471428"/>
    <n v="189.64880140242613"/>
    <n v="159.30499317803796"/>
    <n v="8.8629737609329504E-2"/>
    <n v="1.9241982507288629E-2"/>
    <n v="0.05"/>
    <n v="5.8309037900874633E-2"/>
    <n v="0.14250000000000002"/>
    <n v="0.16618075801749277"/>
    <n v="421.22721607805727"/>
    <n v="770.18101065852136"/>
    <n v="2955.9804637056641"/>
    <n v="35471.765564467969"/>
    <d v="2025-01-01T00:00:00"/>
    <s v="-"/>
    <s v="-"/>
  </r>
  <r>
    <s v="2.362.06"/>
    <x v="113"/>
    <x v="1"/>
    <s v="Joao Monlevade"/>
    <s v="Limpeza"/>
    <x v="0"/>
    <n v="1"/>
    <n v="0"/>
    <n v="1649.12"/>
    <n v="0"/>
    <n v="0"/>
    <n v="0"/>
    <n v="0"/>
    <n v="0"/>
    <n v="0"/>
    <n v="53.971200000000003"/>
    <n v="1703.0911999999998"/>
    <n v="340.61824000000001"/>
    <n v="25.546367999999998"/>
    <n v="17.030911999999997"/>
    <n v="3.4061823999999996"/>
    <n v="42.577280000000002"/>
    <n v="136.24729599999998"/>
    <n v="68.123647999999989"/>
    <n v="10.2185472"/>
    <n v="643.76847359999999"/>
    <n v="141.92426666666665"/>
    <n v="189.23235555555553"/>
    <n v="125.17720319999999"/>
    <n v="456.33382542222216"/>
    <n v="157.05279999999999"/>
    <n v="582"/>
    <n v="0"/>
    <n v="51.88"/>
    <n v="0"/>
    <n v="0"/>
    <n v="3.36"/>
    <n v="0"/>
    <n v="794.29279999999994"/>
    <n v="1894.3950990222222"/>
    <n v="11.941678632098764"/>
    <n v="0.9553342905679012"/>
    <n v="0.38213371622716052"/>
    <n v="5.9608192000000004"/>
    <n v="2.2531896576000006"/>
    <n v="52.076744248888879"/>
    <n v="1.4192426666666667"/>
    <n v="74.989142412049375"/>
    <n v="14.38165902222222"/>
    <n v="3.4534904888888884"/>
    <n v="0.29094474666666664"/>
    <n v="0.35481066666666666"/>
    <n v="2.2077108148148143"/>
    <n v="7.8202967494400006"/>
    <n v="28.508912488699256"/>
    <n v="0"/>
    <n v="0"/>
    <n v="0"/>
    <n v="0"/>
    <n v="28.508912488699256"/>
    <n v="100.80916666666666"/>
    <n v="35.518212958583888"/>
    <n v="64.529393914825576"/>
    <n v="690.27153277931654"/>
    <n v="0"/>
    <n v="891.12830631939266"/>
    <n v="4592.1126602423628"/>
    <n v="189.64880140242613"/>
    <n v="159.30499317803796"/>
    <n v="8.8629737609329504E-2"/>
    <n v="1.9241982507288629E-2"/>
    <n v="0.05"/>
    <n v="5.8309037900874633E-2"/>
    <n v="0.14250000000000002"/>
    <n v="0.16618075801749277"/>
    <n v="821.11016887726305"/>
    <n v="1170.0639634577271"/>
    <n v="5762.1766237000902"/>
    <n v="69146.119484401075"/>
    <d v="2025-01-01T00:00:00"/>
    <s v="-"/>
    <s v="-"/>
  </r>
  <r>
    <s v="2.363.06"/>
    <x v="114"/>
    <x v="1"/>
    <s v="Fethemg Interior"/>
    <s v="Limpeza"/>
    <x v="0"/>
    <n v="1"/>
    <n v="0"/>
    <n v="1596.28"/>
    <n v="0"/>
    <n v="0"/>
    <n v="0"/>
    <n v="0"/>
    <n v="0"/>
    <n v="0"/>
    <n v="52.241900000000001"/>
    <n v="1648.5219"/>
    <n v="329.70438000000001"/>
    <n v="24.727828499999998"/>
    <n v="16.485219000000001"/>
    <n v="3.2970438"/>
    <n v="41.213047500000002"/>
    <n v="131.88175200000001"/>
    <n v="65.940876000000003"/>
    <n v="9.8911314000000008"/>
    <n v="623.14127819999999"/>
    <n v="137.376825"/>
    <n v="183.16909999999999"/>
    <n v="121.16635965"/>
    <n v="441.71228465000002"/>
    <n v="160.22320000000002"/>
    <n v="582"/>
    <n v="0"/>
    <n v="0"/>
    <n v="15.07"/>
    <n v="0"/>
    <n v="3.36"/>
    <n v="0"/>
    <n v="760.65320000000008"/>
    <n v="1825.5067628500001"/>
    <n v="11.559051416493055"/>
    <n v="0.92472411331944449"/>
    <n v="0.36988964532777785"/>
    <n v="5.7698266500000006"/>
    <n v="2.1809944737000007"/>
    <n v="50.40813631999999"/>
    <n v="1.3737682500000001"/>
    <n v="72.586390868840269"/>
    <n v="13.920851599999999"/>
    <n v="3.3428360749999997"/>
    <n v="0.28162249125"/>
    <n v="0.34344206250000003"/>
    <n v="2.1369728333333331"/>
    <n v="7.5697240734675013"/>
    <n v="27.595449135550833"/>
    <n v="0"/>
    <n v="0"/>
    <n v="0"/>
    <n v="0"/>
    <n v="27.595449135550833"/>
    <n v="100.80916666666666"/>
    <n v="35.518212958583888"/>
    <n v="64.529393914825576"/>
    <n v="690.27153277931654"/>
    <n v="0"/>
    <n v="891.12830631939266"/>
    <n v="4465.3388091737834"/>
    <n v="189.64880140242613"/>
    <n v="159.30499317803796"/>
    <n v="8.6609686609686695E-2"/>
    <n v="1.880341880341882E-2"/>
    <n v="0.03"/>
    <n v="3.4188034188034219E-2"/>
    <n v="0.1225"/>
    <n v="0.13960113960113973"/>
    <n v="672.08073385743126"/>
    <n v="1021.0345284378953"/>
    <n v="5486.3733376116788"/>
    <n v="65836.480051340142"/>
    <d v="2025-01-01T00:00:00"/>
    <s v="-"/>
    <s v="-"/>
  </r>
  <r>
    <s v="2.145.04"/>
    <x v="115"/>
    <x v="0"/>
    <s v="Juiz de Fora"/>
    <s v="Limpeza"/>
    <x v="0"/>
    <n v="1"/>
    <n v="0"/>
    <n v="827.86"/>
    <n v="0"/>
    <n v="0"/>
    <n v="0"/>
    <n v="0"/>
    <n v="0"/>
    <n v="0"/>
    <n v="27.093599999999999"/>
    <n v="854.95360000000005"/>
    <n v="170.99072000000001"/>
    <n v="12.824304"/>
    <n v="8.5495359999999998"/>
    <n v="1.7099072000000002"/>
    <n v="21.373840000000001"/>
    <n v="68.396287999999998"/>
    <n v="34.198143999999999"/>
    <n v="5.1297216000000008"/>
    <n v="323.17246080000001"/>
    <n v="71.246133333333333"/>
    <n v="94.994844444444439"/>
    <n v="62.839089600000001"/>
    <n v="229.08006737777777"/>
    <n v="206.32839999999999"/>
    <n v="582"/>
    <n v="0"/>
    <n v="56.3"/>
    <n v="14.69"/>
    <n v="0"/>
    <n v="3.36"/>
    <n v="0"/>
    <n v="862.67840000000001"/>
    <n v="1414.9309281777778"/>
    <n v="5.9947354179012349"/>
    <n v="0.47957883343209884"/>
    <n v="0.19183153337283956"/>
    <n v="2.9923376000000008"/>
    <n v="1.1311036128000005"/>
    <n v="26.142581191111109"/>
    <n v="0.71246133333333339"/>
    <n v="37.644629521950613"/>
    <n v="7.2196081777777774"/>
    <n v="1.7336559111111112"/>
    <n v="0.14605457333333333"/>
    <n v="0.17811533333333335"/>
    <n v="1.1082731851851853"/>
    <n v="3.9257973143200009"/>
    <n v="14.31150449506074"/>
    <n v="0"/>
    <n v="0"/>
    <n v="0"/>
    <n v="0"/>
    <n v="14.31150449506074"/>
    <n v="62.806666666666665"/>
    <n v="17.759106479291944"/>
    <n v="32.264696957412788"/>
    <n v="345.13576638965827"/>
    <n v="0"/>
    <n v="457.96623649302967"/>
    <n v="2779.8068986878188"/>
    <n v="189.64880140242613"/>
    <n v="159.30499317803796"/>
    <n v="8.6609686609686695E-2"/>
    <n v="1.880341880341882E-2"/>
    <n v="0.03"/>
    <n v="3.4188034188034219E-2"/>
    <n v="0.1225"/>
    <n v="0.13960113960113973"/>
    <n v="436.77855831950433"/>
    <n v="785.73235289996842"/>
    <n v="3565.5392515877875"/>
    <n v="42786.471019053453"/>
    <d v="2025-01-01T00:00:00"/>
    <s v="-"/>
    <s v="-"/>
  </r>
  <r>
    <s v="2.145.06"/>
    <x v="115"/>
    <x v="1"/>
    <s v="Juiz de Fora"/>
    <s v="Limpeza"/>
    <x v="0"/>
    <n v="4"/>
    <n v="0"/>
    <n v="6622.88"/>
    <n v="0"/>
    <n v="0"/>
    <n v="0"/>
    <n v="0"/>
    <n v="0"/>
    <n v="0"/>
    <n v="216.74879999999999"/>
    <n v="6839.6288000000004"/>
    <n v="1367.9257600000001"/>
    <n v="102.594432"/>
    <n v="68.396287999999998"/>
    <n v="13.679257600000001"/>
    <n v="170.99072000000001"/>
    <n v="547.17030399999999"/>
    <n v="273.58515199999999"/>
    <n v="41.037772800000006"/>
    <n v="2585.3796864000001"/>
    <n v="569.96906666666666"/>
    <n v="759.95875555555551"/>
    <n v="502.71271680000001"/>
    <n v="1832.6405390222221"/>
    <n v="626.62720000000002"/>
    <n v="2328"/>
    <n v="0"/>
    <n v="225.2"/>
    <n v="58.76"/>
    <n v="0"/>
    <n v="13.44"/>
    <n v="0"/>
    <n v="3252.0272"/>
    <n v="7670.0474254222227"/>
    <n v="47.957883343209879"/>
    <n v="3.8366306674567907"/>
    <n v="1.5346522669827165"/>
    <n v="23.938700800000007"/>
    <n v="9.0488289024000039"/>
    <n v="209.14064952888887"/>
    <n v="5.6996906666666671"/>
    <n v="301.1570361756049"/>
    <n v="57.756865422222219"/>
    <n v="13.869247288888889"/>
    <n v="1.1684365866666666"/>
    <n v="1.4249226666666668"/>
    <n v="8.866185481481482"/>
    <n v="31.406378514560007"/>
    <n v="114.49203596048592"/>
    <n v="0"/>
    <n v="0"/>
    <n v="0"/>
    <n v="0"/>
    <n v="114.49203596048592"/>
    <n v="403.23666666666662"/>
    <n v="142.07285183433555"/>
    <n v="258.1175756593023"/>
    <n v="2761.0861311172662"/>
    <n v="0"/>
    <n v="3564.5132252775707"/>
    <n v="18489.838522835886"/>
    <n v="758.59520560970452"/>
    <n v="637.21997271215184"/>
    <n v="8.6609686609686695E-2"/>
    <n v="1.880341880341882E-2"/>
    <n v="0.03"/>
    <n v="3.4188034188034219E-2"/>
    <n v="0.1225"/>
    <n v="0.13960113960113973"/>
    <n v="2776.0599183952431"/>
    <n v="4171.8750967171"/>
    <n v="22661.713619552986"/>
    <n v="271940.56343463581"/>
    <d v="2025-01-01T00:00:00"/>
    <s v="-"/>
    <s v="-"/>
  </r>
  <r>
    <s v="2.372.05"/>
    <x v="116"/>
    <x v="3"/>
    <s v="Regiao de Divinopolis"/>
    <s v="Limpeza"/>
    <x v="0"/>
    <n v="1"/>
    <n v="0"/>
    <n v="1088.3699999999999"/>
    <n v="0"/>
    <n v="0"/>
    <n v="0"/>
    <n v="0"/>
    <n v="0"/>
    <n v="0"/>
    <n v="39.1813"/>
    <n v="1127.5512999999999"/>
    <n v="225.51025999999999"/>
    <n v="16.913269499999998"/>
    <n v="11.275512999999998"/>
    <n v="2.2551025999999998"/>
    <n v="28.188782499999999"/>
    <n v="90.204103999999987"/>
    <n v="45.102051999999993"/>
    <n v="6.7653077999999995"/>
    <n v="426.21439139999995"/>
    <n v="93.962608333333321"/>
    <n v="125.28347777777776"/>
    <n v="82.875020549999988"/>
    <n v="302.12110666111107"/>
    <n v="190.69780000000003"/>
    <n v="582"/>
    <n v="0"/>
    <n v="51.88"/>
    <n v="0"/>
    <n v="0"/>
    <n v="3.36"/>
    <n v="0"/>
    <n v="827.93780000000004"/>
    <n v="1556.2732980611111"/>
    <n v="7.9061269683063262"/>
    <n v="0.6324901574645061"/>
    <n v="0.25299606298580246"/>
    <n v="3.94642955"/>
    <n v="1.4917503699000003"/>
    <n v="34.478013084444434"/>
    <n v="0.93962608333333331"/>
    <n v="49.647432276434401"/>
    <n v="9.5215443111111089"/>
    <n v="2.2864234694444439"/>
    <n v="0.19262334708333331"/>
    <n v="0.23490652083333333"/>
    <n v="1.4616405740740739"/>
    <n v="5.1775182481225004"/>
    <n v="18.874656470668793"/>
    <n v="0"/>
    <n v="0"/>
    <n v="0"/>
    <n v="0"/>
    <n v="18.874656470668793"/>
    <n v="100.80916666666666"/>
    <n v="24.216963380852651"/>
    <n v="43.997314032835618"/>
    <n v="470.6396814404431"/>
    <n v="0"/>
    <n v="639.66312552079808"/>
    <n v="3392.0098123290122"/>
    <n v="189.64880140242613"/>
    <n v="159.30499317803796"/>
    <n v="8.6609686609686695E-2"/>
    <n v="1.880341880341882E-2"/>
    <n v="0.03"/>
    <n v="3.4188034188034219E-2"/>
    <n v="0.1225"/>
    <n v="0.13960113960113973"/>
    <n v="522.24278273095308"/>
    <n v="871.19657731141717"/>
    <n v="4263.2063896404297"/>
    <n v="51158.47667568516"/>
    <d v="2025-01-01T00:00:00"/>
    <s v="-"/>
    <s v="-"/>
  </r>
  <r>
    <s v="2.148.06"/>
    <x v="117"/>
    <x v="1"/>
    <s v="Sind - Asseio"/>
    <s v="Limpeza"/>
    <x v="0"/>
    <n v="1"/>
    <n v="0"/>
    <n v="1649.12"/>
    <n v="0"/>
    <n v="0"/>
    <n v="0"/>
    <n v="0"/>
    <n v="0"/>
    <n v="0"/>
    <n v="53.971200000000003"/>
    <n v="1703.0911999999998"/>
    <n v="340.61824000000001"/>
    <n v="25.546367999999998"/>
    <n v="17.030911999999997"/>
    <n v="3.4061823999999996"/>
    <n v="42.577280000000002"/>
    <n v="136.24729599999998"/>
    <n v="68.123647999999989"/>
    <n v="10.2185472"/>
    <n v="643.76847359999999"/>
    <n v="141.92426666666665"/>
    <n v="189.23235555555553"/>
    <n v="125.17720319999999"/>
    <n v="456.33382542222216"/>
    <n v="157.05279999999999"/>
    <n v="582"/>
    <n v="0"/>
    <n v="77.25"/>
    <n v="0"/>
    <n v="0"/>
    <n v="3.36"/>
    <n v="0"/>
    <n v="819.66279999999995"/>
    <n v="1919.7650990222223"/>
    <n v="11.941678632098764"/>
    <n v="0.9553342905679012"/>
    <n v="0.38213371622716052"/>
    <n v="5.9608192000000004"/>
    <n v="2.2531896576000006"/>
    <n v="52.076744248888879"/>
    <n v="1.4192426666666667"/>
    <n v="74.989142412049375"/>
    <n v="14.38165902222222"/>
    <n v="3.4534904888888884"/>
    <n v="0.29094474666666664"/>
    <n v="0.35481066666666666"/>
    <n v="2.2077108148148143"/>
    <n v="7.8202967494400006"/>
    <n v="28.508912488699256"/>
    <n v="0"/>
    <n v="0"/>
    <n v="0"/>
    <n v="0"/>
    <n v="28.508912488699256"/>
    <n v="100.80916666666666"/>
    <n v="35.518212958583888"/>
    <n v="64.529393914825576"/>
    <n v="690.27153277931654"/>
    <n v="0"/>
    <n v="891.12830631939266"/>
    <n v="4617.4826602423636"/>
    <n v="189.64880140242613"/>
    <n v="159.30499317803796"/>
    <n v="8.8629737609329504E-2"/>
    <n v="1.9241982507288629E-2"/>
    <n v="0.05"/>
    <n v="5.8309037900874633E-2"/>
    <n v="0.14250000000000002"/>
    <n v="0.16618075801749277"/>
    <n v="825.32617470816695"/>
    <n v="1174.279969288631"/>
    <n v="5791.7626295309947"/>
    <n v="69501.151554371929"/>
    <d v="2025-01-01T00:00:00"/>
    <s v="-"/>
    <s v="-"/>
  </r>
  <r>
    <s v="2.378.03"/>
    <x v="118"/>
    <x v="2"/>
    <s v="Regiao de Sao Lourenco"/>
    <s v="Limpeza"/>
    <x v="0"/>
    <n v="1"/>
    <n v="0"/>
    <n v="544.17999999999995"/>
    <n v="0"/>
    <n v="0"/>
    <n v="0"/>
    <n v="0"/>
    <n v="0"/>
    <n v="0"/>
    <n v="19.590499999999999"/>
    <n v="563.77049999999997"/>
    <n v="112.75409999999999"/>
    <n v="8.4565574999999988"/>
    <n v="5.6377049999999995"/>
    <n v="1.1275409999999999"/>
    <n v="14.094262499999999"/>
    <n v="45.101639999999996"/>
    <n v="22.550819999999998"/>
    <n v="3.3826229999999997"/>
    <n v="213.10524899999996"/>
    <n v="46.980874999999997"/>
    <n v="62.641166666666663"/>
    <n v="41.437131749999992"/>
    <n v="151.05917341666665"/>
    <n v="223.3492"/>
    <n v="582"/>
    <n v="0"/>
    <n v="0"/>
    <n v="0"/>
    <n v="0"/>
    <n v="3.36"/>
    <n v="0"/>
    <n v="808.70920000000001"/>
    <n v="1172.8736224166666"/>
    <n v="3.9530273735532404"/>
    <n v="0.31624218988425928"/>
    <n v="0.12649687595370371"/>
    <n v="1.9731967500000003"/>
    <n v="0.74586837150000018"/>
    <n v="17.238849066666663"/>
    <n v="0.46980875"/>
    <n v="24.823489377557866"/>
    <n v="4.7607286666666662"/>
    <n v="1.1432012916666665"/>
    <n v="9.6310793749999998E-2"/>
    <n v="0.1174521875"/>
    <n v="0.73081361111111109"/>
    <n v="2.5887354761625003"/>
    <n v="9.4372420268569428"/>
    <n v="0"/>
    <n v="0"/>
    <n v="0"/>
    <n v="0"/>
    <n v="9.4372420268569428"/>
    <n v="62.806666666666665"/>
    <n v="12.108481690426325"/>
    <n v="21.998657016417809"/>
    <n v="235.31984072022155"/>
    <n v="0"/>
    <n v="332.23364609373232"/>
    <n v="2103.1384999148136"/>
    <n v="189.64880140242613"/>
    <n v="159.30499317803796"/>
    <n v="8.6609686609686695E-2"/>
    <n v="1.880341880341882E-2"/>
    <n v="0.03"/>
    <n v="3.4188034188034219E-2"/>
    <n v="0.1225"/>
    <n v="0.13960113960113973"/>
    <n v="342.31487871871428"/>
    <n v="691.26867329917832"/>
    <n v="2794.4071732139919"/>
    <n v="33532.886078567899"/>
    <d v="2025-01-01T00:00:00"/>
    <s v="-"/>
    <s v="-"/>
  </r>
  <r>
    <s v="2.382.04"/>
    <x v="119"/>
    <x v="0"/>
    <s v="Regiao de Sao Lourenco"/>
    <s v="Limpeza"/>
    <x v="0"/>
    <n v="1"/>
    <n v="0"/>
    <n v="798.14"/>
    <n v="0"/>
    <n v="0"/>
    <n v="0"/>
    <n v="0"/>
    <n v="0"/>
    <n v="0"/>
    <n v="26.120899999999999"/>
    <n v="824.26089999999999"/>
    <n v="164.85218"/>
    <n v="12.363913499999999"/>
    <n v="8.2426089999999999"/>
    <n v="1.6485217999999999"/>
    <n v="20.606522500000001"/>
    <n v="65.940871999999999"/>
    <n v="32.970435999999999"/>
    <n v="4.9455654000000004"/>
    <n v="311.57062020000001"/>
    <n v="68.688408333333328"/>
    <n v="91.584544444444433"/>
    <n v="60.583176149999993"/>
    <n v="220.85612892777775"/>
    <n v="208.11160000000001"/>
    <n v="582"/>
    <n v="0"/>
    <n v="53.27"/>
    <n v="0"/>
    <n v="0"/>
    <n v="3.36"/>
    <n v="0"/>
    <n v="846.74159999999995"/>
    <n v="1379.1683491277777"/>
    <n v="5.7795253576581791"/>
    <n v="0.46236202861265435"/>
    <n v="0.18494481144506175"/>
    <n v="2.8849131500000005"/>
    <n v="1.0904971707000004"/>
    <n v="25.204066631111107"/>
    <n v="0.6868840833333334"/>
    <n v="36.293193232860339"/>
    <n v="6.9604253777777769"/>
    <n v="1.671417936111111"/>
    <n v="0.14081123708333332"/>
    <n v="0.17172102083333335"/>
    <n v="1.0684863518518517"/>
    <n v="3.7848618071425006"/>
    <n v="13.797723730799909"/>
    <n v="0"/>
    <n v="0"/>
    <n v="0"/>
    <n v="0"/>
    <n v="13.797723730799909"/>
    <n v="62.806666666666665"/>
    <n v="17.759106479291944"/>
    <n v="32.264696957412788"/>
    <n v="345.13576638965827"/>
    <n v="0"/>
    <n v="457.96623649302967"/>
    <n v="2711.4864025844672"/>
    <n v="189.64880140242613"/>
    <n v="159.30499317803796"/>
    <n v="8.6609686609686695E-2"/>
    <n v="1.880341880341882E-2"/>
    <n v="0.03"/>
    <n v="3.4188034188034219E-2"/>
    <n v="0.1225"/>
    <n v="0.13960113960113973"/>
    <n v="427.2409392053612"/>
    <n v="776.19473378582529"/>
    <n v="3487.6811363702927"/>
    <n v="41852.173636443513"/>
    <d v="2025-01-01T00:00:00"/>
    <s v="-"/>
    <s v="-"/>
  </r>
  <r>
    <s v="2.382.06"/>
    <x v="119"/>
    <x v="1"/>
    <s v="Regiao de Sao Lourenco"/>
    <s v="Limpeza"/>
    <x v="0"/>
    <n v="2"/>
    <n v="0"/>
    <n v="3192.56"/>
    <n v="0"/>
    <n v="0"/>
    <n v="0"/>
    <n v="0"/>
    <n v="0"/>
    <n v="0"/>
    <n v="104.4838"/>
    <n v="3297.0437999999999"/>
    <n v="659.40876000000003"/>
    <n v="49.455656999999995"/>
    <n v="32.970438000000001"/>
    <n v="6.5940875999999999"/>
    <n v="82.426095000000004"/>
    <n v="263.76350400000001"/>
    <n v="131.88175200000001"/>
    <n v="19.782262800000002"/>
    <n v="1246.2825564"/>
    <n v="274.75364999999999"/>
    <n v="366.33819999999997"/>
    <n v="242.33271930000001"/>
    <n v="883.42456930000003"/>
    <n v="320.44640000000004"/>
    <n v="1164"/>
    <n v="0"/>
    <n v="106.54"/>
    <n v="0"/>
    <n v="0"/>
    <n v="6.72"/>
    <n v="0"/>
    <n v="1597.7064"/>
    <n v="3727.4135256999998"/>
    <n v="23.118102832986111"/>
    <n v="1.849448226638889"/>
    <n v="0.7397792906555557"/>
    <n v="11.539653300000001"/>
    <n v="4.3619889474000013"/>
    <n v="100.81627263999998"/>
    <n v="2.7475365000000003"/>
    <n v="145.17278173768054"/>
    <n v="27.841703199999998"/>
    <n v="6.6856721499999994"/>
    <n v="0.56324498249999999"/>
    <n v="0.68688412500000007"/>
    <n v="4.2739456666666662"/>
    <n v="15.139448146935003"/>
    <n v="55.190898271101666"/>
    <n v="0"/>
    <n v="0"/>
    <n v="0"/>
    <n v="0"/>
    <n v="55.190898271101666"/>
    <n v="201.61833333333331"/>
    <n v="71.036425917167776"/>
    <n v="129.05878782965115"/>
    <n v="1380.5430655586331"/>
    <n v="0"/>
    <n v="1782.2566126387853"/>
    <n v="9007.0776183475664"/>
    <n v="379.29760280485226"/>
    <n v="318.60998635607592"/>
    <n v="8.6609686609686695E-2"/>
    <n v="1.880341880341882E-2"/>
    <n v="0.03"/>
    <n v="3.4188034188034219E-2"/>
    <n v="0.1225"/>
    <n v="0.13960113960113973"/>
    <n v="1354.8269947803894"/>
    <n v="2052.7345839413174"/>
    <n v="11059.812202288884"/>
    <n v="132717.7464274666"/>
    <d v="2025-01-01T00:00:00"/>
    <s v="-"/>
    <s v="-"/>
  </r>
  <r>
    <s v="2.388.03"/>
    <x v="120"/>
    <x v="2"/>
    <s v="Regiao de Divinopolis"/>
    <s v="Limpeza"/>
    <x v="0"/>
    <n v="1"/>
    <n v="0"/>
    <n v="544.17999999999995"/>
    <n v="0"/>
    <n v="0"/>
    <n v="0"/>
    <n v="0"/>
    <n v="0"/>
    <n v="0"/>
    <n v="19.590499999999999"/>
    <n v="563.77049999999997"/>
    <n v="112.75409999999999"/>
    <n v="8.4565574999999988"/>
    <n v="5.6377049999999995"/>
    <n v="1.1275409999999999"/>
    <n v="14.094262499999999"/>
    <n v="45.101639999999996"/>
    <n v="22.550819999999998"/>
    <n v="3.3826229999999997"/>
    <n v="213.10524899999996"/>
    <n v="46.980874999999997"/>
    <n v="62.641166666666663"/>
    <n v="41.437131749999992"/>
    <n v="151.05917341666665"/>
    <n v="223.3492"/>
    <n v="582"/>
    <n v="0"/>
    <n v="0"/>
    <n v="0"/>
    <n v="0"/>
    <n v="3.36"/>
    <n v="0"/>
    <n v="808.70920000000001"/>
    <n v="1172.8736224166666"/>
    <n v="3.9530273735532404"/>
    <n v="0.31624218988425928"/>
    <n v="0.12649687595370371"/>
    <n v="1.9731967500000003"/>
    <n v="0.74586837150000018"/>
    <n v="17.238849066666663"/>
    <n v="0.46980875"/>
    <n v="24.823489377557866"/>
    <n v="4.7607286666666662"/>
    <n v="1.1432012916666665"/>
    <n v="9.6310793749999998E-2"/>
    <n v="0.1174521875"/>
    <n v="0.73081361111111109"/>
    <n v="2.5887354761625003"/>
    <n v="9.4372420268569428"/>
    <n v="0"/>
    <n v="0"/>
    <n v="0"/>
    <n v="0"/>
    <n v="9.4372420268569428"/>
    <n v="62.806666666666665"/>
    <n v="12.108481690426325"/>
    <n v="21.998657016417809"/>
    <n v="235.31984072022155"/>
    <n v="0"/>
    <n v="332.23364609373232"/>
    <n v="2103.1384999148136"/>
    <n v="189.64880140242613"/>
    <n v="159.30499317803796"/>
    <n v="8.6609686609686695E-2"/>
    <n v="1.880341880341882E-2"/>
    <n v="0.03"/>
    <n v="3.4188034188034219E-2"/>
    <n v="0.1225"/>
    <n v="0.13960113960113973"/>
    <n v="342.31487871871428"/>
    <n v="691.26867329917832"/>
    <n v="2794.4071732139919"/>
    <n v="33532.886078567899"/>
    <d v="2025-01-01T00:00:00"/>
    <s v="-"/>
    <s v="-"/>
  </r>
  <r>
    <s v="2.390.06"/>
    <x v="121"/>
    <x v="1"/>
    <s v="Regiao de Sao Lourenco"/>
    <s v="Limpeza"/>
    <x v="0"/>
    <n v="1"/>
    <n v="0"/>
    <n v="1596.28"/>
    <n v="0"/>
    <n v="0"/>
    <n v="0"/>
    <n v="0"/>
    <n v="0"/>
    <n v="0"/>
    <n v="52.241900000000001"/>
    <n v="1648.5219"/>
    <n v="329.70438000000001"/>
    <n v="24.727828499999998"/>
    <n v="16.485219000000001"/>
    <n v="3.2970438"/>
    <n v="41.213047500000002"/>
    <n v="131.88175200000001"/>
    <n v="65.940876000000003"/>
    <n v="9.8911314000000008"/>
    <n v="623.14127819999999"/>
    <n v="137.376825"/>
    <n v="183.16909999999999"/>
    <n v="121.16635965"/>
    <n v="441.71228465000002"/>
    <n v="160.22320000000002"/>
    <n v="582"/>
    <n v="0"/>
    <n v="0"/>
    <n v="0"/>
    <n v="0"/>
    <n v="3.36"/>
    <n v="0"/>
    <n v="745.58320000000003"/>
    <n v="1810.4367628499999"/>
    <n v="11.559051416493055"/>
    <n v="0.92472411331944449"/>
    <n v="0.36988964532777785"/>
    <n v="5.7698266500000006"/>
    <n v="2.1809944737000007"/>
    <n v="50.40813631999999"/>
    <n v="1.3737682500000001"/>
    <n v="72.586390868840269"/>
    <n v="13.920851599999999"/>
    <n v="3.3428360749999997"/>
    <n v="0.28162249125"/>
    <n v="0.34344206250000003"/>
    <n v="2.1369728333333331"/>
    <n v="7.5697240734675013"/>
    <n v="27.595449135550833"/>
    <n v="0"/>
    <n v="0"/>
    <n v="0"/>
    <n v="0"/>
    <n v="27.595449135550833"/>
    <n v="100.80916666666666"/>
    <n v="35.518212958583888"/>
    <n v="64.529393914825576"/>
    <n v="690.27153277931654"/>
    <n v="0"/>
    <n v="891.12830631939266"/>
    <n v="4450.2688091737837"/>
    <n v="189.64880140242613"/>
    <n v="159.30499317803796"/>
    <n v="8.8629737609329504E-2"/>
    <n v="1.9241982507288629E-2"/>
    <n v="0.05"/>
    <n v="5.8309037900874633E-2"/>
    <n v="0.14250000000000002"/>
    <n v="0.16618075801749277"/>
    <n v="797.53845018656625"/>
    <n v="1146.4922447670303"/>
    <n v="5596.7610539408142"/>
    <n v="67161.132647289778"/>
    <d v="2025-01-01T00:00:00"/>
    <s v="-"/>
    <s v="-"/>
  </r>
  <r>
    <s v="2.392.03"/>
    <x v="122"/>
    <x v="2"/>
    <s v="Regiao de Teofilo Otoni"/>
    <s v="Limpeza"/>
    <x v="0"/>
    <n v="1"/>
    <n v="0"/>
    <n v="544.17999999999995"/>
    <n v="0"/>
    <n v="0"/>
    <n v="0"/>
    <n v="0"/>
    <n v="0"/>
    <n v="0"/>
    <n v="19.590499999999999"/>
    <n v="563.77049999999997"/>
    <n v="112.75409999999999"/>
    <n v="8.4565574999999988"/>
    <n v="5.6377049999999995"/>
    <n v="1.1275409999999999"/>
    <n v="14.094262499999999"/>
    <n v="45.101639999999996"/>
    <n v="22.550819999999998"/>
    <n v="3.3826229999999997"/>
    <n v="213.10524899999996"/>
    <n v="46.980874999999997"/>
    <n v="62.641166666666663"/>
    <n v="41.437131749999992"/>
    <n v="151.05917341666665"/>
    <n v="223.3492"/>
    <n v="582"/>
    <n v="0"/>
    <n v="0"/>
    <n v="15.07"/>
    <n v="0"/>
    <n v="3.36"/>
    <n v="0"/>
    <n v="823.77920000000006"/>
    <n v="1187.9436224166666"/>
    <n v="3.9530273735532404"/>
    <n v="0.31624218988425928"/>
    <n v="0.12649687595370371"/>
    <n v="1.9731967500000003"/>
    <n v="0.74586837150000018"/>
    <n v="17.238849066666663"/>
    <n v="0.46980875"/>
    <n v="24.823489377557866"/>
    <n v="4.7607286666666662"/>
    <n v="1.1432012916666665"/>
    <n v="9.6310793749999998E-2"/>
    <n v="0.1174521875"/>
    <n v="0.73081361111111109"/>
    <n v="2.5887354761625003"/>
    <n v="9.4372420268569428"/>
    <n v="0"/>
    <n v="0"/>
    <n v="0"/>
    <n v="0"/>
    <n v="9.4372420268569428"/>
    <n v="62.806666666666665"/>
    <n v="12.108481690426325"/>
    <n v="21.998657016417809"/>
    <n v="235.31984072022155"/>
    <n v="0"/>
    <n v="332.23364609373232"/>
    <n v="2118.2084999148137"/>
    <n v="189.64880140242613"/>
    <n v="159.30499317803796"/>
    <n v="8.6609686609686695E-2"/>
    <n v="1.880341880341882E-2"/>
    <n v="0.03"/>
    <n v="3.4188034188034219E-2"/>
    <n v="0.1225"/>
    <n v="0.13960113960113973"/>
    <n v="344.41866789250349"/>
    <n v="693.37246247296753"/>
    <n v="2811.5809623877813"/>
    <n v="33738.971548653375"/>
    <d v="2025-01-01T00:00:00"/>
    <s v="-"/>
    <s v="-"/>
  </r>
  <r>
    <s v="2.393.06"/>
    <x v="123"/>
    <x v="1"/>
    <s v="Sethac Norte de Minas"/>
    <s v="Limpeza"/>
    <x v="0"/>
    <n v="1"/>
    <n v="0"/>
    <n v="1596.28"/>
    <n v="0"/>
    <n v="0"/>
    <n v="0"/>
    <n v="0"/>
    <n v="0"/>
    <n v="0"/>
    <n v="52.241900000000001"/>
    <n v="1648.5219"/>
    <n v="329.70438000000001"/>
    <n v="24.727828499999998"/>
    <n v="16.485219000000001"/>
    <n v="3.2970438"/>
    <n v="41.213047500000002"/>
    <n v="131.88175200000001"/>
    <n v="65.940876000000003"/>
    <n v="9.8911314000000008"/>
    <n v="623.14127819999999"/>
    <n v="137.376825"/>
    <n v="183.16909999999999"/>
    <n v="121.16635965"/>
    <n v="441.71228465000002"/>
    <n v="160.22320000000002"/>
    <n v="582"/>
    <n v="0"/>
    <n v="0"/>
    <n v="0"/>
    <n v="0"/>
    <n v="3.36"/>
    <n v="0"/>
    <n v="745.58320000000003"/>
    <n v="1810.4367628499999"/>
    <n v="11.559051416493055"/>
    <n v="0.92472411331944449"/>
    <n v="0.36988964532777785"/>
    <n v="5.7698266500000006"/>
    <n v="2.1809944737000007"/>
    <n v="50.40813631999999"/>
    <n v="1.3737682500000001"/>
    <n v="72.586390868840269"/>
    <n v="13.920851599999999"/>
    <n v="3.3428360749999997"/>
    <n v="0.28162249125"/>
    <n v="0.34344206250000003"/>
    <n v="2.1369728333333331"/>
    <n v="7.5697240734675013"/>
    <n v="27.595449135550833"/>
    <n v="0"/>
    <n v="0"/>
    <n v="0"/>
    <n v="0"/>
    <n v="27.595449135550833"/>
    <n v="100.80916666666666"/>
    <n v="35.518212958583888"/>
    <n v="64.529393914825576"/>
    <n v="690.27153277931654"/>
    <n v="0"/>
    <n v="891.12830631939266"/>
    <n v="4450.2688091737837"/>
    <n v="189.64880140242613"/>
    <n v="159.30499317803796"/>
    <n v="8.8629737609329504E-2"/>
    <n v="1.9241982507288629E-2"/>
    <n v="0.05"/>
    <n v="5.8309037900874633E-2"/>
    <n v="0.14250000000000002"/>
    <n v="0.16618075801749277"/>
    <n v="797.53845018656625"/>
    <n v="1146.4922447670303"/>
    <n v="5596.7610539408142"/>
    <n v="67161.132647289778"/>
    <d v="2025-01-01T00:00:00"/>
    <s v="-"/>
    <s v="-"/>
  </r>
  <r>
    <s v="2.394.06"/>
    <x v="124"/>
    <x v="1"/>
    <s v="Regiao de Juiz de Fora"/>
    <s v="Limpeza"/>
    <x v="0"/>
    <n v="1"/>
    <n v="0"/>
    <n v="1596.28"/>
    <n v="0"/>
    <n v="0"/>
    <n v="0"/>
    <n v="0"/>
    <n v="0"/>
    <n v="0"/>
    <n v="52.241900000000001"/>
    <n v="1648.5219"/>
    <n v="329.70438000000001"/>
    <n v="24.727828499999998"/>
    <n v="16.485219000000001"/>
    <n v="3.2970438"/>
    <n v="41.213047500000002"/>
    <n v="131.88175200000001"/>
    <n v="65.940876000000003"/>
    <n v="9.8911314000000008"/>
    <n v="623.14127819999999"/>
    <n v="137.376825"/>
    <n v="183.16909999999999"/>
    <n v="121.16635965"/>
    <n v="441.71228465000002"/>
    <n v="160.22320000000002"/>
    <n v="582"/>
    <n v="0"/>
    <n v="51.88"/>
    <n v="0"/>
    <n v="0"/>
    <n v="3.36"/>
    <n v="0"/>
    <n v="797.46320000000003"/>
    <n v="1862.31676285"/>
    <n v="11.559051416493055"/>
    <n v="0.92472411331944449"/>
    <n v="0.36988964532777785"/>
    <n v="5.7698266500000006"/>
    <n v="2.1809944737000007"/>
    <n v="50.40813631999999"/>
    <n v="1.3737682500000001"/>
    <n v="72.586390868840269"/>
    <n v="13.920851599999999"/>
    <n v="3.3428360749999997"/>
    <n v="0.28162249125"/>
    <n v="0.34344206250000003"/>
    <n v="2.1369728333333331"/>
    <n v="7.5697240734675013"/>
    <n v="27.595449135550833"/>
    <n v="0"/>
    <n v="0"/>
    <n v="0"/>
    <n v="0"/>
    <n v="27.595449135550833"/>
    <n v="100.80916666666666"/>
    <n v="35.518212958583888"/>
    <n v="64.529393914825576"/>
    <n v="690.27153277931654"/>
    <n v="0"/>
    <n v="891.12830631939266"/>
    <n v="4502.1488091737838"/>
    <n v="189.64880140242613"/>
    <n v="159.30499317803796"/>
    <n v="8.6609686609686695E-2"/>
    <n v="1.880341880341882E-2"/>
    <n v="0.03"/>
    <n v="3.4188034188034219E-2"/>
    <n v="0.1225"/>
    <n v="0.13960113960113973"/>
    <n v="677.21945180614921"/>
    <n v="1026.1732463866133"/>
    <n v="5528.3220555603966"/>
    <n v="66339.864666724752"/>
    <d v="2025-01-01T00:00:00"/>
    <s v="-"/>
    <s v="-"/>
  </r>
  <r>
    <s v="2.395.04"/>
    <x v="125"/>
    <x v="0"/>
    <s v="Regiao de Ouro Preto"/>
    <s v="Limpeza"/>
    <x v="0"/>
    <n v="1"/>
    <n v="0"/>
    <n v="798.14"/>
    <n v="0"/>
    <n v="0"/>
    <n v="0"/>
    <n v="0"/>
    <n v="0"/>
    <n v="0"/>
    <n v="26.120899999999999"/>
    <n v="824.26089999999999"/>
    <n v="164.85218"/>
    <n v="12.363913499999999"/>
    <n v="8.2426089999999999"/>
    <n v="1.6485217999999999"/>
    <n v="20.606522500000001"/>
    <n v="65.940871999999999"/>
    <n v="32.970435999999999"/>
    <n v="4.9455654000000004"/>
    <n v="311.57062020000001"/>
    <n v="68.688408333333328"/>
    <n v="91.584544444444433"/>
    <n v="60.583176149999993"/>
    <n v="220.85612892777775"/>
    <n v="208.11160000000001"/>
    <n v="582"/>
    <n v="0"/>
    <n v="0"/>
    <n v="0"/>
    <n v="0"/>
    <n v="3.36"/>
    <n v="0"/>
    <n v="793.47159999999997"/>
    <n v="1325.8983491277777"/>
    <n v="5.7795253576581791"/>
    <n v="0.46236202861265435"/>
    <n v="0.18494481144506175"/>
    <n v="2.8849131500000005"/>
    <n v="1.0904971707000004"/>
    <n v="25.204066631111107"/>
    <n v="0.6868840833333334"/>
    <n v="36.293193232860339"/>
    <n v="6.9604253777777769"/>
    <n v="1.671417936111111"/>
    <n v="0.14081123708333332"/>
    <n v="0.17172102083333335"/>
    <n v="1.0684863518518517"/>
    <n v="3.7848618071425006"/>
    <n v="13.797723730799909"/>
    <n v="0"/>
    <n v="0"/>
    <n v="0"/>
    <n v="0"/>
    <n v="13.797723730799909"/>
    <n v="62.806666666666665"/>
    <n v="17.759106479291944"/>
    <n v="32.264696957412788"/>
    <n v="345.13576638965827"/>
    <n v="0"/>
    <n v="457.96623649302967"/>
    <n v="2658.2164025844677"/>
    <n v="189.64880140242613"/>
    <n v="159.30499317803796"/>
    <n v="8.6609686609686695E-2"/>
    <n v="1.880341880341882E-2"/>
    <n v="0.03"/>
    <n v="3.4188034188034219E-2"/>
    <n v="0.1225"/>
    <n v="0.13960113960113973"/>
    <n v="419.80438649880853"/>
    <n v="768.75818107927262"/>
    <n v="3426.9745836637403"/>
    <n v="41123.69500396488"/>
    <d v="2025-01-01T00:00:00"/>
    <s v="-"/>
    <s v="-"/>
  </r>
  <r>
    <s v="2.396.03"/>
    <x v="126"/>
    <x v="2"/>
    <s v="Fethemg Interior"/>
    <s v="Limpeza"/>
    <x v="0"/>
    <n v="1"/>
    <n v="0"/>
    <n v="544.17999999999995"/>
    <n v="0"/>
    <n v="0"/>
    <n v="0"/>
    <n v="0"/>
    <n v="0"/>
    <n v="0"/>
    <n v="19.590499999999999"/>
    <n v="563.77049999999997"/>
    <n v="112.75409999999999"/>
    <n v="8.4565574999999988"/>
    <n v="5.6377049999999995"/>
    <n v="1.1275409999999999"/>
    <n v="14.094262499999999"/>
    <n v="45.101639999999996"/>
    <n v="22.550819999999998"/>
    <n v="3.3826229999999997"/>
    <n v="213.10524899999996"/>
    <n v="46.980874999999997"/>
    <n v="62.641166666666663"/>
    <n v="41.437131749999992"/>
    <n v="151.05917341666665"/>
    <n v="223.3492"/>
    <n v="582"/>
    <n v="0"/>
    <n v="0"/>
    <n v="15.07"/>
    <n v="0"/>
    <n v="3.36"/>
    <n v="0"/>
    <n v="823.77920000000006"/>
    <n v="1187.9436224166666"/>
    <n v="3.9530273735532404"/>
    <n v="0.31624218988425928"/>
    <n v="0.12649687595370371"/>
    <n v="1.9731967500000003"/>
    <n v="0.74586837150000018"/>
    <n v="17.238849066666663"/>
    <n v="0.46980875"/>
    <n v="24.823489377557866"/>
    <n v="4.7607286666666662"/>
    <n v="1.1432012916666665"/>
    <n v="9.6310793749999998E-2"/>
    <n v="0.1174521875"/>
    <n v="0.73081361111111109"/>
    <n v="2.5887354761625003"/>
    <n v="9.4372420268569428"/>
    <n v="0"/>
    <n v="0"/>
    <n v="0"/>
    <n v="0"/>
    <n v="9.4372420268569428"/>
    <n v="62.806666666666665"/>
    <n v="12.108481690426325"/>
    <n v="21.998657016417809"/>
    <n v="235.31984072022155"/>
    <n v="0"/>
    <n v="332.23364609373232"/>
    <n v="2118.2084999148137"/>
    <n v="189.64880140242613"/>
    <n v="159.30499317803796"/>
    <n v="8.6609686609686695E-2"/>
    <n v="1.880341880341882E-2"/>
    <n v="0.03"/>
    <n v="3.4188034188034219E-2"/>
    <n v="0.1225"/>
    <n v="0.13960113960113973"/>
    <n v="344.41866789250349"/>
    <n v="693.37246247296753"/>
    <n v="2811.5809623877813"/>
    <n v="33738.971548653375"/>
    <d v="2025-01-01T00:00:00"/>
    <s v="-"/>
    <s v="-"/>
  </r>
  <r>
    <s v="2.400.04"/>
    <x v="127"/>
    <x v="0"/>
    <s v="Regiao de Ouro Preto"/>
    <s v="Limpeza"/>
    <x v="0"/>
    <n v="1"/>
    <n v="0"/>
    <n v="798.14"/>
    <n v="0"/>
    <n v="0"/>
    <n v="0"/>
    <n v="0"/>
    <n v="0"/>
    <n v="0"/>
    <n v="26.120899999999999"/>
    <n v="824.26089999999999"/>
    <n v="164.85218"/>
    <n v="12.363913499999999"/>
    <n v="8.2426089999999999"/>
    <n v="1.6485217999999999"/>
    <n v="20.606522500000001"/>
    <n v="65.940871999999999"/>
    <n v="32.970435999999999"/>
    <n v="4.9455654000000004"/>
    <n v="311.57062020000001"/>
    <n v="68.688408333333328"/>
    <n v="91.584544444444433"/>
    <n v="60.583176149999993"/>
    <n v="220.85612892777775"/>
    <n v="208.11160000000001"/>
    <n v="582"/>
    <n v="0"/>
    <n v="51.87"/>
    <n v="0"/>
    <n v="0"/>
    <n v="3.36"/>
    <n v="0"/>
    <n v="845.34159999999997"/>
    <n v="1377.7683491277776"/>
    <n v="5.7795253576581791"/>
    <n v="0.46236202861265435"/>
    <n v="0.18494481144506175"/>
    <n v="2.8849131500000005"/>
    <n v="1.0904971707000004"/>
    <n v="25.204066631111107"/>
    <n v="0.6868840833333334"/>
    <n v="36.293193232860339"/>
    <n v="6.9604253777777769"/>
    <n v="1.671417936111111"/>
    <n v="0.14081123708333332"/>
    <n v="0.17172102083333335"/>
    <n v="1.0684863518518517"/>
    <n v="3.7848618071425006"/>
    <n v="13.797723730799909"/>
    <n v="0"/>
    <n v="0"/>
    <n v="0"/>
    <n v="0"/>
    <n v="13.797723730799909"/>
    <n v="62.806666666666665"/>
    <n v="17.759106479291944"/>
    <n v="32.264696957412788"/>
    <n v="345.13576638965827"/>
    <n v="0"/>
    <n v="457.96623649302967"/>
    <n v="2710.0864025844676"/>
    <n v="189.64880140242613"/>
    <n v="159.30499317803796"/>
    <n v="8.6609686609686695E-2"/>
    <n v="1.880341880341882E-2"/>
    <n v="0.03"/>
    <n v="3.4188034188034219E-2"/>
    <n v="0.1225"/>
    <n v="0.13960113960113973"/>
    <n v="427.04549760991966"/>
    <n v="775.99929219038381"/>
    <n v="3486.0856947748516"/>
    <n v="41833.028337298223"/>
    <d v="2025-01-01T00:00:00"/>
    <s v="-"/>
    <s v="-"/>
  </r>
  <r>
    <s v="2.405.03"/>
    <x v="128"/>
    <x v="2"/>
    <s v="Regiao de Divinopolis"/>
    <s v="Limpeza"/>
    <x v="0"/>
    <n v="1"/>
    <n v="0"/>
    <n v="544.17999999999995"/>
    <n v="0"/>
    <n v="0"/>
    <n v="0"/>
    <n v="0"/>
    <n v="0"/>
    <n v="0"/>
    <n v="19.590499999999999"/>
    <n v="563.77049999999997"/>
    <n v="112.75409999999999"/>
    <n v="8.4565574999999988"/>
    <n v="5.6377049999999995"/>
    <n v="1.1275409999999999"/>
    <n v="14.094262499999999"/>
    <n v="45.101639999999996"/>
    <n v="22.550819999999998"/>
    <n v="3.3826229999999997"/>
    <n v="213.10524899999996"/>
    <n v="46.980874999999997"/>
    <n v="62.641166666666663"/>
    <n v="41.437131749999992"/>
    <n v="151.05917341666665"/>
    <n v="223.3492"/>
    <n v="582"/>
    <n v="0"/>
    <n v="0"/>
    <n v="0"/>
    <n v="0"/>
    <n v="3.36"/>
    <n v="0"/>
    <n v="808.70920000000001"/>
    <n v="1172.8736224166666"/>
    <n v="3.9530273735532404"/>
    <n v="0.31624218988425928"/>
    <n v="0.12649687595370371"/>
    <n v="1.9731967500000003"/>
    <n v="0.74586837150000018"/>
    <n v="17.238849066666663"/>
    <n v="0.46980875"/>
    <n v="24.823489377557866"/>
    <n v="4.7607286666666662"/>
    <n v="1.1432012916666665"/>
    <n v="9.6310793749999998E-2"/>
    <n v="0.1174521875"/>
    <n v="0.73081361111111109"/>
    <n v="2.5887354761625003"/>
    <n v="9.4372420268569428"/>
    <n v="0"/>
    <n v="0"/>
    <n v="0"/>
    <n v="0"/>
    <n v="9.4372420268569428"/>
    <n v="62.806666666666665"/>
    <n v="12.108481690426325"/>
    <n v="21.998657016417809"/>
    <n v="235.31984072022155"/>
    <n v="0"/>
    <n v="332.23364609373232"/>
    <n v="2103.1384999148136"/>
    <n v="189.64880140242613"/>
    <n v="159.30499317803796"/>
    <n v="8.8629737609329504E-2"/>
    <n v="1.9241982507288629E-2"/>
    <n v="0.05"/>
    <n v="5.8309037900874633E-2"/>
    <n v="0.14250000000000002"/>
    <n v="0.16618075801749277"/>
    <n v="407.49055622807833"/>
    <n v="756.44435080854237"/>
    <n v="2859.5828507233559"/>
    <n v="34314.994208680269"/>
    <d v="2025-01-01T00:00:00"/>
    <s v="-"/>
    <s v="-"/>
  </r>
  <r>
    <s v="2.407.04"/>
    <x v="129"/>
    <x v="0"/>
    <s v="Sind - Asseio"/>
    <s v="Limpeza"/>
    <x v="0"/>
    <n v="1"/>
    <n v="0"/>
    <n v="824.56"/>
    <n v="0"/>
    <n v="0"/>
    <n v="0"/>
    <n v="0"/>
    <n v="0"/>
    <n v="0"/>
    <n v="26.985600000000002"/>
    <n v="851.54559999999992"/>
    <n v="170.30912000000001"/>
    <n v="12.773183999999999"/>
    <n v="8.5154559999999986"/>
    <n v="1.7030911999999998"/>
    <n v="21.288640000000001"/>
    <n v="68.123647999999989"/>
    <n v="34.061823999999994"/>
    <n v="5.1092735999999999"/>
    <n v="321.8842368"/>
    <n v="70.962133333333327"/>
    <n v="94.616177777777764"/>
    <n v="62.588601599999997"/>
    <n v="228.16691271111108"/>
    <n v="206.5264"/>
    <n v="582"/>
    <n v="0"/>
    <n v="77.25"/>
    <n v="0"/>
    <n v="0"/>
    <n v="3.36"/>
    <n v="0"/>
    <n v="869.13639999999998"/>
    <n v="1419.1875495111112"/>
    <n v="5.970839316049382"/>
    <n v="0.4776671452839506"/>
    <n v="0.19106685811358026"/>
    <n v="2.9804096000000002"/>
    <n v="1.1265948288000003"/>
    <n v="26.038372124444439"/>
    <n v="0.70962133333333333"/>
    <n v="37.494571206024688"/>
    <n v="7.1908295111111098"/>
    <n v="1.7267452444444442"/>
    <n v="0.14547237333333332"/>
    <n v="0.17740533333333333"/>
    <n v="1.1038554074074072"/>
    <n v="3.9101483747200003"/>
    <n v="14.254456244349628"/>
    <n v="0"/>
    <n v="0"/>
    <n v="0"/>
    <n v="0"/>
    <n v="14.254456244349628"/>
    <n v="62.806666666666665"/>
    <n v="17.759106479291944"/>
    <n v="32.264696957412788"/>
    <n v="345.13576638965827"/>
    <n v="0"/>
    <n v="457.96623649302967"/>
    <n v="2780.448413454515"/>
    <n v="189.64880140242613"/>
    <n v="159.30499317803796"/>
    <n v="8.6609686609686695E-2"/>
    <n v="1.880341880341882E-2"/>
    <n v="0.03"/>
    <n v="3.4188034188034219E-2"/>
    <n v="0.1225"/>
    <n v="0.13960113960113973"/>
    <n v="436.86811451200606"/>
    <n v="785.82190909247015"/>
    <n v="3566.270322546985"/>
    <n v="42795.24387056382"/>
    <d v="2025-01-01T00:00:00"/>
    <s v="-"/>
    <s v="-"/>
  </r>
  <r>
    <s v="2.408.03"/>
    <x v="130"/>
    <x v="2"/>
    <s v="Regiao de Juiz de Fora"/>
    <s v="Limpeza"/>
    <x v="0"/>
    <n v="1"/>
    <n v="0"/>
    <n v="544.17999999999995"/>
    <n v="0"/>
    <n v="0"/>
    <n v="0"/>
    <n v="0"/>
    <n v="0"/>
    <n v="0"/>
    <n v="19.590499999999999"/>
    <n v="563.77049999999997"/>
    <n v="112.75409999999999"/>
    <n v="8.4565574999999988"/>
    <n v="5.6377049999999995"/>
    <n v="1.1275409999999999"/>
    <n v="14.094262499999999"/>
    <n v="45.101639999999996"/>
    <n v="22.550819999999998"/>
    <n v="3.3826229999999997"/>
    <n v="213.10524899999996"/>
    <n v="46.980874999999997"/>
    <n v="62.641166666666663"/>
    <n v="41.437131749999992"/>
    <n v="151.05917341666665"/>
    <n v="223.3492"/>
    <n v="582"/>
    <n v="0"/>
    <n v="51.88"/>
    <n v="0"/>
    <n v="0"/>
    <n v="3.36"/>
    <n v="0"/>
    <n v="860.58920000000001"/>
    <n v="1224.7536224166665"/>
    <n v="3.9530273735532404"/>
    <n v="0.31624218988425928"/>
    <n v="0.12649687595370371"/>
    <n v="1.9731967500000003"/>
    <n v="0.74586837150000018"/>
    <n v="17.238849066666663"/>
    <n v="0.46980875"/>
    <n v="24.823489377557866"/>
    <n v="4.7607286666666662"/>
    <n v="1.1432012916666665"/>
    <n v="9.6310793749999998E-2"/>
    <n v="0.1174521875"/>
    <n v="0.73081361111111109"/>
    <n v="2.5887354761625003"/>
    <n v="9.4372420268569428"/>
    <n v="0"/>
    <n v="0"/>
    <n v="0"/>
    <n v="0"/>
    <n v="9.4372420268569428"/>
    <n v="62.806666666666665"/>
    <n v="12.108481690426325"/>
    <n v="21.998657016417809"/>
    <n v="235.31984072022155"/>
    <n v="0"/>
    <n v="332.23364609373232"/>
    <n v="2155.0184999148137"/>
    <n v="189.64880140242613"/>
    <n v="159.30499317803796"/>
    <n v="8.5633802816901458E-2"/>
    <n v="1.8591549295774657E-2"/>
    <n v="0.02"/>
    <n v="2.2535211267605645E-2"/>
    <n v="0.1125"/>
    <n v="0.12676056338028174"/>
    <n v="317.40493873883815"/>
    <n v="666.35873331930225"/>
    <n v="2821.3772332341159"/>
    <n v="33856.526798809391"/>
    <d v="2025-01-01T00:00:00"/>
    <s v="-"/>
    <s v="-"/>
  </r>
  <r>
    <s v="2.411.06"/>
    <x v="131"/>
    <x v="1"/>
    <s v="Sind - Asseio"/>
    <s v="Limpeza"/>
    <x v="0"/>
    <n v="1"/>
    <n v="0"/>
    <n v="1649.12"/>
    <n v="0"/>
    <n v="0"/>
    <n v="0"/>
    <n v="0"/>
    <n v="0"/>
    <n v="0"/>
    <n v="53.971200000000003"/>
    <n v="1703.0911999999998"/>
    <n v="340.61824000000001"/>
    <n v="25.546367999999998"/>
    <n v="17.030911999999997"/>
    <n v="3.4061823999999996"/>
    <n v="42.577280000000002"/>
    <n v="136.24729599999998"/>
    <n v="68.123647999999989"/>
    <n v="10.2185472"/>
    <n v="643.76847359999999"/>
    <n v="141.92426666666665"/>
    <n v="189.23235555555553"/>
    <n v="125.17720319999999"/>
    <n v="456.33382542222216"/>
    <n v="157.05279999999999"/>
    <n v="582"/>
    <n v="0"/>
    <n v="77.25"/>
    <n v="0"/>
    <n v="0"/>
    <n v="3.36"/>
    <n v="0"/>
    <n v="819.66279999999995"/>
    <n v="1919.7650990222223"/>
    <n v="11.941678632098764"/>
    <n v="0.9553342905679012"/>
    <n v="0.38213371622716052"/>
    <n v="5.9608192000000004"/>
    <n v="2.2531896576000006"/>
    <n v="52.076744248888879"/>
    <n v="1.4192426666666667"/>
    <n v="74.989142412049375"/>
    <n v="14.38165902222222"/>
    <n v="3.4534904888888884"/>
    <n v="0.29094474666666664"/>
    <n v="0.35481066666666666"/>
    <n v="2.2077108148148143"/>
    <n v="7.8202967494400006"/>
    <n v="28.508912488699256"/>
    <n v="0"/>
    <n v="0"/>
    <n v="0"/>
    <n v="0"/>
    <n v="28.508912488699256"/>
    <n v="100.80916666666666"/>
    <n v="35.518212958583888"/>
    <n v="64.529393914825576"/>
    <n v="690.27153277931654"/>
    <n v="0"/>
    <n v="891.12830631939266"/>
    <n v="4617.4826602423636"/>
    <n v="189.64880140242613"/>
    <n v="159.30499317803796"/>
    <n v="8.5633802816901458E-2"/>
    <n v="1.8591549295774657E-2"/>
    <n v="0.02"/>
    <n v="2.2535211267605645E-2"/>
    <n v="0.1125"/>
    <n v="0.12676056338028174"/>
    <n v="629.5482830057108"/>
    <n v="978.50207758617489"/>
    <n v="5595.9847378285385"/>
    <n v="67151.816853942466"/>
    <d v="2025-01-01T00:00:00"/>
    <s v="-"/>
    <s v="-"/>
  </r>
  <r>
    <s v="2.418.03"/>
    <x v="132"/>
    <x v="2"/>
    <s v="Fethemg Interior"/>
    <s v="Limpeza"/>
    <x v="0"/>
    <n v="1"/>
    <n v="0"/>
    <n v="544.17999999999995"/>
    <n v="0"/>
    <n v="0"/>
    <n v="0"/>
    <n v="0"/>
    <n v="0"/>
    <n v="0"/>
    <n v="19.590499999999999"/>
    <n v="563.77049999999997"/>
    <n v="112.75409999999999"/>
    <n v="8.4565574999999988"/>
    <n v="5.6377049999999995"/>
    <n v="1.1275409999999999"/>
    <n v="14.094262499999999"/>
    <n v="45.101639999999996"/>
    <n v="22.550819999999998"/>
    <n v="3.3826229999999997"/>
    <n v="213.10524899999996"/>
    <n v="46.980874999999997"/>
    <n v="62.641166666666663"/>
    <n v="41.437131749999992"/>
    <n v="151.05917341666665"/>
    <n v="223.3492"/>
    <n v="582"/>
    <n v="0"/>
    <n v="0"/>
    <n v="15.07"/>
    <n v="0"/>
    <n v="3.36"/>
    <n v="0"/>
    <n v="823.77920000000006"/>
    <n v="1187.9436224166666"/>
    <n v="3.9530273735532404"/>
    <n v="0.31624218988425928"/>
    <n v="0.12649687595370371"/>
    <n v="1.9731967500000003"/>
    <n v="0.74586837150000018"/>
    <n v="17.238849066666663"/>
    <n v="0.46980875"/>
    <n v="24.823489377557866"/>
    <n v="4.7607286666666662"/>
    <n v="1.1432012916666665"/>
    <n v="9.6310793749999998E-2"/>
    <n v="0.1174521875"/>
    <n v="0.73081361111111109"/>
    <n v="2.5887354761625003"/>
    <n v="9.4372420268569428"/>
    <n v="0"/>
    <n v="0"/>
    <n v="0"/>
    <n v="0"/>
    <n v="9.4372420268569428"/>
    <n v="62.806666666666665"/>
    <n v="12.108481690426325"/>
    <n v="21.998657016417809"/>
    <n v="235.31984072022155"/>
    <n v="0"/>
    <n v="332.23364609373232"/>
    <n v="2118.2084999148137"/>
    <n v="189.64880140242613"/>
    <n v="159.30499317803796"/>
    <n v="8.6609686609686695E-2"/>
    <n v="1.880341880341882E-2"/>
    <n v="0.03"/>
    <n v="3.4188034188034219E-2"/>
    <n v="0.1225"/>
    <n v="0.13960113960113973"/>
    <n v="344.41866789250349"/>
    <n v="693.37246247296753"/>
    <n v="2811.5809623877813"/>
    <n v="33738.971548653375"/>
    <d v="2025-01-01T00:00:00"/>
    <s v="-"/>
    <s v="-"/>
  </r>
  <r>
    <s v="2.421.03"/>
    <x v="133"/>
    <x v="2"/>
    <s v="Regiao de Juiz de Fora"/>
    <s v="Limpeza"/>
    <x v="0"/>
    <n v="1"/>
    <n v="0"/>
    <n v="544.17999999999995"/>
    <n v="0"/>
    <n v="0"/>
    <n v="0"/>
    <n v="0"/>
    <n v="0"/>
    <n v="0"/>
    <n v="19.590499999999999"/>
    <n v="563.77049999999997"/>
    <n v="112.75409999999999"/>
    <n v="8.4565574999999988"/>
    <n v="5.6377049999999995"/>
    <n v="1.1275409999999999"/>
    <n v="14.094262499999999"/>
    <n v="45.101639999999996"/>
    <n v="22.550819999999998"/>
    <n v="3.3826229999999997"/>
    <n v="213.10524899999996"/>
    <n v="46.980874999999997"/>
    <n v="62.641166666666663"/>
    <n v="41.437131749999992"/>
    <n v="151.05917341666665"/>
    <n v="223.3492"/>
    <n v="582"/>
    <n v="0"/>
    <n v="51.88"/>
    <n v="0"/>
    <n v="0"/>
    <n v="3.36"/>
    <n v="0"/>
    <n v="860.58920000000001"/>
    <n v="1224.7536224166665"/>
    <n v="3.9530273735532404"/>
    <n v="0.31624218988425928"/>
    <n v="0.12649687595370371"/>
    <n v="1.9731967500000003"/>
    <n v="0.74586837150000018"/>
    <n v="17.238849066666663"/>
    <n v="0.46980875"/>
    <n v="24.823489377557866"/>
    <n v="4.7607286666666662"/>
    <n v="1.1432012916666665"/>
    <n v="9.6310793749999998E-2"/>
    <n v="0.1174521875"/>
    <n v="0.73081361111111109"/>
    <n v="2.5887354761625003"/>
    <n v="9.4372420268569428"/>
    <n v="0"/>
    <n v="0"/>
    <n v="0"/>
    <n v="0"/>
    <n v="9.4372420268569428"/>
    <n v="62.806666666666665"/>
    <n v="12.108481690426325"/>
    <n v="21.998657016417809"/>
    <n v="235.31984072022155"/>
    <n v="0"/>
    <n v="332.23364609373232"/>
    <n v="2155.0184999148137"/>
    <n v="189.64880140242613"/>
    <n v="159.30499317803796"/>
    <n v="8.8629737609329504E-2"/>
    <n v="1.9241982507288629E-2"/>
    <n v="0.05"/>
    <n v="5.8309037900874633E-2"/>
    <n v="0.14250000000000002"/>
    <n v="0.16618075801749277"/>
    <n v="416.11201395402588"/>
    <n v="765.06580853448997"/>
    <n v="2920.0843084493035"/>
    <n v="35041.011701391646"/>
    <d v="2025-01-01T00:00:00"/>
    <s v="-"/>
    <s v="-"/>
  </r>
  <r>
    <s v="2.422.03"/>
    <x v="134"/>
    <x v="2"/>
    <s v="Regiao de Juiz de Fora"/>
    <s v="Limpeza"/>
    <x v="0"/>
    <n v="1"/>
    <n v="0"/>
    <n v="544.17999999999995"/>
    <n v="0"/>
    <n v="0"/>
    <n v="0"/>
    <n v="0"/>
    <n v="0"/>
    <n v="0"/>
    <n v="19.590499999999999"/>
    <n v="563.77049999999997"/>
    <n v="112.75409999999999"/>
    <n v="8.4565574999999988"/>
    <n v="5.6377049999999995"/>
    <n v="1.1275409999999999"/>
    <n v="14.094262499999999"/>
    <n v="45.101639999999996"/>
    <n v="22.550819999999998"/>
    <n v="3.3826229999999997"/>
    <n v="213.10524899999996"/>
    <n v="46.980874999999997"/>
    <n v="62.641166666666663"/>
    <n v="41.437131749999992"/>
    <n v="151.05917341666665"/>
    <n v="223.3492"/>
    <n v="582"/>
    <n v="0"/>
    <n v="51.88"/>
    <n v="0"/>
    <n v="0"/>
    <n v="3.36"/>
    <n v="0"/>
    <n v="860.58920000000001"/>
    <n v="1224.7536224166665"/>
    <n v="3.9530273735532404"/>
    <n v="0.31624218988425928"/>
    <n v="0.12649687595370371"/>
    <n v="1.9731967500000003"/>
    <n v="0.74586837150000018"/>
    <n v="17.238849066666663"/>
    <n v="0.46980875"/>
    <n v="24.823489377557866"/>
    <n v="4.7607286666666662"/>
    <n v="1.1432012916666665"/>
    <n v="9.6310793749999998E-2"/>
    <n v="0.1174521875"/>
    <n v="0.73081361111111109"/>
    <n v="2.5887354761625003"/>
    <n v="9.4372420268569428"/>
    <n v="0"/>
    <n v="0"/>
    <n v="0"/>
    <n v="0"/>
    <n v="9.4372420268569428"/>
    <n v="62.806666666666665"/>
    <n v="12.108481690426325"/>
    <n v="21.998657016417809"/>
    <n v="235.31984072022155"/>
    <n v="0"/>
    <n v="332.23364609373232"/>
    <n v="2155.0184999148137"/>
    <n v="189.64880140242613"/>
    <n v="159.30499317803796"/>
    <n v="8.6609686609686695E-2"/>
    <n v="1.880341880341882E-2"/>
    <n v="0.03"/>
    <n v="3.4188034188034219E-2"/>
    <n v="0.1225"/>
    <n v="0.13960113960113973"/>
    <n v="349.55738584122145"/>
    <n v="698.51118042168559"/>
    <n v="2853.529680336499"/>
    <n v="34242.356164037992"/>
    <d v="2025-01-01T00:00:00"/>
    <s v="-"/>
    <s v="-"/>
  </r>
  <r>
    <s v="2.429.03"/>
    <x v="135"/>
    <x v="2"/>
    <s v="Sethac Norte de Minas"/>
    <s v="Limpeza"/>
    <x v="0"/>
    <n v="1"/>
    <n v="0"/>
    <n v="544.17999999999995"/>
    <n v="0"/>
    <n v="0"/>
    <n v="0"/>
    <n v="0"/>
    <n v="0"/>
    <n v="0"/>
    <n v="19.590499999999999"/>
    <n v="563.77049999999997"/>
    <n v="112.75409999999999"/>
    <n v="8.4565574999999988"/>
    <n v="5.6377049999999995"/>
    <n v="1.1275409999999999"/>
    <n v="14.094262499999999"/>
    <n v="45.101639999999996"/>
    <n v="22.550819999999998"/>
    <n v="3.3826229999999997"/>
    <n v="213.10524899999996"/>
    <n v="46.980874999999997"/>
    <n v="62.641166666666663"/>
    <n v="41.437131749999992"/>
    <n v="151.05917341666665"/>
    <n v="223.3492"/>
    <n v="582"/>
    <n v="0"/>
    <n v="0"/>
    <n v="0"/>
    <n v="0"/>
    <n v="3.36"/>
    <n v="0"/>
    <n v="808.70920000000001"/>
    <n v="1172.8736224166666"/>
    <n v="3.9530273735532404"/>
    <n v="0.31624218988425928"/>
    <n v="0.12649687595370371"/>
    <n v="1.9731967500000003"/>
    <n v="0.74586837150000018"/>
    <n v="17.238849066666663"/>
    <n v="0.46980875"/>
    <n v="24.823489377557866"/>
    <n v="4.7607286666666662"/>
    <n v="1.1432012916666665"/>
    <n v="9.6310793749999998E-2"/>
    <n v="0.1174521875"/>
    <n v="0.73081361111111109"/>
    <n v="2.5887354761625003"/>
    <n v="9.4372420268569428"/>
    <n v="0"/>
    <n v="0"/>
    <n v="0"/>
    <n v="0"/>
    <n v="9.4372420268569428"/>
    <n v="62.806666666666665"/>
    <n v="12.108481690426325"/>
    <n v="21.998657016417809"/>
    <n v="235.31984072022155"/>
    <n v="0"/>
    <n v="332.23364609373232"/>
    <n v="2103.1384999148136"/>
    <n v="189.64880140242613"/>
    <n v="159.30499317803796"/>
    <n v="8.6609686609686695E-2"/>
    <n v="1.880341880341882E-2"/>
    <n v="0.03"/>
    <n v="3.4188034188034219E-2"/>
    <n v="0.1225"/>
    <n v="0.13960113960113973"/>
    <n v="342.31487871871428"/>
    <n v="691.26867329917832"/>
    <n v="2794.4071732139919"/>
    <n v="33532.886078567899"/>
    <d v="2025-01-01T00:00:00"/>
    <s v="-"/>
    <s v="-"/>
  </r>
  <r>
    <s v="2.430.04"/>
    <x v="136"/>
    <x v="0"/>
    <s v="Regiao de Sao Lourenco"/>
    <s v="Limpeza"/>
    <x v="0"/>
    <n v="1"/>
    <n v="0"/>
    <n v="798.14"/>
    <n v="0"/>
    <n v="0"/>
    <n v="0"/>
    <n v="0"/>
    <n v="0"/>
    <n v="0"/>
    <n v="26.120899999999999"/>
    <n v="824.26089999999999"/>
    <n v="164.85218"/>
    <n v="12.363913499999999"/>
    <n v="8.2426089999999999"/>
    <n v="1.6485217999999999"/>
    <n v="20.606522500000001"/>
    <n v="65.940871999999999"/>
    <n v="32.970435999999999"/>
    <n v="4.9455654000000004"/>
    <n v="311.57062020000001"/>
    <n v="68.688408333333328"/>
    <n v="91.584544444444433"/>
    <n v="60.583176149999993"/>
    <n v="220.85612892777775"/>
    <n v="208.11160000000001"/>
    <n v="582"/>
    <n v="0"/>
    <n v="0"/>
    <n v="0"/>
    <n v="0"/>
    <n v="3.36"/>
    <n v="0"/>
    <n v="793.47159999999997"/>
    <n v="1325.8983491277777"/>
    <n v="5.7795253576581791"/>
    <n v="0.46236202861265435"/>
    <n v="0.18494481144506175"/>
    <n v="2.8849131500000005"/>
    <n v="1.0904971707000004"/>
    <n v="25.204066631111107"/>
    <n v="0.6868840833333334"/>
    <n v="36.293193232860339"/>
    <n v="6.9604253777777769"/>
    <n v="1.671417936111111"/>
    <n v="0.14081123708333332"/>
    <n v="0.17172102083333335"/>
    <n v="1.0684863518518517"/>
    <n v="3.7848618071425006"/>
    <n v="13.797723730799909"/>
    <n v="0"/>
    <n v="0"/>
    <n v="0"/>
    <n v="0"/>
    <n v="13.797723730799909"/>
    <n v="62.806666666666665"/>
    <n v="17.759106479291944"/>
    <n v="32.264696957412788"/>
    <n v="345.13576638965827"/>
    <n v="0"/>
    <n v="457.96623649302967"/>
    <n v="2658.2164025844677"/>
    <n v="189.64880140242613"/>
    <n v="159.30499317803796"/>
    <n v="8.6609686609686695E-2"/>
    <n v="1.880341880341882E-2"/>
    <n v="0.03"/>
    <n v="3.4188034188034219E-2"/>
    <n v="0.1225"/>
    <n v="0.13960113960113973"/>
    <n v="419.80438649880853"/>
    <n v="768.75818107927262"/>
    <n v="3426.9745836637403"/>
    <n v="41123.69500396488"/>
    <d v="2025-01-01T00:00:00"/>
    <s v="-"/>
    <s v="-"/>
  </r>
  <r>
    <s v="2.431.04"/>
    <x v="137"/>
    <x v="0"/>
    <s v="Alto Paranaiba"/>
    <s v="Limpeza"/>
    <x v="0"/>
    <n v="1"/>
    <n v="0"/>
    <n v="798.14"/>
    <n v="0"/>
    <n v="0"/>
    <n v="0"/>
    <n v="0"/>
    <n v="0"/>
    <n v="0"/>
    <n v="26.120899999999999"/>
    <n v="824.26089999999999"/>
    <n v="164.85218"/>
    <n v="12.363913499999999"/>
    <n v="8.2426089999999999"/>
    <n v="1.6485217999999999"/>
    <n v="20.606522500000001"/>
    <n v="65.940871999999999"/>
    <n v="32.970435999999999"/>
    <n v="4.9455654000000004"/>
    <n v="311.57062020000001"/>
    <n v="68.688408333333328"/>
    <n v="91.584544444444433"/>
    <n v="60.583176149999993"/>
    <n v="220.85612892777775"/>
    <n v="208.11160000000001"/>
    <n v="0"/>
    <n v="387.79"/>
    <n v="42.97"/>
    <n v="0"/>
    <n v="0"/>
    <n v="3.36"/>
    <n v="0"/>
    <n v="642.23160000000007"/>
    <n v="1174.6583491277779"/>
    <n v="5.7795253576581791"/>
    <n v="0.46236202861265435"/>
    <n v="0.18494481144506175"/>
    <n v="2.8849131500000005"/>
    <n v="1.0904971707000004"/>
    <n v="25.204066631111107"/>
    <n v="0.6868840833333334"/>
    <n v="36.293193232860339"/>
    <n v="6.9604253777777769"/>
    <n v="1.671417936111111"/>
    <n v="0.14081123708333332"/>
    <n v="0.17172102083333335"/>
    <n v="1.0684863518518517"/>
    <n v="3.7848618071425006"/>
    <n v="13.797723730799909"/>
    <n v="0"/>
    <n v="0"/>
    <n v="0"/>
    <n v="0"/>
    <n v="13.797723730799909"/>
    <n v="62.806666666666665"/>
    <n v="17.759106479291944"/>
    <n v="32.264696957412788"/>
    <n v="345.13576638965827"/>
    <n v="0"/>
    <n v="457.96623649302967"/>
    <n v="2506.9764025844679"/>
    <n v="189.64880140242613"/>
    <n v="159.30499317803796"/>
    <n v="8.6609686609686695E-2"/>
    <n v="1.880341880341882E-2"/>
    <n v="0.03"/>
    <n v="3.4188034188034219E-2"/>
    <n v="0.1225"/>
    <n v="0.13960113960113973"/>
    <n v="398.69111014553221"/>
    <n v="747.6449047259963"/>
    <n v="3254.6213073104641"/>
    <n v="39055.455687725567"/>
    <d v="2025-01-01T00:00:00"/>
    <s v="-"/>
    <s v="-"/>
  </r>
  <r>
    <s v="2.433.04"/>
    <x v="138"/>
    <x v="0"/>
    <s v="Montes Claros"/>
    <s v="Limpeza"/>
    <x v="0"/>
    <n v="1"/>
    <n v="0"/>
    <n v="824.56"/>
    <n v="0"/>
    <n v="0"/>
    <n v="0"/>
    <n v="0"/>
    <n v="0"/>
    <n v="0"/>
    <n v="26.985600000000002"/>
    <n v="851.54559999999992"/>
    <n v="170.30912000000001"/>
    <n v="12.773183999999999"/>
    <n v="8.5154559999999986"/>
    <n v="1.7030911999999998"/>
    <n v="21.288640000000001"/>
    <n v="68.123647999999989"/>
    <n v="34.061823999999994"/>
    <n v="5.1092735999999999"/>
    <n v="321.8842368"/>
    <n v="70.962133333333327"/>
    <n v="94.616177777777764"/>
    <n v="62.588601599999997"/>
    <n v="228.16691271111108"/>
    <n v="206.5264"/>
    <n v="582"/>
    <n v="0"/>
    <n v="51.86"/>
    <n v="0"/>
    <n v="0"/>
    <n v="3.36"/>
    <n v="0"/>
    <n v="843.74639999999999"/>
    <n v="1393.7975495111111"/>
    <n v="5.970839316049382"/>
    <n v="0.4776671452839506"/>
    <n v="0.19106685811358026"/>
    <n v="2.9804096000000002"/>
    <n v="1.1265948288000003"/>
    <n v="26.038372124444439"/>
    <n v="0.70962133333333333"/>
    <n v="37.494571206024688"/>
    <n v="7.1908295111111098"/>
    <n v="1.7267452444444442"/>
    <n v="0.14547237333333332"/>
    <n v="0.17740533333333333"/>
    <n v="1.1038554074074072"/>
    <n v="3.9101483747200003"/>
    <n v="14.254456244349628"/>
    <n v="0"/>
    <n v="0"/>
    <n v="0"/>
    <n v="0"/>
    <n v="14.254456244349628"/>
    <n v="62.806666666666665"/>
    <n v="17.759106479291944"/>
    <n v="32.264696957412788"/>
    <n v="345.13576638965827"/>
    <n v="0"/>
    <n v="457.96623649302967"/>
    <n v="2755.0584134545147"/>
    <n v="189.64880140242613"/>
    <n v="159.30499317803796"/>
    <n v="8.6609686609686695E-2"/>
    <n v="1.880341880341882E-2"/>
    <n v="0.03"/>
    <n v="3.4188034188034219E-2"/>
    <n v="0.1225"/>
    <n v="0.13960113960113973"/>
    <n v="433.32364157753307"/>
    <n v="782.27743615799716"/>
    <n v="3537.335849612512"/>
    <n v="42448.030195350148"/>
    <d v="2025-01-01T00:00:00"/>
    <s v="-"/>
    <s v="-"/>
  </r>
  <r>
    <s v="2.433.06"/>
    <x v="138"/>
    <x v="1"/>
    <s v="Montes Claros"/>
    <s v="Limpeza"/>
    <x v="0"/>
    <n v="7"/>
    <n v="0"/>
    <n v="11543.84"/>
    <n v="0"/>
    <n v="0"/>
    <n v="0"/>
    <n v="0"/>
    <n v="0"/>
    <n v="0"/>
    <n v="377.79840000000002"/>
    <n v="11921.6384"/>
    <n v="2384.3276800000003"/>
    <n v="178.82457599999998"/>
    <n v="119.21638399999998"/>
    <n v="23.843276799999998"/>
    <n v="298.04096000000004"/>
    <n v="953.73107199999981"/>
    <n v="476.86553599999991"/>
    <n v="71.529830399999994"/>
    <n v="4506.3793151999998"/>
    <n v="993.46986666666658"/>
    <n v="1324.6264888888886"/>
    <n v="876.24042239999994"/>
    <n v="3194.3367779555551"/>
    <n v="1099.3696"/>
    <n v="4074"/>
    <n v="0"/>
    <n v="363.02"/>
    <n v="0"/>
    <n v="0"/>
    <n v="23.52"/>
    <n v="0"/>
    <n v="5559.9096"/>
    <n v="13260.625693155556"/>
    <n v="83.591750424691355"/>
    <n v="6.6873400339753086"/>
    <n v="2.6749360135901235"/>
    <n v="41.7257344"/>
    <n v="15.772327603200004"/>
    <n v="364.53720974222216"/>
    <n v="9.9346986666666659"/>
    <n v="524.92399688434557"/>
    <n v="100.67161315555553"/>
    <n v="24.174433422222219"/>
    <n v="2.0366132266666663"/>
    <n v="2.4836746666666665"/>
    <n v="15.453975703703701"/>
    <n v="54.742077246080001"/>
    <n v="199.56238742089479"/>
    <n v="0"/>
    <n v="0"/>
    <n v="0"/>
    <n v="0"/>
    <n v="199.56238742089479"/>
    <n v="705.66416666666657"/>
    <n v="248.62749071008722"/>
    <n v="451.70575740377905"/>
    <n v="4831.9007294552157"/>
    <n v="0"/>
    <n v="6237.898144235749"/>
    <n v="32144.648621696542"/>
    <n v="1327.5416098169828"/>
    <n v="1115.1349522462658"/>
    <n v="8.6609686609686695E-2"/>
    <n v="1.880341880341882E-2"/>
    <n v="0.03"/>
    <n v="3.4188034188034219E-2"/>
    <n v="0.1225"/>
    <n v="0.13960113960113973"/>
    <n v="4828.430011408067"/>
    <n v="7271.1065734713147"/>
    <n v="39415.755195167862"/>
    <n v="472989.06234201434"/>
    <d v="2025-01-01T00:00:00"/>
    <s v="-"/>
    <s v="-"/>
  </r>
  <r>
    <s v="2.439.06"/>
    <x v="139"/>
    <x v="1"/>
    <s v="Cataguases"/>
    <s v="Limpeza"/>
    <x v="0"/>
    <n v="1"/>
    <n v="0"/>
    <n v="1596.28"/>
    <n v="0"/>
    <n v="0"/>
    <n v="0"/>
    <n v="0"/>
    <n v="0"/>
    <n v="0"/>
    <n v="52.241900000000001"/>
    <n v="1648.5219"/>
    <n v="329.70438000000001"/>
    <n v="24.727828499999998"/>
    <n v="16.485219000000001"/>
    <n v="3.2970438"/>
    <n v="41.213047500000002"/>
    <n v="131.88175200000001"/>
    <n v="65.940876000000003"/>
    <n v="9.8911314000000008"/>
    <n v="623.14127819999999"/>
    <n v="137.376825"/>
    <n v="183.16909999999999"/>
    <n v="121.16635965"/>
    <n v="441.71228465000002"/>
    <n v="160.22320000000002"/>
    <n v="582"/>
    <n v="0"/>
    <n v="57.07"/>
    <n v="0"/>
    <n v="0"/>
    <n v="3.36"/>
    <n v="0"/>
    <n v="802.65320000000008"/>
    <n v="1867.5067628500001"/>
    <n v="11.559051416493055"/>
    <n v="0.92472411331944449"/>
    <n v="0.36988964532777785"/>
    <n v="5.7698266500000006"/>
    <n v="2.1809944737000007"/>
    <n v="50.40813631999999"/>
    <n v="1.3737682500000001"/>
    <n v="72.586390868840269"/>
    <n v="13.920851599999999"/>
    <n v="3.3428360749999997"/>
    <n v="0.28162249125"/>
    <n v="0.34344206250000003"/>
    <n v="2.1369728333333331"/>
    <n v="7.5697240734675013"/>
    <n v="27.595449135550833"/>
    <n v="0"/>
    <n v="0"/>
    <n v="0"/>
    <n v="0"/>
    <n v="27.595449135550833"/>
    <n v="100.80916666666666"/>
    <n v="35.518212958583888"/>
    <n v="64.529393914825576"/>
    <n v="690.27153277931654"/>
    <n v="0"/>
    <n v="891.12830631939266"/>
    <n v="4507.3388091737834"/>
    <n v="189.64880140242613"/>
    <n v="159.30499317803796"/>
    <n v="8.6609686609686695E-2"/>
    <n v="1.880341880341882E-2"/>
    <n v="0.03"/>
    <n v="3.4188034188034219E-2"/>
    <n v="0.1225"/>
    <n v="0.13960113960113973"/>
    <n v="677.94398172067906"/>
    <n v="1026.897776301143"/>
    <n v="5534.236585474926"/>
    <n v="66410.839025699112"/>
    <d v="2025-01-01T00:00:00"/>
    <s v="-"/>
    <s v="-"/>
  </r>
  <r>
    <s v="2.440.03"/>
    <x v="140"/>
    <x v="2"/>
    <s v="Fethemg Interior"/>
    <s v="Limpeza"/>
    <x v="0"/>
    <n v="1"/>
    <n v="0"/>
    <n v="544.17999999999995"/>
    <n v="0"/>
    <n v="0"/>
    <n v="0"/>
    <n v="0"/>
    <n v="0"/>
    <n v="0"/>
    <n v="19.590499999999999"/>
    <n v="563.77049999999997"/>
    <n v="112.75409999999999"/>
    <n v="8.4565574999999988"/>
    <n v="5.6377049999999995"/>
    <n v="1.1275409999999999"/>
    <n v="14.094262499999999"/>
    <n v="45.101639999999996"/>
    <n v="22.550819999999998"/>
    <n v="3.3826229999999997"/>
    <n v="213.10524899999996"/>
    <n v="46.980874999999997"/>
    <n v="62.641166666666663"/>
    <n v="41.437131749999992"/>
    <n v="151.05917341666665"/>
    <n v="223.3492"/>
    <n v="582"/>
    <n v="0"/>
    <n v="0"/>
    <n v="15.07"/>
    <n v="0"/>
    <n v="3.36"/>
    <n v="0"/>
    <n v="823.77920000000006"/>
    <n v="1187.9436224166666"/>
    <n v="3.9530273735532404"/>
    <n v="0.31624218988425928"/>
    <n v="0.12649687595370371"/>
    <n v="1.9731967500000003"/>
    <n v="0.74586837150000018"/>
    <n v="17.238849066666663"/>
    <n v="0.46980875"/>
    <n v="24.823489377557866"/>
    <n v="4.7607286666666662"/>
    <n v="1.1432012916666665"/>
    <n v="9.6310793749999998E-2"/>
    <n v="0.1174521875"/>
    <n v="0.73081361111111109"/>
    <n v="2.5887354761625003"/>
    <n v="9.4372420268569428"/>
    <n v="0"/>
    <n v="0"/>
    <n v="0"/>
    <n v="0"/>
    <n v="9.4372420268569428"/>
    <n v="62.806666666666665"/>
    <n v="12.108481690426325"/>
    <n v="21.998657016417809"/>
    <n v="235.31984072022155"/>
    <n v="0"/>
    <n v="332.23364609373232"/>
    <n v="2118.2084999148137"/>
    <n v="189.64880140242613"/>
    <n v="159.30499317803796"/>
    <n v="8.6609686609686695E-2"/>
    <n v="1.880341880341882E-2"/>
    <n v="0.03"/>
    <n v="3.4188034188034219E-2"/>
    <n v="0.1225"/>
    <n v="0.13960113960113973"/>
    <n v="344.41866789250349"/>
    <n v="693.37246247296753"/>
    <n v="2811.5809623877813"/>
    <n v="33738.971548653375"/>
    <d v="2025-01-01T00:00:00"/>
    <s v="-"/>
    <s v="-"/>
  </r>
  <r>
    <s v="2.441.04"/>
    <x v="141"/>
    <x v="0"/>
    <s v="Fethemg Interior"/>
    <s v="Limpeza"/>
    <x v="0"/>
    <n v="1"/>
    <n v="0"/>
    <n v="798.14"/>
    <n v="0"/>
    <n v="0"/>
    <n v="0"/>
    <n v="0"/>
    <n v="0"/>
    <n v="0"/>
    <n v="26.120899999999999"/>
    <n v="824.26089999999999"/>
    <n v="164.85218"/>
    <n v="12.363913499999999"/>
    <n v="8.2426089999999999"/>
    <n v="1.6485217999999999"/>
    <n v="20.606522500000001"/>
    <n v="65.940871999999999"/>
    <n v="32.970435999999999"/>
    <n v="4.9455654000000004"/>
    <n v="311.57062020000001"/>
    <n v="68.688408333333328"/>
    <n v="91.584544444444433"/>
    <n v="60.583176149999993"/>
    <n v="220.85612892777775"/>
    <n v="208.11160000000001"/>
    <n v="582"/>
    <n v="0"/>
    <n v="0"/>
    <n v="15.07"/>
    <n v="0"/>
    <n v="3.36"/>
    <n v="0"/>
    <n v="808.54160000000002"/>
    <n v="1340.9683491277779"/>
    <n v="5.7795253576581791"/>
    <n v="0.46236202861265435"/>
    <n v="0.18494481144506175"/>
    <n v="2.8849131500000005"/>
    <n v="1.0904971707000004"/>
    <n v="25.204066631111107"/>
    <n v="0.6868840833333334"/>
    <n v="36.293193232860339"/>
    <n v="6.9604253777777769"/>
    <n v="1.671417936111111"/>
    <n v="0.14081123708333332"/>
    <n v="0.17172102083333335"/>
    <n v="1.0684863518518517"/>
    <n v="3.7848618071425006"/>
    <n v="13.797723730799909"/>
    <n v="0"/>
    <n v="0"/>
    <n v="0"/>
    <n v="0"/>
    <n v="13.797723730799909"/>
    <n v="62.806666666666665"/>
    <n v="17.759106479291944"/>
    <n v="32.264696957412788"/>
    <n v="345.13576638965827"/>
    <n v="0"/>
    <n v="457.96623649302967"/>
    <n v="2673.2864025844674"/>
    <n v="189.64880140242613"/>
    <n v="159.30499317803796"/>
    <n v="8.6609686609686695E-2"/>
    <n v="1.880341880341882E-2"/>
    <n v="0.03"/>
    <n v="3.4188034188034219E-2"/>
    <n v="0.1225"/>
    <n v="0.13960113960113973"/>
    <n v="421.90817567259768"/>
    <n v="770.86197025306183"/>
    <n v="3444.1483728375292"/>
    <n v="41329.780474050349"/>
    <d v="2025-01-01T00:00:00"/>
    <s v="-"/>
    <s v="-"/>
  </r>
  <r>
    <s v="2.443.04"/>
    <x v="142"/>
    <x v="0"/>
    <s v="Regiao de Teofilo Otoni"/>
    <s v="Limpeza"/>
    <x v="0"/>
    <n v="1"/>
    <n v="0"/>
    <n v="798.14"/>
    <n v="0"/>
    <n v="0"/>
    <n v="0"/>
    <n v="0"/>
    <n v="0"/>
    <n v="0"/>
    <n v="26.120899999999999"/>
    <n v="824.26089999999999"/>
    <n v="164.85218"/>
    <n v="12.363913499999999"/>
    <n v="8.2426089999999999"/>
    <n v="1.6485217999999999"/>
    <n v="20.606522500000001"/>
    <n v="65.940871999999999"/>
    <n v="32.970435999999999"/>
    <n v="4.9455654000000004"/>
    <n v="311.57062020000001"/>
    <n v="68.688408333333328"/>
    <n v="91.584544444444433"/>
    <n v="60.583176149999993"/>
    <n v="220.85612892777775"/>
    <n v="208.11160000000001"/>
    <n v="582"/>
    <n v="0"/>
    <n v="0"/>
    <n v="15.07"/>
    <n v="0"/>
    <n v="3.36"/>
    <n v="0"/>
    <n v="808.54160000000002"/>
    <n v="1340.9683491277779"/>
    <n v="5.7795253576581791"/>
    <n v="0.46236202861265435"/>
    <n v="0.18494481144506175"/>
    <n v="2.8849131500000005"/>
    <n v="1.0904971707000004"/>
    <n v="25.204066631111107"/>
    <n v="0.6868840833333334"/>
    <n v="36.293193232860339"/>
    <n v="6.9604253777777769"/>
    <n v="1.671417936111111"/>
    <n v="0.14081123708333332"/>
    <n v="0.17172102083333335"/>
    <n v="1.0684863518518517"/>
    <n v="3.7848618071425006"/>
    <n v="13.797723730799909"/>
    <n v="0"/>
    <n v="0"/>
    <n v="0"/>
    <n v="0"/>
    <n v="13.797723730799909"/>
    <n v="62.806666666666665"/>
    <n v="17.759106479291944"/>
    <n v="32.264696957412788"/>
    <n v="345.13576638965827"/>
    <n v="0"/>
    <n v="457.96623649302967"/>
    <n v="2673.2864025844674"/>
    <n v="189.64880140242613"/>
    <n v="159.30499317803796"/>
    <n v="8.6609686609686695E-2"/>
    <n v="1.880341880341882E-2"/>
    <n v="0.03"/>
    <n v="3.4188034188034219E-2"/>
    <n v="0.1225"/>
    <n v="0.13960113960113973"/>
    <n v="421.90817567259768"/>
    <n v="770.86197025306183"/>
    <n v="3444.1483728375292"/>
    <n v="41329.780474050349"/>
    <d v="2025-01-01T00:00:00"/>
    <s v="-"/>
    <s v="-"/>
  </r>
  <r>
    <s v="2.444.03"/>
    <x v="143"/>
    <x v="2"/>
    <s v="Regiao de Sao Lourenco"/>
    <s v="Limpeza"/>
    <x v="0"/>
    <n v="1"/>
    <n v="0"/>
    <n v="544.17999999999995"/>
    <n v="0"/>
    <n v="0"/>
    <n v="0"/>
    <n v="0"/>
    <n v="0"/>
    <n v="0"/>
    <n v="19.590499999999999"/>
    <n v="563.77049999999997"/>
    <n v="112.75409999999999"/>
    <n v="8.4565574999999988"/>
    <n v="5.6377049999999995"/>
    <n v="1.1275409999999999"/>
    <n v="14.094262499999999"/>
    <n v="45.101639999999996"/>
    <n v="22.550819999999998"/>
    <n v="3.3826229999999997"/>
    <n v="213.10524899999996"/>
    <n v="46.980874999999997"/>
    <n v="62.641166666666663"/>
    <n v="41.437131749999992"/>
    <n v="151.05917341666665"/>
    <n v="223.3492"/>
    <n v="582"/>
    <n v="0"/>
    <n v="0"/>
    <n v="0"/>
    <n v="0"/>
    <n v="3.36"/>
    <n v="0"/>
    <n v="808.70920000000001"/>
    <n v="1172.8736224166666"/>
    <n v="3.9530273735532404"/>
    <n v="0.31624218988425928"/>
    <n v="0.12649687595370371"/>
    <n v="1.9731967500000003"/>
    <n v="0.74586837150000018"/>
    <n v="17.238849066666663"/>
    <n v="0.46980875"/>
    <n v="24.823489377557866"/>
    <n v="4.7607286666666662"/>
    <n v="1.1432012916666665"/>
    <n v="9.6310793749999998E-2"/>
    <n v="0.1174521875"/>
    <n v="0.73081361111111109"/>
    <n v="2.5887354761625003"/>
    <n v="9.4372420268569428"/>
    <n v="0"/>
    <n v="0"/>
    <n v="0"/>
    <n v="0"/>
    <n v="9.4372420268569428"/>
    <n v="62.806666666666665"/>
    <n v="12.108481690426325"/>
    <n v="21.998657016417809"/>
    <n v="235.31984072022155"/>
    <n v="0"/>
    <n v="332.23364609373232"/>
    <n v="2103.1384999148136"/>
    <n v="189.64880140242613"/>
    <n v="159.30499317803796"/>
    <n v="8.6118980169971604E-2"/>
    <n v="1.8696883852691224E-2"/>
    <n v="2.5000000000000001E-2"/>
    <n v="2.8328611898017008E-2"/>
    <n v="0.11749999999999999"/>
    <n v="0.13314447592067982"/>
    <n v="326.48254345971105"/>
    <n v="675.43633804017509"/>
    <n v="2778.5748379549887"/>
    <n v="33342.898055459867"/>
    <d v="2025-01-01T00:00:00"/>
    <s v="-"/>
    <s v="-"/>
  </r>
  <r>
    <s v="2.188.06"/>
    <x v="144"/>
    <x v="1"/>
    <s v="Sind - Asseio"/>
    <s v="Limpeza"/>
    <x v="0"/>
    <n v="2"/>
    <n v="0"/>
    <n v="3298.24"/>
    <n v="0"/>
    <n v="0"/>
    <n v="0"/>
    <n v="0"/>
    <n v="0"/>
    <n v="0"/>
    <n v="107.94240000000001"/>
    <n v="3406.1823999999997"/>
    <n v="681.23648000000003"/>
    <n v="51.092735999999995"/>
    <n v="34.061823999999994"/>
    <n v="6.8123647999999992"/>
    <n v="85.154560000000004"/>
    <n v="272.49459199999995"/>
    <n v="136.24729599999998"/>
    <n v="20.437094399999999"/>
    <n v="1287.5369472"/>
    <n v="283.84853333333331"/>
    <n v="378.46471111111106"/>
    <n v="250.35440639999999"/>
    <n v="912.66765084444432"/>
    <n v="314.10559999999998"/>
    <n v="1164"/>
    <n v="0"/>
    <n v="154.5"/>
    <n v="0"/>
    <n v="0"/>
    <n v="6.72"/>
    <n v="0"/>
    <n v="1639.3255999999999"/>
    <n v="3839.5301980444447"/>
    <n v="23.883357264197528"/>
    <n v="1.9106685811358024"/>
    <n v="0.76426743245432105"/>
    <n v="11.921638400000001"/>
    <n v="4.5063793152000011"/>
    <n v="104.15348849777776"/>
    <n v="2.8384853333333333"/>
    <n v="149.97828482409875"/>
    <n v="28.763318044444439"/>
    <n v="6.9069809777777769"/>
    <n v="0.58188949333333329"/>
    <n v="0.70962133333333333"/>
    <n v="4.4154216296296287"/>
    <n v="15.640593498880001"/>
    <n v="57.017824977398512"/>
    <n v="0"/>
    <n v="0"/>
    <n v="0"/>
    <n v="0"/>
    <n v="57.017824977398512"/>
    <n v="201.61833333333331"/>
    <n v="71.036425917167776"/>
    <n v="129.05878782965115"/>
    <n v="1380.5430655586331"/>
    <n v="0"/>
    <n v="1782.2566126387853"/>
    <n v="9234.9653204847273"/>
    <n v="379.29760280485226"/>
    <n v="318.60998635607592"/>
    <n v="8.6609686609686695E-2"/>
    <n v="1.880341880341882E-2"/>
    <n v="0.03"/>
    <n v="3.4188034188034219E-2"/>
    <n v="0.1225"/>
    <n v="0.13960113960113973"/>
    <n v="1386.6403776998222"/>
    <n v="2084.5479668607504"/>
    <n v="11319.513287345479"/>
    <n v="135834.15944814574"/>
    <d v="2025-01-01T00:00:00"/>
    <s v="-"/>
    <s v="-"/>
  </r>
  <r>
    <s v="2.450.06"/>
    <x v="145"/>
    <x v="1"/>
    <s v="Alto Paranaiba"/>
    <s v="Limpeza"/>
    <x v="0"/>
    <n v="1"/>
    <n v="0"/>
    <n v="1596.28"/>
    <n v="0"/>
    <n v="0"/>
    <n v="0"/>
    <n v="0"/>
    <n v="0"/>
    <n v="0"/>
    <n v="52.241900000000001"/>
    <n v="1648.5219"/>
    <n v="329.70438000000001"/>
    <n v="24.727828499999998"/>
    <n v="16.485219000000001"/>
    <n v="3.2970438"/>
    <n v="41.213047500000002"/>
    <n v="131.88175200000001"/>
    <n v="65.940876000000003"/>
    <n v="9.8911314000000008"/>
    <n v="623.14127819999999"/>
    <n v="137.376825"/>
    <n v="183.16909999999999"/>
    <n v="121.16635965"/>
    <n v="441.71228465000002"/>
    <n v="160.22320000000002"/>
    <n v="0"/>
    <n v="387.79"/>
    <n v="42.97"/>
    <n v="0"/>
    <n v="0"/>
    <n v="3.36"/>
    <n v="0"/>
    <n v="594.34320000000014"/>
    <n v="1659.1967628500001"/>
    <n v="11.559051416493055"/>
    <n v="0.92472411331944449"/>
    <n v="0.36988964532777785"/>
    <n v="5.7698266500000006"/>
    <n v="2.1809944737000007"/>
    <n v="50.40813631999999"/>
    <n v="1.3737682500000001"/>
    <n v="72.586390868840269"/>
    <n v="13.920851599999999"/>
    <n v="3.3428360749999997"/>
    <n v="0.28162249125"/>
    <n v="0.34344206250000003"/>
    <n v="2.1369728333333331"/>
    <n v="7.5697240734675013"/>
    <n v="27.595449135550833"/>
    <n v="0"/>
    <n v="0"/>
    <n v="0"/>
    <n v="0"/>
    <n v="27.595449135550833"/>
    <n v="100.80916666666666"/>
    <n v="35.518212958583888"/>
    <n v="64.529393914825576"/>
    <n v="690.27153277931654"/>
    <n v="0"/>
    <n v="891.12830631939266"/>
    <n v="4299.0288091737839"/>
    <n v="189.64880140242613"/>
    <n v="159.30499317803796"/>
    <n v="8.7608069164265154E-2"/>
    <n v="1.9020172910662814E-2"/>
    <n v="0.04"/>
    <n v="4.6109510086455294E-2"/>
    <n v="0.13250000000000001"/>
    <n v="0.15273775216138324"/>
    <n v="709.92241498263706"/>
    <n v="1058.8762095631012"/>
    <n v="5357.9050187368848"/>
    <n v="64294.860224842618"/>
    <d v="2025-01-01T00:00:00"/>
    <s v="-"/>
    <s v="-"/>
  </r>
  <r>
    <s v="2.452.05"/>
    <x v="146"/>
    <x v="3"/>
    <s v="Regiao de Divinopolis"/>
    <s v="Limpeza"/>
    <x v="0"/>
    <n v="1"/>
    <n v="0"/>
    <n v="1088.3699999999999"/>
    <n v="0"/>
    <n v="0"/>
    <n v="0"/>
    <n v="0"/>
    <n v="0"/>
    <n v="0"/>
    <n v="39.1813"/>
    <n v="1127.5512999999999"/>
    <n v="225.51025999999999"/>
    <n v="16.913269499999998"/>
    <n v="11.275512999999998"/>
    <n v="2.2551025999999998"/>
    <n v="28.188782499999999"/>
    <n v="90.204103999999987"/>
    <n v="45.102051999999993"/>
    <n v="6.7653077999999995"/>
    <n v="426.21439139999995"/>
    <n v="93.962608333333321"/>
    <n v="125.28347777777776"/>
    <n v="82.875020549999988"/>
    <n v="302.12110666111107"/>
    <n v="190.69780000000003"/>
    <n v="582"/>
    <n v="0"/>
    <n v="51.88"/>
    <n v="0"/>
    <n v="0"/>
    <n v="3.36"/>
    <n v="0"/>
    <n v="827.93780000000004"/>
    <n v="1556.2732980611111"/>
    <n v="7.9061269683063262"/>
    <n v="0.6324901574645061"/>
    <n v="0.25299606298580246"/>
    <n v="3.94642955"/>
    <n v="1.4917503699000003"/>
    <n v="34.478013084444434"/>
    <n v="0.93962608333333331"/>
    <n v="49.647432276434401"/>
    <n v="9.5215443111111089"/>
    <n v="2.2864234694444439"/>
    <n v="0.19262334708333331"/>
    <n v="0.23490652083333333"/>
    <n v="1.4616405740740739"/>
    <n v="5.1775182481225004"/>
    <n v="18.874656470668793"/>
    <n v="0"/>
    <n v="0"/>
    <n v="0"/>
    <n v="0"/>
    <n v="18.874656470668793"/>
    <n v="100.80916666666666"/>
    <n v="24.216963380852651"/>
    <n v="43.997314032835618"/>
    <n v="470.6396814404431"/>
    <n v="0"/>
    <n v="639.66312552079808"/>
    <n v="3392.0098123290122"/>
    <n v="189.64880140242613"/>
    <n v="159.30499317803796"/>
    <n v="8.6609686609686695E-2"/>
    <n v="1.880341880341882E-2"/>
    <n v="0.03"/>
    <n v="3.4188034188034219E-2"/>
    <n v="0.1225"/>
    <n v="0.13960113960113973"/>
    <n v="522.24278273095308"/>
    <n v="871.19657731141717"/>
    <n v="4263.2063896404297"/>
    <n v="51158.47667568516"/>
    <d v="2025-01-01T00:00:00"/>
    <s v="-"/>
    <s v="-"/>
  </r>
  <r>
    <s v="2.453.03"/>
    <x v="147"/>
    <x v="2"/>
    <s v="Regiao de Teofilo Otoni"/>
    <s v="Limpeza"/>
    <x v="0"/>
    <n v="1"/>
    <n v="0"/>
    <n v="544.17999999999995"/>
    <n v="0"/>
    <n v="0"/>
    <n v="0"/>
    <n v="0"/>
    <n v="0"/>
    <n v="0"/>
    <n v="19.590499999999999"/>
    <n v="563.77049999999997"/>
    <n v="112.75409999999999"/>
    <n v="8.4565574999999988"/>
    <n v="5.6377049999999995"/>
    <n v="1.1275409999999999"/>
    <n v="14.094262499999999"/>
    <n v="45.101639999999996"/>
    <n v="22.550819999999998"/>
    <n v="3.3826229999999997"/>
    <n v="213.10524899999996"/>
    <n v="46.980874999999997"/>
    <n v="62.641166666666663"/>
    <n v="41.437131749999992"/>
    <n v="151.05917341666665"/>
    <n v="223.3492"/>
    <n v="582"/>
    <n v="0"/>
    <n v="0"/>
    <n v="15.07"/>
    <n v="0"/>
    <n v="3.36"/>
    <n v="0"/>
    <n v="823.77920000000006"/>
    <n v="1187.9436224166666"/>
    <n v="3.9530273735532404"/>
    <n v="0.31624218988425928"/>
    <n v="0.12649687595370371"/>
    <n v="1.9731967500000003"/>
    <n v="0.74586837150000018"/>
    <n v="17.238849066666663"/>
    <n v="0.46980875"/>
    <n v="24.823489377557866"/>
    <n v="4.7607286666666662"/>
    <n v="1.1432012916666665"/>
    <n v="9.6310793749999998E-2"/>
    <n v="0.1174521875"/>
    <n v="0.73081361111111109"/>
    <n v="2.5887354761625003"/>
    <n v="9.4372420268569428"/>
    <n v="0"/>
    <n v="0"/>
    <n v="0"/>
    <n v="0"/>
    <n v="9.4372420268569428"/>
    <n v="62.806666666666665"/>
    <n v="12.108481690426325"/>
    <n v="21.998657016417809"/>
    <n v="235.31984072022155"/>
    <n v="0"/>
    <n v="332.23364609373232"/>
    <n v="2118.2084999148137"/>
    <n v="189.64880140242613"/>
    <n v="159.30499317803796"/>
    <n v="8.8629737609329504E-2"/>
    <n v="1.9241982507288629E-2"/>
    <n v="0.05"/>
    <n v="5.8309037900874633E-2"/>
    <n v="0.14250000000000002"/>
    <n v="0.16618075801749277"/>
    <n v="409.99490025140199"/>
    <n v="758.94869483186608"/>
    <n v="2877.15719474668"/>
    <n v="34525.88633696016"/>
    <d v="2025-01-01T00:00:00"/>
    <s v="-"/>
    <s v="-"/>
  </r>
  <r>
    <s v="2.456.06"/>
    <x v="148"/>
    <x v="1"/>
    <s v="Regiao de Divinopolis"/>
    <s v="Limpeza"/>
    <x v="0"/>
    <n v="1"/>
    <n v="0"/>
    <n v="1596.28"/>
    <n v="0"/>
    <n v="0"/>
    <n v="0"/>
    <n v="0"/>
    <n v="0"/>
    <n v="0"/>
    <n v="52.241900000000001"/>
    <n v="1648.5219"/>
    <n v="329.70438000000001"/>
    <n v="24.727828499999998"/>
    <n v="16.485219000000001"/>
    <n v="3.2970438"/>
    <n v="41.213047500000002"/>
    <n v="131.88175200000001"/>
    <n v="65.940876000000003"/>
    <n v="9.8911314000000008"/>
    <n v="623.14127819999999"/>
    <n v="137.376825"/>
    <n v="183.16909999999999"/>
    <n v="121.16635965"/>
    <n v="441.71228465000002"/>
    <n v="160.22320000000002"/>
    <n v="582"/>
    <n v="0"/>
    <n v="51.88"/>
    <n v="0"/>
    <n v="0"/>
    <n v="3.36"/>
    <n v="0"/>
    <n v="797.46320000000003"/>
    <n v="1862.31676285"/>
    <n v="11.559051416493055"/>
    <n v="0.92472411331944449"/>
    <n v="0.36988964532777785"/>
    <n v="5.7698266500000006"/>
    <n v="2.1809944737000007"/>
    <n v="50.40813631999999"/>
    <n v="1.3737682500000001"/>
    <n v="72.586390868840269"/>
    <n v="13.920851599999999"/>
    <n v="3.3428360749999997"/>
    <n v="0.28162249125"/>
    <n v="0.34344206250000003"/>
    <n v="2.1369728333333331"/>
    <n v="7.5697240734675013"/>
    <n v="27.595449135550833"/>
    <n v="0"/>
    <n v="0"/>
    <n v="0"/>
    <n v="0"/>
    <n v="27.595449135550833"/>
    <n v="100.80916666666666"/>
    <n v="35.518212958583888"/>
    <n v="64.529393914825576"/>
    <n v="690.27153277931654"/>
    <n v="0"/>
    <n v="891.12830631939266"/>
    <n v="4502.1488091737838"/>
    <n v="189.64880140242613"/>
    <n v="159.30499317803796"/>
    <n v="8.6609686609686695E-2"/>
    <n v="1.880341880341882E-2"/>
    <n v="0.03"/>
    <n v="3.4188034188034219E-2"/>
    <n v="0.1225"/>
    <n v="0.13960113960113973"/>
    <n v="677.21945180614921"/>
    <n v="1026.1732463866133"/>
    <n v="5528.3220555603966"/>
    <n v="66339.864666724752"/>
    <d v="2025-01-01T00:00:00"/>
    <s v="-"/>
    <s v="-"/>
  </r>
  <r>
    <s v="2.460.03"/>
    <x v="149"/>
    <x v="2"/>
    <s v="Regiao de Sao Lourenco"/>
    <s v="Limpeza"/>
    <x v="0"/>
    <n v="1"/>
    <n v="0"/>
    <n v="544.17999999999995"/>
    <n v="0"/>
    <n v="0"/>
    <n v="0"/>
    <n v="0"/>
    <n v="0"/>
    <n v="0"/>
    <n v="19.590499999999999"/>
    <n v="563.77049999999997"/>
    <n v="112.75409999999999"/>
    <n v="8.4565574999999988"/>
    <n v="5.6377049999999995"/>
    <n v="1.1275409999999999"/>
    <n v="14.094262499999999"/>
    <n v="45.101639999999996"/>
    <n v="22.550819999999998"/>
    <n v="3.3826229999999997"/>
    <n v="213.10524899999996"/>
    <n v="46.980874999999997"/>
    <n v="62.641166666666663"/>
    <n v="41.437131749999992"/>
    <n v="151.05917341666665"/>
    <n v="223.3492"/>
    <n v="582"/>
    <n v="0"/>
    <n v="0"/>
    <n v="0"/>
    <n v="0"/>
    <n v="3.36"/>
    <n v="0"/>
    <n v="808.70920000000001"/>
    <n v="1172.8736224166666"/>
    <n v="3.9530273735532404"/>
    <n v="0.31624218988425928"/>
    <n v="0.12649687595370371"/>
    <n v="1.9731967500000003"/>
    <n v="0.74586837150000018"/>
    <n v="17.238849066666663"/>
    <n v="0.46980875"/>
    <n v="24.823489377557866"/>
    <n v="4.7607286666666662"/>
    <n v="1.1432012916666665"/>
    <n v="9.6310793749999998E-2"/>
    <n v="0.1174521875"/>
    <n v="0.73081361111111109"/>
    <n v="2.5887354761625003"/>
    <n v="9.4372420268569428"/>
    <n v="0"/>
    <n v="0"/>
    <n v="0"/>
    <n v="0"/>
    <n v="9.4372420268569428"/>
    <n v="62.806666666666665"/>
    <n v="12.108481690426325"/>
    <n v="21.998657016417809"/>
    <n v="235.31984072022155"/>
    <n v="0"/>
    <n v="332.23364609373232"/>
    <n v="2103.1384999148136"/>
    <n v="189.64880140242613"/>
    <n v="159.30499317803796"/>
    <n v="8.8629737609329504E-2"/>
    <n v="1.9241982507288629E-2"/>
    <n v="0.05"/>
    <n v="5.8309037900874633E-2"/>
    <n v="0.14250000000000002"/>
    <n v="0.16618075801749277"/>
    <n v="407.49055622807833"/>
    <n v="756.44435080854237"/>
    <n v="2859.5828507233559"/>
    <n v="34314.994208680269"/>
    <d v="2025-01-01T00:00:00"/>
    <s v="-"/>
    <s v="-"/>
  </r>
  <r>
    <s v="2.461.06"/>
    <x v="150"/>
    <x v="1"/>
    <s v="Regiao de Ouro Preto"/>
    <s v="Limpeza"/>
    <x v="0"/>
    <n v="1"/>
    <n v="0"/>
    <n v="1596.28"/>
    <n v="0"/>
    <n v="0"/>
    <n v="0"/>
    <n v="0"/>
    <n v="0"/>
    <n v="0"/>
    <n v="52.241900000000001"/>
    <n v="1648.5219"/>
    <n v="329.70438000000001"/>
    <n v="24.727828499999998"/>
    <n v="16.485219000000001"/>
    <n v="3.2970438"/>
    <n v="41.213047500000002"/>
    <n v="131.88175200000001"/>
    <n v="65.940876000000003"/>
    <n v="9.8911314000000008"/>
    <n v="623.14127819999999"/>
    <n v="137.376825"/>
    <n v="183.16909999999999"/>
    <n v="121.16635965"/>
    <n v="441.71228465000002"/>
    <n v="160.22320000000002"/>
    <n v="582"/>
    <n v="0"/>
    <n v="51.87"/>
    <n v="0"/>
    <n v="0"/>
    <n v="3.36"/>
    <n v="0"/>
    <n v="797.45320000000004"/>
    <n v="1862.3067628499998"/>
    <n v="11.559051416493055"/>
    <n v="0.92472411331944449"/>
    <n v="0.36988964532777785"/>
    <n v="5.7698266500000006"/>
    <n v="2.1809944737000007"/>
    <n v="50.40813631999999"/>
    <n v="1.3737682500000001"/>
    <n v="72.586390868840269"/>
    <n v="13.920851599999999"/>
    <n v="3.3428360749999997"/>
    <n v="0.28162249125"/>
    <n v="0.34344206250000003"/>
    <n v="2.1369728333333331"/>
    <n v="7.5697240734675013"/>
    <n v="27.595449135550833"/>
    <n v="0"/>
    <n v="0"/>
    <n v="0"/>
    <n v="0"/>
    <n v="27.595449135550833"/>
    <n v="100.80916666666666"/>
    <n v="35.518212958583888"/>
    <n v="64.529393914825576"/>
    <n v="690.27153277931654"/>
    <n v="0"/>
    <n v="891.12830631939266"/>
    <n v="4502.1388091737836"/>
    <n v="189.64880140242613"/>
    <n v="159.30499317803796"/>
    <n v="8.8629737609329504E-2"/>
    <n v="1.9241982507288629E-2"/>
    <n v="0.05"/>
    <n v="5.8309037900874633E-2"/>
    <n v="0.14250000000000002"/>
    <n v="0.16618075801749277"/>
    <n v="806.1582461049336"/>
    <n v="1155.1120406853977"/>
    <n v="5657.2508498591815"/>
    <n v="67887.010198310178"/>
    <d v="2025-01-01T00:00:00"/>
    <s v="-"/>
    <s v="-"/>
  </r>
  <r>
    <s v="2.467.06"/>
    <x v="151"/>
    <x v="1"/>
    <s v="Regiao de Juiz de Fora"/>
    <s v="Limpeza"/>
    <x v="0"/>
    <n v="1"/>
    <n v="0"/>
    <n v="1596.28"/>
    <n v="0"/>
    <n v="0"/>
    <n v="0"/>
    <n v="0"/>
    <n v="0"/>
    <n v="0"/>
    <n v="52.241900000000001"/>
    <n v="1648.5219"/>
    <n v="329.70438000000001"/>
    <n v="24.727828499999998"/>
    <n v="16.485219000000001"/>
    <n v="3.2970438"/>
    <n v="41.213047500000002"/>
    <n v="131.88175200000001"/>
    <n v="65.940876000000003"/>
    <n v="9.8911314000000008"/>
    <n v="623.14127819999999"/>
    <n v="137.376825"/>
    <n v="183.16909999999999"/>
    <n v="121.16635965"/>
    <n v="441.71228465000002"/>
    <n v="160.22320000000002"/>
    <n v="582"/>
    <n v="0"/>
    <n v="51.88"/>
    <n v="0"/>
    <n v="0"/>
    <n v="3.36"/>
    <n v="0"/>
    <n v="797.46320000000003"/>
    <n v="1862.31676285"/>
    <n v="11.559051416493055"/>
    <n v="0.92472411331944449"/>
    <n v="0.36988964532777785"/>
    <n v="5.7698266500000006"/>
    <n v="2.1809944737000007"/>
    <n v="50.40813631999999"/>
    <n v="1.3737682500000001"/>
    <n v="72.586390868840269"/>
    <n v="13.920851599999999"/>
    <n v="3.3428360749999997"/>
    <n v="0.28162249125"/>
    <n v="0.34344206250000003"/>
    <n v="2.1369728333333331"/>
    <n v="7.5697240734675013"/>
    <n v="27.595449135550833"/>
    <n v="0"/>
    <n v="0"/>
    <n v="0"/>
    <n v="0"/>
    <n v="27.595449135550833"/>
    <n v="100.80916666666666"/>
    <n v="35.518212958583888"/>
    <n v="64.529393914825576"/>
    <n v="690.27153277931654"/>
    <n v="0"/>
    <n v="891.12830631939266"/>
    <n v="4502.1488091737838"/>
    <n v="189.64880140242613"/>
    <n v="159.30499317803796"/>
    <n v="8.6609686609686695E-2"/>
    <n v="1.880341880341882E-2"/>
    <n v="0.03"/>
    <n v="3.4188034188034219E-2"/>
    <n v="0.1225"/>
    <n v="0.13960113960113973"/>
    <n v="677.21945180614921"/>
    <n v="1026.1732463866133"/>
    <n v="5528.3220555603966"/>
    <n v="66339.864666724752"/>
    <d v="2025-01-01T00:00:00"/>
    <s v="-"/>
    <s v="-"/>
  </r>
  <r>
    <s v="2.471.04"/>
    <x v="152"/>
    <x v="0"/>
    <s v="Fethemg Interior"/>
    <s v="Limpeza"/>
    <x v="0"/>
    <n v="1"/>
    <n v="0"/>
    <n v="798.14"/>
    <n v="0"/>
    <n v="0"/>
    <n v="0"/>
    <n v="0"/>
    <n v="0"/>
    <n v="0"/>
    <n v="26.120899999999999"/>
    <n v="824.26089999999999"/>
    <n v="164.85218"/>
    <n v="12.363913499999999"/>
    <n v="8.2426089999999999"/>
    <n v="1.6485217999999999"/>
    <n v="20.606522500000001"/>
    <n v="65.940871999999999"/>
    <n v="32.970435999999999"/>
    <n v="4.9455654000000004"/>
    <n v="311.57062020000001"/>
    <n v="68.688408333333328"/>
    <n v="91.584544444444433"/>
    <n v="60.583176149999993"/>
    <n v="220.85612892777775"/>
    <n v="208.11160000000001"/>
    <n v="582"/>
    <n v="0"/>
    <n v="0"/>
    <n v="15.07"/>
    <n v="0"/>
    <n v="3.36"/>
    <n v="0"/>
    <n v="808.54160000000002"/>
    <n v="1340.9683491277779"/>
    <n v="5.7795253576581791"/>
    <n v="0.46236202861265435"/>
    <n v="0.18494481144506175"/>
    <n v="2.8849131500000005"/>
    <n v="1.0904971707000004"/>
    <n v="25.204066631111107"/>
    <n v="0.6868840833333334"/>
    <n v="36.293193232860339"/>
    <n v="6.9604253777777769"/>
    <n v="1.671417936111111"/>
    <n v="0.14081123708333332"/>
    <n v="0.17172102083333335"/>
    <n v="1.0684863518518517"/>
    <n v="3.7848618071425006"/>
    <n v="13.797723730799909"/>
    <n v="0"/>
    <n v="0"/>
    <n v="0"/>
    <n v="0"/>
    <n v="13.797723730799909"/>
    <n v="62.806666666666665"/>
    <n v="17.759106479291944"/>
    <n v="32.264696957412788"/>
    <n v="345.13576638965827"/>
    <n v="0"/>
    <n v="457.96623649302967"/>
    <n v="2673.2864025844674"/>
    <n v="189.64880140242613"/>
    <n v="159.30499317803796"/>
    <n v="8.7608069164265154E-2"/>
    <n v="1.9020172910662814E-2"/>
    <n v="0.04"/>
    <n v="4.6109510086455294E-2"/>
    <n v="0.13250000000000001"/>
    <n v="0.15273775216138324"/>
    <n v="461.61017420674733"/>
    <n v="810.56396878721148"/>
    <n v="3483.8503713716791"/>
    <n v="41806.204456460153"/>
    <d v="2025-01-01T00:00:00"/>
    <s v="-"/>
    <s v="-"/>
  </r>
  <r>
    <s v="2.470.03"/>
    <x v="153"/>
    <x v="2"/>
    <s v="Fethemg Interior"/>
    <s v="Limpeza"/>
    <x v="0"/>
    <n v="2"/>
    <n v="0"/>
    <n v="1088.3599999999999"/>
    <n v="0"/>
    <n v="0"/>
    <n v="0"/>
    <n v="0"/>
    <n v="0"/>
    <n v="0"/>
    <n v="39.180999999999997"/>
    <n v="1127.5409999999999"/>
    <n v="225.50819999999999"/>
    <n v="16.913114999999998"/>
    <n v="11.275409999999999"/>
    <n v="2.2550819999999998"/>
    <n v="28.188524999999998"/>
    <n v="90.203279999999992"/>
    <n v="45.101639999999996"/>
    <n v="6.7652459999999994"/>
    <n v="426.21049799999992"/>
    <n v="93.961749999999995"/>
    <n v="125.28233333333333"/>
    <n v="82.874263499999984"/>
    <n v="302.11834683333331"/>
    <n v="446.69839999999999"/>
    <n v="1164"/>
    <n v="0"/>
    <n v="0"/>
    <n v="30.14"/>
    <n v="0"/>
    <n v="6.72"/>
    <n v="0"/>
    <n v="1647.5584000000001"/>
    <n v="2375.8872448333332"/>
    <n v="7.9060547471064808"/>
    <n v="0.63248437976851857"/>
    <n v="0.25299375190740742"/>
    <n v="3.9463935000000006"/>
    <n v="1.4917367430000004"/>
    <n v="34.477698133333327"/>
    <n v="0.93961749999999999"/>
    <n v="49.646978755115732"/>
    <n v="9.5214573333333323"/>
    <n v="2.286402583333333"/>
    <n v="0.1926215875"/>
    <n v="0.234904375"/>
    <n v="1.4616272222222222"/>
    <n v="5.1774709523250007"/>
    <n v="18.874484053713886"/>
    <n v="0"/>
    <n v="0"/>
    <n v="0"/>
    <n v="0"/>
    <n v="18.874484053713886"/>
    <n v="125.61333333333333"/>
    <n v="24.216963380852651"/>
    <n v="43.997314032835618"/>
    <n v="470.6396814404431"/>
    <n v="0"/>
    <n v="664.46729218746464"/>
    <n v="4236.4169998296275"/>
    <n v="379.29760280485226"/>
    <n v="318.60998635607592"/>
    <n v="8.7106017191977067E-2"/>
    <n v="1.8911174785100283E-2"/>
    <n v="3.5000000000000003E-2"/>
    <n v="4.0114613180515762E-2"/>
    <n v="0.1275"/>
    <n v="0.14613180515759311"/>
    <n v="721.06175942268862"/>
    <n v="1418.9693485836169"/>
    <n v="5655.3863484132444"/>
    <n v="67864.636180958929"/>
    <d v="2025-01-01T00:00:00"/>
    <s v="-"/>
    <s v="-"/>
  </r>
  <r>
    <s v="2.470.05"/>
    <x v="153"/>
    <x v="3"/>
    <s v="Fethemg Interior"/>
    <s v="Limpeza"/>
    <x v="0"/>
    <n v="1"/>
    <n v="0"/>
    <n v="1088.3699999999999"/>
    <n v="0"/>
    <n v="0"/>
    <n v="0"/>
    <n v="0"/>
    <n v="0"/>
    <n v="0"/>
    <n v="39.1813"/>
    <n v="1127.5512999999999"/>
    <n v="225.51025999999999"/>
    <n v="16.913269499999998"/>
    <n v="11.275512999999998"/>
    <n v="2.2551025999999998"/>
    <n v="28.188782499999999"/>
    <n v="90.204103999999987"/>
    <n v="45.102051999999993"/>
    <n v="6.7653077999999995"/>
    <n v="426.21439139999995"/>
    <n v="93.962608333333321"/>
    <n v="125.28347777777776"/>
    <n v="82.875020549999988"/>
    <n v="302.12110666111107"/>
    <n v="190.69780000000003"/>
    <n v="582"/>
    <n v="0"/>
    <n v="0"/>
    <n v="15.07"/>
    <n v="0"/>
    <n v="3.36"/>
    <n v="0"/>
    <n v="791.12780000000009"/>
    <n v="1519.4632980611111"/>
    <n v="7.9061269683063262"/>
    <n v="0.6324901574645061"/>
    <n v="0.25299606298580246"/>
    <n v="3.94642955"/>
    <n v="1.4917503699000003"/>
    <n v="34.478013084444434"/>
    <n v="0.93962608333333331"/>
    <n v="49.647432276434401"/>
    <n v="9.5215443111111089"/>
    <n v="2.2864234694444439"/>
    <n v="0.19262334708333331"/>
    <n v="0.23490652083333333"/>
    <n v="1.4616405740740739"/>
    <n v="5.1775182481225004"/>
    <n v="18.874656470668793"/>
    <n v="0"/>
    <n v="0"/>
    <n v="0"/>
    <n v="0"/>
    <n v="18.874656470668793"/>
    <n v="100.80916666666666"/>
    <n v="24.216963380852651"/>
    <n v="43.997314032835618"/>
    <n v="470.6396814404431"/>
    <n v="0"/>
    <n v="639.66312552079808"/>
    <n v="3355.1998123290123"/>
    <n v="189.64880140242613"/>
    <n v="159.30499317803796"/>
    <n v="8.7106017191977067E-2"/>
    <n v="1.8911174785100283E-2"/>
    <n v="3.5000000000000003E-2"/>
    <n v="4.0114613180515762E-2"/>
    <n v="0.1275"/>
    <n v="0.14613180515759311"/>
    <n v="541.29465315869129"/>
    <n v="890.24844773915538"/>
    <n v="4245.4482600681677"/>
    <n v="50945.379120818012"/>
    <d v="2025-01-01T00:00:00"/>
    <s v="-"/>
    <s v="-"/>
  </r>
  <r>
    <s v="2.472.04"/>
    <x v="154"/>
    <x v="0"/>
    <s v="Regiao de Sao Lourenco"/>
    <s v="Limpeza"/>
    <x v="0"/>
    <n v="1"/>
    <n v="0"/>
    <n v="798.14"/>
    <n v="0"/>
    <n v="0"/>
    <n v="0"/>
    <n v="0"/>
    <n v="0"/>
    <n v="0"/>
    <n v="26.120899999999999"/>
    <n v="824.26089999999999"/>
    <n v="164.85218"/>
    <n v="12.363913499999999"/>
    <n v="8.2426089999999999"/>
    <n v="1.6485217999999999"/>
    <n v="20.606522500000001"/>
    <n v="65.940871999999999"/>
    <n v="32.970435999999999"/>
    <n v="4.9455654000000004"/>
    <n v="311.57062020000001"/>
    <n v="68.688408333333328"/>
    <n v="91.584544444444433"/>
    <n v="60.583176149999993"/>
    <n v="220.85612892777775"/>
    <n v="208.11160000000001"/>
    <n v="582"/>
    <n v="0"/>
    <n v="0"/>
    <n v="0"/>
    <n v="0"/>
    <n v="3.36"/>
    <n v="0"/>
    <n v="793.47159999999997"/>
    <n v="1325.8983491277777"/>
    <n v="5.7795253576581791"/>
    <n v="0.46236202861265435"/>
    <n v="0.18494481144506175"/>
    <n v="2.8849131500000005"/>
    <n v="1.0904971707000004"/>
    <n v="25.204066631111107"/>
    <n v="0.6868840833333334"/>
    <n v="36.293193232860339"/>
    <n v="6.9604253777777769"/>
    <n v="1.671417936111111"/>
    <n v="0.14081123708333332"/>
    <n v="0.17172102083333335"/>
    <n v="1.0684863518518517"/>
    <n v="3.7848618071425006"/>
    <n v="13.797723730799909"/>
    <n v="0"/>
    <n v="0"/>
    <n v="0"/>
    <n v="0"/>
    <n v="13.797723730799909"/>
    <n v="62.806666666666665"/>
    <n v="17.759106479291944"/>
    <n v="32.264696957412788"/>
    <n v="345.13576638965827"/>
    <n v="0"/>
    <n v="457.96623649302967"/>
    <n v="2658.2164025844677"/>
    <n v="189.64880140242613"/>
    <n v="159.30499317803796"/>
    <n v="8.6609686609686695E-2"/>
    <n v="1.880341880341882E-2"/>
    <n v="0.03"/>
    <n v="3.4188034188034219E-2"/>
    <n v="0.1225"/>
    <n v="0.13960113960113973"/>
    <n v="419.80438649880853"/>
    <n v="768.75818107927262"/>
    <n v="3426.9745836637403"/>
    <n v="41123.69500396488"/>
    <d v="2025-01-01T00:00:00"/>
    <s v="-"/>
    <s v="-"/>
  </r>
  <r>
    <s v="2.474.04"/>
    <x v="155"/>
    <x v="0"/>
    <s v="Sete Lagoas"/>
    <s v="Limpeza"/>
    <x v="0"/>
    <n v="1"/>
    <n v="0"/>
    <n v="824.56"/>
    <n v="0"/>
    <n v="0"/>
    <n v="0"/>
    <n v="0"/>
    <n v="0"/>
    <n v="0"/>
    <n v="26.985600000000002"/>
    <n v="851.54559999999992"/>
    <n v="170.30912000000001"/>
    <n v="12.773183999999999"/>
    <n v="8.5154559999999986"/>
    <n v="1.7030911999999998"/>
    <n v="21.288640000000001"/>
    <n v="68.123647999999989"/>
    <n v="34.061823999999994"/>
    <n v="5.1092735999999999"/>
    <n v="321.8842368"/>
    <n v="70.962133333333327"/>
    <n v="94.616177777777764"/>
    <n v="62.588601599999997"/>
    <n v="228.16691271111108"/>
    <n v="206.5264"/>
    <n v="582"/>
    <n v="0"/>
    <n v="51.86"/>
    <n v="0"/>
    <n v="0"/>
    <n v="3.36"/>
    <n v="0"/>
    <n v="843.74639999999999"/>
    <n v="1393.7975495111111"/>
    <n v="5.970839316049382"/>
    <n v="0.4776671452839506"/>
    <n v="0.19106685811358026"/>
    <n v="2.9804096000000002"/>
    <n v="1.1265948288000003"/>
    <n v="26.038372124444439"/>
    <n v="0.70962133333333333"/>
    <n v="37.494571206024688"/>
    <n v="7.1908295111111098"/>
    <n v="1.7267452444444442"/>
    <n v="0.14547237333333332"/>
    <n v="0.17740533333333333"/>
    <n v="1.1038554074074072"/>
    <n v="3.9101483747200003"/>
    <n v="14.254456244349628"/>
    <n v="0"/>
    <n v="0"/>
    <n v="0"/>
    <n v="0"/>
    <n v="14.254456244349628"/>
    <n v="62.806666666666665"/>
    <n v="17.759106479291944"/>
    <n v="32.264696957412788"/>
    <n v="345.13576638965827"/>
    <n v="0"/>
    <n v="457.96623649302967"/>
    <n v="2755.0584134545147"/>
    <n v="189.64880140242613"/>
    <n v="159.30499317803796"/>
    <n v="8.6609686609686695E-2"/>
    <n v="1.880341880341882E-2"/>
    <n v="0.03"/>
    <n v="3.4188034188034219E-2"/>
    <n v="0.1225"/>
    <n v="0.13960113960113973"/>
    <n v="433.32364157753307"/>
    <n v="782.27743615799716"/>
    <n v="3537.335849612512"/>
    <n v="42448.030195350148"/>
    <d v="2025-01-01T00:00:00"/>
    <s v="-"/>
    <s v="-"/>
  </r>
  <r>
    <s v="2.479.06"/>
    <x v="156"/>
    <x v="1"/>
    <s v="Regiao de Sao Lourenco"/>
    <s v="Limpeza"/>
    <x v="0"/>
    <n v="2"/>
    <n v="0"/>
    <n v="3192.56"/>
    <n v="0"/>
    <n v="0"/>
    <n v="0"/>
    <n v="0"/>
    <n v="0"/>
    <n v="0"/>
    <n v="104.4838"/>
    <n v="3297.0437999999999"/>
    <n v="659.40876000000003"/>
    <n v="49.455656999999995"/>
    <n v="32.970438000000001"/>
    <n v="6.5940875999999999"/>
    <n v="82.426095000000004"/>
    <n v="263.76350400000001"/>
    <n v="131.88175200000001"/>
    <n v="19.782262800000002"/>
    <n v="1246.2825564"/>
    <n v="274.75364999999999"/>
    <n v="366.33819999999997"/>
    <n v="242.33271930000001"/>
    <n v="883.42456930000003"/>
    <n v="320.44640000000004"/>
    <n v="1164"/>
    <n v="0"/>
    <n v="0"/>
    <n v="0"/>
    <n v="0"/>
    <n v="6.72"/>
    <n v="0"/>
    <n v="1491.1664000000001"/>
    <n v="3620.8735256999998"/>
    <n v="23.118102832986111"/>
    <n v="1.849448226638889"/>
    <n v="0.7397792906555557"/>
    <n v="11.539653300000001"/>
    <n v="4.3619889474000013"/>
    <n v="100.81627263999998"/>
    <n v="2.7475365000000003"/>
    <n v="145.17278173768054"/>
    <n v="27.841703199999998"/>
    <n v="6.6856721499999994"/>
    <n v="0.56324498249999999"/>
    <n v="0.68688412500000007"/>
    <n v="4.2739456666666662"/>
    <n v="15.139448146935003"/>
    <n v="55.190898271101666"/>
    <n v="0"/>
    <n v="0"/>
    <n v="0"/>
    <n v="0"/>
    <n v="55.190898271101666"/>
    <n v="201.61833333333331"/>
    <n v="71.036425917167776"/>
    <n v="129.05878782965115"/>
    <n v="1380.5430655586331"/>
    <n v="0"/>
    <n v="1782.2566126387853"/>
    <n v="8900.5376183475673"/>
    <n v="379.29760280485226"/>
    <n v="318.60998635607592"/>
    <n v="8.6609686609686695E-2"/>
    <n v="1.880341880341882E-2"/>
    <n v="0.03"/>
    <n v="3.4188034188034219E-2"/>
    <n v="0.1225"/>
    <n v="0.13960113960113973"/>
    <n v="1339.9538893672841"/>
    <n v="2037.8614785282123"/>
    <n v="10938.399096875779"/>
    <n v="131260.78916250935"/>
    <d v="2025-01-01T00:00:00"/>
    <s v="-"/>
    <s v="-"/>
  </r>
  <r>
    <s v="2.480.06"/>
    <x v="157"/>
    <x v="1"/>
    <s v="Regiao Uberaba"/>
    <s v="Limpeza"/>
    <x v="0"/>
    <n v="5"/>
    <n v="0"/>
    <n v="7981.4"/>
    <n v="0"/>
    <n v="0"/>
    <n v="0"/>
    <n v="0"/>
    <n v="0"/>
    <n v="0"/>
    <n v="261.20949999999999"/>
    <n v="8242.6095000000005"/>
    <n v="1648.5219000000002"/>
    <n v="123.63914249999999"/>
    <n v="82.426095000000004"/>
    <n v="16.485219000000001"/>
    <n v="206.06523750000002"/>
    <n v="659.40876000000003"/>
    <n v="329.70438000000001"/>
    <n v="49.455657000000002"/>
    <n v="3115.7063909999997"/>
    <n v="686.88412500000004"/>
    <n v="915.8454999999999"/>
    <n v="605.83179825000002"/>
    <n v="2208.5614232500002"/>
    <n v="801.1160000000001"/>
    <n v="2910"/>
    <n v="0"/>
    <n v="259.3"/>
    <n v="0"/>
    <n v="0"/>
    <n v="16.8"/>
    <n v="0"/>
    <n v="3987.2160000000003"/>
    <n v="9311.4838142500012"/>
    <n v="57.795257082465277"/>
    <n v="4.6236205665972223"/>
    <n v="1.8494482266388892"/>
    <n v="28.849133250000001"/>
    <n v="10.904972368500003"/>
    <n v="252.04068159999994"/>
    <n v="6.8688412500000009"/>
    <n v="362.93195434420136"/>
    <n v="69.604257999999987"/>
    <n v="16.714180374999998"/>
    <n v="1.40811245625"/>
    <n v="1.7172103125000002"/>
    <n v="10.684864166666665"/>
    <n v="37.848620367337503"/>
    <n v="137.97724567775415"/>
    <n v="0"/>
    <n v="0"/>
    <n v="0"/>
    <n v="0"/>
    <n v="137.97724567775415"/>
    <n v="504.04583333333329"/>
    <n v="177.59106479291944"/>
    <n v="322.64696957412787"/>
    <n v="3451.3576638965828"/>
    <n v="0"/>
    <n v="4455.6415315969634"/>
    <n v="22510.644045868918"/>
    <n v="948.24400701213062"/>
    <n v="796.52496589018983"/>
    <n v="8.5633802816901458E-2"/>
    <n v="1.8591549295774657E-2"/>
    <n v="0.02"/>
    <n v="2.2535211267605645E-2"/>
    <n v="0.1125"/>
    <n v="0.12676056338028174"/>
    <n v="3074.6298192808622"/>
    <n v="4819.3987921831822"/>
    <n v="27330.042838052101"/>
    <n v="327960.51405662519"/>
    <d v="2025-01-01T00:00:00"/>
    <s v="-"/>
    <s v="-"/>
  </r>
  <r>
    <s v="2.486.05"/>
    <x v="158"/>
    <x v="3"/>
    <s v="Fethemg Interior"/>
    <s v="Limpeza"/>
    <x v="0"/>
    <n v="1"/>
    <n v="0"/>
    <n v="1088.3699999999999"/>
    <n v="0"/>
    <n v="0"/>
    <n v="0"/>
    <n v="0"/>
    <n v="0"/>
    <n v="0"/>
    <n v="39.1813"/>
    <n v="1127.5512999999999"/>
    <n v="225.51025999999999"/>
    <n v="16.913269499999998"/>
    <n v="11.275512999999998"/>
    <n v="2.2551025999999998"/>
    <n v="28.188782499999999"/>
    <n v="90.204103999999987"/>
    <n v="45.102051999999993"/>
    <n v="6.7653077999999995"/>
    <n v="426.21439139999995"/>
    <n v="93.962608333333321"/>
    <n v="125.28347777777776"/>
    <n v="82.875020549999988"/>
    <n v="302.12110666111107"/>
    <n v="190.69780000000003"/>
    <n v="582"/>
    <n v="0"/>
    <n v="0"/>
    <n v="15.07"/>
    <n v="0"/>
    <n v="3.36"/>
    <n v="0"/>
    <n v="791.12780000000009"/>
    <n v="1519.4632980611111"/>
    <n v="7.9061269683063262"/>
    <n v="0.6324901574645061"/>
    <n v="0.25299606298580246"/>
    <n v="3.94642955"/>
    <n v="1.4917503699000003"/>
    <n v="34.478013084444434"/>
    <n v="0.93962608333333331"/>
    <n v="49.647432276434401"/>
    <n v="9.5215443111111089"/>
    <n v="2.2864234694444439"/>
    <n v="0.19262334708333331"/>
    <n v="0.23490652083333333"/>
    <n v="1.4616405740740739"/>
    <n v="5.1775182481225004"/>
    <n v="18.874656470668793"/>
    <n v="0"/>
    <n v="0"/>
    <n v="0"/>
    <n v="0"/>
    <n v="18.874656470668793"/>
    <n v="100.80916666666666"/>
    <n v="24.216963380852651"/>
    <n v="43.997314032835618"/>
    <n v="470.6396814404431"/>
    <n v="0"/>
    <n v="639.66312552079808"/>
    <n v="3355.1998123290123"/>
    <n v="189.64880140242613"/>
    <n v="159.30499317803796"/>
    <n v="8.8629737609329504E-2"/>
    <n v="1.9241982507288629E-2"/>
    <n v="0.05"/>
    <n v="5.8309037900874633E-2"/>
    <n v="0.14250000000000002"/>
    <n v="0.16618075801749277"/>
    <n v="615.55905420944669"/>
    <n v="964.51284878991078"/>
    <n v="4319.7126611189233"/>
    <n v="51836.551933427079"/>
    <d v="2025-01-01T00:00:00"/>
    <s v="-"/>
    <s v="-"/>
  </r>
  <r>
    <s v="2.487.04"/>
    <x v="159"/>
    <x v="0"/>
    <s v="Regiao de Teofilo Otoni"/>
    <s v="Limpeza"/>
    <x v="0"/>
    <n v="1"/>
    <n v="0"/>
    <n v="798.14"/>
    <n v="0"/>
    <n v="0"/>
    <n v="0"/>
    <n v="0"/>
    <n v="0"/>
    <n v="0"/>
    <n v="26.120899999999999"/>
    <n v="824.26089999999999"/>
    <n v="164.85218"/>
    <n v="12.363913499999999"/>
    <n v="8.2426089999999999"/>
    <n v="1.6485217999999999"/>
    <n v="20.606522500000001"/>
    <n v="65.940871999999999"/>
    <n v="32.970435999999999"/>
    <n v="4.9455654000000004"/>
    <n v="311.57062020000001"/>
    <n v="68.688408333333328"/>
    <n v="91.584544444444433"/>
    <n v="60.583176149999993"/>
    <n v="220.85612892777775"/>
    <n v="208.11160000000001"/>
    <n v="582"/>
    <n v="0"/>
    <n v="0"/>
    <n v="15.07"/>
    <n v="0"/>
    <n v="3.36"/>
    <n v="0"/>
    <n v="808.54160000000002"/>
    <n v="1340.9683491277779"/>
    <n v="5.7795253576581791"/>
    <n v="0.46236202861265435"/>
    <n v="0.18494481144506175"/>
    <n v="2.8849131500000005"/>
    <n v="1.0904971707000004"/>
    <n v="25.204066631111107"/>
    <n v="0.6868840833333334"/>
    <n v="36.293193232860339"/>
    <n v="6.9604253777777769"/>
    <n v="1.671417936111111"/>
    <n v="0.14081123708333332"/>
    <n v="0.17172102083333335"/>
    <n v="1.0684863518518517"/>
    <n v="3.7848618071425006"/>
    <n v="13.797723730799909"/>
    <n v="0"/>
    <n v="0"/>
    <n v="0"/>
    <n v="0"/>
    <n v="13.797723730799909"/>
    <n v="62.806666666666665"/>
    <n v="17.759106479291944"/>
    <n v="32.264696957412788"/>
    <n v="345.13576638965827"/>
    <n v="0"/>
    <n v="457.96623649302967"/>
    <n v="2673.2864025844674"/>
    <n v="189.64880140242613"/>
    <n v="159.30499317803796"/>
    <n v="8.8629737609329504E-2"/>
    <n v="1.9241982507288629E-2"/>
    <n v="0.05"/>
    <n v="5.8309037900874633E-2"/>
    <n v="0.14250000000000002"/>
    <n v="0.16618075801749277"/>
    <n v="502.23816687580512"/>
    <n v="851.19196145626915"/>
    <n v="3524.4783640407368"/>
    <n v="42293.740368488841"/>
    <d v="2025-01-01T00:00:00"/>
    <s v="-"/>
    <s v="-"/>
  </r>
  <r>
    <s v="2.210.06"/>
    <x v="160"/>
    <x v="1"/>
    <s v="Fethemg RM"/>
    <s v="Limpeza"/>
    <x v="0"/>
    <n v="1"/>
    <n v="0"/>
    <n v="1649.12"/>
    <n v="0"/>
    <n v="0"/>
    <n v="0"/>
    <n v="0"/>
    <n v="0"/>
    <n v="0"/>
    <n v="53.971200000000003"/>
    <n v="1703.0911999999998"/>
    <n v="340.61824000000001"/>
    <n v="25.546367999999998"/>
    <n v="17.030911999999997"/>
    <n v="3.4061823999999996"/>
    <n v="42.577280000000002"/>
    <n v="136.24729599999998"/>
    <n v="68.123647999999989"/>
    <n v="10.2185472"/>
    <n v="643.76847359999999"/>
    <n v="141.92426666666665"/>
    <n v="189.23235555555553"/>
    <n v="125.17720319999999"/>
    <n v="456.33382542222216"/>
    <n v="157.05279999999999"/>
    <n v="582"/>
    <n v="0"/>
    <n v="0"/>
    <n v="15.07"/>
    <n v="0"/>
    <n v="3.36"/>
    <n v="0"/>
    <n v="757.4828"/>
    <n v="1857.5850990222223"/>
    <n v="11.941678632098764"/>
    <n v="0.9553342905679012"/>
    <n v="0.38213371622716052"/>
    <n v="5.9608192000000004"/>
    <n v="2.2531896576000006"/>
    <n v="52.076744248888879"/>
    <n v="1.4192426666666667"/>
    <n v="74.989142412049375"/>
    <n v="14.38165902222222"/>
    <n v="3.4534904888888884"/>
    <n v="0.29094474666666664"/>
    <n v="0.35481066666666666"/>
    <n v="2.2077108148148143"/>
    <n v="7.8202967494400006"/>
    <n v="28.508912488699256"/>
    <n v="0"/>
    <n v="0"/>
    <n v="0"/>
    <n v="0"/>
    <n v="28.508912488699256"/>
    <n v="100.80916666666666"/>
    <n v="35.518212958583888"/>
    <n v="64.529393914825576"/>
    <n v="690.27153277931654"/>
    <n v="0"/>
    <n v="891.12830631939266"/>
    <n v="4555.3026602423633"/>
    <n v="189.64880140242613"/>
    <n v="159.30499317803796"/>
    <n v="8.6314593980692772E-2"/>
    <n v="1.8739352640545163E-2"/>
    <n v="2.7E-2"/>
    <n v="3.0664395229982988E-2"/>
    <n v="0.1195"/>
    <n v="0.13571834185122092"/>
    <n v="665.59755406170132"/>
    <n v="1014.5513486421654"/>
    <n v="5569.8540088845284"/>
    <n v="66838.248106614337"/>
    <d v="2025-01-01T00:00:00"/>
    <s v="-"/>
    <s v="-"/>
  </r>
  <r>
    <s v="2.498.04"/>
    <x v="161"/>
    <x v="0"/>
    <s v="Alto Paranaiba"/>
    <s v="Limpeza"/>
    <x v="0"/>
    <n v="1"/>
    <n v="0"/>
    <n v="798.14"/>
    <n v="0"/>
    <n v="0"/>
    <n v="0"/>
    <n v="0"/>
    <n v="0"/>
    <n v="0"/>
    <n v="26.120899999999999"/>
    <n v="824.26089999999999"/>
    <n v="164.85218"/>
    <n v="12.363913499999999"/>
    <n v="8.2426089999999999"/>
    <n v="1.6485217999999999"/>
    <n v="20.606522500000001"/>
    <n v="65.940871999999999"/>
    <n v="32.970435999999999"/>
    <n v="4.9455654000000004"/>
    <n v="311.57062020000001"/>
    <n v="68.688408333333328"/>
    <n v="91.584544444444433"/>
    <n v="60.583176149999993"/>
    <n v="220.85612892777775"/>
    <n v="208.11160000000001"/>
    <n v="0"/>
    <n v="387.79"/>
    <n v="42.97"/>
    <n v="0"/>
    <n v="0"/>
    <n v="3.36"/>
    <n v="0"/>
    <n v="642.23160000000007"/>
    <n v="1174.6583491277779"/>
    <n v="5.7795253576581791"/>
    <n v="0.46236202861265435"/>
    <n v="0.18494481144506175"/>
    <n v="2.8849131500000005"/>
    <n v="1.0904971707000004"/>
    <n v="25.204066631111107"/>
    <n v="0.6868840833333334"/>
    <n v="36.293193232860339"/>
    <n v="6.9604253777777769"/>
    <n v="1.671417936111111"/>
    <n v="0.14081123708333332"/>
    <n v="0.17172102083333335"/>
    <n v="1.0684863518518517"/>
    <n v="3.7848618071425006"/>
    <n v="13.797723730799909"/>
    <n v="0"/>
    <n v="0"/>
    <n v="0"/>
    <n v="0"/>
    <n v="13.797723730799909"/>
    <n v="62.806666666666665"/>
    <n v="17.759106479291944"/>
    <n v="32.264696957412788"/>
    <n v="345.13576638965827"/>
    <n v="0"/>
    <n v="457.96623649302967"/>
    <n v="2506.9764025844679"/>
    <n v="189.64880140242613"/>
    <n v="159.30499317803796"/>
    <n v="8.6609686609686695E-2"/>
    <n v="1.880341880341882E-2"/>
    <n v="0.03"/>
    <n v="3.4188034188034219E-2"/>
    <n v="0.1225"/>
    <n v="0.13960113960113973"/>
    <n v="398.69111014553221"/>
    <n v="747.6449047259963"/>
    <n v="3254.6213073104641"/>
    <n v="39055.455687725567"/>
    <d v="2025-01-01T00:00:00"/>
    <s v="-"/>
    <s v="-"/>
  </r>
  <r>
    <s v="2.508.04"/>
    <x v="162"/>
    <x v="0"/>
    <s v="Regiao de Ouro Preto"/>
    <s v="Limpeza"/>
    <x v="0"/>
    <n v="1"/>
    <n v="0"/>
    <n v="798.14"/>
    <n v="0"/>
    <n v="0"/>
    <n v="0"/>
    <n v="0"/>
    <n v="0"/>
    <n v="0"/>
    <n v="26.120899999999999"/>
    <n v="824.26089999999999"/>
    <n v="164.85218"/>
    <n v="12.363913499999999"/>
    <n v="8.2426089999999999"/>
    <n v="1.6485217999999999"/>
    <n v="20.606522500000001"/>
    <n v="65.940871999999999"/>
    <n v="32.970435999999999"/>
    <n v="4.9455654000000004"/>
    <n v="311.57062020000001"/>
    <n v="68.688408333333328"/>
    <n v="91.584544444444433"/>
    <n v="60.583176149999993"/>
    <n v="220.85612892777775"/>
    <n v="208.11160000000001"/>
    <n v="582"/>
    <n v="0"/>
    <n v="0"/>
    <n v="0"/>
    <n v="0"/>
    <n v="3.36"/>
    <n v="0"/>
    <n v="793.47159999999997"/>
    <n v="1325.8983491277777"/>
    <n v="5.7795253576581791"/>
    <n v="0.46236202861265435"/>
    <n v="0.18494481144506175"/>
    <n v="2.8849131500000005"/>
    <n v="1.0904971707000004"/>
    <n v="25.204066631111107"/>
    <n v="0.6868840833333334"/>
    <n v="36.293193232860339"/>
    <n v="6.9604253777777769"/>
    <n v="1.671417936111111"/>
    <n v="0.14081123708333332"/>
    <n v="0.17172102083333335"/>
    <n v="1.0684863518518517"/>
    <n v="3.7848618071425006"/>
    <n v="13.797723730799909"/>
    <n v="0"/>
    <n v="0"/>
    <n v="0"/>
    <n v="0"/>
    <n v="13.797723730799909"/>
    <n v="62.806666666666665"/>
    <n v="17.759106479291944"/>
    <n v="32.264696957412788"/>
    <n v="345.13576638965827"/>
    <n v="0"/>
    <n v="457.96623649302967"/>
    <n v="2658.2164025844677"/>
    <n v="189.64880140242613"/>
    <n v="159.30499317803796"/>
    <n v="8.5633802816901458E-2"/>
    <n v="1.8591549295774657E-2"/>
    <n v="0.02"/>
    <n v="2.2535211267605645E-2"/>
    <n v="0.1125"/>
    <n v="0.12676056338028174"/>
    <n v="381.19058837301969"/>
    <n v="730.14438295348373"/>
    <n v="3388.3607855379514"/>
    <n v="40660.329426455413"/>
    <d v="2025-01-01T00:00:00"/>
    <s v="-"/>
    <s v="-"/>
  </r>
  <r>
    <s v="2.512.05"/>
    <x v="163"/>
    <x v="3"/>
    <s v="Sethac Norte de Minas"/>
    <s v="Limpeza"/>
    <x v="0"/>
    <n v="1"/>
    <n v="0"/>
    <n v="1088.3699999999999"/>
    <n v="0"/>
    <n v="0"/>
    <n v="0"/>
    <n v="0"/>
    <n v="0"/>
    <n v="0"/>
    <n v="39.1813"/>
    <n v="1127.5512999999999"/>
    <n v="225.51025999999999"/>
    <n v="16.913269499999998"/>
    <n v="11.275512999999998"/>
    <n v="2.2551025999999998"/>
    <n v="28.188782499999999"/>
    <n v="90.204103999999987"/>
    <n v="45.102051999999993"/>
    <n v="6.7653077999999995"/>
    <n v="426.21439139999995"/>
    <n v="93.962608333333321"/>
    <n v="125.28347777777776"/>
    <n v="82.875020549999988"/>
    <n v="302.12110666111107"/>
    <n v="190.69780000000003"/>
    <n v="582"/>
    <n v="0"/>
    <n v="51.86"/>
    <n v="0"/>
    <n v="0"/>
    <n v="3.36"/>
    <n v="0"/>
    <n v="827.91780000000006"/>
    <n v="1556.2532980611111"/>
    <n v="7.9061269683063262"/>
    <n v="0.6324901574645061"/>
    <n v="0.25299606298580246"/>
    <n v="3.94642955"/>
    <n v="1.4917503699000003"/>
    <n v="34.478013084444434"/>
    <n v="0.93962608333333331"/>
    <n v="49.647432276434401"/>
    <n v="9.5215443111111089"/>
    <n v="2.2864234694444439"/>
    <n v="0.19262334708333331"/>
    <n v="0.23490652083333333"/>
    <n v="1.4616405740740739"/>
    <n v="5.1775182481225004"/>
    <n v="18.874656470668793"/>
    <n v="0"/>
    <n v="0"/>
    <n v="0"/>
    <n v="0"/>
    <n v="18.874656470668793"/>
    <n v="100.80916666666666"/>
    <n v="24.216963380852651"/>
    <n v="43.997314032835618"/>
    <n v="470.6396814404431"/>
    <n v="0"/>
    <n v="639.66312552079808"/>
    <n v="3391.9898123290122"/>
    <n v="189.64880140242613"/>
    <n v="159.30499317803796"/>
    <n v="8.8629737609329504E-2"/>
    <n v="1.9241982507288629E-2"/>
    <n v="0.05"/>
    <n v="5.8309037900874633E-2"/>
    <n v="0.14250000000000002"/>
    <n v="0.16618075801749277"/>
    <n v="621.67284429691028"/>
    <n v="970.62663887737438"/>
    <n v="4362.616451206387"/>
    <n v="52351.39741447664"/>
    <d v="2025-01-01T00:00:00"/>
    <s v="-"/>
    <s v="-"/>
  </r>
  <r>
    <s v="2.514.04"/>
    <x v="164"/>
    <x v="0"/>
    <s v="Regiao de Divinopolis"/>
    <s v="Limpeza"/>
    <x v="0"/>
    <n v="1"/>
    <n v="0"/>
    <n v="798.14"/>
    <n v="0"/>
    <n v="0"/>
    <n v="0"/>
    <n v="0"/>
    <n v="0"/>
    <n v="0"/>
    <n v="26.120899999999999"/>
    <n v="824.26089999999999"/>
    <n v="164.85218"/>
    <n v="12.363913499999999"/>
    <n v="8.2426089999999999"/>
    <n v="1.6485217999999999"/>
    <n v="20.606522500000001"/>
    <n v="65.940871999999999"/>
    <n v="32.970435999999999"/>
    <n v="4.9455654000000004"/>
    <n v="311.57062020000001"/>
    <n v="68.688408333333328"/>
    <n v="91.584544444444433"/>
    <n v="60.583176149999993"/>
    <n v="220.85612892777775"/>
    <n v="208.11160000000001"/>
    <n v="582"/>
    <n v="0"/>
    <n v="0"/>
    <n v="0"/>
    <n v="0"/>
    <n v="3.36"/>
    <n v="0"/>
    <n v="793.47159999999997"/>
    <n v="1325.8983491277777"/>
    <n v="5.7795253576581791"/>
    <n v="0.46236202861265435"/>
    <n v="0.18494481144506175"/>
    <n v="2.8849131500000005"/>
    <n v="1.0904971707000004"/>
    <n v="25.204066631111107"/>
    <n v="0.6868840833333334"/>
    <n v="36.293193232860339"/>
    <n v="6.9604253777777769"/>
    <n v="1.671417936111111"/>
    <n v="0.14081123708333332"/>
    <n v="0.17172102083333335"/>
    <n v="1.0684863518518517"/>
    <n v="3.7848618071425006"/>
    <n v="13.797723730799909"/>
    <n v="0"/>
    <n v="0"/>
    <n v="0"/>
    <n v="0"/>
    <n v="13.797723730799909"/>
    <n v="62.806666666666665"/>
    <n v="17.759106479291944"/>
    <n v="32.264696957412788"/>
    <n v="345.13576638965827"/>
    <n v="0"/>
    <n v="457.96623649302967"/>
    <n v="2658.2164025844677"/>
    <n v="189.64880140242613"/>
    <n v="159.30499317803796"/>
    <n v="8.5633802816901458E-2"/>
    <n v="1.8591549295774657E-2"/>
    <n v="0.02"/>
    <n v="2.2535211267605645E-2"/>
    <n v="0.1125"/>
    <n v="0.12676056338028174"/>
    <n v="381.19058837301969"/>
    <n v="730.14438295348373"/>
    <n v="3388.3607855379514"/>
    <n v="40660.329426455413"/>
    <d v="2025-01-01T00:00:00"/>
    <s v="-"/>
    <s v="-"/>
  </r>
  <r>
    <s v="2.515.04"/>
    <x v="165"/>
    <x v="0"/>
    <s v="Regiao de Sao Lourenco"/>
    <s v="Limpeza"/>
    <x v="0"/>
    <n v="1"/>
    <n v="0"/>
    <n v="798.14"/>
    <n v="0"/>
    <n v="0"/>
    <n v="0"/>
    <n v="0"/>
    <n v="0"/>
    <n v="0"/>
    <n v="26.120899999999999"/>
    <n v="824.26089999999999"/>
    <n v="164.85218"/>
    <n v="12.363913499999999"/>
    <n v="8.2426089999999999"/>
    <n v="1.6485217999999999"/>
    <n v="20.606522500000001"/>
    <n v="65.940871999999999"/>
    <n v="32.970435999999999"/>
    <n v="4.9455654000000004"/>
    <n v="311.57062020000001"/>
    <n v="68.688408333333328"/>
    <n v="91.584544444444433"/>
    <n v="60.583176149999993"/>
    <n v="220.85612892777775"/>
    <n v="208.11160000000001"/>
    <n v="582"/>
    <n v="0"/>
    <n v="0"/>
    <n v="0"/>
    <n v="0"/>
    <n v="3.36"/>
    <n v="0"/>
    <n v="793.47159999999997"/>
    <n v="1325.8983491277777"/>
    <n v="5.7795253576581791"/>
    <n v="0.46236202861265435"/>
    <n v="0.18494481144506175"/>
    <n v="2.8849131500000005"/>
    <n v="1.0904971707000004"/>
    <n v="25.204066631111107"/>
    <n v="0.6868840833333334"/>
    <n v="36.293193232860339"/>
    <n v="6.9604253777777769"/>
    <n v="1.671417936111111"/>
    <n v="0.14081123708333332"/>
    <n v="0.17172102083333335"/>
    <n v="1.0684863518518517"/>
    <n v="3.7848618071425006"/>
    <n v="13.797723730799909"/>
    <n v="0"/>
    <n v="0"/>
    <n v="0"/>
    <n v="0"/>
    <n v="13.797723730799909"/>
    <n v="62.806666666666665"/>
    <n v="17.759106479291944"/>
    <n v="32.264696957412788"/>
    <n v="345.13576638965827"/>
    <n v="0"/>
    <n v="457.96623649302967"/>
    <n v="2658.2164025844677"/>
    <n v="189.64880140242613"/>
    <n v="159.30499317803796"/>
    <n v="8.8629737609329504E-2"/>
    <n v="1.9241982507288629E-2"/>
    <n v="0.05"/>
    <n v="5.8309037900874633E-2"/>
    <n v="0.14250000000000002"/>
    <n v="0.16618075801749277"/>
    <n v="499.73382285248152"/>
    <n v="848.68761743294567"/>
    <n v="3506.9040200174131"/>
    <n v="42082.848240208958"/>
    <d v="2025-01-01T00:00:00"/>
    <s v="-"/>
    <s v="-"/>
  </r>
  <r>
    <s v="2.517.06"/>
    <x v="166"/>
    <x v="1"/>
    <s v="Regiao de Sao Lourenco"/>
    <s v="Limpeza"/>
    <x v="0"/>
    <n v="1"/>
    <n v="0"/>
    <n v="1596.28"/>
    <n v="0"/>
    <n v="0"/>
    <n v="0"/>
    <n v="0"/>
    <n v="0"/>
    <n v="0"/>
    <n v="52.241900000000001"/>
    <n v="1648.5219"/>
    <n v="329.70438000000001"/>
    <n v="24.727828499999998"/>
    <n v="16.485219000000001"/>
    <n v="3.2970438"/>
    <n v="41.213047500000002"/>
    <n v="131.88175200000001"/>
    <n v="65.940876000000003"/>
    <n v="9.8911314000000008"/>
    <n v="623.14127819999999"/>
    <n v="137.376825"/>
    <n v="183.16909999999999"/>
    <n v="121.16635965"/>
    <n v="441.71228465000002"/>
    <n v="160.22320000000002"/>
    <n v="582"/>
    <n v="0"/>
    <n v="0"/>
    <n v="0"/>
    <n v="0"/>
    <n v="3.36"/>
    <n v="0"/>
    <n v="745.58320000000003"/>
    <n v="1810.4367628499999"/>
    <n v="11.559051416493055"/>
    <n v="0.92472411331944449"/>
    <n v="0.36988964532777785"/>
    <n v="5.7698266500000006"/>
    <n v="2.1809944737000007"/>
    <n v="50.40813631999999"/>
    <n v="1.3737682500000001"/>
    <n v="72.586390868840269"/>
    <n v="13.920851599999999"/>
    <n v="3.3428360749999997"/>
    <n v="0.28162249125"/>
    <n v="0.34344206250000003"/>
    <n v="2.1369728333333331"/>
    <n v="7.5697240734675013"/>
    <n v="27.595449135550833"/>
    <n v="0"/>
    <n v="0"/>
    <n v="0"/>
    <n v="0"/>
    <n v="27.595449135550833"/>
    <n v="100.80916666666666"/>
    <n v="35.518212958583888"/>
    <n v="64.529393914825576"/>
    <n v="690.27153277931654"/>
    <n v="0"/>
    <n v="891.12830631939266"/>
    <n v="4450.2688091737837"/>
    <n v="189.64880140242613"/>
    <n v="159.30499317803796"/>
    <n v="8.6609686609686695E-2"/>
    <n v="1.880341880341882E-2"/>
    <n v="0.03"/>
    <n v="3.4188034188034219E-2"/>
    <n v="0.1225"/>
    <n v="0.13960113960113973"/>
    <n v="669.97694468364205"/>
    <n v="1018.9307392641061"/>
    <n v="5469.1995484378895"/>
    <n v="65630.394581254674"/>
    <d v="2025-01-01T00:00:00"/>
    <s v="-"/>
    <s v="-"/>
  </r>
  <r>
    <s v="2.518.06"/>
    <x v="167"/>
    <x v="1"/>
    <s v="SETHPC - Pocos de Caldas"/>
    <s v="Limpeza"/>
    <x v="0"/>
    <n v="1"/>
    <n v="0"/>
    <n v="1596.28"/>
    <n v="0"/>
    <n v="0"/>
    <n v="0"/>
    <n v="0"/>
    <n v="0"/>
    <n v="0"/>
    <n v="52.241900000000001"/>
    <n v="1648.5219"/>
    <n v="329.70438000000001"/>
    <n v="24.727828499999998"/>
    <n v="16.485219000000001"/>
    <n v="3.2970438"/>
    <n v="41.213047500000002"/>
    <n v="131.88175200000001"/>
    <n v="65.940876000000003"/>
    <n v="9.8911314000000008"/>
    <n v="623.14127819999999"/>
    <n v="137.376825"/>
    <n v="183.16909999999999"/>
    <n v="121.16635965"/>
    <n v="441.71228465000002"/>
    <n v="160.22320000000002"/>
    <n v="582"/>
    <n v="0"/>
    <n v="51.86"/>
    <n v="0"/>
    <n v="0"/>
    <n v="3.36"/>
    <n v="0"/>
    <n v="797.44320000000005"/>
    <n v="1862.2967628500001"/>
    <n v="11.559051416493055"/>
    <n v="0.92472411331944449"/>
    <n v="0.36988964532777785"/>
    <n v="5.7698266500000006"/>
    <n v="2.1809944737000007"/>
    <n v="50.40813631999999"/>
    <n v="1.3737682500000001"/>
    <n v="72.586390868840269"/>
    <n v="13.920851599999999"/>
    <n v="3.3428360749999997"/>
    <n v="0.28162249125"/>
    <n v="0.34344206250000003"/>
    <n v="2.1369728333333331"/>
    <n v="7.5697240734675013"/>
    <n v="27.595449135550833"/>
    <n v="0"/>
    <n v="0"/>
    <n v="0"/>
    <n v="0"/>
    <n v="27.595449135550833"/>
    <n v="100.80916666666666"/>
    <n v="35.518212958583888"/>
    <n v="64.529393914825576"/>
    <n v="690.27153277931654"/>
    <n v="0"/>
    <n v="891.12830631939266"/>
    <n v="4502.1288091737833"/>
    <n v="189.64880140242613"/>
    <n v="159.30499317803796"/>
    <n v="8.8629737609329504E-2"/>
    <n v="1.9241982507288629E-2"/>
    <n v="0.05"/>
    <n v="5.8309037900874633E-2"/>
    <n v="0.14250000000000002"/>
    <n v="0.16618075801749277"/>
    <n v="806.15658429735333"/>
    <n v="1155.1103788778173"/>
    <n v="5657.2391880516006"/>
    <n v="67886.870256619208"/>
    <d v="2025-01-01T00:00:00"/>
    <s v="-"/>
    <s v="-"/>
  </r>
  <r>
    <s v="2.520.03"/>
    <x v="168"/>
    <x v="2"/>
    <s v="Curvelo"/>
    <s v="Limpeza"/>
    <x v="0"/>
    <n v="1"/>
    <n v="0"/>
    <n v="544.17999999999995"/>
    <n v="0"/>
    <n v="0"/>
    <n v="0"/>
    <n v="0"/>
    <n v="0"/>
    <n v="0"/>
    <n v="19.590499999999999"/>
    <n v="563.77049999999997"/>
    <n v="112.75409999999999"/>
    <n v="8.4565574999999988"/>
    <n v="5.6377049999999995"/>
    <n v="1.1275409999999999"/>
    <n v="14.094262499999999"/>
    <n v="45.101639999999996"/>
    <n v="22.550819999999998"/>
    <n v="3.3826229999999997"/>
    <n v="213.10524899999996"/>
    <n v="46.980874999999997"/>
    <n v="62.641166666666663"/>
    <n v="41.437131749999992"/>
    <n v="151.05917341666665"/>
    <n v="223.3492"/>
    <n v="582"/>
    <n v="0"/>
    <n v="0"/>
    <n v="0"/>
    <n v="0"/>
    <n v="3.36"/>
    <n v="0"/>
    <n v="808.70920000000001"/>
    <n v="1172.8736224166666"/>
    <n v="3.9530273735532404"/>
    <n v="0.31624218988425928"/>
    <n v="0.12649687595370371"/>
    <n v="1.9731967500000003"/>
    <n v="0.74586837150000018"/>
    <n v="17.238849066666663"/>
    <n v="0.46980875"/>
    <n v="24.823489377557866"/>
    <n v="4.7607286666666662"/>
    <n v="1.1432012916666665"/>
    <n v="9.6310793749999998E-2"/>
    <n v="0.1174521875"/>
    <n v="0.73081361111111109"/>
    <n v="2.5887354761625003"/>
    <n v="9.4372420268569428"/>
    <n v="0"/>
    <n v="0"/>
    <n v="0"/>
    <n v="0"/>
    <n v="9.4372420268569428"/>
    <n v="62.806666666666665"/>
    <n v="12.108481690426325"/>
    <n v="21.998657016417809"/>
    <n v="235.31984072022155"/>
    <n v="0"/>
    <n v="332.23364609373232"/>
    <n v="2103.1384999148136"/>
    <n v="189.64880140242613"/>
    <n v="159.30499317803796"/>
    <n v="8.5633802816901458E-2"/>
    <n v="1.8591549295774657E-2"/>
    <n v="0.02"/>
    <n v="2.2535211267605645E-2"/>
    <n v="0.1125"/>
    <n v="0.12676056338028174"/>
    <n v="310.82860071066915"/>
    <n v="659.7823952911333"/>
    <n v="2762.9208952059471"/>
    <n v="33155.050742471365"/>
    <d v="2025-01-01T00:00:00"/>
    <s v="-"/>
    <s v="-"/>
  </r>
  <r>
    <s v="2.520.04"/>
    <x v="168"/>
    <x v="0"/>
    <s v="Curvelo"/>
    <s v="Limpeza"/>
    <x v="0"/>
    <n v="1"/>
    <n v="0"/>
    <n v="798.14"/>
    <n v="0"/>
    <n v="0"/>
    <n v="0"/>
    <n v="0"/>
    <n v="0"/>
    <n v="0"/>
    <n v="26.120899999999999"/>
    <n v="824.26089999999999"/>
    <n v="164.85218"/>
    <n v="12.363913499999999"/>
    <n v="8.2426089999999999"/>
    <n v="1.6485217999999999"/>
    <n v="20.606522500000001"/>
    <n v="65.940871999999999"/>
    <n v="32.970435999999999"/>
    <n v="4.9455654000000004"/>
    <n v="311.57062020000001"/>
    <n v="68.688408333333328"/>
    <n v="91.584544444444433"/>
    <n v="60.583176149999993"/>
    <n v="220.85612892777775"/>
    <n v="208.11160000000001"/>
    <n v="582"/>
    <n v="0"/>
    <n v="0"/>
    <n v="0"/>
    <n v="0"/>
    <n v="3.36"/>
    <n v="0"/>
    <n v="793.47159999999997"/>
    <n v="1325.8983491277777"/>
    <n v="5.7795253576581791"/>
    <n v="0.46236202861265435"/>
    <n v="0.18494481144506175"/>
    <n v="2.8849131500000005"/>
    <n v="1.0904971707000004"/>
    <n v="25.204066631111107"/>
    <n v="0.6868840833333334"/>
    <n v="36.293193232860339"/>
    <n v="6.9604253777777769"/>
    <n v="1.671417936111111"/>
    <n v="0.14081123708333332"/>
    <n v="0.17172102083333335"/>
    <n v="1.0684863518518517"/>
    <n v="3.7848618071425006"/>
    <n v="13.797723730799909"/>
    <n v="0"/>
    <n v="0"/>
    <n v="0"/>
    <n v="0"/>
    <n v="13.797723730799909"/>
    <n v="62.806666666666665"/>
    <n v="17.759106479291944"/>
    <n v="32.264696957412788"/>
    <n v="345.13576638965827"/>
    <n v="0"/>
    <n v="457.96623649302967"/>
    <n v="2658.2164025844677"/>
    <n v="189.64880140242613"/>
    <n v="159.30499317803796"/>
    <n v="8.5633802816901458E-2"/>
    <n v="1.8591549295774657E-2"/>
    <n v="0.02"/>
    <n v="2.2535211267605645E-2"/>
    <n v="0.1125"/>
    <n v="0.12676056338028174"/>
    <n v="381.19058837301969"/>
    <n v="730.14438295348373"/>
    <n v="3388.3607855379514"/>
    <n v="40660.329426455413"/>
    <d v="2025-01-01T00:00:00"/>
    <s v="-"/>
    <s v="-"/>
  </r>
  <r>
    <s v="2.521.06"/>
    <x v="169"/>
    <x v="1"/>
    <s v="Regiao de Ouro Preto"/>
    <s v="Limpeza"/>
    <x v="0"/>
    <n v="2"/>
    <n v="0"/>
    <n v="3192.56"/>
    <n v="0"/>
    <n v="0"/>
    <n v="0"/>
    <n v="0"/>
    <n v="0"/>
    <n v="0"/>
    <n v="104.4838"/>
    <n v="3297.0437999999999"/>
    <n v="659.40876000000003"/>
    <n v="49.455656999999995"/>
    <n v="32.970438000000001"/>
    <n v="6.5940875999999999"/>
    <n v="82.426095000000004"/>
    <n v="263.76350400000001"/>
    <n v="131.88175200000001"/>
    <n v="19.782262800000002"/>
    <n v="1246.2825564"/>
    <n v="274.75364999999999"/>
    <n v="366.33819999999997"/>
    <n v="242.33271930000001"/>
    <n v="883.42456930000003"/>
    <n v="320.44640000000004"/>
    <n v="1164"/>
    <n v="0"/>
    <n v="0"/>
    <n v="0"/>
    <n v="0"/>
    <n v="6.72"/>
    <n v="0"/>
    <n v="1491.1664000000001"/>
    <n v="3620.8735256999998"/>
    <n v="23.118102832986111"/>
    <n v="1.849448226638889"/>
    <n v="0.7397792906555557"/>
    <n v="11.539653300000001"/>
    <n v="4.3619889474000013"/>
    <n v="100.81627263999998"/>
    <n v="2.7475365000000003"/>
    <n v="145.17278173768054"/>
    <n v="27.841703199999998"/>
    <n v="6.6856721499999994"/>
    <n v="0.56324498249999999"/>
    <n v="0.68688412500000007"/>
    <n v="4.2739456666666662"/>
    <n v="15.139448146935003"/>
    <n v="55.190898271101666"/>
    <n v="0"/>
    <n v="0"/>
    <n v="0"/>
    <n v="0"/>
    <n v="55.190898271101666"/>
    <n v="201.61833333333331"/>
    <n v="71.036425917167776"/>
    <n v="129.05878782965115"/>
    <n v="1380.5430655586331"/>
    <n v="0"/>
    <n v="1782.2566126387853"/>
    <n v="8900.5376183475673"/>
    <n v="379.29760280485226"/>
    <n v="318.60998635607592"/>
    <n v="8.6609686609686695E-2"/>
    <n v="1.880341880341882E-2"/>
    <n v="0.03"/>
    <n v="3.4188034188034219E-2"/>
    <n v="0.1225"/>
    <n v="0.13960113960113973"/>
    <n v="1339.9538893672841"/>
    <n v="2037.8614785282123"/>
    <n v="10938.399096875779"/>
    <n v="131260.78916250935"/>
    <d v="2025-01-01T00:00:00"/>
    <s v="-"/>
    <s v="-"/>
  </r>
  <r>
    <s v="2.522.04"/>
    <x v="170"/>
    <x v="0"/>
    <s v="Sethac Norte de Minas"/>
    <s v="Limpeza"/>
    <x v="0"/>
    <n v="1"/>
    <n v="0"/>
    <n v="798.14"/>
    <n v="0"/>
    <n v="0"/>
    <n v="0"/>
    <n v="0"/>
    <n v="0"/>
    <n v="0"/>
    <n v="26.120899999999999"/>
    <n v="824.26089999999999"/>
    <n v="164.85218"/>
    <n v="12.363913499999999"/>
    <n v="8.2426089999999999"/>
    <n v="1.6485217999999999"/>
    <n v="20.606522500000001"/>
    <n v="65.940871999999999"/>
    <n v="32.970435999999999"/>
    <n v="4.9455654000000004"/>
    <n v="311.57062020000001"/>
    <n v="68.688408333333328"/>
    <n v="91.584544444444433"/>
    <n v="60.583176149999993"/>
    <n v="220.85612892777775"/>
    <n v="208.11160000000001"/>
    <n v="582"/>
    <n v="0"/>
    <n v="0"/>
    <n v="0"/>
    <n v="0"/>
    <n v="3.36"/>
    <n v="0"/>
    <n v="793.47159999999997"/>
    <n v="1325.8983491277777"/>
    <n v="5.7795253576581791"/>
    <n v="0.46236202861265435"/>
    <n v="0.18494481144506175"/>
    <n v="2.8849131500000005"/>
    <n v="1.0904971707000004"/>
    <n v="25.204066631111107"/>
    <n v="0.6868840833333334"/>
    <n v="36.293193232860339"/>
    <n v="6.9604253777777769"/>
    <n v="1.671417936111111"/>
    <n v="0.14081123708333332"/>
    <n v="0.17172102083333335"/>
    <n v="1.0684863518518517"/>
    <n v="3.7848618071425006"/>
    <n v="13.797723730799909"/>
    <n v="0"/>
    <n v="0"/>
    <n v="0"/>
    <n v="0"/>
    <n v="13.797723730799909"/>
    <n v="62.806666666666665"/>
    <n v="17.759106479291944"/>
    <n v="32.264696957412788"/>
    <n v="345.13576638965827"/>
    <n v="0"/>
    <n v="457.96623649302967"/>
    <n v="2658.2164025844677"/>
    <n v="189.64880140242613"/>
    <n v="159.30499317803796"/>
    <n v="8.8629737609329504E-2"/>
    <n v="1.9241982507288629E-2"/>
    <n v="0.05"/>
    <n v="5.8309037900874633E-2"/>
    <n v="0.14250000000000002"/>
    <n v="0.16618075801749277"/>
    <n v="499.73382285248152"/>
    <n v="848.68761743294567"/>
    <n v="3506.9040200174131"/>
    <n v="42082.848240208958"/>
    <d v="2025-01-01T00:00:00"/>
    <s v="-"/>
    <s v="-"/>
  </r>
  <r>
    <s v="2.525.06"/>
    <x v="171"/>
    <x v="1"/>
    <s v="Regiao de Sao Lourenco"/>
    <s v="Limpeza"/>
    <x v="0"/>
    <n v="3"/>
    <n v="0"/>
    <n v="4788.84"/>
    <n v="0"/>
    <n v="0"/>
    <n v="0"/>
    <n v="0"/>
    <n v="0"/>
    <n v="0"/>
    <n v="156.72570000000002"/>
    <n v="4945.5657000000001"/>
    <n v="989.11314000000004"/>
    <n v="74.183485499999989"/>
    <n v="49.455657000000002"/>
    <n v="9.891131399999999"/>
    <n v="123.63914250000001"/>
    <n v="395.64525600000002"/>
    <n v="197.82262800000001"/>
    <n v="29.673394200000004"/>
    <n v="1869.4238346"/>
    <n v="412.13047499999999"/>
    <n v="549.50729999999999"/>
    <n v="363.49907895000001"/>
    <n v="1325.1368539499999"/>
    <n v="480.66960000000006"/>
    <n v="1746"/>
    <n v="0"/>
    <n v="159.81"/>
    <n v="0"/>
    <n v="0"/>
    <n v="10.08"/>
    <n v="0"/>
    <n v="2396.5596"/>
    <n v="5591.1202885499997"/>
    <n v="34.677154249479166"/>
    <n v="2.7741723399583336"/>
    <n v="1.1096689359833336"/>
    <n v="17.309479950000004"/>
    <n v="6.5429834211000024"/>
    <n v="151.22440895999998"/>
    <n v="4.1213047500000002"/>
    <n v="217.75917260652079"/>
    <n v="41.762554799999997"/>
    <n v="10.028508224999999"/>
    <n v="0.84486747374999993"/>
    <n v="1.0303261875"/>
    <n v="6.4109184999999993"/>
    <n v="22.709172220402504"/>
    <n v="82.786347406652496"/>
    <n v="0"/>
    <n v="0"/>
    <n v="0"/>
    <n v="0"/>
    <n v="82.786347406652496"/>
    <n v="302.42749999999995"/>
    <n v="106.55463887575166"/>
    <n v="193.58818174447674"/>
    <n v="2070.8145983379495"/>
    <n v="0"/>
    <n v="2673.3849189581779"/>
    <n v="13510.616427521349"/>
    <n v="568.94640420727842"/>
    <n v="477.91497953411385"/>
    <n v="8.5633802816901458E-2"/>
    <n v="1.8591549295774657E-2"/>
    <n v="0.02"/>
    <n v="2.2535211267605645E-2"/>
    <n v="0.1125"/>
    <n v="0.12676056338028174"/>
    <n v="1845.3140887516158"/>
    <n v="2892.1754724930079"/>
    <n v="16402.791900014359"/>
    <n v="196833.50280017231"/>
    <d v="2025-01-01T00:00:00"/>
    <s v="-"/>
    <s v="-"/>
  </r>
  <r>
    <s v="2.527.03"/>
    <x v="172"/>
    <x v="2"/>
    <s v="Regiao de Juiz de Fora"/>
    <s v="Limpeza"/>
    <x v="0"/>
    <n v="1"/>
    <n v="0"/>
    <n v="544.17999999999995"/>
    <n v="0"/>
    <n v="0"/>
    <n v="0"/>
    <n v="0"/>
    <n v="0"/>
    <n v="0"/>
    <n v="19.590499999999999"/>
    <n v="563.77049999999997"/>
    <n v="112.75409999999999"/>
    <n v="8.4565574999999988"/>
    <n v="5.6377049999999995"/>
    <n v="1.1275409999999999"/>
    <n v="14.094262499999999"/>
    <n v="45.101639999999996"/>
    <n v="22.550819999999998"/>
    <n v="3.3826229999999997"/>
    <n v="213.10524899999996"/>
    <n v="46.980874999999997"/>
    <n v="62.641166666666663"/>
    <n v="41.437131749999992"/>
    <n v="151.05917341666665"/>
    <n v="223.3492"/>
    <n v="582"/>
    <n v="0"/>
    <n v="51.88"/>
    <n v="0"/>
    <n v="0"/>
    <n v="3.36"/>
    <n v="0"/>
    <n v="860.58920000000001"/>
    <n v="1224.7536224166665"/>
    <n v="3.9530273735532404"/>
    <n v="0.31624218988425928"/>
    <n v="0.12649687595370371"/>
    <n v="1.9731967500000003"/>
    <n v="0.74586837150000018"/>
    <n v="17.238849066666663"/>
    <n v="0.46980875"/>
    <n v="24.823489377557866"/>
    <n v="4.7607286666666662"/>
    <n v="1.1432012916666665"/>
    <n v="9.6310793749999998E-2"/>
    <n v="0.1174521875"/>
    <n v="0.73081361111111109"/>
    <n v="2.5887354761625003"/>
    <n v="9.4372420268569428"/>
    <n v="0"/>
    <n v="0"/>
    <n v="0"/>
    <n v="0"/>
    <n v="9.4372420268569428"/>
    <n v="62.806666666666665"/>
    <n v="12.108481690426325"/>
    <n v="21.998657016417809"/>
    <n v="235.31984072022155"/>
    <n v="0"/>
    <n v="332.23364609373232"/>
    <n v="2155.0184999148137"/>
    <n v="189.64880140242613"/>
    <n v="159.30499317803796"/>
    <n v="8.7106017191977067E-2"/>
    <n v="1.8911174785100283E-2"/>
    <n v="3.5000000000000003E-2"/>
    <n v="4.0114613180515762E-2"/>
    <n v="0.1275"/>
    <n v="0.14613180515759311"/>
    <n v="365.90999145919528"/>
    <n v="714.86378603965932"/>
    <n v="2869.882285954473"/>
    <n v="34438.587431453678"/>
    <d v="2025-01-01T00:00:00"/>
    <s v="-"/>
    <s v="-"/>
  </r>
  <r>
    <s v="2.534.03"/>
    <x v="173"/>
    <x v="2"/>
    <s v="Alto Paranaiba"/>
    <s v="Limpeza"/>
    <x v="0"/>
    <n v="1"/>
    <n v="0"/>
    <n v="544.17999999999995"/>
    <n v="0"/>
    <n v="0"/>
    <n v="0"/>
    <n v="0"/>
    <n v="0"/>
    <n v="0"/>
    <n v="19.590499999999999"/>
    <n v="563.77049999999997"/>
    <n v="112.75409999999999"/>
    <n v="8.4565574999999988"/>
    <n v="5.6377049999999995"/>
    <n v="1.1275409999999999"/>
    <n v="14.094262499999999"/>
    <n v="45.101639999999996"/>
    <n v="22.550819999999998"/>
    <n v="3.3826229999999997"/>
    <n v="213.10524899999996"/>
    <n v="46.980874999999997"/>
    <n v="62.641166666666663"/>
    <n v="41.437131749999992"/>
    <n v="151.05917341666665"/>
    <n v="223.3492"/>
    <n v="0"/>
    <n v="387.79"/>
    <n v="42.97"/>
    <n v="0"/>
    <n v="0"/>
    <n v="3.36"/>
    <n v="0"/>
    <n v="657.46920000000011"/>
    <n v="1021.6336224166668"/>
    <n v="3.9530273735532404"/>
    <n v="0.31624218988425928"/>
    <n v="0.12649687595370371"/>
    <n v="1.9731967500000003"/>
    <n v="0.74586837150000018"/>
    <n v="17.238849066666663"/>
    <n v="0.46980875"/>
    <n v="24.823489377557866"/>
    <n v="4.7607286666666662"/>
    <n v="1.1432012916666665"/>
    <n v="9.6310793749999998E-2"/>
    <n v="0.1174521875"/>
    <n v="0.73081361111111109"/>
    <n v="2.5887354761625003"/>
    <n v="9.4372420268569428"/>
    <n v="0"/>
    <n v="0"/>
    <n v="0"/>
    <n v="0"/>
    <n v="9.4372420268569428"/>
    <n v="62.806666666666665"/>
    <n v="12.108481690426325"/>
    <n v="21.998657016417809"/>
    <n v="235.31984072022155"/>
    <n v="0"/>
    <n v="332.23364609373232"/>
    <n v="1951.8984999148138"/>
    <n v="189.64880140242613"/>
    <n v="159.30499317803796"/>
    <n v="8.6609686609686695E-2"/>
    <n v="1.880341880341882E-2"/>
    <n v="0.03"/>
    <n v="3.4188034188034219E-2"/>
    <n v="0.1225"/>
    <n v="0.13960113960113973"/>
    <n v="321.20160236543796"/>
    <n v="670.15539694590211"/>
    <n v="2622.0538968607161"/>
    <n v="31464.646762328593"/>
    <d v="2025-01-01T00:00:00"/>
    <s v="-"/>
    <s v="-"/>
  </r>
  <r>
    <s v="2.540.03"/>
    <x v="174"/>
    <x v="2"/>
    <s v="Vicosa e Regiao"/>
    <s v="Limpeza"/>
    <x v="0"/>
    <n v="1"/>
    <n v="0"/>
    <n v="544.17999999999995"/>
    <n v="0"/>
    <n v="0"/>
    <n v="0"/>
    <n v="0"/>
    <n v="0"/>
    <n v="0"/>
    <n v="19.590499999999999"/>
    <n v="563.77049999999997"/>
    <n v="112.75409999999999"/>
    <n v="8.4565574999999988"/>
    <n v="5.6377049999999995"/>
    <n v="1.1275409999999999"/>
    <n v="14.094262499999999"/>
    <n v="45.101639999999996"/>
    <n v="22.550819999999998"/>
    <n v="3.3826229999999997"/>
    <n v="213.10524899999996"/>
    <n v="46.980874999999997"/>
    <n v="62.641166666666663"/>
    <n v="41.437131749999992"/>
    <n v="151.05917341666665"/>
    <n v="223.3492"/>
    <n v="582"/>
    <n v="0"/>
    <n v="51.86"/>
    <n v="0"/>
    <n v="0"/>
    <n v="3.36"/>
    <n v="0"/>
    <n v="860.56920000000002"/>
    <n v="1224.7336224166665"/>
    <n v="3.9530273735532404"/>
    <n v="0.31624218988425928"/>
    <n v="0.12649687595370371"/>
    <n v="1.9731967500000003"/>
    <n v="0.74586837150000018"/>
    <n v="17.238849066666663"/>
    <n v="0.46980875"/>
    <n v="24.823489377557866"/>
    <n v="4.7607286666666662"/>
    <n v="1.1432012916666665"/>
    <n v="9.6310793749999998E-2"/>
    <n v="0.1174521875"/>
    <n v="0.73081361111111109"/>
    <n v="2.5887354761625003"/>
    <n v="9.4372420268569428"/>
    <n v="0"/>
    <n v="0"/>
    <n v="0"/>
    <n v="0"/>
    <n v="9.4372420268569428"/>
    <n v="62.806666666666665"/>
    <n v="12.108481690426325"/>
    <n v="21.998657016417809"/>
    <n v="235.31984072022155"/>
    <n v="0"/>
    <n v="332.23364609373232"/>
    <n v="2154.9984999148137"/>
    <n v="189.64880140242613"/>
    <n v="159.30499317803796"/>
    <n v="8.6609686609686695E-2"/>
    <n v="1.880341880341882E-2"/>
    <n v="0.03"/>
    <n v="3.4188034188034219E-2"/>
    <n v="0.1225"/>
    <n v="0.13960113960113973"/>
    <n v="349.55459381842945"/>
    <n v="698.50838839889354"/>
    <n v="2853.5068883137073"/>
    <n v="34242.082659764492"/>
    <d v="2025-01-01T00:00:00"/>
    <s v="-"/>
    <s v="-"/>
  </r>
  <r>
    <s v="2.543.03"/>
    <x v="175"/>
    <x v="2"/>
    <s v="Fethemg Interior"/>
    <s v="Limpeza"/>
    <x v="0"/>
    <n v="1"/>
    <n v="0"/>
    <n v="544.17999999999995"/>
    <n v="0"/>
    <n v="0"/>
    <n v="0"/>
    <n v="0"/>
    <n v="0"/>
    <n v="0"/>
    <n v="19.590499999999999"/>
    <n v="563.77049999999997"/>
    <n v="112.75409999999999"/>
    <n v="8.4565574999999988"/>
    <n v="5.6377049999999995"/>
    <n v="1.1275409999999999"/>
    <n v="14.094262499999999"/>
    <n v="45.101639999999996"/>
    <n v="22.550819999999998"/>
    <n v="3.3826229999999997"/>
    <n v="213.10524899999996"/>
    <n v="46.980874999999997"/>
    <n v="62.641166666666663"/>
    <n v="41.437131749999992"/>
    <n v="151.05917341666665"/>
    <n v="223.3492"/>
    <n v="582"/>
    <n v="0"/>
    <n v="0"/>
    <n v="15.07"/>
    <n v="0"/>
    <n v="3.36"/>
    <n v="0"/>
    <n v="823.77920000000006"/>
    <n v="1187.9436224166666"/>
    <n v="3.9530273735532404"/>
    <n v="0.31624218988425928"/>
    <n v="0.12649687595370371"/>
    <n v="1.9731967500000003"/>
    <n v="0.74586837150000018"/>
    <n v="17.238849066666663"/>
    <n v="0.46980875"/>
    <n v="24.823489377557866"/>
    <n v="4.7607286666666662"/>
    <n v="1.1432012916666665"/>
    <n v="9.6310793749999998E-2"/>
    <n v="0.1174521875"/>
    <n v="0.73081361111111109"/>
    <n v="2.5887354761625003"/>
    <n v="9.4372420268569428"/>
    <n v="0"/>
    <n v="0"/>
    <n v="0"/>
    <n v="0"/>
    <n v="9.4372420268569428"/>
    <n v="62.806666666666665"/>
    <n v="12.108481690426325"/>
    <n v="21.998657016417809"/>
    <n v="235.31984072022155"/>
    <n v="0"/>
    <n v="332.23364609373232"/>
    <n v="2118.2084999148137"/>
    <n v="189.64880140242613"/>
    <n v="159.30499317803796"/>
    <n v="8.8629737609329504E-2"/>
    <n v="1.9241982507288629E-2"/>
    <n v="0.05"/>
    <n v="5.8309037900874633E-2"/>
    <n v="0.14250000000000002"/>
    <n v="0.16618075801749277"/>
    <n v="409.99490025140199"/>
    <n v="758.94869483186608"/>
    <n v="2877.15719474668"/>
    <n v="34525.88633696016"/>
    <d v="2025-01-01T00:00:00"/>
    <s v="-"/>
    <s v="-"/>
  </r>
  <r>
    <s v="2.231.04"/>
    <x v="176"/>
    <x v="0"/>
    <s v="Sind - Asseio"/>
    <s v="Limpeza"/>
    <x v="0"/>
    <n v="1"/>
    <n v="0"/>
    <n v="824.56"/>
    <n v="0"/>
    <n v="0"/>
    <n v="0"/>
    <n v="0"/>
    <n v="0"/>
    <n v="0"/>
    <n v="26.985600000000002"/>
    <n v="851.54559999999992"/>
    <n v="170.30912000000001"/>
    <n v="12.773183999999999"/>
    <n v="8.5154559999999986"/>
    <n v="1.7030911999999998"/>
    <n v="21.288640000000001"/>
    <n v="68.123647999999989"/>
    <n v="34.061823999999994"/>
    <n v="5.1092735999999999"/>
    <n v="321.8842368"/>
    <n v="70.962133333333327"/>
    <n v="94.616177777777764"/>
    <n v="62.588601599999997"/>
    <n v="228.16691271111108"/>
    <n v="206.5264"/>
    <n v="582"/>
    <n v="0"/>
    <n v="77.25"/>
    <n v="0"/>
    <n v="0"/>
    <n v="3.36"/>
    <n v="0"/>
    <n v="869.13639999999998"/>
    <n v="1419.1875495111112"/>
    <n v="5.970839316049382"/>
    <n v="0.4776671452839506"/>
    <n v="0.19106685811358026"/>
    <n v="2.9804096000000002"/>
    <n v="1.1265948288000003"/>
    <n v="26.038372124444439"/>
    <n v="0.70962133333333333"/>
    <n v="37.494571206024688"/>
    <n v="7.1908295111111098"/>
    <n v="1.7267452444444442"/>
    <n v="0.14547237333333332"/>
    <n v="0.17740533333333333"/>
    <n v="1.1038554074074072"/>
    <n v="3.9101483747200003"/>
    <n v="14.254456244349628"/>
    <n v="0"/>
    <n v="0"/>
    <n v="0"/>
    <n v="0"/>
    <n v="14.254456244349628"/>
    <n v="62.806666666666665"/>
    <n v="17.759106479291944"/>
    <n v="32.264696957412788"/>
    <n v="345.13576638965827"/>
    <n v="0"/>
    <n v="457.96623649302967"/>
    <n v="2780.448413454515"/>
    <n v="189.64880140242613"/>
    <n v="159.30499317803796"/>
    <n v="8.8629737609329504E-2"/>
    <n v="1.9241982507288629E-2"/>
    <n v="0.05"/>
    <n v="5.8309037900874633E-2"/>
    <n v="0.14250000000000002"/>
    <n v="0.16618075801749277"/>
    <n v="520.04643107286847"/>
    <n v="869.00022565333256"/>
    <n v="3649.4486391078476"/>
    <n v="43793.38366929417"/>
    <d v="2025-01-01T00:00:00"/>
    <s v="-"/>
    <s v="-"/>
  </r>
  <r>
    <s v="2.231.06"/>
    <x v="176"/>
    <x v="1"/>
    <s v="Sind - Asseio"/>
    <s v="Limpeza"/>
    <x v="0"/>
    <n v="3"/>
    <n v="0"/>
    <n v="4947.3599999999997"/>
    <n v="0"/>
    <n v="0"/>
    <n v="0"/>
    <n v="0"/>
    <n v="0"/>
    <n v="0"/>
    <n v="161.9136"/>
    <n v="5109.2735999999995"/>
    <n v="1021.85472"/>
    <n v="76.639103999999989"/>
    <n v="51.092735999999988"/>
    <n v="10.2185472"/>
    <n v="127.73184000000001"/>
    <n v="408.7418879999999"/>
    <n v="204.37094399999995"/>
    <n v="30.655641599999999"/>
    <n v="1931.3054207999999"/>
    <n v="425.77279999999996"/>
    <n v="567.69706666666661"/>
    <n v="375.53160959999997"/>
    <n v="1369.0014762666665"/>
    <n v="471.15839999999997"/>
    <n v="1746"/>
    <n v="0"/>
    <n v="231.75"/>
    <n v="0"/>
    <n v="0"/>
    <n v="10.08"/>
    <n v="0"/>
    <n v="2458.9883999999997"/>
    <n v="5759.2952970666665"/>
    <n v="35.825035896296292"/>
    <n v="2.8660028717037038"/>
    <n v="1.1464011486814816"/>
    <n v="17.882457600000002"/>
    <n v="6.7595689728000021"/>
    <n v="156.23023274666664"/>
    <n v="4.2577280000000002"/>
    <n v="224.96742723614813"/>
    <n v="43.144977066666655"/>
    <n v="10.360471466666665"/>
    <n v="0.87283423999999998"/>
    <n v="1.064432"/>
    <n v="6.623132444444443"/>
    <n v="23.460890248320002"/>
    <n v="85.526737466097771"/>
    <n v="0"/>
    <n v="0"/>
    <n v="0"/>
    <n v="0"/>
    <n v="85.526737466097771"/>
    <n v="302.42749999999995"/>
    <n v="106.55463887575166"/>
    <n v="193.58818174447674"/>
    <n v="2070.8145983379495"/>
    <n v="0"/>
    <n v="2673.3849189581779"/>
    <n v="13852.447980727091"/>
    <n v="568.94640420727842"/>
    <n v="477.91497953411385"/>
    <n v="8.8629737609329504E-2"/>
    <n v="1.9241982507288629E-2"/>
    <n v="0.05"/>
    <n v="5.8309037900874633E-2"/>
    <n v="0.14250000000000002"/>
    <n v="0.16618075801749277"/>
    <n v="2475.9785241245008"/>
    <n v="3522.8399078658931"/>
    <n v="17375.287888592982"/>
    <n v="208503.45466311579"/>
    <d v="2025-01-01T00:00:00"/>
    <s v="-"/>
    <s v="-"/>
  </r>
  <r>
    <s v="2.549.03"/>
    <x v="177"/>
    <x v="2"/>
    <s v="Regiao de Ouro Preto"/>
    <s v="Limpeza"/>
    <x v="0"/>
    <n v="1"/>
    <n v="0"/>
    <n v="544.17999999999995"/>
    <n v="0"/>
    <n v="0"/>
    <n v="0"/>
    <n v="0"/>
    <n v="0"/>
    <n v="0"/>
    <n v="19.590499999999999"/>
    <n v="563.77049999999997"/>
    <n v="112.75409999999999"/>
    <n v="8.4565574999999988"/>
    <n v="5.6377049999999995"/>
    <n v="1.1275409999999999"/>
    <n v="14.094262499999999"/>
    <n v="45.101639999999996"/>
    <n v="22.550819999999998"/>
    <n v="3.3826229999999997"/>
    <n v="213.10524899999996"/>
    <n v="46.980874999999997"/>
    <n v="62.641166666666663"/>
    <n v="41.437131749999992"/>
    <n v="151.05917341666665"/>
    <n v="223.3492"/>
    <n v="582"/>
    <n v="0"/>
    <n v="0"/>
    <n v="0"/>
    <n v="0"/>
    <n v="3.36"/>
    <n v="0"/>
    <n v="808.70920000000001"/>
    <n v="1172.8736224166666"/>
    <n v="3.9530273735532404"/>
    <n v="0.31624218988425928"/>
    <n v="0.12649687595370371"/>
    <n v="1.9731967500000003"/>
    <n v="0.74586837150000018"/>
    <n v="17.238849066666663"/>
    <n v="0.46980875"/>
    <n v="24.823489377557866"/>
    <n v="4.7607286666666662"/>
    <n v="1.1432012916666665"/>
    <n v="9.6310793749999998E-2"/>
    <n v="0.1174521875"/>
    <n v="0.73081361111111109"/>
    <n v="2.5887354761625003"/>
    <n v="9.4372420268569428"/>
    <n v="0"/>
    <n v="0"/>
    <n v="0"/>
    <n v="0"/>
    <n v="9.4372420268569428"/>
    <n v="62.806666666666665"/>
    <n v="12.108481690426325"/>
    <n v="21.998657016417809"/>
    <n v="235.31984072022155"/>
    <n v="0"/>
    <n v="332.23364609373232"/>
    <n v="2103.1384999148136"/>
    <n v="189.64880140242613"/>
    <n v="159.30499317803796"/>
    <n v="8.8629737609329504E-2"/>
    <n v="1.9241982507288629E-2"/>
    <n v="0.05"/>
    <n v="5.8309037900874633E-2"/>
    <n v="0.14250000000000002"/>
    <n v="0.16618075801749277"/>
    <n v="407.49055622807833"/>
    <n v="756.44435080854237"/>
    <n v="2859.5828507233559"/>
    <n v="34314.994208680269"/>
    <d v="2025-01-01T00:00:00"/>
    <s v="-"/>
    <s v="-"/>
  </r>
  <r>
    <s v="2.555.04"/>
    <x v="178"/>
    <x v="0"/>
    <s v="Alto Paranaiba"/>
    <s v="Limpeza"/>
    <x v="0"/>
    <n v="1"/>
    <n v="0"/>
    <n v="798.14"/>
    <n v="0"/>
    <n v="0"/>
    <n v="0"/>
    <n v="0"/>
    <n v="0"/>
    <n v="0"/>
    <n v="26.120899999999999"/>
    <n v="824.26089999999999"/>
    <n v="164.85218"/>
    <n v="12.363913499999999"/>
    <n v="8.2426089999999999"/>
    <n v="1.6485217999999999"/>
    <n v="20.606522500000001"/>
    <n v="65.940871999999999"/>
    <n v="32.970435999999999"/>
    <n v="4.9455654000000004"/>
    <n v="311.57062020000001"/>
    <n v="68.688408333333328"/>
    <n v="91.584544444444433"/>
    <n v="60.583176149999993"/>
    <n v="220.85612892777775"/>
    <n v="208.11160000000001"/>
    <n v="0"/>
    <n v="387.79"/>
    <n v="42.97"/>
    <n v="0"/>
    <n v="0"/>
    <n v="3.36"/>
    <n v="0"/>
    <n v="642.23160000000007"/>
    <n v="1174.6583491277779"/>
    <n v="5.7795253576581791"/>
    <n v="0.46236202861265435"/>
    <n v="0.18494481144506175"/>
    <n v="2.8849131500000005"/>
    <n v="1.0904971707000004"/>
    <n v="25.204066631111107"/>
    <n v="0.6868840833333334"/>
    <n v="36.293193232860339"/>
    <n v="6.9604253777777769"/>
    <n v="1.671417936111111"/>
    <n v="0.14081123708333332"/>
    <n v="0.17172102083333335"/>
    <n v="1.0684863518518517"/>
    <n v="3.7848618071425006"/>
    <n v="13.797723730799909"/>
    <n v="0"/>
    <n v="0"/>
    <n v="0"/>
    <n v="0"/>
    <n v="13.797723730799909"/>
    <n v="62.806666666666665"/>
    <n v="17.759106479291944"/>
    <n v="32.264696957412788"/>
    <n v="345.13576638965827"/>
    <n v="0"/>
    <n v="457.96623649302967"/>
    <n v="2506.9764025844679"/>
    <n v="189.64880140242613"/>
    <n v="159.30499317803796"/>
    <n v="8.6609686609686695E-2"/>
    <n v="1.880341880341882E-2"/>
    <n v="0.03"/>
    <n v="3.4188034188034219E-2"/>
    <n v="0.1225"/>
    <n v="0.13960113960113973"/>
    <n v="398.69111014553221"/>
    <n v="747.6449047259963"/>
    <n v="3254.6213073104641"/>
    <n v="39055.455687725567"/>
    <d v="2025-01-01T00:00:00"/>
    <s v="-"/>
    <s v="-"/>
  </r>
  <r>
    <s v="2.558.03"/>
    <x v="179"/>
    <x v="2"/>
    <s v="Regiao de Juiz de Fora"/>
    <s v="Limpeza"/>
    <x v="0"/>
    <n v="1"/>
    <n v="0"/>
    <n v="544.17999999999995"/>
    <n v="0"/>
    <n v="0"/>
    <n v="0"/>
    <n v="0"/>
    <n v="0"/>
    <n v="0"/>
    <n v="19.590499999999999"/>
    <n v="563.77049999999997"/>
    <n v="112.75409999999999"/>
    <n v="8.4565574999999988"/>
    <n v="5.6377049999999995"/>
    <n v="1.1275409999999999"/>
    <n v="14.094262499999999"/>
    <n v="45.101639999999996"/>
    <n v="22.550819999999998"/>
    <n v="3.3826229999999997"/>
    <n v="213.10524899999996"/>
    <n v="46.980874999999997"/>
    <n v="62.641166666666663"/>
    <n v="41.437131749999992"/>
    <n v="151.05917341666665"/>
    <n v="223.3492"/>
    <n v="582"/>
    <n v="0"/>
    <n v="51.88"/>
    <n v="0"/>
    <n v="0"/>
    <n v="3.36"/>
    <n v="0"/>
    <n v="860.58920000000001"/>
    <n v="1224.7536224166665"/>
    <n v="3.9530273735532404"/>
    <n v="0.31624218988425928"/>
    <n v="0.12649687595370371"/>
    <n v="1.9731967500000003"/>
    <n v="0.74586837150000018"/>
    <n v="17.238849066666663"/>
    <n v="0.46980875"/>
    <n v="24.823489377557866"/>
    <n v="4.7607286666666662"/>
    <n v="1.1432012916666665"/>
    <n v="9.6310793749999998E-2"/>
    <n v="0.1174521875"/>
    <n v="0.73081361111111109"/>
    <n v="2.5887354761625003"/>
    <n v="9.4372420268569428"/>
    <n v="0"/>
    <n v="0"/>
    <n v="0"/>
    <n v="0"/>
    <n v="9.4372420268569428"/>
    <n v="62.806666666666665"/>
    <n v="12.108481690426325"/>
    <n v="21.998657016417809"/>
    <n v="235.31984072022155"/>
    <n v="0"/>
    <n v="332.23364609373232"/>
    <n v="2155.0184999148137"/>
    <n v="189.64880140242613"/>
    <n v="159.30499317803796"/>
    <n v="8.6609686609686695E-2"/>
    <n v="1.880341880341882E-2"/>
    <n v="0.03"/>
    <n v="3.4188034188034219E-2"/>
    <n v="0.1225"/>
    <n v="0.13960113960113973"/>
    <n v="349.55738584122145"/>
    <n v="698.51118042168559"/>
    <n v="2853.529680336499"/>
    <n v="34242.356164037992"/>
    <d v="2025-01-01T00:00:00"/>
    <s v="-"/>
    <s v="-"/>
  </r>
  <r>
    <s v="2.560.04"/>
    <x v="180"/>
    <x v="0"/>
    <s v="Fethemg Interior"/>
    <s v="Limpeza"/>
    <x v="0"/>
    <n v="1"/>
    <n v="0"/>
    <n v="798.14"/>
    <n v="0"/>
    <n v="0"/>
    <n v="0"/>
    <n v="0"/>
    <n v="0"/>
    <n v="0"/>
    <n v="26.120899999999999"/>
    <n v="824.26089999999999"/>
    <n v="164.85218"/>
    <n v="12.363913499999999"/>
    <n v="8.2426089999999999"/>
    <n v="1.6485217999999999"/>
    <n v="20.606522500000001"/>
    <n v="65.940871999999999"/>
    <n v="32.970435999999999"/>
    <n v="4.9455654000000004"/>
    <n v="311.57062020000001"/>
    <n v="68.688408333333328"/>
    <n v="91.584544444444433"/>
    <n v="60.583176149999993"/>
    <n v="220.85612892777775"/>
    <n v="208.11160000000001"/>
    <n v="582"/>
    <n v="0"/>
    <n v="0"/>
    <n v="15.07"/>
    <n v="0"/>
    <n v="3.36"/>
    <n v="0"/>
    <n v="808.54160000000002"/>
    <n v="1340.9683491277779"/>
    <n v="5.7795253576581791"/>
    <n v="0.46236202861265435"/>
    <n v="0.18494481144506175"/>
    <n v="2.8849131500000005"/>
    <n v="1.0904971707000004"/>
    <n v="25.204066631111107"/>
    <n v="0.6868840833333334"/>
    <n v="36.293193232860339"/>
    <n v="6.9604253777777769"/>
    <n v="1.671417936111111"/>
    <n v="0.14081123708333332"/>
    <n v="0.17172102083333335"/>
    <n v="1.0684863518518517"/>
    <n v="3.7848618071425006"/>
    <n v="13.797723730799909"/>
    <n v="0"/>
    <n v="0"/>
    <n v="0"/>
    <n v="0"/>
    <n v="13.797723730799909"/>
    <n v="62.806666666666665"/>
    <n v="17.759106479291944"/>
    <n v="32.264696957412788"/>
    <n v="345.13576638965827"/>
    <n v="0"/>
    <n v="457.96623649302967"/>
    <n v="2673.2864025844674"/>
    <n v="189.64880140242613"/>
    <n v="159.30499317803796"/>
    <n v="8.8629737609329504E-2"/>
    <n v="1.9241982507288629E-2"/>
    <n v="0.05"/>
    <n v="5.8309037900874633E-2"/>
    <n v="0.14250000000000002"/>
    <n v="0.16618075801749277"/>
    <n v="502.23816687580512"/>
    <n v="851.19196145626915"/>
    <n v="3524.4783640407368"/>
    <n v="42293.740368488841"/>
    <d v="2025-01-01T00:00:00"/>
    <s v="-"/>
    <s v="-"/>
  </r>
  <r>
    <s v="2.567.05"/>
    <x v="181"/>
    <x v="3"/>
    <s v="Sind - Asseio"/>
    <s v="Limpeza"/>
    <x v="0"/>
    <n v="1"/>
    <n v="0"/>
    <n v="1124.3900000000001"/>
    <n v="0"/>
    <n v="0"/>
    <n v="0"/>
    <n v="0"/>
    <n v="0"/>
    <n v="0"/>
    <n v="40.478000000000002"/>
    <n v="1164.8680000000002"/>
    <n v="232.97360000000003"/>
    <n v="17.473020000000002"/>
    <n v="11.648680000000002"/>
    <n v="2.3297360000000005"/>
    <n v="29.121700000000004"/>
    <n v="93.189440000000019"/>
    <n v="46.594720000000009"/>
    <n v="6.9892080000000014"/>
    <n v="440.32010400000001"/>
    <n v="97.072333333333347"/>
    <n v="129.42977777777779"/>
    <n v="85.617797999999993"/>
    <n v="312.11990911111116"/>
    <n v="188.53659999999999"/>
    <n v="582"/>
    <n v="0"/>
    <n v="77.25"/>
    <n v="0"/>
    <n v="0"/>
    <n v="3.36"/>
    <n v="0"/>
    <n v="851.14660000000003"/>
    <n v="1603.5866131111111"/>
    <n v="8.1677829729938285"/>
    <n v="0.65342263783950627"/>
    <n v="0.26136905513580255"/>
    <n v="4.0770380000000008"/>
    <n v="1.5411203640000006"/>
    <n v="35.619074844444441"/>
    <n v="0.97072333333333349"/>
    <n v="51.290531207746916"/>
    <n v="9.8366631111111111"/>
    <n v="2.3620934444444446"/>
    <n v="0.19899828333333336"/>
    <n v="0.24268083333333337"/>
    <n v="1.5100140740740742"/>
    <n v="5.3488700041000019"/>
    <n v="19.499319750396296"/>
    <n v="0"/>
    <n v="0"/>
    <n v="0"/>
    <n v="0"/>
    <n v="19.499319750396296"/>
    <n v="100.80916666666666"/>
    <n v="24.216963380852651"/>
    <n v="43.997314032835618"/>
    <n v="470.6396814404431"/>
    <n v="0"/>
    <n v="639.66312552079808"/>
    <n v="3478.9075895900523"/>
    <n v="189.64880140242613"/>
    <n v="159.30499317803796"/>
    <n v="8.5633802816901458E-2"/>
    <n v="1.8591549295774657E-2"/>
    <n v="0.02"/>
    <n v="2.2535211267605645E-2"/>
    <n v="0.1125"/>
    <n v="0.12676056338028174"/>
    <n v="485.22186559907976"/>
    <n v="834.17566017954391"/>
    <n v="4313.0832497695965"/>
    <n v="51756.998997235161"/>
    <d v="2025-01-01T00:00:00"/>
    <s v="-"/>
    <s v="-"/>
  </r>
  <r>
    <s v="2.568.03"/>
    <x v="182"/>
    <x v="2"/>
    <s v="Fethemg Interior"/>
    <s v="Limpeza"/>
    <x v="0"/>
    <n v="1"/>
    <n v="0"/>
    <n v="544.17999999999995"/>
    <n v="0"/>
    <n v="0"/>
    <n v="0"/>
    <n v="0"/>
    <n v="0"/>
    <n v="0"/>
    <n v="19.590499999999999"/>
    <n v="563.77049999999997"/>
    <n v="112.75409999999999"/>
    <n v="8.4565574999999988"/>
    <n v="5.6377049999999995"/>
    <n v="1.1275409999999999"/>
    <n v="14.094262499999999"/>
    <n v="45.101639999999996"/>
    <n v="22.550819999999998"/>
    <n v="3.3826229999999997"/>
    <n v="213.10524899999996"/>
    <n v="46.980874999999997"/>
    <n v="62.641166666666663"/>
    <n v="41.437131749999992"/>
    <n v="151.05917341666665"/>
    <n v="223.3492"/>
    <n v="582"/>
    <n v="0"/>
    <n v="0"/>
    <n v="15.07"/>
    <n v="0"/>
    <n v="3.36"/>
    <n v="0"/>
    <n v="823.77920000000006"/>
    <n v="1187.9436224166666"/>
    <n v="3.9530273735532404"/>
    <n v="0.31624218988425928"/>
    <n v="0.12649687595370371"/>
    <n v="1.9731967500000003"/>
    <n v="0.74586837150000018"/>
    <n v="17.238849066666663"/>
    <n v="0.46980875"/>
    <n v="24.823489377557866"/>
    <n v="4.7607286666666662"/>
    <n v="1.1432012916666665"/>
    <n v="9.6310793749999998E-2"/>
    <n v="0.1174521875"/>
    <n v="0.73081361111111109"/>
    <n v="2.5887354761625003"/>
    <n v="9.4372420268569428"/>
    <n v="0"/>
    <n v="0"/>
    <n v="0"/>
    <n v="0"/>
    <n v="9.4372420268569428"/>
    <n v="62.806666666666665"/>
    <n v="12.108481690426325"/>
    <n v="21.998657016417809"/>
    <n v="235.31984072022155"/>
    <n v="0"/>
    <n v="332.23364609373232"/>
    <n v="2118.2084999148137"/>
    <n v="189.64880140242613"/>
    <n v="159.30499317803796"/>
    <n v="8.8629737609329504E-2"/>
    <n v="1.9241982507288629E-2"/>
    <n v="0.05"/>
    <n v="5.8309037900874633E-2"/>
    <n v="0.14250000000000002"/>
    <n v="0.16618075801749277"/>
    <n v="409.99490025140199"/>
    <n v="758.94869483186608"/>
    <n v="2877.15719474668"/>
    <n v="34525.88633696016"/>
    <d v="2025-01-01T00:00:00"/>
    <s v="-"/>
    <s v="-"/>
  </r>
  <r>
    <s v="2.569.04"/>
    <x v="183"/>
    <x v="0"/>
    <s v="Regiao Uberaba"/>
    <s v="Limpeza"/>
    <x v="0"/>
    <n v="1"/>
    <n v="0"/>
    <n v="798.14"/>
    <n v="0"/>
    <n v="0"/>
    <n v="0"/>
    <n v="0"/>
    <n v="0"/>
    <n v="0"/>
    <n v="26.120899999999999"/>
    <n v="824.26089999999999"/>
    <n v="164.85218"/>
    <n v="12.363913499999999"/>
    <n v="8.2426089999999999"/>
    <n v="1.6485217999999999"/>
    <n v="20.606522500000001"/>
    <n v="65.940871999999999"/>
    <n v="32.970435999999999"/>
    <n v="4.9455654000000004"/>
    <n v="311.57062020000001"/>
    <n v="68.688408333333328"/>
    <n v="91.584544444444433"/>
    <n v="60.583176149999993"/>
    <n v="220.85612892777775"/>
    <n v="208.11160000000001"/>
    <n v="582"/>
    <n v="0"/>
    <n v="0"/>
    <n v="0"/>
    <n v="0"/>
    <n v="3.36"/>
    <n v="0"/>
    <n v="793.47159999999997"/>
    <n v="1325.8983491277777"/>
    <n v="5.7795253576581791"/>
    <n v="0.46236202861265435"/>
    <n v="0.18494481144506175"/>
    <n v="2.8849131500000005"/>
    <n v="1.0904971707000004"/>
    <n v="25.204066631111107"/>
    <n v="0.6868840833333334"/>
    <n v="36.293193232860339"/>
    <n v="6.9604253777777769"/>
    <n v="1.671417936111111"/>
    <n v="0.14081123708333332"/>
    <n v="0.17172102083333335"/>
    <n v="1.0684863518518517"/>
    <n v="3.7848618071425006"/>
    <n v="13.797723730799909"/>
    <n v="0"/>
    <n v="0"/>
    <n v="0"/>
    <n v="0"/>
    <n v="13.797723730799909"/>
    <n v="62.806666666666665"/>
    <n v="17.759106479291944"/>
    <n v="32.264696957412788"/>
    <n v="345.13576638965827"/>
    <n v="0"/>
    <n v="457.96623649302967"/>
    <n v="2658.2164025844677"/>
    <n v="189.64880140242613"/>
    <n v="159.30499317803796"/>
    <n v="8.6609686609686695E-2"/>
    <n v="1.880341880341882E-2"/>
    <n v="0.03"/>
    <n v="3.4188034188034219E-2"/>
    <n v="0.1225"/>
    <n v="0.13960113960113973"/>
    <n v="419.80438649880853"/>
    <n v="768.75818107927262"/>
    <n v="3426.9745836637403"/>
    <n v="41123.69500396488"/>
    <d v="2025-01-01T00:00:00"/>
    <s v="-"/>
    <s v="-"/>
  </r>
  <r>
    <s v="2.570.03"/>
    <x v="184"/>
    <x v="2"/>
    <s v="Sethac Norte de Minas"/>
    <s v="Limpeza"/>
    <x v="0"/>
    <n v="1"/>
    <n v="0"/>
    <n v="544.17999999999995"/>
    <n v="0"/>
    <n v="0"/>
    <n v="0"/>
    <n v="0"/>
    <n v="0"/>
    <n v="0"/>
    <n v="19.590499999999999"/>
    <n v="563.77049999999997"/>
    <n v="112.75409999999999"/>
    <n v="8.4565574999999988"/>
    <n v="5.6377049999999995"/>
    <n v="1.1275409999999999"/>
    <n v="14.094262499999999"/>
    <n v="45.101639999999996"/>
    <n v="22.550819999999998"/>
    <n v="3.3826229999999997"/>
    <n v="213.10524899999996"/>
    <n v="46.980874999999997"/>
    <n v="62.641166666666663"/>
    <n v="41.437131749999992"/>
    <n v="151.05917341666665"/>
    <n v="223.3492"/>
    <n v="582"/>
    <n v="0"/>
    <n v="51.86"/>
    <n v="0"/>
    <n v="0"/>
    <n v="3.36"/>
    <n v="0"/>
    <n v="860.56920000000002"/>
    <n v="1224.7336224166665"/>
    <n v="3.9530273735532404"/>
    <n v="0.31624218988425928"/>
    <n v="0.12649687595370371"/>
    <n v="1.9731967500000003"/>
    <n v="0.74586837150000018"/>
    <n v="17.238849066666663"/>
    <n v="0.46980875"/>
    <n v="24.823489377557866"/>
    <n v="4.7607286666666662"/>
    <n v="1.1432012916666665"/>
    <n v="9.6310793749999998E-2"/>
    <n v="0.1174521875"/>
    <n v="0.73081361111111109"/>
    <n v="2.5887354761625003"/>
    <n v="9.4372420268569428"/>
    <n v="0"/>
    <n v="0"/>
    <n v="0"/>
    <n v="0"/>
    <n v="9.4372420268569428"/>
    <n v="62.806666666666665"/>
    <n v="12.108481690426325"/>
    <n v="21.998657016417809"/>
    <n v="235.31984072022155"/>
    <n v="0"/>
    <n v="332.23364609373232"/>
    <n v="2154.9984999148137"/>
    <n v="189.64880140242613"/>
    <n v="159.30499317803796"/>
    <n v="8.6609686609686695E-2"/>
    <n v="1.880341880341882E-2"/>
    <n v="0.03"/>
    <n v="3.4188034188034219E-2"/>
    <n v="0.1225"/>
    <n v="0.13960113960113973"/>
    <n v="349.55459381842945"/>
    <n v="698.50838839889354"/>
    <n v="2853.5068883137073"/>
    <n v="34242.082659764492"/>
    <d v="2025-01-01T00:00:00"/>
    <s v="-"/>
    <s v="-"/>
  </r>
  <r>
    <s v="2.572.04"/>
    <x v="185"/>
    <x v="0"/>
    <s v="Regiao de Joao Monlevade"/>
    <s v="Limpeza"/>
    <x v="0"/>
    <n v="1"/>
    <n v="0"/>
    <n v="798.14"/>
    <n v="0"/>
    <n v="0"/>
    <n v="0"/>
    <n v="0"/>
    <n v="0"/>
    <n v="0"/>
    <n v="26.120899999999999"/>
    <n v="824.26089999999999"/>
    <n v="164.85218"/>
    <n v="12.363913499999999"/>
    <n v="8.2426089999999999"/>
    <n v="1.6485217999999999"/>
    <n v="20.606522500000001"/>
    <n v="65.940871999999999"/>
    <n v="32.970435999999999"/>
    <n v="4.9455654000000004"/>
    <n v="311.57062020000001"/>
    <n v="68.688408333333328"/>
    <n v="91.584544444444433"/>
    <n v="60.583176149999993"/>
    <n v="220.85612892777775"/>
    <n v="208.11160000000001"/>
    <n v="582"/>
    <n v="0"/>
    <n v="50.74"/>
    <n v="0"/>
    <n v="0"/>
    <n v="3.36"/>
    <n v="0"/>
    <n v="844.21159999999998"/>
    <n v="1376.6383491277777"/>
    <n v="5.7795253576581791"/>
    <n v="0.46236202861265435"/>
    <n v="0.18494481144506175"/>
    <n v="2.8849131500000005"/>
    <n v="1.0904971707000004"/>
    <n v="25.204066631111107"/>
    <n v="0.6868840833333334"/>
    <n v="36.293193232860339"/>
    <n v="6.9604253777777769"/>
    <n v="1.671417936111111"/>
    <n v="0.14081123708333332"/>
    <n v="0.17172102083333335"/>
    <n v="1.0684863518518517"/>
    <n v="3.7848618071425006"/>
    <n v="13.797723730799909"/>
    <n v="0"/>
    <n v="0"/>
    <n v="0"/>
    <n v="0"/>
    <n v="13.797723730799909"/>
    <n v="62.806666666666665"/>
    <n v="17.759106479291944"/>
    <n v="32.264696957412788"/>
    <n v="345.13576638965827"/>
    <n v="0"/>
    <n v="457.96623649302967"/>
    <n v="2708.9564025844675"/>
    <n v="189.64880140242613"/>
    <n v="159.30499317803796"/>
    <n v="8.6609686609686695E-2"/>
    <n v="1.880341880341882E-2"/>
    <n v="0.03"/>
    <n v="3.4188034188034219E-2"/>
    <n v="0.1225"/>
    <n v="0.13960113960113973"/>
    <n v="426.88774832217035"/>
    <n v="775.8415429026345"/>
    <n v="3484.797945487102"/>
    <n v="41817.575345845224"/>
    <d v="2025-01-01T00:00:00"/>
    <s v="-"/>
    <s v="-"/>
  </r>
  <r>
    <s v="2.245.06"/>
    <x v="186"/>
    <x v="1"/>
    <s v="Sind - Asseio"/>
    <s v="Limpeza"/>
    <x v="0"/>
    <n v="2"/>
    <n v="0"/>
    <n v="3298.24"/>
    <n v="0"/>
    <n v="0"/>
    <n v="0"/>
    <n v="0"/>
    <n v="0"/>
    <n v="0"/>
    <n v="107.94240000000001"/>
    <n v="3406.1823999999997"/>
    <n v="681.23648000000003"/>
    <n v="51.092735999999995"/>
    <n v="34.061823999999994"/>
    <n v="6.8123647999999992"/>
    <n v="85.154560000000004"/>
    <n v="272.49459199999995"/>
    <n v="136.24729599999998"/>
    <n v="20.437094399999999"/>
    <n v="1287.5369472"/>
    <n v="283.84853333333331"/>
    <n v="378.46471111111106"/>
    <n v="250.35440639999999"/>
    <n v="912.66765084444432"/>
    <n v="314.10559999999998"/>
    <n v="1164"/>
    <n v="0"/>
    <n v="154.5"/>
    <n v="0"/>
    <n v="0"/>
    <n v="6.72"/>
    <n v="0"/>
    <n v="1639.3255999999999"/>
    <n v="3839.5301980444447"/>
    <n v="23.883357264197528"/>
    <n v="1.9106685811358024"/>
    <n v="0.76426743245432105"/>
    <n v="11.921638400000001"/>
    <n v="4.5063793152000011"/>
    <n v="104.15348849777776"/>
    <n v="2.8384853333333333"/>
    <n v="149.97828482409875"/>
    <n v="28.763318044444439"/>
    <n v="6.9069809777777769"/>
    <n v="0.58188949333333329"/>
    <n v="0.70962133333333333"/>
    <n v="4.4154216296296287"/>
    <n v="15.640593498880001"/>
    <n v="57.017824977398512"/>
    <n v="0"/>
    <n v="0"/>
    <n v="0"/>
    <n v="0"/>
    <n v="57.017824977398512"/>
    <n v="201.61833333333331"/>
    <n v="71.036425917167776"/>
    <n v="129.05878782965115"/>
    <n v="1380.5430655586331"/>
    <n v="0"/>
    <n v="1782.2566126387853"/>
    <n v="9234.9653204847273"/>
    <n v="379.29760280485226"/>
    <n v="318.60998635607592"/>
    <n v="8.8629737609329504E-2"/>
    <n v="1.9241982507288629E-2"/>
    <n v="0.05"/>
    <n v="5.8309037900874633E-2"/>
    <n v="0.14250000000000002"/>
    <n v="0.16618075801749277"/>
    <n v="1650.6523494163339"/>
    <n v="2348.5599385772621"/>
    <n v="11583.525259061989"/>
    <n v="139002.30310874386"/>
    <d v="2025-01-01T00:00:00"/>
    <s v="-"/>
    <s v="-"/>
  </r>
  <r>
    <s v="2.582.04"/>
    <x v="187"/>
    <x v="0"/>
    <s v="Fethemg Interior"/>
    <s v="Limpeza"/>
    <x v="0"/>
    <n v="1"/>
    <n v="0"/>
    <n v="798.14"/>
    <n v="0"/>
    <n v="0"/>
    <n v="0"/>
    <n v="0"/>
    <n v="0"/>
    <n v="0"/>
    <n v="26.120899999999999"/>
    <n v="824.26089999999999"/>
    <n v="164.85218"/>
    <n v="12.363913499999999"/>
    <n v="8.2426089999999999"/>
    <n v="1.6485217999999999"/>
    <n v="20.606522500000001"/>
    <n v="65.940871999999999"/>
    <n v="32.970435999999999"/>
    <n v="4.9455654000000004"/>
    <n v="311.57062020000001"/>
    <n v="68.688408333333328"/>
    <n v="91.584544444444433"/>
    <n v="60.583176149999993"/>
    <n v="220.85612892777775"/>
    <n v="208.11160000000001"/>
    <n v="582"/>
    <n v="0"/>
    <n v="0"/>
    <n v="15.07"/>
    <n v="0"/>
    <n v="3.36"/>
    <n v="0"/>
    <n v="808.54160000000002"/>
    <n v="1340.9683491277779"/>
    <n v="5.7795253576581791"/>
    <n v="0.46236202861265435"/>
    <n v="0.18494481144506175"/>
    <n v="2.8849131500000005"/>
    <n v="1.0904971707000004"/>
    <n v="25.204066631111107"/>
    <n v="0.6868840833333334"/>
    <n v="36.293193232860339"/>
    <n v="6.9604253777777769"/>
    <n v="1.671417936111111"/>
    <n v="0.14081123708333332"/>
    <n v="0.17172102083333335"/>
    <n v="1.0684863518518517"/>
    <n v="3.7848618071425006"/>
    <n v="13.797723730799909"/>
    <n v="0"/>
    <n v="0"/>
    <n v="0"/>
    <n v="0"/>
    <n v="13.797723730799909"/>
    <n v="62.806666666666665"/>
    <n v="17.759106479291944"/>
    <n v="32.264696957412788"/>
    <n v="345.13576638965827"/>
    <n v="0"/>
    <n v="457.96623649302967"/>
    <n v="2673.2864025844674"/>
    <n v="189.64880140242613"/>
    <n v="159.30499317803796"/>
    <n v="8.8629737609329504E-2"/>
    <n v="1.9241982507288629E-2"/>
    <n v="0.05"/>
    <n v="5.8309037900874633E-2"/>
    <n v="0.14250000000000002"/>
    <n v="0.16618075801749277"/>
    <n v="502.23816687580512"/>
    <n v="851.19196145626915"/>
    <n v="3524.4783640407368"/>
    <n v="42293.740368488841"/>
    <d v="2025-01-01T00:00:00"/>
    <s v="-"/>
    <s v="-"/>
  </r>
  <r>
    <s v="2.592.05"/>
    <x v="188"/>
    <x v="3"/>
    <s v="Regiao de Sao Lourenco"/>
    <s v="Limpeza"/>
    <x v="0"/>
    <n v="1"/>
    <n v="0"/>
    <n v="1088.3699999999999"/>
    <n v="0"/>
    <n v="0"/>
    <n v="0"/>
    <n v="0"/>
    <n v="0"/>
    <n v="0"/>
    <n v="39.1813"/>
    <n v="1127.5512999999999"/>
    <n v="225.51025999999999"/>
    <n v="16.913269499999998"/>
    <n v="11.275512999999998"/>
    <n v="2.2551025999999998"/>
    <n v="28.188782499999999"/>
    <n v="90.204103999999987"/>
    <n v="45.102051999999993"/>
    <n v="6.7653077999999995"/>
    <n v="426.21439139999995"/>
    <n v="93.962608333333321"/>
    <n v="125.28347777777776"/>
    <n v="82.875020549999988"/>
    <n v="302.12110666111107"/>
    <n v="190.69780000000003"/>
    <n v="582"/>
    <n v="0"/>
    <n v="0"/>
    <n v="0"/>
    <n v="0"/>
    <n v="3.36"/>
    <n v="0"/>
    <n v="776.05780000000004"/>
    <n v="1504.3932980611112"/>
    <n v="7.9061269683063262"/>
    <n v="0.6324901574645061"/>
    <n v="0.25299606298580246"/>
    <n v="3.94642955"/>
    <n v="1.4917503699000003"/>
    <n v="34.478013084444434"/>
    <n v="0.93962608333333331"/>
    <n v="49.647432276434401"/>
    <n v="9.5215443111111089"/>
    <n v="2.2864234694444439"/>
    <n v="0.19262334708333331"/>
    <n v="0.23490652083333333"/>
    <n v="1.4616405740740739"/>
    <n v="5.1775182481225004"/>
    <n v="18.874656470668793"/>
    <n v="0"/>
    <n v="0"/>
    <n v="0"/>
    <n v="0"/>
    <n v="18.874656470668793"/>
    <n v="100.80916666666666"/>
    <n v="24.216963380852651"/>
    <n v="43.997314032835618"/>
    <n v="470.6396814404431"/>
    <n v="0"/>
    <n v="639.66312552079808"/>
    <n v="3340.1298123290121"/>
    <n v="189.64880140242613"/>
    <n v="159.30499317803796"/>
    <n v="8.6609686609686695E-2"/>
    <n v="1.880341880341882E-2"/>
    <n v="0.03"/>
    <n v="3.4188034188034219E-2"/>
    <n v="0.1225"/>
    <n v="0.13960113960113973"/>
    <n v="515.00027560844592"/>
    <n v="863.95407018891001"/>
    <n v="4204.0838825179217"/>
    <n v="50449.00659021506"/>
    <d v="2025-01-01T00:00:00"/>
    <s v="-"/>
    <s v="-"/>
  </r>
  <r>
    <s v="2.596.04"/>
    <x v="189"/>
    <x v="0"/>
    <s v="Regiao de Sao Lourenco"/>
    <s v="Limpeza"/>
    <x v="0"/>
    <n v="1"/>
    <n v="0"/>
    <n v="824.56"/>
    <n v="0"/>
    <n v="0"/>
    <n v="0"/>
    <n v="0"/>
    <n v="0"/>
    <n v="0"/>
    <n v="26.985600000000002"/>
    <n v="851.54559999999992"/>
    <n v="170.30912000000001"/>
    <n v="12.773183999999999"/>
    <n v="8.5154559999999986"/>
    <n v="1.7030911999999998"/>
    <n v="21.288640000000001"/>
    <n v="68.123647999999989"/>
    <n v="34.061823999999994"/>
    <n v="5.1092735999999999"/>
    <n v="321.8842368"/>
    <n v="70.962133333333327"/>
    <n v="94.616177777777764"/>
    <n v="62.588601599999997"/>
    <n v="228.16691271111108"/>
    <n v="206.5264"/>
    <n v="582"/>
    <n v="0"/>
    <n v="0"/>
    <n v="0"/>
    <n v="0"/>
    <n v="3.36"/>
    <n v="0"/>
    <n v="791.88639999999998"/>
    <n v="1341.9375495111112"/>
    <n v="5.970839316049382"/>
    <n v="0.4776671452839506"/>
    <n v="0.19106685811358026"/>
    <n v="2.9804096000000002"/>
    <n v="1.1265948288000003"/>
    <n v="26.038372124444439"/>
    <n v="0.70962133333333333"/>
    <n v="37.494571206024688"/>
    <n v="7.1908295111111098"/>
    <n v="1.7267452444444442"/>
    <n v="0.14547237333333332"/>
    <n v="0.17740533333333333"/>
    <n v="1.1038554074074072"/>
    <n v="3.9101483747200003"/>
    <n v="14.254456244349628"/>
    <n v="0"/>
    <n v="0"/>
    <n v="0"/>
    <n v="0"/>
    <n v="14.254456244349628"/>
    <n v="62.806666666666665"/>
    <n v="17.759106479291944"/>
    <n v="32.264696957412788"/>
    <n v="345.13576638965827"/>
    <n v="0"/>
    <n v="457.96623649302967"/>
    <n v="2703.198413454515"/>
    <n v="189.64880140242613"/>
    <n v="159.30499317803796"/>
    <n v="8.6609686609686695E-2"/>
    <n v="1.880341880341882E-2"/>
    <n v="0.03"/>
    <n v="3.4188034188034219E-2"/>
    <n v="0.1225"/>
    <n v="0.13960113960113973"/>
    <n v="426.08392647781801"/>
    <n v="775.03772105828216"/>
    <n v="3478.2361345127974"/>
    <n v="41738.833614153569"/>
    <d v="2025-01-01T00:00:00"/>
    <s v="-"/>
    <s v="-"/>
  </r>
  <r>
    <s v="2.598.03"/>
    <x v="190"/>
    <x v="2"/>
    <s v="Alto Paranaiba"/>
    <s v="Limpeza"/>
    <x v="0"/>
    <n v="1"/>
    <n v="0"/>
    <n v="544.17999999999995"/>
    <n v="0"/>
    <n v="0"/>
    <n v="0"/>
    <n v="0"/>
    <n v="0"/>
    <n v="0"/>
    <n v="19.590499999999999"/>
    <n v="563.77049999999997"/>
    <n v="112.75409999999999"/>
    <n v="8.4565574999999988"/>
    <n v="5.6377049999999995"/>
    <n v="1.1275409999999999"/>
    <n v="14.094262499999999"/>
    <n v="45.101639999999996"/>
    <n v="22.550819999999998"/>
    <n v="3.3826229999999997"/>
    <n v="213.10524899999996"/>
    <n v="46.980874999999997"/>
    <n v="62.641166666666663"/>
    <n v="41.437131749999992"/>
    <n v="151.05917341666665"/>
    <n v="223.3492"/>
    <n v="0"/>
    <n v="387.79"/>
    <n v="42.97"/>
    <n v="0"/>
    <n v="0"/>
    <n v="3.36"/>
    <n v="0"/>
    <n v="657.46920000000011"/>
    <n v="1021.6336224166668"/>
    <n v="3.9530273735532404"/>
    <n v="0.31624218988425928"/>
    <n v="0.12649687595370371"/>
    <n v="1.9731967500000003"/>
    <n v="0.74586837150000018"/>
    <n v="17.238849066666663"/>
    <n v="0.46980875"/>
    <n v="24.823489377557866"/>
    <n v="4.7607286666666662"/>
    <n v="1.1432012916666665"/>
    <n v="9.6310793749999998E-2"/>
    <n v="0.1174521875"/>
    <n v="0.73081361111111109"/>
    <n v="2.5887354761625003"/>
    <n v="9.4372420268569428"/>
    <n v="0"/>
    <n v="0"/>
    <n v="0"/>
    <n v="0"/>
    <n v="9.4372420268569428"/>
    <n v="62.806666666666665"/>
    <n v="12.108481690426325"/>
    <n v="21.998657016417809"/>
    <n v="235.31984072022155"/>
    <n v="0"/>
    <n v="332.23364609373232"/>
    <n v="1951.8984999148138"/>
    <n v="189.64880140242613"/>
    <n v="159.30499317803796"/>
    <n v="8.6609686609686695E-2"/>
    <n v="1.880341880341882E-2"/>
    <n v="0.03"/>
    <n v="3.4188034188034219E-2"/>
    <n v="0.1225"/>
    <n v="0.13960113960113973"/>
    <n v="321.20160236543796"/>
    <n v="670.15539694590211"/>
    <n v="2622.0538968607161"/>
    <n v="31464.646762328593"/>
    <d v="2025-01-01T00:00:00"/>
    <s v="-"/>
    <s v="-"/>
  </r>
  <r>
    <s v="2.604.06"/>
    <x v="191"/>
    <x v="1"/>
    <s v="Regiao de Divinopolis"/>
    <s v="Limpeza"/>
    <x v="0"/>
    <n v="1"/>
    <n v="0"/>
    <n v="1596.28"/>
    <n v="0"/>
    <n v="0"/>
    <n v="0"/>
    <n v="0"/>
    <n v="0"/>
    <n v="0"/>
    <n v="52.241900000000001"/>
    <n v="1648.5219"/>
    <n v="329.70438000000001"/>
    <n v="24.727828499999998"/>
    <n v="16.485219000000001"/>
    <n v="3.2970438"/>
    <n v="41.213047500000002"/>
    <n v="131.88175200000001"/>
    <n v="65.940876000000003"/>
    <n v="9.8911314000000008"/>
    <n v="623.14127819999999"/>
    <n v="137.376825"/>
    <n v="183.16909999999999"/>
    <n v="121.16635965"/>
    <n v="441.71228465000002"/>
    <n v="160.22320000000002"/>
    <n v="582"/>
    <n v="0"/>
    <n v="51.88"/>
    <n v="0"/>
    <n v="0"/>
    <n v="3.36"/>
    <n v="0"/>
    <n v="797.46320000000003"/>
    <n v="1862.31676285"/>
    <n v="11.559051416493055"/>
    <n v="0.92472411331944449"/>
    <n v="0.36988964532777785"/>
    <n v="5.7698266500000006"/>
    <n v="2.1809944737000007"/>
    <n v="50.40813631999999"/>
    <n v="1.3737682500000001"/>
    <n v="72.586390868840269"/>
    <n v="13.920851599999999"/>
    <n v="3.3428360749999997"/>
    <n v="0.28162249125"/>
    <n v="0.34344206250000003"/>
    <n v="2.1369728333333331"/>
    <n v="7.5697240734675013"/>
    <n v="27.595449135550833"/>
    <n v="0"/>
    <n v="0"/>
    <n v="0"/>
    <n v="0"/>
    <n v="27.595449135550833"/>
    <n v="100.80916666666666"/>
    <n v="35.518212958583888"/>
    <n v="64.529393914825576"/>
    <n v="690.27153277931654"/>
    <n v="0"/>
    <n v="891.12830631939266"/>
    <n v="4502.1488091737838"/>
    <n v="189.64880140242613"/>
    <n v="159.30499317803796"/>
    <n v="8.6609686609686695E-2"/>
    <n v="1.880341880341882E-2"/>
    <n v="0.03"/>
    <n v="3.4188034188034219E-2"/>
    <n v="0.1225"/>
    <n v="0.13960113960113973"/>
    <n v="677.21945180614921"/>
    <n v="1026.1732463866133"/>
    <n v="5528.3220555603966"/>
    <n v="66339.864666724752"/>
    <d v="2025-01-01T00:00:00"/>
    <s v="-"/>
    <s v="-"/>
  </r>
  <r>
    <s v="2.611.06"/>
    <x v="192"/>
    <x v="1"/>
    <s v="Sethac Norte de Minas"/>
    <s v="Limpeza"/>
    <x v="0"/>
    <n v="1"/>
    <n v="0"/>
    <n v="1596.28"/>
    <n v="0"/>
    <n v="0"/>
    <n v="0"/>
    <n v="0"/>
    <n v="0"/>
    <n v="0"/>
    <n v="52.241900000000001"/>
    <n v="1648.5219"/>
    <n v="329.70438000000001"/>
    <n v="24.727828499999998"/>
    <n v="16.485219000000001"/>
    <n v="3.2970438"/>
    <n v="41.213047500000002"/>
    <n v="131.88175200000001"/>
    <n v="65.940876000000003"/>
    <n v="9.8911314000000008"/>
    <n v="623.14127819999999"/>
    <n v="137.376825"/>
    <n v="183.16909999999999"/>
    <n v="121.16635965"/>
    <n v="441.71228465000002"/>
    <n v="160.22320000000002"/>
    <n v="582"/>
    <n v="0"/>
    <n v="0"/>
    <n v="0"/>
    <n v="0"/>
    <n v="3.36"/>
    <n v="0"/>
    <n v="745.58320000000003"/>
    <n v="1810.4367628499999"/>
    <n v="11.559051416493055"/>
    <n v="0.92472411331944449"/>
    <n v="0.36988964532777785"/>
    <n v="5.7698266500000006"/>
    <n v="2.1809944737000007"/>
    <n v="50.40813631999999"/>
    <n v="1.3737682500000001"/>
    <n v="72.586390868840269"/>
    <n v="13.920851599999999"/>
    <n v="3.3428360749999997"/>
    <n v="0.28162249125"/>
    <n v="0.34344206250000003"/>
    <n v="2.1369728333333331"/>
    <n v="7.5697240734675013"/>
    <n v="27.595449135550833"/>
    <n v="0"/>
    <n v="0"/>
    <n v="0"/>
    <n v="0"/>
    <n v="27.595449135550833"/>
    <n v="100.80916666666666"/>
    <n v="35.518212958583888"/>
    <n v="64.529393914825576"/>
    <n v="690.27153277931654"/>
    <n v="0"/>
    <n v="891.12830631939266"/>
    <n v="4450.2688091737837"/>
    <n v="189.64880140242613"/>
    <n v="159.30499317803796"/>
    <n v="8.5633802816901458E-2"/>
    <n v="1.8591549295774657E-2"/>
    <n v="0.02"/>
    <n v="2.2535211267605645E-2"/>
    <n v="0.1125"/>
    <n v="0.12676056338028174"/>
    <n v="608.3521610392711"/>
    <n v="957.30595561973519"/>
    <n v="5407.5747647935186"/>
    <n v="64890.897177522224"/>
    <d v="2025-01-01T00:00:00"/>
    <s v="-"/>
    <s v="-"/>
  </r>
  <r>
    <s v="2.620.03"/>
    <x v="193"/>
    <x v="2"/>
    <s v="Regiao de Sao Lourenco"/>
    <s v="Limpeza"/>
    <x v="0"/>
    <n v="1"/>
    <n v="0"/>
    <n v="544.17999999999995"/>
    <n v="0"/>
    <n v="0"/>
    <n v="0"/>
    <n v="0"/>
    <n v="0"/>
    <n v="0"/>
    <n v="19.590499999999999"/>
    <n v="563.77049999999997"/>
    <n v="112.75409999999999"/>
    <n v="8.4565574999999988"/>
    <n v="5.6377049999999995"/>
    <n v="1.1275409999999999"/>
    <n v="14.094262499999999"/>
    <n v="45.101639999999996"/>
    <n v="22.550819999999998"/>
    <n v="3.3826229999999997"/>
    <n v="213.10524899999996"/>
    <n v="46.980874999999997"/>
    <n v="62.641166666666663"/>
    <n v="41.437131749999992"/>
    <n v="151.05917341666665"/>
    <n v="223.3492"/>
    <n v="582"/>
    <n v="0"/>
    <n v="0"/>
    <n v="0"/>
    <n v="0"/>
    <n v="3.36"/>
    <n v="0"/>
    <n v="808.70920000000001"/>
    <n v="1172.8736224166666"/>
    <n v="3.9530273735532404"/>
    <n v="0.31624218988425928"/>
    <n v="0.12649687595370371"/>
    <n v="1.9731967500000003"/>
    <n v="0.74586837150000018"/>
    <n v="17.238849066666663"/>
    <n v="0.46980875"/>
    <n v="24.823489377557866"/>
    <n v="4.7607286666666662"/>
    <n v="1.1432012916666665"/>
    <n v="9.6310793749999998E-2"/>
    <n v="0.1174521875"/>
    <n v="0.73081361111111109"/>
    <n v="2.5887354761625003"/>
    <n v="9.4372420268569428"/>
    <n v="0"/>
    <n v="0"/>
    <n v="0"/>
    <n v="0"/>
    <n v="9.4372420268569428"/>
    <n v="62.806666666666665"/>
    <n v="12.108481690426325"/>
    <n v="21.998657016417809"/>
    <n v="235.31984072022155"/>
    <n v="0"/>
    <n v="332.23364609373232"/>
    <n v="2103.1384999148136"/>
    <n v="189.64880140242613"/>
    <n v="159.30499317803796"/>
    <n v="8.5633802816901458E-2"/>
    <n v="1.8591549295774657E-2"/>
    <n v="0.02"/>
    <n v="2.2535211267605645E-2"/>
    <n v="0.1125"/>
    <n v="0.12676056338028174"/>
    <n v="310.82860071066915"/>
    <n v="659.7823952911333"/>
    <n v="2762.9208952059471"/>
    <n v="33155.050742471365"/>
    <d v="2025-01-01T00:00:00"/>
    <s v="-"/>
    <s v="-"/>
  </r>
  <r>
    <s v="2.621.05"/>
    <x v="194"/>
    <x v="3"/>
    <s v="Alto Paranaiba"/>
    <s v="Limpeza"/>
    <x v="0"/>
    <n v="1"/>
    <n v="0"/>
    <n v="1088.3699999999999"/>
    <n v="0"/>
    <n v="0"/>
    <n v="0"/>
    <n v="0"/>
    <n v="0"/>
    <n v="0"/>
    <n v="39.1813"/>
    <n v="1127.5512999999999"/>
    <n v="225.51025999999999"/>
    <n v="16.913269499999998"/>
    <n v="11.275512999999998"/>
    <n v="2.2551025999999998"/>
    <n v="28.188782499999999"/>
    <n v="90.204103999999987"/>
    <n v="45.102051999999993"/>
    <n v="6.7653077999999995"/>
    <n v="426.21439139999995"/>
    <n v="93.962608333333321"/>
    <n v="125.28347777777776"/>
    <n v="82.875020549999988"/>
    <n v="302.12110666111107"/>
    <n v="190.69780000000003"/>
    <n v="0"/>
    <n v="387.79"/>
    <n v="42.97"/>
    <n v="0"/>
    <n v="0"/>
    <n v="3.36"/>
    <n v="0"/>
    <n v="624.81780000000015"/>
    <n v="1353.1532980611112"/>
    <n v="7.9061269683063262"/>
    <n v="0.6324901574645061"/>
    <n v="0.25299606298580246"/>
    <n v="3.94642955"/>
    <n v="1.4917503699000003"/>
    <n v="34.478013084444434"/>
    <n v="0.93962608333333331"/>
    <n v="49.647432276434401"/>
    <n v="9.5215443111111089"/>
    <n v="2.2864234694444439"/>
    <n v="0.19262334708333331"/>
    <n v="0.23490652083333333"/>
    <n v="1.4616405740740739"/>
    <n v="5.1775182481225004"/>
    <n v="18.874656470668793"/>
    <n v="0"/>
    <n v="0"/>
    <n v="0"/>
    <n v="0"/>
    <n v="18.874656470668793"/>
    <n v="100.80916666666666"/>
    <n v="24.216963380852651"/>
    <n v="43.997314032835618"/>
    <n v="470.6396814404431"/>
    <n v="0"/>
    <n v="639.66312552079808"/>
    <n v="3188.8898123290123"/>
    <n v="189.64880140242613"/>
    <n v="159.30499317803796"/>
    <n v="8.5633802816901458E-2"/>
    <n v="1.8591549295774657E-2"/>
    <n v="0.02"/>
    <n v="2.2535211267605645E-2"/>
    <n v="0.1125"/>
    <n v="0.12676056338028174"/>
    <n v="448.45904876317326"/>
    <n v="797.41284334363741"/>
    <n v="3986.30265567265"/>
    <n v="47835.631868071796"/>
    <d v="2025-01-01T00:00:00"/>
    <s v="-"/>
    <s v="-"/>
  </r>
  <r>
    <s v="2.624.03"/>
    <x v="195"/>
    <x v="2"/>
    <s v="Sethac Norte de Minas"/>
    <s v="Limpeza"/>
    <x v="0"/>
    <n v="1"/>
    <n v="0"/>
    <n v="544.17999999999995"/>
    <n v="0"/>
    <n v="0"/>
    <n v="0"/>
    <n v="0"/>
    <n v="0"/>
    <n v="0"/>
    <n v="19.590499999999999"/>
    <n v="563.77049999999997"/>
    <n v="112.75409999999999"/>
    <n v="8.4565574999999988"/>
    <n v="5.6377049999999995"/>
    <n v="1.1275409999999999"/>
    <n v="14.094262499999999"/>
    <n v="45.101639999999996"/>
    <n v="22.550819999999998"/>
    <n v="3.3826229999999997"/>
    <n v="213.10524899999996"/>
    <n v="46.980874999999997"/>
    <n v="62.641166666666663"/>
    <n v="41.437131749999992"/>
    <n v="151.05917341666665"/>
    <n v="223.3492"/>
    <n v="582"/>
    <n v="0"/>
    <n v="0"/>
    <n v="0"/>
    <n v="0"/>
    <n v="3.36"/>
    <n v="0"/>
    <n v="808.70920000000001"/>
    <n v="1172.8736224166666"/>
    <n v="3.9530273735532404"/>
    <n v="0.31624218988425928"/>
    <n v="0.12649687595370371"/>
    <n v="1.9731967500000003"/>
    <n v="0.74586837150000018"/>
    <n v="17.238849066666663"/>
    <n v="0.46980875"/>
    <n v="24.823489377557866"/>
    <n v="4.7607286666666662"/>
    <n v="1.1432012916666665"/>
    <n v="9.6310793749999998E-2"/>
    <n v="0.1174521875"/>
    <n v="0.73081361111111109"/>
    <n v="2.5887354761625003"/>
    <n v="9.4372420268569428"/>
    <n v="0"/>
    <n v="0"/>
    <n v="0"/>
    <n v="0"/>
    <n v="9.4372420268569428"/>
    <n v="62.806666666666665"/>
    <n v="12.108481690426325"/>
    <n v="21.998657016417809"/>
    <n v="235.31984072022155"/>
    <n v="0"/>
    <n v="332.23364609373232"/>
    <n v="2103.1384999148136"/>
    <n v="189.64880140242613"/>
    <n v="159.30499317803796"/>
    <n v="8.8629737609329504E-2"/>
    <n v="1.9241982507288629E-2"/>
    <n v="0.05"/>
    <n v="5.8309037900874633E-2"/>
    <n v="0.14250000000000002"/>
    <n v="0.16618075801749277"/>
    <n v="407.49055622807833"/>
    <n v="756.44435080854237"/>
    <n v="2859.5828507233559"/>
    <n v="34314.994208680269"/>
    <d v="2025-01-01T00:00:00"/>
    <s v="-"/>
    <s v="-"/>
  </r>
  <r>
    <s v="2.625.06"/>
    <x v="196"/>
    <x v="1"/>
    <s v="Regiao de Juiz de Fora"/>
    <s v="Limpeza"/>
    <x v="0"/>
    <n v="2"/>
    <n v="0"/>
    <n v="3192.56"/>
    <n v="0"/>
    <n v="0"/>
    <n v="0"/>
    <n v="0"/>
    <n v="0"/>
    <n v="0"/>
    <n v="104.4838"/>
    <n v="3297.0437999999999"/>
    <n v="659.40876000000003"/>
    <n v="49.455656999999995"/>
    <n v="32.970438000000001"/>
    <n v="6.5940875999999999"/>
    <n v="82.426095000000004"/>
    <n v="263.76350400000001"/>
    <n v="131.88175200000001"/>
    <n v="19.782262800000002"/>
    <n v="1246.2825564"/>
    <n v="274.75364999999999"/>
    <n v="366.33819999999997"/>
    <n v="242.33271930000001"/>
    <n v="883.42456930000003"/>
    <n v="320.44640000000004"/>
    <n v="1164"/>
    <n v="0"/>
    <n v="103.76"/>
    <n v="0"/>
    <n v="0"/>
    <n v="6.72"/>
    <n v="0"/>
    <n v="1594.9264000000001"/>
    <n v="3724.6335257000001"/>
    <n v="23.118102832986111"/>
    <n v="1.849448226638889"/>
    <n v="0.7397792906555557"/>
    <n v="11.539653300000001"/>
    <n v="4.3619889474000013"/>
    <n v="100.81627263999998"/>
    <n v="2.7475365000000003"/>
    <n v="145.17278173768054"/>
    <n v="27.841703199999998"/>
    <n v="6.6856721499999994"/>
    <n v="0.56324498249999999"/>
    <n v="0.68688412500000007"/>
    <n v="4.2739456666666662"/>
    <n v="15.139448146935003"/>
    <n v="55.190898271101666"/>
    <n v="0"/>
    <n v="0"/>
    <n v="0"/>
    <n v="0"/>
    <n v="55.190898271101666"/>
    <n v="201.61833333333331"/>
    <n v="71.036425917167776"/>
    <n v="129.05878782965115"/>
    <n v="1380.5430655586331"/>
    <n v="0"/>
    <n v="1782.2566126387853"/>
    <n v="9004.2976183475675"/>
    <n v="379.29760280485226"/>
    <n v="318.60998635607592"/>
    <n v="8.8629737609329504E-2"/>
    <n v="1.9241982507288629E-2"/>
    <n v="0.05"/>
    <n v="5.8309037900874633E-2"/>
    <n v="0.14250000000000002"/>
    <n v="0.16618075801749277"/>
    <n v="1612.3198158250275"/>
    <n v="2310.2274049859557"/>
    <n v="11314.525023333523"/>
    <n v="135774.30028000227"/>
    <d v="2025-01-01T00:00:00"/>
    <s v="-"/>
    <s v="-"/>
  </r>
  <r>
    <s v="2.629.03"/>
    <x v="197"/>
    <x v="2"/>
    <s v="Regiao de Juiz de Fora"/>
    <s v="Limpeza"/>
    <x v="0"/>
    <n v="1"/>
    <n v="0"/>
    <n v="544.17999999999995"/>
    <n v="0"/>
    <n v="0"/>
    <n v="0"/>
    <n v="0"/>
    <n v="0"/>
    <n v="0"/>
    <n v="19.590499999999999"/>
    <n v="563.77049999999997"/>
    <n v="112.75409999999999"/>
    <n v="8.4565574999999988"/>
    <n v="5.6377049999999995"/>
    <n v="1.1275409999999999"/>
    <n v="14.094262499999999"/>
    <n v="45.101639999999996"/>
    <n v="22.550819999999998"/>
    <n v="3.3826229999999997"/>
    <n v="213.10524899999996"/>
    <n v="46.980874999999997"/>
    <n v="62.641166666666663"/>
    <n v="41.437131749999992"/>
    <n v="151.05917341666665"/>
    <n v="223.3492"/>
    <n v="582"/>
    <n v="0"/>
    <n v="51.88"/>
    <n v="0"/>
    <n v="0"/>
    <n v="3.36"/>
    <n v="0"/>
    <n v="860.58920000000001"/>
    <n v="1224.7536224166665"/>
    <n v="3.9530273735532404"/>
    <n v="0.31624218988425928"/>
    <n v="0.12649687595370371"/>
    <n v="1.9731967500000003"/>
    <n v="0.74586837150000018"/>
    <n v="17.238849066666663"/>
    <n v="0.46980875"/>
    <n v="24.823489377557866"/>
    <n v="4.7607286666666662"/>
    <n v="1.1432012916666665"/>
    <n v="9.6310793749999998E-2"/>
    <n v="0.1174521875"/>
    <n v="0.73081361111111109"/>
    <n v="2.5887354761625003"/>
    <n v="9.4372420268569428"/>
    <n v="0"/>
    <n v="0"/>
    <n v="0"/>
    <n v="0"/>
    <n v="9.4372420268569428"/>
    <n v="62.806666666666665"/>
    <n v="12.108481690426325"/>
    <n v="21.998657016417809"/>
    <n v="235.31984072022155"/>
    <n v="0"/>
    <n v="332.23364609373232"/>
    <n v="2155.0184999148137"/>
    <n v="189.64880140242613"/>
    <n v="159.30499317803796"/>
    <n v="8.6609686609686695E-2"/>
    <n v="1.880341880341882E-2"/>
    <n v="0.03"/>
    <n v="3.4188034188034219E-2"/>
    <n v="0.1225"/>
    <n v="0.13960113960113973"/>
    <n v="349.55738584122145"/>
    <n v="698.51118042168559"/>
    <n v="2853.529680336499"/>
    <n v="34242.356164037992"/>
    <d v="2025-01-01T00:00:00"/>
    <s v="-"/>
    <s v="-"/>
  </r>
  <r>
    <s v="2.637.06"/>
    <x v="198"/>
    <x v="1"/>
    <s v="Sao Lourenco"/>
    <s v="Limpeza"/>
    <x v="0"/>
    <n v="2"/>
    <n v="0"/>
    <n v="3298.24"/>
    <n v="0"/>
    <n v="0"/>
    <n v="0"/>
    <n v="0"/>
    <n v="0"/>
    <n v="0"/>
    <n v="107.94240000000001"/>
    <n v="3406.1823999999997"/>
    <n v="681.23648000000003"/>
    <n v="51.092735999999995"/>
    <n v="34.061823999999994"/>
    <n v="6.8123647999999992"/>
    <n v="85.154560000000004"/>
    <n v="272.49459199999995"/>
    <n v="136.24729599999998"/>
    <n v="20.437094399999999"/>
    <n v="1287.5369472"/>
    <n v="283.84853333333331"/>
    <n v="378.46471111111106"/>
    <n v="250.35440639999999"/>
    <n v="912.66765084444432"/>
    <n v="314.10559999999998"/>
    <n v="1164"/>
    <n v="0"/>
    <n v="106.54"/>
    <n v="0"/>
    <n v="0"/>
    <n v="6.72"/>
    <n v="0"/>
    <n v="1591.3655999999999"/>
    <n v="3791.5701980444446"/>
    <n v="23.883357264197528"/>
    <n v="1.9106685811358024"/>
    <n v="0.76426743245432105"/>
    <n v="11.921638400000001"/>
    <n v="4.5063793152000011"/>
    <n v="104.15348849777776"/>
    <n v="2.8384853333333333"/>
    <n v="149.97828482409875"/>
    <n v="28.763318044444439"/>
    <n v="6.9069809777777769"/>
    <n v="0.58188949333333329"/>
    <n v="0.70962133333333333"/>
    <n v="4.4154216296296287"/>
    <n v="15.640593498880001"/>
    <n v="57.017824977398512"/>
    <n v="0"/>
    <n v="0"/>
    <n v="0"/>
    <n v="0"/>
    <n v="57.017824977398512"/>
    <n v="201.61833333333331"/>
    <n v="71.036425917167776"/>
    <n v="129.05878782965115"/>
    <n v="1380.5430655586331"/>
    <n v="0"/>
    <n v="1782.2566126387853"/>
    <n v="9187.0053204847263"/>
    <n v="379.29760280485226"/>
    <n v="318.60998635607592"/>
    <n v="8.6609686609686695E-2"/>
    <n v="1.880341880341882E-2"/>
    <n v="0.03"/>
    <n v="3.4188034188034219E-2"/>
    <n v="0.1225"/>
    <n v="0.13960113960113973"/>
    <n v="1379.9451070445514"/>
    <n v="2077.8526962054793"/>
    <n v="11264.858016690207"/>
    <n v="135178.29620028246"/>
    <d v="2025-01-01T00:00:00"/>
    <s v="-"/>
    <s v="-"/>
  </r>
  <r>
    <s v="2.642.04"/>
    <x v="199"/>
    <x v="0"/>
    <s v="Sethac Norte de Minas"/>
    <s v="Limpeza"/>
    <x v="0"/>
    <n v="1"/>
    <n v="0"/>
    <n v="798.14"/>
    <n v="0"/>
    <n v="0"/>
    <n v="0"/>
    <n v="0"/>
    <n v="0"/>
    <n v="0"/>
    <n v="26.120899999999999"/>
    <n v="824.26089999999999"/>
    <n v="164.85218"/>
    <n v="12.363913499999999"/>
    <n v="8.2426089999999999"/>
    <n v="1.6485217999999999"/>
    <n v="20.606522500000001"/>
    <n v="65.940871999999999"/>
    <n v="32.970435999999999"/>
    <n v="4.9455654000000004"/>
    <n v="311.57062020000001"/>
    <n v="68.688408333333328"/>
    <n v="91.584544444444433"/>
    <n v="60.583176149999993"/>
    <n v="220.85612892777775"/>
    <n v="208.11160000000001"/>
    <n v="582"/>
    <n v="0"/>
    <n v="0"/>
    <n v="0"/>
    <n v="0"/>
    <n v="3.36"/>
    <n v="0"/>
    <n v="793.47159999999997"/>
    <n v="1325.8983491277777"/>
    <n v="5.7795253576581791"/>
    <n v="0.46236202861265435"/>
    <n v="0.18494481144506175"/>
    <n v="2.8849131500000005"/>
    <n v="1.0904971707000004"/>
    <n v="25.204066631111107"/>
    <n v="0.6868840833333334"/>
    <n v="36.293193232860339"/>
    <n v="6.9604253777777769"/>
    <n v="1.671417936111111"/>
    <n v="0.14081123708333332"/>
    <n v="0.17172102083333335"/>
    <n v="1.0684863518518517"/>
    <n v="3.7848618071425006"/>
    <n v="13.797723730799909"/>
    <n v="0"/>
    <n v="0"/>
    <n v="0"/>
    <n v="0"/>
    <n v="13.797723730799909"/>
    <n v="62.806666666666665"/>
    <n v="17.759106479291944"/>
    <n v="32.264696957412788"/>
    <n v="345.13576638965827"/>
    <n v="0"/>
    <n v="457.96623649302967"/>
    <n v="2658.2164025844677"/>
    <n v="189.64880140242613"/>
    <n v="159.30499317803796"/>
    <n v="8.6609686609686695E-2"/>
    <n v="1.880341880341882E-2"/>
    <n v="0.03"/>
    <n v="3.4188034188034219E-2"/>
    <n v="0.1225"/>
    <n v="0.13960113960113973"/>
    <n v="419.80438649880853"/>
    <n v="768.75818107927262"/>
    <n v="3426.9745836637403"/>
    <n v="41123.69500396488"/>
    <d v="2025-01-01T00:00:00"/>
    <s v="-"/>
    <s v="-"/>
  </r>
  <r>
    <s v="2.642.06"/>
    <x v="199"/>
    <x v="1"/>
    <s v="Sethac Norte de Minas"/>
    <s v="Limpeza"/>
    <x v="0"/>
    <n v="1"/>
    <n v="0"/>
    <n v="1596.28"/>
    <n v="0"/>
    <n v="0"/>
    <n v="0"/>
    <n v="0"/>
    <n v="0"/>
    <n v="0"/>
    <n v="52.241900000000001"/>
    <n v="1648.5219"/>
    <n v="329.70438000000001"/>
    <n v="24.727828499999998"/>
    <n v="16.485219000000001"/>
    <n v="3.2970438"/>
    <n v="41.213047500000002"/>
    <n v="131.88175200000001"/>
    <n v="65.940876000000003"/>
    <n v="9.8911314000000008"/>
    <n v="623.14127819999999"/>
    <n v="137.376825"/>
    <n v="183.16909999999999"/>
    <n v="121.16635965"/>
    <n v="441.71228465000002"/>
    <n v="160.22320000000002"/>
    <n v="582"/>
    <n v="0"/>
    <n v="0"/>
    <n v="0"/>
    <n v="0"/>
    <n v="3.36"/>
    <n v="0"/>
    <n v="745.58320000000003"/>
    <n v="1810.4367628499999"/>
    <n v="11.559051416493055"/>
    <n v="0.92472411331944449"/>
    <n v="0.36988964532777785"/>
    <n v="5.7698266500000006"/>
    <n v="2.1809944737000007"/>
    <n v="50.40813631999999"/>
    <n v="1.3737682500000001"/>
    <n v="72.586390868840269"/>
    <n v="13.920851599999999"/>
    <n v="3.3428360749999997"/>
    <n v="0.28162249125"/>
    <n v="0.34344206250000003"/>
    <n v="2.1369728333333331"/>
    <n v="7.5697240734675013"/>
    <n v="27.595449135550833"/>
    <n v="0"/>
    <n v="0"/>
    <n v="0"/>
    <n v="0"/>
    <n v="27.595449135550833"/>
    <n v="100.80916666666666"/>
    <n v="35.518212958583888"/>
    <n v="64.529393914825576"/>
    <n v="690.27153277931654"/>
    <n v="0"/>
    <n v="891.12830631939266"/>
    <n v="4450.2688091737837"/>
    <n v="189.64880140242613"/>
    <n v="159.30499317803796"/>
    <n v="8.6609686609686695E-2"/>
    <n v="1.880341880341882E-2"/>
    <n v="0.03"/>
    <n v="3.4188034188034219E-2"/>
    <n v="0.1225"/>
    <n v="0.13960113960113973"/>
    <n v="669.97694468364205"/>
    <n v="1018.9307392641061"/>
    <n v="5469.1995484378895"/>
    <n v="65630.394581254674"/>
    <d v="2025-01-01T00:00:00"/>
    <s v="-"/>
    <s v="-"/>
  </r>
  <r>
    <s v="2.647.06"/>
    <x v="200"/>
    <x v="1"/>
    <s v="Regiao de Sao Lourenco"/>
    <s v="Limpeza"/>
    <x v="0"/>
    <n v="3"/>
    <n v="0"/>
    <n v="4788.84"/>
    <n v="0"/>
    <n v="0"/>
    <n v="0"/>
    <n v="0"/>
    <n v="0"/>
    <n v="0"/>
    <n v="156.72570000000002"/>
    <n v="4945.5657000000001"/>
    <n v="989.11314000000004"/>
    <n v="74.183485499999989"/>
    <n v="49.455657000000002"/>
    <n v="9.891131399999999"/>
    <n v="123.63914250000001"/>
    <n v="395.64525600000002"/>
    <n v="197.82262800000001"/>
    <n v="29.673394200000004"/>
    <n v="1869.4238346"/>
    <n v="412.13047499999999"/>
    <n v="549.50729999999999"/>
    <n v="363.49907895000001"/>
    <n v="1325.1368539499999"/>
    <n v="480.66960000000006"/>
    <n v="1746"/>
    <n v="0"/>
    <n v="0"/>
    <n v="0"/>
    <n v="0"/>
    <n v="10.08"/>
    <n v="0"/>
    <n v="2236.7496000000001"/>
    <n v="5431.3102885499993"/>
    <n v="34.677154249479166"/>
    <n v="2.7741723399583336"/>
    <n v="1.1096689359833336"/>
    <n v="17.309479950000004"/>
    <n v="6.5429834211000024"/>
    <n v="151.22440895999998"/>
    <n v="4.1213047500000002"/>
    <n v="217.75917260652079"/>
    <n v="41.762554799999997"/>
    <n v="10.028508224999999"/>
    <n v="0.84486747374999993"/>
    <n v="1.0303261875"/>
    <n v="6.4109184999999993"/>
    <n v="22.709172220402504"/>
    <n v="82.786347406652496"/>
    <n v="0"/>
    <n v="0"/>
    <n v="0"/>
    <n v="0"/>
    <n v="82.786347406652496"/>
    <n v="302.42749999999995"/>
    <n v="106.55463887575166"/>
    <n v="193.58818174447674"/>
    <n v="2070.8145983379495"/>
    <n v="0"/>
    <n v="2673.3849189581779"/>
    <n v="13350.806427521351"/>
    <n v="568.94640420727842"/>
    <n v="477.91497953411385"/>
    <n v="8.6609686609686695E-2"/>
    <n v="1.880341880341882E-2"/>
    <n v="0.03"/>
    <n v="3.4188034188034219E-2"/>
    <n v="0.1225"/>
    <n v="0.13960113960113973"/>
    <n v="2009.930834050926"/>
    <n v="3056.7922177923183"/>
    <n v="16407.598645313668"/>
    <n v="196891.18374376401"/>
    <d v="2025-01-01T00:00:00"/>
    <s v="-"/>
    <s v="-"/>
  </r>
  <r>
    <s v="2.671.04"/>
    <x v="201"/>
    <x v="0"/>
    <s v="Curvelo"/>
    <s v="Limpeza"/>
    <x v="0"/>
    <n v="1"/>
    <n v="0"/>
    <n v="798.14"/>
    <n v="0"/>
    <n v="0"/>
    <n v="0"/>
    <n v="0"/>
    <n v="0"/>
    <n v="0"/>
    <n v="26.120899999999999"/>
    <n v="824.26089999999999"/>
    <n v="164.85218"/>
    <n v="12.363913499999999"/>
    <n v="8.2426089999999999"/>
    <n v="1.6485217999999999"/>
    <n v="20.606522500000001"/>
    <n v="65.940871999999999"/>
    <n v="32.970435999999999"/>
    <n v="4.9455654000000004"/>
    <n v="311.57062020000001"/>
    <n v="68.688408333333328"/>
    <n v="91.584544444444433"/>
    <n v="60.583176149999993"/>
    <n v="220.85612892777775"/>
    <n v="208.11160000000001"/>
    <n v="582"/>
    <n v="0"/>
    <n v="51.74"/>
    <n v="0"/>
    <n v="0"/>
    <n v="3.36"/>
    <n v="0"/>
    <n v="845.21159999999998"/>
    <n v="1377.6383491277777"/>
    <n v="5.7795253576581791"/>
    <n v="0.46236202861265435"/>
    <n v="0.18494481144506175"/>
    <n v="2.8849131500000005"/>
    <n v="1.0904971707000004"/>
    <n v="25.204066631111107"/>
    <n v="0.6868840833333334"/>
    <n v="36.293193232860339"/>
    <n v="6.9604253777777769"/>
    <n v="1.671417936111111"/>
    <n v="0.14081123708333332"/>
    <n v="0.17172102083333335"/>
    <n v="1.0684863518518517"/>
    <n v="3.7848618071425006"/>
    <n v="13.797723730799909"/>
    <n v="0"/>
    <n v="0"/>
    <n v="0"/>
    <n v="0"/>
    <n v="13.797723730799909"/>
    <n v="62.806666666666665"/>
    <n v="17.759106479291944"/>
    <n v="32.264696957412788"/>
    <n v="345.13576638965827"/>
    <n v="0"/>
    <n v="457.96623649302967"/>
    <n v="2709.9564025844675"/>
    <n v="189.64880140242613"/>
    <n v="159.30499317803796"/>
    <n v="8.6609686609686695E-2"/>
    <n v="1.880341880341882E-2"/>
    <n v="0.03"/>
    <n v="3.4188034188034219E-2"/>
    <n v="0.1225"/>
    <n v="0.13960113960113973"/>
    <n v="427.02734946177151"/>
    <n v="775.98114404223566"/>
    <n v="3485.9375466267029"/>
    <n v="41831.250559520435"/>
    <d v="2025-01-01T00:00:00"/>
    <s v="-"/>
    <s v="-"/>
  </r>
  <r>
    <s v="2.672.06"/>
    <x v="202"/>
    <x v="1"/>
    <s v="Sete Lagoas"/>
    <s v="Limpeza"/>
    <x v="0"/>
    <n v="2"/>
    <n v="0"/>
    <n v="3298.24"/>
    <n v="0"/>
    <n v="0"/>
    <n v="0"/>
    <n v="0"/>
    <n v="0"/>
    <n v="0"/>
    <n v="107.94240000000001"/>
    <n v="3406.1823999999997"/>
    <n v="681.23648000000003"/>
    <n v="51.092735999999995"/>
    <n v="34.061823999999994"/>
    <n v="6.8123647999999992"/>
    <n v="85.154560000000004"/>
    <n v="272.49459199999995"/>
    <n v="136.24729599999998"/>
    <n v="20.437094399999999"/>
    <n v="1287.5369472"/>
    <n v="283.84853333333331"/>
    <n v="378.46471111111106"/>
    <n v="250.35440639999999"/>
    <n v="912.66765084444432"/>
    <n v="314.10559999999998"/>
    <n v="1164"/>
    <n v="0"/>
    <n v="103.72"/>
    <n v="0"/>
    <n v="0"/>
    <n v="6.72"/>
    <n v="0"/>
    <n v="1588.5455999999999"/>
    <n v="3788.7501980444445"/>
    <n v="23.883357264197528"/>
    <n v="1.9106685811358024"/>
    <n v="0.76426743245432105"/>
    <n v="11.921638400000001"/>
    <n v="4.5063793152000011"/>
    <n v="104.15348849777776"/>
    <n v="2.8384853333333333"/>
    <n v="149.97828482409875"/>
    <n v="28.763318044444439"/>
    <n v="6.9069809777777769"/>
    <n v="0.58188949333333329"/>
    <n v="0.70962133333333333"/>
    <n v="4.4154216296296287"/>
    <n v="15.640593498880001"/>
    <n v="57.017824977398512"/>
    <n v="0"/>
    <n v="0"/>
    <n v="0"/>
    <n v="0"/>
    <n v="57.017824977398512"/>
    <n v="201.61833333333331"/>
    <n v="71.036425917167776"/>
    <n v="129.05878782965115"/>
    <n v="1380.5430655586331"/>
    <n v="0"/>
    <n v="1782.2566126387853"/>
    <n v="9184.1853204847266"/>
    <n v="379.29760280485226"/>
    <n v="318.60998635607592"/>
    <n v="8.6609686609686695E-2"/>
    <n v="1.880341880341882E-2"/>
    <n v="0.03"/>
    <n v="3.4188034188034219E-2"/>
    <n v="0.1225"/>
    <n v="0.13960113960113973"/>
    <n v="1379.5514318308763"/>
    <n v="2077.4590209918042"/>
    <n v="11261.644341476531"/>
    <n v="135139.73209771837"/>
    <d v="2025-01-01T00:00:00"/>
    <s v="-"/>
    <s v="-"/>
  </r>
  <r>
    <s v="2.680.04"/>
    <x v="203"/>
    <x v="0"/>
    <s v="Sethac Norte de Minas"/>
    <s v="Limpeza"/>
    <x v="0"/>
    <n v="1"/>
    <n v="0"/>
    <n v="798.14"/>
    <n v="0"/>
    <n v="0"/>
    <n v="0"/>
    <n v="0"/>
    <n v="0"/>
    <n v="0"/>
    <n v="26.120899999999999"/>
    <n v="824.26089999999999"/>
    <n v="164.85218"/>
    <n v="12.363913499999999"/>
    <n v="8.2426089999999999"/>
    <n v="1.6485217999999999"/>
    <n v="20.606522500000001"/>
    <n v="65.940871999999999"/>
    <n v="32.970435999999999"/>
    <n v="4.9455654000000004"/>
    <n v="311.57062020000001"/>
    <n v="68.688408333333328"/>
    <n v="91.584544444444433"/>
    <n v="60.583176149999993"/>
    <n v="220.85612892777775"/>
    <n v="208.11160000000001"/>
    <n v="582"/>
    <n v="0"/>
    <n v="0"/>
    <n v="0"/>
    <n v="0"/>
    <n v="3.36"/>
    <n v="0"/>
    <n v="793.47159999999997"/>
    <n v="1325.8983491277777"/>
    <n v="5.7795253576581791"/>
    <n v="0.46236202861265435"/>
    <n v="0.18494481144506175"/>
    <n v="2.8849131500000005"/>
    <n v="1.0904971707000004"/>
    <n v="25.204066631111107"/>
    <n v="0.6868840833333334"/>
    <n v="36.293193232860339"/>
    <n v="6.9604253777777769"/>
    <n v="1.671417936111111"/>
    <n v="0.14081123708333332"/>
    <n v="0.17172102083333335"/>
    <n v="1.0684863518518517"/>
    <n v="3.7848618071425006"/>
    <n v="13.797723730799909"/>
    <n v="0"/>
    <n v="0"/>
    <n v="0"/>
    <n v="0"/>
    <n v="13.797723730799909"/>
    <n v="62.806666666666665"/>
    <n v="17.759106479291944"/>
    <n v="32.264696957412788"/>
    <n v="345.13576638965827"/>
    <n v="0"/>
    <n v="457.96623649302967"/>
    <n v="2658.2164025844677"/>
    <n v="189.64880140242613"/>
    <n v="159.30499317803796"/>
    <n v="8.6609686609686695E-2"/>
    <n v="1.880341880341882E-2"/>
    <n v="0.03"/>
    <n v="3.4188034188034219E-2"/>
    <n v="0.1225"/>
    <n v="0.13960113960113973"/>
    <n v="419.80438649880853"/>
    <n v="768.75818107927262"/>
    <n v="3426.9745836637403"/>
    <n v="41123.69500396488"/>
    <d v="2025-01-01T00:00:00"/>
    <s v="-"/>
    <s v="-"/>
  </r>
  <r>
    <s v="2.686.06"/>
    <x v="204"/>
    <x v="1"/>
    <s v="Teofilo Otoni"/>
    <s v="Limpeza"/>
    <x v="0"/>
    <n v="3"/>
    <n v="0"/>
    <n v="4947.3599999999997"/>
    <n v="0"/>
    <n v="0"/>
    <n v="0"/>
    <n v="0"/>
    <n v="0"/>
    <n v="0"/>
    <n v="161.9136"/>
    <n v="5109.2735999999995"/>
    <n v="1021.85472"/>
    <n v="76.639103999999989"/>
    <n v="51.092735999999988"/>
    <n v="10.2185472"/>
    <n v="127.73184000000001"/>
    <n v="408.7418879999999"/>
    <n v="204.37094399999995"/>
    <n v="30.655641599999999"/>
    <n v="1931.3054207999999"/>
    <n v="425.77279999999996"/>
    <n v="567.69706666666661"/>
    <n v="375.53160959999997"/>
    <n v="1369.0014762666665"/>
    <n v="471.15839999999997"/>
    <n v="1746"/>
    <n v="0"/>
    <n v="0"/>
    <n v="45.21"/>
    <n v="0"/>
    <n v="10.08"/>
    <n v="0"/>
    <n v="2272.4484000000002"/>
    <n v="5572.7552970666666"/>
    <n v="35.825035896296292"/>
    <n v="2.8660028717037038"/>
    <n v="1.1464011486814816"/>
    <n v="17.882457600000002"/>
    <n v="6.7595689728000021"/>
    <n v="156.23023274666664"/>
    <n v="4.2577280000000002"/>
    <n v="224.96742723614813"/>
    <n v="43.144977066666655"/>
    <n v="10.360471466666665"/>
    <n v="0.87283423999999998"/>
    <n v="1.064432"/>
    <n v="6.623132444444443"/>
    <n v="23.460890248320002"/>
    <n v="85.526737466097771"/>
    <n v="0"/>
    <n v="0"/>
    <n v="0"/>
    <n v="0"/>
    <n v="85.526737466097771"/>
    <n v="302.42749999999995"/>
    <n v="106.55463887575166"/>
    <n v="193.58818174447674"/>
    <n v="2070.8145983379495"/>
    <n v="0"/>
    <n v="2673.3849189581779"/>
    <n v="13665.90798072709"/>
    <n v="568.94640420727842"/>
    <n v="477.91497953411385"/>
    <n v="8.6609686609686695E-2"/>
    <n v="1.880341880341882E-2"/>
    <n v="0.03"/>
    <n v="3.4188034188034219E-2"/>
    <n v="0.1225"/>
    <n v="0.13960113960113973"/>
    <n v="2053.9193699685366"/>
    <n v="3100.7807537099293"/>
    <n v="16766.688734437019"/>
    <n v="201200.26481324423"/>
    <d v="2025-01-01T00:00:00"/>
    <s v="-"/>
    <s v="-"/>
  </r>
  <r>
    <s v="2.687.06"/>
    <x v="205"/>
    <x v="1"/>
    <s v="Seethur"/>
    <s v="Limpeza"/>
    <x v="0"/>
    <n v="2"/>
    <n v="0"/>
    <n v="3192.56"/>
    <n v="0"/>
    <n v="0"/>
    <n v="0"/>
    <n v="0"/>
    <n v="0"/>
    <n v="0"/>
    <n v="104.4838"/>
    <n v="3297.0437999999999"/>
    <n v="659.40876000000003"/>
    <n v="49.455656999999995"/>
    <n v="32.970438000000001"/>
    <n v="6.5940875999999999"/>
    <n v="82.426095000000004"/>
    <n v="263.76350400000001"/>
    <n v="131.88175200000001"/>
    <n v="19.782262800000002"/>
    <n v="1246.2825564"/>
    <n v="274.75364999999999"/>
    <n v="366.33819999999997"/>
    <n v="242.33271930000001"/>
    <n v="883.42456930000003"/>
    <n v="320.44640000000004"/>
    <n v="1164"/>
    <n v="0"/>
    <n v="103.72"/>
    <n v="0"/>
    <n v="0"/>
    <n v="6.72"/>
    <n v="0"/>
    <n v="1594.8864000000001"/>
    <n v="3724.5935257000001"/>
    <n v="23.118102832986111"/>
    <n v="1.849448226638889"/>
    <n v="0.7397792906555557"/>
    <n v="11.539653300000001"/>
    <n v="4.3619889474000013"/>
    <n v="100.81627263999998"/>
    <n v="2.7475365000000003"/>
    <n v="145.17278173768054"/>
    <n v="27.841703199999998"/>
    <n v="6.6856721499999994"/>
    <n v="0.56324498249999999"/>
    <n v="0.68688412500000007"/>
    <n v="4.2739456666666662"/>
    <n v="15.139448146935003"/>
    <n v="55.190898271101666"/>
    <n v="0"/>
    <n v="0"/>
    <n v="0"/>
    <n v="0"/>
    <n v="55.190898271101666"/>
    <n v="201.61833333333331"/>
    <n v="71.036425917167776"/>
    <n v="129.05878782965115"/>
    <n v="1380.5430655586331"/>
    <n v="0"/>
    <n v="1782.2566126387853"/>
    <n v="9004.2576183475667"/>
    <n v="379.29760280485226"/>
    <n v="318.60998635607592"/>
    <n v="8.6609686609686695E-2"/>
    <n v="1.880341880341882E-2"/>
    <n v="0.03"/>
    <n v="3.4188034188034219E-2"/>
    <n v="0.1225"/>
    <n v="0.13960113960113973"/>
    <n v="1354.4333195667143"/>
    <n v="2052.3409087276423"/>
    <n v="11056.59852707521"/>
    <n v="132679.1823249025"/>
    <d v="2025-01-01T00:00:00"/>
    <s v="-"/>
    <s v="-"/>
  </r>
  <r>
    <s v="2.692.03"/>
    <x v="206"/>
    <x v="2"/>
    <s v="Regiao de Juiz de Fora"/>
    <s v="Limpeza"/>
    <x v="0"/>
    <n v="1"/>
    <n v="0"/>
    <n v="544.17999999999995"/>
    <n v="0"/>
    <n v="0"/>
    <n v="0"/>
    <n v="0"/>
    <n v="0"/>
    <n v="0"/>
    <n v="19.590499999999999"/>
    <n v="563.77049999999997"/>
    <n v="112.75409999999999"/>
    <n v="8.4565574999999988"/>
    <n v="5.6377049999999995"/>
    <n v="1.1275409999999999"/>
    <n v="14.094262499999999"/>
    <n v="45.101639999999996"/>
    <n v="22.550819999999998"/>
    <n v="3.3826229999999997"/>
    <n v="213.10524899999996"/>
    <n v="46.980874999999997"/>
    <n v="62.641166666666663"/>
    <n v="41.437131749999992"/>
    <n v="151.05917341666665"/>
    <n v="223.3492"/>
    <n v="582"/>
    <n v="0"/>
    <n v="51.88"/>
    <n v="0"/>
    <n v="0"/>
    <n v="3.36"/>
    <n v="0"/>
    <n v="860.58920000000001"/>
    <n v="1224.7536224166665"/>
    <n v="3.9530273735532404"/>
    <n v="0.31624218988425928"/>
    <n v="0.12649687595370371"/>
    <n v="1.9731967500000003"/>
    <n v="0.74586837150000018"/>
    <n v="17.238849066666663"/>
    <n v="0.46980875"/>
    <n v="24.823489377557866"/>
    <n v="4.7607286666666662"/>
    <n v="1.1432012916666665"/>
    <n v="9.6310793749999998E-2"/>
    <n v="0.1174521875"/>
    <n v="0.73081361111111109"/>
    <n v="2.5887354761625003"/>
    <n v="9.4372420268569428"/>
    <n v="0"/>
    <n v="0"/>
    <n v="0"/>
    <n v="0"/>
    <n v="9.4372420268569428"/>
    <n v="62.806666666666665"/>
    <n v="12.108481690426325"/>
    <n v="21.998657016417809"/>
    <n v="235.31984072022155"/>
    <n v="0"/>
    <n v="332.23364609373232"/>
    <n v="2155.0184999148137"/>
    <n v="189.64880140242613"/>
    <n v="159.30499317803796"/>
    <n v="8.6609686609686695E-2"/>
    <n v="1.880341880341882E-2"/>
    <n v="0.03"/>
    <n v="3.4188034188034219E-2"/>
    <n v="0.1225"/>
    <n v="0.13960113960113973"/>
    <n v="349.55738584122145"/>
    <n v="698.51118042168559"/>
    <n v="2853.529680336499"/>
    <n v="34242.356164037992"/>
    <d v="2025-01-01T00:00:00"/>
    <s v="-"/>
    <s v="-"/>
  </r>
  <r>
    <s v="2.693.04"/>
    <x v="207"/>
    <x v="0"/>
    <s v="Regiao de Sao Lourenco"/>
    <s v="Limpeza"/>
    <x v="0"/>
    <n v="1"/>
    <n v="0"/>
    <n v="824.56"/>
    <n v="0"/>
    <n v="0"/>
    <n v="0"/>
    <n v="0"/>
    <n v="0"/>
    <n v="0"/>
    <n v="26.985600000000002"/>
    <n v="851.54559999999992"/>
    <n v="170.30912000000001"/>
    <n v="12.773183999999999"/>
    <n v="8.5154559999999986"/>
    <n v="1.7030911999999998"/>
    <n v="21.288640000000001"/>
    <n v="68.123647999999989"/>
    <n v="34.061823999999994"/>
    <n v="5.1092735999999999"/>
    <n v="321.8842368"/>
    <n v="70.962133333333327"/>
    <n v="94.616177777777764"/>
    <n v="62.588601599999997"/>
    <n v="228.16691271111108"/>
    <n v="206.5264"/>
    <n v="582"/>
    <n v="0"/>
    <n v="53.27"/>
    <n v="0"/>
    <n v="0"/>
    <n v="3.36"/>
    <n v="0"/>
    <n v="845.15639999999996"/>
    <n v="1395.2075495111112"/>
    <n v="5.970839316049382"/>
    <n v="0.4776671452839506"/>
    <n v="0.19106685811358026"/>
    <n v="2.9804096000000002"/>
    <n v="1.1265948288000003"/>
    <n v="26.038372124444439"/>
    <n v="0.70962133333333333"/>
    <n v="37.494571206024688"/>
    <n v="7.1908295111111098"/>
    <n v="1.7267452444444442"/>
    <n v="0.14547237333333332"/>
    <n v="0.17740533333333333"/>
    <n v="1.1038554074074072"/>
    <n v="3.9101483747200003"/>
    <n v="14.254456244349628"/>
    <n v="0"/>
    <n v="0"/>
    <n v="0"/>
    <n v="0"/>
    <n v="14.254456244349628"/>
    <n v="62.806666666666665"/>
    <n v="17.759106479291944"/>
    <n v="32.264696957412788"/>
    <n v="345.13576638965827"/>
    <n v="0"/>
    <n v="457.96623649302967"/>
    <n v="2756.468413454515"/>
    <n v="189.64880140242613"/>
    <n v="159.30499317803796"/>
    <n v="8.6609686609686695E-2"/>
    <n v="1.880341880341882E-2"/>
    <n v="0.03"/>
    <n v="3.4188034188034219E-2"/>
    <n v="0.1225"/>
    <n v="0.13960113960113973"/>
    <n v="433.52047918437074"/>
    <n v="782.47427376483483"/>
    <n v="3538.9426872193499"/>
    <n v="42467.312246632195"/>
    <d v="2025-01-01T00:00:00"/>
    <s v="-"/>
    <s v="-"/>
  </r>
  <r>
    <s v="2.693.06"/>
    <x v="207"/>
    <x v="1"/>
    <s v="Regiao de Sao Lourenco"/>
    <s v="Limpeza"/>
    <x v="0"/>
    <n v="1"/>
    <n v="0"/>
    <n v="1596.28"/>
    <n v="0"/>
    <n v="0"/>
    <n v="0"/>
    <n v="0"/>
    <n v="0"/>
    <n v="0"/>
    <n v="52.241900000000001"/>
    <n v="1648.5219"/>
    <n v="329.70438000000001"/>
    <n v="24.727828499999998"/>
    <n v="16.485219000000001"/>
    <n v="3.2970438"/>
    <n v="41.213047500000002"/>
    <n v="131.88175200000001"/>
    <n v="65.940876000000003"/>
    <n v="9.8911314000000008"/>
    <n v="623.14127819999999"/>
    <n v="137.376825"/>
    <n v="183.16909999999999"/>
    <n v="121.16635965"/>
    <n v="441.71228465000002"/>
    <n v="160.22320000000002"/>
    <n v="582"/>
    <n v="0"/>
    <n v="53.27"/>
    <n v="0"/>
    <n v="0"/>
    <n v="3.36"/>
    <n v="0"/>
    <n v="798.85320000000002"/>
    <n v="1863.7067628499999"/>
    <n v="11.559051416493055"/>
    <n v="0.92472411331944449"/>
    <n v="0.36988964532777785"/>
    <n v="5.7698266500000006"/>
    <n v="2.1809944737000007"/>
    <n v="50.40813631999999"/>
    <n v="1.3737682500000001"/>
    <n v="72.586390868840269"/>
    <n v="13.920851599999999"/>
    <n v="3.3428360749999997"/>
    <n v="0.28162249125"/>
    <n v="0.34344206250000003"/>
    <n v="2.1369728333333331"/>
    <n v="7.5697240734675013"/>
    <n v="27.595449135550833"/>
    <n v="0"/>
    <n v="0"/>
    <n v="0"/>
    <n v="0"/>
    <n v="27.595449135550833"/>
    <n v="100.80916666666666"/>
    <n v="35.518212958583888"/>
    <n v="64.529393914825576"/>
    <n v="690.27153277931654"/>
    <n v="0"/>
    <n v="891.12830631939266"/>
    <n v="4503.5388091737832"/>
    <n v="189.64880140242613"/>
    <n v="159.30499317803796"/>
    <n v="8.6609686609686695E-2"/>
    <n v="1.880341880341882E-2"/>
    <n v="0.03"/>
    <n v="3.4188034188034219E-2"/>
    <n v="0.1225"/>
    <n v="0.13960113960113973"/>
    <n v="677.41349739019472"/>
    <n v="1026.3672919706587"/>
    <n v="5529.9061011444419"/>
    <n v="66358.873213733299"/>
    <d v="2025-01-01T00:00:00"/>
    <s v="-"/>
    <s v="-"/>
  </r>
  <r>
    <s v="2.694.06"/>
    <x v="208"/>
    <x v="1"/>
    <s v="Regiao de Sao Lourenco"/>
    <s v="Limpeza"/>
    <x v="0"/>
    <n v="1"/>
    <n v="0"/>
    <n v="1596.28"/>
    <n v="0"/>
    <n v="0"/>
    <n v="0"/>
    <n v="0"/>
    <n v="0"/>
    <n v="0"/>
    <n v="52.241900000000001"/>
    <n v="1648.5219"/>
    <n v="329.70438000000001"/>
    <n v="24.727828499999998"/>
    <n v="16.485219000000001"/>
    <n v="3.2970438"/>
    <n v="41.213047500000002"/>
    <n v="131.88175200000001"/>
    <n v="65.940876000000003"/>
    <n v="9.8911314000000008"/>
    <n v="623.14127819999999"/>
    <n v="137.376825"/>
    <n v="183.16909999999999"/>
    <n v="121.16635965"/>
    <n v="441.71228465000002"/>
    <n v="160.22320000000002"/>
    <n v="582"/>
    <n v="0"/>
    <n v="0"/>
    <n v="0"/>
    <n v="0"/>
    <n v="3.36"/>
    <n v="0"/>
    <n v="745.58320000000003"/>
    <n v="1810.4367628499999"/>
    <n v="11.559051416493055"/>
    <n v="0.92472411331944449"/>
    <n v="0.36988964532777785"/>
    <n v="5.7698266500000006"/>
    <n v="2.1809944737000007"/>
    <n v="50.40813631999999"/>
    <n v="1.3737682500000001"/>
    <n v="72.586390868840269"/>
    <n v="13.920851599999999"/>
    <n v="3.3428360749999997"/>
    <n v="0.28162249125"/>
    <n v="0.34344206250000003"/>
    <n v="2.1369728333333331"/>
    <n v="7.5697240734675013"/>
    <n v="27.595449135550833"/>
    <n v="0"/>
    <n v="0"/>
    <n v="0"/>
    <n v="0"/>
    <n v="27.595449135550833"/>
    <n v="100.80916666666666"/>
    <n v="35.518212958583888"/>
    <n v="64.529393914825576"/>
    <n v="690.27153277931654"/>
    <n v="0"/>
    <n v="891.12830631939266"/>
    <n v="4450.2688091737837"/>
    <n v="189.64880140242613"/>
    <n v="159.30499317803796"/>
    <n v="8.6118980169971604E-2"/>
    <n v="1.8696883852691224E-2"/>
    <n v="2.5000000000000001E-2"/>
    <n v="2.8328611898017008E-2"/>
    <n v="0.11749999999999999"/>
    <n v="0.13314447592067982"/>
    <n v="638.98997840353979"/>
    <n v="987.94377298400389"/>
    <n v="5438.2125821577874"/>
    <n v="65258.550985893453"/>
    <d v="2025-01-01T00:00:00"/>
    <s v="-"/>
    <s v="-"/>
  </r>
  <r>
    <s v="2.696.04"/>
    <x v="209"/>
    <x v="0"/>
    <s v="Alto Paranaiba"/>
    <s v="Limpeza"/>
    <x v="0"/>
    <n v="1"/>
    <n v="0"/>
    <n v="798.14"/>
    <n v="0"/>
    <n v="0"/>
    <n v="0"/>
    <n v="0"/>
    <n v="0"/>
    <n v="0"/>
    <n v="26.120899999999999"/>
    <n v="824.26089999999999"/>
    <n v="164.85218"/>
    <n v="12.363913499999999"/>
    <n v="8.2426089999999999"/>
    <n v="1.6485217999999999"/>
    <n v="20.606522500000001"/>
    <n v="65.940871999999999"/>
    <n v="32.970435999999999"/>
    <n v="4.9455654000000004"/>
    <n v="311.57062020000001"/>
    <n v="68.688408333333328"/>
    <n v="91.584544444444433"/>
    <n v="60.583176149999993"/>
    <n v="220.85612892777775"/>
    <n v="208.11160000000001"/>
    <n v="0"/>
    <n v="387.79"/>
    <n v="42.97"/>
    <n v="0"/>
    <n v="0"/>
    <n v="3.36"/>
    <n v="0"/>
    <n v="642.23160000000007"/>
    <n v="1174.6583491277779"/>
    <n v="5.7795253576581791"/>
    <n v="0.46236202861265435"/>
    <n v="0.18494481144506175"/>
    <n v="2.8849131500000005"/>
    <n v="1.0904971707000004"/>
    <n v="25.204066631111107"/>
    <n v="0.6868840833333334"/>
    <n v="36.293193232860339"/>
    <n v="6.9604253777777769"/>
    <n v="1.671417936111111"/>
    <n v="0.14081123708333332"/>
    <n v="0.17172102083333335"/>
    <n v="1.0684863518518517"/>
    <n v="3.7848618071425006"/>
    <n v="13.797723730799909"/>
    <n v="0"/>
    <n v="0"/>
    <n v="0"/>
    <n v="0"/>
    <n v="13.797723730799909"/>
    <n v="62.806666666666665"/>
    <n v="17.759106479291944"/>
    <n v="32.264696957412788"/>
    <n v="345.13576638965827"/>
    <n v="0"/>
    <n v="457.96623649302967"/>
    <n v="2506.9764025844679"/>
    <n v="189.64880140242613"/>
    <n v="159.30499317803796"/>
    <n v="8.5633802816901458E-2"/>
    <n v="1.8591549295774657E-2"/>
    <n v="0.02"/>
    <n v="2.2535211267605645E-2"/>
    <n v="0.1125"/>
    <n v="0.12676056338028174"/>
    <n v="362.01932076738592"/>
    <n v="710.97311534785001"/>
    <n v="3217.949517932318"/>
    <n v="38615.394215187815"/>
    <d v="2025-01-01T00:00:00"/>
    <s v="-"/>
    <s v="-"/>
  </r>
  <r>
    <s v="2.696.06"/>
    <x v="209"/>
    <x v="1"/>
    <s v="Alto Paranaiba"/>
    <s v="Limpeza"/>
    <x v="0"/>
    <n v="1"/>
    <n v="0"/>
    <n v="1596.28"/>
    <n v="0"/>
    <n v="0"/>
    <n v="0"/>
    <n v="0"/>
    <n v="0"/>
    <n v="0"/>
    <n v="52.241900000000001"/>
    <n v="1648.5219"/>
    <n v="329.70438000000001"/>
    <n v="24.727828499999998"/>
    <n v="16.485219000000001"/>
    <n v="3.2970438"/>
    <n v="41.213047500000002"/>
    <n v="131.88175200000001"/>
    <n v="65.940876000000003"/>
    <n v="9.8911314000000008"/>
    <n v="623.14127819999999"/>
    <n v="137.376825"/>
    <n v="183.16909999999999"/>
    <n v="121.16635965"/>
    <n v="441.71228465000002"/>
    <n v="160.22320000000002"/>
    <n v="0"/>
    <n v="387.79"/>
    <n v="42.97"/>
    <n v="0"/>
    <n v="0"/>
    <n v="3.36"/>
    <n v="0"/>
    <n v="594.34320000000014"/>
    <n v="1659.1967628500001"/>
    <n v="11.559051416493055"/>
    <n v="0.92472411331944449"/>
    <n v="0.36988964532777785"/>
    <n v="5.7698266500000006"/>
    <n v="2.1809944737000007"/>
    <n v="50.40813631999999"/>
    <n v="1.3737682500000001"/>
    <n v="72.586390868840269"/>
    <n v="13.920851599999999"/>
    <n v="3.3428360749999997"/>
    <n v="0.28162249125"/>
    <n v="0.34344206250000003"/>
    <n v="2.1369728333333331"/>
    <n v="7.5697240734675013"/>
    <n v="27.595449135550833"/>
    <n v="0"/>
    <n v="0"/>
    <n v="0"/>
    <n v="0"/>
    <n v="27.595449135550833"/>
    <n v="100.80916666666666"/>
    <n v="35.518212958583888"/>
    <n v="64.529393914825576"/>
    <n v="690.27153277931654"/>
    <n v="0"/>
    <n v="891.12830631939266"/>
    <n v="4299.0288091737839"/>
    <n v="189.64880140242613"/>
    <n v="159.30499317803796"/>
    <n v="8.5633802816901458E-2"/>
    <n v="1.8591549295774657E-2"/>
    <n v="0.02"/>
    <n v="2.2535211267605645E-2"/>
    <n v="0.1125"/>
    <n v="0.12676056338028174"/>
    <n v="589.18089343363727"/>
    <n v="938.13468801410136"/>
    <n v="5237.1634971878848"/>
    <n v="62845.961966254617"/>
    <d v="2025-01-01T00:00:00"/>
    <s v="-"/>
    <s v="-"/>
  </r>
  <r>
    <s v="2.697.04"/>
    <x v="210"/>
    <x v="0"/>
    <s v="Fethemg Interior"/>
    <s v="Limpeza"/>
    <x v="0"/>
    <n v="1"/>
    <n v="0"/>
    <n v="798.14"/>
    <n v="0"/>
    <n v="0"/>
    <n v="0"/>
    <n v="0"/>
    <n v="0"/>
    <n v="0"/>
    <n v="26.120899999999999"/>
    <n v="824.26089999999999"/>
    <n v="164.85218"/>
    <n v="12.363913499999999"/>
    <n v="8.2426089999999999"/>
    <n v="1.6485217999999999"/>
    <n v="20.606522500000001"/>
    <n v="65.940871999999999"/>
    <n v="32.970435999999999"/>
    <n v="4.9455654000000004"/>
    <n v="311.57062020000001"/>
    <n v="68.688408333333328"/>
    <n v="91.584544444444433"/>
    <n v="60.583176149999993"/>
    <n v="220.85612892777775"/>
    <n v="208.11160000000001"/>
    <n v="582"/>
    <n v="0"/>
    <n v="0"/>
    <n v="15.07"/>
    <n v="0"/>
    <n v="3.36"/>
    <n v="0"/>
    <n v="808.54160000000002"/>
    <n v="1340.9683491277779"/>
    <n v="5.7795253576581791"/>
    <n v="0.46236202861265435"/>
    <n v="0.18494481144506175"/>
    <n v="2.8849131500000005"/>
    <n v="1.0904971707000004"/>
    <n v="25.204066631111107"/>
    <n v="0.6868840833333334"/>
    <n v="36.293193232860339"/>
    <n v="6.9604253777777769"/>
    <n v="1.671417936111111"/>
    <n v="0.14081123708333332"/>
    <n v="0.17172102083333335"/>
    <n v="1.0684863518518517"/>
    <n v="3.7848618071425006"/>
    <n v="13.797723730799909"/>
    <n v="0"/>
    <n v="0"/>
    <n v="0"/>
    <n v="0"/>
    <n v="13.797723730799909"/>
    <n v="62.806666666666665"/>
    <n v="17.759106479291944"/>
    <n v="32.264696957412788"/>
    <n v="345.13576638965827"/>
    <n v="0"/>
    <n v="457.96623649302967"/>
    <n v="2673.2864025844674"/>
    <n v="189.64880140242613"/>
    <n v="159.30499317803796"/>
    <n v="8.8629737609329504E-2"/>
    <n v="1.9241982507288629E-2"/>
    <n v="0.05"/>
    <n v="5.8309037900874633E-2"/>
    <n v="0.14250000000000002"/>
    <n v="0.16618075801749277"/>
    <n v="502.23816687580512"/>
    <n v="851.19196145626915"/>
    <n v="3524.4783640407368"/>
    <n v="42293.740368488841"/>
    <d v="2025-01-01T00:00:00"/>
    <s v="-"/>
    <s v="-"/>
  </r>
  <r>
    <s v="2.699.03"/>
    <x v="211"/>
    <x v="2"/>
    <s v="Cataguases"/>
    <s v="Limpeza"/>
    <x v="0"/>
    <n v="1"/>
    <n v="0"/>
    <n v="544.17999999999995"/>
    <n v="0"/>
    <n v="0"/>
    <n v="0"/>
    <n v="0"/>
    <n v="0"/>
    <n v="0"/>
    <n v="19.590499999999999"/>
    <n v="563.77049999999997"/>
    <n v="112.75409999999999"/>
    <n v="8.4565574999999988"/>
    <n v="5.6377049999999995"/>
    <n v="1.1275409999999999"/>
    <n v="14.094262499999999"/>
    <n v="45.101639999999996"/>
    <n v="22.550819999999998"/>
    <n v="3.3826229999999997"/>
    <n v="213.10524899999996"/>
    <n v="46.980874999999997"/>
    <n v="62.641166666666663"/>
    <n v="41.437131749999992"/>
    <n v="151.05917341666665"/>
    <n v="223.3492"/>
    <n v="582"/>
    <n v="0"/>
    <n v="57.07"/>
    <n v="0"/>
    <n v="0"/>
    <n v="3.36"/>
    <n v="0"/>
    <n v="865.77920000000006"/>
    <n v="1229.9436224166666"/>
    <n v="3.9530273735532404"/>
    <n v="0.31624218988425928"/>
    <n v="0.12649687595370371"/>
    <n v="1.9731967500000003"/>
    <n v="0.74586837150000018"/>
    <n v="17.238849066666663"/>
    <n v="0.46980875"/>
    <n v="24.823489377557866"/>
    <n v="4.7607286666666662"/>
    <n v="1.1432012916666665"/>
    <n v="9.6310793749999998E-2"/>
    <n v="0.1174521875"/>
    <n v="0.73081361111111109"/>
    <n v="2.5887354761625003"/>
    <n v="9.4372420268569428"/>
    <n v="0"/>
    <n v="0"/>
    <n v="0"/>
    <n v="0"/>
    <n v="9.4372420268569428"/>
    <n v="62.806666666666665"/>
    <n v="12.108481690426325"/>
    <n v="21.998657016417809"/>
    <n v="235.31984072022155"/>
    <n v="0"/>
    <n v="332.23364609373232"/>
    <n v="2160.2084999148137"/>
    <n v="189.64880140242613"/>
    <n v="159.30499317803796"/>
    <n v="8.6609686609686695E-2"/>
    <n v="1.880341880341882E-2"/>
    <n v="0.03"/>
    <n v="3.4188034188034219E-2"/>
    <n v="0.1225"/>
    <n v="0.13960113960113973"/>
    <n v="350.28191575575136"/>
    <n v="699.23571033621545"/>
    <n v="2859.4442102510293"/>
    <n v="34313.330523012351"/>
    <d v="2025-01-01T00:00:00"/>
    <s v="-"/>
    <s v="-"/>
  </r>
  <r>
    <s v="2.699.06"/>
    <x v="211"/>
    <x v="1"/>
    <s v="Cataguases"/>
    <s v="Limpeza"/>
    <x v="0"/>
    <n v="1"/>
    <n v="0"/>
    <n v="1596.28"/>
    <n v="0"/>
    <n v="0"/>
    <n v="0"/>
    <n v="0"/>
    <n v="0"/>
    <n v="0"/>
    <n v="52.241900000000001"/>
    <n v="1648.5219"/>
    <n v="329.70438000000001"/>
    <n v="24.727828499999998"/>
    <n v="16.485219000000001"/>
    <n v="3.2970438"/>
    <n v="41.213047500000002"/>
    <n v="131.88175200000001"/>
    <n v="65.940876000000003"/>
    <n v="9.8911314000000008"/>
    <n v="623.14127819999999"/>
    <n v="137.376825"/>
    <n v="183.16909999999999"/>
    <n v="121.16635965"/>
    <n v="441.71228465000002"/>
    <n v="160.22320000000002"/>
    <n v="582"/>
    <n v="0"/>
    <n v="57.07"/>
    <n v="0"/>
    <n v="0"/>
    <n v="3.36"/>
    <n v="0"/>
    <n v="802.65320000000008"/>
    <n v="1867.5067628500001"/>
    <n v="11.559051416493055"/>
    <n v="0.92472411331944449"/>
    <n v="0.36988964532777785"/>
    <n v="5.7698266500000006"/>
    <n v="2.1809944737000007"/>
    <n v="50.40813631999999"/>
    <n v="1.3737682500000001"/>
    <n v="72.586390868840269"/>
    <n v="13.920851599999999"/>
    <n v="3.3428360749999997"/>
    <n v="0.28162249125"/>
    <n v="0.34344206250000003"/>
    <n v="2.1369728333333331"/>
    <n v="7.5697240734675013"/>
    <n v="27.595449135550833"/>
    <n v="0"/>
    <n v="0"/>
    <n v="0"/>
    <n v="0"/>
    <n v="27.595449135550833"/>
    <n v="100.80916666666666"/>
    <n v="35.518212958583888"/>
    <n v="64.529393914825576"/>
    <n v="690.27153277931654"/>
    <n v="0"/>
    <n v="891.12830631939266"/>
    <n v="4507.3388091737834"/>
    <n v="189.64880140242613"/>
    <n v="159.30499317803796"/>
    <n v="8.6609686609686695E-2"/>
    <n v="1.880341880341882E-2"/>
    <n v="0.03"/>
    <n v="3.4188034188034219E-2"/>
    <n v="0.1225"/>
    <n v="0.13960113960113973"/>
    <n v="677.94398172067906"/>
    <n v="1026.897776301143"/>
    <n v="5534.236585474926"/>
    <n v="66410.839025699112"/>
    <d v="2025-01-01T00:00:00"/>
    <s v="-"/>
    <s v="-"/>
  </r>
  <r>
    <s v="2.701.04"/>
    <x v="212"/>
    <x v="0"/>
    <s v="Uberaba"/>
    <s v="Limpeza"/>
    <x v="0"/>
    <n v="1"/>
    <n v="0"/>
    <n v="824.56"/>
    <n v="0"/>
    <n v="0"/>
    <n v="0"/>
    <n v="0"/>
    <n v="0"/>
    <n v="0"/>
    <n v="26.985600000000002"/>
    <n v="851.54559999999992"/>
    <n v="170.30912000000001"/>
    <n v="12.773183999999999"/>
    <n v="8.5154559999999986"/>
    <n v="1.7030911999999998"/>
    <n v="21.288640000000001"/>
    <n v="68.123647999999989"/>
    <n v="34.061823999999994"/>
    <n v="5.1092735999999999"/>
    <n v="321.8842368"/>
    <n v="70.962133333333327"/>
    <n v="94.616177777777764"/>
    <n v="62.588601599999997"/>
    <n v="228.16691271111108"/>
    <n v="206.5264"/>
    <n v="582"/>
    <n v="0"/>
    <n v="51.86"/>
    <n v="0"/>
    <n v="0"/>
    <n v="3.36"/>
    <n v="0"/>
    <n v="843.74639999999999"/>
    <n v="1393.7975495111111"/>
    <n v="5.970839316049382"/>
    <n v="0.4776671452839506"/>
    <n v="0.19106685811358026"/>
    <n v="2.9804096000000002"/>
    <n v="1.1265948288000003"/>
    <n v="26.038372124444439"/>
    <n v="0.70962133333333333"/>
    <n v="37.494571206024688"/>
    <n v="7.1908295111111098"/>
    <n v="1.7267452444444442"/>
    <n v="0.14547237333333332"/>
    <n v="0.17740533333333333"/>
    <n v="1.1038554074074072"/>
    <n v="3.9101483747200003"/>
    <n v="14.254456244349628"/>
    <n v="0"/>
    <n v="0"/>
    <n v="0"/>
    <n v="0"/>
    <n v="14.254456244349628"/>
    <n v="62.806666666666665"/>
    <n v="17.759106479291944"/>
    <n v="32.264696957412788"/>
    <n v="345.13576638965827"/>
    <n v="0"/>
    <n v="457.96623649302967"/>
    <n v="2755.0584134545147"/>
    <n v="189.64880140242613"/>
    <n v="159.30499317803796"/>
    <n v="8.6609686609686695E-2"/>
    <n v="1.880341880341882E-2"/>
    <n v="0.03"/>
    <n v="3.4188034188034219E-2"/>
    <n v="0.1225"/>
    <n v="0.13960113960113973"/>
    <n v="433.32364157753307"/>
    <n v="782.27743615799716"/>
    <n v="3537.335849612512"/>
    <n v="42448.030195350148"/>
    <d v="2025-01-01T00:00:00"/>
    <s v="-"/>
    <s v="-"/>
  </r>
  <r>
    <s v="2.701.06"/>
    <x v="212"/>
    <x v="1"/>
    <s v="Uberaba"/>
    <s v="Limpeza"/>
    <x v="0"/>
    <n v="4"/>
    <n v="0"/>
    <n v="6596.48"/>
    <n v="0"/>
    <n v="0"/>
    <n v="0"/>
    <n v="0"/>
    <n v="0"/>
    <n v="0"/>
    <n v="215.88480000000001"/>
    <n v="6812.3647999999994"/>
    <n v="1362.4729600000001"/>
    <n v="102.18547199999999"/>
    <n v="68.123647999999989"/>
    <n v="13.624729599999998"/>
    <n v="170.30912000000001"/>
    <n v="544.98918399999991"/>
    <n v="272.49459199999995"/>
    <n v="40.874188799999999"/>
    <n v="2575.0738944"/>
    <n v="567.69706666666661"/>
    <n v="756.92942222222212"/>
    <n v="500.70881279999998"/>
    <n v="1825.3353016888886"/>
    <n v="628.21119999999996"/>
    <n v="2328"/>
    <n v="0"/>
    <n v="207.44"/>
    <n v="0"/>
    <n v="0"/>
    <n v="13.44"/>
    <n v="0"/>
    <n v="3177.0911999999998"/>
    <n v="7577.5003960888889"/>
    <n v="47.766714528395056"/>
    <n v="3.8213371622716048"/>
    <n v="1.5285348649086421"/>
    <n v="23.843276800000002"/>
    <n v="9.0127586304000022"/>
    <n v="208.30697699555552"/>
    <n v="5.6769706666666666"/>
    <n v="299.9565696481975"/>
    <n v="57.526636088888878"/>
    <n v="13.813961955555554"/>
    <n v="1.1637789866666666"/>
    <n v="1.4192426666666667"/>
    <n v="8.8308432592592574"/>
    <n v="31.281186997760003"/>
    <n v="114.03564995479702"/>
    <n v="0"/>
    <n v="0"/>
    <n v="0"/>
    <n v="0"/>
    <n v="114.03564995479702"/>
    <n v="403.23666666666662"/>
    <n v="142.07285183433555"/>
    <n v="258.1175756593023"/>
    <n v="2761.0861311172662"/>
    <n v="0"/>
    <n v="3564.5132252775707"/>
    <n v="18368.370640969453"/>
    <n v="758.59520560970452"/>
    <n v="637.21997271215184"/>
    <n v="8.6609686609686695E-2"/>
    <n v="1.880341880341882E-2"/>
    <n v="0.03"/>
    <n v="3.4188034188034219E-2"/>
    <n v="0.1225"/>
    <n v="0.13960113960113973"/>
    <n v="2759.1028636617525"/>
    <n v="4154.9180419836084"/>
    <n v="22523.288682953062"/>
    <n v="270279.46419543674"/>
    <d v="2025-01-01T00:00:00"/>
    <s v="-"/>
    <s v="-"/>
  </r>
  <r>
    <s v="2.702.04"/>
    <x v="213"/>
    <x v="0"/>
    <s v="Uberlandia"/>
    <s v="Limpeza"/>
    <x v="0"/>
    <n v="1"/>
    <n v="0"/>
    <n v="824.56"/>
    <n v="0"/>
    <n v="0"/>
    <n v="0"/>
    <n v="0"/>
    <n v="0"/>
    <n v="0"/>
    <n v="26.985600000000002"/>
    <n v="851.54559999999992"/>
    <n v="170.30912000000001"/>
    <n v="12.773183999999999"/>
    <n v="8.5154559999999986"/>
    <n v="1.7030911999999998"/>
    <n v="21.288640000000001"/>
    <n v="68.123647999999989"/>
    <n v="34.061823999999994"/>
    <n v="5.1092735999999999"/>
    <n v="321.8842368"/>
    <n v="70.962133333333327"/>
    <n v="94.616177777777764"/>
    <n v="62.588601599999997"/>
    <n v="228.16691271111108"/>
    <n v="206.5264"/>
    <n v="0"/>
    <n v="387.79"/>
    <n v="42.97"/>
    <n v="0"/>
    <n v="0"/>
    <n v="3.36"/>
    <n v="0"/>
    <n v="640.64640000000009"/>
    <n v="1190.6975495111112"/>
    <n v="5.970839316049382"/>
    <n v="0.4776671452839506"/>
    <n v="0.19106685811358026"/>
    <n v="2.9804096000000002"/>
    <n v="1.1265948288000003"/>
    <n v="26.038372124444439"/>
    <n v="0.70962133333333333"/>
    <n v="37.494571206024688"/>
    <n v="7.1908295111111098"/>
    <n v="1.7267452444444442"/>
    <n v="0.14547237333333332"/>
    <n v="0.17740533333333333"/>
    <n v="1.1038554074074072"/>
    <n v="3.9101483747200003"/>
    <n v="14.254456244349628"/>
    <n v="0"/>
    <n v="0"/>
    <n v="0"/>
    <n v="0"/>
    <n v="14.254456244349628"/>
    <n v="62.806666666666665"/>
    <n v="17.759106479291944"/>
    <n v="32.264696957412788"/>
    <n v="345.13576638965827"/>
    <n v="0"/>
    <n v="457.96623649302967"/>
    <n v="2551.9584134545148"/>
    <n v="189.64880140242613"/>
    <n v="159.30499317803796"/>
    <n v="8.6609686609686695E-2"/>
    <n v="1.880341880341882E-2"/>
    <n v="0.03"/>
    <n v="3.4188034188034219E-2"/>
    <n v="0.1225"/>
    <n v="0.13960113960113973"/>
    <n v="404.97065012454158"/>
    <n v="753.92444470500573"/>
    <n v="3305.8828581595208"/>
    <n v="39670.594297914249"/>
    <d v="2025-01-01T00:00:00"/>
    <s v="-"/>
    <s v="-"/>
  </r>
  <r>
    <s v="2.702.06"/>
    <x v="213"/>
    <x v="1"/>
    <s v="Uberlandia"/>
    <s v="Limpeza"/>
    <x v="0"/>
    <n v="13"/>
    <n v="0"/>
    <n v="21438.559999999998"/>
    <n v="0"/>
    <n v="0"/>
    <n v="0"/>
    <n v="0"/>
    <n v="0"/>
    <n v="0"/>
    <n v="701.62560000000008"/>
    <n v="22140.185599999997"/>
    <n v="4428.03712"/>
    <n v="332.10278399999999"/>
    <n v="221.40185599999995"/>
    <n v="44.280371199999998"/>
    <n v="553.50463999999999"/>
    <n v="1771.2148479999996"/>
    <n v="885.60742399999981"/>
    <n v="132.8411136"/>
    <n v="8368.9901568000005"/>
    <n v="1845.0154666666665"/>
    <n v="2460.0206222222218"/>
    <n v="1627.3036416"/>
    <n v="5932.3397304888877"/>
    <n v="2041.6863999999998"/>
    <n v="0"/>
    <n v="5041.2700000000004"/>
    <n v="558.61"/>
    <n v="0"/>
    <n v="0"/>
    <n v="43.68"/>
    <n v="0"/>
    <n v="7685.2464000000009"/>
    <n v="21986.576287288892"/>
    <n v="155.24182221728393"/>
    <n v="12.419345777382716"/>
    <n v="4.967738310953087"/>
    <n v="77.490649600000012"/>
    <n v="29.291465548800009"/>
    <n v="676.99767523555545"/>
    <n v="18.450154666666666"/>
    <n v="974.85885135664194"/>
    <n v="186.96156728888886"/>
    <n v="44.895376355555548"/>
    <n v="3.7822817066666663"/>
    <n v="4.6125386666666666"/>
    <n v="28.700240592592586"/>
    <n v="101.66385774272001"/>
    <n v="370.61586235309034"/>
    <n v="0"/>
    <n v="0"/>
    <n v="0"/>
    <n v="0"/>
    <n v="370.61586235309034"/>
    <n v="1310.5191666666665"/>
    <n v="461.73676846159054"/>
    <n v="838.88212089273247"/>
    <n v="8973.5299261311156"/>
    <n v="0"/>
    <n v="11584.667982152105"/>
    <n v="57056.904583150717"/>
    <n v="2465.4344182315399"/>
    <n v="2070.9649113144933"/>
    <n v="8.6609686609686695E-2"/>
    <n v="1.880341880341882E-2"/>
    <n v="0.03"/>
    <n v="3.4188034188034219E-2"/>
    <n v="0.1225"/>
    <n v="0.13960113960113973"/>
    <n v="8598.4954180118057"/>
    <n v="13134.894747557839"/>
    <n v="70191.799330708556"/>
    <n v="842301.59196850262"/>
    <d v="2025-01-01T00:00:00"/>
    <s v="-"/>
    <s v="-"/>
  </r>
  <r>
    <s v="2.704.06"/>
    <x v="214"/>
    <x v="1"/>
    <s v="Fethemg Interior"/>
    <s v="Limpeza"/>
    <x v="0"/>
    <n v="1"/>
    <n v="0"/>
    <n v="1596.28"/>
    <n v="0"/>
    <n v="0"/>
    <n v="0"/>
    <n v="0"/>
    <n v="0"/>
    <n v="0"/>
    <n v="52.241900000000001"/>
    <n v="1648.5219"/>
    <n v="329.70438000000001"/>
    <n v="24.727828499999998"/>
    <n v="16.485219000000001"/>
    <n v="3.2970438"/>
    <n v="41.213047500000002"/>
    <n v="131.88175200000001"/>
    <n v="65.940876000000003"/>
    <n v="9.8911314000000008"/>
    <n v="623.14127819999999"/>
    <n v="137.376825"/>
    <n v="183.16909999999999"/>
    <n v="121.16635965"/>
    <n v="441.71228465000002"/>
    <n v="160.22320000000002"/>
    <n v="582"/>
    <n v="0"/>
    <n v="0"/>
    <n v="15.07"/>
    <n v="0"/>
    <n v="3.36"/>
    <n v="0"/>
    <n v="760.65320000000008"/>
    <n v="1825.5067628500001"/>
    <n v="11.559051416493055"/>
    <n v="0.92472411331944449"/>
    <n v="0.36988964532777785"/>
    <n v="5.7698266500000006"/>
    <n v="2.1809944737000007"/>
    <n v="50.40813631999999"/>
    <n v="1.3737682500000001"/>
    <n v="72.586390868840269"/>
    <n v="13.920851599999999"/>
    <n v="3.3428360749999997"/>
    <n v="0.28162249125"/>
    <n v="0.34344206250000003"/>
    <n v="2.1369728333333331"/>
    <n v="7.5697240734675013"/>
    <n v="27.595449135550833"/>
    <n v="0"/>
    <n v="0"/>
    <n v="0"/>
    <n v="0"/>
    <n v="27.595449135550833"/>
    <n v="100.80916666666666"/>
    <n v="35.518212958583888"/>
    <n v="64.529393914825576"/>
    <n v="690.27153277931654"/>
    <n v="0"/>
    <n v="891.12830631939266"/>
    <n v="4465.3388091737834"/>
    <n v="189.64880140242613"/>
    <n v="159.30499317803796"/>
    <n v="8.7608069164265154E-2"/>
    <n v="1.9020172910662814E-2"/>
    <n v="0.04"/>
    <n v="4.6109510086455294E-2"/>
    <n v="0.13250000000000001"/>
    <n v="0.15273775216138324"/>
    <n v="735.32423054459673"/>
    <n v="1084.2780251250608"/>
    <n v="5549.616834298844"/>
    <n v="66595.40201158612"/>
    <d v="2025-01-01T00:00:00"/>
    <s v="-"/>
    <s v="-"/>
  </r>
  <r>
    <s v="2.707.03"/>
    <x v="215"/>
    <x v="2"/>
    <s v="Regiao de Sao Lourenco"/>
    <s v="Limpeza"/>
    <x v="0"/>
    <n v="2"/>
    <n v="0"/>
    <n v="1088.3599999999999"/>
    <n v="0"/>
    <n v="0"/>
    <n v="0"/>
    <n v="0"/>
    <n v="0"/>
    <n v="0"/>
    <n v="39.180999999999997"/>
    <n v="1127.5409999999999"/>
    <n v="225.50819999999999"/>
    <n v="16.913114999999998"/>
    <n v="11.275409999999999"/>
    <n v="2.2550819999999998"/>
    <n v="28.188524999999998"/>
    <n v="90.203279999999992"/>
    <n v="45.101639999999996"/>
    <n v="6.7652459999999994"/>
    <n v="426.21049799999992"/>
    <n v="93.961749999999995"/>
    <n v="125.28233333333333"/>
    <n v="82.874263499999984"/>
    <n v="302.11834683333331"/>
    <n v="446.69839999999999"/>
    <n v="1164"/>
    <n v="0"/>
    <n v="106.54"/>
    <n v="0"/>
    <n v="0"/>
    <n v="6.72"/>
    <n v="0"/>
    <n v="1723.9584"/>
    <n v="2452.2872448333333"/>
    <n v="7.9060547471064808"/>
    <n v="0.63248437976851857"/>
    <n v="0.25299375190740742"/>
    <n v="3.9463935000000006"/>
    <n v="1.4917367430000004"/>
    <n v="34.477698133333327"/>
    <n v="0.93961749999999999"/>
    <n v="49.646978755115732"/>
    <n v="9.5214573333333323"/>
    <n v="2.286402583333333"/>
    <n v="0.1926215875"/>
    <n v="0.234904375"/>
    <n v="1.4616272222222222"/>
    <n v="5.1774709523250007"/>
    <n v="18.874484053713886"/>
    <n v="0"/>
    <n v="0"/>
    <n v="0"/>
    <n v="0"/>
    <n v="18.874484053713886"/>
    <n v="125.61333333333333"/>
    <n v="24.216963380852651"/>
    <n v="43.997314032835618"/>
    <n v="470.6396814404431"/>
    <n v="0"/>
    <n v="664.46729218746464"/>
    <n v="4312.8169998296271"/>
    <n v="379.29760280485226"/>
    <n v="318.60998635607592"/>
    <n v="8.6609686609686695E-2"/>
    <n v="1.880341880341882E-2"/>
    <n v="0.03"/>
    <n v="3.4188034188034219E-2"/>
    <n v="0.1225"/>
    <n v="0.13960113960113973"/>
    <n v="699.50286285053403"/>
    <n v="1397.4104520114622"/>
    <n v="5710.2274518410895"/>
    <n v="68522.729422093078"/>
    <d v="2025-01-01T00:00:00"/>
    <s v="-"/>
    <s v="-"/>
  </r>
  <r>
    <s v="2.707.06"/>
    <x v="215"/>
    <x v="1"/>
    <s v="Regiao de Sao Lourenco"/>
    <s v="Limpeza"/>
    <x v="0"/>
    <n v="3"/>
    <n v="0"/>
    <n v="4788.84"/>
    <n v="0"/>
    <n v="0"/>
    <n v="0"/>
    <n v="0"/>
    <n v="0"/>
    <n v="0"/>
    <n v="156.72570000000002"/>
    <n v="4945.5657000000001"/>
    <n v="989.11314000000004"/>
    <n v="74.183485499999989"/>
    <n v="49.455657000000002"/>
    <n v="9.891131399999999"/>
    <n v="123.63914250000001"/>
    <n v="395.64525600000002"/>
    <n v="197.82262800000001"/>
    <n v="29.673394200000004"/>
    <n v="1869.4238346"/>
    <n v="412.13047499999999"/>
    <n v="549.50729999999999"/>
    <n v="363.49907895000001"/>
    <n v="1325.1368539499999"/>
    <n v="480.66960000000006"/>
    <n v="1746"/>
    <n v="0"/>
    <n v="159.81"/>
    <n v="0"/>
    <m/>
    <n v="10.08"/>
    <n v="0"/>
    <n v="2396.5596"/>
    <n v="5591.1202885499997"/>
    <n v="34.677154249479166"/>
    <n v="2.7741723399583336"/>
    <n v="1.1096689359833336"/>
    <n v="17.309479950000004"/>
    <n v="6.5429834211000024"/>
    <n v="151.22440895999998"/>
    <n v="4.1213047500000002"/>
    <n v="217.75917260652079"/>
    <n v="41.762554799999997"/>
    <n v="10.028508224999999"/>
    <n v="0.84486747374999993"/>
    <n v="1.0303261875"/>
    <n v="6.4109184999999993"/>
    <n v="22.709172220402504"/>
    <n v="82.786347406652496"/>
    <n v="0"/>
    <n v="0"/>
    <n v="0"/>
    <n v="0"/>
    <n v="82.786347406652496"/>
    <n v="302.42749999999995"/>
    <n v="106.55463887575166"/>
    <n v="193.58818174447674"/>
    <n v="2070.8145983379495"/>
    <n v="0"/>
    <n v="2673.3849189581779"/>
    <n v="13510.616427521349"/>
    <n v="568.94640420727842"/>
    <n v="477.91497953411385"/>
    <n v="8.6609686609686695E-2"/>
    <n v="1.880341880341882E-2"/>
    <n v="0.03"/>
    <n v="3.4188034188034219E-2"/>
    <n v="0.1225"/>
    <n v="0.13960113960113973"/>
    <n v="2032.2404921705843"/>
    <n v="3079.1018759119761"/>
    <n v="16589.718303433325"/>
    <n v="199076.61964119988"/>
    <d v="2025-01-01T00:00:00"/>
    <s v="-"/>
    <s v="-"/>
  </r>
  <r>
    <s v="2.708.04"/>
    <x v="216"/>
    <x v="0"/>
    <s v="Sethac Norte de Minas"/>
    <s v="Limpeza"/>
    <x v="0"/>
    <n v="1"/>
    <n v="0"/>
    <n v="798.14"/>
    <n v="0"/>
    <n v="0"/>
    <n v="0"/>
    <n v="0"/>
    <n v="0"/>
    <n v="0"/>
    <n v="26.120899999999999"/>
    <n v="824.26089999999999"/>
    <n v="164.85218"/>
    <n v="12.363913499999999"/>
    <n v="8.2426089999999999"/>
    <n v="1.6485217999999999"/>
    <n v="20.606522500000001"/>
    <n v="65.940871999999999"/>
    <n v="32.970435999999999"/>
    <n v="4.9455654000000004"/>
    <n v="311.57062020000001"/>
    <n v="68.688408333333328"/>
    <n v="91.584544444444433"/>
    <n v="60.583176149999993"/>
    <n v="220.85612892777775"/>
    <n v="208.11160000000001"/>
    <n v="582"/>
    <n v="0"/>
    <n v="0"/>
    <n v="0"/>
    <m/>
    <n v="3.36"/>
    <n v="0"/>
    <n v="793.47159999999997"/>
    <n v="1325.8983491277777"/>
    <n v="5.7795253576581791"/>
    <n v="0.46236202861265435"/>
    <n v="0.18494481144506175"/>
    <n v="2.8849131500000005"/>
    <n v="1.0904971707000004"/>
    <n v="25.204066631111107"/>
    <n v="0.6868840833333334"/>
    <n v="36.293193232860339"/>
    <n v="6.9604253777777769"/>
    <n v="1.671417936111111"/>
    <n v="0.14081123708333332"/>
    <n v="0.17172102083333335"/>
    <n v="1.0684863518518517"/>
    <n v="3.7848618071425006"/>
    <n v="13.797723730799909"/>
    <n v="0"/>
    <n v="0"/>
    <n v="0"/>
    <n v="0"/>
    <n v="13.797723730799909"/>
    <n v="62.806666666666665"/>
    <n v="17.759106479291944"/>
    <n v="32.264696957412788"/>
    <n v="345.13576638965827"/>
    <n v="0"/>
    <n v="457.96623649302967"/>
    <n v="2658.2164025844677"/>
    <n v="189.64880140242613"/>
    <n v="159.30499317803796"/>
    <n v="8.8629737609329504E-2"/>
    <n v="1.9241982507288629E-2"/>
    <n v="0.05"/>
    <n v="5.8309037900874633E-2"/>
    <n v="0.14250000000000002"/>
    <n v="0.16618075801749277"/>
    <n v="499.73382285248152"/>
    <n v="848.68761743294567"/>
    <n v="3506.9040200174131"/>
    <n v="42082.848240208958"/>
    <d v="2025-01-01T00:00:00"/>
    <s v="-"/>
    <s v="-"/>
  </r>
  <r>
    <s v="2.290.06"/>
    <x v="217"/>
    <x v="1"/>
    <s v="Vespasiano"/>
    <s v="Limpeza"/>
    <x v="0"/>
    <n v="1"/>
    <n v="0"/>
    <n v="1649.12"/>
    <n v="0"/>
    <n v="0"/>
    <n v="0"/>
    <n v="0"/>
    <n v="0"/>
    <n v="0"/>
    <n v="53.971200000000003"/>
    <n v="1703.0911999999998"/>
    <n v="340.61824000000001"/>
    <n v="25.546367999999998"/>
    <n v="17.030911999999997"/>
    <n v="3.4061823999999996"/>
    <n v="42.577280000000002"/>
    <n v="136.24729599999998"/>
    <n v="68.123647999999989"/>
    <n v="10.2185472"/>
    <n v="643.76847359999999"/>
    <n v="141.92426666666665"/>
    <n v="189.23235555555553"/>
    <n v="125.17720319999999"/>
    <n v="456.33382542222216"/>
    <n v="157.05279999999999"/>
    <n v="582"/>
    <n v="0"/>
    <n v="0"/>
    <n v="0"/>
    <m/>
    <n v="3.36"/>
    <n v="0"/>
    <n v="742.41279999999995"/>
    <n v="1842.5150990222223"/>
    <n v="11.941678632098764"/>
    <n v="0.9553342905679012"/>
    <n v="0.38213371622716052"/>
    <n v="5.9608192000000004"/>
    <n v="2.2531896576000006"/>
    <n v="52.076744248888879"/>
    <n v="1.4192426666666667"/>
    <n v="74.989142412049375"/>
    <n v="14.38165902222222"/>
    <n v="3.4534904888888884"/>
    <n v="0.29094474666666664"/>
    <n v="0.35481066666666666"/>
    <n v="2.2077108148148143"/>
    <n v="7.8202967494400006"/>
    <n v="28.508912488699256"/>
    <n v="0"/>
    <n v="0"/>
    <n v="0"/>
    <n v="0"/>
    <n v="28.508912488699256"/>
    <n v="100.80916666666666"/>
    <n v="35.518212958583888"/>
    <n v="64.529393914825576"/>
    <n v="690.27153277931654"/>
    <n v="0"/>
    <n v="891.12830631939266"/>
    <n v="4540.2326602423636"/>
    <n v="189.64880140242613"/>
    <n v="159.30499317803796"/>
    <n v="8.6609686609686695E-2"/>
    <n v="1.880341880341882E-2"/>
    <n v="0.03"/>
    <n v="3.4188034188034219E-2"/>
    <n v="0.1225"/>
    <n v="0.13960113960113973"/>
    <n v="682.53600081572301"/>
    <n v="1031.4897953961872"/>
    <n v="5571.7224556385509"/>
    <n v="66860.669467662607"/>
    <d v="2025-01-01T00:00:00"/>
    <s v="-"/>
    <s v="-"/>
  </r>
  <r>
    <s v="2.713.06"/>
    <x v="218"/>
    <x v="1"/>
    <s v="Vicosa e Regiao"/>
    <s v="Limpeza"/>
    <x v="0"/>
    <n v="1"/>
    <n v="0"/>
    <n v="1596.28"/>
    <n v="0"/>
    <n v="0"/>
    <n v="0"/>
    <n v="0"/>
    <n v="0"/>
    <n v="0"/>
    <n v="52.241900000000001"/>
    <n v="1648.5219"/>
    <n v="329.70438000000001"/>
    <n v="24.727828499999998"/>
    <n v="16.485219000000001"/>
    <n v="3.2970438"/>
    <n v="41.213047500000002"/>
    <n v="131.88175200000001"/>
    <n v="65.940876000000003"/>
    <n v="9.8911314000000008"/>
    <n v="623.14127819999999"/>
    <n v="137.376825"/>
    <n v="183.16909999999999"/>
    <n v="121.16635965"/>
    <n v="441.71228465000002"/>
    <n v="160.22320000000002"/>
    <n v="582"/>
    <n v="0"/>
    <n v="51.86"/>
    <n v="0"/>
    <m/>
    <n v="3.36"/>
    <n v="0"/>
    <n v="797.44320000000005"/>
    <n v="1862.2967628500001"/>
    <n v="11.559051416493055"/>
    <n v="0.92472411331944449"/>
    <n v="0.36988964532777785"/>
    <n v="5.7698266500000006"/>
    <n v="2.1809944737000007"/>
    <n v="50.40813631999999"/>
    <n v="1.3737682500000001"/>
    <n v="72.586390868840269"/>
    <n v="13.920851599999999"/>
    <n v="3.3428360749999997"/>
    <n v="0.28162249125"/>
    <n v="0.34344206250000003"/>
    <n v="2.1369728333333331"/>
    <n v="7.5697240734675013"/>
    <n v="27.595449135550833"/>
    <n v="0"/>
    <n v="0"/>
    <n v="0"/>
    <n v="0"/>
    <n v="27.595449135550833"/>
    <n v="100.80916666666666"/>
    <n v="35.518212958583888"/>
    <n v="64.529393914825576"/>
    <n v="690.27153277931654"/>
    <n v="0"/>
    <n v="891.12830631939266"/>
    <n v="4502.1288091737833"/>
    <n v="189.64880140242613"/>
    <n v="159.30499317803796"/>
    <n v="8.6609686609686695E-2"/>
    <n v="1.880341880341882E-2"/>
    <n v="0.03"/>
    <n v="3.4188034188034219E-2"/>
    <n v="0.1225"/>
    <n v="0.13960113960113973"/>
    <n v="677.21665978335716"/>
    <n v="1026.1704543638211"/>
    <n v="5528.2992635376049"/>
    <n v="66339.591162451252"/>
    <d v="2025-01-01T00:00:00"/>
    <s v="-"/>
    <s v="-"/>
  </r>
  <r>
    <s v="2.720.06"/>
    <x v="219"/>
    <x v="1"/>
    <s v="Cataguases"/>
    <s v="Limpeza"/>
    <x v="0"/>
    <n v="2"/>
    <n v="0"/>
    <n v="3192.56"/>
    <n v="0"/>
    <n v="0"/>
    <n v="0"/>
    <n v="0"/>
    <n v="0"/>
    <n v="0"/>
    <n v="104.4838"/>
    <n v="3297.0437999999999"/>
    <n v="659.40876000000003"/>
    <n v="49.455656999999995"/>
    <n v="32.970438000000001"/>
    <n v="6.5940875999999999"/>
    <n v="82.426095000000004"/>
    <n v="263.76350400000001"/>
    <n v="131.88175200000001"/>
    <n v="19.782262800000002"/>
    <n v="1246.2825564"/>
    <n v="274.75364999999999"/>
    <n v="366.33819999999997"/>
    <n v="242.33271930000001"/>
    <n v="883.42456930000003"/>
    <n v="320.44640000000004"/>
    <n v="1164"/>
    <n v="0"/>
    <n v="114.14"/>
    <n v="0"/>
    <n v="0"/>
    <n v="6.72"/>
    <n v="0"/>
    <n v="1605.3064000000002"/>
    <n v="3735.0135257000002"/>
    <n v="23.118102832986111"/>
    <n v="1.849448226638889"/>
    <n v="0.7397792906555557"/>
    <n v="11.539653300000001"/>
    <n v="4.3619889474000013"/>
    <n v="100.81627263999998"/>
    <n v="2.7475365000000003"/>
    <n v="145.17278173768054"/>
    <n v="27.841703199999998"/>
    <n v="6.6856721499999994"/>
    <n v="0.56324498249999999"/>
    <n v="0.68688412500000007"/>
    <n v="4.2739456666666662"/>
    <n v="15.139448146935003"/>
    <n v="55.190898271101666"/>
    <n v="0"/>
    <n v="0"/>
    <n v="0"/>
    <n v="0"/>
    <n v="55.190898271101666"/>
    <n v="201.61833333333331"/>
    <n v="71.036425917167776"/>
    <n v="129.05878782965115"/>
    <n v="1380.5430655586331"/>
    <n v="0"/>
    <n v="1782.2566126387853"/>
    <n v="9014.6776183475667"/>
    <n v="379.29760280485226"/>
    <n v="318.60998635607592"/>
    <n v="8.6609686609686695E-2"/>
    <n v="1.880341880341882E-2"/>
    <n v="0.03"/>
    <n v="3.4188034188034219E-2"/>
    <n v="0.1225"/>
    <n v="0.13960113960113973"/>
    <n v="1355.8879634413581"/>
    <n v="2053.7955526022861"/>
    <n v="11068.473170949852"/>
    <n v="132821.67805139822"/>
    <d v="2025-01-01T00:00:00"/>
    <s v="-"/>
    <s v="-"/>
  </r>
</pivotCacheRecords>
</file>

<file path=xl/pivotTables/_rels/pivotTable1.xml.rels><?xml version="1.0" encoding="UTF-8" standalone="yes"?>
<Relationships xmlns="http://schemas.openxmlformats.org/package/2006/relationships"><Relationship Id="rId1" Type="http://schemas.openxmlformats.org/officeDocument/2006/relationships/pivotCacheDefinition" Target="../pivotCache/pivotCacheDefinition1.xml"/></Relationships>
</file>

<file path=xl/pivotTables/_rels/pivotTable2.xml.rels><?xml version="1.0" encoding="UTF-8" standalone="yes"?>
<Relationships xmlns="http://schemas.openxmlformats.org/package/2006/relationships"><Relationship Id="rId1" Type="http://schemas.openxmlformats.org/officeDocument/2006/relationships/pivotCacheDefinition" Target="../pivotCache/pivotCacheDefinition2.xml"/></Relationships>
</file>

<file path=xl/pivotTables/pivotTable1.xml><?xml version="1.0" encoding="utf-8"?>
<pivotTableDefinition xmlns="http://schemas.openxmlformats.org/spreadsheetml/2006/main" xmlns:mc="http://schemas.openxmlformats.org/markup-compatibility/2006" xmlns:xr="http://schemas.microsoft.com/office/spreadsheetml/2014/revision" mc:Ignorable="xr" xr:uid="{FEB14A64-4016-4A23-8D5C-E538C6E625CC}" name="tabDinamUniformes" cacheId="4" applyNumberFormats="0" applyBorderFormats="0" applyFontFormats="0" applyPatternFormats="0" applyAlignmentFormats="0" applyWidthHeightFormats="1" dataCaption="Valores" updatedVersion="8" minRefreshableVersion="3" showDrill="0" useAutoFormatting="1" itemPrintTitles="1" createdVersion="8" indent="0" compact="0" compactData="0" multipleFieldFilters="0">
  <location ref="L5:AN15" firstHeaderRow="1" firstDataRow="3" firstDataCol="2"/>
  <pivotFields count="11">
    <pivotField compact="0" outline="0" subtotalTop="0" showAll="0" defaultSubtotal="0">
      <extLst>
        <ext xmlns:x14="http://schemas.microsoft.com/office/spreadsheetml/2009/9/main" uri="{2946ED86-A175-432a-8AC1-64E0C546D7DE}">
          <x14:pivotField fillDownLabels="1"/>
        </ext>
      </extLst>
    </pivotField>
    <pivotField axis="axisCol" compact="0" outline="0" showAll="0" defaultSubtotal="0">
      <items count="52">
        <item m="1" x="39"/>
        <item m="1" x="40"/>
        <item m="1" x="51"/>
        <item m="1" x="17"/>
        <item x="0"/>
        <item m="1" x="15"/>
        <item x="1"/>
        <item m="1" x="29"/>
        <item x="2"/>
        <item m="1" x="47"/>
        <item m="1" x="26"/>
        <item m="1" x="42"/>
        <item m="1" x="32"/>
        <item m="1" x="43"/>
        <item m="1" x="27"/>
        <item m="1" x="13"/>
        <item m="1" x="49"/>
        <item m="1" x="11"/>
        <item m="1" x="33"/>
        <item m="1" x="50"/>
        <item m="1" x="35"/>
        <item m="1" x="24"/>
        <item m="1" x="28"/>
        <item m="1" x="22"/>
        <item m="1" x="41"/>
        <item m="1" x="46"/>
        <item m="1" x="31"/>
        <item m="1" x="45"/>
        <item m="1" x="44"/>
        <item m="1" x="10"/>
        <item m="1" x="20"/>
        <item m="1" x="25"/>
        <item m="1" x="16"/>
        <item m="1" x="34"/>
        <item m="1" x="21"/>
        <item m="1" x="48"/>
        <item m="1" x="37"/>
        <item m="1" x="36"/>
        <item m="1" x="19"/>
        <item m="1" x="30"/>
        <item m="1" x="14"/>
        <item m="1" x="18"/>
        <item m="1" x="12"/>
        <item m="1" x="38"/>
        <item m="1" x="23"/>
        <item m="1" x="8"/>
        <item m="1" x="9"/>
        <item x="3"/>
        <item x="4"/>
        <item x="5"/>
        <item x="6"/>
        <item x="7"/>
      </items>
      <extLst>
        <ext xmlns:x14="http://schemas.microsoft.com/office/spreadsheetml/2009/9/main" uri="{2946ED86-A175-432a-8AC1-64E0C546D7DE}">
          <x14:pivotField fillDownLabels="1"/>
        </ext>
      </extLst>
    </pivotField>
    <pivotField compact="0" numFmtId="14" outline="0" subtotalTop="0" showAll="0" defaultSubtotal="0">
      <extLst>
        <ext xmlns:x14="http://schemas.microsoft.com/office/spreadsheetml/2009/9/main" uri="{2946ED86-A175-432a-8AC1-64E0C546D7DE}">
          <x14:pivotField fillDownLabels="1"/>
        </ext>
      </extLst>
    </pivotField>
    <pivotField compact="0" numFmtId="169" outline="0" subtotalTop="0" showAll="0" defaultSubtotal="0">
      <extLst>
        <ext xmlns:x14="http://schemas.microsoft.com/office/spreadsheetml/2009/9/main" uri="{2946ED86-A175-432a-8AC1-64E0C546D7DE}">
          <x14:pivotField fillDownLabels="1"/>
        </ext>
      </extLst>
    </pivotField>
    <pivotField compact="0" numFmtId="169" outline="0" subtotalTop="0" showAll="0" defaultSubtotal="0">
      <extLst>
        <ext xmlns:x14="http://schemas.microsoft.com/office/spreadsheetml/2009/9/main" uri="{2946ED86-A175-432a-8AC1-64E0C546D7DE}">
          <x14:pivotField fillDownLabels="1"/>
        </ext>
      </extLst>
    </pivotField>
    <pivotField compact="0" outline="0" subtotalTop="0" showAll="0" defaultSubtotal="0">
      <extLst>
        <ext xmlns:x14="http://schemas.microsoft.com/office/spreadsheetml/2009/9/main" uri="{2946ED86-A175-432a-8AC1-64E0C546D7DE}">
          <x14:pivotField fillDownLabels="1"/>
        </ext>
      </extLst>
    </pivotField>
    <pivotField axis="axisRow" compact="0" outline="0" showAll="0" sortType="ascending" defaultSubtotal="0">
      <items count="57">
        <item m="1" x="44"/>
        <item m="1" x="19"/>
        <item m="1" x="42"/>
        <item m="1" x="40"/>
        <item m="1" x="16"/>
        <item m="1" x="39"/>
        <item m="1" x="13"/>
        <item m="1" x="27"/>
        <item x="0"/>
        <item x="1"/>
        <item x="2"/>
        <item x="3"/>
        <item x="4"/>
        <item m="1" x="7"/>
        <item x="5"/>
        <item m="1" x="22"/>
        <item m="1" x="31"/>
        <item m="1" x="47"/>
        <item m="1" x="26"/>
        <item m="1" x="12"/>
        <item m="1" x="56"/>
        <item m="1" x="30"/>
        <item m="1" x="15"/>
        <item m="1" x="35"/>
        <item m="1" x="17"/>
        <item m="1" x="14"/>
        <item m="1" x="52"/>
        <item m="1" x="38"/>
        <item x="6"/>
        <item m="1" x="45"/>
        <item m="1" x="21"/>
        <item m="1" x="25"/>
        <item m="1" x="51"/>
        <item m="1" x="54"/>
        <item m="1" x="33"/>
        <item m="1" x="29"/>
        <item m="1" x="24"/>
        <item m="1" x="48"/>
        <item m="1" x="55"/>
        <item m="1" x="41"/>
        <item m="1" x="28"/>
        <item m="1" x="9"/>
        <item m="1" x="10"/>
        <item m="1" x="11"/>
        <item m="1" x="8"/>
        <item m="1" x="20"/>
        <item m="1" x="34"/>
        <item m="1" x="43"/>
        <item m="1" x="36"/>
        <item m="1" x="23"/>
        <item m="1" x="50"/>
        <item m="1" x="18"/>
        <item m="1" x="32"/>
        <item m="1" x="37"/>
        <item m="1" x="46"/>
        <item m="1" x="49"/>
        <item m="1" x="53"/>
      </items>
      <extLst>
        <ext xmlns:x14="http://schemas.microsoft.com/office/spreadsheetml/2009/9/main" uri="{2946ED86-A175-432a-8AC1-64E0C546D7DE}">
          <x14:pivotField fillDownLabels="1"/>
        </ext>
      </extLst>
    </pivotField>
    <pivotField axis="axisRow" compact="0" outline="0" showAll="0" defaultSubtotal="0">
      <items count="46">
        <item m="1" x="35"/>
        <item m="1" x="32"/>
        <item m="1" x="26"/>
        <item m="1" x="19"/>
        <item x="5"/>
        <item m="1" x="45"/>
        <item m="1" x="24"/>
        <item m="1" x="18"/>
        <item m="1" x="44"/>
        <item m="1" x="41"/>
        <item m="1" x="31"/>
        <item m="1" x="23"/>
        <item m="1" x="33"/>
        <item m="1" x="39"/>
        <item m="1" x="21"/>
        <item m="1" x="29"/>
        <item m="1" x="38"/>
        <item m="1" x="36"/>
        <item x="1"/>
        <item m="1" x="42"/>
        <item m="1" x="30"/>
        <item m="1" x="9"/>
        <item m="1" x="43"/>
        <item m="1" x="34"/>
        <item m="1" x="25"/>
        <item m="1" x="27"/>
        <item m="1" x="28"/>
        <item m="1" x="37"/>
        <item m="1" x="40"/>
        <item m="1" x="22"/>
        <item m="1" x="17"/>
        <item m="1" x="20"/>
        <item m="1" x="14"/>
        <item m="1" x="15"/>
        <item m="1" x="16"/>
        <item m="1" x="8"/>
        <item m="1" x="12"/>
        <item m="1" x="6"/>
        <item m="1" x="13"/>
        <item m="1" x="11"/>
        <item m="1" x="10"/>
        <item x="4"/>
        <item m="1" x="7"/>
        <item x="2"/>
        <item x="3"/>
        <item x="0"/>
      </items>
      <extLst>
        <ext xmlns:x14="http://schemas.microsoft.com/office/spreadsheetml/2009/9/main" uri="{2946ED86-A175-432a-8AC1-64E0C546D7DE}">
          <x14:pivotField fillDownLabels="1"/>
        </ext>
      </extLst>
    </pivotField>
    <pivotField dataField="1" compact="0" numFmtId="44" outline="0" showAll="0" defaultSubtotal="0">
      <extLst>
        <ext xmlns:x14="http://schemas.microsoft.com/office/spreadsheetml/2009/9/main" uri="{2946ED86-A175-432a-8AC1-64E0C546D7DE}">
          <x14:pivotField fillDownLabels="1"/>
        </ext>
      </extLst>
    </pivotField>
    <pivotField dataField="1" compact="0" outline="0" subtotalTop="0" showAll="0" defaultSubtotal="0">
      <items count="154">
        <item m="1" x="104"/>
        <item x="7"/>
        <item m="1" x="102"/>
        <item m="1" x="118"/>
        <item m="1" x="143"/>
        <item m="1" x="97"/>
        <item m="1" x="150"/>
        <item m="1" x="75"/>
        <item x="5"/>
        <item m="1" x="29"/>
        <item m="1" x="40"/>
        <item m="1" x="78"/>
        <item m="1" x="99"/>
        <item m="1" x="42"/>
        <item m="1" x="139"/>
        <item m="1" x="41"/>
        <item m="1" x="133"/>
        <item m="1" x="94"/>
        <item m="1" x="100"/>
        <item m="1" x="128"/>
        <item m="1" x="127"/>
        <item m="1" x="115"/>
        <item x="4"/>
        <item m="1" x="79"/>
        <item m="1" x="95"/>
        <item m="1" x="39"/>
        <item m="1" x="69"/>
        <item m="1" x="106"/>
        <item m="1" x="93"/>
        <item m="1" x="66"/>
        <item m="1" x="62"/>
        <item m="1" x="74"/>
        <item m="1" x="138"/>
        <item m="1" x="136"/>
        <item m="1" x="112"/>
        <item m="1" x="140"/>
        <item m="1" x="36"/>
        <item m="1" x="131"/>
        <item m="1" x="117"/>
        <item m="1" x="25"/>
        <item m="1" x="103"/>
        <item m="1" x="149"/>
        <item m="1" x="113"/>
        <item x="23"/>
        <item m="1" x="119"/>
        <item m="1" x="26"/>
        <item m="1" x="132"/>
        <item m="1" x="98"/>
        <item m="1" x="110"/>
        <item m="1" x="114"/>
        <item m="1" x="123"/>
        <item m="1" x="129"/>
        <item m="1" x="82"/>
        <item m="1" x="130"/>
        <item m="1" x="116"/>
        <item m="1" x="109"/>
        <item m="1" x="83"/>
        <item m="1" x="135"/>
        <item m="1" x="141"/>
        <item m="1" x="101"/>
        <item m="1" x="91"/>
        <item x="6"/>
        <item m="1" x="85"/>
        <item m="1" x="153"/>
        <item m="1" x="145"/>
        <item m="1" x="134"/>
        <item m="1" x="96"/>
        <item m="1" x="108"/>
        <item m="1" x="111"/>
        <item m="1" x="92"/>
        <item m="1" x="147"/>
        <item m="1" x="148"/>
        <item m="1" x="68"/>
        <item m="1" x="146"/>
        <item m="1" x="63"/>
        <item x="8"/>
        <item m="1" x="124"/>
        <item m="1" x="151"/>
        <item m="1" x="121"/>
        <item m="1" x="152"/>
        <item m="1" x="137"/>
        <item m="1" x="120"/>
        <item m="1" x="142"/>
        <item m="1" x="126"/>
        <item m="1" x="89"/>
        <item x="24"/>
        <item m="1" x="144"/>
        <item m="1" x="122"/>
        <item m="1" x="107"/>
        <item m="1" x="105"/>
        <item m="1" x="125"/>
        <item m="1" x="73"/>
        <item m="1" x="76"/>
        <item m="1" x="77"/>
        <item m="1" x="80"/>
        <item m="1" x="81"/>
        <item m="1" x="84"/>
        <item m="1" x="86"/>
        <item m="1" x="87"/>
        <item m="1" x="88"/>
        <item m="1" x="90"/>
        <item m="1" x="61"/>
        <item m="1" x="34"/>
        <item m="1" x="64"/>
        <item m="1" x="65"/>
        <item m="1" x="35"/>
        <item m="1" x="67"/>
        <item m="1" x="37"/>
        <item m="1" x="70"/>
        <item m="1" x="71"/>
        <item m="1" x="72"/>
        <item m="1" x="38"/>
        <item m="1" x="52"/>
        <item m="1" x="53"/>
        <item m="1" x="54"/>
        <item m="1" x="55"/>
        <item m="1" x="56"/>
        <item m="1" x="27"/>
        <item m="1" x="57"/>
        <item m="1" x="58"/>
        <item m="1" x="59"/>
        <item m="1" x="51"/>
        <item m="1" x="43"/>
        <item m="1" x="60"/>
        <item m="1" x="49"/>
        <item m="1" x="50"/>
        <item m="1" x="44"/>
        <item m="1" x="45"/>
        <item m="1" x="46"/>
        <item m="1" x="47"/>
        <item m="1" x="48"/>
        <item x="19"/>
        <item x="20"/>
        <item x="21"/>
        <item m="1" x="30"/>
        <item x="10"/>
        <item m="1" x="31"/>
        <item x="9"/>
        <item m="1" x="32"/>
        <item x="11"/>
        <item x="12"/>
        <item m="1" x="33"/>
        <item m="1" x="28"/>
        <item x="13"/>
        <item x="14"/>
        <item x="15"/>
        <item x="16"/>
        <item x="17"/>
        <item x="18"/>
        <item x="22"/>
        <item x="0"/>
        <item x="1"/>
        <item x="2"/>
        <item x="3"/>
      </items>
      <extLst>
        <ext xmlns:x14="http://schemas.microsoft.com/office/spreadsheetml/2009/9/main" uri="{2946ED86-A175-432a-8AC1-64E0C546D7DE}">
          <x14:pivotField fillDownLabels="1"/>
        </ext>
      </extLst>
    </pivotField>
    <pivotField dataField="1" compact="0" numFmtId="44" outline="0" subtotalTop="0" showAll="0" defaultSubtotal="0">
      <extLst>
        <ext xmlns:x14="http://schemas.microsoft.com/office/spreadsheetml/2009/9/main" uri="{2946ED86-A175-432a-8AC1-64E0C546D7DE}">
          <x14:pivotField fillDownLabels="1"/>
        </ext>
      </extLst>
    </pivotField>
  </pivotFields>
  <rowFields count="2">
    <field x="6"/>
    <field x="7"/>
  </rowFields>
  <rowItems count="8">
    <i>
      <x v="8"/>
      <x v="45"/>
    </i>
    <i>
      <x v="9"/>
      <x v="18"/>
    </i>
    <i>
      <x v="10"/>
      <x v="18"/>
    </i>
    <i>
      <x v="11"/>
      <x v="43"/>
    </i>
    <i>
      <x v="12"/>
      <x v="44"/>
    </i>
    <i>
      <x v="14"/>
      <x v="41"/>
    </i>
    <i>
      <x v="28"/>
      <x v="4"/>
    </i>
    <i t="grand">
      <x/>
    </i>
  </rowItems>
  <colFields count="2">
    <field x="1"/>
    <field x="-2"/>
  </colFields>
  <colItems count="27">
    <i>
      <x v="4"/>
      <x/>
    </i>
    <i r="1" i="1">
      <x v="1"/>
    </i>
    <i r="1" i="2">
      <x v="2"/>
    </i>
    <i>
      <x v="6"/>
      <x/>
    </i>
    <i r="1" i="1">
      <x v="1"/>
    </i>
    <i r="1" i="2">
      <x v="2"/>
    </i>
    <i>
      <x v="8"/>
      <x/>
    </i>
    <i r="1" i="1">
      <x v="1"/>
    </i>
    <i r="1" i="2">
      <x v="2"/>
    </i>
    <i>
      <x v="47"/>
      <x/>
    </i>
    <i r="1" i="1">
      <x v="1"/>
    </i>
    <i r="1" i="2">
      <x v="2"/>
    </i>
    <i>
      <x v="48"/>
      <x/>
    </i>
    <i r="1" i="1">
      <x v="1"/>
    </i>
    <i r="1" i="2">
      <x v="2"/>
    </i>
    <i>
      <x v="49"/>
      <x/>
    </i>
    <i r="1" i="1">
      <x v="1"/>
    </i>
    <i r="1" i="2">
      <x v="2"/>
    </i>
    <i>
      <x v="50"/>
      <x/>
    </i>
    <i r="1" i="1">
      <x v="1"/>
    </i>
    <i r="1" i="2">
      <x v="2"/>
    </i>
    <i>
      <x v="51"/>
      <x/>
    </i>
    <i r="1" i="1">
      <x v="1"/>
    </i>
    <i r="1" i="2">
      <x v="2"/>
    </i>
    <i t="grand">
      <x/>
    </i>
    <i t="grand" i="1">
      <x/>
    </i>
    <i t="grand" i="2">
      <x/>
    </i>
  </colItems>
  <dataFields count="3">
    <dataField name="Qtde. itens p/ ano" fld="9" baseField="8" baseItem="4"/>
    <dataField name="Valor p/ ano" fld="8" baseField="5" baseItem="0" numFmtId="44"/>
    <dataField name="Valor unitário mensal" fld="10" baseField="5" baseItem="0" numFmtId="44"/>
  </dataFields>
  <formats count="11">
    <format dxfId="582">
      <pivotArea outline="0" collapsedLevelsAreSubtotals="1" fieldPosition="0"/>
    </format>
    <format dxfId="581">
      <pivotArea field="9" type="button" dataOnly="0" labelOnly="1" outline="0"/>
    </format>
    <format dxfId="580">
      <pivotArea field="9" type="button" dataOnly="0" labelOnly="1" outline="0"/>
    </format>
    <format dxfId="579">
      <pivotArea field="9" type="button" dataOnly="0" labelOnly="1" outline="0"/>
    </format>
    <format dxfId="578">
      <pivotArea field="1" type="button" dataOnly="0" labelOnly="1" outline="0" axis="axisCol" fieldPosition="1"/>
    </format>
    <format dxfId="577">
      <pivotArea field="-2" type="button" dataOnly="0" labelOnly="1" outline="0" axis="axisCol" fieldPosition="2"/>
    </format>
    <format dxfId="576">
      <pivotArea field="7" type="button" dataOnly="0" labelOnly="1" outline="0" axis="axisRow" fieldPosition="1"/>
    </format>
    <format dxfId="575">
      <pivotArea field="6" type="button" dataOnly="0" labelOnly="1" outline="0" axis="axisRow" fieldPosition="0"/>
    </format>
    <format dxfId="574">
      <pivotArea field="7" type="button" dataOnly="0" labelOnly="1" outline="0" axis="axisRow" fieldPosition="1"/>
    </format>
    <format dxfId="573">
      <pivotArea field="6" type="button" dataOnly="0" labelOnly="1" outline="0" axis="axisRow" fieldPosition="0"/>
    </format>
    <format dxfId="572">
      <pivotArea field="6" type="button" dataOnly="0" labelOnly="1" outline="0" axis="axisRow" fieldPosition="0"/>
    </format>
  </formats>
  <pivotTableStyleInfo name="PivotStyleLight9" showRowHeaders="1" showColHeaders="1" showRowStripes="0" showColStripes="0" showLastColumn="1"/>
  <extLst>
    <ext xmlns:x14="http://schemas.microsoft.com/office/spreadsheetml/2009/9/main" uri="{962EF5D1-5CA2-4c93-8EF4-DBF5C05439D2}">
      <x14:pivotTableDefinition xmlns:xm="http://schemas.microsoft.com/office/excel/2006/main" fillDownLabelsDefault="1" hideValuesRow="1"/>
    </ext>
    <ext xmlns:xpdl="http://schemas.microsoft.com/office/spreadsheetml/2016/pivotdefaultlayout" uri="{747A6164-185A-40DC-8AA5-F01512510D54}">
      <xpdl:pivotTableDefinition16 EnabledSubtotalsDefault="0" SubtotalsOnTopDefault="0"/>
    </ext>
  </extLst>
</pivotTableDefinition>
</file>

<file path=xl/pivotTables/pivotTable2.xml><?xml version="1.0" encoding="utf-8"?>
<pivotTableDefinition xmlns="http://schemas.openxmlformats.org/spreadsheetml/2006/main" xmlns:mc="http://schemas.openxmlformats.org/markup-compatibility/2006" xmlns:xr="http://schemas.microsoft.com/office/spreadsheetml/2014/revision" mc:Ignorable="xr" xr:uid="{303BA61E-380D-4B6B-AA51-2F27596E3833}" name="Tabela dinâmica1" cacheId="5" applyNumberFormats="0" applyBorderFormats="0" applyFontFormats="0" applyPatternFormats="0" applyAlignmentFormats="0" applyWidthHeightFormats="1" dataCaption="Valores" updatedVersion="8" minRefreshableVersion="3" useAutoFormatting="1" itemPrintTitles="1" createdVersion="8" indent="0" outline="1" outlineData="1" multipleFieldFilters="0" chartFormat="6" rowHeaderCaption="CARGOS">
  <location ref="G3:O14" firstHeaderRow="0" firstDataRow="1" firstDataCol="1" rowPageCount="1" colPageCount="1"/>
  <pivotFields count="83">
    <pivotField showAll="0"/>
    <pivotField axis="axisPage" showAll="0">
      <items count="300">
        <item x="0"/>
        <item x="1"/>
        <item m="1" x="242"/>
        <item x="2"/>
        <item x="3"/>
        <item x="4"/>
        <item x="5"/>
        <item x="6"/>
        <item x="7"/>
        <item x="8"/>
        <item m="1" x="236"/>
        <item x="9"/>
        <item x="10"/>
        <item x="11"/>
        <item x="12"/>
        <item x="13"/>
        <item x="14"/>
        <item x="15"/>
        <item x="16"/>
        <item x="17"/>
        <item x="18"/>
        <item m="1" x="285"/>
        <item x="19"/>
        <item x="20"/>
        <item m="1" x="249"/>
        <item x="21"/>
        <item m="1" x="289"/>
        <item x="22"/>
        <item x="23"/>
        <item x="24"/>
        <item x="25"/>
        <item x="26"/>
        <item x="27"/>
        <item x="28"/>
        <item x="29"/>
        <item m="1" x="281"/>
        <item m="1" x="238"/>
        <item x="30"/>
        <item x="31"/>
        <item x="32"/>
        <item x="33"/>
        <item m="1" x="251"/>
        <item x="34"/>
        <item m="1" x="271"/>
        <item x="35"/>
        <item x="36"/>
        <item x="37"/>
        <item x="38"/>
        <item x="39"/>
        <item m="1" x="264"/>
        <item x="40"/>
        <item m="1" x="297"/>
        <item m="1" x="296"/>
        <item x="41"/>
        <item x="42"/>
        <item x="43"/>
        <item x="44"/>
        <item x="45"/>
        <item x="46"/>
        <item m="1" x="226"/>
        <item x="47"/>
        <item x="48"/>
        <item x="49"/>
        <item x="50"/>
        <item m="1" x="250"/>
        <item m="1" x="235"/>
        <item m="1" x="252"/>
        <item x="51"/>
        <item x="52"/>
        <item x="53"/>
        <item x="54"/>
        <item x="55"/>
        <item x="56"/>
        <item x="57"/>
        <item x="58"/>
        <item x="59"/>
        <item m="1" x="227"/>
        <item x="60"/>
        <item x="61"/>
        <item x="62"/>
        <item x="63"/>
        <item x="64"/>
        <item x="65"/>
        <item x="66"/>
        <item x="67"/>
        <item x="68"/>
        <item m="1" x="248"/>
        <item x="69"/>
        <item x="70"/>
        <item x="71"/>
        <item x="72"/>
        <item x="73"/>
        <item x="74"/>
        <item x="75"/>
        <item m="1" x="293"/>
        <item x="76"/>
        <item x="77"/>
        <item m="1" x="224"/>
        <item x="78"/>
        <item m="1" x="291"/>
        <item m="1" x="287"/>
        <item x="79"/>
        <item m="1" x="240"/>
        <item x="80"/>
        <item x="81"/>
        <item x="82"/>
        <item m="1" x="279"/>
        <item x="83"/>
        <item x="84"/>
        <item x="85"/>
        <item m="1" x="268"/>
        <item x="86"/>
        <item x="87"/>
        <item x="88"/>
        <item x="89"/>
        <item x="90"/>
        <item x="91"/>
        <item x="92"/>
        <item m="1" x="237"/>
        <item x="93"/>
        <item x="94"/>
        <item x="95"/>
        <item x="96"/>
        <item x="97"/>
        <item x="98"/>
        <item x="99"/>
        <item x="100"/>
        <item x="101"/>
        <item m="1" x="262"/>
        <item x="102"/>
        <item m="1" x="255"/>
        <item m="1" x="222"/>
        <item x="103"/>
        <item x="104"/>
        <item x="105"/>
        <item x="106"/>
        <item m="1" x="277"/>
        <item x="107"/>
        <item x="108"/>
        <item x="109"/>
        <item m="1" x="257"/>
        <item m="1" x="233"/>
        <item m="1" x="274"/>
        <item x="110"/>
        <item x="111"/>
        <item m="1" x="283"/>
        <item x="112"/>
        <item x="113"/>
        <item x="114"/>
        <item m="1" x="228"/>
        <item x="115"/>
        <item x="116"/>
        <item x="117"/>
        <item m="1" x="273"/>
        <item x="118"/>
        <item x="119"/>
        <item m="1" x="284"/>
        <item m="1" x="247"/>
        <item x="120"/>
        <item x="121"/>
        <item x="122"/>
        <item x="123"/>
        <item x="124"/>
        <item x="125"/>
        <item x="126"/>
        <item m="1" x="246"/>
        <item x="127"/>
        <item x="128"/>
        <item x="129"/>
        <item x="130"/>
        <item x="131"/>
        <item m="1" x="267"/>
        <item m="1" x="232"/>
        <item m="1" x="239"/>
        <item x="132"/>
        <item x="133"/>
        <item x="134"/>
        <item m="1" x="253"/>
        <item m="1" x="282"/>
        <item x="135"/>
        <item x="136"/>
        <item x="137"/>
        <item m="1" x="241"/>
        <item m="1" x="263"/>
        <item x="138"/>
        <item m="1" x="269"/>
        <item x="139"/>
        <item x="140"/>
        <item x="141"/>
        <item x="142"/>
        <item x="143"/>
        <item m="1" x="278"/>
        <item m="1" x="286"/>
        <item x="144"/>
        <item x="145"/>
        <item m="1" x="244"/>
        <item x="146"/>
        <item x="147"/>
        <item x="148"/>
        <item m="1" x="259"/>
        <item x="149"/>
        <item x="150"/>
        <item x="151"/>
        <item x="152"/>
        <item x="153"/>
        <item x="154"/>
        <item m="1" x="292"/>
        <item x="155"/>
        <item m="1" x="266"/>
        <item m="1" x="295"/>
        <item x="156"/>
        <item x="157"/>
        <item m="1" x="261"/>
        <item x="158"/>
        <item x="159"/>
        <item m="1" x="290"/>
        <item x="160"/>
        <item x="161"/>
        <item m="1" x="231"/>
        <item x="162"/>
        <item m="1" x="234"/>
        <item x="163"/>
        <item x="164"/>
        <item x="165"/>
        <item x="166"/>
        <item x="167"/>
        <item x="168"/>
        <item x="169"/>
        <item x="170"/>
        <item x="171"/>
        <item x="172"/>
        <item m="1" x="220"/>
        <item m="1" x="276"/>
        <item x="173"/>
        <item x="174"/>
        <item m="1" x="256"/>
        <item x="175"/>
        <item x="176"/>
        <item x="177"/>
        <item m="1" x="288"/>
        <item x="178"/>
        <item m="1" x="225"/>
        <item m="1" x="254"/>
        <item x="179"/>
        <item m="1" x="229"/>
        <item x="180"/>
        <item x="181"/>
        <item x="182"/>
        <item x="183"/>
        <item x="184"/>
        <item x="185"/>
        <item x="186"/>
        <item x="187"/>
        <item x="188"/>
        <item x="189"/>
        <item x="190"/>
        <item x="191"/>
        <item m="1" x="223"/>
        <item m="1" x="243"/>
        <item x="192"/>
        <item x="193"/>
        <item x="194"/>
        <item x="195"/>
        <item x="196"/>
        <item m="1" x="280"/>
        <item m="1" x="230"/>
        <item x="197"/>
        <item x="198"/>
        <item x="199"/>
        <item m="1" x="265"/>
        <item x="200"/>
        <item m="1" x="294"/>
        <item x="201"/>
        <item x="202"/>
        <item m="1" x="298"/>
        <item x="203"/>
        <item m="1" x="270"/>
        <item m="1" x="245"/>
        <item x="204"/>
        <item x="205"/>
        <item m="1" x="260"/>
        <item x="206"/>
        <item x="207"/>
        <item m="1" x="275"/>
        <item x="208"/>
        <item x="209"/>
        <item x="210"/>
        <item x="211"/>
        <item x="212"/>
        <item x="213"/>
        <item x="214"/>
        <item x="215"/>
        <item x="216"/>
        <item m="1" x="258"/>
        <item x="217"/>
        <item x="218"/>
        <item m="1" x="272"/>
        <item x="219"/>
        <item m="1" x="221"/>
        <item t="default"/>
      </items>
    </pivotField>
    <pivotField axis="axisRow" showAll="0" sortType="ascending">
      <items count="59">
        <item m="1" x="45"/>
        <item m="1" x="20"/>
        <item m="1" x="43"/>
        <item m="1" x="41"/>
        <item m="1" x="17"/>
        <item m="1" x="40"/>
        <item m="1" x="14"/>
        <item m="1" x="28"/>
        <item x="0"/>
        <item x="4"/>
        <item x="5"/>
        <item x="3"/>
        <item x="1"/>
        <item m="1" x="8"/>
        <item x="2"/>
        <item m="1" x="23"/>
        <item m="1" x="32"/>
        <item m="1" x="48"/>
        <item m="1" x="27"/>
        <item m="1" x="13"/>
        <item m="1" x="57"/>
        <item m="1" x="31"/>
        <item m="1" x="16"/>
        <item m="1" x="36"/>
        <item m="1" x="18"/>
        <item m="1" x="15"/>
        <item m="1" x="53"/>
        <item m="1" x="39"/>
        <item x="6"/>
        <item m="1" x="46"/>
        <item m="1" x="22"/>
        <item m="1" x="26"/>
        <item m="1" x="52"/>
        <item m="1" x="55"/>
        <item m="1" x="34"/>
        <item m="1" x="30"/>
        <item m="1" x="25"/>
        <item m="1" x="49"/>
        <item m="1" x="56"/>
        <item m="1" x="42"/>
        <item m="1" x="29"/>
        <item m="1" x="9"/>
        <item m="1" x="12"/>
        <item m="1" x="10"/>
        <item m="1" x="11"/>
        <item m="1" x="21"/>
        <item m="1" x="35"/>
        <item m="1" x="44"/>
        <item m="1" x="37"/>
        <item m="1" x="24"/>
        <item m="1" x="51"/>
        <item m="1" x="19"/>
        <item m="1" x="33"/>
        <item m="1" x="38"/>
        <item m="1" x="47"/>
        <item m="1" x="50"/>
        <item m="1" x="54"/>
        <item m="1" x="7"/>
        <item t="default"/>
      </items>
    </pivotField>
    <pivotField showAll="0"/>
    <pivotField showAll="0"/>
    <pivotField axis="axisRow" showAll="0">
      <items count="4">
        <item x="0"/>
        <item x="1"/>
        <item m="1" x="2"/>
        <item t="default"/>
      </items>
    </pivotField>
    <pivotField dataField="1" showAll="0"/>
    <pivotField showAll="0"/>
    <pivotField numFmtId="44" showAll="0"/>
    <pivotField numFmtId="44" showAll="0"/>
    <pivotField numFmtId="44" showAll="0"/>
    <pivotField numFmtId="44" showAll="0"/>
    <pivotField numFmtId="44" showAll="0"/>
    <pivotField numFmtId="44" showAll="0"/>
    <pivotField numFmtId="44" showAll="0"/>
    <pivotField numFmtId="44" showAll="0"/>
    <pivotField dataField="1" numFmtId="44" showAll="0"/>
    <pivotField numFmtId="44" showAll="0"/>
    <pivotField numFmtId="44" showAll="0"/>
    <pivotField numFmtId="44" showAll="0"/>
    <pivotField numFmtId="44" showAll="0"/>
    <pivotField numFmtId="44" showAll="0"/>
    <pivotField numFmtId="44" showAll="0"/>
    <pivotField numFmtId="44" showAll="0"/>
    <pivotField numFmtId="44" showAll="0"/>
    <pivotField numFmtId="44" showAll="0"/>
    <pivotField numFmtId="44" showAll="0"/>
    <pivotField numFmtId="44" showAll="0"/>
    <pivotField numFmtId="44" showAll="0"/>
    <pivotField numFmtId="44" showAll="0"/>
    <pivotField numFmtId="44" showAll="0"/>
    <pivotField numFmtId="44" showAll="0"/>
    <pivotField numFmtId="44" showAll="0"/>
    <pivotField numFmtId="44" showAll="0"/>
    <pivotField numFmtId="44" showAll="0"/>
    <pivotField numFmtId="44" showAll="0"/>
    <pivotField numFmtId="44" showAll="0"/>
    <pivotField numFmtId="44" showAll="0"/>
    <pivotField numFmtId="44" showAll="0"/>
    <pivotField dataField="1" numFmtId="44" showAll="0"/>
    <pivotField numFmtId="44" showAll="0"/>
    <pivotField numFmtId="44" showAll="0"/>
    <pivotField numFmtId="44" showAll="0"/>
    <pivotField numFmtId="44" showAll="0"/>
    <pivotField numFmtId="44" showAll="0"/>
    <pivotField numFmtId="44" showAll="0"/>
    <pivotField numFmtId="44" showAll="0"/>
    <pivotField dataField="1" numFmtId="44" showAll="0"/>
    <pivotField numFmtId="44" showAll="0"/>
    <pivotField numFmtId="44" showAll="0"/>
    <pivotField numFmtId="44" showAll="0"/>
    <pivotField numFmtId="44" showAll="0"/>
    <pivotField numFmtId="44" showAll="0"/>
    <pivotField numFmtId="44" showAll="0"/>
    <pivotField numFmtId="44" showAll="0"/>
    <pivotField numFmtId="44" showAll="0"/>
    <pivotField numFmtId="44" showAll="0"/>
    <pivotField numFmtId="44" showAll="0"/>
    <pivotField numFmtId="44" showAll="0"/>
    <pivotField dataField="1" numFmtId="44" showAll="0"/>
    <pivotField numFmtId="44" showAll="0"/>
    <pivotField numFmtId="44" showAll="0"/>
    <pivotField numFmtId="44" showAll="0"/>
    <pivotField numFmtId="44" showAll="0"/>
    <pivotField numFmtId="44" showAll="0"/>
    <pivotField dataField="1" numFmtId="44" showAll="0"/>
    <pivotField numFmtId="44" showAll="0"/>
    <pivotField numFmtId="44" showAll="0"/>
    <pivotField numFmtId="44" showAll="0"/>
    <pivotField numFmtId="10" showAll="0"/>
    <pivotField numFmtId="10" showAll="0"/>
    <pivotField numFmtId="167" showAll="0"/>
    <pivotField numFmtId="10" showAll="0"/>
    <pivotField numFmtId="10" showAll="0"/>
    <pivotField numFmtId="10" showAll="0"/>
    <pivotField numFmtId="44" showAll="0"/>
    <pivotField dataField="1" numFmtId="44" showAll="0"/>
    <pivotField numFmtId="44" showAll="0"/>
    <pivotField numFmtId="44" showAll="0"/>
    <pivotField numFmtId="165" showAll="0"/>
    <pivotField showAll="0"/>
    <pivotField showAll="0"/>
    <pivotField dataField="1" dragToRow="0" dragToCol="0" dragToPage="0" showAll="0" defaultSubtotal="0"/>
  </pivotFields>
  <rowFields count="2">
    <field x="5"/>
    <field x="2"/>
  </rowFields>
  <rowItems count="11">
    <i>
      <x/>
    </i>
    <i r="1">
      <x v="8"/>
    </i>
    <i r="1">
      <x v="9"/>
    </i>
    <i r="1">
      <x v="10"/>
    </i>
    <i r="1">
      <x v="11"/>
    </i>
    <i r="1">
      <x v="12"/>
    </i>
    <i r="1">
      <x v="14"/>
    </i>
    <i r="1">
      <x v="28"/>
    </i>
    <i>
      <x v="1"/>
    </i>
    <i r="1">
      <x v="12"/>
    </i>
    <i t="grand">
      <x/>
    </i>
  </rowItems>
  <colFields count="1">
    <field x="-2"/>
  </colFields>
  <colItems count="8">
    <i>
      <x/>
    </i>
    <i i="1">
      <x v="1"/>
    </i>
    <i i="2">
      <x v="2"/>
    </i>
    <i i="3">
      <x v="3"/>
    </i>
    <i i="4">
      <x v="4"/>
    </i>
    <i i="5">
      <x v="5"/>
    </i>
    <i i="6">
      <x v="6"/>
    </i>
    <i i="7">
      <x v="7"/>
    </i>
  </colItems>
  <pageFields count="1">
    <pageField fld="1" hier="-1"/>
  </pageFields>
  <dataFields count="8">
    <dataField name="TOTAL DE VAGAS CONTRATADAS" fld="6" baseField="5" baseItem="0"/>
    <dataField name="MÓDULO 1_x000a_REMUNERAÇÃO" fld="16" baseField="5" baseItem="0" numFmtId="44"/>
    <dataField name="MODULO 2_x000a_ENVARGOS E BENEFÍCIOS MENSAIS E DIÁRIOS" fld="39" baseField="5" baseItem="0" numFmtId="44"/>
    <dataField name="MODULO 3_x000a_PROVISÃO PARA RESCISÃO" fld="47" baseField="5" baseItem="0" numFmtId="44"/>
    <dataField name="MODULO 4_x000a_CUSTO DE REPOSIÇÃO DO PROFISSIONAL AUSENTE" fld="59" baseField="5" baseItem="0" numFmtId="44"/>
    <dataField name="MODULO 5_x000a_INSUMOS DIVERSOS" fld="65" baseField="5" baseItem="0" numFmtId="44"/>
    <dataField name="MODULO 6_x000a_CUSTOS INDIRETOS, TRIBUTOS E LUCRO" fld="76" baseField="5" baseItem="0" numFmtId="44"/>
    <dataField name="CUSTO MENSAL" fld="82" baseField="5" baseItem="0" numFmtId="44"/>
  </dataFields>
  <formats count="15">
    <format dxfId="468">
      <pivotArea field="5" type="button" dataOnly="0" labelOnly="1" outline="0" axis="axisRow" fieldPosition="0"/>
    </format>
    <format dxfId="467">
      <pivotArea dataOnly="0" labelOnly="1" outline="0" fieldPosition="0">
        <references count="1">
          <reference field="4294967294" count="6">
            <x v="1"/>
            <x v="2"/>
            <x v="3"/>
            <x v="4"/>
            <x v="5"/>
            <x v="6"/>
          </reference>
        </references>
      </pivotArea>
    </format>
    <format dxfId="466">
      <pivotArea field="5" type="button" dataOnly="0" labelOnly="1" outline="0" axis="axisRow" fieldPosition="0"/>
    </format>
    <format dxfId="465">
      <pivotArea dataOnly="0" labelOnly="1" outline="0" fieldPosition="0">
        <references count="1">
          <reference field="4294967294" count="6">
            <x v="1"/>
            <x v="2"/>
            <x v="3"/>
            <x v="4"/>
            <x v="5"/>
            <x v="6"/>
          </reference>
        </references>
      </pivotArea>
    </format>
    <format dxfId="464">
      <pivotArea field="5" type="button" dataOnly="0" labelOnly="1" outline="0" axis="axisRow" fieldPosition="0"/>
    </format>
    <format dxfId="463">
      <pivotArea dataOnly="0" labelOnly="1" outline="0" fieldPosition="0">
        <references count="1">
          <reference field="4294967294" count="6">
            <x v="1"/>
            <x v="2"/>
            <x v="3"/>
            <x v="4"/>
            <x v="5"/>
            <x v="6"/>
          </reference>
        </references>
      </pivotArea>
    </format>
    <format dxfId="462">
      <pivotArea dataOnly="0" labelOnly="1" outline="0" fieldPosition="0">
        <references count="1">
          <reference field="4294967294" count="1">
            <x v="0"/>
          </reference>
        </references>
      </pivotArea>
    </format>
    <format dxfId="461">
      <pivotArea outline="0" collapsedLevelsAreSubtotals="1" fieldPosition="0">
        <references count="1">
          <reference field="4294967294" count="1" selected="0">
            <x v="0"/>
          </reference>
        </references>
      </pivotArea>
    </format>
    <format dxfId="460">
      <pivotArea dataOnly="0" labelOnly="1" outline="0" fieldPosition="0">
        <references count="1">
          <reference field="4294967294" count="1">
            <x v="0"/>
          </reference>
        </references>
      </pivotArea>
    </format>
    <format dxfId="459">
      <pivotArea dataOnly="0" labelOnly="1" outline="0" fieldPosition="0">
        <references count="1">
          <reference field="1" count="1">
            <x v="25"/>
          </reference>
        </references>
      </pivotArea>
    </format>
    <format dxfId="458">
      <pivotArea dataOnly="0" labelOnly="1" outline="0" fieldPosition="0">
        <references count="1">
          <reference field="4294967294" count="7">
            <x v="0"/>
            <x v="1"/>
            <x v="2"/>
            <x v="3"/>
            <x v="4"/>
            <x v="5"/>
            <x v="6"/>
          </reference>
        </references>
      </pivotArea>
    </format>
    <format dxfId="457">
      <pivotArea field="5" type="button" dataOnly="0" labelOnly="1" outline="0" axis="axisRow" fieldPosition="0"/>
    </format>
    <format dxfId="456">
      <pivotArea dataOnly="0" labelOnly="1" outline="0" fieldPosition="0">
        <references count="1">
          <reference field="4294967294" count="1">
            <x v="7"/>
          </reference>
        </references>
      </pivotArea>
    </format>
    <format dxfId="455">
      <pivotArea dataOnly="0" labelOnly="1" outline="0" fieldPosition="0">
        <references count="1">
          <reference field="4294967294" count="1">
            <x v="7"/>
          </reference>
        </references>
      </pivotArea>
    </format>
    <format dxfId="454">
      <pivotArea field="1" type="button" dataOnly="0" labelOnly="1" outline="0" axis="axisPage" fieldPosition="0"/>
    </format>
  </formats>
  <pivotTableStyleInfo name="PivotStyleLight11" showRowHeaders="1" showColHeaders="1" showRowStripes="0" showColStripes="0" showLastColumn="1"/>
  <extLst>
    <ext xmlns:x14="http://schemas.microsoft.com/office/spreadsheetml/2009/9/main" uri="{962EF5D1-5CA2-4c93-8EF4-DBF5C05439D2}">
      <x14:pivotTableDefinition xmlns:xm="http://schemas.microsoft.com/office/excel/2006/main" hideValuesRow="1"/>
    </ext>
    <ext xmlns:xpdl="http://schemas.microsoft.com/office/spreadsheetml/2016/pivotdefaultlayout" uri="{747A6164-185A-40DC-8AA5-F01512510D54}">
      <xpdl:pivotTableDefinition16/>
    </ext>
  </extLst>
</pivotTableDefinition>
</file>

<file path=xl/queryTables/queryTable1.xml><?xml version="1.0" encoding="utf-8"?>
<queryTable xmlns="http://schemas.openxmlformats.org/spreadsheetml/2006/main" xmlns:mc="http://schemas.openxmlformats.org/markup-compatibility/2006" xmlns:xr16="http://schemas.microsoft.com/office/spreadsheetml/2017/revision16" mc:Ignorable="xr16" name="DadosExternos_1" refreshOnLoad="1" connectionId="3" xr16:uid="{A4BB855A-E37E-411C-BE20-A5D9D7B26025}" autoFormatId="16" applyNumberFormats="0" applyBorderFormats="0" applyFontFormats="0" applyPatternFormats="0" applyAlignmentFormats="0" applyWidthHeightFormats="0">
  <queryTableRefresh nextId="73" unboundColumnsRight="59">
    <queryTableFields count="62">
      <queryTableField id="1" name="Código do Posto" tableColumnId="1"/>
      <queryTableField id="2" name="Comarca" tableColumnId="2"/>
      <queryTableField id="3" name="Função" tableColumnId="3"/>
      <queryTableField id="4" dataBound="0" tableColumnId="4"/>
      <queryTableField id="5" dataBound="0" tableColumnId="5"/>
      <queryTableField id="6" dataBound="0" tableColumnId="6"/>
      <queryTableField id="7" dataBound="0" tableColumnId="7"/>
      <queryTableField id="8" dataBound="0" tableColumnId="8"/>
      <queryTableField id="9" dataBound="0" tableColumnId="9"/>
      <queryTableField id="10" dataBound="0" tableColumnId="10"/>
      <queryTableField id="11" dataBound="0" tableColumnId="11"/>
      <queryTableField id="12" dataBound="0" tableColumnId="12"/>
      <queryTableField id="13" dataBound="0" tableColumnId="13"/>
      <queryTableField id="14" dataBound="0" tableColumnId="14"/>
      <queryTableField id="15" dataBound="0" tableColumnId="15"/>
      <queryTableField id="16" dataBound="0" tableColumnId="16"/>
      <queryTableField id="17" dataBound="0" tableColumnId="17"/>
      <queryTableField id="18" dataBound="0" tableColumnId="18"/>
      <queryTableField id="19" dataBound="0" tableColumnId="19"/>
      <queryTableField id="20" dataBound="0" tableColumnId="20"/>
      <queryTableField id="21" dataBound="0" tableColumnId="21"/>
      <queryTableField id="22" dataBound="0" tableColumnId="22"/>
      <queryTableField id="23" dataBound="0" tableColumnId="23"/>
      <queryTableField id="24" dataBound="0" tableColumnId="24"/>
      <queryTableField id="25" dataBound="0" tableColumnId="25"/>
      <queryTableField id="26" dataBound="0" tableColumnId="26"/>
      <queryTableField id="27" dataBound="0" tableColumnId="27"/>
      <queryTableField id="28" dataBound="0" tableColumnId="28"/>
      <queryTableField id="29" dataBound="0" tableColumnId="29"/>
      <queryTableField id="30" dataBound="0" tableColumnId="30"/>
      <queryTableField id="31" dataBound="0" tableColumnId="31"/>
      <queryTableField id="32" dataBound="0" tableColumnId="32"/>
      <queryTableField id="33" dataBound="0" tableColumnId="33"/>
      <queryTableField id="34" dataBound="0" tableColumnId="34"/>
      <queryTableField id="35" dataBound="0" tableColumnId="35"/>
      <queryTableField id="36" dataBound="0" tableColumnId="36"/>
      <queryTableField id="37" dataBound="0" tableColumnId="37"/>
      <queryTableField id="38" dataBound="0" tableColumnId="38"/>
      <queryTableField id="39" dataBound="0" tableColumnId="39"/>
      <queryTableField id="40" dataBound="0" tableColumnId="40"/>
      <queryTableField id="41" dataBound="0" tableColumnId="41"/>
      <queryTableField id="42" dataBound="0" tableColumnId="42"/>
      <queryTableField id="43" dataBound="0" tableColumnId="43"/>
      <queryTableField id="44" dataBound="0" tableColumnId="44"/>
      <queryTableField id="45" dataBound="0" tableColumnId="45"/>
      <queryTableField id="46" dataBound="0" tableColumnId="46"/>
      <queryTableField id="47" dataBound="0" tableColumnId="47"/>
      <queryTableField id="48" dataBound="0" tableColumnId="48"/>
      <queryTableField id="49" dataBound="0" tableColumnId="49"/>
      <queryTableField id="50" dataBound="0" tableColumnId="50"/>
      <queryTableField id="51" dataBound="0" tableColumnId="51"/>
      <queryTableField id="52" dataBound="0" tableColumnId="52"/>
      <queryTableField id="53" dataBound="0" tableColumnId="53"/>
      <queryTableField id="54" dataBound="0" tableColumnId="54"/>
      <queryTableField id="55" dataBound="0" tableColumnId="55"/>
      <queryTableField id="56" dataBound="0" tableColumnId="56"/>
      <queryTableField id="57" dataBound="0" tableColumnId="57"/>
      <queryTableField id="58" dataBound="0" tableColumnId="58"/>
      <queryTableField id="59" dataBound="0" tableColumnId="59"/>
      <queryTableField id="60" dataBound="0" tableColumnId="60"/>
      <queryTableField id="61" dataBound="0" tableColumnId="61"/>
      <queryTableField id="62" dataBound="0" tableColumnId="62"/>
    </queryTableFields>
    <queryTableDeletedFields count="5">
      <deletedField name="CCT DA CATEGORIA"/>
      <deletedField name="ANO DA CCT"/>
      <deletedField name="Nº DE PEDIDO DA CCT"/>
      <deletedField name="TERMO ADITIVO  ALTERAÇÃO DA CCT"/>
      <deletedField name="Nº REGISTRO MTE/ CCT"/>
    </queryTableDeletedFields>
  </queryTableRefresh>
</queryTable>
</file>

<file path=xl/queryTables/queryTable2.xml><?xml version="1.0" encoding="utf-8"?>
<queryTable xmlns="http://schemas.openxmlformats.org/spreadsheetml/2006/main" xmlns:mc="http://schemas.openxmlformats.org/markup-compatibility/2006" xmlns:xr16="http://schemas.microsoft.com/office/spreadsheetml/2017/revision16" mc:Ignorable="xr16" name="DadosExternos_1" refreshOnLoad="1" connectionId="2" xr16:uid="{FE3A246A-8554-45F8-B7BA-DDE79DF0B70D}" autoFormatId="16" applyNumberFormats="0" applyBorderFormats="0" applyFontFormats="0" applyPatternFormats="0" applyAlignmentFormats="0" applyWidthHeightFormats="0">
  <queryTableRefresh nextId="92" unboundColumnsRight="66">
    <queryTableFields count="80">
      <queryTableField id="1" name="Código do Posto" tableColumnId="1"/>
      <queryTableField id="2" name="Comarca" tableColumnId="2"/>
      <queryTableField id="3" name="Função" tableColumnId="3"/>
      <queryTableField id="4" name="CCT DA CATEGORIA" tableColumnId="4"/>
      <queryTableField id="5" name="Classificação" tableColumnId="5"/>
      <queryTableField id="6" name="Fonte de Recursos" tableColumnId="6"/>
      <queryTableField id="7" name="Salário Base" tableColumnId="7"/>
      <queryTableField id="83" name="Adicional Periculosidade" tableColumnId="8"/>
      <queryTableField id="84" name="Adicional Insalubridade" tableColumnId="9"/>
      <queryTableField id="85" name="Adicional Noturno" tableColumnId="10"/>
      <queryTableField id="86" name="Adicional Motorista II (Gratificação)" tableColumnId="11"/>
      <queryTableField id="87" name="Adicional de Sobreaviso" tableColumnId="12"/>
      <queryTableField id="90" name="Horas Extras TI" tableColumnId="13"/>
      <queryTableField id="89" name="Adicional de Acúmulo de função" tableColumnId="14"/>
      <queryTableField id="15" dataBound="0" tableColumnId="15"/>
      <queryTableField id="16" dataBound="0" tableColumnId="16"/>
      <queryTableField id="17" dataBound="0" tableColumnId="17"/>
      <queryTableField id="18" dataBound="0" tableColumnId="18"/>
      <queryTableField id="19" dataBound="0" tableColumnId="19"/>
      <queryTableField id="20" dataBound="0" tableColumnId="20"/>
      <queryTableField id="21" dataBound="0" tableColumnId="21"/>
      <queryTableField id="22" dataBound="0" tableColumnId="22"/>
      <queryTableField id="23" dataBound="0" tableColumnId="23"/>
      <queryTableField id="24" dataBound="0" tableColumnId="24"/>
      <queryTableField id="25" dataBound="0" tableColumnId="25"/>
      <queryTableField id="26" dataBound="0" tableColumnId="26"/>
      <queryTableField id="27" dataBound="0" tableColumnId="27"/>
      <queryTableField id="28" dataBound="0" tableColumnId="28"/>
      <queryTableField id="30" dataBound="0" tableColumnId="30"/>
      <queryTableField id="38" dataBound="0" tableColumnId="38"/>
      <queryTableField id="31" dataBound="0" tableColumnId="31"/>
      <queryTableField id="32" dataBound="0" tableColumnId="32"/>
      <queryTableField id="33" dataBound="0" tableColumnId="33"/>
      <queryTableField id="34" dataBound="0" tableColumnId="34"/>
      <queryTableField id="35" dataBound="0" tableColumnId="35"/>
      <queryTableField id="36" dataBound="0" tableColumnId="36"/>
      <queryTableField id="39" dataBound="0" tableColumnId="39"/>
      <queryTableField id="40" dataBound="0" tableColumnId="40"/>
      <queryTableField id="41" dataBound="0" tableColumnId="41"/>
      <queryTableField id="42" dataBound="0" tableColumnId="42"/>
      <queryTableField id="43" dataBound="0" tableColumnId="43"/>
      <queryTableField id="44" dataBound="0" tableColumnId="44"/>
      <queryTableField id="45" dataBound="0" tableColumnId="45"/>
      <queryTableField id="46" dataBound="0" tableColumnId="46"/>
      <queryTableField id="47" dataBound="0" tableColumnId="47"/>
      <queryTableField id="48" dataBound="0" tableColumnId="48"/>
      <queryTableField id="49" dataBound="0" tableColumnId="29"/>
      <queryTableField id="50" dataBound="0" tableColumnId="37"/>
      <queryTableField id="51" dataBound="0" tableColumnId="49"/>
      <queryTableField id="52" dataBound="0" tableColumnId="50"/>
      <queryTableField id="53" dataBound="0" tableColumnId="51"/>
      <queryTableField id="54" dataBound="0" tableColumnId="52"/>
      <queryTableField id="55" dataBound="0" tableColumnId="53"/>
      <queryTableField id="56" dataBound="0" tableColumnId="54"/>
      <queryTableField id="57" dataBound="0" tableColumnId="55"/>
      <queryTableField id="58" dataBound="0" tableColumnId="56"/>
      <queryTableField id="59" dataBound="0" tableColumnId="57"/>
      <queryTableField id="60" dataBound="0" tableColumnId="58"/>
      <queryTableField id="61" dataBound="0" tableColumnId="59"/>
      <queryTableField id="62" dataBound="0" tableColumnId="60"/>
      <queryTableField id="63" dataBound="0" tableColumnId="61"/>
      <queryTableField id="64" dataBound="0" tableColumnId="62"/>
      <queryTableField id="65" dataBound="0" tableColumnId="63"/>
      <queryTableField id="66" dataBound="0" tableColumnId="64"/>
      <queryTableField id="67" dataBound="0" tableColumnId="65"/>
      <queryTableField id="68" dataBound="0" tableColumnId="66"/>
      <queryTableField id="69" dataBound="0" tableColumnId="67"/>
      <queryTableField id="70" dataBound="0" tableColumnId="68"/>
      <queryTableField id="71" dataBound="0" tableColumnId="69"/>
      <queryTableField id="72" dataBound="0" tableColumnId="70"/>
      <queryTableField id="73" dataBound="0" tableColumnId="71"/>
      <queryTableField id="74" dataBound="0" tableColumnId="72"/>
      <queryTableField id="75" dataBound="0" tableColumnId="73"/>
      <queryTableField id="76" dataBound="0" tableColumnId="74"/>
      <queryTableField id="77" dataBound="0" tableColumnId="75"/>
      <queryTableField id="78" dataBound="0" tableColumnId="76"/>
      <queryTableField id="79" dataBound="0" tableColumnId="77"/>
      <queryTableField id="80" dataBound="0" tableColumnId="78"/>
      <queryTableField id="81" dataBound="0" tableColumnId="79"/>
      <queryTableField id="82" dataBound="0" tableColumnId="80"/>
    </queryTableFields>
  </queryTableRefresh>
</queryTable>
</file>

<file path=xl/queryTables/queryTable3.xml><?xml version="1.0" encoding="utf-8"?>
<queryTable xmlns="http://schemas.openxmlformats.org/spreadsheetml/2006/main" xmlns:mc="http://schemas.openxmlformats.org/markup-compatibility/2006" xmlns:xr16="http://schemas.microsoft.com/office/spreadsheetml/2017/revision16" mc:Ignorable="xr16" name="DadosExternos_2" refreshOnLoad="1" connectionId="1" xr16:uid="{ECA369B6-3D72-4D1B-A927-6D9DF0528884}" autoFormatId="16" applyNumberFormats="0" applyBorderFormats="0" applyFontFormats="0" applyPatternFormats="0" applyAlignmentFormats="0" applyWidthHeightFormats="0">
  <queryTableRefresh nextId="85" unboundColumnsRight="74">
    <queryTableFields count="82">
      <queryTableField id="1" name="Código do Posto" tableColumnId="1"/>
      <queryTableField id="2" name="Comarca" tableColumnId="2"/>
      <queryTableField id="3" name="Função" tableColumnId="3"/>
      <queryTableField id="4" name="CCT DA CATEGORIA" tableColumnId="4"/>
      <queryTableField id="5" name="Classificação" tableColumnId="5"/>
      <queryTableField id="6" name="Fonte de Recursos" tableColumnId="6"/>
      <queryTableField id="8" name="Vagas contratadas" tableColumnId="8"/>
      <queryTableField id="9" name="Vagas suspensas" tableColumnId="9"/>
      <queryTableField id="10" dataBound="0" tableColumnId="10"/>
      <queryTableField id="11" dataBound="0" tableColumnId="11"/>
      <queryTableField id="12" dataBound="0" tableColumnId="12"/>
      <queryTableField id="13" dataBound="0" tableColumnId="13"/>
      <queryTableField id="14" dataBound="0" tableColumnId="14"/>
      <queryTableField id="15" dataBound="0" tableColumnId="15"/>
      <queryTableField id="16" dataBound="0" tableColumnId="16"/>
      <queryTableField id="17" dataBound="0" tableColumnId="17"/>
      <queryTableField id="18" dataBound="0" tableColumnId="18"/>
      <queryTableField id="19" dataBound="0" tableColumnId="19"/>
      <queryTableField id="20" dataBound="0" tableColumnId="20"/>
      <queryTableField id="21" dataBound="0" tableColumnId="21"/>
      <queryTableField id="22" dataBound="0" tableColumnId="22"/>
      <queryTableField id="23" dataBound="0" tableColumnId="23"/>
      <queryTableField id="24" dataBound="0" tableColumnId="24"/>
      <queryTableField id="25" dataBound="0" tableColumnId="25"/>
      <queryTableField id="26" dataBound="0" tableColumnId="26"/>
      <queryTableField id="27" dataBound="0" tableColumnId="27"/>
      <queryTableField id="28" dataBound="0" tableColumnId="28"/>
      <queryTableField id="29" dataBound="0" tableColumnId="29"/>
      <queryTableField id="30" dataBound="0" tableColumnId="30"/>
      <queryTableField id="31" dataBound="0" tableColumnId="31"/>
      <queryTableField id="32" dataBound="0" tableColumnId="32"/>
      <queryTableField id="33" dataBound="0" tableColumnId="33"/>
      <queryTableField id="34" dataBound="0" tableColumnId="34"/>
      <queryTableField id="35" dataBound="0" tableColumnId="35"/>
      <queryTableField id="36" dataBound="0" tableColumnId="36"/>
      <queryTableField id="37" dataBound="0" tableColumnId="37"/>
      <queryTableField id="38" dataBound="0" tableColumnId="38"/>
      <queryTableField id="39" dataBound="0" tableColumnId="39"/>
      <queryTableField id="40" dataBound="0" tableColumnId="40"/>
      <queryTableField id="41" dataBound="0" tableColumnId="41"/>
      <queryTableField id="42" dataBound="0" tableColumnId="42"/>
      <queryTableField id="43" dataBound="0" tableColumnId="43"/>
      <queryTableField id="44" dataBound="0" tableColumnId="44"/>
      <queryTableField id="45" dataBound="0" tableColumnId="45"/>
      <queryTableField id="46" dataBound="0" tableColumnId="46"/>
      <queryTableField id="47" dataBound="0" tableColumnId="47"/>
      <queryTableField id="48" dataBound="0" tableColumnId="48"/>
      <queryTableField id="49" dataBound="0" tableColumnId="49"/>
      <queryTableField id="50" dataBound="0" tableColumnId="50"/>
      <queryTableField id="51" dataBound="0" tableColumnId="51"/>
      <queryTableField id="52" dataBound="0" tableColumnId="52"/>
      <queryTableField id="53" dataBound="0" tableColumnId="53"/>
      <queryTableField id="54" dataBound="0" tableColumnId="54"/>
      <queryTableField id="55" dataBound="0" tableColumnId="55"/>
      <queryTableField id="56" dataBound="0" tableColumnId="56"/>
      <queryTableField id="57" dataBound="0" tableColumnId="57"/>
      <queryTableField id="58" dataBound="0" tableColumnId="58"/>
      <queryTableField id="59" dataBound="0" tableColumnId="59"/>
      <queryTableField id="60" dataBound="0" tableColumnId="60"/>
      <queryTableField id="61" dataBound="0" tableColumnId="61"/>
      <queryTableField id="62" dataBound="0" tableColumnId="62"/>
      <queryTableField id="63" dataBound="0" tableColumnId="63"/>
      <queryTableField id="64" dataBound="0" tableColumnId="64"/>
      <queryTableField id="65" dataBound="0" tableColumnId="65"/>
      <queryTableField id="66" dataBound="0" tableColumnId="66"/>
      <queryTableField id="67" dataBound="0" tableColumnId="67"/>
      <queryTableField id="68" dataBound="0" tableColumnId="68"/>
      <queryTableField id="69" dataBound="0" tableColumnId="69"/>
      <queryTableField id="70" dataBound="0" tableColumnId="70"/>
      <queryTableField id="71" dataBound="0" tableColumnId="71"/>
      <queryTableField id="72" dataBound="0" tableColumnId="72"/>
      <queryTableField id="73" dataBound="0" tableColumnId="73"/>
      <queryTableField id="74" dataBound="0" tableColumnId="74"/>
      <queryTableField id="75" dataBound="0" tableColumnId="75"/>
      <queryTableField id="76" dataBound="0" tableColumnId="76"/>
      <queryTableField id="77" dataBound="0" tableColumnId="77"/>
      <queryTableField id="78" dataBound="0" tableColumnId="78"/>
      <queryTableField id="79" dataBound="0" tableColumnId="79"/>
      <queryTableField id="80" dataBound="0" tableColumnId="80"/>
      <queryTableField id="81" dataBound="0" tableColumnId="81"/>
      <queryTableField id="82" dataBound="0" tableColumnId="82"/>
      <queryTableField id="83" dataBound="0" tableColumnId="83"/>
    </queryTableFields>
  </queryTableRefresh>
</queryTable>
</file>

<file path=xl/slicerCaches/slicerCache1.xml><?xml version="1.0" encoding="utf-8"?>
<slicerCacheDefinition xmlns="http://schemas.microsoft.com/office/spreadsheetml/2009/9/main" xmlns:mc="http://schemas.openxmlformats.org/markup-compatibility/2006" xmlns:x="http://schemas.openxmlformats.org/spreadsheetml/2006/main" xmlns:xr10="http://schemas.microsoft.com/office/spreadsheetml/2016/revision10" mc:Ignorable="x xr10" name="SegmentaçãodeDados_Cargo" xr10:uid="{C7E63791-5A1A-4713-B63F-1A63D2A07D20}" sourceName="Cargo">
  <pivotTables>
    <pivotTable tabId="12" name="tabDinamUniformes"/>
  </pivotTables>
  <data>
    <tabular pivotCacheId="1612167498">
      <items count="57">
        <i x="0" s="1"/>
        <i x="1" s="1"/>
        <i x="2" s="1"/>
        <i x="3" s="1"/>
        <i x="4" s="1"/>
        <i x="5" s="1"/>
        <i x="6" s="1"/>
        <i x="44" s="1" nd="1"/>
        <i x="19" s="1" nd="1"/>
        <i x="42" s="1" nd="1"/>
        <i x="40" s="1" nd="1"/>
        <i x="16" s="1" nd="1"/>
        <i x="39" s="1" nd="1"/>
        <i x="13" s="1" nd="1"/>
        <i x="27" s="1" nd="1"/>
        <i x="7" s="1" nd="1"/>
        <i x="22" s="1" nd="1"/>
        <i x="31" s="1" nd="1"/>
        <i x="47" s="1" nd="1"/>
        <i x="26" s="1" nd="1"/>
        <i x="12" s="1" nd="1"/>
        <i x="56" s="1" nd="1"/>
        <i x="30" s="1" nd="1"/>
        <i x="15" s="1" nd="1"/>
        <i x="35" s="1" nd="1"/>
        <i x="17" s="1" nd="1"/>
        <i x="14" s="1" nd="1"/>
        <i x="52" s="1" nd="1"/>
        <i x="38" s="1" nd="1"/>
        <i x="45" s="1" nd="1"/>
        <i x="21" s="1" nd="1"/>
        <i x="25" s="1" nd="1"/>
        <i x="51" s="1" nd="1"/>
        <i x="54" s="1" nd="1"/>
        <i x="33" s="1" nd="1"/>
        <i x="29" s="1" nd="1"/>
        <i x="24" s="1" nd="1"/>
        <i x="48" s="1" nd="1"/>
        <i x="55" s="1" nd="1"/>
        <i x="41" s="1" nd="1"/>
        <i x="28" s="1" nd="1"/>
        <i x="9" s="1" nd="1"/>
        <i x="10" s="1" nd="1"/>
        <i x="11" s="1" nd="1"/>
        <i x="8" s="1" nd="1"/>
        <i x="20" s="1" nd="1"/>
        <i x="34" s="1" nd="1"/>
        <i x="43" s="1" nd="1"/>
        <i x="36" s="1" nd="1"/>
        <i x="23" s="1" nd="1"/>
        <i x="50" s="1" nd="1"/>
        <i x="18" s="1" nd="1"/>
        <i x="32" s="1" nd="1"/>
        <i x="37" s="1" nd="1"/>
        <i x="46" s="1" nd="1"/>
        <i x="49" s="1" nd="1"/>
        <i x="53" s="1" nd="1"/>
      </items>
    </tabular>
  </data>
  <extLst>
    <x:ext xmlns:x15="http://schemas.microsoft.com/office/spreadsheetml/2010/11/main" uri="{470722E0-AACD-4C17-9CDC-17EF765DBC7E}">
      <x15:slicerCacheHideItemsWithNoData/>
    </x:ext>
  </extLst>
</slicerCacheDefinition>
</file>

<file path=xl/slicers/slicer1.xml><?xml version="1.0" encoding="utf-8"?>
<slicers xmlns="http://schemas.microsoft.com/office/spreadsheetml/2009/9/main" xmlns:mc="http://schemas.openxmlformats.org/markup-compatibility/2006" xmlns:x="http://schemas.openxmlformats.org/spreadsheetml/2006/main" xmlns:xr10="http://schemas.microsoft.com/office/spreadsheetml/2016/revision10" mc:Ignorable="x xr10">
  <slicer name="Cargo" xr10:uid="{6B9C3D60-4179-4B24-9807-9D541B255454}" cache="SegmentaçãodeDados_Cargo" caption="Cargo" rowHeight="257175"/>
</slicers>
</file>

<file path=xl/tables/_rels/table14.xml.rels><?xml version="1.0" encoding="UTF-8" standalone="yes"?>
<Relationships xmlns="http://schemas.openxmlformats.org/package/2006/relationships"><Relationship Id="rId1" Type="http://schemas.openxmlformats.org/officeDocument/2006/relationships/queryTable" Target="../queryTables/queryTable1.xml"/></Relationships>
</file>

<file path=xl/tables/_rels/table15.xml.rels><?xml version="1.0" encoding="UTF-8" standalone="yes"?>
<Relationships xmlns="http://schemas.openxmlformats.org/package/2006/relationships"><Relationship Id="rId1" Type="http://schemas.openxmlformats.org/officeDocument/2006/relationships/queryTable" Target="../queryTables/queryTable2.xml"/></Relationships>
</file>

<file path=xl/tables/_rels/table16.xml.rels><?xml version="1.0" encoding="UTF-8" standalone="yes"?>
<Relationships xmlns="http://schemas.openxmlformats.org/package/2006/relationships"><Relationship Id="rId1" Type="http://schemas.openxmlformats.org/officeDocument/2006/relationships/queryTable" Target="../queryTables/queryTable3.xml"/></Relationship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F15C3CB1-B4DB-4B10-A04B-AC7D2C1873B3}" name="tabLotacao" displayName="tabLotacao" ref="K1:M3" totalsRowShown="0" headerRowDxfId="627" dataDxfId="626">
  <autoFilter ref="K1:M3" xr:uid="{BB422FD1-ABB0-4188-9229-6D6A98547997}"/>
  <tableColumns count="3">
    <tableColumn id="1" xr3:uid="{20F26E03-0C10-4A15-B40A-E6D890ED7A68}" name="Lotacao" dataDxfId="625"/>
    <tableColumn id="2" xr3:uid="{1977C677-492C-4926-8E13-41EDB76CC5B6}" name="Tipo" dataDxfId="624"/>
    <tableColumn id="3" xr3:uid="{63B9CDAD-E7B3-4D71-97E8-E026808AA70C}" name="Codigo Lote" dataDxfId="623"/>
  </tableColumns>
  <tableStyleInfo name="TableStyleMedium7"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7139E7B6-2A9B-4799-BF7A-0FA732F427F3}" name="tabComarca" displayName="tabComarca" ref="A1:E299" totalsRowShown="0" headerRowDxfId="622" dataDxfId="621">
  <autoFilter ref="A1:E299" xr:uid="{DEEC2FC7-388D-42AB-96E1-BB8A31D3546D}"/>
  <tableColumns count="5">
    <tableColumn id="1" xr3:uid="{B308C177-FE3B-4570-ABCF-7779F06C9577}" name="COMARCA" dataDxfId="620"/>
    <tableColumn id="2" xr3:uid="{80EF9F95-D156-491D-B0F8-AA85ABF22FFC}" name="Sigla" dataDxfId="619"/>
    <tableColumn id="3" xr3:uid="{C086C184-83F8-478F-89A8-B39333D2A542}" name="Codigo Comarca" dataDxfId="618"/>
    <tableColumn id="5" xr3:uid="{593AF2E9-20FF-4C71-BFFE-CBC3E9D939CD}" name="ISS" dataDxfId="617" dataCellStyle="Porcentagem"/>
    <tableColumn id="4" xr3:uid="{3B64C2F0-3DF2-4F57-A27F-DF2E667B3E97}" name="VT" dataDxfId="616" dataCellStyle="Normal 18"/>
  </tableColumns>
  <tableStyleInfo name="TableStyleMedium7" showFirstColumn="0" showLastColumn="0" showRowStripes="1" showColumnStripes="0"/>
</table>
</file>

<file path=xl/tables/table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 xr:uid="{1BF7E837-1696-4320-ABE9-3E324B939157}" name="tabCargos" displayName="tabCargos" ref="G1:I8" totalsRowShown="0" headerRowDxfId="615" dataDxfId="614">
  <autoFilter ref="G1:I8" xr:uid="{569D2A0B-AC5F-49D1-89BC-9951FCB7D10A}"/>
  <sortState xmlns:xlrd2="http://schemas.microsoft.com/office/spreadsheetml/2017/richdata2" ref="G2:I6">
    <sortCondition ref="G1:G6"/>
  </sortState>
  <tableColumns count="3">
    <tableColumn id="1" xr3:uid="{03C42A75-09D4-4776-AD69-69F065E2D4AF}" name="Cargo" dataDxfId="613"/>
    <tableColumn id="3" xr3:uid="{A062F261-7E15-419C-9261-E32BB577F7EA}" name="Sigla" dataDxfId="612"/>
    <tableColumn id="2" xr3:uid="{BC0BEFA2-B694-41DC-B966-5065725BFA1B}" name="Codigo Cargo" dataDxfId="611"/>
  </tableColumns>
  <tableStyleInfo name="TableStyleMedium7" showFirstColumn="0" showLastColumn="0" showRowStripes="1" showColumnStripes="0"/>
</table>
</file>

<file path=xl/tables/table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 xr:uid="{6CD4D4F7-A6BC-4DFD-B7A2-268F4F4FEF03}" name="Tabela5" displayName="Tabela5" ref="O1:O5" totalsRowShown="0" headerRowDxfId="610" dataDxfId="609" headerRowCellStyle="Normal 18" dataCellStyle="Normal 18">
  <autoFilter ref="O1:O5" xr:uid="{270A2D5A-5325-4C98-9CD3-690136B772A5}"/>
  <tableColumns count="1">
    <tableColumn id="1" xr3:uid="{0A9B995B-647C-4280-80F3-CF5D19ADFFE6}" name="IDENTIFICAÇÃO DO POSTO" dataDxfId="608" dataCellStyle="Normal 18"/>
  </tableColumns>
  <tableStyleInfo name="TableStyleMedium7" showFirstColumn="0" showLastColumn="0" showRowStripes="1" showColumnStripes="0"/>
</table>
</file>

<file path=xl/tables/table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8" xr:uid="{5B0EFE31-CAB8-474E-96B5-9FF97F56BB9B}" name="tabDiarias" displayName="tabDiarias" ref="Q1:T2" totalsRowShown="0" headerRowDxfId="607" dataDxfId="606" headerRowCellStyle="Normal 18">
  <autoFilter ref="Q1:T2" xr:uid="{5B0EFE31-CAB8-474E-96B5-9FF97F56BB9B}"/>
  <tableColumns count="4">
    <tableColumn id="1" xr3:uid="{BEE53315-E61C-4512-88AE-02A393CE691B}" name="DESPESA DE VIAGEM" dataDxfId="605" dataCellStyle="Normal 10"/>
    <tableColumn id="2" xr3:uid="{24C742E0-193B-481E-B392-B2FA3982E801}" name="VALOR UNIT." dataDxfId="604">
      <calculatedColumnFormula>10.19</calculatedColumnFormula>
    </tableColumn>
    <tableColumn id="3" xr3:uid="{63D664CD-7DD5-42E2-8E25-73BA3EF19502}" name="QUANT. POSTOS INICIAL" dataDxfId="603"/>
    <tableColumn id="4" xr3:uid="{99C71FEC-9DDE-45A4-8742-78E832232309}" name="VALOR TOTAL PREVISTO" dataDxfId="602" dataCellStyle="Moeda 9">
      <calculatedColumnFormula>tabDiarias[[#This Row],[VALOR UNIT.]]*tabDiarias[[#This Row],[QUANT. POSTOS INICIAL]]</calculatedColumnFormula>
    </tableColumn>
  </tableColumns>
  <tableStyleInfo name="TableStyleMedium7" showFirstColumn="0" showLastColumn="0" showRowStripes="1" showColumnStripes="0"/>
</table>
</file>

<file path=xl/tables/table6.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9" xr:uid="{40E83019-177A-4274-81E8-E4D1D6245B8F}" name="tabIndices" displayName="tabIndices" ref="V2:X7" totalsRowShown="0" headerRowDxfId="601" dataDxfId="599" headerRowBorderDxfId="600" tableBorderDxfId="598" totalsRowBorderDxfId="597">
  <autoFilter ref="V2:X7" xr:uid="{40E83019-177A-4274-81E8-E4D1D6245B8F}"/>
  <tableColumns count="3">
    <tableColumn id="1" xr3:uid="{056A9A4E-A38C-46B1-8EA1-7E6BD608045C}" name="TA / APOSTILAMENTO" dataDxfId="596"/>
    <tableColumn id="2" xr3:uid="{C72E1DAF-732C-4797-BDE7-6481DD31967C}" name="DATA DA PUBLICAÇÃO" dataDxfId="595"/>
    <tableColumn id="3" xr3:uid="{F50D2B26-837B-4CBF-BC30-553E040E93B9}" name="PERCENTUAL" dataDxfId="594" dataCellStyle="Porcentagem"/>
  </tableColumns>
  <tableStyleInfo showFirstColumn="0" showLastColumn="0" showRowStripes="1" showColumnStripes="0"/>
</table>
</file>

<file path=xl/tables/table7.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2" xr:uid="{6E17D51A-C0E5-4542-9188-7225E7ECA75D}" name="tabOutrosCustos" displayName="tabOutrosCustos" ref="Z2:AB5" totalsRowShown="0" dataDxfId="592" headerRowBorderDxfId="593" tableBorderDxfId="591" totalsRowBorderDxfId="590">
  <autoFilter ref="Z2:AB5" xr:uid="{6E17D51A-C0E5-4542-9188-7225E7ECA75D}"/>
  <tableColumns count="3">
    <tableColumn id="1" xr3:uid="{5487F6F7-11CE-4216-B792-D5DFFD1ACCAF}" name="TIPO" dataDxfId="589" dataCellStyle="Moeda"/>
    <tableColumn id="2" xr3:uid="{0BC69EB9-080D-4CBF-BC8F-7FA71B29A1FD}" name="VALOR INICIAL P/ FUNCIONÁRIO" dataDxfId="588" dataCellStyle="Moeda"/>
    <tableColumn id="3" xr3:uid="{1B738C2C-151D-430F-8798-A0DE603BF629}" name="VALOR CORRIGIDO" dataDxfId="587" dataCellStyle="Moeda">
      <calculatedColumnFormula array="1">AA3*PRODUCT((1+(_xlfn._xlws.FILTER(tabIndices[PERCENTUAL],tabIndices[PERCENTUAL]&gt;0,0))))</calculatedColumnFormula>
    </tableColumn>
  </tableColumns>
  <tableStyleInfo showFirstColumn="0" showLastColumn="0" showRowStripes="1" showColumnStripes="0"/>
</table>
</file>

<file path=xl/tables/table8.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6" xr:uid="{902F3D7E-2277-4F52-9C07-705E320FF49B}" name="tabImpostosNacionais" displayName="tabImpostosNacionais" ref="AD1:AE11" totalsRowShown="0" headerRowDxfId="586" dataDxfId="585" headerRowCellStyle="Normal 18" dataCellStyle="Normal 18">
  <autoFilter ref="AD1:AE11" xr:uid="{902F3D7E-2277-4F52-9C07-705E320FF49B}"/>
  <tableColumns count="2">
    <tableColumn id="1" xr3:uid="{40592D24-5C21-41C4-8E9B-2A33BDDB8C6E}" name="Impostos Nacionais" dataDxfId="584" dataCellStyle="Normal 18"/>
    <tableColumn id="2" xr3:uid="{075F21C1-AAC1-40E5-ABD7-93520543176F}" name="Alíquota" dataDxfId="583" dataCellStyle="Porcentagem"/>
  </tableColumns>
  <tableStyleInfo name="TableStyleMedium2" showFirstColumn="0" showLastColumn="0" showRowStripes="1" showColumnStripes="0"/>
</table>
</file>

<file path=xl/tables/table9.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1" xr:uid="{FD632554-6579-41F9-BF43-B7281C7C04A0}" name="tabUniformes" displayName="tabUniformes" ref="A6:K48" totalsRowShown="0" headerRowDxfId="571" dataDxfId="570" headerRowCellStyle="Normal 2" dataCellStyle="Normal 2">
  <autoFilter ref="A6:K48" xr:uid="{FD632554-6579-41F9-BF43-B7281C7C04A0}"/>
  <tableColumns count="11">
    <tableColumn id="1" xr3:uid="{A7CB8A30-6E57-4693-9ED6-500F661C9AB5}" name="Item" dataDxfId="569" dataCellStyle="Normal 2"/>
    <tableColumn id="2" xr3:uid="{CFD3CE07-105F-442A-8C39-B23C5ACF585D}" name="Tipo" dataDxfId="568" dataCellStyle="Normal 2"/>
    <tableColumn id="12" xr3:uid="{66B6C8CE-8284-40D0-8773-CF79DE49692E}" name="DATA PUBLICAÇÃO" dataDxfId="567" dataCellStyle="Normal 2">
      <calculatedColumnFormula>_xleta.LOOKUP</calculatedColumnFormula>
    </tableColumn>
    <tableColumn id="5" xr3:uid="{AD2BA839-24EC-48E2-90F1-82FB9072DAE1}" name="Valor Inicial" dataDxfId="566" dataCellStyle="Normal 2"/>
    <tableColumn id="4" xr3:uid="{AD71EAD8-A0D9-41F5-B299-33CFC93DD8B2}" name="Valor Reajustado" dataDxfId="565" dataCellStyle="Normal 2">
      <calculatedColumnFormula array="1">tabUniformes[[#This Row],[Valor Inicial]]*IFERROR(PRODUCT(1+_xlfn._xlws.FILTER(tabIndices[PERCENTUAL],tabIndices[DATA DA PUBLICAÇÃO]&gt;tabUniformes[[#This Row],[DATA PUBLICAÇÃO]])),1)</calculatedColumnFormula>
    </tableColumn>
    <tableColumn id="6" xr3:uid="{D0A75AF1-C28D-414D-82D1-04B0FC44E367}" name="Qtde Anual de Peças" dataDxfId="564" dataCellStyle="Normal 2"/>
    <tableColumn id="7" xr3:uid="{790B4F1B-FE9F-4581-9FC7-844E75B49269}" name="Cargo" dataDxfId="563" dataCellStyle="Normal 2"/>
    <tableColumn id="9" xr3:uid="{17338E49-F223-4864-9F87-C680EA874A8C}" name="Qtde. funcionários" dataDxfId="562" dataCellStyle="Normal 2"/>
    <tableColumn id="8" xr3:uid="{145AB985-1EDE-4823-BC09-0B95FE39EADC}" name="Total" dataDxfId="561" dataCellStyle="Moeda">
      <calculatedColumnFormula>tabUniformes[[#This Row],[Valor Reajustado]]*tabUniformes[[#This Row],[Qtde Anual de Peças]]*tabUniformes[[#This Row],[Qtde. funcionários]]</calculatedColumnFormula>
    </tableColumn>
    <tableColumn id="10" xr3:uid="{D1867FAA-1614-4BC9-B95D-63806CD384EB}" name="Qtde. Geral anual" dataDxfId="560" dataCellStyle="Normal 2">
      <calculatedColumnFormula>tabUniformes[[#This Row],[Qtde Anual de Peças]]*tabUniformes[[#This Row],[Qtde. funcionários]]</calculatedColumnFormula>
    </tableColumn>
    <tableColumn id="11" xr3:uid="{F75A0B90-F711-4CCC-AD7C-434D55FA3CC6}" name="Valor unit. Mensal" dataDxfId="559" dataCellStyle="Normal 2">
      <calculatedColumnFormula>IFERROR(tabUniformes[[#This Row],[Total]]/12/tabUniformes[[#This Row],[Qtde. funcionários]],0)</calculatedColumnFormula>
    </tableColumn>
  </tableColumns>
  <tableStyleInfo name="TableStyleMedium2" showFirstColumn="0" showLastColumn="0" showRowStripes="1" showColumnStripes="0"/>
</table>
</file>

<file path=xl/tables/table10.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0" xr:uid="{832FE46A-DAFE-4A15-8B7A-CC188DB7E208}" name="tabLimpGeral" displayName="tabLimpGeral" ref="A3:P81" totalsRowCount="1" headerRowDxfId="558" dataDxfId="557" headerRowCellStyle="Normal 13" dataCellStyle="Separador de milhares 19">
  <autoFilter ref="A3:P80" xr:uid="{832FE46A-DAFE-4A15-8B7A-CC188DB7E208}"/>
  <tableColumns count="16">
    <tableColumn id="1" xr3:uid="{460EA503-81EC-4CDC-9DE6-F6E8493CEB10}" name="ORDEM" totalsRowLabel="Total" dataDxfId="556" totalsRowDxfId="451" dataCellStyle="Normal 13">
      <calculatedColumnFormula>ROW()-3</calculatedColumnFormula>
    </tableColumn>
    <tableColumn id="2" xr3:uid="{BE5A8766-3308-41FF-B532-FB533EDEF67C}" name="QUANT. ITEM" dataDxfId="555" totalsRowDxfId="450" dataCellStyle="Normal 3"/>
    <tableColumn id="16" xr3:uid="{96DC0241-FDEE-44D9-B860-03711960BEBC}" name="UNIDADE" dataDxfId="554" totalsRowDxfId="449" dataCellStyle="Normal 3"/>
    <tableColumn id="3" xr3:uid="{0BD77A6E-607D-4135-A195-67E6AF7FEAD7}" name="CARGA HORÁRIA INICIAL" dataDxfId="553" totalsRowDxfId="448" dataCellStyle="Normal 13">
      <calculatedColumnFormula>79*75+77*110+19*150+(254+2+2)*220</calculatedColumnFormula>
    </tableColumn>
    <tableColumn id="4" xr3:uid="{A0D56C24-D659-48DB-B460-C28FEA95F416}" name="DESCRIÇÃO" dataDxfId="552" totalsRowDxfId="447"/>
    <tableColumn id="14" xr3:uid="{FFA5B76E-E6C1-4304-B00A-9CED2B658BF0}" name="TIPO" dataDxfId="551" totalsRowDxfId="446"/>
    <tableColumn id="15" xr3:uid="{C1A397FC-B9A4-4C34-9157-7812A33F59B6}" name="PERIODICIDADE DE FORNECIMENTO" dataDxfId="550" totalsRowDxfId="445"/>
    <tableColumn id="5" xr3:uid="{99559931-846B-487A-A00E-BC674E689CD3}" name="TA / APOST" dataDxfId="549" totalsRowDxfId="444"/>
    <tableColumn id="6" xr3:uid="{61BB467D-8E0B-4A12-9B99-712FF12947B4}" name="DATA PUBLICAÇÃO" dataDxfId="548" totalsRowDxfId="443"/>
    <tableColumn id="7" xr3:uid="{6B240835-18B8-463B-A743-0D2E9CE142C1}" name="PREÇO INICIAL -  (R$)" totalsRowFunction="custom" dataDxfId="547" totalsRowDxfId="442" dataCellStyle="Separador de milhares 19">
      <totalsRowFormula>SUBTOTAL(9,tabLimpGeral[PREÇO INICIAL -  (R$)])</totalsRowFormula>
    </tableColumn>
    <tableColumn id="8" xr3:uid="{A089FA34-8985-4E87-B7B1-EDB7109B42E5}" name="PREÇO TOTAL -  (R$)" totalsRowFunction="custom" dataDxfId="546" totalsRowDxfId="441" dataCellStyle="Separador de milhares 19">
      <calculatedColumnFormula>tabLimpGeral[[#This Row],[PREÇO UNIDADE -  (R$)]]*tabLimpGeral[[#This Row],[QUANT. ITEM]]</calculatedColumnFormula>
      <totalsRowFormula>SUBTOTAL(9,tabLimpGeral[PREÇO TOTAL -  (R$)])</totalsRowFormula>
    </tableColumn>
    <tableColumn id="9" xr3:uid="{17A7A207-9741-47D8-B8D2-4B3DFB5A218F}" name="PREÇO UNIDADE -  (R$)" totalsRowFunction="custom" dataDxfId="545" totalsRowDxfId="440" dataCellStyle="Separador de milhares 19">
      <calculatedColumnFormula array="1">tabLimpGeral[[#This Row],[PREÇO INICIAL -  (R$)]]*IFERROR(PRODUCT(1+_xlfn._xlws.FILTER(tabIndices[PERCENTUAL],tabIndices[DATA DA PUBLICAÇÃO]&gt;tabLimpGeral[[#This Row],[DATA PUBLICAÇÃO]])),1)</calculatedColumnFormula>
      <totalsRowFormula>SUBTOTAL(9,tabLimpGeral[PREÇO UNIDADE -  (R$)])</totalsRowFormula>
    </tableColumn>
    <tableColumn id="10" xr3:uid="{3FB4A46C-68D5-4B5B-9706-1294042AE577}" name="VALOR  - DEPRECIAÇÃO MENSAL - UNIDADE (R$)" totalsRowFunction="custom" dataDxfId="544" totalsRowDxfId="439" dataCellStyle="Separador de milhares 19">
      <calculatedColumnFormula>IF(tabLimpGeral[[#This Row],[TIPO]]="Equipamento",tabLimpGeral[[#This Row],[PREÇO UNIDADE -  (R$)]]/60,0)</calculatedColumnFormula>
      <totalsRowFormula>SUBTOTAL(9,tabLimpGeral[VALOR  - DEPRECIAÇÃO MENSAL - UNIDADE (R$)])</totalsRowFormula>
    </tableColumn>
    <tableColumn id="11" xr3:uid="{30468423-6C06-44CB-BEDE-281C2AC8F902}" name="VALOR DEPRECIAÇÃO MENSAL - TOTAL (R$)" totalsRowFunction="custom" dataDxfId="543" totalsRowDxfId="438" dataCellStyle="Separador de milhares 19">
      <calculatedColumnFormula>tabLimpGeral[[#This Row],[VALOR  - DEPRECIAÇÃO MENSAL - UNIDADE (R$)]]*tabLimpGeral[[#This Row],[QUANT. ITEM]]</calculatedColumnFormula>
      <totalsRowFormula>SUBTOTAL(9,tabLimpGeral[VALOR DEPRECIAÇÃO MENSAL - TOTAL (R$)])</totalsRowFormula>
    </tableColumn>
    <tableColumn id="12" xr3:uid="{4FDCB80C-BC82-4572-BBA3-7E2C011828F7}" name="VALOR  - DEPRECIAÇÃO ANUAL - TOTAL (R$) " totalsRowFunction="custom" dataDxfId="542" totalsRowDxfId="437" dataCellStyle="Separador de milhares 19">
      <calculatedColumnFormula>tabLimpGeral[[#This Row],[VALOR DEPRECIAÇÃO MENSAL - TOTAL (R$)]]*12</calculatedColumnFormula>
      <totalsRowFormula>SUBTOTAL(9,tabLimpGeral[VALOR  - DEPRECIAÇÃO ANUAL - TOTAL (R$) ])</totalsRowFormula>
    </tableColumn>
    <tableColumn id="13" xr3:uid="{CC4C24A0-43FC-4924-8220-BFACC99421F2}" name="VALOR UNITÁRIO P/ HORA (R$)" totalsRowFunction="custom" dataDxfId="541" totalsRowDxfId="436" dataCellStyle="Separador de milhares 19">
      <calculatedColumnFormula>IFERROR(IF(tabLimpGeral[[#This Row],[TIPO]]="Equipamento",tabLimpGeral[[#This Row],[VALOR  - DEPRECIAÇÃO ANUAL - TOTAL (R$) ]]/12/tabLimpGeral[[#This Row],[CARGA HORÁRIA INICIAL]],tabLimpGeral[[#This Row],[PREÇO TOTAL -  (R$)]]/12/tabLimpGeral[[#This Row],[CARGA HORÁRIA INICIAL]]),0)</calculatedColumnFormula>
      <totalsRowFormula>SUBTOTAL(9,tabLimpGeral[VALOR UNITÁRIO P/ HORA (R$)])</totalsRowFormula>
    </tableColumn>
  </tableColumns>
  <tableStyleInfo name="TableStyleLight1" showFirstColumn="0" showLastColumn="0" showRowStripes="1" showColumnStripes="0"/>
</table>
</file>

<file path=xl/tables/table1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3" xr:uid="{AB5E42BD-880D-4430-A95B-7DFAAB98CB4C}" name="tabVidros" displayName="tabVidros" ref="A3:P5" totalsRowCount="1" headerRowDxfId="540" dataDxfId="539" headerRowCellStyle="Normal 13" dataCellStyle="Separador de milhares 19">
  <autoFilter ref="A3:P4" xr:uid="{832FE46A-DAFE-4A15-8B7A-CC188DB7E208}"/>
  <tableColumns count="16">
    <tableColumn id="1" xr3:uid="{891EBF85-D449-46E3-AE3D-3E745EC00B95}" name="ORDEM" totalsRowLabel="Total" dataDxfId="538" totalsRowDxfId="537" dataCellStyle="Normal 3">
      <calculatedColumnFormula>ROW()-3</calculatedColumnFormula>
    </tableColumn>
    <tableColumn id="2" xr3:uid="{CF1B2B78-1AB5-49C4-8A82-BDE497084B9A}" name="QUANT. ITEM" dataDxfId="536" totalsRowDxfId="535" dataCellStyle="Normal 3"/>
    <tableColumn id="17" xr3:uid="{17D822ED-FB30-4BC3-80D3-2304FEFDA5E1}" name="UNIDADE" dataDxfId="534" totalsRowDxfId="533" dataCellStyle="Normal 13"/>
    <tableColumn id="3" xr3:uid="{E405B8A9-6120-4BE4-9A49-48585C4A9D91}" name="QUANT. POSTOS" dataDxfId="532" totalsRowDxfId="531" dataCellStyle="Normal 13"/>
    <tableColumn id="4" xr3:uid="{D1E1F5B8-3760-4223-B8DC-2DFAEE27DC69}" name="DESCRIÇÃO" dataDxfId="530" totalsRowDxfId="529"/>
    <tableColumn id="14" xr3:uid="{74E7262F-4960-4848-AACC-75B4D1592842}" name="TIPO" dataDxfId="528" totalsRowDxfId="527"/>
    <tableColumn id="15" xr3:uid="{B4969CF3-BEED-4140-89EF-E71790BFBDAC}" name="PERIODICIDADE DE FORNECIMENTO" dataDxfId="526" totalsRowDxfId="525"/>
    <tableColumn id="5" xr3:uid="{44DFC932-225C-43D3-A15C-B92AD08FFE44}" name="TA / APOST" dataDxfId="524" totalsRowDxfId="523"/>
    <tableColumn id="6" xr3:uid="{5C186CB3-5186-4DC3-9A26-2AC812FE3B6E}" name="DATA PUBLICAÇÃO" dataDxfId="522" totalsRowDxfId="521"/>
    <tableColumn id="7" xr3:uid="{EAA2A2F4-8D4D-4846-A072-CA6D51BF6809}" name="PREÇO INICIAL -  (R$)" totalsRowFunction="custom" dataDxfId="520" totalsRowDxfId="519" dataCellStyle="Separador de milhares 19">
      <totalsRowFormula>SUBTOTAL(9,tabVidros[PREÇO INICIAL -  (R$)])</totalsRowFormula>
    </tableColumn>
    <tableColumn id="8" xr3:uid="{79F87A88-9076-469E-AF6F-0067F698EFFD}" name="PREÇO TOTAL -  (R$)" totalsRowFunction="custom" dataDxfId="518" totalsRowDxfId="517" dataCellStyle="Separador de milhares 19">
      <calculatedColumnFormula>tabVidros[[#This Row],[PREÇO UNIDADE -  (R$)]]*tabVidros[[#This Row],[QUANT. ITEM]]</calculatedColumnFormula>
      <totalsRowFormula>SUBTOTAL(9,tabVidros[PREÇO TOTAL -  (R$)])</totalsRowFormula>
    </tableColumn>
    <tableColumn id="9" xr3:uid="{EB0D86C7-A221-424B-AFF9-22085B144550}" name="PREÇO UNIDADE -  (R$)" totalsRowFunction="custom" dataDxfId="516" totalsRowDxfId="515" dataCellStyle="Separador de milhares 19">
      <calculatedColumnFormula array="1">tabVidros[[#This Row],[PREÇO INICIAL -  (R$)]]*IFERROR(PRODUCT(1+_xlfn._xlws.FILTER(tabIndices[PERCENTUAL],tabIndices[DATA DA PUBLICAÇÃO]&gt;tabVidros[[#This Row],[DATA PUBLICAÇÃO]])),1)</calculatedColumnFormula>
      <totalsRowFormula>SUBTOTAL(9,tabVidros[PREÇO UNIDADE -  (R$)])</totalsRowFormula>
    </tableColumn>
    <tableColumn id="10" xr3:uid="{C2C3EF42-3E0A-482D-B2BF-2BACA2D206B2}" name="VALOR  - DEPRECIAÇÃO MENSAL - UNIDADE (R$)" totalsRowFunction="custom" dataDxfId="514" totalsRowDxfId="513" dataCellStyle="Separador de milhares 19">
      <calculatedColumnFormula>IF(tabVidros[[#This Row],[TIPO]]="Equipamento",tabVidros[[#This Row],[PREÇO UNIDADE -  (R$)]]/60,0)</calculatedColumnFormula>
      <totalsRowFormula>SUBTOTAL(9,tabVidros[VALOR  - DEPRECIAÇÃO MENSAL - UNIDADE (R$)])</totalsRowFormula>
    </tableColumn>
    <tableColumn id="11" xr3:uid="{72EE46DF-3A0B-4B09-9EBB-8522751EA8DE}" name="VALOR DEPRECIAÇÃO MENSAL - TOTAL (R$)" totalsRowFunction="custom" dataDxfId="512" totalsRowDxfId="511" dataCellStyle="Separador de milhares 19">
      <calculatedColumnFormula>tabVidros[[#This Row],[VALOR  - DEPRECIAÇÃO MENSAL - UNIDADE (R$)]]*tabVidros[[#This Row],[QUANT. ITEM]]</calculatedColumnFormula>
      <totalsRowFormula>SUBTOTAL(9,tabVidros[VALOR DEPRECIAÇÃO MENSAL - TOTAL (R$)])</totalsRowFormula>
    </tableColumn>
    <tableColumn id="12" xr3:uid="{6CA70487-B8D1-43B0-B979-971B35516CAB}" name="VALOR  - DEPRECIAÇÃO ANUAL - TOTAL (R$) " totalsRowFunction="custom" dataDxfId="510" totalsRowDxfId="509" dataCellStyle="Separador de milhares 19">
      <calculatedColumnFormula>tabVidros[[#This Row],[VALOR DEPRECIAÇÃO MENSAL - TOTAL (R$)]]*12</calculatedColumnFormula>
      <totalsRowFormula>SUBTOTAL(9,tabVidros[VALOR  - DEPRECIAÇÃO ANUAL - TOTAL (R$) ])</totalsRowFormula>
    </tableColumn>
    <tableColumn id="13" xr3:uid="{78741008-B16C-4D58-A146-ACDFC44ADDE7}" name="VALOR UNITÁRIO P/ POSTO (R$)" totalsRowFunction="custom" dataDxfId="508" totalsRowDxfId="507" dataCellStyle="Separador de milhares 19">
      <calculatedColumnFormula>IFERROR(IF(tabVidros[[#This Row],[TIPO]]="Equipamento",tabVidros[[#This Row],[VALOR  - DEPRECIAÇÃO ANUAL - TOTAL (R$) ]]/12/tabVidros[[#This Row],[QUANT. POSTOS]],tabVidros[[#This Row],[PREÇO TOTAL -  (R$)]]/12/tabVidros[[#This Row],[QUANT. POSTOS]]),0)</calculatedColumnFormula>
      <totalsRowFormula>SUBTOTAL(9,tabVidros[VALOR UNITÁRIO P/ POSTO (R$)])</totalsRowFormula>
    </tableColumn>
  </tableColumns>
  <tableStyleInfo name="TableStyleLight1" showFirstColumn="0" showLastColumn="0" showRowStripes="1" showColumnStripes="0"/>
</table>
</file>

<file path=xl/tables/table1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 xr:uid="{0EAAADAA-0568-4438-AEAF-1FB13FE3C65C}" name="tabSindicatos" displayName="tabSindicatos" ref="A1:N35" totalsRowShown="0" headerRowDxfId="506" dataDxfId="505">
  <autoFilter ref="A1:N35" xr:uid="{0EAAADAA-0568-4438-AEAF-1FB13FE3C65C}"/>
  <tableColumns count="14">
    <tableColumn id="1" xr3:uid="{97C1F1FD-1151-46DD-8A5D-0C4D0A479DD3}" name="SINDICATOS" dataDxfId="504"/>
    <tableColumn id="2" xr3:uid="{560E7E37-6E28-4D71-A9C1-E167A38FC541}" name="ABRANGÊNCIA" dataDxfId="503"/>
    <tableColumn id="3" xr3:uid="{9FE25D44-3895-467B-8392-C2E27340DF7E}" name="COMARCAS PAF" dataDxfId="502"/>
    <tableColumn id="4" xr3:uid="{2C3754A1-DEBA-4AC6-BEC3-8FF6B0FD5F03}" name="FUNÇÕES" dataDxfId="501"/>
    <tableColumn id="14" xr3:uid="{7755767E-49C5-433C-93CD-286105AA5C8E}" name="COMARCAS CONTRATO" dataDxfId="500">
      <calculatedColumnFormula array="1">_xlfn.LET(_xlpm.listaComarcas, _xlfn.UNIQUE(_xlfn._xlws.FILTER(tabParametros[Comarca],tabParametros[CCT DA CATEGORIA]=tabSindicatos[[#This Row],[SINDICATOS]],"")),
IF(COUNTA(_xlpm.listaComarcas)=1,
_xlpm.listaComarcas&amp;".",
SUBSTITUTE(_xlfn.TEXTJOIN(", ",TRUE,_xlpm.listaComarcas),", "," e ",COUNTA(_xlpm.listaComarcas)-1)&amp;"."
)
)</calculatedColumnFormula>
    </tableColumn>
    <tableColumn id="5" xr3:uid="{029032F7-163D-477C-911C-B6DF8F8D898D}" name="VA" dataDxfId="499" dataCellStyle="Moeda"/>
    <tableColumn id="6" xr3:uid="{0B7B5F26-6768-4F3C-9463-65C9646AFC06}" name="Cesta Básica" dataDxfId="498" dataCellStyle="Moeda"/>
    <tableColumn id="7" xr3:uid="{C7C3AC24-27B0-4F35-909D-7478975B9816}" name="PAF" dataDxfId="497" dataCellStyle="Moeda"/>
    <tableColumn id="8" xr3:uid="{E6D82942-434A-4C69-A721-E63BF6A7E842}" name="PQM" dataDxfId="496" dataCellStyle="Moeda"/>
    <tableColumn id="9" xr3:uid="{67F8F10F-B704-4B77-BD94-4B6210CB5AAE}" name="PAT" dataDxfId="495" dataCellStyle="Moeda"/>
    <tableColumn id="10" xr3:uid="{88D3ABCE-9D2A-4DDF-93A8-EB4656B8A013}" name="ANO DA CCT" dataDxfId="494"/>
    <tableColumn id="11" xr3:uid="{3E57048E-4FF4-460A-B589-2B4659F5038E}" name="Nº DE PEDIDO DA CCT" dataDxfId="493"/>
    <tableColumn id="12" xr3:uid="{9F7954EE-2B54-4C2C-9182-B15BA29BA383}" name="TERMO ADITIVO  ALTERAÇÃO DA CCT" dataDxfId="492"/>
    <tableColumn id="13" xr3:uid="{8116D889-0A6A-48CF-8FAF-5A55E5153AB8}" name="Nº REGISTRO MTE/ CCT" dataDxfId="491"/>
  </tableColumns>
  <tableStyleInfo name="TableStyleLight15" showFirstColumn="0" showLastColumn="0" showRowStripes="1" showColumnStripes="0"/>
</table>
</file>

<file path=xl/tables/table1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9" xr:uid="{20975FC3-D003-4505-8B57-3E2CB6674057}" name="tabPostos" displayName="tabPostos" ref="A1:M253" totalsRowShown="0" headerRowDxfId="490" dataDxfId="489">
  <autoFilter ref="A1:M253" xr:uid="{20975FC3-D003-4505-8B57-3E2CB6674057}"/>
  <tableColumns count="13">
    <tableColumn id="1" xr3:uid="{AB8E2529-A3DC-425E-82CA-487C882A71D4}" name="Código do Posto" dataDxfId="488">
      <calculatedColumnFormula array="1">_xlfn.XLOOKUP(tabPostos[[#This Row],[Fonte de Recursos]]&amp;tabPostos[[#This Row],[Classificação]],tabLotacao[Lotacao]&amp;tabLotacao[Tipo],tabLotacao[Codigo Lote],"0")&amp;"."&amp;_xlfn.XLOOKUP(tabPostos[[#This Row],[Comarca]],tabComarca[COMARCA],tabComarca[Codigo Comarca],"000")&amp;"."&amp;_xlfn.XLOOKUP(tabPostos[[#This Row],[Função]],tabCargos[Cargo],tabCargos[Codigo Cargo],"00")</calculatedColumnFormula>
    </tableColumn>
    <tableColumn id="2" xr3:uid="{AF80B432-5B67-476A-9633-802331077133}" name="Comarca" dataDxfId="487"/>
    <tableColumn id="3" xr3:uid="{ABF236F2-52C0-4F87-9160-401064EBDDAA}" name="Função" dataDxfId="486"/>
    <tableColumn id="13" xr3:uid="{03B65127-9BA0-4DAC-9D99-D34DA27F0A41}" name="CCT DA CATEGORIA" dataDxfId="485">
      <calculatedColumnFormula array="1">IF(tabPostos[[#This Row],[Comarca]]="","",
_xlfn.LET(
_xlpm.MATRIZ_COMARCA, ","&amp;TRIM(UPPER(SUBSTITUTE(SUBSTITUTE(SUBSTITUTE(SUBSTITUTE(SUBSTITUTE(SUBSTITUTE(SUBSTITUTE(SUBSTITUTE(SUBSTITUTE(SUBSTITUTE(SUBSTITUTE(SUBSTITUTE(SUBSTITUTE(SUBSTITUTE(SUBSTITUTE(SUBSTITUTE(SUBSTITUTE(SUBSTITUTE(SUBSTITUTE(SUBSTITUTE(SUBSTITUTE(SUBSTITUTE(SUBSTITUTE(SUBSTITUTE(SUBSTITUTE(SUBSTITUTE(tabSindicatos[ABRANGÊNCIA],"á","a"),"ã","a"),"â","a"),"é","e"),"ê","e"),"í","i"),"ó","o"),"õ","o"),"ô","o"),"ú","u"),"ç","c"),"Á","a"),"Ã","a"),"Â","a"),"É","e"),"Ê","e"),"Í","i"),"Ó","o"),"Õ","o"),"Ô","o"),"Ú","u"),"Ç","c"),"/MG","")," e ",", ")," ",""),".","")))&amp;",",
_xlpm.MATRIZ_FUNCAO, ","&amp;TRIM(UPPER(SUBSTITUTE(SUBSTITUTE(SUBSTITUTE(SUBSTITUTE(SUBSTITUTE(SUBSTITUTE(SUBSTITUTE(SUBSTITUTE(SUBSTITUTE(SUBSTITUTE(SUBSTITUTE(SUBSTITUTE(SUBSTITUTE(SUBSTITUTE(SUBSTITUTE(SUBSTITUTE(SUBSTITUTE(SUBSTITUTE(SUBSTITUTE(SUBSTITUTE(SUBSTITUTE(SUBSTITUTE(SUBSTITUTE(SUBSTITUTE(SUBSTITUTE(tabSindicatos[FUNÇÕES],"á","a"),"ã","a"),"â","a"),"é","e"),"ê","e"),"í","i"),"ó","o"),"õ","o"),"ô","o"),"ú","u"),"ç","c"),"Á","a"),"Ã","a"),"Â","a"),"É","e"),"Ê","e"),"Í","i"),"Ó","o"),"Õ","o"),"Ô","o"),"Ú","u"),"Ç","c")," e ",", ")," ",""),".","")))&amp;",",
IFERROR(_xlfn._xlws.FILTER(tabSindicatos[SINDICATOS],
(ISNUMBER(SEARCH(","&amp;TRIM(UPPER(SUBSTITUTE(tabPostos[[#This Row],[Comarca]]," ","")))&amp;",",_xlpm.MATRIZ_COMARCA,1)))*
(ISNUMBER(SEARCH(","&amp;TRIM(SUBSTITUTE(SUBSTITUTE(SUBSTITUTE(UPPER(tabPostos[[#This Row],[Função]])," E ",", ")," ",""),".",""))&amp;",",_xlpm.MATRIZ_FUNCAO,1)))
),"")
))</calculatedColumnFormula>
    </tableColumn>
    <tableColumn id="4" xr3:uid="{8EB1A9DE-A87A-4A92-B8CE-7B5811CC1E1E}" name="Classificação" dataDxfId="484"/>
    <tableColumn id="6" xr3:uid="{3F0DE94A-7B2F-4238-B2C0-CEA6F1492365}" name="Fonte de Recursos" dataDxfId="483"/>
    <tableColumn id="7" xr3:uid="{D7396511-BFCE-4EDC-9F65-8D504F5200E5}" name="Vagas contratadas" dataDxfId="482"/>
    <tableColumn id="8" xr3:uid="{1F0EF44B-4320-467F-AF8C-CCBEBFD643DF}" name="Vagas suspensas" dataDxfId="481"/>
    <tableColumn id="9" xr3:uid="{10B73367-3BEF-4845-BF45-27D46C9E294E}" name="Salário Base" dataDxfId="480" dataCellStyle="Moeda"/>
    <tableColumn id="5" xr3:uid="{348BA51B-EFCE-4184-83C5-4BAA34F2DE63}" name="ANO DA CCT" dataDxfId="479">
      <calculatedColumnFormula>VLOOKUP(tabPostos[[#This Row],[CCT DA CATEGORIA]],'RELAÇÃO SINDICATOS'!A:N,11,0)</calculatedColumnFormula>
    </tableColumn>
    <tableColumn id="10" xr3:uid="{94377FDF-843C-4F2A-A6F0-528CEF9453C9}" name="Nº DE PEDIDO DA CCT" dataDxfId="478">
      <calculatedColumnFormula>VLOOKUP(tabPostos[[#This Row],[CCT DA CATEGORIA]],'RELAÇÃO SINDICATOS'!A:N,12,0)</calculatedColumnFormula>
    </tableColumn>
    <tableColumn id="11" xr3:uid="{815E8E8B-EA8D-4B76-B55F-86DC4E1DB28B}" name="TERMO ADITIVO ALTERAÇÃO DA CCT" dataDxfId="477">
      <calculatedColumnFormula>VLOOKUP(tabPostos[[#This Row],[CCT DA CATEGORIA]],'RELAÇÃO SINDICATOS'!A:N,13,0)</calculatedColumnFormula>
    </tableColumn>
    <tableColumn id="12" xr3:uid="{92C75145-133E-46A9-B65E-9B034C96D7F3}" name="Nº REGISTRO MTE/ CCT" dataDxfId="476">
      <calculatedColumnFormula>VLOOKUP(tabPostos[[#This Row],[CCT DA CATEGORIA]],'RELAÇÃO SINDICATOS'!A:N,14,0)</calculatedColumnFormula>
    </tableColumn>
  </tableColumns>
  <tableStyleInfo name="TableStyleLight9" showFirstColumn="0" showLastColumn="0" showRowStripes="1" showColumnStripes="0"/>
</table>
</file>

<file path=xl/tables/table1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0" xr:uid="{24CF13A2-6EAE-40A7-895A-9106C9DD5999}" name="tabParametros" displayName="tabParametros" ref="A3:BJ256" tableType="queryTable" totalsRowCount="1" headerRowDxfId="475" totalsRowDxfId="472" headerRowBorderDxfId="474" tableBorderDxfId="473" totalsRowBorderDxfId="471" headerRowCellStyle="Normal 10">
  <autoFilter ref="A3:BJ255" xr:uid="{24CF13A2-6EAE-40A7-895A-9106C9DD5999}"/>
  <tableColumns count="62">
    <tableColumn id="1" xr3:uid="{4386AE32-E3A8-4B6C-8405-6765894C0F1C}" uniqueName="1" name="Código do Posto" totalsRowLabel="Total" queryTableFieldId="1" dataDxfId="215" totalsRowDxfId="216"/>
    <tableColumn id="2" xr3:uid="{91ACE551-1A4E-4905-BF5E-1678C09E33FA}" uniqueName="2" name="Comarca" queryTableFieldId="2" dataDxfId="214" totalsRowDxfId="217"/>
    <tableColumn id="3" xr3:uid="{680C6B40-F7B5-4293-9E1A-92D703DAC52D}" uniqueName="3" name="Função" queryTableFieldId="3" dataDxfId="213" totalsRowDxfId="218"/>
    <tableColumn id="4" xr3:uid="{8B0493D7-74B1-41CD-AF7E-EE004295442D}" uniqueName="4" name="CCT DA CATEGORIA" queryTableFieldId="4" dataDxfId="212" totalsRowDxfId="219">
      <calculatedColumnFormula>VLOOKUP(tabParametros[[#This Row],[Código do Posto]],tabPostos[],4,0)</calculatedColumnFormula>
    </tableColumn>
    <tableColumn id="5" xr3:uid="{DF2DFB2C-86B6-456B-BBB2-BF34AF58003E}" uniqueName="5" name="Classificação" queryTableFieldId="5" dataDxfId="211" totalsRowDxfId="220">
      <calculatedColumnFormula>VLOOKUP(tabParametros[[#This Row],[Código do Posto]],tabPostos[],5,0)</calculatedColumnFormula>
    </tableColumn>
    <tableColumn id="6" xr3:uid="{809015EA-8135-41B3-98A6-9E513E471AD6}" uniqueName="6" name="Fonte de Recursos" queryTableFieldId="6" dataDxfId="210" totalsRowDxfId="221">
      <calculatedColumnFormula>VLOOKUP(tabParametros[[#This Row],[Código do Posto]],tabPostos[],6,0)</calculatedColumnFormula>
    </tableColumn>
    <tableColumn id="7" xr3:uid="{6F797770-6896-463B-A701-5D8C1D216F0B}" uniqueName="7" name="Vagas contratadas" totalsRowFunction="custom" queryTableFieldId="7" dataDxfId="209" totalsRowDxfId="222">
      <calculatedColumnFormula>VLOOKUP(tabParametros[[#This Row],[Código do Posto]],tabPostos[],7,0)</calculatedColumnFormula>
      <totalsRowFormula>SUBTOTAL(9,tabParametros[Vagas contratadas])</totalsRowFormula>
    </tableColumn>
    <tableColumn id="8" xr3:uid="{FB036ED8-67F1-4020-B5B8-E243EE7080C3}" uniqueName="8" name="Vagas suspensas" totalsRowFunction="custom" queryTableFieldId="8" dataDxfId="208" totalsRowDxfId="223">
      <calculatedColumnFormula>VLOOKUP(tabParametros[[#This Row],[Código do Posto]],tabPostos[],8,0)</calculatedColumnFormula>
      <totalsRowFormula>SUBTOTAL(9,tabParametros[Vagas suspensas])</totalsRowFormula>
    </tableColumn>
    <tableColumn id="9" xr3:uid="{BB7CE697-CA92-49A9-84D8-2517E583E217}" uniqueName="9" name="Salário Base" totalsRowFunction="custom" queryTableFieldId="9" dataDxfId="207" totalsRowDxfId="224">
      <calculatedColumnFormula>VLOOKUP(tabParametros[[#This Row],[Código do Posto]],tabPostos[],9,0)</calculatedColumnFormula>
      <totalsRowFormula>SUBTOTAL(9,tabParametros[Salário Base])</totalsRowFormula>
    </tableColumn>
    <tableColumn id="10" xr3:uid="{B72EDD9E-A54D-460E-83F4-676F4699FF4A}" uniqueName="10" name="Adicional Periculosidade" totalsRowFunction="custom" queryTableFieldId="10" dataDxfId="206" totalsRowDxfId="225">
      <calculatedColumnFormula>IF(ISNUMBER(SEARCH("Eletricista",tabParametros[[#This Row],[Função]],1)),0.3*tabParametros[[#This Row],[Salário Base]],0)</calculatedColumnFormula>
      <totalsRowFormula>SUBTOTAL(9,tabParametros[Adicional Periculosidade])</totalsRowFormula>
    </tableColumn>
    <tableColumn id="11" xr3:uid="{C2BCD295-6B22-460E-B1CA-8CD991A841D6}" uniqueName="11" name="Adicional Insalubridade" totalsRowFunction="custom" queryTableFieldId="11" dataDxfId="205" totalsRowDxfId="226">
      <calculatedColumnFormula>IF(OR(ISNUMBER(SEARCH("Bombeiro Hidraulico",tabParametros[[#This Row],[Função]],1)),ISNUMBER(SEARCH("Jardineiro",tabParametros[[#This Row],[Função]],1)),ISNUMBER(SEARCH("Lavador de Veiculos",tabParametros[[#This Row],[Função]],1)),ISNUMBER(SEARCH("Marceneiro",tabParametros[[#This Row],[Função]],1)),ISNUMBER(SEARCH("Pintor",tabParametros[[#This Row],[Função]],1))),0.2*'BASE GERAL'!$R$4,0)</calculatedColumnFormula>
      <totalsRowFormula>SUBTOTAL(9,tabParametros[Adicional Insalubridade])</totalsRowFormula>
    </tableColumn>
    <tableColumn id="12" xr3:uid="{DA45C722-24BC-4402-BC37-68D93B63E115}" uniqueName="12" name="Adicional Noturno" totalsRowFunction="custom" queryTableFieldId="12" dataDxfId="204" totalsRowDxfId="227">
      <calculatedColumnFormula>IF(AND(ISNUMBER(SEARCH("Noturno",tabParametros[[#This Row],[Função]],1)),tabParametros[[#This Row],[Comarca]]&lt;&gt;"Juiz de Fora"),tabParametros[[#This Row],[Salário Base]]/210*0.39*7*15.5,IF(ISNUMBER(SEARCH("Noturno",tabParametros[[#This Row],[Função]],1)),tabParametros[[#This Row],[Salário Base]]/210*0.2*8*15.5,0))</calculatedColumnFormula>
      <totalsRowFormula>SUBTOTAL(9,tabParametros[Adicional Noturno])</totalsRowFormula>
    </tableColumn>
    <tableColumn id="13" xr3:uid="{42FB2988-2187-44B6-AE9D-81F61B3EC877}" uniqueName="13" name="Adicional Motorista II (Gratificação)" totalsRowFunction="custom" queryTableFieldId="13" dataDxfId="203" totalsRowDxfId="228">
      <calculatedColumnFormula>IF(ISNUMBER(SEARCH("Motorista II",tabParametros[[#This Row],[Função]],1)),0.25*tabParametros[[#This Row],[Salário Base]],0)</calculatedColumnFormula>
      <totalsRowFormula>SUBTOTAL(9,tabParametros[Adicional Motorista II (Gratificação)])</totalsRowFormula>
    </tableColumn>
    <tableColumn id="14" xr3:uid="{1A88E8C5-E689-4750-86C2-FF68517B5FF2}" uniqueName="14" name="Adicional de Sobreaviso" totalsRowFunction="custom" queryTableFieldId="14" dataDxfId="202" totalsRowDxfId="229">
      <totalsRowFormula>SUBTOTAL(9,tabParametros[Adicional de Sobreaviso])</totalsRowFormula>
    </tableColumn>
    <tableColumn id="15" xr3:uid="{61B8D3F4-9E15-4D45-A3F5-966F0FB7978A}" uniqueName="15" name="Horas Extras TI" totalsRowFunction="custom" queryTableFieldId="15" dataDxfId="201" totalsRowDxfId="230">
      <calculatedColumnFormula>IF(ISNUMBER(SEARCH("TECNOLOGIA DA INFORMACAO",tabParametros[[#This Row],[Função]],1)),0.0201*tabParametros[[#This Row],[Salário Base]],0)</calculatedColumnFormula>
      <totalsRowFormula>SUBTOTAL(9,tabParametros[Horas Extras TI])</totalsRowFormula>
    </tableColumn>
    <tableColumn id="16" xr3:uid="{E06FFEF9-1705-4871-81A6-674B0989D29E}" uniqueName="16" name="Adicional de Acúmulo de função" totalsRowFunction="custom" queryTableFieldId="16" dataDxfId="200" totalsRowDxfId="231">
      <calculatedColumnFormula array="1">_xlfn.IFS(
ISNUMBER(SEARCH("Auxiliar de Limpeza - 75 h",tabParametros[[#This Row],[Função]],1)),tabParametros[[#This Row],[Salário Base]]/75*0.75*30*0.12,
ISNUMBER(SEARCH("Auxiliar de Limpeza - 110 h",tabParametros[[#This Row],[Função]],1)),tabParametros[[#This Row],[Salário Base]]/110*1*30*0.12,
ISNUMBER(SEARCH("Auxiliar de Limpeza - 150 h",tabParametros[[#This Row],[Função]],1)),tabParametros[[#This Row],[Salário Base]]/150*1.5*30*0.12,
ISNUMBER(SEARCH("Auxiliar de Limpeza - 220 h",tabParametros[[#This Row],[Função]],1)),tabParametros[[#This Row],[Salário Base]]/220*2*30*0.12,
ISNUMBER(SEARCH("Auxiliar de Limpeza - 12 x 36",tabParametros[[#This Row],[Função]],1)),tabParametros[[#This Row],[Salário Base]]/220*2*30*0.12,
ISNUMBER(SEARCH("Auxiliar de Limpeza - 55 h",tabParametros[[#This Row],[Função]],1))=FALSE,0)</calculatedColumnFormula>
      <totalsRowFormula>SUBTOTAL(9,tabParametros[Adicional de Acúmulo de função])</totalsRowFormula>
    </tableColumn>
    <tableColumn id="17" xr3:uid="{063D33A2-220A-4D4B-B81F-972E3E92A86D}" uniqueName="17" name="INSS" totalsRowFunction="average" queryTableFieldId="17" dataDxfId="199" totalsRowDxfId="232" dataCellStyle="Porcentagem">
      <calculatedColumnFormula>VLOOKUP(tabParametros[[#Headers],[INSS]],tabImpostosNacionais[],2,0)</calculatedColumnFormula>
    </tableColumn>
    <tableColumn id="18" xr3:uid="{32779D31-59BC-496F-AD23-88149AFF4A79}" uniqueName="18" name="SESI OU SESC" totalsRowFunction="average" queryTableFieldId="18" dataDxfId="198" totalsRowDxfId="233" dataCellStyle="Porcentagem">
      <calculatedColumnFormula>VLOOKUP(tabParametros[[#Headers],[SESI OU SESC]],tabImpostosNacionais[],2,0)</calculatedColumnFormula>
    </tableColumn>
    <tableColumn id="19" xr3:uid="{C4D29949-9E10-4D1A-9830-6C98E6CEE43C}" uniqueName="19" name="SENAI OU SENAC" totalsRowFunction="average" queryTableFieldId="19" dataDxfId="197" totalsRowDxfId="234" dataCellStyle="Porcentagem">
      <calculatedColumnFormula>VLOOKUP(tabParametros[[#Headers],[SENAI OU SENAC]],tabImpostosNacionais[],2,0)</calculatedColumnFormula>
    </tableColumn>
    <tableColumn id="20" xr3:uid="{6D8412B6-44D5-4278-8A03-8727C9112EE6}" uniqueName="20" name="INCRA" totalsRowFunction="average" queryTableFieldId="20" dataDxfId="196" totalsRowDxfId="235" dataCellStyle="Porcentagem">
      <calculatedColumnFormula>VLOOKUP(tabParametros[[#Headers],[INCRA]],tabImpostosNacionais[],2,0)</calculatedColumnFormula>
    </tableColumn>
    <tableColumn id="21" xr3:uid="{55F9F62A-EE3C-493A-B8BE-8CEB902FA50A}" uniqueName="21" name="Salário Educação" totalsRowFunction="average" queryTableFieldId="21" dataDxfId="195" totalsRowDxfId="236" dataCellStyle="Porcentagem">
      <calculatedColumnFormula>VLOOKUP(tabParametros[[#Headers],[Salário Educação]],tabImpostosNacionais[],2,0)</calculatedColumnFormula>
    </tableColumn>
    <tableColumn id="22" xr3:uid="{329D319E-780D-49CA-8C8A-C7B702BB4074}" uniqueName="22" name="FGTS" totalsRowFunction="average" queryTableFieldId="22" dataDxfId="194" totalsRowDxfId="237" dataCellStyle="Porcentagem">
      <calculatedColumnFormula>VLOOKUP(tabParametros[[#Headers],[FGTS]],tabImpostosNacionais[],2,0)</calculatedColumnFormula>
    </tableColumn>
    <tableColumn id="23" xr3:uid="{63173652-AB6B-4D80-839B-C0606BCB5E31}" uniqueName="23" name="RAT Ajustado" totalsRowFunction="average" queryTableFieldId="23" dataDxfId="193" totalsRowDxfId="238" dataCellStyle="Porcentagem">
      <calculatedColumnFormula>VLOOKUP(tabParametros[[#Headers],[RAT Ajustado]],tabImpostosNacionais[],2,0)</calculatedColumnFormula>
    </tableColumn>
    <tableColumn id="24" xr3:uid="{E841436C-CF01-4336-89B5-17D4EAFAE601}" uniqueName="24" name="SEBRAE" totalsRowFunction="average" queryTableFieldId="24" dataDxfId="192" totalsRowDxfId="239" dataCellStyle="Porcentagem">
      <calculatedColumnFormula>VLOOKUP(tabParametros[[#Headers],[SEBRAE]],tabImpostosNacionais[],2,0)</calculatedColumnFormula>
    </tableColumn>
    <tableColumn id="25" xr3:uid="{F4854EAF-B656-4A6C-95D8-CCDE66458919}" uniqueName="25" name="13º salário (titular)" totalsRowFunction="average" queryTableFieldId="25" dataDxfId="191" totalsRowDxfId="240" dataCellStyle="Porcentagem">
      <calculatedColumnFormula>1/12</calculatedColumnFormula>
    </tableColumn>
    <tableColumn id="26" xr3:uid="{2A635587-F3B8-471A-BD7E-1E39FB8779B4}" uniqueName="26" name="Férias e Adicional de Férias (titular)" totalsRowFunction="average" queryTableFieldId="26" dataDxfId="190" totalsRowDxfId="241" dataCellStyle="Porcentagem">
      <calculatedColumnFormula>1/12+1/12/3</calculatedColumnFormula>
    </tableColumn>
    <tableColumn id="27" xr3:uid="{E7145BB6-8F67-480D-8286-0D8697605D48}" uniqueName="27" name="Vale - Transporte" totalsRowFunction="custom" queryTableFieldId="27" dataDxfId="189" totalsRowDxfId="242">
      <calculatedColumnFormula>VLOOKUP(tabParametros[[#This Row],[Comarca]],tabComarca[],5,0)</calculatedColumnFormula>
      <totalsRowFormula>SUBTOTAL(9,tabParametros[Vale - Transporte])</totalsRowFormula>
    </tableColumn>
    <tableColumn id="28" xr3:uid="{400C058D-4627-4508-B00B-1E42A220EDFD}" uniqueName="28" name="Vale - Alimentação" totalsRowFunction="custom" queryTableFieldId="28" dataDxfId="188" totalsRowDxfId="243">
      <calculatedColumnFormula>IFERROR(VLOOKUP(tabParametros[[#This Row],[CCT DA CATEGORIA]],tabSindicatos[],6,0),0)</calculatedColumnFormula>
      <totalsRowFormula>SUBTOTAL(9,tabParametros[Vale - Alimentação])</totalsRowFormula>
    </tableColumn>
    <tableColumn id="29" xr3:uid="{D159A627-75C1-4D31-8BC5-7511CC20C654}" uniqueName="29" name="Cesta Básica" totalsRowFunction="custom" queryTableFieldId="29" dataDxfId="187" totalsRowDxfId="244">
      <calculatedColumnFormula>IFERROR(VLOOKUP(tabParametros[[#This Row],[CCT DA CATEGORIA]],tabSindicatos[],7,0),0)</calculatedColumnFormula>
      <totalsRowFormula>SUBTOTAL(9,tabParametros[Cesta Básica])</totalsRowFormula>
    </tableColumn>
    <tableColumn id="30" xr3:uid="{C7E72A2F-B3BD-4078-AAD3-A6FEC8670D33}" uniqueName="30" name="PAF" totalsRowFunction="custom" queryTableFieldId="30" dataDxfId="186" totalsRowDxfId="245">
      <calculatedColumnFormula array="1">_xlfn.LET(
_xlpm.COMARCA, TRIM(UPPER(SUBSTITUTE(SUBSTITUTE(SUBSTITUTE(SUBSTITUTE(SUBSTITUTE(SUBSTITUTE(SUBSTITUTE(SUBSTITUTE(SUBSTITUTE(SUBSTITUTE(SUBSTITUTE(SUBSTITUTE(SUBSTITUTE(SUBSTITUTE(SUBSTITUTE(SUBSTITUTE(SUBSTITUTE(SUBSTITUTE(SUBSTITUTE(SUBSTITUTE(SUBSTITUTE(SUBSTITUTE(SUBSTITUTE(SUBSTITUTE(SUBSTITUTE(SUBSTITUTE(tabParametros[[#This Row],[Comarca]],"á","a"),"ã","a"),"â","a"),"é","e"),"ê","e"),"í","i"),"ó","o"),"õ","o"),"ô","o"),"ú","u"),"ç","c"),"Á","a"),"Ã","a"),"Â","a"),"É","e"),"Ê","e"),"Í","i"),"Ó","o"),"Õ","o"),"Ô","o"),"Ú","u"),"Ç","c"),"/MG","")," e ",", ")," ",""),".",""))),
_xlpm.MATRIZ_COMARCA, TRIM(UPPER(SUBSTITUTE(SUBSTITUTE(SUBSTITUTE(SUBSTITUTE(SUBSTITUTE(SUBSTITUTE(SUBSTITUTE(SUBSTITUTE(SUBSTITUTE(SUBSTITUTE(SUBSTITUTE(SUBSTITUTE(SUBSTITUTE(SUBSTITUTE(SUBSTITUTE(SUBSTITUTE(SUBSTITUTE(SUBSTITUTE(SUBSTITUTE(SUBSTITUTE(SUBSTITUTE(SUBSTITUTE(SUBSTITUTE(SUBSTITUTE(SUBSTITUTE(SUBSTITUTE(tabSindicatos[COMARCAS PAF],"á","a"),"ã","a"),"â","a"),"é","e"),"ê","e"),"í","i"),"ó","o"),"õ","o"),"ô","o"),"ú","u"),"ç","c"),"Á","a"),"Ã","a"),"Â","a"),"É","e"),"Ê","e"),"Í","i"),"Ó","o"),"Õ","o"),"Ô","o"),"Ú","u"),"Ç","c"),"/MG","")," e ",", ")," ",""),".",""))),
IFERROR(IF(_xlfn.XLOOKUP(tabParametros[[#This Row],[CCT DA CATEGORIA]],tabSindicatos[SINDICATOS],tabSindicatos[COMARCAS PAF])="",
VLOOKUP(tabParametros[[#This Row],[CCT DA CATEGORIA]],tabSindicatos[],8,0),
IF(ISNUMBER(SEARCH(TRIM(_xlpm.COMARCA),_xlfn.XLOOKUP(tabParametros[[#This Row],[CCT DA CATEGORIA]],tabSindicatos[SINDICATOS],_xlpm.MATRIZ_COMARCA),1)),VLOOKUP(tabParametros[[#This Row],[CCT DA CATEGORIA]],tabSindicatos[],8,0),0)
),0)
)</calculatedColumnFormula>
      <totalsRowFormula>SUBTOTAL(9,tabParametros[PAF])</totalsRowFormula>
    </tableColumn>
    <tableColumn id="31" xr3:uid="{C8005BBD-A1FF-400A-A0B3-709646311AB0}" uniqueName="31" name="PQM" totalsRowFunction="custom" queryTableFieldId="31" dataDxfId="185" totalsRowDxfId="246">
      <calculatedColumnFormula>IFERROR(VLOOKUP(tabParametros[[#This Row],[CCT DA CATEGORIA]],tabSindicatos[],9,0),0)</calculatedColumnFormula>
      <totalsRowFormula>SUBTOTAL(9,tabParametros[PQM])</totalsRowFormula>
    </tableColumn>
    <tableColumn id="32" xr3:uid="{457A88E7-2A27-44F3-B778-BCE894907CAE}" uniqueName="32" name="PAT" totalsRowFunction="custom" queryTableFieldId="32" dataDxfId="184" totalsRowDxfId="247">
      <calculatedColumnFormula>IFERROR(VLOOKUP(tabParametros[[#This Row],[CCT DA CATEGORIA]],tabSindicatos[],10,0),0)</calculatedColumnFormula>
      <totalsRowFormula>SUBTOTAL(9,tabParametros[PAT])</totalsRowFormula>
    </tableColumn>
    <tableColumn id="33" xr3:uid="{C6FC81EB-7106-4BDB-BCD4-5DE0F61F5B0E}" uniqueName="33" name="Seguro de Vida" totalsRowFunction="custom" queryTableFieldId="33" dataDxfId="183" totalsRowDxfId="248" dataCellStyle="Moeda">
      <calculatedColumnFormula>VLOOKUP(tabParametros[[#Headers],[Seguro de Vida]],tabOutrosCustos[],3,0)</calculatedColumnFormula>
      <totalsRowFormula>SUBTOTAL(9,tabParametros[Seguro de Vida])</totalsRowFormula>
    </tableColumn>
    <tableColumn id="34" xr3:uid="{D61FDE6B-6A8C-4209-8D32-331363CC9066}" uniqueName="34" name="Despesas de Viagem" totalsRowFunction="custom" queryTableFieldId="34" dataDxfId="182" totalsRowDxfId="249" dataCellStyle="Moeda">
      <calculatedColumnFormula>IF(ISNUMBER(SEARCH("MOTORISTA",tabParametros[[#This Row],[Função]],1)),VLOOKUP("MOTORISTAS",tabDiarias[],2,0),IF(tabParametros[[#This Row],[Comarca]]="Belo Horizonte",VLOOKUP("LIMPEZA",tabDiarias[],2,0),0))</calculatedColumnFormula>
      <totalsRowFormula>SUBTOTAL(9,tabParametros[Despesas de Viagem])</totalsRowFormula>
    </tableColumn>
    <tableColumn id="35" xr3:uid="{C41F810E-4A94-4CD9-AD9A-086192AB8B1D}" uniqueName="35" name="Aviso Prévio Indenizado (API) e Reflexo do Aviso Prévio Indenizado" totalsRowFunction="average" queryTableFieldId="35" dataDxfId="181" totalsRowDxfId="250" dataCellStyle="Porcentagem">
      <calculatedColumnFormula>(1/12*7%)+((1+1+1/3)*1/12)*(7%/12)+((1/12*0.05)+((1+1+1/3)*1/12)*(7%/12))/30*3*5/60</calculatedColumnFormula>
    </tableColumn>
    <tableColumn id="36" xr3:uid="{05843800-6B9A-4359-8791-01FFD9F91A63}" uniqueName="36" name="Incidência do FGTS sobre API e Reflexo do API" totalsRowFunction="average" queryTableFieldId="36" dataDxfId="180" totalsRowDxfId="251">
      <calculatedColumnFormula>tabParametros[[#This Row],[FGTS]]*tabParametros[[#This Row],[Aviso Prévio Indenizado (API) e Reflexo do Aviso Prévio Indenizado]]</calculatedColumnFormula>
    </tableColumn>
    <tableColumn id="37" xr3:uid="{D6BCB535-3606-4046-B0D0-DFD70392E9FC}" uniqueName="37" name="Multa Rescisória do FGTS sobre o Aviso Prévio Indenizado" totalsRowFunction="average" queryTableFieldId="37" dataDxfId="179" totalsRowDxfId="252">
      <calculatedColumnFormula>tabParametros[[#This Row],[FGTS]]*tabParametros[[#This Row],[Aviso Prévio Indenizado (API) e Reflexo do Aviso Prévio Indenizado]]*40%</calculatedColumnFormula>
    </tableColumn>
    <tableColumn id="38" xr3:uid="{44B25A88-1D32-4532-BE48-B47317D4BC42}" uniqueName="38" name="Aviso Prévio Trabalhado - APT" totalsRowFunction="average" queryTableFieldId="38" dataDxfId="178" totalsRowDxfId="253" dataCellStyle="Porcentagem">
      <calculatedColumnFormula>((1/30*7)*0.9)/60</calculatedColumnFormula>
    </tableColumn>
    <tableColumn id="39" xr3:uid="{DDA1A462-4BFF-48FA-A71A-36D5899E98E2}" uniqueName="39" name="Incidência dos encargos do submódulo 2.1 sobre Aviso Prévio Trabalhado" totalsRowFunction="average" queryTableFieldId="39" dataDxfId="177" totalsRowDxfId="254" dataCellStyle="Porcentagem">
      <calculatedColumnFormula>tabParametros[[#This Row],[Aviso Prévio Trabalhado - APT]]*SUM(tabParametros[[#This Row],[INSS]:[SEBRAE]])</calculatedColumnFormula>
    </tableColumn>
    <tableColumn id="40" xr3:uid="{18D4FDFE-5A5A-4C76-AA08-DEE799C3C4FC}" uniqueName="40" name="Multa Rescisória do FGTS" totalsRowFunction="average" queryTableFieldId="40" dataDxfId="176" totalsRowDxfId="255" dataCellStyle="Porcentagem">
      <calculatedColumnFormula>0.4*0.08*0.8*(1+1/12+1/12+1/3/12)</calculatedColumnFormula>
    </tableColumn>
    <tableColumn id="41" xr3:uid="{DEE2BD07-0494-488C-9426-281B54A42479}" uniqueName="41" name="Indenização Adicional (Art. 9º da Lei nº 7.238/84)" totalsRowFunction="average" queryTableFieldId="41" dataDxfId="175" totalsRowDxfId="256" dataCellStyle="Porcentagem">
      <calculatedColumnFormula>(1*1%)/12</calculatedColumnFormula>
    </tableColumn>
    <tableColumn id="42" xr3:uid="{2059E328-DB17-4BED-9FB3-0B50B55CD470}" uniqueName="42" name="Ausência por Doença" totalsRowFunction="average" queryTableFieldId="42" dataDxfId="174" totalsRowDxfId="257" dataCellStyle="Porcentagem">
      <calculatedColumnFormula>1/30*3.04/12</calculatedColumnFormula>
    </tableColumn>
    <tableColumn id="43" xr3:uid="{B1E38F53-CB60-46BB-A105-D84650201C0B}" uniqueName="43" name="Ausências Legais" totalsRowFunction="average" queryTableFieldId="43" dataDxfId="173" totalsRowDxfId="258" dataCellStyle="Porcentagem">
      <calculatedColumnFormula>0.73/30/12</calculatedColumnFormula>
    </tableColumn>
    <tableColumn id="44" xr3:uid="{343588FD-4573-4E24-B6C6-66054E7435E5}" uniqueName="44" name="Licença Paternidade" totalsRowFunction="average" queryTableFieldId="44" dataDxfId="172" totalsRowDxfId="259" dataCellStyle="Porcentagem">
      <calculatedColumnFormula>5/30/12*1.23%</calculatedColumnFormula>
    </tableColumn>
    <tableColumn id="45" xr3:uid="{748D1A9F-BACB-4C94-AC34-74CA9585A628}" uniqueName="45" name="Ausência por Acidente de Trabalho" totalsRowFunction="average" queryTableFieldId="45" dataDxfId="171" totalsRowDxfId="260" dataCellStyle="Porcentagem">
      <calculatedColumnFormula>1/30*15*0.5%/12</calculatedColumnFormula>
    </tableColumn>
    <tableColumn id="46" xr3:uid="{1176AA2A-39F2-49B7-8493-5AD425720F90}" uniqueName="46" name="Férias, Adicional de Férias e 13º  com empregada em gozo de Licença Maternidade" totalsRowFunction="average" queryTableFieldId="46" dataDxfId="170" totalsRowDxfId="261" dataCellStyle="Porcentagem">
      <calculatedColumnFormula>((1/12+1/12+1/3/12)*4/12)*2%</calculatedColumnFormula>
    </tableColumn>
    <tableColumn id="47" xr3:uid="{4D6D164C-9BE9-4288-A681-5DD85368D94F}" uniqueName="47" name="Incidência do Submódulo 2.1 sobre Ausências Legais" totalsRowFunction="average" queryTableFieldId="47" dataDxfId="169" totalsRowDxfId="262">
      <calculatedColumnFormula>SUM(tabParametros[[#This Row],[Ausência por Doença]:[Férias, Adicional de Férias e 13º  com empregada em gozo de Licença Maternidade]])*SUM(tabParametros[[#This Row],[INSS]:[SEBRAE]])</calculatedColumnFormula>
    </tableColumn>
    <tableColumn id="48" xr3:uid="{C5424731-42E1-46A7-BE7D-279B1B49A256}" uniqueName="48" name="Intervalo para Repouso ou Alimentação" totalsRowFunction="custom" queryTableFieldId="48" dataDxfId="168" totalsRowDxfId="263">
      <calculatedColumnFormula>IF(tabParametros[[#This Row],[Função]]="Porteiro - 220 h",SUM(tabParametros[[#This Row],[Salário Base]:[Adicional de Acúmulo de função]])/220*20*1.5,IF(ISNUMBER(SEARCH("12 x 36",tabParametros[[#This Row],[Função]],1)),SUM(tabParametros[[#This Row],[Salário Base]:[Adicional de Acúmulo de função]])/210*15.5*1.5,0))</calculatedColumnFormula>
      <totalsRowFormula>SUBTOTAL(9,tabParametros[Intervalo para Repouso ou Alimentação])</totalsRowFormula>
    </tableColumn>
    <tableColumn id="49" xr3:uid="{AABD8415-C514-49B9-9D70-98E09DC35139}" uniqueName="49" name="Suspensão Temporária do Contrato de Trabalho" totalsRowFunction="custom" queryTableFieldId="49" dataDxfId="167" totalsRowDxfId="264">
      <calculatedColumnFormula>IF(tabParametros[[#This Row],[Vagas contratadas]]&gt;0,(SUM(tabParametros[[#This Row],[Salário Base]:[Adicional de Acúmulo de função]])*30%+SUM(tabParametros[[#This Row],[Vale - Alimentação]:[Seguro de Vida]]))/tabParametros[[#This Row],[Vagas contratadas]]*tabParametros[[#This Row],[Vagas suspensas]],0)</calculatedColumnFormula>
      <totalsRowFormula>SUBTOTAL(9,tabParametros[Suspensão Temporária do Contrato de Trabalho])</totalsRowFormula>
    </tableColumn>
    <tableColumn id="50" xr3:uid="{BE534D93-55D8-468B-A2D3-3C230ABED09F}" uniqueName="50" name="Uniformes e EPIs" totalsRowFunction="custom" queryTableFieldId="50" dataDxfId="166" totalsRowDxfId="265">
      <calculatedColumnFormula>SUMIF(tabUniformes[Cargo],tabParametros[[#This Row],[Função]],tabUniformes[Valor unit. Mensal])</calculatedColumnFormula>
      <totalsRowFormula>SUBTOTAL(9,tabParametros[Uniformes e EPIs])</totalsRowFormula>
    </tableColumn>
    <tableColumn id="51" xr3:uid="{96E76D6C-9E9F-4A1C-80CA-DFB07D1EA25E}" uniqueName="51" name="Materiais de Consumo" totalsRowFunction="custom" queryTableFieldId="51" dataDxfId="165" totalsRowDxfId="266">
      <calculatedColumnFormula>IF(ISNUMBER(SEARCH("AUXILIAR DE LIMPEZA - 75 H",tabParametros[[#This Row],[Função]],1)),
SUMIF(tabLimpGeral[TIPO],"Material",tabLimpGeral[VALOR UNITÁRIO P/ HORA (R$)])*75,
IF(ISNUMBER(SEARCH("AUXILIAR DE LIMPEZA - 110 H",tabParametros[[#This Row],[Função]],1)),
SUMIF(tabLimpGeral[TIPO],"Material",tabLimpGeral[VALOR UNITÁRIO P/ HORA (R$)])*110,
IF(ISNUMBER(SEARCH("AUXILIAR DE LIMPEZA - 150 H",tabParametros[[#This Row],[Função]],1)),
SUMIF(tabLimpGeral[TIPO],"Material",tabLimpGeral[VALOR UNITÁRIO P/ HORA (R$)])*150,
IF(ISNUMBER(SEARCH("AUXILIAR DE LIMPEZA - 220 H",tabParametros[[#This Row],[Função]],1)),
SUMIF(tabLimpGeral[TIPO],"Material",tabLimpGeral[VALOR UNITÁRIO P/ HORA (R$)])*220,
IF(ISNUMBER(SEARCH("AUXILIAR DE LIMPEZA - 12 x 36",tabParametros[[#This Row],[Função]],1)),
SUMIF(tabLimpGeral[TIPO],"Material",tabLimpGeral[VALOR UNITÁRIO P/ HORA (R$)])*220,
IF(ISNUMBER(SEARCH("Limpador de vidros - 220 h",tabParametros[[#This Row],[Função]],1)),
SUMIF(tabVidros[TIPO],"Material",tabVidros[VALOR UNITÁRIO P/ POSTO (R$)]),
0))))))</calculatedColumnFormula>
      <totalsRowFormula>SUBTOTAL(9,tabParametros[Materiais de Consumo])</totalsRowFormula>
    </tableColumn>
    <tableColumn id="52" xr3:uid="{A8E38898-EBA8-4E80-B70B-EF37FBCE2620}" uniqueName="52" name="Máquinas e Equipamentos (depreciação)" totalsRowFunction="custom" queryTableFieldId="52" dataDxfId="164" totalsRowDxfId="267">
      <calculatedColumnFormula>IF(ISNUMBER(SEARCH("AUXILIAR DE LIMPEZA - 75 H",tabParametros[[#This Row],[Função]],1)),
SUMIF(tabLimpGeral[TIPO],"Equipamento",tabLimpGeral[VALOR UNITÁRIO P/ HORA (R$)])*75,
IF(ISNUMBER(SEARCH("AUXILIAR DE LIMPEZA - 110 H",tabParametros[[#This Row],[Função]],1)),
SUMIF(tabLimpGeral[TIPO],"Equipamento",tabLimpGeral[VALOR UNITÁRIO P/ HORA (R$)])*110,
IF(ISNUMBER(SEARCH("AUXILIAR DE LIMPEZA - 150 H",tabParametros[[#This Row],[Função]],1)),
SUMIF(tabLimpGeral[TIPO],"Equipamento",tabLimpGeral[VALOR UNITÁRIO P/ HORA (R$)])*150,
IF(ISNUMBER(SEARCH("AUXILIAR DE LIMPEZA - 220 H",tabParametros[[#This Row],[Função]],1)),
SUMIF(tabLimpGeral[TIPO],"Equipamento",tabLimpGeral[VALOR UNITÁRIO P/ HORA (R$)])*220,
IF(ISNUMBER(SEARCH("AUXILIAR DE LIMPEZA - 12 x 36",tabParametros[[#This Row],[Função]],1)),
SUMIF(tabLimpGeral[TIPO],"Equipamento",tabLimpGeral[VALOR UNITÁRIO P/ HORA (R$)])*220,
IF(ISNUMBER(SEARCH("Limpador de vidros - 220 h",tabParametros[[#This Row],[Função]],1)),
SUMIF(tabVidros[TIPO],"Equipamento",tabVidros[VALOR UNITÁRIO P/ POSTO (R$)]),
0))))))</calculatedColumnFormula>
      <totalsRowFormula>SUBTOTAL(9,tabParametros[Máquinas e Equipamentos (depreciação)])</totalsRowFormula>
    </tableColumn>
    <tableColumn id="53" xr3:uid="{83C62263-40CE-4F90-9E20-918CB785D7A7}" uniqueName="53" name="Produtos de Limpeza e Materiais de Higiene Pessoal" totalsRowFunction="custom" queryTableFieldId="53" dataDxfId="163" totalsRowDxfId="268">
      <calculatedColumnFormula>IF(ISNUMBER(SEARCH("AUXILIAR DE LIMPEZA - 75 H",tabParametros[[#This Row],[Função]],1)),
SUMIF(tabLimpGeral[TIPO],"Produto",tabLimpGeral[VALOR UNITÁRIO P/ HORA (R$)])*75,
IF(ISNUMBER(SEARCH("AUXILIAR DE LIMPEZA - 110 H",tabParametros[[#This Row],[Função]],1)),
SUMIF(tabLimpGeral[TIPO],"Produto",tabLimpGeral[VALOR UNITÁRIO P/ HORA (R$)])*110,
IF(ISNUMBER(SEARCH("AUXILIAR DE LIMPEZA - 150 H",tabParametros[[#This Row],[Função]],1)),
SUMIF(tabLimpGeral[TIPO],"Produto",tabLimpGeral[VALOR UNITÁRIO P/ HORA (R$)])*150,
IF(ISNUMBER(SEARCH("AUXILIAR DE LIMPEZA - 220 H",tabParametros[[#This Row],[Função]],1)),
SUMIF(tabLimpGeral[TIPO],"Produto",tabLimpGeral[VALOR UNITÁRIO P/ HORA (R$)])*220,
IF(ISNUMBER(SEARCH("AUXILIAR DE LIMPEZA - 12 x 36",tabParametros[[#This Row],[Função]],1)),
SUMIF(tabLimpGeral[TIPO],"Produto",tabLimpGeral[VALOR UNITÁRIO P/ HORA (R$)])*220,
IF(ISNUMBER(SEARCH("Limpador de vidros - 220 h",tabParametros[[#This Row],[Função]],1)),
SUMIF(tabVidros[TIPO],"Produto",tabVidros[VALOR UNITÁRIO P/ POSTO (R$)]),
0))))))</calculatedColumnFormula>
      <totalsRowFormula>SUBTOTAL(9,tabParametros[Produtos de Limpeza e Materiais de Higiene Pessoal])</totalsRowFormula>
    </tableColumn>
    <tableColumn id="54" xr3:uid="{4BBA2561-2E53-4FF9-A6F6-352DE073A8B2}" uniqueName="54" name="Outros (especificar)" totalsRowFunction="custom" queryTableFieldId="54" dataDxfId="162" totalsRowDxfId="269">
      <totalsRowFormula>SUBTOTAL(9,tabParametros[Outros (especificar)])</totalsRowFormula>
    </tableColumn>
    <tableColumn id="55" xr3:uid="{B24A65AB-6F01-4A56-B80D-8564D641F123}" uniqueName="55" name="Custos Indiretos" totalsRowFunction="custom" queryTableFieldId="55" dataDxfId="161" totalsRowDxfId="270" dataCellStyle="Moeda">
      <calculatedColumnFormula>VLOOKUP(tabParametros[[#Headers],[Custos Indiretos]],tabOutrosCustos[],3,0)</calculatedColumnFormula>
      <totalsRowFormula>SUBTOTAL(9,tabParametros[Custos Indiretos])</totalsRowFormula>
    </tableColumn>
    <tableColumn id="56" xr3:uid="{8F6A8665-90BB-4248-BB40-D7C10C510BF5}" uniqueName="56" name="Lucro" totalsRowFunction="custom" queryTableFieldId="56" dataDxfId="160" totalsRowDxfId="271" dataCellStyle="Moeda">
      <calculatedColumnFormula>VLOOKUP(tabParametros[[#Headers],[Lucro]],tabOutrosCustos[],3,0)</calculatedColumnFormula>
      <totalsRowFormula>SUBTOTAL(9,tabParametros[Lucro])</totalsRowFormula>
    </tableColumn>
    <tableColumn id="57" xr3:uid="{50C4FBC6-FAAA-455F-BCBF-04F883E218D1}" uniqueName="57" name="COFINS" totalsRowFunction="average" queryTableFieldId="57" dataDxfId="159" totalsRowDxfId="272" dataCellStyle="Porcentagem">
      <calculatedColumnFormula>VLOOKUP(tabParametros[[#Headers],[COFINS]],tabImpostosNacionais[],2,0)</calculatedColumnFormula>
    </tableColumn>
    <tableColumn id="58" xr3:uid="{0B9DA337-65D2-478E-AA90-65D98C872B4C}" uniqueName="58" name="PIS" totalsRowFunction="average" queryTableFieldId="58" dataDxfId="158" totalsRowDxfId="273" dataCellStyle="Porcentagem">
      <calculatedColumnFormula>VLOOKUP(tabParametros[[#Headers],[PIS]],tabImpostosNacionais[],2,0)</calculatedColumnFormula>
    </tableColumn>
    <tableColumn id="59" xr3:uid="{7CB5941F-93CD-4BBA-9796-D14F9B6090EE}" uniqueName="59" name="ISS" totalsRowFunction="average" queryTableFieldId="59" dataDxfId="157" totalsRowDxfId="274" dataCellStyle="Porcentagem">
      <calculatedColumnFormula>VLOOKUP(tabParametros[[#This Row],[Comarca]],tabComarca[],4,0)</calculatedColumnFormula>
    </tableColumn>
    <tableColumn id="60" xr3:uid="{FA7333B3-3E2D-4E16-B476-49E892F18092}" uniqueName="60" name="ANO DA CCT" queryTableFieldId="60" dataDxfId="156" totalsRowDxfId="275">
      <calculatedColumnFormula>IFERROR(VLOOKUP(tabParametros[[#This Row],[CCT DA CATEGORIA]],tabSindicatos[],11,0),"")</calculatedColumnFormula>
    </tableColumn>
    <tableColumn id="61" xr3:uid="{091ED018-935C-445F-B60C-13E9840E2FD5}" uniqueName="61" name="Nº DE PEDIDO DA CCT" queryTableFieldId="61" dataDxfId="155" totalsRowDxfId="276">
      <calculatedColumnFormula>IFERROR(VLOOKUP(tabParametros[[#This Row],[CCT DA CATEGORIA]],tabSindicatos[],12,0),"")</calculatedColumnFormula>
    </tableColumn>
    <tableColumn id="62" xr3:uid="{78192D86-7D76-4A39-80A1-ADEFD8DB893D}" uniqueName="62" name="TERMO ADITIVO ALTERAÇÃO DA CCT" queryTableFieldId="62" dataDxfId="154" totalsRowDxfId="277">
      <calculatedColumnFormula>IFERROR(VLOOKUP(tabParametros[[#This Row],[CCT DA CATEGORIA]],tabSindicatos[],13,0),"")</calculatedColumnFormula>
    </tableColumn>
  </tableColumns>
  <tableStyleInfo showFirstColumn="0" showLastColumn="0" showRowStripes="1" showColumnStripes="0"/>
</table>
</file>

<file path=xl/tables/table1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8" xr:uid="{7508EECD-1FDA-4217-8162-5C06B748027F}" name="tabCustoUnit" displayName="tabCustoUnit" ref="A3:CB256" tableType="queryTable" totalsRowCount="1" headerRowDxfId="470" totalsRowDxfId="469">
  <autoFilter ref="A3:CB255" xr:uid="{7508EECD-1FDA-4217-8162-5C06B748027F}"/>
  <tableColumns count="80">
    <tableColumn id="1" xr3:uid="{4E505646-E0E9-49C5-A534-25AC2DAACD23}" uniqueName="1" name="Código do Posto" totalsRowLabel="Total" queryTableFieldId="1" dataDxfId="76" totalsRowDxfId="77"/>
    <tableColumn id="2" xr3:uid="{D29A6D5A-9EBC-4017-8DB4-C220C74EBC0A}" uniqueName="2" name="Comarca" queryTableFieldId="2"/>
    <tableColumn id="3" xr3:uid="{062B1254-5EBA-49EB-98F2-BA95D5A5F6D6}" uniqueName="3" name="Função" queryTableFieldId="3"/>
    <tableColumn id="4" xr3:uid="{9FC0FD61-E806-4948-82A4-92F5E5F05D5F}" uniqueName="4" name="CCT DA CATEGORIA" queryTableFieldId="4"/>
    <tableColumn id="5" xr3:uid="{8DDD01A7-F1A7-44C6-9842-D1951FCD66D2}" uniqueName="5" name="Classificação" queryTableFieldId="5" dataDxfId="75" totalsRowDxfId="78"/>
    <tableColumn id="6" xr3:uid="{9DB3797F-E905-4218-8913-D08152AEB2F3}" uniqueName="6" name="Fonte de Recursos" queryTableFieldId="6" dataDxfId="74" totalsRowDxfId="79"/>
    <tableColumn id="7" xr3:uid="{A087EDD0-8AD0-4D87-9FD9-B3354F54E84B}" uniqueName="7" name="Salário Base" totalsRowFunction="custom" queryTableFieldId="7" dataDxfId="73" totalsRowDxfId="80" dataCellStyle="Moeda">
      <totalsRowFormula>SUBTOTAL(9,tabCustoUnit[Salário Base])</totalsRowFormula>
    </tableColumn>
    <tableColumn id="8" xr3:uid="{DFD9C7E2-C4D4-4870-A134-A92CD50E4DCC}" uniqueName="8" name="Adicional Periculosidade" totalsRowFunction="custom" queryTableFieldId="83" dataDxfId="72" totalsRowDxfId="81" dataCellStyle="Moeda">
      <totalsRowFormula>SUBTOTAL(9,tabCustoUnit[Adicional Periculosidade])</totalsRowFormula>
    </tableColumn>
    <tableColumn id="9" xr3:uid="{B5FD290E-CDBC-4F6F-94DB-0D26D91BA14A}" uniqueName="9" name="Adicional Insalubridade" totalsRowFunction="custom" queryTableFieldId="84" dataDxfId="71" totalsRowDxfId="82" dataCellStyle="Moeda">
      <totalsRowFormula>SUBTOTAL(9,tabCustoUnit[Adicional Insalubridade])</totalsRowFormula>
    </tableColumn>
    <tableColumn id="10" xr3:uid="{376B9EDC-0502-4AE8-B06D-EAE924DF94B1}" uniqueName="10" name="Adicional Noturno" totalsRowFunction="custom" queryTableFieldId="85" dataDxfId="70" totalsRowDxfId="83" dataCellStyle="Moeda">
      <totalsRowFormula>SUBTOTAL(9,tabCustoUnit[Adicional Noturno])</totalsRowFormula>
    </tableColumn>
    <tableColumn id="11" xr3:uid="{291AD08F-9F1F-4A80-95A2-2C3D8F7FFD50}" uniqueName="11" name="Adicional Motorista II (Gratificação)" totalsRowFunction="custom" queryTableFieldId="86" dataDxfId="69" totalsRowDxfId="84" dataCellStyle="Moeda">
      <totalsRowFormula>SUBTOTAL(9,tabCustoUnit[Adicional Motorista II (Gratificação)])</totalsRowFormula>
    </tableColumn>
    <tableColumn id="12" xr3:uid="{D9908921-FE0E-4328-B979-E815328143CF}" uniqueName="12" name="Adicional de Sobreaviso" totalsRowFunction="custom" queryTableFieldId="87" dataDxfId="68" totalsRowDxfId="85" dataCellStyle="Moeda">
      <totalsRowFormula>SUBTOTAL(9,tabCustoUnit[Adicional de Sobreaviso])</totalsRowFormula>
    </tableColumn>
    <tableColumn id="13" xr3:uid="{BD8E561D-D7D6-47C8-AE10-0C8B9409CB12}" uniqueName="13" name="Horas Extras TI" totalsRowFunction="custom" queryTableFieldId="90" dataDxfId="67" totalsRowDxfId="86" dataCellStyle="Moeda">
      <totalsRowFormula>SUBTOTAL(9,tabCustoUnit[Horas Extras TI])</totalsRowFormula>
    </tableColumn>
    <tableColumn id="14" xr3:uid="{F66379FE-BEF1-4B9F-9BD2-52A7E33644EC}" uniqueName="14" name="Adicional de Acúmulo de função" totalsRowFunction="custom" queryTableFieldId="89" dataDxfId="66" totalsRowDxfId="87" dataCellStyle="Moeda">
      <totalsRowFormula>SUBTOTAL(9,tabCustoUnit[Adicional de Acúmulo de função])</totalsRowFormula>
    </tableColumn>
    <tableColumn id="15" xr3:uid="{209D1DC7-C0C0-4594-94D9-7032C2E30B96}" uniqueName="15" name="MODULO 1 - REMUNERAÇÃO " totalsRowFunction="custom" queryTableFieldId="15" dataDxfId="65" totalsRowDxfId="88" dataCellStyle="Moeda">
      <calculatedColumnFormula>SUM(tabCustoUnit[[#This Row],[Salário Base]:[Adicional de Acúmulo de função]])</calculatedColumnFormula>
      <totalsRowFormula>SUBTOTAL(9,tabCustoUnit[MODULO 1 - REMUNERAÇÃO ])</totalsRowFormula>
    </tableColumn>
    <tableColumn id="16" xr3:uid="{2945DA03-B2C8-42BB-9746-10CDD42C7BE4}" uniqueName="16" name="INSS" totalsRowFunction="custom" queryTableFieldId="16" dataDxfId="64" totalsRowDxfId="89" dataCellStyle="Moeda">
      <calculatedColumnFormula>tabCustoUnit[[#This Row],[MODULO 1 - REMUNERAÇÃO ]]*SUMIFS(tabParametros[INSS],tabParametros[Código do Posto],tabCustoUnit[[#This Row],[Código do Posto]])</calculatedColumnFormula>
      <totalsRowFormula>SUBTOTAL(9,tabCustoUnit[INSS])</totalsRowFormula>
    </tableColumn>
    <tableColumn id="17" xr3:uid="{61BF0BEF-7DA7-4F04-90EF-4DFBB2D5AEF4}" uniqueName="17" name="SESI OU SESC" totalsRowFunction="custom" queryTableFieldId="17" dataDxfId="63" totalsRowDxfId="90" dataCellStyle="Moeda">
      <calculatedColumnFormula>tabCustoUnit[[#This Row],[MODULO 1 - REMUNERAÇÃO ]]*SUMIFS(tabParametros[SESI OU SESC],tabParametros[Código do Posto],tabCustoUnit[[#This Row],[Código do Posto]])</calculatedColumnFormula>
      <totalsRowFormula>SUBTOTAL(9,tabCustoUnit[SESI OU SESC])</totalsRowFormula>
    </tableColumn>
    <tableColumn id="18" xr3:uid="{0DDDCB7B-E700-4BB2-9213-609C4B80AC3F}" uniqueName="18" name="SENAI OU SENAC" totalsRowFunction="custom" queryTableFieldId="18" dataDxfId="62" totalsRowDxfId="91" dataCellStyle="Moeda">
      <calculatedColumnFormula>tabCustoUnit[[#This Row],[MODULO 1 - REMUNERAÇÃO ]]*SUMIFS(tabParametros[SENAI OU SENAC],tabParametros[Código do Posto],tabCustoUnit[[#This Row],[Código do Posto]])</calculatedColumnFormula>
      <totalsRowFormula>SUBTOTAL(9,tabCustoUnit[SENAI OU SENAC])</totalsRowFormula>
    </tableColumn>
    <tableColumn id="19" xr3:uid="{3DC401E7-3577-4BEC-B804-A4D5B2BE199C}" uniqueName="19" name="INCRA" totalsRowFunction="custom" queryTableFieldId="19" dataDxfId="61" totalsRowDxfId="92" dataCellStyle="Moeda">
      <calculatedColumnFormula>tabCustoUnit[[#This Row],[MODULO 1 - REMUNERAÇÃO ]]*SUMIFS(tabParametros[INCRA],tabParametros[Código do Posto],tabCustoUnit[[#This Row],[Código do Posto]])</calculatedColumnFormula>
      <totalsRowFormula>SUBTOTAL(9,tabCustoUnit[INCRA])</totalsRowFormula>
    </tableColumn>
    <tableColumn id="20" xr3:uid="{6F1761C6-4C54-48D5-AB20-D1520E5CAEAC}" uniqueName="20" name="Salário Educação" totalsRowFunction="custom" queryTableFieldId="20" dataDxfId="60" totalsRowDxfId="93" dataCellStyle="Moeda">
      <calculatedColumnFormula>tabCustoUnit[[#This Row],[MODULO 1 - REMUNERAÇÃO ]]*SUMIFS(tabParametros[Salário Educação],tabParametros[Código do Posto],tabCustoUnit[[#This Row],[Código do Posto]])</calculatedColumnFormula>
      <totalsRowFormula>SUBTOTAL(9,tabCustoUnit[Salário Educação])</totalsRowFormula>
    </tableColumn>
    <tableColumn id="21" xr3:uid="{2757CAC7-AFCF-47A0-820A-FA9EEBD22149}" uniqueName="21" name="FGTS" totalsRowFunction="custom" queryTableFieldId="21" dataDxfId="59" totalsRowDxfId="94" dataCellStyle="Moeda">
      <calculatedColumnFormula>tabCustoUnit[[#This Row],[MODULO 1 - REMUNERAÇÃO ]]*SUMIFS(tabParametros[FGTS],tabParametros[Código do Posto],tabCustoUnit[[#This Row],[Código do Posto]])</calculatedColumnFormula>
      <totalsRowFormula>SUBTOTAL(9,tabCustoUnit[FGTS])</totalsRowFormula>
    </tableColumn>
    <tableColumn id="22" xr3:uid="{37E53D3C-D136-4113-B3D8-3B4B4D69F3C7}" uniqueName="22" name="RAT Ajustado" totalsRowFunction="custom" queryTableFieldId="22" dataDxfId="58" totalsRowDxfId="95" dataCellStyle="Moeda">
      <calculatedColumnFormula>tabCustoUnit[[#This Row],[MODULO 1 - REMUNERAÇÃO ]]*SUMIFS(tabParametros[RAT Ajustado],tabParametros[Código do Posto],tabCustoUnit[[#This Row],[Código do Posto]])</calculatedColumnFormula>
      <totalsRowFormula>SUBTOTAL(9,tabCustoUnit[RAT Ajustado])</totalsRowFormula>
    </tableColumn>
    <tableColumn id="23" xr3:uid="{ECBE9F5D-64C0-478B-9042-56A28B69A16F}" uniqueName="23" name="SEBRAE" totalsRowFunction="custom" queryTableFieldId="23" dataDxfId="57" totalsRowDxfId="96" dataCellStyle="Moeda">
      <calculatedColumnFormula>tabCustoUnit[[#This Row],[MODULO 1 - REMUNERAÇÃO ]]*SUMIFS(tabParametros[SEBRAE],tabParametros[Código do Posto],tabCustoUnit[[#This Row],[Código do Posto]])</calculatedColumnFormula>
      <totalsRowFormula>SUBTOTAL(9,tabCustoUnit[SEBRAE])</totalsRowFormula>
    </tableColumn>
    <tableColumn id="24" xr3:uid="{631E2856-7C41-4EF0-B0E0-BFCD78C39611}" uniqueName="24" name="Submódulo 2.1" totalsRowFunction="custom" queryTableFieldId="24" dataDxfId="56" totalsRowDxfId="97" dataCellStyle="Moeda">
      <calculatedColumnFormula>SUM(tabCustoUnit[[#This Row],[INSS]:[SEBRAE]])</calculatedColumnFormula>
      <totalsRowFormula>SUBTOTAL(9,tabCustoUnit[Submódulo 2.1])</totalsRowFormula>
    </tableColumn>
    <tableColumn id="25" xr3:uid="{EFFC9C14-DADD-4DB0-B3AF-C5035455AEFA}" uniqueName="25" name="13º salário (titular)" totalsRowFunction="custom" queryTableFieldId="25" dataDxfId="55" totalsRowDxfId="98" dataCellStyle="Moeda">
      <calculatedColumnFormula>tabCustoUnit[[#This Row],[MODULO 1 - REMUNERAÇÃO ]]*SUMIFS(tabParametros[13º salário (titular)],tabParametros[Código do Posto],tabCustoUnit[[#This Row],[Código do Posto]])</calculatedColumnFormula>
      <totalsRowFormula>SUBTOTAL(9,tabCustoUnit[13º salário (titular)])</totalsRowFormula>
    </tableColumn>
    <tableColumn id="26" xr3:uid="{C1EE3F3C-E746-4F8F-953A-38A5291A3147}" uniqueName="26" name="Férias e Adicional de Férias (titular)" totalsRowFunction="custom" queryTableFieldId="26" dataDxfId="54" totalsRowDxfId="99" dataCellStyle="Moeda">
      <calculatedColumnFormula>tabCustoUnit[[#This Row],[MODULO 1 - REMUNERAÇÃO ]]*SUMIFS(tabParametros[Férias e Adicional de Férias (titular)],tabParametros[Código do Posto],tabCustoUnit[[#This Row],[Código do Posto]])</calculatedColumnFormula>
      <totalsRowFormula>SUBTOTAL(9,tabCustoUnit[Férias e Adicional de Férias (titular)])</totalsRowFormula>
    </tableColumn>
    <tableColumn id="27" xr3:uid="{B29C8BD5-836B-4782-AC1F-1A08E8314CE6}" uniqueName="27" name="Incidência do Submódulo 2.1 sobre 13º Salário, Férias e Adicional de Férias" totalsRowFunction="custom" queryTableFieldId="27" dataDxfId="53" totalsRowDxfId="100" dataCellStyle="Moeda">
      <calculatedColumnFormula>IFERROR((tabCustoUnit[[#This Row],[Submódulo 2.1]]/tabCustoUnit[[#This Row],[MODULO 1 - REMUNERAÇÃO ]])*SUM(tabCustoUnit[[#This Row],[13º salário (titular)]:[Férias e Adicional de Férias (titular)]]),0)</calculatedColumnFormula>
      <totalsRowFormula>SUBTOTAL(9,tabCustoUnit[Incidência do Submódulo 2.1 sobre 13º Salário, Férias e Adicional de Férias])</totalsRowFormula>
    </tableColumn>
    <tableColumn id="28" xr3:uid="{BAC5C9F2-D000-4CE4-BCD3-B37315319FC8}" uniqueName="28" name="Submódulo 2.2" totalsRowFunction="custom" queryTableFieldId="28" dataDxfId="52" totalsRowDxfId="101" dataCellStyle="Moeda">
      <calculatedColumnFormula>SUM(tabCustoUnit[[#This Row],[13º salário (titular)]:[Incidência do Submódulo 2.1 sobre 13º Salário, Férias e Adicional de Férias]])</calculatedColumnFormula>
      <totalsRowFormula>SUBTOTAL(9,tabCustoUnit[Submódulo 2.2])</totalsRowFormula>
    </tableColumn>
    <tableColumn id="30" xr3:uid="{060AA6E8-0ABA-446E-BA3E-323338AB3422}" uniqueName="30" name="Vale - Transporte (Descontada parcela do empregado)" totalsRowFunction="custom" queryTableFieldId="30" dataDxfId="51" totalsRowDxfId="102">
      <calculatedColumnFormula>_xlfn.LET(_xlpm.VT,SUMIF(tabParametros[Código do Posto],tabCustoUnit[[#This Row],[Código do Posto]],tabParametros[Vale - Transporte])*2*20,
IF((_xlpm.VT-tabCustoUnit[[#This Row],[Salário Base]]*0.06)&gt;=0,(_xlpm.VT-tabCustoUnit[[#This Row],[Salário Base]]*0.06),0)
)</calculatedColumnFormula>
      <totalsRowFormula>SUBTOTAL(9,tabCustoUnit[Vale - Transporte (Descontada parcela do empregado)])</totalsRowFormula>
    </tableColumn>
    <tableColumn id="38" xr3:uid="{5665D1FD-26FE-4B08-B0D2-691A8BFB5840}" uniqueName="38" name="Vale - Alimentação (Descontada parcela do empregado)" totalsRowFunction="custom" queryTableFieldId="38" dataDxfId="50" totalsRowDxfId="103">
      <calculatedColumnFormula>IF(SUMIF(tabParametros[Código do Posto],tabCustoUnit[[#This Row],[Código do Posto]],tabParametros[Vale - Alimentação])&lt;=0,0,
SUMIF(tabParametros[Código do Posto],tabCustoUnit[[#This Row],[Código do Posto]],tabParametros[Vale - Alimentação])*20-1)</calculatedColumnFormula>
      <totalsRowFormula>SUBTOTAL(9,tabCustoUnit[Vale - Alimentação (Descontada parcela do empregado)])</totalsRowFormula>
    </tableColumn>
    <tableColumn id="31" xr3:uid="{76D30678-0D1E-4989-AE2D-640228C3BCE5}" uniqueName="31" name="Cesta Básica" totalsRowFunction="custom" queryTableFieldId="31" dataDxfId="49" totalsRowDxfId="104">
      <calculatedColumnFormula>SUMIF(tabParametros[Código do Posto],tabCustoUnit[[#This Row],[Código do Posto]],tabParametros[Cesta Básica])</calculatedColumnFormula>
      <totalsRowFormula>SUBTOTAL(9,tabCustoUnit[Cesta Básica])</totalsRowFormula>
    </tableColumn>
    <tableColumn id="32" xr3:uid="{5B23D1C4-A83C-427E-B207-BEF16FEDB97B}" uniqueName="32" name="PAF" totalsRowFunction="custom" queryTableFieldId="32" dataDxfId="48" totalsRowDxfId="105">
      <calculatedColumnFormula>SUMIF(tabParametros[Código do Posto],tabCustoUnit[[#This Row],[Código do Posto]],tabParametros[PAF])</calculatedColumnFormula>
      <totalsRowFormula>SUBTOTAL(9,tabCustoUnit[PAF])</totalsRowFormula>
    </tableColumn>
    <tableColumn id="33" xr3:uid="{7CA858F3-C2A9-4457-B551-682718F76F5C}" uniqueName="33" name="PQM" totalsRowFunction="custom" queryTableFieldId="33" dataDxfId="47" totalsRowDxfId="106">
      <calculatedColumnFormula>SUMIF(tabParametros[Código do Posto],tabCustoUnit[[#This Row],[Código do Posto]],tabParametros[PQM])</calculatedColumnFormula>
      <totalsRowFormula>SUBTOTAL(9,tabCustoUnit[PQM])</totalsRowFormula>
    </tableColumn>
    <tableColumn id="34" xr3:uid="{134DC1C4-80CB-4AA4-A07C-600267A50229}" uniqueName="34" name="PAT" totalsRowFunction="custom" queryTableFieldId="34" dataDxfId="46" totalsRowDxfId="107">
      <calculatedColumnFormula>SUMIF(tabParametros[Código do Posto],tabCustoUnit[[#This Row],[Código do Posto]],tabParametros[PAT])</calculatedColumnFormula>
      <totalsRowFormula>SUBTOTAL(9,tabCustoUnit[PAT])</totalsRowFormula>
    </tableColumn>
    <tableColumn id="35" xr3:uid="{AF849046-2619-4939-B8D1-0C8B5533D95C}" uniqueName="35" name="Seguro de Vida" totalsRowFunction="custom" queryTableFieldId="35" dataDxfId="45" totalsRowDxfId="108">
      <calculatedColumnFormula>SUMIF(tabParametros[Código do Posto],tabCustoUnit[[#This Row],[Código do Posto]],tabParametros[Seguro de Vida])</calculatedColumnFormula>
      <totalsRowFormula>SUBTOTAL(9,tabCustoUnit[Seguro de Vida])</totalsRowFormula>
    </tableColumn>
    <tableColumn id="36" xr3:uid="{DF105AEA-2EA0-4514-8DD3-6E1364D75379}" uniqueName="36" name="Despesas de Viagem" totalsRowFunction="custom" queryTableFieldId="36" dataDxfId="44" totalsRowDxfId="109">
      <calculatedColumnFormula>SUMIF(tabParametros[Código do Posto],tabCustoUnit[[#This Row],[Código do Posto]],tabParametros[Despesas de Viagem])</calculatedColumnFormula>
      <totalsRowFormula>SUBTOTAL(9,tabCustoUnit[Despesas de Viagem])</totalsRowFormula>
    </tableColumn>
    <tableColumn id="39" xr3:uid="{DF19A5E6-4DC3-4094-A47F-597F4EAA1F66}" uniqueName="39" name="Submódulo 2.3" totalsRowFunction="custom" queryTableFieldId="39" dataDxfId="43" totalsRowDxfId="110">
      <calculatedColumnFormula>SUM(tabCustoUnit[[#This Row],[Vale - Transporte (Descontada parcela do empregado)]:[Despesas de Viagem]])</calculatedColumnFormula>
      <totalsRowFormula>SUBTOTAL(9,tabCustoUnit[Submódulo 2.3])</totalsRowFormula>
    </tableColumn>
    <tableColumn id="40" xr3:uid="{1214F98A-22EE-4C8B-AF07-C3172AF28CC0}" uniqueName="40" name="MÓDULO 2 - Total Encargos e Benefícios mensais e diários" totalsRowFunction="custom" queryTableFieldId="40" dataDxfId="42" totalsRowDxfId="111">
      <calculatedColumnFormula>tabCustoUnit[[#This Row],[Submódulo 2.1]]+tabCustoUnit[[#This Row],[Submódulo 2.2]]+tabCustoUnit[[#This Row],[Submódulo 2.3]]</calculatedColumnFormula>
      <totalsRowFormula>SUBTOTAL(9,tabCustoUnit[MÓDULO 2 - Total Encargos e Benefícios mensais e diários])</totalsRowFormula>
    </tableColumn>
    <tableColumn id="41" xr3:uid="{63BAB9AE-2C3E-462A-86C3-071FED5B9498}" uniqueName="41" name="Aviso Prévio Indenizado (API) e Reflexo do Aviso Prévio Indenizado" totalsRowFunction="custom" queryTableFieldId="41" dataDxfId="41" totalsRowDxfId="112">
      <calculatedColumnFormula>SUMIF(tabParametros[Código do Posto],tabCustoUnit[[#This Row],[Código do Posto]],tabParametros[Aviso Prévio Indenizado (API) e Reflexo do Aviso Prévio Indenizado])*tabCustoUnit[[#This Row],[MODULO 1 - REMUNERAÇÃO ]]</calculatedColumnFormula>
      <totalsRowFormula>SUBTOTAL(9,tabCustoUnit[Aviso Prévio Indenizado (API) e Reflexo do Aviso Prévio Indenizado])</totalsRowFormula>
    </tableColumn>
    <tableColumn id="42" xr3:uid="{8D40B798-372D-4817-9D09-DA6B713BF2E4}" uniqueName="42" name="Incidência do FGTS sobre API e Reflexo do API" totalsRowFunction="custom" queryTableFieldId="42" dataDxfId="40" totalsRowDxfId="113">
      <calculatedColumnFormula>SUMIF(tabParametros[Código do Posto],tabCustoUnit[[#This Row],[Código do Posto]],tabParametros[Incidência do FGTS sobre API e Reflexo do API])*tabCustoUnit[[#This Row],[MODULO 1 - REMUNERAÇÃO ]]</calculatedColumnFormula>
      <totalsRowFormula>SUBTOTAL(9,tabCustoUnit[Incidência do FGTS sobre API e Reflexo do API])</totalsRowFormula>
    </tableColumn>
    <tableColumn id="43" xr3:uid="{D1229C4F-0D22-4E65-8750-2870D63AB396}" uniqueName="43" name="Multa Rescisória do FGTS sobre o Aviso Prévio Indenizado" totalsRowFunction="custom" queryTableFieldId="43" dataDxfId="39" totalsRowDxfId="114">
      <calculatedColumnFormula>SUMIF(tabParametros[Código do Posto],tabCustoUnit[[#This Row],[Código do Posto]],tabParametros[Multa Rescisória do FGTS sobre o Aviso Prévio Indenizado])*tabCustoUnit[[#This Row],[MODULO 1 - REMUNERAÇÃO ]]</calculatedColumnFormula>
      <totalsRowFormula>SUBTOTAL(9,tabCustoUnit[Multa Rescisória do FGTS sobre o Aviso Prévio Indenizado])</totalsRowFormula>
    </tableColumn>
    <tableColumn id="44" xr3:uid="{23470FCF-D673-4B6C-8432-37E8CD25500C}" uniqueName="44" name="Aviso Prévio Trabalhado - APT" totalsRowFunction="custom" queryTableFieldId="44" dataDxfId="38" totalsRowDxfId="115">
      <calculatedColumnFormula>SUMIF(tabParametros[Código do Posto],tabCustoUnit[[#This Row],[Código do Posto]],tabParametros[Aviso Prévio Trabalhado - APT])*tabCustoUnit[[#This Row],[MODULO 1 - REMUNERAÇÃO ]]</calculatedColumnFormula>
      <totalsRowFormula>SUBTOTAL(9,tabCustoUnit[Aviso Prévio Trabalhado - APT])</totalsRowFormula>
    </tableColumn>
    <tableColumn id="45" xr3:uid="{654035A2-0931-4FBC-84F8-FFEBB50107B4}" uniqueName="45" name="Incidência dos encargos do submódulo 2.1 sobre Aviso Prévio Trabalhado" totalsRowFunction="custom" queryTableFieldId="45" dataDxfId="37" totalsRowDxfId="116">
      <calculatedColumnFormula>SUMIF(tabParametros[Código do Posto],tabCustoUnit[[#This Row],[Código do Posto]],tabParametros[Incidência dos encargos do submódulo 2.1 sobre Aviso Prévio Trabalhado])*tabCustoUnit[[#This Row],[MODULO 1 - REMUNERAÇÃO ]]</calculatedColumnFormula>
      <totalsRowFormula>SUBTOTAL(9,tabCustoUnit[Incidência dos encargos do submódulo 2.1 sobre Aviso Prévio Trabalhado])</totalsRowFormula>
    </tableColumn>
    <tableColumn id="46" xr3:uid="{846AC49E-762A-4B67-B2EA-DAA5553EBE01}" uniqueName="46" name="Multa Rescisória do FGTS" totalsRowFunction="custom" queryTableFieldId="46" dataDxfId="36" totalsRowDxfId="117">
      <calculatedColumnFormula>SUMIF(tabParametros[Código do Posto],tabCustoUnit[[#This Row],[Código do Posto]],tabParametros[Multa Rescisória do FGTS])*tabCustoUnit[[#This Row],[MODULO 1 - REMUNERAÇÃO ]]</calculatedColumnFormula>
      <totalsRowFormula>SUBTOTAL(9,tabCustoUnit[Multa Rescisória do FGTS])</totalsRowFormula>
    </tableColumn>
    <tableColumn id="47" xr3:uid="{9D0CC85B-50B3-4862-BA27-EF7B66002BBC}" uniqueName="47" name="Indenização Adicional (Art. 9º da Lei nº 7.238/84)" totalsRowFunction="custom" queryTableFieldId="47" dataDxfId="35" totalsRowDxfId="118">
      <calculatedColumnFormula>SUMIF(tabParametros[Código do Posto],tabCustoUnit[[#This Row],[Código do Posto]],tabParametros[Indenização Adicional (Art. 9º da Lei nº 7.238/84)])*tabCustoUnit[[#This Row],[MODULO 1 - REMUNERAÇÃO ]]</calculatedColumnFormula>
      <totalsRowFormula>SUBTOTAL(9,tabCustoUnit[Indenização Adicional (Art. 9º da Lei nº 7.238/84)])</totalsRowFormula>
    </tableColumn>
    <tableColumn id="48" xr3:uid="{2ECD8443-D2A0-4DEF-8392-10BDF160CECB}" uniqueName="48" name="MÓDULO 3 – PROVISÃO PARA RESCISÃO" totalsRowFunction="custom" queryTableFieldId="48" dataDxfId="34" totalsRowDxfId="119">
      <calculatedColumnFormula>SUM(tabCustoUnit[[#This Row],[Aviso Prévio Indenizado (API) e Reflexo do Aviso Prévio Indenizado]:[Indenização Adicional (Art. 9º da Lei nº 7.238/84)]])</calculatedColumnFormula>
      <totalsRowFormula>SUBTOTAL(9,tabCustoUnit[MÓDULO 3 – PROVISÃO PARA RESCISÃO])</totalsRowFormula>
    </tableColumn>
    <tableColumn id="29" xr3:uid="{2F82AA5C-EE44-48AA-BFAA-E9DF9007B7BB}" uniqueName="29" name="Ausência por Doença" totalsRowFunction="custom" queryTableFieldId="49" dataDxfId="33" totalsRowDxfId="120">
      <calculatedColumnFormula>SUMIF(tabParametros[Código do Posto],tabCustoUnit[[#This Row],[Código do Posto]],tabParametros[Ausência por Doença])*tabCustoUnit[[#This Row],[MODULO 1 - REMUNERAÇÃO ]]</calculatedColumnFormula>
      <totalsRowFormula>SUBTOTAL(9,tabCustoUnit[Ausência por Doença])</totalsRowFormula>
    </tableColumn>
    <tableColumn id="37" xr3:uid="{09D55D38-6225-490F-BB2E-9D98DA94FC87}" uniqueName="37" name="Ausências Legais" totalsRowFunction="custom" queryTableFieldId="50" dataDxfId="32" totalsRowDxfId="121">
      <calculatedColumnFormula>SUMIF(tabParametros[Código do Posto],tabCustoUnit[[#This Row],[Código do Posto]],tabParametros[Ausências Legais])*tabCustoUnit[[#This Row],[MODULO 1 - REMUNERAÇÃO ]]</calculatedColumnFormula>
      <totalsRowFormula>SUBTOTAL(9,tabCustoUnit[Ausências Legais])</totalsRowFormula>
    </tableColumn>
    <tableColumn id="49" xr3:uid="{DC3CE9EF-949D-46AD-B45E-69993E10514C}" uniqueName="49" name="Licença Paternidade" totalsRowFunction="custom" queryTableFieldId="51" dataDxfId="31" totalsRowDxfId="122">
      <calculatedColumnFormula>SUMIF(tabParametros[Código do Posto],tabCustoUnit[[#This Row],[Código do Posto]],tabParametros[Licença Paternidade])*tabCustoUnit[[#This Row],[MODULO 1 - REMUNERAÇÃO ]]</calculatedColumnFormula>
      <totalsRowFormula>SUBTOTAL(9,tabCustoUnit[Licença Paternidade])</totalsRowFormula>
    </tableColumn>
    <tableColumn id="50" xr3:uid="{7C91CC9A-51CE-461C-92E0-FC1F9CEE4256}" uniqueName="50" name="Ausência por Acidente de Trabalho" totalsRowFunction="custom" queryTableFieldId="52" dataDxfId="30" totalsRowDxfId="123">
      <calculatedColumnFormula>SUMIF(tabParametros[Código do Posto],tabCustoUnit[[#This Row],[Código do Posto]],tabParametros[Ausência por Acidente de Trabalho])*tabCustoUnit[[#This Row],[MODULO 1 - REMUNERAÇÃO ]]</calculatedColumnFormula>
      <totalsRowFormula>SUBTOTAL(9,tabCustoUnit[Ausência por Acidente de Trabalho])</totalsRowFormula>
    </tableColumn>
    <tableColumn id="51" xr3:uid="{994F5AD2-33FF-4C0F-A3CB-4D0317814C65}" uniqueName="51" name="Férias, Adicional de Férias e 13º  com empregada em gozo de Licença Maternidade" totalsRowFunction="custom" queryTableFieldId="53" dataDxfId="29" totalsRowDxfId="124">
      <calculatedColumnFormula>SUMIF(tabParametros[Código do Posto],tabCustoUnit[[#This Row],[Código do Posto]],tabParametros[Férias, Adicional de Férias e 13º  com empregada em gozo de Licença Maternidade])*tabCustoUnit[[#This Row],[MODULO 1 - REMUNERAÇÃO ]]</calculatedColumnFormula>
      <totalsRowFormula>SUBTOTAL(9,tabCustoUnit[Férias, Adicional de Férias e 13º  com empregada em gozo de Licença Maternidade])</totalsRowFormula>
    </tableColumn>
    <tableColumn id="52" xr3:uid="{B8679B68-DBF3-40C3-B583-142C2BE50FC4}" uniqueName="52" name="Incidência do Submódulo 2.1 sobre Ausências Legais" totalsRowFunction="custom" queryTableFieldId="54" dataDxfId="28" totalsRowDxfId="125">
      <calculatedColumnFormula>SUMIF(tabParametros[Código do Posto],tabCustoUnit[[#This Row],[Código do Posto]],tabParametros[Incidência do Submódulo 2.1 sobre Ausências Legais])*tabCustoUnit[[#This Row],[MODULO 1 - REMUNERAÇÃO ]]</calculatedColumnFormula>
      <totalsRowFormula>SUBTOTAL(9,tabCustoUnit[Incidência do Submódulo 2.1 sobre Ausências Legais])</totalsRowFormula>
    </tableColumn>
    <tableColumn id="53" xr3:uid="{52BF675C-1B4E-4939-B17B-A97C30C99576}" uniqueName="53" name="Submódulo 4.1" totalsRowFunction="custom" queryTableFieldId="55" dataDxfId="27" totalsRowDxfId="126">
      <calculatedColumnFormula>SUM(tabCustoUnit[[#This Row],[Ausência por Doença]:[Incidência do Submódulo 2.1 sobre Ausências Legais]])</calculatedColumnFormula>
      <totalsRowFormula>SUBTOTAL(9,tabCustoUnit[Submódulo 4.1])</totalsRowFormula>
    </tableColumn>
    <tableColumn id="54" xr3:uid="{150F3883-18B6-4D81-B9D0-FC757C44594A}" uniqueName="54" name="Intervalo para Repouso ou Alimentação" totalsRowFunction="custom" queryTableFieldId="56" dataDxfId="26" totalsRowDxfId="127">
      <calculatedColumnFormula>SUMIF(tabParametros[Código do Posto],tabCustoUnit[[#This Row],[Código do Posto]],tabParametros[Intervalo para Repouso ou Alimentação])</calculatedColumnFormula>
      <totalsRowFormula>SUBTOTAL(9,tabCustoUnit[Intervalo para Repouso ou Alimentação])</totalsRowFormula>
    </tableColumn>
    <tableColumn id="55" xr3:uid="{3EC6C466-C2BD-4AF5-AF33-D76106DB9E76}" uniqueName="55" name="Submódulo 4.2" totalsRowFunction="custom" queryTableFieldId="57" dataDxfId="25" totalsRowDxfId="128">
      <calculatedColumnFormula>tabCustoUnit[[#This Row],[Intervalo para Repouso ou Alimentação]]</calculatedColumnFormula>
      <totalsRowFormula>SUBTOTAL(9,tabCustoUnit[Submódulo 4.2])</totalsRowFormula>
    </tableColumn>
    <tableColumn id="56" xr3:uid="{3ECF2B0A-A0C4-4149-8E64-0B9CB1618141}" uniqueName="56" name="Suspensão Temporária do Contrato de Trabalho" totalsRowFunction="custom" queryTableFieldId="58" dataDxfId="24" totalsRowDxfId="129">
      <calculatedColumnFormula>IF(VLOOKUP(tabCustoUnit[[#This Row],[Código do Posto]],PARAMETROS!$A$4:$BJ$255,7,0)&lt;=0,0,
IFERROR((tabCustoUnit[[#This Row],[MODULO 1 - REMUNERAÇÃO ]]*VLOOKUP(tabCustoUnit[[#This Row],[Código do Posto]],PARAMETROS!$A$4:$BJ$255,49,0))/(VLOOKUP(tabCustoUnit[[#This Row],[Código do Posto]],PARAMETROS!$A$4:$BJ$255,7,0)*VLOOKUP(tabCustoUnit[[#This Row],[Código do Posto]],PARAMETROS!$A$4:$BJ$255,8,0)),0)
)</calculatedColumnFormula>
      <totalsRowFormula>SUBTOTAL(9,tabCustoUnit[Suspensão Temporária do Contrato de Trabalho])</totalsRowFormula>
    </tableColumn>
    <tableColumn id="57" xr3:uid="{DAD18740-CBBD-4875-915B-FF3257677186}" uniqueName="57" name="Submódulo 4.3" totalsRowFunction="custom" queryTableFieldId="59" dataDxfId="23" totalsRowDxfId="130">
      <calculatedColumnFormula>tabCustoUnit[[#This Row],[Suspensão Temporária do Contrato de Trabalho]]</calculatedColumnFormula>
      <totalsRowFormula>SUBTOTAL(9,tabCustoUnit[Submódulo 4.3])</totalsRowFormula>
    </tableColumn>
    <tableColumn id="58" xr3:uid="{EBC71A0C-38CD-4BEE-97F3-5BC4819BA0FF}" uniqueName="58" name="MÓDULO 4 – CUSTO DE REPOSIÇÃO DO PROFISSIONAL AUSENTE" totalsRowFunction="custom" queryTableFieldId="60" dataDxfId="22" totalsRowDxfId="131">
      <calculatedColumnFormula>tabCustoUnit[[#This Row],[Submódulo 4.1]]+tabCustoUnit[[#This Row],[Submódulo 4.2]]+tabCustoUnit[[#This Row],[Submódulo 4.3]]</calculatedColumnFormula>
      <totalsRowFormula>SUBTOTAL(9,tabCustoUnit[MÓDULO 4 – CUSTO DE REPOSIÇÃO DO PROFISSIONAL AUSENTE])</totalsRowFormula>
    </tableColumn>
    <tableColumn id="59" xr3:uid="{4CC04743-9CF3-4199-AE9A-4742B75DC984}" uniqueName="59" name="Uniformes e EPIs" totalsRowFunction="custom" queryTableFieldId="61" dataDxfId="21" totalsRowDxfId="132">
      <calculatedColumnFormula>VLOOKUP(tabCustoUnit[[#This Row],[Código do Posto]],tabParametros[],MATCH(tabCustoUnit[[#Headers],[Uniformes e EPIs]],tabParametros[#Headers],0),0)</calculatedColumnFormula>
      <totalsRowFormula>SUBTOTAL(9,tabCustoUnit[Uniformes e EPIs])</totalsRowFormula>
    </tableColumn>
    <tableColumn id="60" xr3:uid="{B0A3DCD6-BF86-46BC-AEFC-648F7EAF8741}" uniqueName="60" name="Materiais de Consumo" totalsRowFunction="custom" queryTableFieldId="62" dataDxfId="20" totalsRowDxfId="133">
      <calculatedColumnFormula>VLOOKUP(tabCustoUnit[[#This Row],[Código do Posto]],tabParametros[],MATCH(tabCustoUnit[[#Headers],[Materiais de Consumo]],tabParametros[#Headers],0),0)</calculatedColumnFormula>
      <totalsRowFormula>SUBTOTAL(9,tabCustoUnit[Materiais de Consumo])</totalsRowFormula>
    </tableColumn>
    <tableColumn id="61" xr3:uid="{BB62C494-47B8-4B03-8A82-EBD7B23E62B9}" uniqueName="61" name="Máquinas e Equipamentos (depreciação)" totalsRowFunction="custom" queryTableFieldId="63" dataDxfId="19" totalsRowDxfId="134">
      <calculatedColumnFormula>VLOOKUP(tabCustoUnit[[#This Row],[Código do Posto]],tabParametros[],MATCH(tabCustoUnit[[#Headers],[Máquinas e Equipamentos (depreciação)]],tabParametros[#Headers],0),0)</calculatedColumnFormula>
      <totalsRowFormula>SUBTOTAL(9,tabCustoUnit[Máquinas e Equipamentos (depreciação)])</totalsRowFormula>
    </tableColumn>
    <tableColumn id="62" xr3:uid="{C1A5F6C8-F232-482A-9C87-6E38AE8C2257}" uniqueName="62" name="Produtos de Limpeza e Materiais de Higiene Pessoal" totalsRowFunction="custom" queryTableFieldId="64" dataDxfId="18" totalsRowDxfId="135">
      <calculatedColumnFormula>VLOOKUP(tabCustoUnit[[#This Row],[Código do Posto]],tabParametros[],MATCH(tabCustoUnit[[#Headers],[Produtos de Limpeza e Materiais de Higiene Pessoal]],tabParametros[#Headers],0),0)</calculatedColumnFormula>
      <totalsRowFormula>SUBTOTAL(9,tabCustoUnit[Produtos de Limpeza e Materiais de Higiene Pessoal])</totalsRowFormula>
    </tableColumn>
    <tableColumn id="63" xr3:uid="{4779F022-470C-48FF-A962-A2C5175B8700}" uniqueName="63" name="Outros (especificar)" totalsRowFunction="custom" queryTableFieldId="65" dataDxfId="17" totalsRowDxfId="136">
      <calculatedColumnFormula>VLOOKUP(tabCustoUnit[[#This Row],[Código do Posto]],tabParametros[],MATCH(tabCustoUnit[[#Headers],[Outros (especificar)]],tabParametros[#Headers],0),0)</calculatedColumnFormula>
      <totalsRowFormula>SUBTOTAL(9,tabCustoUnit[Outros (especificar)])</totalsRowFormula>
    </tableColumn>
    <tableColumn id="64" xr3:uid="{7A337B9A-9C2D-4683-9232-25C2C8EC0D52}" uniqueName="64" name="MÓDULO 5 – INSUMOS DIVERSOS" totalsRowFunction="custom" queryTableFieldId="66" dataDxfId="16" totalsRowDxfId="137">
      <calculatedColumnFormula>SUM(tabCustoUnit[[#This Row],[Uniformes e EPIs]:[Outros (especificar)]])</calculatedColumnFormula>
      <totalsRowFormula>SUBTOTAL(9,tabCustoUnit[MÓDULO 5 – INSUMOS DIVERSOS])</totalsRowFormula>
    </tableColumn>
    <tableColumn id="65" xr3:uid="{B0A9CA5A-0D4D-495F-9D35-131EBA65C892}" uniqueName="65" name="TOTAL MÓDULOS 1+2+3+4+5" totalsRowFunction="custom" queryTableFieldId="67" dataDxfId="15" totalsRowDxfId="138">
      <calculatedColumnFormula>tabCustoUnit[[#This Row],[MODULO 1 - REMUNERAÇÃO ]]+tabCustoUnit[[#This Row],[MÓDULO 2 - Total Encargos e Benefícios mensais e diários]]+tabCustoUnit[[#This Row],[MÓDULO 3 – PROVISÃO PARA RESCISÃO]]+tabCustoUnit[[#This Row],[MÓDULO 4 – CUSTO DE REPOSIÇÃO DO PROFISSIONAL AUSENTE]]+tabCustoUnit[[#This Row],[MÓDULO 5 – INSUMOS DIVERSOS]]</calculatedColumnFormula>
      <totalsRowFormula>SUBTOTAL(9,tabCustoUnit[TOTAL MÓDULOS 1+2+3+4+5])</totalsRowFormula>
    </tableColumn>
    <tableColumn id="66" xr3:uid="{AAB1B173-8B50-4102-A033-E6F4359BAA94}" uniqueName="66" name="Custos Indiretos" totalsRowFunction="custom" queryTableFieldId="68" dataDxfId="14" totalsRowDxfId="139">
      <calculatedColumnFormula>VLOOKUP(tabCustoUnit[[#This Row],[Código do Posto]],tabParametros[],MATCH(tabCustoUnit[[#Headers],[Custos Indiretos]],tabParametros[#Headers],0),0)</calculatedColumnFormula>
      <totalsRowFormula>SUBTOTAL(9,tabCustoUnit[Custos Indiretos])</totalsRowFormula>
    </tableColumn>
    <tableColumn id="67" xr3:uid="{3B3505D5-240A-4396-A34A-80115F7B0C48}" uniqueName="67" name="Lucro" totalsRowFunction="custom" queryTableFieldId="69" dataDxfId="13" totalsRowDxfId="140">
      <calculatedColumnFormula>VLOOKUP(tabCustoUnit[[#This Row],[Código do Posto]],tabParametros[],MATCH(tabCustoUnit[[#Headers],[Lucro]],tabParametros[#Headers],0),0)</calculatedColumnFormula>
      <totalsRowFormula>SUBTOTAL(9,tabCustoUnit[Lucro])</totalsRowFormula>
    </tableColumn>
    <tableColumn id="68" xr3:uid="{8541EEBB-7518-4F37-9DE9-2AF12182E3BB}" uniqueName="68" name="COFINS" totalsRowFunction="average" queryTableFieldId="70" dataDxfId="12" totalsRowDxfId="141" dataCellStyle="Porcentagem">
      <calculatedColumnFormula>((100/((1-tabCustoUnit[[#This Row],[Resumo de Alíquotas (PIS+CONFINS+ISS)]]))-100)*VLOOKUP(tabCustoUnit[[#This Row],[Código do Posto]],tabParametros[],MATCH(tabCustoUnit[[#Headers],[COFINS]],tabParametros[#Headers],0),0))/(tabCustoUnit[[#This Row],[Resumo de Alíquotas (PIS+CONFINS+ISS)]]*100)</calculatedColumnFormula>
    </tableColumn>
    <tableColumn id="69" xr3:uid="{CC149514-6A78-4407-BE3B-7C189D8294C1}" uniqueName="69" name="PIS" totalsRowFunction="average" queryTableFieldId="71" dataDxfId="11" totalsRowDxfId="142" dataCellStyle="Porcentagem">
      <calculatedColumnFormula>((100/((100-(tabCustoUnit[[#This Row],[Resumo de Alíquotas (PIS+CONFINS+ISS)]]*100))%)-100)*VLOOKUP(tabCustoUnit[[#This Row],[Código do Posto]],tabParametros[],MATCH(tabCustoUnit[[#Headers],[PIS]],tabParametros[#Headers],0),0))/(tabCustoUnit[[#This Row],[Resumo de Alíquotas (PIS+CONFINS+ISS)]]*100)</calculatedColumnFormula>
    </tableColumn>
    <tableColumn id="70" xr3:uid="{AF1E032F-08F8-410A-8891-6D5D91115E56}" uniqueName="70" name="ISS" totalsRowFunction="average" queryTableFieldId="72" dataDxfId="10" totalsRowDxfId="143" dataCellStyle="Porcentagem">
      <calculatedColumnFormula>VLOOKUP(tabCustoUnit[[#This Row],[Código do Posto]],tabParametros[],MATCH(tabCustoUnit[[#Headers],[ISS]],tabParametros[#Headers],0),0)</calculatedColumnFormula>
    </tableColumn>
    <tableColumn id="71" xr3:uid="{B38117CD-00DF-4DB7-8DB8-E6CD42E99314}" uniqueName="71" name="ISS (Conversão Alíquota s/ fatura)" totalsRowFunction="average" queryTableFieldId="73" dataDxfId="9" totalsRowDxfId="144" dataCellStyle="Porcentagem">
      <calculatedColumnFormula>(((100/((100-(tabCustoUnit[[#This Row],[Resumo de Alíquotas (PIS+CONFINS+ISS)]]*100))%)-100)*tabCustoUnit[[#This Row],[ISS]])/tabCustoUnit[[#This Row],[Resumo de Alíquotas (PIS+CONFINS+ISS)]])/100</calculatedColumnFormula>
    </tableColumn>
    <tableColumn id="72" xr3:uid="{ED47CD57-884E-46C6-9BCB-F8932214F9DF}" uniqueName="72" name="Resumo de Alíquotas (PIS+CONFINS+ISS)" totalsRowFunction="average" queryTableFieldId="74" dataDxfId="8" totalsRowDxfId="145" dataCellStyle="Porcentagem">
      <calculatedColumnFormula>(VLOOKUP(tabCustoUnit[[#This Row],[Código do Posto]],tabParametros[],MATCH(tabCustoUnit[[#Headers],[COFINS]],tabParametros[#Headers],0),0)+
VLOOKUP(tabCustoUnit[[#This Row],[Código do Posto]],tabParametros[],MATCH(tabCustoUnit[[#Headers],[PIS]],tabParametros[#Headers],0),0)+
VLOOKUP(tabCustoUnit[[#This Row],[Código do Posto]],tabParametros[],MATCH(tabCustoUnit[[#Headers],[ISS]],tabParametros[#Headers],0),0))</calculatedColumnFormula>
    </tableColumn>
    <tableColumn id="73" xr3:uid="{B361F5DB-961A-4719-88F9-9AC9CF73C6B7}" uniqueName="73" name="PIS + COFINS + ISS (Total Conversão  Alíquota s/ Fatura)" totalsRowFunction="average" queryTableFieldId="75" dataDxfId="7" totalsRowDxfId="146">
      <calculatedColumnFormula>tabCustoUnit[[#This Row],[COFINS]]+tabCustoUnit[[#This Row],[PIS]]+tabCustoUnit[[#This Row],[ISS (Conversão Alíquota s/ fatura)]]</calculatedColumnFormula>
    </tableColumn>
    <tableColumn id="74" xr3:uid="{445186DB-73E5-4262-BA9B-46D9E18E789D}" uniqueName="74" name="Valor dos Tributos (ISS, PIS, CONFINS)" totalsRowFunction="custom" queryTableFieldId="76" dataDxfId="6" totalsRowDxfId="147">
      <calculatedColumnFormula>(tabCustoUnit[[#This Row],[TOTAL MÓDULOS 1+2+3+4+5]]+tabCustoUnit[[#This Row],[Custos Indiretos]]+tabCustoUnit[[#This Row],[Lucro]])*tabCustoUnit[[#This Row],[PIS + COFINS + ISS (Total Conversão  Alíquota s/ Fatura)]]</calculatedColumnFormula>
      <totalsRowFormula>SUBTOTAL(9,tabCustoUnit[Valor dos Tributos (ISS, PIS, CONFINS)])</totalsRowFormula>
    </tableColumn>
    <tableColumn id="75" xr3:uid="{AD44167D-483C-4216-9256-A083C1537042}" uniqueName="75" name="MÓDULO 6 – CUSTOS INDIRETOS, TRIBUTOS E LUCRO" totalsRowFunction="custom" queryTableFieldId="77" dataDxfId="5" totalsRowDxfId="148">
      <calculatedColumnFormula>tabCustoUnit[[#This Row],[Custos Indiretos]]+tabCustoUnit[[#This Row],[Lucro]]+tabCustoUnit[[#This Row],[Valor dos Tributos (ISS, PIS, CONFINS)]]</calculatedColumnFormula>
      <totalsRowFormula>SUBTOTAL(9,tabCustoUnit[MÓDULO 6 – CUSTOS INDIRETOS, TRIBUTOS E LUCRO])</totalsRowFormula>
    </tableColumn>
    <tableColumn id="76" xr3:uid="{4BA26745-856C-4AC4-807A-F5F1C023491B}" uniqueName="76" name="CUSTO TOTAL MENSAL" totalsRowFunction="custom" queryTableFieldId="78" dataDxfId="4" totalsRowDxfId="149">
      <calculatedColumnFormula>tabCustoUnit[[#This Row],[TOTAL MÓDULOS 1+2+3+4+5]]+tabCustoUnit[[#This Row],[MÓDULO 6 – CUSTOS INDIRETOS, TRIBUTOS E LUCRO]]</calculatedColumnFormula>
      <totalsRowFormula>SUBTOTAL(9,tabCustoUnit[CUSTO TOTAL MENSAL])</totalsRowFormula>
    </tableColumn>
    <tableColumn id="77" xr3:uid="{6729BB7B-7246-4801-99AF-7A956A15D168}" uniqueName="77" name="CUSTO TOTAL ANUAL" totalsRowFunction="custom" queryTableFieldId="79" dataDxfId="3" totalsRowDxfId="150">
      <calculatedColumnFormula>tabCustoUnit[[#This Row],[CUSTO TOTAL MENSAL]]*12</calculatedColumnFormula>
      <totalsRowFormula>SUBTOTAL(9,tabCustoUnit[CUSTO TOTAL ANUAL])</totalsRowFormula>
    </tableColumn>
    <tableColumn id="78" xr3:uid="{29C683AE-87E5-4462-96DF-AD4F31AA70C0}" uniqueName="78" name="ANO DA CCT" queryTableFieldId="80" dataDxfId="2" totalsRowDxfId="151">
      <calculatedColumnFormula>VLOOKUP(tabCustoUnit[[#This Row],[Código do Posto]],tabParametros[],MATCH(tabCustoUnit[[#Headers],[ANO DA CCT]],tabParametros[#Headers],0),0)</calculatedColumnFormula>
    </tableColumn>
    <tableColumn id="79" xr3:uid="{3F3846E9-57C0-451B-8985-CD5B20829632}" uniqueName="79" name="Nº DE PEDIDO DA CCT" queryTableFieldId="81" dataDxfId="1" totalsRowDxfId="152">
      <calculatedColumnFormula>VLOOKUP(tabCustoUnit[[#This Row],[Código do Posto]],tabParametros[],MATCH(tabCustoUnit[[#Headers],[Nº DE PEDIDO DA CCT]],tabParametros[#Headers],0),0)</calculatedColumnFormula>
    </tableColumn>
    <tableColumn id="80" xr3:uid="{E1535398-C565-4405-866E-B0341E16AF18}" uniqueName="80" name="TERMO ADITIVO ALTERAÇÃO DA CCT" queryTableFieldId="82" dataDxfId="0" totalsRowDxfId="153">
      <calculatedColumnFormula>VLOOKUP(tabCustoUnit[[#This Row],[Código do Posto]],tabParametros[],MATCH(tabCustoUnit[[#Headers],[TERMO ADITIVO ALTERAÇÃO DA CCT]],tabParametros[#Headers],0),0)</calculatedColumnFormula>
    </tableColumn>
  </tableColumns>
  <tableStyleInfo name="TableStyleLight1" showFirstColumn="0" showLastColumn="0" showRowStripes="1" showColumnStripes="0"/>
</table>
</file>

<file path=xl/tables/table16.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6" xr:uid="{1269FA59-300E-4E07-8FA4-7BC7950603AB}" name="CUSTO_GLOBAL" displayName="CUSTO_GLOBAL" ref="A3:CD256" tableType="queryTable" totalsRowCount="1">
  <autoFilter ref="A3:CD255" xr:uid="{1269FA59-300E-4E07-8FA4-7BC7950603AB}"/>
  <tableColumns count="82">
    <tableColumn id="1" xr3:uid="{2ADDE982-85DB-45FC-9801-F2E6BEC49E0D}" uniqueName="1" name="Código do Posto" totalsRowLabel="Total" queryTableFieldId="1" dataDxfId="356" totalsRowDxfId="357"/>
    <tableColumn id="2" xr3:uid="{0D47E13C-A197-46F1-9D80-05C35EC77554}" uniqueName="2" name="Comarca" queryTableFieldId="2"/>
    <tableColumn id="3" xr3:uid="{0BF16212-3125-4AED-93DE-93BE0BE985B1}" uniqueName="3" name="Função" queryTableFieldId="3"/>
    <tableColumn id="4" xr3:uid="{0293D6B2-5690-475C-805A-4A8F8DD57F58}" uniqueName="4" name="CCT DA CATEGORIA" queryTableFieldId="4"/>
    <tableColumn id="5" xr3:uid="{7E059B05-5C3B-4684-BF70-77084D11D48C}" uniqueName="5" name="Classificação" queryTableFieldId="5" dataDxfId="355" totalsRowDxfId="358"/>
    <tableColumn id="6" xr3:uid="{C6E709D3-993B-4577-8243-85401215EDF0}" uniqueName="6" name="Fonte de Recursos" queryTableFieldId="6" dataDxfId="354" totalsRowDxfId="359"/>
    <tableColumn id="8" xr3:uid="{C5738BAD-941E-450C-9168-74ED0FEFD0D2}" uniqueName="8" name="Vagas contratadas" totalsRowFunction="custom" queryTableFieldId="8" dataDxfId="353" totalsRowDxfId="360">
      <totalsRowFormula>SUBTOTAL(9,CUSTO_GLOBAL[Vagas contratadas])</totalsRowFormula>
    </tableColumn>
    <tableColumn id="9" xr3:uid="{1F20C9C5-D096-4023-8421-B83D565BB4B1}" uniqueName="9" name="Vagas suspensas" totalsRowFunction="custom" queryTableFieldId="9" dataDxfId="352" totalsRowDxfId="361">
      <totalsRowFormula>SUBTOTAL(9,CUSTO_GLOBAL[Vagas suspensas])</totalsRowFormula>
    </tableColumn>
    <tableColumn id="10" xr3:uid="{4FBF80C4-3E78-4ADF-AE74-DEFA0EFEC75A}" uniqueName="10" name="Salário Base" totalsRowFunction="custom" queryTableFieldId="10" dataDxfId="351" totalsRowDxfId="362" dataCellStyle="Moeda">
      <calculatedColumnFormula>VLOOKUP($A4,tabCustoUnit[],COLUMN(CUSTO_GLOBAL[[#Headers],[Salário Base]])-2,0)*($G4-$H4)</calculatedColumnFormula>
      <totalsRowFormula>SUBTOTAL(9,CUSTO_GLOBAL[Salário Base])</totalsRowFormula>
    </tableColumn>
    <tableColumn id="11" xr3:uid="{1CCDD99A-E69D-40D5-8DD1-A8B5F7BD1CDB}" uniqueName="11" name="Adicional Periculosidade" totalsRowFunction="custom" queryTableFieldId="11" dataDxfId="350" totalsRowDxfId="363" dataCellStyle="Moeda">
      <calculatedColumnFormula>VLOOKUP($A4,tabCustoUnit[],COLUMN(CUSTO_GLOBAL[[#Headers],[Adicional Periculosidade]])-2,0)*($G4-$H4)</calculatedColumnFormula>
      <totalsRowFormula>SUBTOTAL(9,CUSTO_GLOBAL[Adicional Periculosidade])</totalsRowFormula>
    </tableColumn>
    <tableColumn id="12" xr3:uid="{62AC13FA-72C5-4E7E-9F9A-475A82D0CFF9}" uniqueName="12" name="Adicional Insalubridade" totalsRowFunction="custom" queryTableFieldId="12" dataDxfId="349" totalsRowDxfId="364" dataCellStyle="Moeda">
      <calculatedColumnFormula>VLOOKUP($A4,tabCustoUnit[],COLUMN(CUSTO_GLOBAL[[#Headers],[Adicional Insalubridade]])-2,0)*($G4-$H4)</calculatedColumnFormula>
      <totalsRowFormula>SUBTOTAL(9,CUSTO_GLOBAL[Adicional Insalubridade])</totalsRowFormula>
    </tableColumn>
    <tableColumn id="13" xr3:uid="{F7172607-AFE0-4CAB-9397-60B65C2579E7}" uniqueName="13" name="Adicional Noturno" totalsRowFunction="custom" queryTableFieldId="13" dataDxfId="348" totalsRowDxfId="365" dataCellStyle="Moeda">
      <calculatedColumnFormula>VLOOKUP($A4,tabCustoUnit[],COLUMN(CUSTO_GLOBAL[[#Headers],[Adicional Noturno]])-2,0)*($G4-$H4)</calculatedColumnFormula>
      <totalsRowFormula>SUBTOTAL(9,CUSTO_GLOBAL[Adicional Noturno])</totalsRowFormula>
    </tableColumn>
    <tableColumn id="14" xr3:uid="{AB307EAE-8114-4213-9E45-329016397F32}" uniqueName="14" name="Adicional Motorista II (Gratificação)" totalsRowFunction="custom" queryTableFieldId="14" dataDxfId="347" totalsRowDxfId="366" dataCellStyle="Moeda">
      <calculatedColumnFormula>VLOOKUP($A4,tabCustoUnit[],COLUMN(CUSTO_GLOBAL[[#Headers],[Adicional Motorista II (Gratificação)]])-2,0)*($G4-$H4)</calculatedColumnFormula>
      <totalsRowFormula>SUBTOTAL(9,CUSTO_GLOBAL[Adicional Motorista II (Gratificação)])</totalsRowFormula>
    </tableColumn>
    <tableColumn id="15" xr3:uid="{1B1CAEA3-C873-4776-83A4-8C0C93C8E6FD}" uniqueName="15" name="Adicional de Sobreaviso" totalsRowFunction="custom" queryTableFieldId="15" dataDxfId="346" totalsRowDxfId="367" dataCellStyle="Moeda">
      <calculatedColumnFormula>VLOOKUP($A4,tabCustoUnit[],COLUMN(CUSTO_GLOBAL[[#Headers],[Adicional de Sobreaviso]])-2,0)*($G4-$H4)</calculatedColumnFormula>
      <totalsRowFormula>SUBTOTAL(9,CUSTO_GLOBAL[Adicional de Sobreaviso])</totalsRowFormula>
    </tableColumn>
    <tableColumn id="16" xr3:uid="{61BE20D6-4262-4F71-9C6B-31C268AA99BF}" uniqueName="16" name="Horas Extras TI" totalsRowFunction="custom" queryTableFieldId="16" dataDxfId="345" totalsRowDxfId="368" dataCellStyle="Moeda">
      <calculatedColumnFormula>VLOOKUP($A4,tabCustoUnit[],COLUMN(CUSTO_GLOBAL[[#Headers],[Horas Extras TI]])-2,0)*($G4-$H4)</calculatedColumnFormula>
      <totalsRowFormula>SUBTOTAL(9,CUSTO_GLOBAL[Horas Extras TI])</totalsRowFormula>
    </tableColumn>
    <tableColumn id="17" xr3:uid="{63AEA91A-DD06-4A6A-A8CF-67FB259789FE}" uniqueName="17" name="Adicional de Acúmulo de função" totalsRowFunction="custom" queryTableFieldId="17" dataDxfId="344" totalsRowDxfId="369" dataCellStyle="Moeda">
      <calculatedColumnFormula>VLOOKUP($A4,tabCustoUnit[],COLUMN(CUSTO_GLOBAL[[#Headers],[Adicional de Acúmulo de função]])-2,0)*($G4-$H4)</calculatedColumnFormula>
      <totalsRowFormula>SUBTOTAL(9,CUSTO_GLOBAL[Adicional de Acúmulo de função])</totalsRowFormula>
    </tableColumn>
    <tableColumn id="18" xr3:uid="{67701F09-4591-4B8A-81C0-0DA65073A437}" uniqueName="18" name="MODULO 1 - REMUNERAÇÃO " totalsRowFunction="custom" queryTableFieldId="18" dataDxfId="343" totalsRowDxfId="370" dataCellStyle="Moeda">
      <calculatedColumnFormula>VLOOKUP($A4,tabCustoUnit[],COLUMN(CUSTO_GLOBAL[[#Headers],[MODULO 1 - REMUNERAÇÃO ]])-2,0)*($G4-$H4)</calculatedColumnFormula>
      <totalsRowFormula>SUBTOTAL(9,CUSTO_GLOBAL[MODULO 1 - REMUNERAÇÃO ])</totalsRowFormula>
    </tableColumn>
    <tableColumn id="19" xr3:uid="{C2DE57A8-4B62-47FA-BEEC-3DA6B4A39250}" uniqueName="19" name="INSS" totalsRowFunction="custom" queryTableFieldId="19" dataDxfId="342" totalsRowDxfId="371" dataCellStyle="Moeda">
      <calculatedColumnFormula>VLOOKUP($A4,tabCustoUnit[],COLUMN(CUSTO_GLOBAL[[#Headers],[INSS]])-2,0)*($G4-$H4)</calculatedColumnFormula>
      <totalsRowFormula>SUBTOTAL(9,CUSTO_GLOBAL[INSS])</totalsRowFormula>
    </tableColumn>
    <tableColumn id="20" xr3:uid="{8182F9AD-8617-4889-B417-E87676E8CEDD}" uniqueName="20" name="SESI OU SESC" totalsRowFunction="custom" queryTableFieldId="20" dataDxfId="341" totalsRowDxfId="372" dataCellStyle="Moeda">
      <calculatedColumnFormula>VLOOKUP($A4,tabCustoUnit[],COLUMN(CUSTO_GLOBAL[[#Headers],[SESI OU SESC]])-2,0)*($G4-$H4)</calculatedColumnFormula>
      <totalsRowFormula>SUBTOTAL(9,CUSTO_GLOBAL[SESI OU SESC])</totalsRowFormula>
    </tableColumn>
    <tableColumn id="21" xr3:uid="{289CB5E9-4713-42B5-8384-098A61DFC8E4}" uniqueName="21" name="SENAI OU SENAC" totalsRowFunction="custom" queryTableFieldId="21" dataDxfId="340" totalsRowDxfId="373" dataCellStyle="Moeda">
      <calculatedColumnFormula>VLOOKUP($A4,tabCustoUnit[],COLUMN(CUSTO_GLOBAL[[#Headers],[SENAI OU SENAC]])-2,0)*($G4-$H4)</calculatedColumnFormula>
      <totalsRowFormula>SUBTOTAL(9,CUSTO_GLOBAL[SENAI OU SENAC])</totalsRowFormula>
    </tableColumn>
    <tableColumn id="22" xr3:uid="{A00D3B95-B833-464D-BC41-7866EDAAFDD5}" uniqueName="22" name="INCRA" totalsRowFunction="custom" queryTableFieldId="22" dataDxfId="339" totalsRowDxfId="374" dataCellStyle="Moeda">
      <calculatedColumnFormula>VLOOKUP($A4,tabCustoUnit[],COLUMN(CUSTO_GLOBAL[[#Headers],[INCRA]])-2,0)*($G4-$H4)</calculatedColumnFormula>
      <totalsRowFormula>SUBTOTAL(9,CUSTO_GLOBAL[INCRA])</totalsRowFormula>
    </tableColumn>
    <tableColumn id="23" xr3:uid="{7AD41130-9D9E-4CB9-9A22-8EF443A4A99C}" uniqueName="23" name="Salário Educação" totalsRowFunction="custom" queryTableFieldId="23" dataDxfId="338" totalsRowDxfId="375" dataCellStyle="Moeda">
      <calculatedColumnFormula>VLOOKUP($A4,tabCustoUnit[],COLUMN(CUSTO_GLOBAL[[#Headers],[Salário Educação]])-2,0)*($G4-$H4)</calculatedColumnFormula>
      <totalsRowFormula>SUBTOTAL(9,CUSTO_GLOBAL[Salário Educação])</totalsRowFormula>
    </tableColumn>
    <tableColumn id="24" xr3:uid="{23301100-E996-4418-8EBF-7E675C815D84}" uniqueName="24" name="FGTS" totalsRowFunction="custom" queryTableFieldId="24" dataDxfId="337" totalsRowDxfId="376" dataCellStyle="Moeda">
      <calculatedColumnFormula>VLOOKUP($A4,tabCustoUnit[],COLUMN(CUSTO_GLOBAL[[#Headers],[FGTS]])-2,0)*($G4-$H4)</calculatedColumnFormula>
      <totalsRowFormula>SUBTOTAL(9,CUSTO_GLOBAL[FGTS])</totalsRowFormula>
    </tableColumn>
    <tableColumn id="25" xr3:uid="{05EEFD23-6911-4D17-8333-9A8F98CED0C4}" uniqueName="25" name="RAT Ajustado" totalsRowFunction="custom" queryTableFieldId="25" dataDxfId="336" totalsRowDxfId="377" dataCellStyle="Moeda">
      <calculatedColumnFormula>VLOOKUP($A4,tabCustoUnit[],COLUMN(CUSTO_GLOBAL[[#Headers],[RAT Ajustado]])-2,0)*($G4-$H4)</calculatedColumnFormula>
      <totalsRowFormula>SUBTOTAL(9,CUSTO_GLOBAL[RAT Ajustado])</totalsRowFormula>
    </tableColumn>
    <tableColumn id="26" xr3:uid="{16964004-6E82-42FE-8CDB-7A96F3DF5767}" uniqueName="26" name="SEBRAE" totalsRowFunction="custom" queryTableFieldId="26" dataDxfId="335" totalsRowDxfId="378" dataCellStyle="Moeda">
      <calculatedColumnFormula>VLOOKUP($A4,tabCustoUnit[],COLUMN(CUSTO_GLOBAL[[#Headers],[SEBRAE]])-2,0)*($G4-$H4)</calculatedColumnFormula>
      <totalsRowFormula>SUBTOTAL(9,CUSTO_GLOBAL[SEBRAE])</totalsRowFormula>
    </tableColumn>
    <tableColumn id="27" xr3:uid="{AFDCF339-3663-4205-8C68-3AC2A9E20D76}" uniqueName="27" name="Submódulo 2.1" totalsRowFunction="custom" queryTableFieldId="27" dataDxfId="334" totalsRowDxfId="379" dataCellStyle="Moeda">
      <calculatedColumnFormula>VLOOKUP($A4,tabCustoUnit[],COLUMN(CUSTO_GLOBAL[[#Headers],[Submódulo 2.1]])-2,0)*($G4-$H4)</calculatedColumnFormula>
      <totalsRowFormula>SUBTOTAL(9,CUSTO_GLOBAL[Submódulo 2.1])</totalsRowFormula>
    </tableColumn>
    <tableColumn id="28" xr3:uid="{16D7AEF4-49D3-4EE0-B20C-5C78608C48C8}" uniqueName="28" name="13º salário (titular)" totalsRowFunction="custom" queryTableFieldId="28" dataDxfId="333" totalsRowDxfId="380" dataCellStyle="Moeda">
      <calculatedColumnFormula>VLOOKUP($A4,tabCustoUnit[],COLUMN(CUSTO_GLOBAL[[#Headers],[13º salário (titular)]])-2,0)*($G4-$H4)</calculatedColumnFormula>
      <totalsRowFormula>SUBTOTAL(9,CUSTO_GLOBAL[13º salário (titular)])</totalsRowFormula>
    </tableColumn>
    <tableColumn id="29" xr3:uid="{465F8A0A-D6DB-402C-8CB7-CAE44F5318B8}" uniqueName="29" name="Férias e Adicional de Férias (titular)" totalsRowFunction="custom" queryTableFieldId="29" dataDxfId="332" totalsRowDxfId="381" dataCellStyle="Moeda">
      <calculatedColumnFormula>VLOOKUP($A4,tabCustoUnit[],COLUMN(CUSTO_GLOBAL[[#Headers],[Férias e Adicional de Férias (titular)]])-2,0)*($G4-$H4)</calculatedColumnFormula>
      <totalsRowFormula>SUBTOTAL(9,CUSTO_GLOBAL[Férias e Adicional de Férias (titular)])</totalsRowFormula>
    </tableColumn>
    <tableColumn id="30" xr3:uid="{CC4DC389-748E-4323-8F4F-007303128CFF}" uniqueName="30" name="Incidência do Submódulo 2.1 sobre 13º Salário, Férias e Adicional de Férias" totalsRowFunction="custom" queryTableFieldId="30" dataDxfId="331" totalsRowDxfId="382" dataCellStyle="Moeda">
      <calculatedColumnFormula>VLOOKUP($A4,tabCustoUnit[],COLUMN(CUSTO_GLOBAL[[#Headers],[Incidência do Submódulo 2.1 sobre 13º Salário, Férias e Adicional de Férias]])-2,0)*($G4-$H4)</calculatedColumnFormula>
      <totalsRowFormula>SUBTOTAL(9,CUSTO_GLOBAL[Incidência do Submódulo 2.1 sobre 13º Salário, Férias e Adicional de Férias])</totalsRowFormula>
    </tableColumn>
    <tableColumn id="31" xr3:uid="{D5299B44-A78D-46A8-B919-AA8FAF86937E}" uniqueName="31" name="Submódulo 2.2" totalsRowFunction="custom" queryTableFieldId="31" dataDxfId="330" totalsRowDxfId="383" dataCellStyle="Moeda">
      <calculatedColumnFormula>VLOOKUP($A4,tabCustoUnit[],COLUMN(CUSTO_GLOBAL[[#Headers],[Submódulo 2.2]])-2,0)*($G4-$H4)</calculatedColumnFormula>
      <totalsRowFormula>SUBTOTAL(9,CUSTO_GLOBAL[Submódulo 2.2])</totalsRowFormula>
    </tableColumn>
    <tableColumn id="32" xr3:uid="{753D445E-51D3-48DD-B9DD-224EFBA7C957}" uniqueName="32" name="Vale - Transporte (Descontada parcela do empregado)" totalsRowFunction="custom" queryTableFieldId="32" dataDxfId="329" totalsRowDxfId="384">
      <calculatedColumnFormula>VLOOKUP($A4,tabCustoUnit[],COLUMN(CUSTO_GLOBAL[[#Headers],[Vale - Transporte (Descontada parcela do empregado)]])-2,0)*($G4-$H4)</calculatedColumnFormula>
      <totalsRowFormula>SUBTOTAL(9,CUSTO_GLOBAL[Vale - Transporte (Descontada parcela do empregado)])</totalsRowFormula>
    </tableColumn>
    <tableColumn id="33" xr3:uid="{3ADA416F-2E92-465A-9BCF-A4093BBA74CC}" uniqueName="33" name="Vale - Alimentação (Descontada parcela do empregado)" totalsRowFunction="custom" queryTableFieldId="33" dataDxfId="328" totalsRowDxfId="385">
      <calculatedColumnFormula>VLOOKUP($A4,tabCustoUnit[],COLUMN(CUSTO_GLOBAL[[#Headers],[Vale - Alimentação (Descontada parcela do empregado)]])-2,0)*($G4-$H4)</calculatedColumnFormula>
      <totalsRowFormula>SUBTOTAL(9,CUSTO_GLOBAL[Vale - Alimentação (Descontada parcela do empregado)])</totalsRowFormula>
    </tableColumn>
    <tableColumn id="34" xr3:uid="{866DE23C-2A23-405A-84CB-37A9F7E59377}" uniqueName="34" name="Cesta Básica" totalsRowFunction="custom" queryTableFieldId="34" dataDxfId="327" totalsRowDxfId="386">
      <calculatedColumnFormula>VLOOKUP($A4,tabCustoUnit[],COLUMN(CUSTO_GLOBAL[[#Headers],[Cesta Básica]])-2,0)*($G4-$H4)</calculatedColumnFormula>
      <totalsRowFormula>SUBTOTAL(9,CUSTO_GLOBAL[Cesta Básica])</totalsRowFormula>
    </tableColumn>
    <tableColumn id="35" xr3:uid="{A520A0CD-7935-46E3-843F-EDC6AB3B538D}" uniqueName="35" name="PAF" totalsRowFunction="custom" queryTableFieldId="35" dataDxfId="326" totalsRowDxfId="387">
      <calculatedColumnFormula>VLOOKUP($A4,tabCustoUnit[],COLUMN(CUSTO_GLOBAL[[#Headers],[PAF]])-2,0)*($G4-$H4)</calculatedColumnFormula>
      <totalsRowFormula>SUBTOTAL(9,CUSTO_GLOBAL[PAF])</totalsRowFormula>
    </tableColumn>
    <tableColumn id="36" xr3:uid="{91AA0097-21DF-40FB-B0F7-183B1C49F069}" uniqueName="36" name="PQM" totalsRowFunction="custom" queryTableFieldId="36" dataDxfId="325" totalsRowDxfId="388">
      <calculatedColumnFormula>VLOOKUP($A4,tabCustoUnit[],COLUMN(CUSTO_GLOBAL[[#Headers],[PQM]])-2,0)*($G4-$H4)</calculatedColumnFormula>
      <totalsRowFormula>SUBTOTAL(9,CUSTO_GLOBAL[PQM])</totalsRowFormula>
    </tableColumn>
    <tableColumn id="37" xr3:uid="{F936037E-53EF-42A9-A22B-A15123C24E45}" uniqueName="37" name="PAT" totalsRowFunction="custom" queryTableFieldId="37" dataDxfId="324" totalsRowDxfId="389">
      <totalsRowFormula>SUBTOTAL(9,CUSTO_GLOBAL[PAT])</totalsRowFormula>
    </tableColumn>
    <tableColumn id="38" xr3:uid="{BCE9EC0C-9F1A-406B-AE58-63D830DA3A75}" uniqueName="38" name="Seguro de Vida" totalsRowFunction="custom" queryTableFieldId="38" dataDxfId="323" totalsRowDxfId="390">
      <calculatedColumnFormula>VLOOKUP($A4,tabCustoUnit[],COLUMN(CUSTO_GLOBAL[[#Headers],[Seguro de Vida]])-2,0)*($G4-$H4)</calculatedColumnFormula>
      <totalsRowFormula>SUBTOTAL(9,CUSTO_GLOBAL[Seguro de Vida])</totalsRowFormula>
    </tableColumn>
    <tableColumn id="39" xr3:uid="{11A1CD87-602C-4E4D-96D2-F22B373A4E5F}" uniqueName="39" name="Despesas de Viagem" totalsRowFunction="custom" queryTableFieldId="39" dataDxfId="322" totalsRowDxfId="391">
      <calculatedColumnFormula>VLOOKUP($A4,tabCustoUnit[],COLUMN(CUSTO_GLOBAL[[#Headers],[Despesas de Viagem]])-2,0)*($G4-$H4)</calculatedColumnFormula>
      <totalsRowFormula>SUBTOTAL(9,CUSTO_GLOBAL[Despesas de Viagem])</totalsRowFormula>
    </tableColumn>
    <tableColumn id="40" xr3:uid="{D563E71B-2B8E-40B3-B902-F51CD3FDDCC8}" uniqueName="40" name="Submódulo 2.3" totalsRowFunction="custom" queryTableFieldId="40" dataDxfId="321" totalsRowDxfId="392">
      <calculatedColumnFormula>VLOOKUP($A4,tabCustoUnit[],COLUMN(CUSTO_GLOBAL[[#Headers],[Submódulo 2.3]])-2,0)*($G4-$H4)</calculatedColumnFormula>
      <totalsRowFormula>SUBTOTAL(9,CUSTO_GLOBAL[Submódulo 2.3])</totalsRowFormula>
    </tableColumn>
    <tableColumn id="41" xr3:uid="{B251833E-DAD3-4ACA-9085-F5A09F4D2BFE}" uniqueName="41" name="MÓDULO 2 - Total Encargos e Benefícios mensais e diários" totalsRowFunction="custom" queryTableFieldId="41" dataDxfId="320" totalsRowDxfId="393">
      <calculatedColumnFormula>VLOOKUP($A4,tabCustoUnit[],COLUMN(CUSTO_GLOBAL[[#Headers],[MÓDULO 2 - Total Encargos e Benefícios mensais e diários]])-2,0)*($G4-$H4)</calculatedColumnFormula>
      <totalsRowFormula>SUBTOTAL(9,CUSTO_GLOBAL[MÓDULO 2 - Total Encargos e Benefícios mensais e diários])</totalsRowFormula>
    </tableColumn>
    <tableColumn id="42" xr3:uid="{48E57ECA-3718-43FD-BEC2-C1398F05FF26}" uniqueName="42" name="Aviso Prévio Indenizado (API) e Reflexo do Aviso Prévio Indenizado" totalsRowFunction="custom" queryTableFieldId="42" dataDxfId="319" totalsRowDxfId="394">
      <calculatedColumnFormula>VLOOKUP($A4,tabCustoUnit[],COLUMN(CUSTO_GLOBAL[[#Headers],[Aviso Prévio Indenizado (API) e Reflexo do Aviso Prévio Indenizado]])-2,0)*($G4-$H4)</calculatedColumnFormula>
      <totalsRowFormula>SUBTOTAL(9,CUSTO_GLOBAL[Aviso Prévio Indenizado (API) e Reflexo do Aviso Prévio Indenizado])</totalsRowFormula>
    </tableColumn>
    <tableColumn id="43" xr3:uid="{858EC34B-9629-4711-A05C-B555DC958587}" uniqueName="43" name="Incidência do FGTS sobre API e Reflexo do API" totalsRowFunction="custom" queryTableFieldId="43" dataDxfId="318" totalsRowDxfId="395">
      <calculatedColumnFormula>VLOOKUP($A4,tabCustoUnit[],COLUMN(CUSTO_GLOBAL[[#Headers],[Incidência do FGTS sobre API e Reflexo do API]])-2,0)*($G4-$H4)</calculatedColumnFormula>
      <totalsRowFormula>SUBTOTAL(9,CUSTO_GLOBAL[Incidência do FGTS sobre API e Reflexo do API])</totalsRowFormula>
    </tableColumn>
    <tableColumn id="44" xr3:uid="{FD19B3B1-6ED2-48C4-8213-851B089084DE}" uniqueName="44" name="Multa Rescisória do FGTS sobre o Aviso Prévio Indenizado" totalsRowFunction="custom" queryTableFieldId="44" dataDxfId="317" totalsRowDxfId="396">
      <calculatedColumnFormula>VLOOKUP($A4,tabCustoUnit[],COLUMN(CUSTO_GLOBAL[[#Headers],[Multa Rescisória do FGTS sobre o Aviso Prévio Indenizado]])-2,0)*($G4-$H4)</calculatedColumnFormula>
      <totalsRowFormula>SUBTOTAL(9,CUSTO_GLOBAL[Multa Rescisória do FGTS sobre o Aviso Prévio Indenizado])</totalsRowFormula>
    </tableColumn>
    <tableColumn id="45" xr3:uid="{CB6A3F0B-EF42-4089-AD4C-F52FEDC34173}" uniqueName="45" name="Aviso Prévio Trabalhado - APT" totalsRowFunction="custom" queryTableFieldId="45" dataDxfId="316" totalsRowDxfId="397">
      <calculatedColumnFormula>VLOOKUP($A4,tabCustoUnit[],COLUMN(CUSTO_GLOBAL[[#Headers],[Aviso Prévio Trabalhado - APT]])-2,0)*($G4-$H4)</calculatedColumnFormula>
      <totalsRowFormula>SUBTOTAL(9,CUSTO_GLOBAL[Aviso Prévio Trabalhado - APT])</totalsRowFormula>
    </tableColumn>
    <tableColumn id="46" xr3:uid="{F75E680B-2906-409D-9F68-FF1798FA8CFE}" uniqueName="46" name="Incidência dos encargos do submódulo 2.1 sobre Aviso Prévio Trabalhado" totalsRowFunction="custom" queryTableFieldId="46" dataDxfId="315" totalsRowDxfId="398">
      <calculatedColumnFormula>VLOOKUP($A4,tabCustoUnit[],COLUMN(CUSTO_GLOBAL[[#Headers],[Incidência dos encargos do submódulo 2.1 sobre Aviso Prévio Trabalhado]])-2,0)*($G4-$H4)</calculatedColumnFormula>
      <totalsRowFormula>SUBTOTAL(9,CUSTO_GLOBAL[Incidência dos encargos do submódulo 2.1 sobre Aviso Prévio Trabalhado])</totalsRowFormula>
    </tableColumn>
    <tableColumn id="47" xr3:uid="{FA66D950-89CC-4602-8C3C-C93A1CA74A87}" uniqueName="47" name="Multa Rescisória do FGTS" totalsRowFunction="custom" queryTableFieldId="47" dataDxfId="314" totalsRowDxfId="399">
      <calculatedColumnFormula>VLOOKUP($A4,tabCustoUnit[],COLUMN(CUSTO_GLOBAL[[#Headers],[Multa Rescisória do FGTS]])-2,0)*($G4-$H4)</calculatedColumnFormula>
      <totalsRowFormula>SUBTOTAL(9,CUSTO_GLOBAL[Multa Rescisória do FGTS])</totalsRowFormula>
    </tableColumn>
    <tableColumn id="48" xr3:uid="{7DAA4A20-9367-429F-B853-BD25D2B4A8B7}" uniqueName="48" name="Indenização Adicional (Art. 9º da Lei nº 7.238/84)" totalsRowFunction="custom" queryTableFieldId="48" dataDxfId="313" totalsRowDxfId="400">
      <calculatedColumnFormula>VLOOKUP($A4,tabCustoUnit[],COLUMN(CUSTO_GLOBAL[[#Headers],[Indenização Adicional (Art. 9º da Lei nº 7.238/84)]])-2,0)*($G4-$H4)</calculatedColumnFormula>
      <totalsRowFormula>SUBTOTAL(9,CUSTO_GLOBAL[Indenização Adicional (Art. 9º da Lei nº 7.238/84)])</totalsRowFormula>
    </tableColumn>
    <tableColumn id="49" xr3:uid="{A9FB0AAC-36A5-4445-BAC5-B8FA7B33534C}" uniqueName="49" name="MÓDULO 3 – PROVISÃO PARA RESCISÃO" totalsRowFunction="custom" queryTableFieldId="49" dataDxfId="312" totalsRowDxfId="401">
      <calculatedColumnFormula>VLOOKUP($A4,tabCustoUnit[],COLUMN(CUSTO_GLOBAL[[#Headers],[MÓDULO 3 – PROVISÃO PARA RESCISÃO]])-2,0)*($G4-$H4)</calculatedColumnFormula>
      <totalsRowFormula>SUBTOTAL(9,CUSTO_GLOBAL[MÓDULO 3 – PROVISÃO PARA RESCISÃO])</totalsRowFormula>
    </tableColumn>
    <tableColumn id="50" xr3:uid="{4F09C923-311C-43B1-A79B-40B732E888B4}" uniqueName="50" name="Ausência por Doença" totalsRowFunction="custom" queryTableFieldId="50" dataDxfId="311" totalsRowDxfId="402">
      <calculatedColumnFormula>VLOOKUP($A4,tabCustoUnit[],COLUMN(CUSTO_GLOBAL[[#Headers],[Ausência por Doença]])-2,0)*($G4-$H4)</calculatedColumnFormula>
      <totalsRowFormula>SUBTOTAL(9,CUSTO_GLOBAL[Ausência por Doença])</totalsRowFormula>
    </tableColumn>
    <tableColumn id="51" xr3:uid="{2F3ABDCE-00DB-403C-B65B-A199AE331B05}" uniqueName="51" name="Ausências Legais" totalsRowFunction="custom" queryTableFieldId="51" dataDxfId="310" totalsRowDxfId="403">
      <calculatedColumnFormula>VLOOKUP($A4,tabCustoUnit[],COLUMN(CUSTO_GLOBAL[[#Headers],[Ausências Legais]])-2,0)*($G4-$H4)</calculatedColumnFormula>
      <totalsRowFormula>SUBTOTAL(9,CUSTO_GLOBAL[Ausências Legais])</totalsRowFormula>
    </tableColumn>
    <tableColumn id="52" xr3:uid="{D92EACD1-99D6-4887-9A36-D6176268A6EE}" uniqueName="52" name="Licença Paternidade" totalsRowFunction="custom" queryTableFieldId="52" dataDxfId="309" totalsRowDxfId="404">
      <calculatedColumnFormula>VLOOKUP($A4,tabCustoUnit[],COLUMN(CUSTO_GLOBAL[[#Headers],[Licença Paternidade]])-2,0)*($G4-$H4)</calculatedColumnFormula>
      <totalsRowFormula>SUBTOTAL(9,CUSTO_GLOBAL[Licença Paternidade])</totalsRowFormula>
    </tableColumn>
    <tableColumn id="53" xr3:uid="{8D5B1B71-5336-4F3C-99B2-3B55BF86BBD2}" uniqueName="53" name="Ausência por Acidente de Trabalho" totalsRowFunction="custom" queryTableFieldId="53" dataDxfId="308" totalsRowDxfId="405">
      <calculatedColumnFormula>VLOOKUP($A4,tabCustoUnit[],COLUMN(CUSTO_GLOBAL[[#Headers],[Ausência por Acidente de Trabalho]])-2,0)*($G4-$H4)</calculatedColumnFormula>
      <totalsRowFormula>SUBTOTAL(9,CUSTO_GLOBAL[Ausência por Acidente de Trabalho])</totalsRowFormula>
    </tableColumn>
    <tableColumn id="54" xr3:uid="{BB91C270-C24A-49CD-AA03-918AC8503ABA}" uniqueName="54" name="Férias, Adicional de Férias e 13º  com empregada em gozo de Licença Maternidade" totalsRowFunction="custom" queryTableFieldId="54" dataDxfId="307" totalsRowDxfId="406">
      <calculatedColumnFormula>VLOOKUP($A4,tabCustoUnit[],COLUMN(CUSTO_GLOBAL[[#Headers],[Férias, Adicional de Férias e 13º  com empregada em gozo de Licença Maternidade]])-2,0)*($G4-$H4)</calculatedColumnFormula>
      <totalsRowFormula>SUBTOTAL(9,CUSTO_GLOBAL[Férias, Adicional de Férias e 13º  com empregada em gozo de Licença Maternidade])</totalsRowFormula>
    </tableColumn>
    <tableColumn id="55" xr3:uid="{593962CA-C31A-428F-856E-DAD86E34078F}" uniqueName="55" name="Incidência do Submódulo 2.1 sobre Ausências Legais" totalsRowFunction="custom" queryTableFieldId="55" dataDxfId="306" totalsRowDxfId="407">
      <calculatedColumnFormula>VLOOKUP($A4,tabCustoUnit[],COLUMN(CUSTO_GLOBAL[[#Headers],[Incidência do Submódulo 2.1 sobre Ausências Legais]])-2,0)*($G4-$H4)</calculatedColumnFormula>
      <totalsRowFormula>SUBTOTAL(9,CUSTO_GLOBAL[Incidência do Submódulo 2.1 sobre Ausências Legais])</totalsRowFormula>
    </tableColumn>
    <tableColumn id="56" xr3:uid="{7F612C40-CDAC-433B-AEB4-C0A2D7888549}" uniqueName="56" name="Submódulo 4.1" totalsRowFunction="custom" queryTableFieldId="56" dataDxfId="305" totalsRowDxfId="408">
      <calculatedColumnFormula>VLOOKUP($A4,tabCustoUnit[],COLUMN(CUSTO_GLOBAL[[#Headers],[Submódulo 4.1]])-2,0)*($G4-$H4)</calculatedColumnFormula>
      <totalsRowFormula>SUBTOTAL(9,CUSTO_GLOBAL[Submódulo 4.1])</totalsRowFormula>
    </tableColumn>
    <tableColumn id="57" xr3:uid="{D9F36A50-6968-4FC5-A0A1-A49E798F13BB}" uniqueName="57" name="Intervalo para Repouso ou Alimentação" totalsRowFunction="custom" queryTableFieldId="57" dataDxfId="304" totalsRowDxfId="409">
      <calculatedColumnFormula>VLOOKUP($A4,tabCustoUnit[],COLUMN(CUSTO_GLOBAL[[#Headers],[Intervalo para Repouso ou Alimentação]])-2,0)*($G4-$H4)</calculatedColumnFormula>
      <totalsRowFormula>SUBTOTAL(9,CUSTO_GLOBAL[Intervalo para Repouso ou Alimentação])</totalsRowFormula>
    </tableColumn>
    <tableColumn id="58" xr3:uid="{990493BC-18F9-420A-A94E-FA058496A41E}" uniqueName="58" name="Submódulo 4.2" totalsRowFunction="custom" queryTableFieldId="58" dataDxfId="303" totalsRowDxfId="410">
      <calculatedColumnFormula>VLOOKUP($A4,tabCustoUnit[],COLUMN(CUSTO_GLOBAL[[#Headers],[Submódulo 4.2]])-2,0)*($G4-$H4)</calculatedColumnFormula>
      <totalsRowFormula>SUBTOTAL(9,CUSTO_GLOBAL[Submódulo 4.2])</totalsRowFormula>
    </tableColumn>
    <tableColumn id="59" xr3:uid="{C3F5B086-B04D-471D-BF8C-E7A4AC92C271}" uniqueName="59" name="Suspensão Temporária do Contrato de Trabalho" totalsRowFunction="custom" queryTableFieldId="59" dataDxfId="302" totalsRowDxfId="411">
      <calculatedColumnFormula>VLOOKUP($A4,tabCustoUnit[],COLUMN(CUSTO_GLOBAL[[#Headers],[Suspensão Temporária do Contrato de Trabalho]])-2,0)*($G4-$H4)</calculatedColumnFormula>
      <totalsRowFormula>SUBTOTAL(9,CUSTO_GLOBAL[Suspensão Temporária do Contrato de Trabalho])</totalsRowFormula>
    </tableColumn>
    <tableColumn id="60" xr3:uid="{8280FBD9-D726-4FD8-88ED-3E098FC6B17B}" uniqueName="60" name="Submódulo 4.3" totalsRowFunction="custom" queryTableFieldId="60" dataDxfId="301" totalsRowDxfId="412">
      <calculatedColumnFormula>VLOOKUP($A4,tabCustoUnit[],COLUMN(CUSTO_GLOBAL[[#Headers],[Submódulo 4.3]])-2,0)*($G4-$H4)</calculatedColumnFormula>
      <totalsRowFormula>SUBTOTAL(9,CUSTO_GLOBAL[Submódulo 4.3])</totalsRowFormula>
    </tableColumn>
    <tableColumn id="61" xr3:uid="{EFD40A35-F173-4F91-A644-AD5E7748E3C4}" uniqueName="61" name="MÓDULO 4 – CUSTO DE REPOSIÇÃO DO PROFISSIONAL AUSENTE" totalsRowFunction="custom" queryTableFieldId="61" dataDxfId="300" totalsRowDxfId="413">
      <calculatedColumnFormula>VLOOKUP($A4,tabCustoUnit[],COLUMN(CUSTO_GLOBAL[[#Headers],[MÓDULO 4 – CUSTO DE REPOSIÇÃO DO PROFISSIONAL AUSENTE]])-2,0)*($G4-$H4)</calculatedColumnFormula>
      <totalsRowFormula>SUBTOTAL(9,CUSTO_GLOBAL[MÓDULO 4 – CUSTO DE REPOSIÇÃO DO PROFISSIONAL AUSENTE])</totalsRowFormula>
    </tableColumn>
    <tableColumn id="62" xr3:uid="{AE26B2A1-BCF4-4657-BBEF-ED18F892C046}" uniqueName="62" name="Uniformes e EPIs" totalsRowFunction="custom" queryTableFieldId="62" dataDxfId="299" totalsRowDxfId="414">
      <calculatedColumnFormula>VLOOKUP($A4,tabCustoUnit[],COLUMN(CUSTO_GLOBAL[[#Headers],[Uniformes e EPIs]])-2,0)*($G4-$H4)</calculatedColumnFormula>
      <totalsRowFormula>SUBTOTAL(9,CUSTO_GLOBAL[Uniformes e EPIs])</totalsRowFormula>
    </tableColumn>
    <tableColumn id="63" xr3:uid="{83022614-49B0-47CB-A086-4A2534719B8B}" uniqueName="63" name="Materiais de Consumo" totalsRowFunction="custom" queryTableFieldId="63" dataDxfId="298" totalsRowDxfId="415">
      <calculatedColumnFormula>VLOOKUP($A4,tabCustoUnit[],COLUMN(CUSTO_GLOBAL[[#Headers],[Materiais de Consumo]])-2,0)*($G4-$H4)</calculatedColumnFormula>
      <totalsRowFormula>SUBTOTAL(9,CUSTO_GLOBAL[Materiais de Consumo])</totalsRowFormula>
    </tableColumn>
    <tableColumn id="64" xr3:uid="{3AAAD54F-B9C6-44EF-847E-7A8202DA3869}" uniqueName="64" name="Máquinas e Equipamentos (depreciação)" totalsRowFunction="custom" queryTableFieldId="64" dataDxfId="297" totalsRowDxfId="416">
      <calculatedColumnFormula>VLOOKUP($A4,tabCustoUnit[],COLUMN(CUSTO_GLOBAL[[#Headers],[Máquinas e Equipamentos (depreciação)]])-2,0)*($G4-$H4)</calculatedColumnFormula>
      <totalsRowFormula>SUBTOTAL(9,CUSTO_GLOBAL[Máquinas e Equipamentos (depreciação)])</totalsRowFormula>
    </tableColumn>
    <tableColumn id="65" xr3:uid="{03551B16-6F12-4A76-9842-DC3973D3F358}" uniqueName="65" name="Produtos de Limpeza e Materiais de Higiene Pessoal" totalsRowFunction="custom" queryTableFieldId="65" dataDxfId="296" totalsRowDxfId="417">
      <calculatedColumnFormula>VLOOKUP($A4,tabCustoUnit[],COLUMN(CUSTO_GLOBAL[[#Headers],[Produtos de Limpeza e Materiais de Higiene Pessoal]])-2,0)*($G4-$H4)</calculatedColumnFormula>
      <totalsRowFormula>SUBTOTAL(9,CUSTO_GLOBAL[Produtos de Limpeza e Materiais de Higiene Pessoal])</totalsRowFormula>
    </tableColumn>
    <tableColumn id="66" xr3:uid="{3095BAAC-6752-419F-AE95-A09B6619C0A2}" uniqueName="66" name="Outros (especificar)" totalsRowFunction="custom" queryTableFieldId="66" dataDxfId="295" totalsRowDxfId="418">
      <calculatedColumnFormula>VLOOKUP($A4,tabCustoUnit[],COLUMN(CUSTO_GLOBAL[[#Headers],[Outros (especificar)]])-2,0)*($G4-$H4)</calculatedColumnFormula>
      <totalsRowFormula>SUBTOTAL(9,CUSTO_GLOBAL[Outros (especificar)])</totalsRowFormula>
    </tableColumn>
    <tableColumn id="67" xr3:uid="{63808F1F-6144-4A78-9BAC-B2A131F6C42F}" uniqueName="67" name="MÓDULO 5 – INSUMOS DIVERSOS" totalsRowFunction="custom" queryTableFieldId="67" dataDxfId="294" totalsRowDxfId="419">
      <calculatedColumnFormula>VLOOKUP($A4,tabCustoUnit[],COLUMN(CUSTO_GLOBAL[[#Headers],[MÓDULO 5 – INSUMOS DIVERSOS]])-2,0)*($G4-$H4)</calculatedColumnFormula>
      <totalsRowFormula>SUBTOTAL(9,CUSTO_GLOBAL[MÓDULO 5 – INSUMOS DIVERSOS])</totalsRowFormula>
    </tableColumn>
    <tableColumn id="68" xr3:uid="{55331FD3-10C5-4235-A19A-6052BDA79822}" uniqueName="68" name="TOTAL MÓDULOS 1+2+3+4+5" totalsRowFunction="custom" queryTableFieldId="68" dataDxfId="293" totalsRowDxfId="420">
      <calculatedColumnFormula>VLOOKUP($A4,tabCustoUnit[],COLUMN(CUSTO_GLOBAL[[#Headers],[TOTAL MÓDULOS 1+2+3+4+5]])-2,0)*($G4-$H4)</calculatedColumnFormula>
      <totalsRowFormula>SUBTOTAL(9,CUSTO_GLOBAL[TOTAL MÓDULOS 1+2+3+4+5])</totalsRowFormula>
    </tableColumn>
    <tableColumn id="69" xr3:uid="{E9F820E3-79A8-4CE7-A271-784123179F62}" uniqueName="69" name="Custos Indiretos" totalsRowFunction="custom" queryTableFieldId="69" dataDxfId="292" totalsRowDxfId="421">
      <calculatedColumnFormula>VLOOKUP($A4,tabCustoUnit[],COLUMN(CUSTO_GLOBAL[[#Headers],[Custos Indiretos]])-2,0)*($G4-$H4)</calculatedColumnFormula>
      <totalsRowFormula>SUBTOTAL(9,CUSTO_GLOBAL[Custos Indiretos])</totalsRowFormula>
    </tableColumn>
    <tableColumn id="70" xr3:uid="{BD473DA1-E0E8-4CAE-B780-584E67243BBA}" uniqueName="70" name="Lucro" totalsRowFunction="custom" queryTableFieldId="70" dataDxfId="291" totalsRowDxfId="422">
      <calculatedColumnFormula>VLOOKUP($A4,tabCustoUnit[],COLUMN(CUSTO_GLOBAL[[#Headers],[Lucro]])-2,0)*($G4-$H4)</calculatedColumnFormula>
      <totalsRowFormula>SUBTOTAL(9,CUSTO_GLOBAL[Lucro])</totalsRowFormula>
    </tableColumn>
    <tableColumn id="71" xr3:uid="{CA90D41A-BB63-4540-8874-66D3F699EDA7}" uniqueName="71" name="COFINS" totalsRowFunction="average" queryTableFieldId="71" dataDxfId="290" totalsRowDxfId="423" dataCellStyle="Porcentagem">
      <calculatedColumnFormula>VLOOKUP($A4,tabCustoUnit[],COLUMN(CUSTO_GLOBAL[[#Headers],[COFINS]])-2,0)</calculatedColumnFormula>
    </tableColumn>
    <tableColumn id="72" xr3:uid="{666D0888-1CB1-4055-BC7D-06528C668D5E}" uniqueName="72" name="PIS" totalsRowFunction="average" queryTableFieldId="72" dataDxfId="289" totalsRowDxfId="424" dataCellStyle="Porcentagem">
      <calculatedColumnFormula>VLOOKUP($A4,tabCustoUnit[],COLUMN(CUSTO_GLOBAL[[#Headers],[PIS]])-2,0)</calculatedColumnFormula>
    </tableColumn>
    <tableColumn id="73" xr3:uid="{CAA4D295-E330-4566-9C1E-48946A2F790C}" uniqueName="73" name="ISS" totalsRowFunction="average" queryTableFieldId="73" dataDxfId="288" totalsRowDxfId="425" dataCellStyle="Porcentagem">
      <calculatedColumnFormula>VLOOKUP($A4,tabCustoUnit[],COLUMN(CUSTO_GLOBAL[[#Headers],[ISS]])-2,0)</calculatedColumnFormula>
    </tableColumn>
    <tableColumn id="74" xr3:uid="{8DBD36B6-64F1-4963-B168-788076547654}" uniqueName="74" name="ISS (Conversão Alíquota s/ fatura)" totalsRowFunction="average" queryTableFieldId="74" dataDxfId="287" totalsRowDxfId="426" dataCellStyle="Porcentagem">
      <calculatedColumnFormula>VLOOKUP($A4,tabCustoUnit[],COLUMN(CUSTO_GLOBAL[[#Headers],[ISS (Conversão Alíquota s/ fatura)]])-2,0)</calculatedColumnFormula>
    </tableColumn>
    <tableColumn id="75" xr3:uid="{EF767087-E94E-493B-8F69-50DF3B33D66F}" uniqueName="75" name="Resumo de Alíquotas (PIS+CONFINS+ISS)" totalsRowFunction="average" queryTableFieldId="75" dataDxfId="286" totalsRowDxfId="427" dataCellStyle="Porcentagem">
      <calculatedColumnFormula>VLOOKUP($A4,tabCustoUnit[],COLUMN(CUSTO_GLOBAL[[#Headers],[Resumo de Alíquotas (PIS+CONFINS+ISS)]])-2,0)</calculatedColumnFormula>
    </tableColumn>
    <tableColumn id="76" xr3:uid="{C838E13A-91A2-4557-9F89-81FCF696AFFE}" uniqueName="76" name="PIS + COFINS + ISS (Total Conversão  Alíquota s/ Fatura)" totalsRowFunction="average" queryTableFieldId="76" dataDxfId="285" totalsRowDxfId="428">
      <calculatedColumnFormula>VLOOKUP($A4,tabCustoUnit[],COLUMN(CUSTO_GLOBAL[[#Headers],[PIS + COFINS + ISS (Total Conversão  Alíquota s/ Fatura)]])-2,0)</calculatedColumnFormula>
    </tableColumn>
    <tableColumn id="77" xr3:uid="{4D33F2AC-97C4-4A82-9B68-82715CCB3388}" uniqueName="77" name="Valor dos Tributos (ISS, PIS, CONFINS)" totalsRowFunction="custom" queryTableFieldId="77" dataDxfId="284" totalsRowDxfId="429">
      <calculatedColumnFormula>VLOOKUP($A4,tabCustoUnit[],COLUMN(CUSTO_GLOBAL[[#Headers],[Valor dos Tributos (ISS, PIS, CONFINS)]])-2,0)*($G4-$H4)</calculatedColumnFormula>
      <totalsRowFormula>SUBTOTAL(9,CUSTO_GLOBAL[Valor dos Tributos (ISS, PIS, CONFINS)])</totalsRowFormula>
    </tableColumn>
    <tableColumn id="78" xr3:uid="{CF6F5218-A36F-4D25-9F98-EDB987A16095}" uniqueName="78" name="MÓDULO 6 – CUSTOS INDIRETOS, TRIBUTOS E LUCRO" totalsRowFunction="custom" queryTableFieldId="78" dataDxfId="283" totalsRowDxfId="430">
      <calculatedColumnFormula>VLOOKUP($A4,tabCustoUnit[],COLUMN(CUSTO_GLOBAL[[#Headers],[MÓDULO 6 – CUSTOS INDIRETOS, TRIBUTOS E LUCRO]])-2,0)*($G4-$H4)</calculatedColumnFormula>
      <totalsRowFormula>SUBTOTAL(9,CUSTO_GLOBAL[MÓDULO 6 – CUSTOS INDIRETOS, TRIBUTOS E LUCRO])</totalsRowFormula>
    </tableColumn>
    <tableColumn id="79" xr3:uid="{EEAA0504-CA5F-4886-8687-07424CF8A0CA}" uniqueName="79" name="CUSTO TOTAL MENSAL" totalsRowFunction="custom" queryTableFieldId="79" dataDxfId="282" totalsRowDxfId="431">
      <calculatedColumnFormula>VLOOKUP($A4,tabCustoUnit[],COLUMN(CUSTO_GLOBAL[[#Headers],[CUSTO TOTAL MENSAL]])-2,0)*($G4-$H4)</calculatedColumnFormula>
      <totalsRowFormula>SUBTOTAL(9,CUSTO_GLOBAL[CUSTO TOTAL MENSAL])</totalsRowFormula>
    </tableColumn>
    <tableColumn id="80" xr3:uid="{B46A6040-12BB-4D19-8AD0-5C940BD85370}" uniqueName="80" name="CUSTO TOTAL ANUAL" totalsRowFunction="custom" queryTableFieldId="80" dataDxfId="281" totalsRowDxfId="432">
      <calculatedColumnFormula>CUSTO_GLOBAL[[#This Row],[CUSTO TOTAL MENSAL]]*12</calculatedColumnFormula>
      <totalsRowFormula>SUBTOTAL(9,CUSTO_GLOBAL[CUSTO TOTAL ANUAL])</totalsRowFormula>
    </tableColumn>
    <tableColumn id="81" xr3:uid="{EC814670-9D91-4C4F-92B6-6664738BD9CD}" uniqueName="81" name="ANO DA CCT" queryTableFieldId="81" dataDxfId="280" totalsRowDxfId="433">
      <calculatedColumnFormula>VLOOKUP($A4,tabCustoUnit[],COLUMN(CUSTO_GLOBAL[[#Headers],[ANO DA CCT]])-2,0)</calculatedColumnFormula>
    </tableColumn>
    <tableColumn id="82" xr3:uid="{726E6E45-507A-474E-A315-35740219944A}" uniqueName="82" name="Nº DE PEDIDO DA CCT" queryTableFieldId="82" dataDxfId="279" totalsRowDxfId="434">
      <calculatedColumnFormula>VLOOKUP($A4,tabCustoUnit[],COLUMN(CUSTO_GLOBAL[[#Headers],[Nº DE PEDIDO DA CCT]])-2,0)</calculatedColumnFormula>
    </tableColumn>
    <tableColumn id="83" xr3:uid="{B4B99E68-D085-4BBF-999E-B4D0092B3B29}" uniqueName="83" name="TERMO ADITIVO  ALTERAÇÃO DA CCT" queryTableFieldId="83" dataDxfId="278" totalsRowDxfId="435">
      <calculatedColumnFormula>VLOOKUP($A4,tabCustoUnit[],COLUMN(CUSTO_GLOBAL[[#Headers],[TERMO ADITIVO  ALTERAÇÃO DA CCT]])-2,0)</calculatedColumnFormula>
    </tableColumn>
  </tableColumns>
  <tableStyleInfo name="TableStyleLight1" showFirstColumn="0" showLastColumn="0" showRowStripes="1" showColumnStripes="0"/>
</table>
</file>

<file path=xl/theme/theme1.xml><?xml version="1.0" encoding="utf-8"?>
<a:theme xmlns:a="http://schemas.openxmlformats.org/drawingml/2006/main" name="Tema do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2.xml.rels><?xml version="1.0" encoding="UTF-8" standalone="yes"?>
<Relationships xmlns="http://schemas.openxmlformats.org/package/2006/relationships"><Relationship Id="rId8" Type="http://schemas.openxmlformats.org/officeDocument/2006/relationships/table" Target="../tables/table7.xml"/><Relationship Id="rId3" Type="http://schemas.openxmlformats.org/officeDocument/2006/relationships/table" Target="../tables/table2.xml"/><Relationship Id="rId7" Type="http://schemas.openxmlformats.org/officeDocument/2006/relationships/table" Target="../tables/table6.xml"/><Relationship Id="rId2" Type="http://schemas.openxmlformats.org/officeDocument/2006/relationships/table" Target="../tables/table1.xml"/><Relationship Id="rId1" Type="http://schemas.openxmlformats.org/officeDocument/2006/relationships/printerSettings" Target="../printerSettings/printerSettings1.bin"/><Relationship Id="rId6" Type="http://schemas.openxmlformats.org/officeDocument/2006/relationships/table" Target="../tables/table5.xml"/><Relationship Id="rId5" Type="http://schemas.openxmlformats.org/officeDocument/2006/relationships/table" Target="../tables/table4.xml"/><Relationship Id="rId4" Type="http://schemas.openxmlformats.org/officeDocument/2006/relationships/table" Target="../tables/table3.xml"/><Relationship Id="rId9" Type="http://schemas.openxmlformats.org/officeDocument/2006/relationships/table" Target="../tables/table8.xml"/></Relationships>
</file>

<file path=xl/worksheets/_rels/sheet3.xml.rels><?xml version="1.0" encoding="UTF-8" standalone="yes"?>
<Relationships xmlns="http://schemas.openxmlformats.org/package/2006/relationships"><Relationship Id="rId3" Type="http://schemas.openxmlformats.org/officeDocument/2006/relationships/drawing" Target="../drawings/drawing1.xml"/><Relationship Id="rId2" Type="http://schemas.openxmlformats.org/officeDocument/2006/relationships/printerSettings" Target="../printerSettings/printerSettings2.bin"/><Relationship Id="rId1" Type="http://schemas.openxmlformats.org/officeDocument/2006/relationships/pivotTable" Target="../pivotTables/pivotTable1.xml"/><Relationship Id="rId5" Type="http://schemas.microsoft.com/office/2007/relationships/slicer" Target="../slicers/slicer1.xml"/><Relationship Id="rId4" Type="http://schemas.openxmlformats.org/officeDocument/2006/relationships/table" Target="../tables/table9.xml"/></Relationships>
</file>

<file path=xl/worksheets/_rels/sheet4.xml.rels><?xml version="1.0" encoding="UTF-8" standalone="yes"?>
<Relationships xmlns="http://schemas.openxmlformats.org/package/2006/relationships"><Relationship Id="rId1" Type="http://schemas.openxmlformats.org/officeDocument/2006/relationships/table" Target="../tables/table10.xml"/></Relationships>
</file>

<file path=xl/worksheets/_rels/sheet5.xml.rels><?xml version="1.0" encoding="UTF-8" standalone="yes"?>
<Relationships xmlns="http://schemas.openxmlformats.org/package/2006/relationships"><Relationship Id="rId1" Type="http://schemas.openxmlformats.org/officeDocument/2006/relationships/table" Target="../tables/table11.xml"/></Relationships>
</file>

<file path=xl/worksheets/_rels/sheet6.xml.rels><?xml version="1.0" encoding="UTF-8" standalone="yes"?>
<Relationships xmlns="http://schemas.openxmlformats.org/package/2006/relationships"><Relationship Id="rId2" Type="http://schemas.openxmlformats.org/officeDocument/2006/relationships/table" Target="../tables/table12.xml"/><Relationship Id="rId1" Type="http://schemas.openxmlformats.org/officeDocument/2006/relationships/printerSettings" Target="../printerSettings/printerSettings3.bin"/></Relationships>
</file>

<file path=xl/worksheets/_rels/sheet7.xml.rels><?xml version="1.0" encoding="UTF-8" standalone="yes"?>
<Relationships xmlns="http://schemas.openxmlformats.org/package/2006/relationships"><Relationship Id="rId1" Type="http://schemas.openxmlformats.org/officeDocument/2006/relationships/table" Target="../tables/table13.xml"/></Relationships>
</file>

<file path=xl/worksheets/_rels/sheet8.xml.rels><?xml version="1.0" encoding="UTF-8" standalone="yes"?>
<Relationships xmlns="http://schemas.openxmlformats.org/package/2006/relationships"><Relationship Id="rId3" Type="http://schemas.openxmlformats.org/officeDocument/2006/relationships/table" Target="../tables/table14.xml"/><Relationship Id="rId2" Type="http://schemas.openxmlformats.org/officeDocument/2006/relationships/drawing" Target="../drawings/drawing2.xml"/><Relationship Id="rId1" Type="http://schemas.openxmlformats.org/officeDocument/2006/relationships/printerSettings" Target="../printerSettings/printerSettings4.bin"/></Relationships>
</file>

<file path=xl/worksheets/_rels/sheet9.xml.rels><?xml version="1.0" encoding="UTF-8" standalone="yes"?>
<Relationships xmlns="http://schemas.openxmlformats.org/package/2006/relationships"><Relationship Id="rId1" Type="http://schemas.openxmlformats.org/officeDocument/2006/relationships/table" Target="../tables/table15.xml"/></Relationships>
</file>

<file path=xl/worksheets/_rels/sheet11.xml.rels><?xml version="1.0" encoding="UTF-8" standalone="yes"?>
<Relationships xmlns="http://schemas.openxmlformats.org/package/2006/relationships"><Relationship Id="rId1" Type="http://schemas.openxmlformats.org/officeDocument/2006/relationships/table" Target="../tables/table16.xml"/></Relationships>
</file>

<file path=xl/worksheets/_rels/sheet12.xml.rels><?xml version="1.0" encoding="UTF-8" standalone="yes"?>
<Relationships xmlns="http://schemas.openxmlformats.org/package/2006/relationships"><Relationship Id="rId2" Type="http://schemas.openxmlformats.org/officeDocument/2006/relationships/printerSettings" Target="../printerSettings/printerSettings5.bin"/><Relationship Id="rId1" Type="http://schemas.openxmlformats.org/officeDocument/2006/relationships/pivotTable" Target="../pivotTables/pivotTable2.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AA44749-41B1-4B4A-BDDD-746E0108C9F1}">
  <dimension ref="A1:B16"/>
  <sheetViews>
    <sheetView tabSelected="1" workbookViewId="0">
      <selection activeCell="B3" sqref="B3"/>
    </sheetView>
  </sheetViews>
  <sheetFormatPr defaultColWidth="9.140625" defaultRowHeight="12.75" x14ac:dyDescent="0.2"/>
  <cols>
    <col min="1" max="1" width="30.42578125" style="11" customWidth="1"/>
    <col min="2" max="2" width="173" style="11" customWidth="1"/>
    <col min="3" max="16384" width="9.140625" style="11"/>
  </cols>
  <sheetData>
    <row r="1" spans="1:2" ht="24.75" customHeight="1" x14ac:dyDescent="0.2">
      <c r="A1" s="317" t="s">
        <v>1600</v>
      </c>
      <c r="B1" s="317"/>
    </row>
    <row r="2" spans="1:2" x14ac:dyDescent="0.2">
      <c r="A2" s="308" t="s">
        <v>1598</v>
      </c>
      <c r="B2" s="308" t="s">
        <v>1598</v>
      </c>
    </row>
    <row r="3" spans="1:2" ht="213.75" x14ac:dyDescent="0.2">
      <c r="A3" s="298" t="s">
        <v>1599</v>
      </c>
      <c r="B3" s="307" t="s">
        <v>1601</v>
      </c>
    </row>
    <row r="4" spans="1:2" ht="15.75" customHeight="1" x14ac:dyDescent="0.25">
      <c r="A4" s="306" t="s">
        <v>1598</v>
      </c>
      <c r="B4" s="305" t="s">
        <v>1598</v>
      </c>
    </row>
    <row r="5" spans="1:2" s="315" customFormat="1" ht="71.25" x14ac:dyDescent="0.2">
      <c r="A5" s="313" t="s">
        <v>1607</v>
      </c>
      <c r="B5" s="314" t="s">
        <v>1609</v>
      </c>
    </row>
    <row r="6" spans="1:2" ht="57" x14ac:dyDescent="0.2">
      <c r="A6" s="298" t="s">
        <v>1597</v>
      </c>
      <c r="B6" s="304" t="s">
        <v>1602</v>
      </c>
    </row>
    <row r="7" spans="1:2" ht="71.25" x14ac:dyDescent="0.2">
      <c r="A7" s="298" t="s">
        <v>1596</v>
      </c>
      <c r="B7" s="304" t="s">
        <v>1604</v>
      </c>
    </row>
    <row r="8" spans="1:2" ht="99.75" x14ac:dyDescent="0.2">
      <c r="A8" s="298" t="s">
        <v>1595</v>
      </c>
      <c r="B8" s="303" t="s">
        <v>1611</v>
      </c>
    </row>
    <row r="9" spans="1:2" ht="85.5" x14ac:dyDescent="0.2">
      <c r="A9" s="298" t="s">
        <v>1594</v>
      </c>
      <c r="B9" s="302" t="s">
        <v>1612</v>
      </c>
    </row>
    <row r="10" spans="1:2" ht="78.75" customHeight="1" x14ac:dyDescent="0.2">
      <c r="A10" s="301" t="s">
        <v>1593</v>
      </c>
      <c r="B10" s="300" t="s">
        <v>1613</v>
      </c>
    </row>
    <row r="11" spans="1:2" ht="14.25" customHeight="1" x14ac:dyDescent="0.2">
      <c r="A11" s="299"/>
      <c r="B11" s="299"/>
    </row>
    <row r="12" spans="1:2" ht="36" customHeight="1" x14ac:dyDescent="0.2">
      <c r="A12" s="318" t="s">
        <v>1608</v>
      </c>
      <c r="B12" s="319"/>
    </row>
    <row r="13" spans="1:2" ht="156.75" x14ac:dyDescent="0.2">
      <c r="A13" s="298" t="s">
        <v>1592</v>
      </c>
      <c r="B13" s="297" t="s">
        <v>1605</v>
      </c>
    </row>
    <row r="14" spans="1:2" ht="156.75" x14ac:dyDescent="0.2">
      <c r="A14" s="298" t="s">
        <v>1591</v>
      </c>
      <c r="B14" s="297" t="s">
        <v>1606</v>
      </c>
    </row>
    <row r="15" spans="1:2" s="315" customFormat="1" ht="57" x14ac:dyDescent="0.2">
      <c r="A15" s="313" t="s">
        <v>1614</v>
      </c>
      <c r="B15" s="314" t="s">
        <v>1616</v>
      </c>
    </row>
    <row r="16" spans="1:2" s="315" customFormat="1" ht="57" x14ac:dyDescent="0.2">
      <c r="A16" s="313" t="s">
        <v>1615</v>
      </c>
      <c r="B16" s="314" t="s">
        <v>1617</v>
      </c>
    </row>
  </sheetData>
  <mergeCells count="2">
    <mergeCell ref="A1:B1"/>
    <mergeCell ref="A12:B12"/>
  </mergeCell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C28EE68-4B62-4545-833C-026C76C33000}">
  <sheetPr codeName="Planilha2"/>
  <dimension ref="A1:AE299"/>
  <sheetViews>
    <sheetView topLeftCell="S1" workbookViewId="0">
      <selection activeCell="AA4" sqref="AA4"/>
    </sheetView>
  </sheetViews>
  <sheetFormatPr defaultColWidth="9.140625" defaultRowHeight="15" x14ac:dyDescent="0.25"/>
  <cols>
    <col min="1" max="1" width="28.42578125" style="178" bestFit="1" customWidth="1"/>
    <col min="2" max="2" width="10" style="179" customWidth="1"/>
    <col min="3" max="3" width="11.85546875" style="179" customWidth="1"/>
    <col min="4" max="4" width="9.5703125" style="179" customWidth="1"/>
    <col min="5" max="5" width="8.140625" style="177" bestFit="1" customWidth="1"/>
    <col min="6" max="6" width="2.7109375" style="177" customWidth="1"/>
    <col min="7" max="7" width="50" style="177" bestFit="1" customWidth="1"/>
    <col min="8" max="8" width="9.85546875" style="177" bestFit="1" customWidth="1"/>
    <col min="9" max="9" width="10" style="177" customWidth="1"/>
    <col min="10" max="10" width="2.7109375" style="177" customWidth="1"/>
    <col min="11" max="11" width="10.42578125" style="177" customWidth="1"/>
    <col min="12" max="12" width="10.85546875" style="177" customWidth="1"/>
    <col min="13" max="13" width="8.5703125" style="177" customWidth="1"/>
    <col min="14" max="14" width="2.7109375" style="177" customWidth="1"/>
    <col min="15" max="15" width="15.28515625" style="177" customWidth="1"/>
    <col min="16" max="16" width="2.7109375" style="177" customWidth="1"/>
    <col min="17" max="17" width="15" style="177" customWidth="1"/>
    <col min="18" max="18" width="12.28515625" style="177" customWidth="1"/>
    <col min="19" max="19" width="15.7109375" style="177" customWidth="1"/>
    <col min="20" max="20" width="14.5703125" style="177" customWidth="1"/>
    <col min="21" max="21" width="2.7109375" style="177" customWidth="1"/>
    <col min="22" max="22" width="20" style="177" customWidth="1"/>
    <col min="23" max="24" width="15.7109375" style="177" customWidth="1"/>
    <col min="25" max="25" width="2.7109375" style="177" customWidth="1"/>
    <col min="26" max="26" width="16.28515625" style="177" customWidth="1"/>
    <col min="27" max="28" width="15.7109375" style="177" customWidth="1"/>
    <col min="29" max="29" width="2.7109375" style="177" customWidth="1"/>
    <col min="30" max="30" width="20.85546875" style="177" customWidth="1"/>
    <col min="31" max="31" width="10.5703125" style="177" customWidth="1"/>
    <col min="32" max="16384" width="9.140625" style="177"/>
  </cols>
  <sheetData>
    <row r="1" spans="1:31" ht="30" x14ac:dyDescent="0.25">
      <c r="A1" s="205" t="s">
        <v>229</v>
      </c>
      <c r="B1" s="205" t="s">
        <v>230</v>
      </c>
      <c r="C1" s="205" t="s">
        <v>231</v>
      </c>
      <c r="D1" s="244" t="s">
        <v>232</v>
      </c>
      <c r="E1" s="205" t="s">
        <v>233</v>
      </c>
      <c r="G1" s="205" t="s">
        <v>234</v>
      </c>
      <c r="H1" s="205" t="s">
        <v>230</v>
      </c>
      <c r="I1" s="205" t="s">
        <v>235</v>
      </c>
      <c r="K1" s="205" t="s">
        <v>236</v>
      </c>
      <c r="L1" s="205" t="s">
        <v>237</v>
      </c>
      <c r="M1" s="205" t="s">
        <v>238</v>
      </c>
      <c r="O1" s="205" t="s">
        <v>239</v>
      </c>
      <c r="Q1" s="205" t="s">
        <v>240</v>
      </c>
      <c r="R1" s="205" t="s">
        <v>241</v>
      </c>
      <c r="S1" s="205" t="s">
        <v>242</v>
      </c>
      <c r="T1" s="205" t="s">
        <v>243</v>
      </c>
      <c r="V1" s="320" t="s">
        <v>244</v>
      </c>
      <c r="W1" s="320"/>
      <c r="X1" s="320"/>
      <c r="Z1" s="320" t="s">
        <v>245</v>
      </c>
      <c r="AA1" s="320"/>
      <c r="AB1" s="320"/>
      <c r="AD1" s="177" t="s">
        <v>246</v>
      </c>
      <c r="AE1" s="177" t="s">
        <v>247</v>
      </c>
    </row>
    <row r="2" spans="1:31" ht="38.25" x14ac:dyDescent="0.25">
      <c r="A2" s="178" t="s">
        <v>248</v>
      </c>
      <c r="B2" s="179" t="s">
        <v>249</v>
      </c>
      <c r="C2" s="206" t="s">
        <v>250</v>
      </c>
      <c r="D2" s="204">
        <v>2.5000000000000001E-2</v>
      </c>
      <c r="E2" s="207">
        <v>6.4</v>
      </c>
      <c r="G2" s="177" t="s">
        <v>1269</v>
      </c>
      <c r="H2" s="179"/>
      <c r="I2" s="208" t="s">
        <v>251</v>
      </c>
      <c r="K2" s="179" t="s">
        <v>10</v>
      </c>
      <c r="L2" s="179" t="s">
        <v>252</v>
      </c>
      <c r="M2" s="179">
        <v>2</v>
      </c>
      <c r="O2" s="177" t="s">
        <v>253</v>
      </c>
      <c r="Q2" s="209" t="s">
        <v>252</v>
      </c>
      <c r="R2" s="210">
        <f>10.19</f>
        <v>10.19</v>
      </c>
      <c r="S2" s="211">
        <v>120</v>
      </c>
      <c r="T2" s="212">
        <f>tabDiarias[[#This Row],[VALOR UNIT.]]*tabDiarias[[#This Row],[QUANT. POSTOS INICIAL]]</f>
        <v>1222.8</v>
      </c>
      <c r="V2" s="166" t="s">
        <v>254</v>
      </c>
      <c r="W2" s="167" t="s">
        <v>255</v>
      </c>
      <c r="X2" s="168" t="s">
        <v>256</v>
      </c>
      <c r="Z2" s="180" t="s">
        <v>257</v>
      </c>
      <c r="AA2" s="181" t="s">
        <v>258</v>
      </c>
      <c r="AB2" s="168" t="s">
        <v>259</v>
      </c>
      <c r="AD2" s="177" t="s">
        <v>260</v>
      </c>
      <c r="AE2" s="213">
        <v>0.2</v>
      </c>
    </row>
    <row r="3" spans="1:31" x14ac:dyDescent="0.25">
      <c r="A3" s="178" t="s">
        <v>261</v>
      </c>
      <c r="B3" s="179" t="s">
        <v>262</v>
      </c>
      <c r="C3" s="206" t="s">
        <v>263</v>
      </c>
      <c r="D3" s="204">
        <v>0.02</v>
      </c>
      <c r="E3" s="207">
        <v>6.4</v>
      </c>
      <c r="G3" s="177" t="s">
        <v>1276</v>
      </c>
      <c r="H3" s="179"/>
      <c r="I3" s="208" t="s">
        <v>264</v>
      </c>
      <c r="K3" s="179" t="s">
        <v>33</v>
      </c>
      <c r="L3" s="179" t="s">
        <v>252</v>
      </c>
      <c r="M3" s="179">
        <v>4</v>
      </c>
      <c r="O3" s="177" t="s">
        <v>265</v>
      </c>
      <c r="V3" s="162"/>
      <c r="W3" s="176"/>
      <c r="X3" s="164">
        <v>0</v>
      </c>
      <c r="Z3" s="283" t="s">
        <v>266</v>
      </c>
      <c r="AA3" s="284">
        <f>(SUMIF('CUSTO GLOBAL'!E:E,"Limpeza",'CUSTO GLOBAL'!BO:BO)/SUMIF('CUSTO GLOBAL'!E:E,"Limpeza",'CUSTO GLOBAL'!G:G)*5%)</f>
        <v>189.64880140242613</v>
      </c>
      <c r="AB3" s="287" cm="1">
        <f t="array" ref="AB3">AA3*PRODUCT((1+(_xlfn._xlws.FILTER(tabIndices[PERCENTUAL],tabIndices[PERCENTUAL]&gt;0,0))))</f>
        <v>189.64880140242613</v>
      </c>
      <c r="AD3" s="177" t="s">
        <v>267</v>
      </c>
      <c r="AE3" s="213">
        <v>1.4999999999999999E-2</v>
      </c>
    </row>
    <row r="4" spans="1:31" ht="30" x14ac:dyDescent="0.25">
      <c r="A4" s="178" t="s">
        <v>268</v>
      </c>
      <c r="B4" s="179" t="s">
        <v>269</v>
      </c>
      <c r="C4" s="206" t="s">
        <v>270</v>
      </c>
      <c r="D4" s="204" t="s">
        <v>271</v>
      </c>
      <c r="E4" s="207">
        <v>6.4</v>
      </c>
      <c r="G4" s="177" t="s">
        <v>1248</v>
      </c>
      <c r="H4" s="179"/>
      <c r="I4" s="208" t="s">
        <v>272</v>
      </c>
      <c r="O4" s="177" t="s">
        <v>234</v>
      </c>
      <c r="Q4" s="245" t="s">
        <v>1237</v>
      </c>
      <c r="R4" s="246">
        <v>1518</v>
      </c>
      <c r="V4" s="162"/>
      <c r="W4" s="176"/>
      <c r="X4" s="164">
        <v>0</v>
      </c>
      <c r="Z4" s="278" t="s">
        <v>273</v>
      </c>
      <c r="AA4" s="277">
        <f>(SUMIF('CUSTO GLOBAL'!E:E,"Limpeza",'CUSTO GLOBAL'!BO:BO)+SUMIF('CUSTO GLOBAL'!E:E,"Limpeza",'CUSTO GLOBAL'!BP:BP))/SUMIF('CUSTO GLOBAL'!E:E,"Limpeza",'CUSTO GLOBAL'!G:G)*4%</f>
        <v>159.30499317803796</v>
      </c>
      <c r="AB4" s="288" cm="1">
        <f t="array" ref="AB4">AA4*PRODUCT((1+(_xlfn._xlws.FILTER(tabIndices[PERCENTUAL],tabIndices[PERCENTUAL]&gt;0,0))))</f>
        <v>159.30499317803796</v>
      </c>
      <c r="AD4" s="177" t="s">
        <v>274</v>
      </c>
      <c r="AE4" s="213">
        <v>0.01</v>
      </c>
    </row>
    <row r="5" spans="1:31" x14ac:dyDescent="0.25">
      <c r="A5" s="178" t="s">
        <v>275</v>
      </c>
      <c r="B5" s="179" t="s">
        <v>276</v>
      </c>
      <c r="C5" s="206" t="s">
        <v>277</v>
      </c>
      <c r="D5" s="204">
        <v>0.05</v>
      </c>
      <c r="E5" s="207">
        <v>6.4</v>
      </c>
      <c r="G5" s="177" t="s">
        <v>1241</v>
      </c>
      <c r="H5" s="179"/>
      <c r="I5" s="208" t="s">
        <v>278</v>
      </c>
      <c r="O5" s="177" t="s">
        <v>279</v>
      </c>
      <c r="V5" s="162"/>
      <c r="W5" s="176"/>
      <c r="X5" s="164">
        <v>0</v>
      </c>
      <c r="Z5" s="278" t="s">
        <v>280</v>
      </c>
      <c r="AA5" s="277">
        <v>3.36</v>
      </c>
      <c r="AB5" s="288" cm="1">
        <f t="array" ref="AB5">AA5*PRODUCT((1+(_xlfn._xlws.FILTER(tabIndices[PERCENTUAL],tabIndices[PERCENTUAL]&gt;0,0))))</f>
        <v>3.36</v>
      </c>
      <c r="AD5" s="177" t="s">
        <v>281</v>
      </c>
      <c r="AE5" s="213">
        <v>2E-3</v>
      </c>
    </row>
    <row r="6" spans="1:31" x14ac:dyDescent="0.25">
      <c r="A6" s="178" t="s">
        <v>282</v>
      </c>
      <c r="B6" s="179" t="s">
        <v>283</v>
      </c>
      <c r="C6" s="206" t="s">
        <v>284</v>
      </c>
      <c r="D6" s="204">
        <v>0.05</v>
      </c>
      <c r="E6" s="207">
        <v>6.4</v>
      </c>
      <c r="G6" s="177" t="s">
        <v>1242</v>
      </c>
      <c r="H6" s="179"/>
      <c r="I6" s="208" t="s">
        <v>285</v>
      </c>
      <c r="V6" s="162"/>
      <c r="W6" s="176"/>
      <c r="X6" s="164">
        <v>0</v>
      </c>
      <c r="AD6" s="177" t="s">
        <v>286</v>
      </c>
      <c r="AE6" s="213">
        <v>2.5000000000000001E-2</v>
      </c>
    </row>
    <row r="7" spans="1:31" x14ac:dyDescent="0.25">
      <c r="A7" s="178" t="s">
        <v>287</v>
      </c>
      <c r="B7" s="179" t="s">
        <v>288</v>
      </c>
      <c r="C7" s="206" t="s">
        <v>289</v>
      </c>
      <c r="D7" s="204">
        <v>0.03</v>
      </c>
      <c r="E7" s="207">
        <v>6.4</v>
      </c>
      <c r="G7" s="177" t="s">
        <v>1243</v>
      </c>
      <c r="H7" s="179"/>
      <c r="I7" s="208" t="s">
        <v>1268</v>
      </c>
      <c r="V7" s="163"/>
      <c r="W7" s="176"/>
      <c r="X7" s="165">
        <v>0</v>
      </c>
      <c r="AD7" s="177" t="s">
        <v>290</v>
      </c>
      <c r="AE7" s="213">
        <v>0.08</v>
      </c>
    </row>
    <row r="8" spans="1:31" x14ac:dyDescent="0.25">
      <c r="A8" s="178" t="s">
        <v>291</v>
      </c>
      <c r="B8" s="179" t="s">
        <v>292</v>
      </c>
      <c r="C8" s="206" t="s">
        <v>293</v>
      </c>
      <c r="D8" s="204">
        <v>0.02</v>
      </c>
      <c r="E8" s="207">
        <v>6.4</v>
      </c>
      <c r="G8" s="177" t="s">
        <v>936</v>
      </c>
      <c r="H8" s="179"/>
      <c r="I8" s="208" t="s">
        <v>1349</v>
      </c>
      <c r="AD8" s="285" t="s">
        <v>294</v>
      </c>
      <c r="AE8" s="286">
        <f>2%*2</f>
        <v>0.04</v>
      </c>
    </row>
    <row r="9" spans="1:31" x14ac:dyDescent="0.25">
      <c r="A9" s="178" t="s">
        <v>295</v>
      </c>
      <c r="B9" s="179" t="s">
        <v>296</v>
      </c>
      <c r="C9" s="206" t="s">
        <v>297</v>
      </c>
      <c r="D9" s="204">
        <v>0.05</v>
      </c>
      <c r="E9" s="207">
        <v>6.4</v>
      </c>
      <c r="G9"/>
      <c r="H9"/>
      <c r="I9"/>
      <c r="AD9" s="177" t="s">
        <v>298</v>
      </c>
      <c r="AE9" s="213">
        <v>6.0000000000000001E-3</v>
      </c>
    </row>
    <row r="10" spans="1:31" x14ac:dyDescent="0.25">
      <c r="A10" s="178" t="s">
        <v>299</v>
      </c>
      <c r="B10" s="179" t="s">
        <v>300</v>
      </c>
      <c r="C10" s="206" t="s">
        <v>301</v>
      </c>
      <c r="D10" s="204">
        <v>0.05</v>
      </c>
      <c r="E10" s="207">
        <v>6.4</v>
      </c>
      <c r="G10"/>
      <c r="H10"/>
      <c r="I10"/>
      <c r="AD10" s="285" t="s">
        <v>302</v>
      </c>
      <c r="AE10" s="286">
        <v>7.5999999999999998E-2</v>
      </c>
    </row>
    <row r="11" spans="1:31" x14ac:dyDescent="0.25">
      <c r="A11" s="178" t="s">
        <v>303</v>
      </c>
      <c r="B11" s="179" t="s">
        <v>304</v>
      </c>
      <c r="C11" s="206" t="s">
        <v>305</v>
      </c>
      <c r="D11" s="204">
        <v>0.02</v>
      </c>
      <c r="E11" s="207">
        <v>6.4</v>
      </c>
      <c r="G11"/>
      <c r="H11"/>
      <c r="I11"/>
      <c r="AD11" s="285" t="s">
        <v>306</v>
      </c>
      <c r="AE11" s="286">
        <v>1.6500000000000001E-2</v>
      </c>
    </row>
    <row r="12" spans="1:31" x14ac:dyDescent="0.25">
      <c r="A12" s="178" t="s">
        <v>307</v>
      </c>
      <c r="B12" s="179" t="s">
        <v>308</v>
      </c>
      <c r="C12" s="206" t="s">
        <v>309</v>
      </c>
      <c r="D12" s="204" t="s">
        <v>271</v>
      </c>
      <c r="E12" s="207">
        <v>6.4</v>
      </c>
      <c r="G12"/>
      <c r="H12"/>
      <c r="I12"/>
    </row>
    <row r="13" spans="1:31" x14ac:dyDescent="0.25">
      <c r="A13" s="178" t="s">
        <v>310</v>
      </c>
      <c r="B13" s="179" t="s">
        <v>311</v>
      </c>
      <c r="C13" s="206" t="s">
        <v>312</v>
      </c>
      <c r="D13" s="204">
        <v>0.05</v>
      </c>
      <c r="E13" s="207">
        <v>6.4</v>
      </c>
      <c r="G13"/>
      <c r="H13"/>
      <c r="I13"/>
    </row>
    <row r="14" spans="1:31" x14ac:dyDescent="0.25">
      <c r="A14" s="178" t="s">
        <v>313</v>
      </c>
      <c r="B14" s="179" t="s">
        <v>314</v>
      </c>
      <c r="C14" s="206" t="s">
        <v>315</v>
      </c>
      <c r="D14" s="204">
        <v>0.05</v>
      </c>
      <c r="E14" s="207">
        <v>6.4</v>
      </c>
      <c r="G14"/>
      <c r="H14"/>
      <c r="I14"/>
    </row>
    <row r="15" spans="1:31" x14ac:dyDescent="0.25">
      <c r="A15" s="178" t="s">
        <v>316</v>
      </c>
      <c r="B15" s="179" t="s">
        <v>317</v>
      </c>
      <c r="C15" s="206" t="s">
        <v>318</v>
      </c>
      <c r="D15" s="204">
        <v>0.03</v>
      </c>
      <c r="E15" s="207">
        <v>6.4</v>
      </c>
      <c r="G15"/>
      <c r="H15"/>
      <c r="I15"/>
    </row>
    <row r="16" spans="1:31" x14ac:dyDescent="0.25">
      <c r="A16" s="178" t="s">
        <v>319</v>
      </c>
      <c r="B16" s="179" t="s">
        <v>320</v>
      </c>
      <c r="C16" s="206" t="s">
        <v>321</v>
      </c>
      <c r="D16" s="204">
        <v>0.03</v>
      </c>
      <c r="E16" s="207">
        <v>6.4</v>
      </c>
      <c r="G16"/>
      <c r="H16"/>
      <c r="I16"/>
    </row>
    <row r="17" spans="1:9" x14ac:dyDescent="0.25">
      <c r="A17" s="178" t="s">
        <v>322</v>
      </c>
      <c r="B17" s="179" t="s">
        <v>323</v>
      </c>
      <c r="C17" s="206" t="s">
        <v>324</v>
      </c>
      <c r="D17" s="204">
        <v>0.03</v>
      </c>
      <c r="E17" s="207">
        <v>6.4</v>
      </c>
      <c r="G17"/>
      <c r="H17"/>
      <c r="I17"/>
    </row>
    <row r="18" spans="1:9" x14ac:dyDescent="0.25">
      <c r="A18" s="178" t="s">
        <v>325</v>
      </c>
      <c r="B18" s="179" t="s">
        <v>326</v>
      </c>
      <c r="C18" s="206" t="s">
        <v>327</v>
      </c>
      <c r="D18" s="204">
        <v>0.02</v>
      </c>
      <c r="E18" s="207">
        <v>6.4</v>
      </c>
      <c r="G18"/>
      <c r="H18"/>
      <c r="I18"/>
    </row>
    <row r="19" spans="1:9" x14ac:dyDescent="0.25">
      <c r="A19" s="178" t="s">
        <v>328</v>
      </c>
      <c r="B19" s="179" t="s">
        <v>329</v>
      </c>
      <c r="C19" s="206" t="s">
        <v>330</v>
      </c>
      <c r="D19" s="204">
        <v>0.02</v>
      </c>
      <c r="E19" s="207">
        <v>6.4</v>
      </c>
      <c r="G19"/>
      <c r="H19"/>
      <c r="I19"/>
    </row>
    <row r="20" spans="1:9" x14ac:dyDescent="0.25">
      <c r="A20" s="178" t="s">
        <v>331</v>
      </c>
      <c r="B20" s="179" t="s">
        <v>332</v>
      </c>
      <c r="C20" s="206" t="s">
        <v>333</v>
      </c>
      <c r="D20" s="204">
        <v>0.04</v>
      </c>
      <c r="E20" s="207">
        <v>6.4</v>
      </c>
      <c r="G20"/>
      <c r="H20"/>
      <c r="I20"/>
    </row>
    <row r="21" spans="1:9" x14ac:dyDescent="0.25">
      <c r="A21" s="178" t="s">
        <v>334</v>
      </c>
      <c r="B21" s="179" t="s">
        <v>335</v>
      </c>
      <c r="C21" s="206" t="s">
        <v>336</v>
      </c>
      <c r="D21" s="204">
        <v>0.03</v>
      </c>
      <c r="E21" s="207">
        <v>6.4</v>
      </c>
      <c r="G21"/>
      <c r="H21"/>
      <c r="I21"/>
    </row>
    <row r="22" spans="1:9" x14ac:dyDescent="0.25">
      <c r="A22" s="178" t="s">
        <v>337</v>
      </c>
      <c r="B22" s="179" t="s">
        <v>338</v>
      </c>
      <c r="C22" s="206" t="s">
        <v>339</v>
      </c>
      <c r="D22" s="204">
        <v>0.03</v>
      </c>
      <c r="E22" s="207">
        <v>6.4</v>
      </c>
      <c r="G22"/>
      <c r="H22"/>
      <c r="I22"/>
    </row>
    <row r="23" spans="1:9" x14ac:dyDescent="0.25">
      <c r="A23" s="178" t="s">
        <v>340</v>
      </c>
      <c r="B23" s="179" t="s">
        <v>341</v>
      </c>
      <c r="C23" s="206" t="s">
        <v>342</v>
      </c>
      <c r="D23" s="204" t="s">
        <v>271</v>
      </c>
      <c r="E23" s="207">
        <v>6.4</v>
      </c>
      <c r="G23"/>
      <c r="H23"/>
      <c r="I23"/>
    </row>
    <row r="24" spans="1:9" x14ac:dyDescent="0.25">
      <c r="A24" s="178" t="s">
        <v>343</v>
      </c>
      <c r="B24" s="179" t="s">
        <v>344</v>
      </c>
      <c r="C24" s="206" t="s">
        <v>345</v>
      </c>
      <c r="D24" s="204">
        <v>0.05</v>
      </c>
      <c r="E24" s="207">
        <v>6.4</v>
      </c>
      <c r="G24"/>
      <c r="H24"/>
      <c r="I24"/>
    </row>
    <row r="25" spans="1:9" x14ac:dyDescent="0.25">
      <c r="A25" s="178" t="s">
        <v>346</v>
      </c>
      <c r="B25" s="179" t="s">
        <v>347</v>
      </c>
      <c r="C25" s="206" t="s">
        <v>348</v>
      </c>
      <c r="D25" s="204">
        <v>2.5000000000000001E-2</v>
      </c>
      <c r="E25" s="207">
        <v>6.4</v>
      </c>
      <c r="G25"/>
      <c r="H25"/>
      <c r="I25"/>
    </row>
    <row r="26" spans="1:9" x14ac:dyDescent="0.25">
      <c r="A26" s="178" t="s">
        <v>349</v>
      </c>
      <c r="B26" s="179" t="s">
        <v>350</v>
      </c>
      <c r="C26" s="206" t="s">
        <v>351</v>
      </c>
      <c r="D26" s="204" t="s">
        <v>271</v>
      </c>
      <c r="E26" s="207">
        <v>6.4</v>
      </c>
      <c r="G26"/>
      <c r="H26"/>
      <c r="I26"/>
    </row>
    <row r="27" spans="1:9" x14ac:dyDescent="0.25">
      <c r="A27" s="178" t="s">
        <v>352</v>
      </c>
      <c r="B27" s="179" t="s">
        <v>353</v>
      </c>
      <c r="C27" s="206" t="s">
        <v>354</v>
      </c>
      <c r="D27" s="204">
        <v>0.05</v>
      </c>
      <c r="E27" s="207">
        <f>5.75+5.5</f>
        <v>11.25</v>
      </c>
      <c r="G27"/>
      <c r="H27"/>
      <c r="I27"/>
    </row>
    <row r="28" spans="1:9" x14ac:dyDescent="0.25">
      <c r="A28" s="178" t="s">
        <v>355</v>
      </c>
      <c r="B28" s="179" t="s">
        <v>356</v>
      </c>
      <c r="C28" s="206" t="s">
        <v>357</v>
      </c>
      <c r="D28" s="204" t="s">
        <v>271</v>
      </c>
      <c r="E28" s="207">
        <v>6.4</v>
      </c>
      <c r="G28"/>
      <c r="H28"/>
      <c r="I28"/>
    </row>
    <row r="29" spans="1:9" x14ac:dyDescent="0.25">
      <c r="A29" s="178" t="s">
        <v>358</v>
      </c>
      <c r="B29" s="179" t="s">
        <v>359</v>
      </c>
      <c r="C29" s="206" t="s">
        <v>360</v>
      </c>
      <c r="D29" s="204">
        <v>3.7999999999999999E-2</v>
      </c>
      <c r="E29" s="207">
        <v>6.4</v>
      </c>
      <c r="G29"/>
      <c r="H29"/>
      <c r="I29"/>
    </row>
    <row r="30" spans="1:9" x14ac:dyDescent="0.25">
      <c r="A30" s="178" t="s">
        <v>361</v>
      </c>
      <c r="B30" s="179" t="s">
        <v>362</v>
      </c>
      <c r="C30" s="206" t="s">
        <v>363</v>
      </c>
      <c r="D30" s="204">
        <v>0.02</v>
      </c>
      <c r="E30" s="207">
        <v>6.4</v>
      </c>
      <c r="G30"/>
      <c r="H30"/>
      <c r="I30"/>
    </row>
    <row r="31" spans="1:9" x14ac:dyDescent="0.25">
      <c r="A31" s="178" t="s">
        <v>364</v>
      </c>
      <c r="B31" s="179" t="s">
        <v>365</v>
      </c>
      <c r="C31" s="206" t="s">
        <v>366</v>
      </c>
      <c r="D31" s="204">
        <v>0.04</v>
      </c>
      <c r="E31" s="207">
        <v>6.4</v>
      </c>
      <c r="G31"/>
      <c r="H31"/>
      <c r="I31"/>
    </row>
    <row r="32" spans="1:9" x14ac:dyDescent="0.25">
      <c r="A32" s="178" t="s">
        <v>367</v>
      </c>
      <c r="B32" s="179" t="s">
        <v>368</v>
      </c>
      <c r="C32" s="206" t="s">
        <v>369</v>
      </c>
      <c r="D32" s="204">
        <v>0.05</v>
      </c>
      <c r="E32" s="207">
        <v>6.4</v>
      </c>
      <c r="G32"/>
      <c r="H32"/>
      <c r="I32"/>
    </row>
    <row r="33" spans="1:9" x14ac:dyDescent="0.25">
      <c r="A33" s="178" t="s">
        <v>370</v>
      </c>
      <c r="B33" s="179" t="s">
        <v>371</v>
      </c>
      <c r="C33" s="206" t="s">
        <v>372</v>
      </c>
      <c r="D33" s="204">
        <v>0.03</v>
      </c>
      <c r="E33" s="207">
        <v>6.4</v>
      </c>
      <c r="G33"/>
      <c r="H33"/>
      <c r="I33"/>
    </row>
    <row r="34" spans="1:9" x14ac:dyDescent="0.25">
      <c r="A34" s="178" t="s">
        <v>373</v>
      </c>
      <c r="B34" s="179" t="s">
        <v>374</v>
      </c>
      <c r="C34" s="206" t="s">
        <v>375</v>
      </c>
      <c r="D34" s="204">
        <v>0.03</v>
      </c>
      <c r="E34" s="207">
        <v>6.4</v>
      </c>
      <c r="G34"/>
      <c r="H34"/>
      <c r="I34"/>
    </row>
    <row r="35" spans="1:9" x14ac:dyDescent="0.25">
      <c r="A35" s="178" t="s">
        <v>376</v>
      </c>
      <c r="B35" s="179" t="s">
        <v>377</v>
      </c>
      <c r="C35" s="206" t="s">
        <v>378</v>
      </c>
      <c r="D35" s="204">
        <v>0.02</v>
      </c>
      <c r="E35" s="207">
        <v>6.4</v>
      </c>
      <c r="G35"/>
      <c r="H35"/>
      <c r="I35"/>
    </row>
    <row r="36" spans="1:9" x14ac:dyDescent="0.25">
      <c r="A36" s="178" t="s">
        <v>379</v>
      </c>
      <c r="B36" s="179" t="s">
        <v>380</v>
      </c>
      <c r="C36" s="206" t="s">
        <v>381</v>
      </c>
      <c r="D36" s="204">
        <v>0.02</v>
      </c>
      <c r="E36" s="207">
        <v>6.4</v>
      </c>
      <c r="G36"/>
      <c r="H36"/>
      <c r="I36"/>
    </row>
    <row r="37" spans="1:9" x14ac:dyDescent="0.25">
      <c r="A37" s="178" t="s">
        <v>382</v>
      </c>
      <c r="B37" s="179" t="s">
        <v>383</v>
      </c>
      <c r="C37" s="206" t="s">
        <v>384</v>
      </c>
      <c r="D37" s="204" t="s">
        <v>271</v>
      </c>
      <c r="E37" s="207">
        <v>6.4</v>
      </c>
      <c r="G37"/>
      <c r="H37"/>
      <c r="I37"/>
    </row>
    <row r="38" spans="1:9" x14ac:dyDescent="0.25">
      <c r="A38" s="178" t="s">
        <v>385</v>
      </c>
      <c r="B38" s="179" t="s">
        <v>386</v>
      </c>
      <c r="C38" s="206" t="s">
        <v>387</v>
      </c>
      <c r="D38" s="204" t="s">
        <v>271</v>
      </c>
      <c r="E38" s="207">
        <v>6.4</v>
      </c>
      <c r="G38"/>
      <c r="H38"/>
      <c r="I38"/>
    </row>
    <row r="39" spans="1:9" x14ac:dyDescent="0.25">
      <c r="A39" s="178" t="s">
        <v>388</v>
      </c>
      <c r="B39" s="179" t="s">
        <v>389</v>
      </c>
      <c r="C39" s="206" t="s">
        <v>390</v>
      </c>
      <c r="D39" s="204">
        <v>0.03</v>
      </c>
      <c r="E39" s="207">
        <v>6.4</v>
      </c>
      <c r="G39"/>
      <c r="H39"/>
      <c r="I39"/>
    </row>
    <row r="40" spans="1:9" x14ac:dyDescent="0.25">
      <c r="A40" s="178" t="s">
        <v>391</v>
      </c>
      <c r="B40" s="179" t="s">
        <v>392</v>
      </c>
      <c r="C40" s="206" t="s">
        <v>393</v>
      </c>
      <c r="D40" s="204">
        <v>0.02</v>
      </c>
      <c r="E40" s="207">
        <v>6.4</v>
      </c>
      <c r="G40"/>
      <c r="H40"/>
      <c r="I40"/>
    </row>
    <row r="41" spans="1:9" x14ac:dyDescent="0.25">
      <c r="A41" s="178" t="s">
        <v>394</v>
      </c>
      <c r="B41" s="179" t="s">
        <v>395</v>
      </c>
      <c r="C41" s="206" t="s">
        <v>396</v>
      </c>
      <c r="D41" s="204">
        <v>0.05</v>
      </c>
      <c r="E41" s="207">
        <v>6.4</v>
      </c>
      <c r="G41"/>
      <c r="H41"/>
      <c r="I41"/>
    </row>
    <row r="42" spans="1:9" x14ac:dyDescent="0.25">
      <c r="A42" s="178" t="s">
        <v>397</v>
      </c>
      <c r="B42" s="179" t="s">
        <v>398</v>
      </c>
      <c r="C42" s="206" t="s">
        <v>399</v>
      </c>
      <c r="D42" s="204">
        <v>0.02</v>
      </c>
      <c r="E42" s="207">
        <v>6.4</v>
      </c>
      <c r="G42"/>
      <c r="H42"/>
      <c r="I42"/>
    </row>
    <row r="43" spans="1:9" x14ac:dyDescent="0.25">
      <c r="A43" s="178" t="s">
        <v>400</v>
      </c>
      <c r="B43" s="179" t="s">
        <v>401</v>
      </c>
      <c r="C43" s="206" t="s">
        <v>402</v>
      </c>
      <c r="D43" s="204" t="s">
        <v>271</v>
      </c>
      <c r="E43" s="207">
        <v>6.4</v>
      </c>
      <c r="G43"/>
      <c r="H43"/>
      <c r="I43"/>
    </row>
    <row r="44" spans="1:9" x14ac:dyDescent="0.25">
      <c r="A44" s="178" t="s">
        <v>403</v>
      </c>
      <c r="B44" s="179" t="s">
        <v>404</v>
      </c>
      <c r="C44" s="206" t="s">
        <v>405</v>
      </c>
      <c r="D44" s="204">
        <v>0.02</v>
      </c>
      <c r="E44" s="207">
        <v>6.4</v>
      </c>
      <c r="G44"/>
      <c r="H44"/>
      <c r="I44"/>
    </row>
    <row r="45" spans="1:9" x14ac:dyDescent="0.25">
      <c r="A45" s="178" t="s">
        <v>406</v>
      </c>
      <c r="B45" s="179" t="s">
        <v>407</v>
      </c>
      <c r="C45" s="206" t="s">
        <v>408</v>
      </c>
      <c r="D45" s="204" t="s">
        <v>271</v>
      </c>
      <c r="E45" s="207">
        <v>6.4</v>
      </c>
      <c r="G45"/>
      <c r="H45"/>
      <c r="I45"/>
    </row>
    <row r="46" spans="1:9" x14ac:dyDescent="0.25">
      <c r="A46" s="178" t="s">
        <v>409</v>
      </c>
      <c r="B46" s="179" t="s">
        <v>410</v>
      </c>
      <c r="C46" s="206" t="s">
        <v>411</v>
      </c>
      <c r="D46" s="204">
        <v>0.03</v>
      </c>
      <c r="E46" s="207">
        <v>6.4</v>
      </c>
      <c r="G46"/>
      <c r="H46"/>
      <c r="I46"/>
    </row>
    <row r="47" spans="1:9" x14ac:dyDescent="0.25">
      <c r="A47" s="178" t="s">
        <v>412</v>
      </c>
      <c r="B47" s="179" t="s">
        <v>413</v>
      </c>
      <c r="C47" s="206" t="s">
        <v>414</v>
      </c>
      <c r="D47" s="204">
        <v>0.03</v>
      </c>
      <c r="E47" s="207">
        <v>6.4</v>
      </c>
      <c r="G47"/>
      <c r="H47"/>
      <c r="I47"/>
    </row>
    <row r="48" spans="1:9" x14ac:dyDescent="0.25">
      <c r="A48" s="178" t="s">
        <v>415</v>
      </c>
      <c r="B48" s="179" t="s">
        <v>416</v>
      </c>
      <c r="C48" s="206" t="s">
        <v>417</v>
      </c>
      <c r="D48" s="204">
        <v>0.03</v>
      </c>
      <c r="E48" s="207">
        <v>6.4</v>
      </c>
      <c r="G48"/>
      <c r="H48"/>
      <c r="I48"/>
    </row>
    <row r="49" spans="1:9" x14ac:dyDescent="0.25">
      <c r="A49" s="178" t="s">
        <v>418</v>
      </c>
      <c r="B49" s="179" t="s">
        <v>419</v>
      </c>
      <c r="C49" s="206">
        <v>878</v>
      </c>
      <c r="D49" s="204">
        <v>0.02</v>
      </c>
      <c r="E49" s="207">
        <v>6.4</v>
      </c>
      <c r="G49"/>
      <c r="H49"/>
      <c r="I49"/>
    </row>
    <row r="50" spans="1:9" x14ac:dyDescent="0.25">
      <c r="A50" s="178" t="s">
        <v>420</v>
      </c>
      <c r="B50" s="179" t="s">
        <v>421</v>
      </c>
      <c r="C50" s="206">
        <v>106</v>
      </c>
      <c r="D50" s="204">
        <v>0.03</v>
      </c>
      <c r="E50" s="207">
        <v>6.4</v>
      </c>
      <c r="G50"/>
      <c r="H50"/>
      <c r="I50"/>
    </row>
    <row r="51" spans="1:9" x14ac:dyDescent="0.25">
      <c r="A51" s="178" t="s">
        <v>422</v>
      </c>
      <c r="B51" s="179" t="s">
        <v>423</v>
      </c>
      <c r="C51" s="206">
        <v>107</v>
      </c>
      <c r="D51" s="204" t="s">
        <v>271</v>
      </c>
      <c r="E51" s="207">
        <v>6.4</v>
      </c>
      <c r="G51"/>
      <c r="H51"/>
      <c r="I51"/>
    </row>
    <row r="52" spans="1:9" x14ac:dyDescent="0.25">
      <c r="A52" s="178" t="s">
        <v>424</v>
      </c>
      <c r="B52" s="179" t="s">
        <v>425</v>
      </c>
      <c r="C52" s="206">
        <v>109</v>
      </c>
      <c r="D52" s="204">
        <v>0.03</v>
      </c>
      <c r="E52" s="207">
        <v>6.4</v>
      </c>
      <c r="G52"/>
      <c r="H52"/>
      <c r="I52"/>
    </row>
    <row r="53" spans="1:9" x14ac:dyDescent="0.25">
      <c r="A53" s="178" t="s">
        <v>426</v>
      </c>
      <c r="B53" s="179" t="s">
        <v>427</v>
      </c>
      <c r="C53" s="206">
        <v>110</v>
      </c>
      <c r="D53" s="204" t="s">
        <v>271</v>
      </c>
      <c r="E53" s="207">
        <v>6.4</v>
      </c>
      <c r="G53"/>
      <c r="H53"/>
      <c r="I53"/>
    </row>
    <row r="54" spans="1:9" x14ac:dyDescent="0.25">
      <c r="A54" s="178" t="s">
        <v>428</v>
      </c>
      <c r="B54" s="179" t="s">
        <v>429</v>
      </c>
      <c r="C54" s="206">
        <v>111</v>
      </c>
      <c r="D54" s="204" t="s">
        <v>271</v>
      </c>
      <c r="E54" s="207">
        <v>6.4</v>
      </c>
      <c r="G54"/>
      <c r="H54"/>
      <c r="I54"/>
    </row>
    <row r="55" spans="1:9" x14ac:dyDescent="0.25">
      <c r="A55" s="178" t="s">
        <v>430</v>
      </c>
      <c r="B55" s="179" t="s">
        <v>431</v>
      </c>
      <c r="C55" s="206">
        <v>112</v>
      </c>
      <c r="D55" s="204">
        <v>0.03</v>
      </c>
      <c r="E55" s="207">
        <v>6.4</v>
      </c>
      <c r="G55"/>
      <c r="H55"/>
      <c r="I55"/>
    </row>
    <row r="56" spans="1:9" x14ac:dyDescent="0.25">
      <c r="A56" s="178" t="s">
        <v>432</v>
      </c>
      <c r="B56" s="179" t="s">
        <v>433</v>
      </c>
      <c r="C56" s="206">
        <v>115</v>
      </c>
      <c r="D56" s="204">
        <v>0.03</v>
      </c>
      <c r="E56" s="207">
        <v>6.4</v>
      </c>
      <c r="G56"/>
      <c r="H56"/>
      <c r="I56"/>
    </row>
    <row r="57" spans="1:9" x14ac:dyDescent="0.25">
      <c r="A57" s="178" t="s">
        <v>434</v>
      </c>
      <c r="B57" s="179" t="s">
        <v>435</v>
      </c>
      <c r="C57" s="206">
        <v>116</v>
      </c>
      <c r="D57" s="204">
        <v>0.02</v>
      </c>
      <c r="E57" s="207">
        <v>6.4</v>
      </c>
      <c r="G57"/>
      <c r="H57"/>
      <c r="I57"/>
    </row>
    <row r="58" spans="1:9" x14ac:dyDescent="0.25">
      <c r="A58" s="178" t="s">
        <v>436</v>
      </c>
      <c r="B58" s="179" t="s">
        <v>437</v>
      </c>
      <c r="C58" s="206">
        <v>118</v>
      </c>
      <c r="D58" s="204">
        <v>0.05</v>
      </c>
      <c r="E58" s="207">
        <v>6.4</v>
      </c>
      <c r="G58"/>
      <c r="H58"/>
      <c r="I58"/>
    </row>
    <row r="59" spans="1:9" x14ac:dyDescent="0.25">
      <c r="A59" s="178" t="s">
        <v>438</v>
      </c>
      <c r="B59" s="179" t="s">
        <v>439</v>
      </c>
      <c r="C59" s="206">
        <v>120</v>
      </c>
      <c r="D59" s="204">
        <v>0.02</v>
      </c>
      <c r="E59" s="207">
        <v>6.4</v>
      </c>
      <c r="G59"/>
      <c r="H59"/>
      <c r="I59"/>
    </row>
    <row r="60" spans="1:9" x14ac:dyDescent="0.25">
      <c r="A60" s="178" t="s">
        <v>440</v>
      </c>
      <c r="B60" s="179" t="s">
        <v>441</v>
      </c>
      <c r="C60" s="206">
        <v>123</v>
      </c>
      <c r="D60" s="204">
        <v>0.03</v>
      </c>
      <c r="E60" s="207">
        <v>6.4</v>
      </c>
      <c r="G60"/>
      <c r="H60"/>
      <c r="I60"/>
    </row>
    <row r="61" spans="1:9" x14ac:dyDescent="0.25">
      <c r="A61" s="178" t="s">
        <v>442</v>
      </c>
      <c r="B61" s="179" t="s">
        <v>443</v>
      </c>
      <c r="C61" s="206">
        <v>126</v>
      </c>
      <c r="D61" s="204" t="s">
        <v>271</v>
      </c>
      <c r="E61" s="207">
        <v>6.4</v>
      </c>
      <c r="G61"/>
      <c r="H61"/>
      <c r="I61"/>
    </row>
    <row r="62" spans="1:9" x14ac:dyDescent="0.25">
      <c r="A62" s="178" t="s">
        <v>444</v>
      </c>
      <c r="B62" s="179" t="s">
        <v>445</v>
      </c>
      <c r="C62" s="206">
        <v>132</v>
      </c>
      <c r="D62" s="204">
        <v>0.05</v>
      </c>
      <c r="E62" s="207">
        <v>6.4</v>
      </c>
      <c r="G62"/>
      <c r="H62"/>
      <c r="I62"/>
    </row>
    <row r="63" spans="1:9" x14ac:dyDescent="0.25">
      <c r="A63" s="178" t="s">
        <v>446</v>
      </c>
      <c r="B63" s="179" t="s">
        <v>447</v>
      </c>
      <c r="C63" s="206">
        <v>133</v>
      </c>
      <c r="D63" s="204">
        <v>0.05</v>
      </c>
      <c r="E63" s="207">
        <v>6.4</v>
      </c>
      <c r="G63"/>
      <c r="H63"/>
      <c r="I63"/>
    </row>
    <row r="64" spans="1:9" x14ac:dyDescent="0.25">
      <c r="A64" s="178" t="s">
        <v>448</v>
      </c>
      <c r="B64" s="179" t="s">
        <v>449</v>
      </c>
      <c r="C64" s="206">
        <v>134</v>
      </c>
      <c r="D64" s="204">
        <v>0.03</v>
      </c>
      <c r="E64" s="207">
        <v>6.4</v>
      </c>
      <c r="G64"/>
      <c r="H64"/>
      <c r="I64"/>
    </row>
    <row r="65" spans="1:9" x14ac:dyDescent="0.25">
      <c r="A65" s="178" t="s">
        <v>450</v>
      </c>
      <c r="B65" s="179" t="s">
        <v>451</v>
      </c>
      <c r="C65" s="206">
        <v>137</v>
      </c>
      <c r="D65" s="204">
        <v>0.05</v>
      </c>
      <c r="E65" s="207">
        <v>6.4</v>
      </c>
      <c r="G65"/>
      <c r="H65"/>
      <c r="I65"/>
    </row>
    <row r="66" spans="1:9" x14ac:dyDescent="0.25">
      <c r="A66" s="178" t="s">
        <v>452</v>
      </c>
      <c r="B66" s="179" t="s">
        <v>453</v>
      </c>
      <c r="C66" s="206">
        <v>140</v>
      </c>
      <c r="D66" s="204" t="s">
        <v>271</v>
      </c>
      <c r="E66" s="207">
        <v>6.4</v>
      </c>
      <c r="G66"/>
      <c r="H66"/>
      <c r="I66"/>
    </row>
    <row r="67" spans="1:9" x14ac:dyDescent="0.25">
      <c r="A67" s="178" t="s">
        <v>454</v>
      </c>
      <c r="B67" s="179" t="s">
        <v>455</v>
      </c>
      <c r="C67" s="206">
        <v>141</v>
      </c>
      <c r="D67" s="204" t="s">
        <v>271</v>
      </c>
      <c r="E67" s="207">
        <v>6.4</v>
      </c>
      <c r="G67"/>
      <c r="H67"/>
      <c r="I67"/>
    </row>
    <row r="68" spans="1:9" x14ac:dyDescent="0.25">
      <c r="A68" s="178" t="s">
        <v>456</v>
      </c>
      <c r="B68" s="179" t="s">
        <v>457</v>
      </c>
      <c r="C68" s="206">
        <v>142</v>
      </c>
      <c r="D68" s="204" t="s">
        <v>271</v>
      </c>
      <c r="E68" s="207">
        <v>6.4</v>
      </c>
      <c r="G68"/>
      <c r="H68"/>
      <c r="I68"/>
    </row>
    <row r="69" spans="1:9" x14ac:dyDescent="0.25">
      <c r="A69" s="178" t="s">
        <v>458</v>
      </c>
      <c r="B69" s="179" t="s">
        <v>459</v>
      </c>
      <c r="C69" s="206">
        <v>143</v>
      </c>
      <c r="D69" s="204">
        <v>0.03</v>
      </c>
      <c r="E69" s="207">
        <v>6.4</v>
      </c>
      <c r="G69"/>
      <c r="H69"/>
      <c r="I69"/>
    </row>
    <row r="70" spans="1:9" x14ac:dyDescent="0.25">
      <c r="A70" s="178" t="s">
        <v>460</v>
      </c>
      <c r="B70" s="179" t="s">
        <v>461</v>
      </c>
      <c r="C70" s="206">
        <v>144</v>
      </c>
      <c r="D70" s="204">
        <v>0.02</v>
      </c>
      <c r="E70" s="207">
        <v>6.4</v>
      </c>
      <c r="G70"/>
      <c r="H70"/>
      <c r="I70"/>
    </row>
    <row r="71" spans="1:9" x14ac:dyDescent="0.25">
      <c r="A71" s="178" t="s">
        <v>462</v>
      </c>
      <c r="B71" s="179" t="s">
        <v>463</v>
      </c>
      <c r="C71" s="206">
        <v>879</v>
      </c>
      <c r="D71" s="204">
        <v>0.05</v>
      </c>
      <c r="E71" s="207">
        <v>6.4</v>
      </c>
      <c r="G71"/>
      <c r="H71"/>
      <c r="I71"/>
    </row>
    <row r="72" spans="1:9" x14ac:dyDescent="0.25">
      <c r="A72" s="178" t="s">
        <v>464</v>
      </c>
      <c r="B72" s="179" t="s">
        <v>465</v>
      </c>
      <c r="C72" s="206">
        <v>151</v>
      </c>
      <c r="D72" s="204">
        <v>0.03</v>
      </c>
      <c r="E72" s="207">
        <v>6.4</v>
      </c>
      <c r="G72"/>
      <c r="H72"/>
      <c r="I72"/>
    </row>
    <row r="73" spans="1:9" x14ac:dyDescent="0.25">
      <c r="A73" s="178" t="s">
        <v>466</v>
      </c>
      <c r="B73" s="179" t="s">
        <v>467</v>
      </c>
      <c r="C73" s="206">
        <v>153</v>
      </c>
      <c r="D73" s="204">
        <v>0.05</v>
      </c>
      <c r="E73" s="207">
        <v>6.4</v>
      </c>
      <c r="G73"/>
      <c r="H73"/>
      <c r="I73"/>
    </row>
    <row r="74" spans="1:9" x14ac:dyDescent="0.25">
      <c r="A74" s="178" t="s">
        <v>468</v>
      </c>
      <c r="B74" s="179" t="s">
        <v>469</v>
      </c>
      <c r="C74" s="206">
        <v>155</v>
      </c>
      <c r="D74" s="204">
        <v>0.03</v>
      </c>
      <c r="E74" s="207">
        <v>6.4</v>
      </c>
      <c r="G74"/>
      <c r="H74"/>
      <c r="I74"/>
    </row>
    <row r="75" spans="1:9" x14ac:dyDescent="0.25">
      <c r="A75" s="178" t="s">
        <v>470</v>
      </c>
      <c r="B75" s="179" t="s">
        <v>471</v>
      </c>
      <c r="C75" s="206">
        <v>166</v>
      </c>
      <c r="D75" s="204">
        <v>0.03</v>
      </c>
      <c r="E75" s="207">
        <v>6.4</v>
      </c>
      <c r="G75"/>
      <c r="H75"/>
      <c r="I75"/>
    </row>
    <row r="76" spans="1:9" x14ac:dyDescent="0.25">
      <c r="A76" s="178" t="s">
        <v>472</v>
      </c>
      <c r="B76" s="179" t="s">
        <v>473</v>
      </c>
      <c r="C76" s="206">
        <v>172</v>
      </c>
      <c r="D76" s="204">
        <v>0.02</v>
      </c>
      <c r="E76" s="207">
        <v>6.4</v>
      </c>
      <c r="G76"/>
      <c r="H76"/>
      <c r="I76"/>
    </row>
    <row r="77" spans="1:9" x14ac:dyDescent="0.25">
      <c r="A77" s="178" t="s">
        <v>474</v>
      </c>
      <c r="B77" s="179" t="s">
        <v>475</v>
      </c>
      <c r="C77" s="206">
        <v>175</v>
      </c>
      <c r="D77" s="204">
        <v>0.03</v>
      </c>
      <c r="E77" s="207">
        <v>6.4</v>
      </c>
      <c r="G77"/>
      <c r="H77"/>
      <c r="I77"/>
    </row>
    <row r="78" spans="1:9" x14ac:dyDescent="0.25">
      <c r="A78" s="178" t="s">
        <v>476</v>
      </c>
      <c r="B78" s="179" t="s">
        <v>477</v>
      </c>
      <c r="C78" s="206">
        <v>177</v>
      </c>
      <c r="D78" s="204" t="s">
        <v>271</v>
      </c>
      <c r="E78" s="207">
        <v>6.4</v>
      </c>
      <c r="G78"/>
      <c r="H78"/>
      <c r="I78"/>
    </row>
    <row r="79" spans="1:9" x14ac:dyDescent="0.25">
      <c r="A79" s="178" t="s">
        <v>478</v>
      </c>
      <c r="B79" s="179" t="s">
        <v>479</v>
      </c>
      <c r="C79" s="206">
        <v>180</v>
      </c>
      <c r="D79" s="204">
        <v>0.05</v>
      </c>
      <c r="E79" s="207">
        <v>6.4</v>
      </c>
      <c r="G79"/>
      <c r="H79"/>
      <c r="I79"/>
    </row>
    <row r="80" spans="1:9" x14ac:dyDescent="0.25">
      <c r="A80" s="178" t="s">
        <v>480</v>
      </c>
      <c r="B80" s="179" t="s">
        <v>481</v>
      </c>
      <c r="C80" s="206">
        <v>182</v>
      </c>
      <c r="D80" s="204">
        <v>0.05</v>
      </c>
      <c r="E80" s="207">
        <v>6.4</v>
      </c>
      <c r="G80"/>
      <c r="H80"/>
      <c r="I80"/>
    </row>
    <row r="81" spans="1:9" x14ac:dyDescent="0.25">
      <c r="A81" s="178" t="s">
        <v>482</v>
      </c>
      <c r="B81" s="179" t="s">
        <v>483</v>
      </c>
      <c r="C81" s="206">
        <v>183</v>
      </c>
      <c r="D81" s="204">
        <v>0.03</v>
      </c>
      <c r="E81" s="207">
        <v>6.4</v>
      </c>
      <c r="G81"/>
      <c r="H81"/>
      <c r="I81"/>
    </row>
    <row r="82" spans="1:9" x14ac:dyDescent="0.25">
      <c r="A82" s="178" t="s">
        <v>484</v>
      </c>
      <c r="B82" s="179" t="s">
        <v>485</v>
      </c>
      <c r="C82" s="206">
        <v>184</v>
      </c>
      <c r="D82" s="204">
        <v>0.03</v>
      </c>
      <c r="E82" s="207">
        <v>6.4</v>
      </c>
      <c r="G82"/>
      <c r="H82"/>
      <c r="I82"/>
    </row>
    <row r="83" spans="1:9" x14ac:dyDescent="0.25">
      <c r="A83" s="178" t="s">
        <v>486</v>
      </c>
      <c r="B83" s="179" t="s">
        <v>487</v>
      </c>
      <c r="C83" s="206" t="s">
        <v>488</v>
      </c>
      <c r="D83" s="204">
        <v>0.02</v>
      </c>
      <c r="E83" s="207">
        <v>6.4</v>
      </c>
      <c r="G83"/>
      <c r="H83"/>
      <c r="I83"/>
    </row>
    <row r="84" spans="1:9" x14ac:dyDescent="0.25">
      <c r="A84" s="178" t="s">
        <v>489</v>
      </c>
      <c r="B84" s="179" t="s">
        <v>490</v>
      </c>
      <c r="C84" s="206">
        <v>775</v>
      </c>
      <c r="D84" s="204">
        <v>0.05</v>
      </c>
      <c r="E84" s="207">
        <v>6.4</v>
      </c>
      <c r="G84"/>
      <c r="H84"/>
      <c r="I84"/>
    </row>
    <row r="85" spans="1:9" x14ac:dyDescent="0.25">
      <c r="A85" s="178" t="s">
        <v>491</v>
      </c>
      <c r="B85" s="179" t="s">
        <v>492</v>
      </c>
      <c r="C85" s="206">
        <v>191</v>
      </c>
      <c r="D85" s="204">
        <v>0.05</v>
      </c>
      <c r="E85" s="207">
        <v>6.4</v>
      </c>
      <c r="G85"/>
      <c r="H85"/>
      <c r="I85"/>
    </row>
    <row r="86" spans="1:9" x14ac:dyDescent="0.25">
      <c r="A86" s="178" t="s">
        <v>493</v>
      </c>
      <c r="B86" s="179" t="s">
        <v>494</v>
      </c>
      <c r="C86" s="206">
        <v>193</v>
      </c>
      <c r="D86" s="204">
        <v>0.05</v>
      </c>
      <c r="E86" s="207">
        <v>6.4</v>
      </c>
      <c r="G86"/>
      <c r="H86"/>
      <c r="I86"/>
    </row>
    <row r="87" spans="1:9" x14ac:dyDescent="0.25">
      <c r="A87" s="178" t="s">
        <v>495</v>
      </c>
      <c r="B87" s="179" t="s">
        <v>496</v>
      </c>
      <c r="C87" s="206">
        <v>194</v>
      </c>
      <c r="D87" s="204">
        <v>0.05</v>
      </c>
      <c r="E87" s="207">
        <v>6.4</v>
      </c>
      <c r="G87"/>
      <c r="H87"/>
      <c r="I87"/>
    </row>
    <row r="88" spans="1:9" x14ac:dyDescent="0.25">
      <c r="A88" s="178" t="s">
        <v>497</v>
      </c>
      <c r="B88" s="179" t="s">
        <v>498</v>
      </c>
      <c r="C88" s="206">
        <v>205</v>
      </c>
      <c r="D88" s="204" t="s">
        <v>271</v>
      </c>
      <c r="E88" s="207">
        <v>6.4</v>
      </c>
      <c r="G88"/>
      <c r="H88"/>
      <c r="I88"/>
    </row>
    <row r="89" spans="1:9" x14ac:dyDescent="0.25">
      <c r="A89" s="178" t="s">
        <v>499</v>
      </c>
      <c r="B89" s="179" t="s">
        <v>500</v>
      </c>
      <c r="C89" s="206">
        <v>208</v>
      </c>
      <c r="D89" s="204">
        <v>0.03</v>
      </c>
      <c r="E89" s="207">
        <v>6.4</v>
      </c>
      <c r="G89"/>
      <c r="H89"/>
      <c r="I89"/>
    </row>
    <row r="90" spans="1:9" x14ac:dyDescent="0.25">
      <c r="A90" s="178" t="s">
        <v>501</v>
      </c>
      <c r="B90" s="179" t="s">
        <v>502</v>
      </c>
      <c r="C90" s="206">
        <v>209</v>
      </c>
      <c r="D90" s="204">
        <v>0.02</v>
      </c>
      <c r="E90" s="207">
        <v>6.4</v>
      </c>
      <c r="G90"/>
      <c r="H90"/>
      <c r="I90"/>
    </row>
    <row r="91" spans="1:9" x14ac:dyDescent="0.25">
      <c r="A91" s="178" t="s">
        <v>503</v>
      </c>
      <c r="B91" s="179" t="s">
        <v>504</v>
      </c>
      <c r="C91" s="206">
        <v>216</v>
      </c>
      <c r="D91" s="204">
        <v>0.03</v>
      </c>
      <c r="E91" s="207">
        <v>6.4</v>
      </c>
      <c r="G91"/>
      <c r="H91"/>
      <c r="I91"/>
    </row>
    <row r="92" spans="1:9" x14ac:dyDescent="0.25">
      <c r="A92" s="178" t="s">
        <v>505</v>
      </c>
      <c r="B92" s="179" t="s">
        <v>506</v>
      </c>
      <c r="C92" s="206">
        <v>220</v>
      </c>
      <c r="D92" s="204">
        <v>0.05</v>
      </c>
      <c r="E92" s="207">
        <v>6.4</v>
      </c>
      <c r="G92"/>
      <c r="H92"/>
      <c r="I92"/>
    </row>
    <row r="93" spans="1:9" x14ac:dyDescent="0.25">
      <c r="A93" s="178" t="s">
        <v>507</v>
      </c>
      <c r="B93" s="179" t="s">
        <v>508</v>
      </c>
      <c r="C93" s="206">
        <v>223</v>
      </c>
      <c r="D93" s="204">
        <v>0.03</v>
      </c>
      <c r="E93" s="207">
        <v>6.4</v>
      </c>
      <c r="G93"/>
      <c r="H93"/>
      <c r="I93"/>
    </row>
    <row r="94" spans="1:9" x14ac:dyDescent="0.25">
      <c r="A94" s="178" t="s">
        <v>509</v>
      </c>
      <c r="B94" s="179" t="s">
        <v>510</v>
      </c>
      <c r="C94" s="206">
        <v>232</v>
      </c>
      <c r="D94" s="204">
        <v>0.02</v>
      </c>
      <c r="E94" s="207">
        <v>6.4</v>
      </c>
      <c r="G94"/>
      <c r="H94"/>
      <c r="I94"/>
    </row>
    <row r="95" spans="1:9" x14ac:dyDescent="0.25">
      <c r="A95" s="178" t="s">
        <v>511</v>
      </c>
      <c r="B95" s="179" t="s">
        <v>512</v>
      </c>
      <c r="C95" s="206">
        <v>236</v>
      </c>
      <c r="D95" s="204">
        <v>0.05</v>
      </c>
      <c r="E95" s="207">
        <v>6.4</v>
      </c>
      <c r="G95"/>
      <c r="H95"/>
      <c r="I95"/>
    </row>
    <row r="96" spans="1:9" x14ac:dyDescent="0.25">
      <c r="A96" s="178" t="s">
        <v>513</v>
      </c>
      <c r="B96" s="179" t="s">
        <v>514</v>
      </c>
      <c r="C96" s="206">
        <v>239</v>
      </c>
      <c r="D96" s="204" t="s">
        <v>271</v>
      </c>
      <c r="E96" s="207">
        <v>6.4</v>
      </c>
      <c r="G96"/>
      <c r="H96"/>
      <c r="I96"/>
    </row>
    <row r="97" spans="1:9" x14ac:dyDescent="0.25">
      <c r="A97" s="178" t="s">
        <v>515</v>
      </c>
      <c r="B97" s="179" t="s">
        <v>516</v>
      </c>
      <c r="C97" s="206">
        <v>240</v>
      </c>
      <c r="D97" s="204">
        <v>0.03</v>
      </c>
      <c r="E97" s="207">
        <v>6.4</v>
      </c>
      <c r="G97"/>
      <c r="H97"/>
      <c r="I97"/>
    </row>
    <row r="98" spans="1:9" x14ac:dyDescent="0.25">
      <c r="A98" s="178" t="s">
        <v>517</v>
      </c>
      <c r="B98" s="179" t="s">
        <v>518</v>
      </c>
      <c r="C98" s="206">
        <v>241</v>
      </c>
      <c r="D98" s="204">
        <v>0.02</v>
      </c>
      <c r="E98" s="207">
        <v>6.4</v>
      </c>
      <c r="G98"/>
      <c r="H98"/>
      <c r="I98"/>
    </row>
    <row r="99" spans="1:9" x14ac:dyDescent="0.25">
      <c r="A99" s="178" t="s">
        <v>519</v>
      </c>
      <c r="B99" s="179" t="s">
        <v>520</v>
      </c>
      <c r="C99" s="206">
        <v>242</v>
      </c>
      <c r="D99" s="204" t="s">
        <v>271</v>
      </c>
      <c r="E99" s="207">
        <v>6.4</v>
      </c>
      <c r="G99"/>
      <c r="H99"/>
      <c r="I99"/>
    </row>
    <row r="100" spans="1:9" x14ac:dyDescent="0.25">
      <c r="A100" s="178" t="s">
        <v>521</v>
      </c>
      <c r="B100" s="179" t="s">
        <v>522</v>
      </c>
      <c r="C100" s="206">
        <v>243</v>
      </c>
      <c r="D100" s="204">
        <v>0.03</v>
      </c>
      <c r="E100" s="207">
        <v>6.4</v>
      </c>
      <c r="G100"/>
      <c r="H100"/>
      <c r="I100"/>
    </row>
    <row r="101" spans="1:9" x14ac:dyDescent="0.25">
      <c r="A101" s="178" t="s">
        <v>523</v>
      </c>
      <c r="B101" s="179" t="s">
        <v>524</v>
      </c>
      <c r="C101" s="206">
        <v>248</v>
      </c>
      <c r="D101" s="204" t="s">
        <v>271</v>
      </c>
      <c r="E101" s="207">
        <v>6.4</v>
      </c>
      <c r="G101"/>
      <c r="H101"/>
      <c r="I101"/>
    </row>
    <row r="102" spans="1:9" x14ac:dyDescent="0.25">
      <c r="A102" s="178" t="s">
        <v>525</v>
      </c>
      <c r="B102" s="179" t="s">
        <v>526</v>
      </c>
      <c r="C102" s="206">
        <v>249</v>
      </c>
      <c r="D102" s="204" t="s">
        <v>271</v>
      </c>
      <c r="E102" s="207">
        <v>6.4</v>
      </c>
      <c r="G102"/>
      <c r="H102"/>
      <c r="I102"/>
    </row>
    <row r="103" spans="1:9" x14ac:dyDescent="0.25">
      <c r="A103" s="178" t="s">
        <v>527</v>
      </c>
      <c r="B103" s="179" t="s">
        <v>528</v>
      </c>
      <c r="C103" s="206">
        <v>251</v>
      </c>
      <c r="D103" s="204">
        <v>0.02</v>
      </c>
      <c r="E103" s="207">
        <v>6.4</v>
      </c>
      <c r="G103"/>
      <c r="H103"/>
      <c r="I103"/>
    </row>
    <row r="104" spans="1:9" x14ac:dyDescent="0.25">
      <c r="A104" s="178" t="s">
        <v>529</v>
      </c>
      <c r="B104" s="179" t="s">
        <v>530</v>
      </c>
      <c r="C104" s="206">
        <v>259</v>
      </c>
      <c r="D104" s="204" t="s">
        <v>271</v>
      </c>
      <c r="E104" s="207">
        <v>6.4</v>
      </c>
      <c r="G104"/>
      <c r="H104"/>
      <c r="I104"/>
    </row>
    <row r="105" spans="1:9" x14ac:dyDescent="0.25">
      <c r="A105" s="178" t="s">
        <v>531</v>
      </c>
      <c r="B105" s="179" t="s">
        <v>532</v>
      </c>
      <c r="C105" s="206">
        <v>261</v>
      </c>
      <c r="D105" s="204">
        <v>0.02</v>
      </c>
      <c r="E105" s="207">
        <v>6.4</v>
      </c>
      <c r="G105"/>
      <c r="H105"/>
      <c r="I105"/>
    </row>
    <row r="106" spans="1:9" x14ac:dyDescent="0.25">
      <c r="A106" s="178" t="s">
        <v>533</v>
      </c>
      <c r="B106" s="179" t="s">
        <v>534</v>
      </c>
      <c r="C106" s="206">
        <v>267</v>
      </c>
      <c r="D106" s="204">
        <v>0.02</v>
      </c>
      <c r="E106" s="207">
        <v>6.4</v>
      </c>
      <c r="G106"/>
      <c r="H106"/>
      <c r="I106"/>
    </row>
    <row r="107" spans="1:9" x14ac:dyDescent="0.25">
      <c r="A107" s="178" t="s">
        <v>535</v>
      </c>
      <c r="B107" s="179" t="s">
        <v>536</v>
      </c>
      <c r="C107" s="206">
        <v>271</v>
      </c>
      <c r="D107" s="204">
        <v>0.02</v>
      </c>
      <c r="E107" s="207">
        <v>6.4</v>
      </c>
      <c r="G107"/>
      <c r="H107"/>
      <c r="I107"/>
    </row>
    <row r="108" spans="1:9" x14ac:dyDescent="0.25">
      <c r="A108" s="178" t="s">
        <v>537</v>
      </c>
      <c r="B108" s="179" t="s">
        <v>538</v>
      </c>
      <c r="C108" s="206">
        <v>273</v>
      </c>
      <c r="D108" s="204" t="s">
        <v>271</v>
      </c>
      <c r="E108" s="207">
        <v>6.4</v>
      </c>
      <c r="G108"/>
      <c r="H108"/>
      <c r="I108"/>
    </row>
    <row r="109" spans="1:9" x14ac:dyDescent="0.25">
      <c r="A109" s="178" t="s">
        <v>539</v>
      </c>
      <c r="B109" s="179" t="s">
        <v>540</v>
      </c>
      <c r="C109" s="206">
        <v>105</v>
      </c>
      <c r="D109" s="204">
        <v>0.05</v>
      </c>
      <c r="E109" s="207">
        <v>6.4</v>
      </c>
      <c r="G109"/>
      <c r="H109"/>
      <c r="I109"/>
    </row>
    <row r="110" spans="1:9" x14ac:dyDescent="0.25">
      <c r="A110" s="178" t="s">
        <v>541</v>
      </c>
      <c r="B110" s="179" t="s">
        <v>542</v>
      </c>
      <c r="C110" s="206">
        <v>278</v>
      </c>
      <c r="D110" s="204">
        <v>0.02</v>
      </c>
      <c r="E110" s="207">
        <v>6.4</v>
      </c>
      <c r="G110"/>
      <c r="H110"/>
      <c r="I110"/>
    </row>
    <row r="111" spans="1:9" x14ac:dyDescent="0.25">
      <c r="A111" s="178" t="s">
        <v>543</v>
      </c>
      <c r="B111" s="179" t="s">
        <v>544</v>
      </c>
      <c r="C111" s="206">
        <v>280</v>
      </c>
      <c r="D111" s="204">
        <v>0.05</v>
      </c>
      <c r="E111" s="207">
        <v>6.4</v>
      </c>
      <c r="G111"/>
      <c r="H111"/>
      <c r="I111"/>
    </row>
    <row r="112" spans="1:9" x14ac:dyDescent="0.25">
      <c r="A112" s="178" t="s">
        <v>545</v>
      </c>
      <c r="B112" s="179" t="s">
        <v>546</v>
      </c>
      <c r="C112" s="206">
        <v>281</v>
      </c>
      <c r="D112" s="204" t="s">
        <v>271</v>
      </c>
      <c r="E112" s="207">
        <v>6.4</v>
      </c>
      <c r="G112"/>
      <c r="H112"/>
      <c r="I112"/>
    </row>
    <row r="113" spans="1:9" x14ac:dyDescent="0.25">
      <c r="A113" s="178" t="s">
        <v>547</v>
      </c>
      <c r="B113" s="179" t="s">
        <v>548</v>
      </c>
      <c r="C113" s="206">
        <v>283</v>
      </c>
      <c r="D113" s="204">
        <v>0.02</v>
      </c>
      <c r="E113" s="207">
        <v>6.4</v>
      </c>
      <c r="G113"/>
      <c r="H113"/>
      <c r="I113"/>
    </row>
    <row r="114" spans="1:9" x14ac:dyDescent="0.25">
      <c r="A114" s="178" t="s">
        <v>549</v>
      </c>
      <c r="B114" s="179" t="s">
        <v>550</v>
      </c>
      <c r="C114" s="206">
        <v>284</v>
      </c>
      <c r="D114" s="204">
        <v>0.02</v>
      </c>
      <c r="E114" s="207">
        <v>6.4</v>
      </c>
      <c r="G114"/>
      <c r="H114"/>
      <c r="I114"/>
    </row>
    <row r="115" spans="1:9" x14ac:dyDescent="0.25">
      <c r="A115" s="178" t="s">
        <v>551</v>
      </c>
      <c r="B115" s="179" t="s">
        <v>552</v>
      </c>
      <c r="C115" s="206">
        <v>287</v>
      </c>
      <c r="D115" s="204">
        <v>2.5000000000000001E-2</v>
      </c>
      <c r="E115" s="207">
        <v>6.4</v>
      </c>
      <c r="G115"/>
      <c r="H115"/>
      <c r="I115"/>
    </row>
    <row r="116" spans="1:9" x14ac:dyDescent="0.25">
      <c r="A116" s="178" t="s">
        <v>553</v>
      </c>
      <c r="B116" s="179" t="s">
        <v>554</v>
      </c>
      <c r="C116" s="206">
        <v>295</v>
      </c>
      <c r="D116" s="204">
        <v>0.02</v>
      </c>
      <c r="E116" s="207">
        <v>6.4</v>
      </c>
      <c r="G116"/>
      <c r="H116"/>
      <c r="I116"/>
    </row>
    <row r="117" spans="1:9" x14ac:dyDescent="0.25">
      <c r="A117" s="178" t="s">
        <v>555</v>
      </c>
      <c r="B117" s="179" t="s">
        <v>556</v>
      </c>
      <c r="C117" s="206">
        <v>297</v>
      </c>
      <c r="D117" s="204">
        <v>0.03</v>
      </c>
      <c r="E117" s="207">
        <v>6.4</v>
      </c>
      <c r="G117"/>
      <c r="H117"/>
      <c r="I117"/>
    </row>
    <row r="118" spans="1:9" x14ac:dyDescent="0.25">
      <c r="A118" s="178" t="s">
        <v>557</v>
      </c>
      <c r="B118" s="179" t="s">
        <v>558</v>
      </c>
      <c r="C118" s="206">
        <v>114</v>
      </c>
      <c r="D118" s="204">
        <v>0.04</v>
      </c>
      <c r="E118" s="207">
        <v>6.4</v>
      </c>
      <c r="G118"/>
      <c r="H118"/>
      <c r="I118"/>
    </row>
    <row r="119" spans="1:9" x14ac:dyDescent="0.25">
      <c r="A119" s="178" t="s">
        <v>559</v>
      </c>
      <c r="B119" s="179" t="s">
        <v>560</v>
      </c>
      <c r="C119" s="206">
        <v>301</v>
      </c>
      <c r="D119" s="204">
        <v>0.02</v>
      </c>
      <c r="E119" s="207">
        <v>6.4</v>
      </c>
      <c r="G119"/>
      <c r="H119"/>
      <c r="I119"/>
    </row>
    <row r="120" spans="1:9" x14ac:dyDescent="0.25">
      <c r="A120" s="178" t="s">
        <v>561</v>
      </c>
      <c r="B120" s="179" t="s">
        <v>562</v>
      </c>
      <c r="C120" s="206">
        <v>303</v>
      </c>
      <c r="D120" s="204" t="s">
        <v>271</v>
      </c>
      <c r="E120" s="207">
        <v>6.4</v>
      </c>
      <c r="G120"/>
      <c r="H120"/>
      <c r="I120"/>
    </row>
    <row r="121" spans="1:9" x14ac:dyDescent="0.25">
      <c r="A121" s="178" t="s">
        <v>563</v>
      </c>
      <c r="B121" s="179" t="s">
        <v>564</v>
      </c>
      <c r="C121" s="206">
        <v>309</v>
      </c>
      <c r="D121" s="204">
        <v>0.05</v>
      </c>
      <c r="E121" s="207">
        <v>6.4</v>
      </c>
      <c r="G121"/>
      <c r="H121"/>
      <c r="I121"/>
    </row>
    <row r="122" spans="1:9" x14ac:dyDescent="0.25">
      <c r="A122" s="178" t="s">
        <v>565</v>
      </c>
      <c r="B122" s="179" t="s">
        <v>566</v>
      </c>
      <c r="C122" s="206">
        <v>312</v>
      </c>
      <c r="D122" s="204">
        <v>0.05</v>
      </c>
      <c r="E122" s="207">
        <v>6.4</v>
      </c>
      <c r="G122"/>
      <c r="H122"/>
      <c r="I122"/>
    </row>
    <row r="123" spans="1:9" x14ac:dyDescent="0.25">
      <c r="A123" s="178" t="s">
        <v>567</v>
      </c>
      <c r="B123" s="179" t="s">
        <v>568</v>
      </c>
      <c r="C123" s="206">
        <v>313</v>
      </c>
      <c r="D123" s="204">
        <v>0.03</v>
      </c>
      <c r="E123" s="207">
        <v>6.4</v>
      </c>
      <c r="G123"/>
      <c r="H123"/>
      <c r="I123"/>
    </row>
    <row r="124" spans="1:9" x14ac:dyDescent="0.25">
      <c r="A124" s="178" t="s">
        <v>569</v>
      </c>
      <c r="B124" s="179" t="s">
        <v>570</v>
      </c>
      <c r="C124" s="206">
        <v>317</v>
      </c>
      <c r="D124" s="204">
        <v>0.03</v>
      </c>
      <c r="E124" s="207">
        <v>6.4</v>
      </c>
      <c r="G124"/>
      <c r="H124"/>
      <c r="I124"/>
    </row>
    <row r="125" spans="1:9" x14ac:dyDescent="0.25">
      <c r="A125" s="178" t="s">
        <v>571</v>
      </c>
      <c r="B125" s="179" t="s">
        <v>572</v>
      </c>
      <c r="C125" s="206">
        <v>319</v>
      </c>
      <c r="D125" s="204">
        <v>0.03</v>
      </c>
      <c r="E125" s="207">
        <v>6.4</v>
      </c>
      <c r="G125"/>
      <c r="H125"/>
      <c r="I125"/>
    </row>
    <row r="126" spans="1:9" x14ac:dyDescent="0.25">
      <c r="A126" s="178" t="s">
        <v>573</v>
      </c>
      <c r="B126" s="179" t="s">
        <v>574</v>
      </c>
      <c r="C126" s="206">
        <v>322</v>
      </c>
      <c r="D126" s="204">
        <v>0.05</v>
      </c>
      <c r="E126" s="207">
        <v>6.4</v>
      </c>
      <c r="G126"/>
      <c r="H126"/>
      <c r="I126"/>
    </row>
    <row r="127" spans="1:9" x14ac:dyDescent="0.25">
      <c r="A127" s="178" t="s">
        <v>575</v>
      </c>
      <c r="B127" s="179" t="s">
        <v>576</v>
      </c>
      <c r="C127" s="206">
        <v>324</v>
      </c>
      <c r="D127" s="204">
        <v>0.02</v>
      </c>
      <c r="E127" s="207">
        <v>6.4</v>
      </c>
      <c r="G127"/>
      <c r="H127"/>
      <c r="I127"/>
    </row>
    <row r="128" spans="1:9" x14ac:dyDescent="0.25">
      <c r="A128" s="178" t="s">
        <v>577</v>
      </c>
      <c r="B128" s="179" t="s">
        <v>578</v>
      </c>
      <c r="C128" s="206">
        <v>325</v>
      </c>
      <c r="D128" s="204">
        <v>0.05</v>
      </c>
      <c r="E128" s="207">
        <v>6.4</v>
      </c>
      <c r="G128"/>
      <c r="H128"/>
      <c r="I128"/>
    </row>
    <row r="129" spans="1:9" x14ac:dyDescent="0.25">
      <c r="A129" s="178" t="s">
        <v>579</v>
      </c>
      <c r="B129" s="179" t="s">
        <v>580</v>
      </c>
      <c r="C129" s="206">
        <v>327</v>
      </c>
      <c r="D129" s="204">
        <v>0.03</v>
      </c>
      <c r="E129" s="207">
        <v>6.4</v>
      </c>
      <c r="G129"/>
      <c r="H129"/>
      <c r="I129"/>
    </row>
    <row r="130" spans="1:9" x14ac:dyDescent="0.25">
      <c r="A130" s="178" t="s">
        <v>581</v>
      </c>
      <c r="B130" s="179" t="s">
        <v>582</v>
      </c>
      <c r="C130" s="206">
        <v>329</v>
      </c>
      <c r="D130" s="204" t="s">
        <v>271</v>
      </c>
      <c r="E130" s="207">
        <v>6.4</v>
      </c>
      <c r="G130"/>
      <c r="H130"/>
      <c r="I130"/>
    </row>
    <row r="131" spans="1:9" x14ac:dyDescent="0.25">
      <c r="A131" s="178" t="s">
        <v>583</v>
      </c>
      <c r="B131" s="179" t="s">
        <v>584</v>
      </c>
      <c r="C131" s="206">
        <v>330</v>
      </c>
      <c r="D131" s="204">
        <v>0.03</v>
      </c>
      <c r="E131" s="207">
        <v>6.4</v>
      </c>
      <c r="G131"/>
      <c r="H131"/>
      <c r="I131"/>
    </row>
    <row r="132" spans="1:9" x14ac:dyDescent="0.25">
      <c r="A132" s="178" t="s">
        <v>585</v>
      </c>
      <c r="B132" s="179" t="s">
        <v>586</v>
      </c>
      <c r="C132" s="206">
        <v>331</v>
      </c>
      <c r="D132" s="204" t="s">
        <v>271</v>
      </c>
      <c r="E132" s="207">
        <v>6.4</v>
      </c>
      <c r="G132"/>
      <c r="H132"/>
      <c r="I132"/>
    </row>
    <row r="133" spans="1:9" x14ac:dyDescent="0.25">
      <c r="A133" s="178" t="s">
        <v>587</v>
      </c>
      <c r="B133" s="179" t="s">
        <v>588</v>
      </c>
      <c r="C133" s="206">
        <v>332</v>
      </c>
      <c r="D133" s="204" t="s">
        <v>271</v>
      </c>
      <c r="E133" s="207">
        <v>6.4</v>
      </c>
      <c r="G133"/>
      <c r="H133"/>
      <c r="I133"/>
    </row>
    <row r="134" spans="1:9" x14ac:dyDescent="0.25">
      <c r="A134" s="178" t="s">
        <v>589</v>
      </c>
      <c r="B134" s="179" t="s">
        <v>590</v>
      </c>
      <c r="C134" s="206">
        <v>334</v>
      </c>
      <c r="D134" s="204">
        <v>0.05</v>
      </c>
      <c r="E134" s="207">
        <v>6.4</v>
      </c>
      <c r="G134"/>
      <c r="H134"/>
      <c r="I134"/>
    </row>
    <row r="135" spans="1:9" x14ac:dyDescent="0.25">
      <c r="A135" s="178" t="s">
        <v>591</v>
      </c>
      <c r="B135" s="179" t="s">
        <v>592</v>
      </c>
      <c r="C135" s="206">
        <v>335</v>
      </c>
      <c r="D135" s="204">
        <v>0.03</v>
      </c>
      <c r="E135" s="207">
        <v>6.4</v>
      </c>
      <c r="G135"/>
      <c r="H135"/>
      <c r="I135"/>
    </row>
    <row r="136" spans="1:9" x14ac:dyDescent="0.25">
      <c r="A136" s="178" t="s">
        <v>593</v>
      </c>
      <c r="B136" s="179" t="s">
        <v>594</v>
      </c>
      <c r="C136" s="206">
        <v>338</v>
      </c>
      <c r="D136" s="204">
        <v>0.02</v>
      </c>
      <c r="E136" s="207">
        <v>6.4</v>
      </c>
      <c r="G136"/>
      <c r="H136"/>
      <c r="I136"/>
    </row>
    <row r="137" spans="1:9" x14ac:dyDescent="0.25">
      <c r="A137" s="178" t="s">
        <v>595</v>
      </c>
      <c r="B137" s="179" t="s">
        <v>596</v>
      </c>
      <c r="C137" s="206">
        <v>342</v>
      </c>
      <c r="D137" s="204">
        <v>0.04</v>
      </c>
      <c r="E137" s="207">
        <v>6.4</v>
      </c>
      <c r="G137"/>
      <c r="H137"/>
      <c r="I137"/>
    </row>
    <row r="138" spans="1:9" x14ac:dyDescent="0.25">
      <c r="A138" s="178" t="s">
        <v>597</v>
      </c>
      <c r="B138" s="179" t="s">
        <v>598</v>
      </c>
      <c r="C138" s="206">
        <v>343</v>
      </c>
      <c r="D138" s="204" t="s">
        <v>271</v>
      </c>
      <c r="E138" s="207">
        <v>6.4</v>
      </c>
      <c r="G138"/>
      <c r="H138"/>
      <c r="I138"/>
    </row>
    <row r="139" spans="1:9" x14ac:dyDescent="0.25">
      <c r="A139" s="178" t="s">
        <v>599</v>
      </c>
      <c r="B139" s="179" t="s">
        <v>600</v>
      </c>
      <c r="C139" s="206">
        <v>344</v>
      </c>
      <c r="D139" s="204">
        <v>0.03</v>
      </c>
      <c r="E139" s="207">
        <v>6.4</v>
      </c>
      <c r="G139"/>
      <c r="H139"/>
      <c r="I139"/>
    </row>
    <row r="140" spans="1:9" x14ac:dyDescent="0.25">
      <c r="A140" s="178" t="s">
        <v>601</v>
      </c>
      <c r="B140" s="179" t="s">
        <v>602</v>
      </c>
      <c r="C140" s="206">
        <v>346</v>
      </c>
      <c r="D140" s="204">
        <v>0.04</v>
      </c>
      <c r="E140" s="207">
        <v>6.4</v>
      </c>
      <c r="G140"/>
      <c r="H140"/>
      <c r="I140"/>
    </row>
    <row r="141" spans="1:9" x14ac:dyDescent="0.25">
      <c r="A141" s="178" t="s">
        <v>603</v>
      </c>
      <c r="B141" s="179" t="s">
        <v>604</v>
      </c>
      <c r="C141" s="206">
        <v>347</v>
      </c>
      <c r="D141" s="204">
        <v>0.03</v>
      </c>
      <c r="E141" s="207">
        <v>6.4</v>
      </c>
      <c r="G141"/>
      <c r="H141"/>
      <c r="I141"/>
    </row>
    <row r="142" spans="1:9" x14ac:dyDescent="0.25">
      <c r="A142" s="178" t="s">
        <v>605</v>
      </c>
      <c r="B142" s="179" t="s">
        <v>606</v>
      </c>
      <c r="C142" s="206">
        <v>348</v>
      </c>
      <c r="D142" s="204" t="s">
        <v>271</v>
      </c>
      <c r="E142" s="207">
        <v>6.4</v>
      </c>
      <c r="G142"/>
      <c r="H142"/>
      <c r="I142"/>
    </row>
    <row r="143" spans="1:9" x14ac:dyDescent="0.25">
      <c r="A143" s="178" t="s">
        <v>607</v>
      </c>
      <c r="B143" s="179" t="s">
        <v>608</v>
      </c>
      <c r="C143" s="206">
        <v>349</v>
      </c>
      <c r="D143" s="204" t="s">
        <v>271</v>
      </c>
      <c r="E143" s="207">
        <v>6.4</v>
      </c>
      <c r="G143"/>
      <c r="H143"/>
      <c r="I143"/>
    </row>
    <row r="144" spans="1:9" x14ac:dyDescent="0.25">
      <c r="A144" s="178" t="s">
        <v>609</v>
      </c>
      <c r="B144" s="179" t="s">
        <v>610</v>
      </c>
      <c r="C144" s="206">
        <v>738</v>
      </c>
      <c r="D144" s="204" t="s">
        <v>271</v>
      </c>
      <c r="E144" s="207">
        <v>6.4</v>
      </c>
      <c r="G144"/>
      <c r="H144"/>
      <c r="I144"/>
    </row>
    <row r="145" spans="1:9" x14ac:dyDescent="0.25">
      <c r="A145" s="178" t="s">
        <v>611</v>
      </c>
      <c r="B145" s="179" t="s">
        <v>612</v>
      </c>
      <c r="C145" s="206">
        <v>351</v>
      </c>
      <c r="D145" s="204">
        <v>0.04</v>
      </c>
      <c r="E145" s="207">
        <v>6.4</v>
      </c>
      <c r="G145"/>
      <c r="H145"/>
      <c r="I145"/>
    </row>
    <row r="146" spans="1:9" x14ac:dyDescent="0.25">
      <c r="A146" s="178" t="s">
        <v>613</v>
      </c>
      <c r="B146" s="179" t="s">
        <v>614</v>
      </c>
      <c r="C146" s="206">
        <v>352</v>
      </c>
      <c r="D146" s="204">
        <v>0.03</v>
      </c>
      <c r="E146" s="207">
        <v>6.4</v>
      </c>
      <c r="G146"/>
      <c r="H146"/>
      <c r="I146"/>
    </row>
    <row r="147" spans="1:9" x14ac:dyDescent="0.25">
      <c r="A147" s="178" t="s">
        <v>615</v>
      </c>
      <c r="B147" s="179" t="s">
        <v>616</v>
      </c>
      <c r="C147" s="206">
        <v>355</v>
      </c>
      <c r="D147" s="204" t="s">
        <v>271</v>
      </c>
      <c r="E147" s="207">
        <v>6.4</v>
      </c>
      <c r="G147"/>
      <c r="H147"/>
      <c r="I147"/>
    </row>
    <row r="148" spans="1:9" x14ac:dyDescent="0.25">
      <c r="A148" s="178" t="s">
        <v>617</v>
      </c>
      <c r="B148" s="179" t="s">
        <v>618</v>
      </c>
      <c r="C148" s="206">
        <v>358</v>
      </c>
      <c r="D148" s="204">
        <v>0.05</v>
      </c>
      <c r="E148" s="207">
        <v>6.4</v>
      </c>
      <c r="G148"/>
      <c r="H148"/>
      <c r="I148"/>
    </row>
    <row r="149" spans="1:9" x14ac:dyDescent="0.25">
      <c r="A149" s="178" t="s">
        <v>619</v>
      </c>
      <c r="B149" s="179" t="s">
        <v>620</v>
      </c>
      <c r="C149" s="206">
        <v>362</v>
      </c>
      <c r="D149" s="204">
        <v>0.05</v>
      </c>
      <c r="E149" s="207">
        <v>6.4</v>
      </c>
      <c r="G149"/>
      <c r="H149"/>
      <c r="I149"/>
    </row>
    <row r="150" spans="1:9" x14ac:dyDescent="0.25">
      <c r="A150" s="178" t="s">
        <v>621</v>
      </c>
      <c r="B150" s="179" t="s">
        <v>622</v>
      </c>
      <c r="C150" s="206">
        <v>363</v>
      </c>
      <c r="D150" s="204">
        <v>0.03</v>
      </c>
      <c r="E150" s="207">
        <v>6.4</v>
      </c>
      <c r="G150"/>
      <c r="H150"/>
      <c r="I150"/>
    </row>
    <row r="151" spans="1:9" x14ac:dyDescent="0.25">
      <c r="A151" s="178" t="s">
        <v>623</v>
      </c>
      <c r="B151" s="179" t="s">
        <v>624</v>
      </c>
      <c r="C151" s="206">
        <v>740</v>
      </c>
      <c r="D151" s="204" t="s">
        <v>271</v>
      </c>
      <c r="E151" s="207">
        <v>6.4</v>
      </c>
      <c r="G151"/>
      <c r="H151"/>
      <c r="I151"/>
    </row>
    <row r="152" spans="1:9" x14ac:dyDescent="0.25">
      <c r="A152" s="178" t="s">
        <v>625</v>
      </c>
      <c r="B152" s="179" t="s">
        <v>626</v>
      </c>
      <c r="C152" s="206">
        <v>145</v>
      </c>
      <c r="D152" s="204">
        <v>0.03</v>
      </c>
      <c r="E152" s="207">
        <v>6.4</v>
      </c>
      <c r="G152"/>
      <c r="H152"/>
      <c r="I152"/>
    </row>
    <row r="153" spans="1:9" x14ac:dyDescent="0.25">
      <c r="A153" s="178" t="s">
        <v>627</v>
      </c>
      <c r="B153" s="179" t="s">
        <v>628</v>
      </c>
      <c r="C153" s="206">
        <v>372</v>
      </c>
      <c r="D153" s="204">
        <v>0.03</v>
      </c>
      <c r="E153" s="207">
        <v>6.4</v>
      </c>
      <c r="G153"/>
      <c r="H153"/>
      <c r="I153"/>
    </row>
    <row r="154" spans="1:9" x14ac:dyDescent="0.25">
      <c r="A154" s="178" t="s">
        <v>629</v>
      </c>
      <c r="B154" s="179" t="s">
        <v>630</v>
      </c>
      <c r="C154" s="206">
        <v>148</v>
      </c>
      <c r="D154" s="204">
        <v>0.05</v>
      </c>
      <c r="E154" s="207">
        <v>6.4</v>
      </c>
      <c r="G154"/>
      <c r="H154"/>
      <c r="I154"/>
    </row>
    <row r="155" spans="1:9" x14ac:dyDescent="0.25">
      <c r="A155" s="178" t="s">
        <v>631</v>
      </c>
      <c r="B155" s="179" t="s">
        <v>632</v>
      </c>
      <c r="C155" s="206">
        <v>377</v>
      </c>
      <c r="D155" s="204" t="s">
        <v>271</v>
      </c>
      <c r="E155" s="207">
        <v>6.4</v>
      </c>
      <c r="G155"/>
      <c r="H155"/>
      <c r="I155"/>
    </row>
    <row r="156" spans="1:9" x14ac:dyDescent="0.25">
      <c r="A156" s="178" t="s">
        <v>633</v>
      </c>
      <c r="B156" s="179" t="s">
        <v>634</v>
      </c>
      <c r="C156" s="206">
        <v>378</v>
      </c>
      <c r="D156" s="204">
        <v>0.03</v>
      </c>
      <c r="E156" s="207">
        <v>6.4</v>
      </c>
      <c r="G156"/>
      <c r="H156"/>
      <c r="I156"/>
    </row>
    <row r="157" spans="1:9" x14ac:dyDescent="0.25">
      <c r="A157" s="178" t="s">
        <v>635</v>
      </c>
      <c r="B157" s="179" t="s">
        <v>636</v>
      </c>
      <c r="C157" s="206">
        <v>382</v>
      </c>
      <c r="D157" s="204">
        <v>0.03</v>
      </c>
      <c r="E157" s="207">
        <v>6.4</v>
      </c>
      <c r="G157"/>
      <c r="H157"/>
      <c r="I157"/>
    </row>
    <row r="158" spans="1:9" x14ac:dyDescent="0.25">
      <c r="A158" s="178" t="s">
        <v>637</v>
      </c>
      <c r="B158" s="179" t="s">
        <v>638</v>
      </c>
      <c r="C158" s="206">
        <v>384</v>
      </c>
      <c r="D158" s="204" t="s">
        <v>271</v>
      </c>
      <c r="E158" s="207">
        <v>6.4</v>
      </c>
      <c r="G158"/>
      <c r="H158"/>
      <c r="I158"/>
    </row>
    <row r="159" spans="1:9" x14ac:dyDescent="0.25">
      <c r="A159" s="178" t="s">
        <v>639</v>
      </c>
      <c r="B159" s="179" t="s">
        <v>640</v>
      </c>
      <c r="C159" s="206">
        <v>386</v>
      </c>
      <c r="D159" s="204" t="s">
        <v>271</v>
      </c>
      <c r="E159" s="207">
        <v>6.4</v>
      </c>
      <c r="G159"/>
      <c r="H159"/>
      <c r="I159"/>
    </row>
    <row r="160" spans="1:9" x14ac:dyDescent="0.25">
      <c r="A160" s="178" t="s">
        <v>641</v>
      </c>
      <c r="B160" s="179" t="s">
        <v>641</v>
      </c>
      <c r="C160" s="206">
        <v>388</v>
      </c>
      <c r="D160" s="204">
        <v>0.03</v>
      </c>
      <c r="E160" s="207">
        <v>6.4</v>
      </c>
      <c r="G160"/>
      <c r="H160"/>
      <c r="I160"/>
    </row>
    <row r="161" spans="1:9" x14ac:dyDescent="0.25">
      <c r="A161" s="178" t="s">
        <v>642</v>
      </c>
      <c r="B161" s="179" t="s">
        <v>643</v>
      </c>
      <c r="C161" s="206">
        <v>390</v>
      </c>
      <c r="D161" s="204">
        <v>0.05</v>
      </c>
      <c r="E161" s="207">
        <v>6.4</v>
      </c>
      <c r="G161"/>
      <c r="H161"/>
      <c r="I161"/>
    </row>
    <row r="162" spans="1:9" x14ac:dyDescent="0.25">
      <c r="A162" s="178" t="s">
        <v>644</v>
      </c>
      <c r="B162" s="179" t="s">
        <v>645</v>
      </c>
      <c r="C162" s="206">
        <v>392</v>
      </c>
      <c r="D162" s="204">
        <v>0.03</v>
      </c>
      <c r="E162" s="207">
        <v>6.4</v>
      </c>
      <c r="G162"/>
      <c r="H162"/>
      <c r="I162"/>
    </row>
    <row r="163" spans="1:9" x14ac:dyDescent="0.25">
      <c r="A163" s="178" t="s">
        <v>646</v>
      </c>
      <c r="B163" s="179" t="s">
        <v>647</v>
      </c>
      <c r="C163" s="206">
        <v>393</v>
      </c>
      <c r="D163" s="204">
        <v>0.05</v>
      </c>
      <c r="E163" s="207">
        <v>6.4</v>
      </c>
      <c r="G163"/>
      <c r="H163"/>
      <c r="I163"/>
    </row>
    <row r="164" spans="1:9" x14ac:dyDescent="0.25">
      <c r="A164" s="178" t="s">
        <v>648</v>
      </c>
      <c r="B164" s="179" t="s">
        <v>649</v>
      </c>
      <c r="C164" s="206">
        <v>394</v>
      </c>
      <c r="D164" s="204">
        <v>0.03</v>
      </c>
      <c r="E164" s="207">
        <v>6.4</v>
      </c>
      <c r="G164"/>
      <c r="H164"/>
      <c r="I164"/>
    </row>
    <row r="165" spans="1:9" x14ac:dyDescent="0.25">
      <c r="A165" s="178" t="s">
        <v>650</v>
      </c>
      <c r="B165" s="179" t="s">
        <v>651</v>
      </c>
      <c r="C165" s="206">
        <v>395</v>
      </c>
      <c r="D165" s="204">
        <v>0.03</v>
      </c>
      <c r="E165" s="207">
        <v>6.4</v>
      </c>
      <c r="G165"/>
      <c r="H165"/>
      <c r="I165"/>
    </row>
    <row r="166" spans="1:9" x14ac:dyDescent="0.25">
      <c r="A166" s="178" t="s">
        <v>652</v>
      </c>
      <c r="B166" s="179" t="s">
        <v>653</v>
      </c>
      <c r="C166" s="206">
        <v>396</v>
      </c>
      <c r="D166" s="204">
        <v>0.03</v>
      </c>
      <c r="E166" s="207">
        <v>6.4</v>
      </c>
      <c r="G166"/>
      <c r="H166"/>
      <c r="I166"/>
    </row>
    <row r="167" spans="1:9" x14ac:dyDescent="0.25">
      <c r="A167" s="178" t="s">
        <v>654</v>
      </c>
      <c r="B167" s="179" t="s">
        <v>655</v>
      </c>
      <c r="C167" s="206">
        <v>398</v>
      </c>
      <c r="D167" s="204" t="s">
        <v>271</v>
      </c>
      <c r="E167" s="207">
        <v>6.4</v>
      </c>
      <c r="G167"/>
      <c r="H167"/>
      <c r="I167"/>
    </row>
    <row r="168" spans="1:9" x14ac:dyDescent="0.25">
      <c r="A168" s="178" t="s">
        <v>656</v>
      </c>
      <c r="B168" s="179" t="s">
        <v>657</v>
      </c>
      <c r="C168" s="206">
        <v>400</v>
      </c>
      <c r="D168" s="204">
        <v>0.03</v>
      </c>
      <c r="E168" s="207">
        <v>6.4</v>
      </c>
      <c r="G168"/>
      <c r="H168"/>
      <c r="I168"/>
    </row>
    <row r="169" spans="1:9" x14ac:dyDescent="0.25">
      <c r="A169" s="178" t="s">
        <v>658</v>
      </c>
      <c r="B169" s="179" t="s">
        <v>659</v>
      </c>
      <c r="C169" s="206">
        <v>405</v>
      </c>
      <c r="D169" s="204">
        <v>0.05</v>
      </c>
      <c r="E169" s="207">
        <v>6.4</v>
      </c>
      <c r="G169"/>
      <c r="H169"/>
      <c r="I169"/>
    </row>
    <row r="170" spans="1:9" x14ac:dyDescent="0.25">
      <c r="A170" s="178" t="s">
        <v>660</v>
      </c>
      <c r="B170" s="179" t="s">
        <v>661</v>
      </c>
      <c r="C170" s="206">
        <v>407</v>
      </c>
      <c r="D170" s="204">
        <v>0.03</v>
      </c>
      <c r="E170" s="207">
        <v>6.4</v>
      </c>
      <c r="G170"/>
      <c r="H170"/>
      <c r="I170"/>
    </row>
    <row r="171" spans="1:9" x14ac:dyDescent="0.25">
      <c r="A171" s="178" t="s">
        <v>662</v>
      </c>
      <c r="B171" s="179" t="s">
        <v>663</v>
      </c>
      <c r="C171" s="206">
        <v>408</v>
      </c>
      <c r="D171" s="204">
        <v>0.02</v>
      </c>
      <c r="E171" s="207">
        <v>6.4</v>
      </c>
      <c r="G171"/>
      <c r="H171"/>
      <c r="I171"/>
    </row>
    <row r="172" spans="1:9" x14ac:dyDescent="0.25">
      <c r="A172" s="178" t="s">
        <v>664</v>
      </c>
      <c r="B172" s="179" t="s">
        <v>665</v>
      </c>
      <c r="C172" s="206">
        <v>411</v>
      </c>
      <c r="D172" s="204">
        <v>0.02</v>
      </c>
      <c r="E172" s="207">
        <v>6.4</v>
      </c>
      <c r="G172"/>
      <c r="H172"/>
      <c r="I172"/>
    </row>
    <row r="173" spans="1:9" x14ac:dyDescent="0.25">
      <c r="A173" s="178" t="s">
        <v>666</v>
      </c>
      <c r="B173" s="179" t="s">
        <v>667</v>
      </c>
      <c r="C173" s="206">
        <v>414</v>
      </c>
      <c r="D173" s="204" t="s">
        <v>271</v>
      </c>
      <c r="E173" s="207">
        <v>6.4</v>
      </c>
      <c r="G173"/>
      <c r="H173"/>
      <c r="I173"/>
    </row>
    <row r="174" spans="1:9" x14ac:dyDescent="0.25">
      <c r="A174" s="178" t="s">
        <v>668</v>
      </c>
      <c r="B174" s="179" t="s">
        <v>669</v>
      </c>
      <c r="C174" s="206">
        <v>416</v>
      </c>
      <c r="D174" s="204" t="s">
        <v>271</v>
      </c>
      <c r="E174" s="207">
        <v>6.4</v>
      </c>
      <c r="G174"/>
      <c r="H174"/>
      <c r="I174"/>
    </row>
    <row r="175" spans="1:9" x14ac:dyDescent="0.25">
      <c r="A175" s="178" t="s">
        <v>670</v>
      </c>
      <c r="B175" s="179" t="s">
        <v>671</v>
      </c>
      <c r="C175" s="206">
        <v>417</v>
      </c>
      <c r="D175" s="204" t="s">
        <v>271</v>
      </c>
      <c r="E175" s="207">
        <v>6.4</v>
      </c>
      <c r="G175"/>
      <c r="H175"/>
      <c r="I175"/>
    </row>
    <row r="176" spans="1:9" x14ac:dyDescent="0.25">
      <c r="A176" s="178" t="s">
        <v>672</v>
      </c>
      <c r="B176" s="179" t="s">
        <v>673</v>
      </c>
      <c r="C176" s="206">
        <v>418</v>
      </c>
      <c r="D176" s="204">
        <v>0.03</v>
      </c>
      <c r="E176" s="207">
        <v>6.4</v>
      </c>
      <c r="G176"/>
      <c r="H176"/>
      <c r="I176"/>
    </row>
    <row r="177" spans="1:9" x14ac:dyDescent="0.25">
      <c r="A177" s="178" t="s">
        <v>674</v>
      </c>
      <c r="B177" s="179" t="s">
        <v>675</v>
      </c>
      <c r="C177" s="206">
        <v>421</v>
      </c>
      <c r="D177" s="204">
        <v>0.05</v>
      </c>
      <c r="E177" s="207">
        <v>6.4</v>
      </c>
      <c r="G177"/>
      <c r="H177"/>
      <c r="I177"/>
    </row>
    <row r="178" spans="1:9" x14ac:dyDescent="0.25">
      <c r="A178" s="178" t="s">
        <v>676</v>
      </c>
      <c r="B178" s="179" t="s">
        <v>677</v>
      </c>
      <c r="C178" s="206">
        <v>422</v>
      </c>
      <c r="D178" s="204">
        <v>0.03</v>
      </c>
      <c r="E178" s="207">
        <v>6.4</v>
      </c>
      <c r="G178"/>
      <c r="H178"/>
      <c r="I178"/>
    </row>
    <row r="179" spans="1:9" x14ac:dyDescent="0.25">
      <c r="A179" s="178" t="s">
        <v>678</v>
      </c>
      <c r="B179" s="179" t="s">
        <v>679</v>
      </c>
      <c r="C179" s="206">
        <v>427</v>
      </c>
      <c r="D179" s="204" t="s">
        <v>271</v>
      </c>
      <c r="E179" s="207">
        <v>6.4</v>
      </c>
      <c r="G179"/>
      <c r="H179"/>
      <c r="I179"/>
    </row>
    <row r="180" spans="1:9" x14ac:dyDescent="0.25">
      <c r="A180" s="178" t="s">
        <v>680</v>
      </c>
      <c r="B180" s="179" t="s">
        <v>681</v>
      </c>
      <c r="C180" s="206">
        <v>428</v>
      </c>
      <c r="D180" s="204" t="s">
        <v>271</v>
      </c>
      <c r="E180" s="207">
        <v>6.4</v>
      </c>
      <c r="G180"/>
      <c r="H180"/>
      <c r="I180"/>
    </row>
    <row r="181" spans="1:9" x14ac:dyDescent="0.25">
      <c r="A181" s="178" t="s">
        <v>682</v>
      </c>
      <c r="B181" s="179" t="s">
        <v>683</v>
      </c>
      <c r="C181" s="206">
        <v>429</v>
      </c>
      <c r="D181" s="204">
        <v>0.03</v>
      </c>
      <c r="E181" s="207">
        <v>6.4</v>
      </c>
      <c r="G181"/>
      <c r="H181"/>
      <c r="I181"/>
    </row>
    <row r="182" spans="1:9" x14ac:dyDescent="0.25">
      <c r="A182" s="178" t="s">
        <v>684</v>
      </c>
      <c r="B182" s="179" t="s">
        <v>685</v>
      </c>
      <c r="C182" s="206">
        <v>430</v>
      </c>
      <c r="D182" s="204">
        <v>0.03</v>
      </c>
      <c r="E182" s="207">
        <v>6.4</v>
      </c>
      <c r="G182"/>
      <c r="H182"/>
      <c r="I182"/>
    </row>
    <row r="183" spans="1:9" x14ac:dyDescent="0.25">
      <c r="A183" s="178" t="s">
        <v>686</v>
      </c>
      <c r="B183" s="179" t="s">
        <v>687</v>
      </c>
      <c r="C183" s="206">
        <v>431</v>
      </c>
      <c r="D183" s="204">
        <v>0.03</v>
      </c>
      <c r="E183" s="207">
        <v>6.4</v>
      </c>
      <c r="G183"/>
      <c r="H183"/>
      <c r="I183"/>
    </row>
    <row r="184" spans="1:9" x14ac:dyDescent="0.25">
      <c r="A184" s="178" t="s">
        <v>688</v>
      </c>
      <c r="B184" s="179" t="s">
        <v>689</v>
      </c>
      <c r="C184" s="206">
        <v>432</v>
      </c>
      <c r="D184" s="204" t="s">
        <v>271</v>
      </c>
      <c r="E184" s="207">
        <v>6.4</v>
      </c>
      <c r="G184"/>
      <c r="H184"/>
      <c r="I184"/>
    </row>
    <row r="185" spans="1:9" x14ac:dyDescent="0.25">
      <c r="A185" s="178" t="s">
        <v>690</v>
      </c>
      <c r="B185" s="179" t="s">
        <v>691</v>
      </c>
      <c r="C185" s="206">
        <v>434</v>
      </c>
      <c r="D185" s="204" t="s">
        <v>271</v>
      </c>
      <c r="E185" s="207">
        <v>6.4</v>
      </c>
      <c r="G185"/>
      <c r="H185"/>
      <c r="I185"/>
    </row>
    <row r="186" spans="1:9" x14ac:dyDescent="0.25">
      <c r="A186" s="178" t="s">
        <v>692</v>
      </c>
      <c r="B186" s="179" t="s">
        <v>693</v>
      </c>
      <c r="C186" s="206">
        <v>433</v>
      </c>
      <c r="D186" s="204">
        <v>0.03</v>
      </c>
      <c r="E186" s="207">
        <v>6.4</v>
      </c>
      <c r="G186"/>
      <c r="H186"/>
      <c r="I186"/>
    </row>
    <row r="187" spans="1:9" x14ac:dyDescent="0.25">
      <c r="A187" s="178" t="s">
        <v>694</v>
      </c>
      <c r="B187" s="179" t="s">
        <v>695</v>
      </c>
      <c r="C187" s="206">
        <v>435</v>
      </c>
      <c r="D187" s="204" t="s">
        <v>271</v>
      </c>
      <c r="E187" s="207">
        <v>6.4</v>
      </c>
      <c r="G187"/>
      <c r="H187"/>
      <c r="I187"/>
    </row>
    <row r="188" spans="1:9" x14ac:dyDescent="0.25">
      <c r="A188" s="178" t="s">
        <v>696</v>
      </c>
      <c r="B188" s="179" t="s">
        <v>697</v>
      </c>
      <c r="C188" s="206">
        <v>439</v>
      </c>
      <c r="D188" s="204">
        <v>0.03</v>
      </c>
      <c r="E188" s="207">
        <v>6.4</v>
      </c>
      <c r="G188"/>
      <c r="H188"/>
      <c r="I188"/>
    </row>
    <row r="189" spans="1:9" x14ac:dyDescent="0.25">
      <c r="A189" s="178" t="s">
        <v>698</v>
      </c>
      <c r="B189" s="179" t="s">
        <v>699</v>
      </c>
      <c r="C189" s="206">
        <v>440</v>
      </c>
      <c r="D189" s="204">
        <v>0.03</v>
      </c>
      <c r="E189" s="207">
        <v>6.4</v>
      </c>
      <c r="G189"/>
      <c r="H189"/>
      <c r="I189"/>
    </row>
    <row r="190" spans="1:9" x14ac:dyDescent="0.25">
      <c r="A190" s="178" t="s">
        <v>700</v>
      </c>
      <c r="B190" s="179" t="s">
        <v>701</v>
      </c>
      <c r="C190" s="206">
        <v>441</v>
      </c>
      <c r="D190" s="204">
        <v>0.03</v>
      </c>
      <c r="E190" s="207">
        <v>6.4</v>
      </c>
      <c r="G190"/>
      <c r="H190"/>
      <c r="I190"/>
    </row>
    <row r="191" spans="1:9" x14ac:dyDescent="0.25">
      <c r="A191" s="178" t="s">
        <v>702</v>
      </c>
      <c r="B191" s="179" t="s">
        <v>703</v>
      </c>
      <c r="C191" s="206">
        <v>443</v>
      </c>
      <c r="D191" s="204">
        <v>0.03</v>
      </c>
      <c r="E191" s="207">
        <v>6.4</v>
      </c>
      <c r="G191"/>
      <c r="H191"/>
      <c r="I191"/>
    </row>
    <row r="192" spans="1:9" x14ac:dyDescent="0.25">
      <c r="A192" s="178" t="s">
        <v>704</v>
      </c>
      <c r="B192" s="179" t="s">
        <v>705</v>
      </c>
      <c r="C192" s="206">
        <v>444</v>
      </c>
      <c r="D192" s="204">
        <v>2.5000000000000001E-2</v>
      </c>
      <c r="E192" s="207">
        <v>6.4</v>
      </c>
      <c r="G192"/>
      <c r="H192"/>
      <c r="I192"/>
    </row>
    <row r="193" spans="1:9" x14ac:dyDescent="0.25">
      <c r="A193" s="178" t="s">
        <v>706</v>
      </c>
      <c r="B193" s="179" t="s">
        <v>707</v>
      </c>
      <c r="C193" s="206">
        <v>446</v>
      </c>
      <c r="D193" s="204" t="s">
        <v>271</v>
      </c>
      <c r="E193" s="207">
        <v>6.4</v>
      </c>
      <c r="G193"/>
      <c r="H193"/>
      <c r="I193"/>
    </row>
    <row r="194" spans="1:9" x14ac:dyDescent="0.25">
      <c r="A194" s="178" t="s">
        <v>708</v>
      </c>
      <c r="B194" s="179" t="s">
        <v>709</v>
      </c>
      <c r="C194" s="206">
        <v>447</v>
      </c>
      <c r="D194" s="204" t="s">
        <v>271</v>
      </c>
      <c r="E194" s="207">
        <v>6.4</v>
      </c>
      <c r="G194"/>
      <c r="H194"/>
      <c r="I194"/>
    </row>
    <row r="195" spans="1:9" x14ac:dyDescent="0.25">
      <c r="A195" s="178" t="s">
        <v>710</v>
      </c>
      <c r="B195" s="179" t="s">
        <v>711</v>
      </c>
      <c r="C195" s="206">
        <v>188</v>
      </c>
      <c r="D195" s="204">
        <v>0.03</v>
      </c>
      <c r="E195" s="207">
        <v>6.4</v>
      </c>
      <c r="G195"/>
      <c r="H195"/>
      <c r="I195"/>
    </row>
    <row r="196" spans="1:9" x14ac:dyDescent="0.25">
      <c r="A196" s="178" t="s">
        <v>712</v>
      </c>
      <c r="B196" s="179" t="s">
        <v>713</v>
      </c>
      <c r="C196" s="206">
        <v>450</v>
      </c>
      <c r="D196" s="204">
        <v>0.04</v>
      </c>
      <c r="E196" s="207">
        <v>6.4</v>
      </c>
      <c r="G196"/>
      <c r="H196"/>
      <c r="I196"/>
    </row>
    <row r="197" spans="1:9" x14ac:dyDescent="0.25">
      <c r="A197" s="178" t="s">
        <v>714</v>
      </c>
      <c r="B197" s="179" t="s">
        <v>715</v>
      </c>
      <c r="C197" s="206">
        <v>451</v>
      </c>
      <c r="D197" s="204" t="s">
        <v>271</v>
      </c>
      <c r="E197" s="207">
        <v>6.4</v>
      </c>
      <c r="G197"/>
      <c r="H197"/>
      <c r="I197"/>
    </row>
    <row r="198" spans="1:9" x14ac:dyDescent="0.25">
      <c r="A198" s="178" t="s">
        <v>716</v>
      </c>
      <c r="B198" s="179" t="s">
        <v>717</v>
      </c>
      <c r="C198" s="206">
        <v>452</v>
      </c>
      <c r="D198" s="204">
        <v>0.03</v>
      </c>
      <c r="E198" s="207">
        <v>6.4</v>
      </c>
      <c r="G198"/>
      <c r="H198"/>
      <c r="I198"/>
    </row>
    <row r="199" spans="1:9" x14ac:dyDescent="0.25">
      <c r="A199" s="178" t="s">
        <v>718</v>
      </c>
      <c r="B199" s="179" t="s">
        <v>719</v>
      </c>
      <c r="C199" s="206">
        <v>453</v>
      </c>
      <c r="D199" s="204">
        <v>0.05</v>
      </c>
      <c r="E199" s="207">
        <v>6.4</v>
      </c>
      <c r="G199"/>
      <c r="H199"/>
      <c r="I199"/>
    </row>
    <row r="200" spans="1:9" x14ac:dyDescent="0.25">
      <c r="A200" s="178" t="s">
        <v>720</v>
      </c>
      <c r="B200" s="179" t="s">
        <v>721</v>
      </c>
      <c r="C200" s="206">
        <v>456</v>
      </c>
      <c r="D200" s="204">
        <v>0.03</v>
      </c>
      <c r="E200" s="207">
        <v>6.4</v>
      </c>
      <c r="G200"/>
      <c r="H200"/>
      <c r="I200"/>
    </row>
    <row r="201" spans="1:9" x14ac:dyDescent="0.25">
      <c r="A201" s="178" t="s">
        <v>722</v>
      </c>
      <c r="B201" s="179" t="s">
        <v>723</v>
      </c>
      <c r="C201" s="206">
        <v>459</v>
      </c>
      <c r="D201" s="204" t="s">
        <v>271</v>
      </c>
      <c r="E201" s="207">
        <v>6.4</v>
      </c>
      <c r="G201"/>
      <c r="H201"/>
      <c r="I201"/>
    </row>
    <row r="202" spans="1:9" x14ac:dyDescent="0.25">
      <c r="A202" s="178" t="s">
        <v>724</v>
      </c>
      <c r="B202" s="179" t="s">
        <v>725</v>
      </c>
      <c r="C202" s="206">
        <v>460</v>
      </c>
      <c r="D202" s="204">
        <v>0.05</v>
      </c>
      <c r="E202" s="207">
        <v>6.4</v>
      </c>
      <c r="G202"/>
      <c r="H202"/>
      <c r="I202"/>
    </row>
    <row r="203" spans="1:9" x14ac:dyDescent="0.25">
      <c r="A203" s="178" t="s">
        <v>726</v>
      </c>
      <c r="B203" s="179" t="s">
        <v>727</v>
      </c>
      <c r="C203" s="206">
        <v>461</v>
      </c>
      <c r="D203" s="204">
        <v>0.05</v>
      </c>
      <c r="E203" s="207">
        <v>6.4</v>
      </c>
      <c r="G203"/>
      <c r="H203"/>
      <c r="I203"/>
    </row>
    <row r="204" spans="1:9" x14ac:dyDescent="0.25">
      <c r="A204" s="178" t="s">
        <v>728</v>
      </c>
      <c r="B204" s="179" t="s">
        <v>729</v>
      </c>
      <c r="C204" s="206">
        <v>467</v>
      </c>
      <c r="D204" s="204">
        <v>0.03</v>
      </c>
      <c r="E204" s="207">
        <v>6.4</v>
      </c>
      <c r="G204"/>
      <c r="H204"/>
      <c r="I204"/>
    </row>
    <row r="205" spans="1:9" x14ac:dyDescent="0.25">
      <c r="A205" s="178" t="s">
        <v>730</v>
      </c>
      <c r="B205" s="179" t="s">
        <v>731</v>
      </c>
      <c r="C205" s="206">
        <v>471</v>
      </c>
      <c r="D205" s="204">
        <v>0.04</v>
      </c>
      <c r="E205" s="207">
        <v>6.4</v>
      </c>
      <c r="G205"/>
      <c r="H205"/>
      <c r="I205"/>
    </row>
    <row r="206" spans="1:9" x14ac:dyDescent="0.25">
      <c r="A206" s="178" t="s">
        <v>732</v>
      </c>
      <c r="B206" s="179" t="s">
        <v>733</v>
      </c>
      <c r="C206" s="206">
        <v>470</v>
      </c>
      <c r="D206" s="204">
        <v>3.5000000000000003E-2</v>
      </c>
      <c r="E206" s="207">
        <v>6.4</v>
      </c>
      <c r="G206"/>
      <c r="H206"/>
      <c r="I206"/>
    </row>
    <row r="207" spans="1:9" x14ac:dyDescent="0.25">
      <c r="A207" s="178" t="s">
        <v>734</v>
      </c>
      <c r="B207" s="179" t="s">
        <v>735</v>
      </c>
      <c r="C207" s="206">
        <v>472</v>
      </c>
      <c r="D207" s="204">
        <v>0.03</v>
      </c>
      <c r="E207" s="207">
        <v>6.4</v>
      </c>
      <c r="G207"/>
      <c r="H207"/>
      <c r="I207"/>
    </row>
    <row r="208" spans="1:9" x14ac:dyDescent="0.25">
      <c r="A208" s="178" t="s">
        <v>736</v>
      </c>
      <c r="B208" s="179" t="s">
        <v>737</v>
      </c>
      <c r="C208" s="206">
        <v>473</v>
      </c>
      <c r="D208" s="204" t="s">
        <v>271</v>
      </c>
      <c r="E208" s="207">
        <v>6.4</v>
      </c>
      <c r="G208"/>
      <c r="H208"/>
      <c r="I208"/>
    </row>
    <row r="209" spans="1:9" x14ac:dyDescent="0.25">
      <c r="A209" s="178" t="s">
        <v>738</v>
      </c>
      <c r="B209" s="179" t="s">
        <v>739</v>
      </c>
      <c r="C209" s="206">
        <v>474</v>
      </c>
      <c r="D209" s="204">
        <v>0.03</v>
      </c>
      <c r="E209" s="207">
        <v>6.4</v>
      </c>
      <c r="G209"/>
      <c r="H209"/>
      <c r="I209"/>
    </row>
    <row r="210" spans="1:9" x14ac:dyDescent="0.25">
      <c r="A210" s="178" t="s">
        <v>740</v>
      </c>
      <c r="B210" s="179" t="s">
        <v>741</v>
      </c>
      <c r="C210" s="206">
        <v>476</v>
      </c>
      <c r="D210" s="204" t="s">
        <v>271</v>
      </c>
      <c r="E210" s="207">
        <v>6.4</v>
      </c>
      <c r="G210"/>
      <c r="H210"/>
      <c r="I210"/>
    </row>
    <row r="211" spans="1:9" x14ac:dyDescent="0.25">
      <c r="A211" s="178" t="s">
        <v>742</v>
      </c>
      <c r="B211" s="179" t="s">
        <v>743</v>
      </c>
      <c r="C211" s="206">
        <v>477</v>
      </c>
      <c r="D211" s="204" t="s">
        <v>271</v>
      </c>
      <c r="E211" s="207">
        <v>6.4</v>
      </c>
      <c r="G211"/>
      <c r="H211"/>
      <c r="I211"/>
    </row>
    <row r="212" spans="1:9" x14ac:dyDescent="0.25">
      <c r="A212" s="178" t="s">
        <v>744</v>
      </c>
      <c r="B212" s="179" t="s">
        <v>745</v>
      </c>
      <c r="C212" s="206">
        <v>479</v>
      </c>
      <c r="D212" s="204">
        <v>0.03</v>
      </c>
      <c r="E212" s="207">
        <v>6.4</v>
      </c>
      <c r="G212"/>
      <c r="H212"/>
      <c r="I212"/>
    </row>
    <row r="213" spans="1:9" x14ac:dyDescent="0.25">
      <c r="A213" s="178" t="s">
        <v>746</v>
      </c>
      <c r="B213" s="179" t="s">
        <v>747</v>
      </c>
      <c r="C213" s="206">
        <v>480</v>
      </c>
      <c r="D213" s="204">
        <v>0.02</v>
      </c>
      <c r="E213" s="207">
        <v>6.4</v>
      </c>
      <c r="G213"/>
      <c r="H213"/>
      <c r="I213"/>
    </row>
    <row r="214" spans="1:9" x14ac:dyDescent="0.25">
      <c r="A214" s="178" t="s">
        <v>748</v>
      </c>
      <c r="B214" s="179" t="s">
        <v>749</v>
      </c>
      <c r="C214" s="206">
        <v>481</v>
      </c>
      <c r="D214" s="204" t="s">
        <v>271</v>
      </c>
      <c r="E214" s="207">
        <v>6.4</v>
      </c>
      <c r="G214"/>
      <c r="H214"/>
      <c r="I214"/>
    </row>
    <row r="215" spans="1:9" x14ac:dyDescent="0.25">
      <c r="A215" s="178" t="s">
        <v>750</v>
      </c>
      <c r="B215" s="179" t="s">
        <v>751</v>
      </c>
      <c r="C215" s="206">
        <v>486</v>
      </c>
      <c r="D215" s="204">
        <v>0.05</v>
      </c>
      <c r="E215" s="207">
        <v>6.4</v>
      </c>
      <c r="G215"/>
      <c r="H215"/>
      <c r="I215"/>
    </row>
    <row r="216" spans="1:9" x14ac:dyDescent="0.25">
      <c r="A216" s="178" t="s">
        <v>752</v>
      </c>
      <c r="B216" s="179" t="s">
        <v>753</v>
      </c>
      <c r="C216" s="206">
        <v>487</v>
      </c>
      <c r="D216" s="204">
        <v>0.05</v>
      </c>
      <c r="E216" s="207">
        <v>6.4</v>
      </c>
      <c r="G216"/>
      <c r="H216"/>
      <c r="I216"/>
    </row>
    <row r="217" spans="1:9" x14ac:dyDescent="0.25">
      <c r="A217" s="178" t="s">
        <v>754</v>
      </c>
      <c r="B217" s="179" t="s">
        <v>755</v>
      </c>
      <c r="C217" s="206">
        <v>491</v>
      </c>
      <c r="D217" s="204" t="s">
        <v>271</v>
      </c>
      <c r="E217" s="207">
        <v>6.4</v>
      </c>
      <c r="G217"/>
      <c r="H217"/>
      <c r="I217"/>
    </row>
    <row r="218" spans="1:9" x14ac:dyDescent="0.25">
      <c r="A218" s="178" t="s">
        <v>756</v>
      </c>
      <c r="B218" s="179" t="s">
        <v>757</v>
      </c>
      <c r="C218" s="206">
        <v>210</v>
      </c>
      <c r="D218" s="204">
        <v>2.7E-2</v>
      </c>
      <c r="E218" s="207">
        <v>6.4</v>
      </c>
      <c r="G218"/>
      <c r="H218"/>
      <c r="I218"/>
    </row>
    <row r="219" spans="1:9" x14ac:dyDescent="0.25">
      <c r="A219" s="178" t="s">
        <v>758</v>
      </c>
      <c r="B219" s="179" t="s">
        <v>759</v>
      </c>
      <c r="C219" s="206">
        <v>498</v>
      </c>
      <c r="D219" s="204">
        <v>0.03</v>
      </c>
      <c r="E219" s="207">
        <v>6.4</v>
      </c>
      <c r="G219"/>
      <c r="H219"/>
      <c r="I219"/>
    </row>
    <row r="220" spans="1:9" x14ac:dyDescent="0.25">
      <c r="A220" s="178" t="s">
        <v>760</v>
      </c>
      <c r="B220" s="179" t="s">
        <v>761</v>
      </c>
      <c r="C220" s="206">
        <v>499</v>
      </c>
      <c r="D220" s="204" t="s">
        <v>271</v>
      </c>
      <c r="E220" s="207">
        <v>6.4</v>
      </c>
      <c r="G220"/>
      <c r="H220"/>
      <c r="I220"/>
    </row>
    <row r="221" spans="1:9" x14ac:dyDescent="0.25">
      <c r="A221" s="178" t="s">
        <v>762</v>
      </c>
      <c r="B221" s="179" t="s">
        <v>763</v>
      </c>
      <c r="C221" s="206">
        <v>508</v>
      </c>
      <c r="D221" s="204">
        <v>0.02</v>
      </c>
      <c r="E221" s="207">
        <v>6.4</v>
      </c>
      <c r="G221"/>
      <c r="H221"/>
      <c r="I221"/>
    </row>
    <row r="222" spans="1:9" x14ac:dyDescent="0.25">
      <c r="A222" s="178" t="s">
        <v>764</v>
      </c>
      <c r="B222" s="179" t="s">
        <v>765</v>
      </c>
      <c r="C222" s="206">
        <v>511</v>
      </c>
      <c r="D222" s="204" t="s">
        <v>271</v>
      </c>
      <c r="E222" s="207">
        <v>6.4</v>
      </c>
      <c r="G222"/>
      <c r="H222"/>
      <c r="I222"/>
    </row>
    <row r="223" spans="1:9" x14ac:dyDescent="0.25">
      <c r="A223" s="178" t="s">
        <v>766</v>
      </c>
      <c r="B223" s="179" t="s">
        <v>767</v>
      </c>
      <c r="C223" s="206">
        <v>512</v>
      </c>
      <c r="D223" s="204">
        <v>0.05</v>
      </c>
      <c r="E223" s="207">
        <v>6.4</v>
      </c>
      <c r="G223"/>
      <c r="H223"/>
      <c r="I223"/>
    </row>
    <row r="224" spans="1:9" x14ac:dyDescent="0.25">
      <c r="A224" s="178" t="s">
        <v>768</v>
      </c>
      <c r="B224" s="179" t="s">
        <v>769</v>
      </c>
      <c r="C224" s="206">
        <v>514</v>
      </c>
      <c r="D224" s="204">
        <v>0.02</v>
      </c>
      <c r="E224" s="207">
        <v>6.4</v>
      </c>
    </row>
    <row r="225" spans="1:5" x14ac:dyDescent="0.25">
      <c r="A225" s="178" t="s">
        <v>770</v>
      </c>
      <c r="B225" s="179" t="s">
        <v>771</v>
      </c>
      <c r="C225" s="206">
        <v>515</v>
      </c>
      <c r="D225" s="204">
        <v>0.05</v>
      </c>
      <c r="E225" s="207">
        <v>6.4</v>
      </c>
    </row>
    <row r="226" spans="1:5" x14ac:dyDescent="0.25">
      <c r="A226" s="178" t="s">
        <v>772</v>
      </c>
      <c r="B226" s="179" t="s">
        <v>773</v>
      </c>
      <c r="C226" s="206">
        <v>517</v>
      </c>
      <c r="D226" s="204">
        <v>0.03</v>
      </c>
      <c r="E226" s="207">
        <v>6.4</v>
      </c>
    </row>
    <row r="227" spans="1:5" x14ac:dyDescent="0.25">
      <c r="A227" s="178" t="s">
        <v>774</v>
      </c>
      <c r="B227" s="179" t="s">
        <v>775</v>
      </c>
      <c r="C227" s="206">
        <v>518</v>
      </c>
      <c r="D227" s="204">
        <v>0.05</v>
      </c>
      <c r="E227" s="207">
        <v>6.4</v>
      </c>
    </row>
    <row r="228" spans="1:5" x14ac:dyDescent="0.25">
      <c r="A228" s="178" t="s">
        <v>776</v>
      </c>
      <c r="B228" s="179" t="s">
        <v>777</v>
      </c>
      <c r="C228" s="206">
        <v>520</v>
      </c>
      <c r="D228" s="204">
        <v>0.02</v>
      </c>
      <c r="E228" s="207">
        <v>6.4</v>
      </c>
    </row>
    <row r="229" spans="1:5" x14ac:dyDescent="0.25">
      <c r="A229" s="178" t="s">
        <v>778</v>
      </c>
      <c r="B229" s="179" t="s">
        <v>779</v>
      </c>
      <c r="C229" s="206">
        <v>521</v>
      </c>
      <c r="D229" s="204">
        <v>0.03</v>
      </c>
      <c r="E229" s="207">
        <v>6.4</v>
      </c>
    </row>
    <row r="230" spans="1:5" x14ac:dyDescent="0.25">
      <c r="A230" s="178" t="s">
        <v>780</v>
      </c>
      <c r="B230" s="179" t="s">
        <v>781</v>
      </c>
      <c r="C230" s="206">
        <v>522</v>
      </c>
      <c r="D230" s="204">
        <v>0.05</v>
      </c>
      <c r="E230" s="207">
        <v>6.4</v>
      </c>
    </row>
    <row r="231" spans="1:5" x14ac:dyDescent="0.25">
      <c r="A231" s="178" t="s">
        <v>782</v>
      </c>
      <c r="B231" s="179" t="s">
        <v>783</v>
      </c>
      <c r="C231" s="206">
        <v>525</v>
      </c>
      <c r="D231" s="204">
        <v>0.02</v>
      </c>
      <c r="E231" s="207">
        <v>6.4</v>
      </c>
    </row>
    <row r="232" spans="1:5" x14ac:dyDescent="0.25">
      <c r="A232" s="178" t="s">
        <v>784</v>
      </c>
      <c r="B232" s="179" t="s">
        <v>785</v>
      </c>
      <c r="C232" s="206">
        <v>527</v>
      </c>
      <c r="D232" s="204">
        <v>3.5000000000000003E-2</v>
      </c>
      <c r="E232" s="207">
        <v>6.4</v>
      </c>
    </row>
    <row r="233" spans="1:5" x14ac:dyDescent="0.25">
      <c r="A233" s="178" t="s">
        <v>786</v>
      </c>
      <c r="B233" s="179" t="s">
        <v>787</v>
      </c>
      <c r="C233" s="206">
        <v>528</v>
      </c>
      <c r="D233" s="204">
        <v>0.03</v>
      </c>
      <c r="E233" s="207">
        <v>6.4</v>
      </c>
    </row>
    <row r="234" spans="1:5" x14ac:dyDescent="0.25">
      <c r="A234" s="178" t="s">
        <v>788</v>
      </c>
      <c r="B234" s="179" t="s">
        <v>789</v>
      </c>
      <c r="C234" s="206">
        <v>529</v>
      </c>
      <c r="D234" s="204" t="s">
        <v>271</v>
      </c>
      <c r="E234" s="207">
        <v>6.4</v>
      </c>
    </row>
    <row r="235" spans="1:5" x14ac:dyDescent="0.25">
      <c r="A235" s="178" t="s">
        <v>790</v>
      </c>
      <c r="B235" s="179" t="s">
        <v>791</v>
      </c>
      <c r="C235" s="206">
        <v>534</v>
      </c>
      <c r="D235" s="204">
        <v>0.03</v>
      </c>
      <c r="E235" s="207">
        <v>6.4</v>
      </c>
    </row>
    <row r="236" spans="1:5" x14ac:dyDescent="0.25">
      <c r="A236" s="178" t="s">
        <v>792</v>
      </c>
      <c r="B236" s="179" t="s">
        <v>793</v>
      </c>
      <c r="C236" s="206">
        <v>540</v>
      </c>
      <c r="D236" s="204">
        <v>0.03</v>
      </c>
      <c r="E236" s="207">
        <v>6.4</v>
      </c>
    </row>
    <row r="237" spans="1:5" x14ac:dyDescent="0.25">
      <c r="A237" s="178" t="s">
        <v>794</v>
      </c>
      <c r="B237" s="179" t="s">
        <v>795</v>
      </c>
      <c r="C237" s="206">
        <v>542</v>
      </c>
      <c r="D237" s="204" t="s">
        <v>271</v>
      </c>
      <c r="E237" s="207">
        <v>6.4</v>
      </c>
    </row>
    <row r="238" spans="1:5" x14ac:dyDescent="0.25">
      <c r="A238" s="178" t="s">
        <v>796</v>
      </c>
      <c r="B238" s="179" t="s">
        <v>797</v>
      </c>
      <c r="C238" s="206">
        <v>543</v>
      </c>
      <c r="D238" s="204">
        <v>0.05</v>
      </c>
      <c r="E238" s="207">
        <v>6.4</v>
      </c>
    </row>
    <row r="239" spans="1:5" x14ac:dyDescent="0.25">
      <c r="A239" s="178" t="s">
        <v>798</v>
      </c>
      <c r="B239" s="179" t="s">
        <v>799</v>
      </c>
      <c r="C239" s="206">
        <v>231</v>
      </c>
      <c r="D239" s="204">
        <v>0.05</v>
      </c>
      <c r="E239" s="207">
        <v>6.4</v>
      </c>
    </row>
    <row r="240" spans="1:5" x14ac:dyDescent="0.25">
      <c r="A240" s="178" t="s">
        <v>800</v>
      </c>
      <c r="B240" s="179" t="s">
        <v>801</v>
      </c>
      <c r="C240" s="206">
        <v>549</v>
      </c>
      <c r="D240" s="204">
        <v>0.05</v>
      </c>
      <c r="E240" s="207">
        <v>6.4</v>
      </c>
    </row>
    <row r="241" spans="1:5" x14ac:dyDescent="0.25">
      <c r="A241" s="178" t="s">
        <v>802</v>
      </c>
      <c r="B241" s="179" t="s">
        <v>803</v>
      </c>
      <c r="C241" s="206">
        <v>554</v>
      </c>
      <c r="D241" s="204" t="s">
        <v>271</v>
      </c>
      <c r="E241" s="207">
        <v>6.4</v>
      </c>
    </row>
    <row r="242" spans="1:5" x14ac:dyDescent="0.25">
      <c r="A242" s="178" t="s">
        <v>804</v>
      </c>
      <c r="B242" s="179" t="s">
        <v>805</v>
      </c>
      <c r="C242" s="206">
        <v>555</v>
      </c>
      <c r="D242" s="204">
        <v>0.03</v>
      </c>
      <c r="E242" s="207">
        <v>6.4</v>
      </c>
    </row>
    <row r="243" spans="1:5" x14ac:dyDescent="0.25">
      <c r="A243" s="178" t="s">
        <v>806</v>
      </c>
      <c r="B243" s="179" t="s">
        <v>807</v>
      </c>
      <c r="C243" s="206">
        <v>556</v>
      </c>
      <c r="D243" s="204" t="s">
        <v>271</v>
      </c>
      <c r="E243" s="207">
        <v>6.4</v>
      </c>
    </row>
    <row r="244" spans="1:5" x14ac:dyDescent="0.25">
      <c r="A244" s="178" t="s">
        <v>808</v>
      </c>
      <c r="B244" s="179" t="s">
        <v>809</v>
      </c>
      <c r="C244" s="206">
        <v>557</v>
      </c>
      <c r="D244" s="204" t="s">
        <v>271</v>
      </c>
      <c r="E244" s="207">
        <v>6.4</v>
      </c>
    </row>
    <row r="245" spans="1:5" x14ac:dyDescent="0.25">
      <c r="A245" s="178" t="s">
        <v>810</v>
      </c>
      <c r="B245" s="179" t="s">
        <v>811</v>
      </c>
      <c r="C245" s="206">
        <v>558</v>
      </c>
      <c r="D245" s="204">
        <v>0.03</v>
      </c>
      <c r="E245" s="207">
        <v>6.4</v>
      </c>
    </row>
    <row r="246" spans="1:5" x14ac:dyDescent="0.25">
      <c r="A246" s="178" t="s">
        <v>812</v>
      </c>
      <c r="B246" s="179" t="s">
        <v>813</v>
      </c>
      <c r="C246" s="206">
        <v>559</v>
      </c>
      <c r="D246" s="204" t="s">
        <v>271</v>
      </c>
      <c r="E246" s="207">
        <v>6.4</v>
      </c>
    </row>
    <row r="247" spans="1:5" x14ac:dyDescent="0.25">
      <c r="A247" s="178" t="s">
        <v>814</v>
      </c>
      <c r="B247" s="179" t="s">
        <v>815</v>
      </c>
      <c r="C247" s="206">
        <v>560</v>
      </c>
      <c r="D247" s="204">
        <v>0.05</v>
      </c>
      <c r="E247" s="207">
        <v>6.4</v>
      </c>
    </row>
    <row r="248" spans="1:5" x14ac:dyDescent="0.25">
      <c r="A248" s="178" t="s">
        <v>816</v>
      </c>
      <c r="B248" s="179" t="s">
        <v>817</v>
      </c>
      <c r="C248" s="206">
        <v>567</v>
      </c>
      <c r="D248" s="204">
        <v>0.02</v>
      </c>
      <c r="E248" s="207">
        <v>6.4</v>
      </c>
    </row>
    <row r="249" spans="1:5" x14ac:dyDescent="0.25">
      <c r="A249" s="178" t="s">
        <v>818</v>
      </c>
      <c r="B249" s="179" t="s">
        <v>819</v>
      </c>
      <c r="C249" s="206">
        <v>568</v>
      </c>
      <c r="D249" s="204">
        <v>0.05</v>
      </c>
      <c r="E249" s="207">
        <v>6.4</v>
      </c>
    </row>
    <row r="250" spans="1:5" x14ac:dyDescent="0.25">
      <c r="A250" s="178" t="s">
        <v>820</v>
      </c>
      <c r="B250" s="179" t="s">
        <v>821</v>
      </c>
      <c r="C250" s="206">
        <v>569</v>
      </c>
      <c r="D250" s="204">
        <v>0.03</v>
      </c>
      <c r="E250" s="207">
        <v>6.4</v>
      </c>
    </row>
    <row r="251" spans="1:5" x14ac:dyDescent="0.25">
      <c r="A251" s="178" t="s">
        <v>822</v>
      </c>
      <c r="B251" s="179" t="s">
        <v>823</v>
      </c>
      <c r="C251" s="206">
        <v>570</v>
      </c>
      <c r="D251" s="204">
        <v>0.03</v>
      </c>
      <c r="E251" s="207">
        <v>6.4</v>
      </c>
    </row>
    <row r="252" spans="1:5" x14ac:dyDescent="0.25">
      <c r="A252" s="178" t="s">
        <v>824</v>
      </c>
      <c r="B252" s="179" t="s">
        <v>825</v>
      </c>
      <c r="C252" s="206">
        <v>572</v>
      </c>
      <c r="D252" s="204">
        <v>0.03</v>
      </c>
      <c r="E252" s="207">
        <v>6.4</v>
      </c>
    </row>
    <row r="253" spans="1:5" x14ac:dyDescent="0.25">
      <c r="A253" s="178" t="s">
        <v>826</v>
      </c>
      <c r="B253" s="179" t="s">
        <v>827</v>
      </c>
      <c r="C253" s="206">
        <v>245</v>
      </c>
      <c r="D253" s="204">
        <v>0.05</v>
      </c>
      <c r="E253" s="207">
        <v>6.4</v>
      </c>
    </row>
    <row r="254" spans="1:5" x14ac:dyDescent="0.25">
      <c r="A254" s="178" t="s">
        <v>828</v>
      </c>
      <c r="B254" s="179" t="s">
        <v>829</v>
      </c>
      <c r="C254" s="206">
        <v>582</v>
      </c>
      <c r="D254" s="204">
        <v>0.05</v>
      </c>
      <c r="E254" s="207">
        <v>6.4</v>
      </c>
    </row>
    <row r="255" spans="1:5" x14ac:dyDescent="0.25">
      <c r="A255" s="178" t="s">
        <v>830</v>
      </c>
      <c r="B255" s="179" t="s">
        <v>831</v>
      </c>
      <c r="C255" s="206">
        <v>592</v>
      </c>
      <c r="D255" s="204">
        <v>0.03</v>
      </c>
      <c r="E255" s="207">
        <v>6.4</v>
      </c>
    </row>
    <row r="256" spans="1:5" x14ac:dyDescent="0.25">
      <c r="A256" s="178" t="s">
        <v>832</v>
      </c>
      <c r="B256" s="179" t="s">
        <v>833</v>
      </c>
      <c r="C256" s="206">
        <v>596</v>
      </c>
      <c r="D256" s="204">
        <v>0.03</v>
      </c>
      <c r="E256" s="207">
        <v>6.4</v>
      </c>
    </row>
    <row r="257" spans="1:5" x14ac:dyDescent="0.25">
      <c r="A257" s="178" t="s">
        <v>834</v>
      </c>
      <c r="B257" s="179" t="s">
        <v>835</v>
      </c>
      <c r="C257" s="206">
        <v>598</v>
      </c>
      <c r="D257" s="204">
        <v>0.03</v>
      </c>
      <c r="E257" s="207">
        <v>6.4</v>
      </c>
    </row>
    <row r="258" spans="1:5" x14ac:dyDescent="0.25">
      <c r="A258" s="178" t="s">
        <v>836</v>
      </c>
      <c r="B258" s="179" t="s">
        <v>837</v>
      </c>
      <c r="C258" s="206">
        <v>604</v>
      </c>
      <c r="D258" s="204">
        <v>0.03</v>
      </c>
      <c r="E258" s="207">
        <v>6.4</v>
      </c>
    </row>
    <row r="259" spans="1:5" x14ac:dyDescent="0.25">
      <c r="A259" s="178" t="s">
        <v>838</v>
      </c>
      <c r="B259" s="179" t="s">
        <v>839</v>
      </c>
      <c r="C259" s="206">
        <v>607</v>
      </c>
      <c r="D259" s="204" t="s">
        <v>271</v>
      </c>
      <c r="E259" s="207">
        <v>6.4</v>
      </c>
    </row>
    <row r="260" spans="1:5" x14ac:dyDescent="0.25">
      <c r="A260" s="178" t="s">
        <v>840</v>
      </c>
      <c r="B260" s="179" t="s">
        <v>841</v>
      </c>
      <c r="C260" s="206">
        <v>610</v>
      </c>
      <c r="D260" s="204" t="s">
        <v>271</v>
      </c>
      <c r="E260" s="207">
        <v>6.4</v>
      </c>
    </row>
    <row r="261" spans="1:5" x14ac:dyDescent="0.25">
      <c r="A261" s="178" t="s">
        <v>842</v>
      </c>
      <c r="B261" s="179" t="s">
        <v>843</v>
      </c>
      <c r="C261" s="206">
        <v>611</v>
      </c>
      <c r="D261" s="204">
        <v>0.02</v>
      </c>
      <c r="E261" s="207">
        <v>6.4</v>
      </c>
    </row>
    <row r="262" spans="1:5" x14ac:dyDescent="0.25">
      <c r="A262" s="178" t="s">
        <v>844</v>
      </c>
      <c r="B262" s="179" t="s">
        <v>845</v>
      </c>
      <c r="C262" s="206">
        <v>620</v>
      </c>
      <c r="D262" s="204">
        <v>0.02</v>
      </c>
      <c r="E262" s="207">
        <v>6.4</v>
      </c>
    </row>
    <row r="263" spans="1:5" x14ac:dyDescent="0.25">
      <c r="A263" s="178" t="s">
        <v>846</v>
      </c>
      <c r="B263" s="179" t="s">
        <v>847</v>
      </c>
      <c r="C263" s="206">
        <v>621</v>
      </c>
      <c r="D263" s="204">
        <v>0.02</v>
      </c>
      <c r="E263" s="207">
        <v>6.4</v>
      </c>
    </row>
    <row r="264" spans="1:5" x14ac:dyDescent="0.25">
      <c r="A264" s="178" t="s">
        <v>848</v>
      </c>
      <c r="B264" s="179" t="s">
        <v>849</v>
      </c>
      <c r="C264" s="206">
        <v>624</v>
      </c>
      <c r="D264" s="204">
        <v>0.05</v>
      </c>
      <c r="E264" s="207">
        <v>6.4</v>
      </c>
    </row>
    <row r="265" spans="1:5" x14ac:dyDescent="0.25">
      <c r="A265" s="178" t="s">
        <v>850</v>
      </c>
      <c r="B265" s="179" t="s">
        <v>851</v>
      </c>
      <c r="C265" s="206">
        <v>625</v>
      </c>
      <c r="D265" s="204">
        <v>0.05</v>
      </c>
      <c r="E265" s="207">
        <v>6.4</v>
      </c>
    </row>
    <row r="266" spans="1:5" x14ac:dyDescent="0.25">
      <c r="A266" s="178" t="s">
        <v>852</v>
      </c>
      <c r="B266" s="179" t="s">
        <v>853</v>
      </c>
      <c r="C266" s="206">
        <v>627</v>
      </c>
      <c r="D266" s="204" t="s">
        <v>271</v>
      </c>
      <c r="E266" s="207">
        <v>6.4</v>
      </c>
    </row>
    <row r="267" spans="1:5" x14ac:dyDescent="0.25">
      <c r="A267" s="178" t="s">
        <v>854</v>
      </c>
      <c r="B267" s="179" t="s">
        <v>855</v>
      </c>
      <c r="C267" s="206">
        <v>628</v>
      </c>
      <c r="D267" s="204" t="s">
        <v>271</v>
      </c>
      <c r="E267" s="207">
        <v>6.4</v>
      </c>
    </row>
    <row r="268" spans="1:5" x14ac:dyDescent="0.25">
      <c r="A268" s="178" t="s">
        <v>856</v>
      </c>
      <c r="B268" s="179" t="s">
        <v>857</v>
      </c>
      <c r="C268" s="206">
        <v>629</v>
      </c>
      <c r="D268" s="204">
        <v>0.03</v>
      </c>
      <c r="E268" s="207">
        <v>6.4</v>
      </c>
    </row>
    <row r="269" spans="1:5" x14ac:dyDescent="0.25">
      <c r="A269" s="178" t="s">
        <v>858</v>
      </c>
      <c r="B269" s="179" t="s">
        <v>859</v>
      </c>
      <c r="C269" s="206">
        <v>637</v>
      </c>
      <c r="D269" s="204">
        <v>0.03</v>
      </c>
      <c r="E269" s="207">
        <v>6.4</v>
      </c>
    </row>
    <row r="270" spans="1:5" x14ac:dyDescent="0.25">
      <c r="A270" s="178" t="s">
        <v>860</v>
      </c>
      <c r="B270" s="179" t="s">
        <v>861</v>
      </c>
      <c r="C270" s="206">
        <v>642</v>
      </c>
      <c r="D270" s="204">
        <v>0.03</v>
      </c>
      <c r="E270" s="207">
        <v>6.4</v>
      </c>
    </row>
    <row r="271" spans="1:5" x14ac:dyDescent="0.25">
      <c r="A271" s="178" t="s">
        <v>862</v>
      </c>
      <c r="B271" s="179" t="s">
        <v>863</v>
      </c>
      <c r="C271" s="206">
        <v>643</v>
      </c>
      <c r="D271" s="204" t="s">
        <v>271</v>
      </c>
      <c r="E271" s="207">
        <v>6.4</v>
      </c>
    </row>
    <row r="272" spans="1:5" x14ac:dyDescent="0.25">
      <c r="A272" s="178" t="s">
        <v>864</v>
      </c>
      <c r="B272" s="179" t="s">
        <v>865</v>
      </c>
      <c r="C272" s="206">
        <v>647</v>
      </c>
      <c r="D272" s="204">
        <v>0.03</v>
      </c>
      <c r="E272" s="207">
        <v>6.4</v>
      </c>
    </row>
    <row r="273" spans="1:5" x14ac:dyDescent="0.25">
      <c r="A273" s="178" t="s">
        <v>866</v>
      </c>
      <c r="B273" s="179" t="s">
        <v>867</v>
      </c>
      <c r="C273" s="206">
        <v>657</v>
      </c>
      <c r="D273" s="204" t="s">
        <v>271</v>
      </c>
      <c r="E273" s="207">
        <v>6.4</v>
      </c>
    </row>
    <row r="274" spans="1:5" x14ac:dyDescent="0.25">
      <c r="A274" s="178" t="s">
        <v>868</v>
      </c>
      <c r="B274" s="179" t="s">
        <v>869</v>
      </c>
      <c r="C274" s="206">
        <v>671</v>
      </c>
      <c r="D274" s="204">
        <v>0.03</v>
      </c>
      <c r="E274" s="207">
        <v>6.4</v>
      </c>
    </row>
    <row r="275" spans="1:5" x14ac:dyDescent="0.25">
      <c r="A275" s="178" t="s">
        <v>870</v>
      </c>
      <c r="B275" s="179" t="s">
        <v>871</v>
      </c>
      <c r="C275" s="206">
        <v>672</v>
      </c>
      <c r="D275" s="204">
        <v>0.03</v>
      </c>
      <c r="E275" s="207">
        <v>6.4</v>
      </c>
    </row>
    <row r="276" spans="1:5" x14ac:dyDescent="0.25">
      <c r="A276" s="178" t="s">
        <v>872</v>
      </c>
      <c r="B276" s="179" t="s">
        <v>873</v>
      </c>
      <c r="C276" s="206">
        <v>674</v>
      </c>
      <c r="D276" s="204" t="s">
        <v>271</v>
      </c>
      <c r="E276" s="207">
        <v>6.4</v>
      </c>
    </row>
    <row r="277" spans="1:5" x14ac:dyDescent="0.25">
      <c r="A277" s="178" t="s">
        <v>874</v>
      </c>
      <c r="B277" s="179" t="s">
        <v>875</v>
      </c>
      <c r="C277" s="206">
        <v>680</v>
      </c>
      <c r="D277" s="204">
        <v>0.03</v>
      </c>
      <c r="E277" s="207">
        <v>6.4</v>
      </c>
    </row>
    <row r="278" spans="1:5" x14ac:dyDescent="0.25">
      <c r="A278" s="178" t="s">
        <v>876</v>
      </c>
      <c r="B278" s="179" t="s">
        <v>877</v>
      </c>
      <c r="C278" s="206">
        <v>684</v>
      </c>
      <c r="D278" s="204" t="s">
        <v>271</v>
      </c>
      <c r="E278" s="207">
        <v>6.4</v>
      </c>
    </row>
    <row r="279" spans="1:5" x14ac:dyDescent="0.25">
      <c r="A279" s="178" t="s">
        <v>878</v>
      </c>
      <c r="B279" s="179" t="s">
        <v>879</v>
      </c>
      <c r="C279" s="206">
        <v>685</v>
      </c>
      <c r="D279" s="204" t="s">
        <v>271</v>
      </c>
      <c r="E279" s="207">
        <v>6.4</v>
      </c>
    </row>
    <row r="280" spans="1:5" x14ac:dyDescent="0.25">
      <c r="A280" s="178" t="s">
        <v>880</v>
      </c>
      <c r="B280" s="179" t="s">
        <v>881</v>
      </c>
      <c r="C280" s="206">
        <v>686</v>
      </c>
      <c r="D280" s="204">
        <v>0.03</v>
      </c>
      <c r="E280" s="207">
        <v>6.4</v>
      </c>
    </row>
    <row r="281" spans="1:5" x14ac:dyDescent="0.25">
      <c r="A281" s="178" t="s">
        <v>882</v>
      </c>
      <c r="B281" s="179" t="s">
        <v>883</v>
      </c>
      <c r="C281" s="206">
        <v>687</v>
      </c>
      <c r="D281" s="204">
        <v>0.03</v>
      </c>
      <c r="E281" s="207">
        <v>6.4</v>
      </c>
    </row>
    <row r="282" spans="1:5" x14ac:dyDescent="0.25">
      <c r="A282" s="178" t="s">
        <v>884</v>
      </c>
      <c r="B282" s="179" t="s">
        <v>885</v>
      </c>
      <c r="C282" s="206">
        <v>689</v>
      </c>
      <c r="D282" s="204" t="s">
        <v>271</v>
      </c>
      <c r="E282" s="207">
        <v>6.4</v>
      </c>
    </row>
    <row r="283" spans="1:5" x14ac:dyDescent="0.25">
      <c r="A283" s="178" t="s">
        <v>886</v>
      </c>
      <c r="B283" s="179" t="s">
        <v>887</v>
      </c>
      <c r="C283" s="206">
        <v>692</v>
      </c>
      <c r="D283" s="204">
        <v>0.03</v>
      </c>
      <c r="E283" s="207">
        <v>6.4</v>
      </c>
    </row>
    <row r="284" spans="1:5" x14ac:dyDescent="0.25">
      <c r="A284" s="178" t="s">
        <v>888</v>
      </c>
      <c r="B284" s="179" t="s">
        <v>889</v>
      </c>
      <c r="C284" s="206">
        <v>693</v>
      </c>
      <c r="D284" s="204">
        <v>0.03</v>
      </c>
      <c r="E284" s="207">
        <v>6.4</v>
      </c>
    </row>
    <row r="285" spans="1:5" x14ac:dyDescent="0.25">
      <c r="A285" s="178" t="s">
        <v>890</v>
      </c>
      <c r="B285" s="179" t="s">
        <v>891</v>
      </c>
      <c r="C285" s="206" t="s">
        <v>892</v>
      </c>
      <c r="D285" s="204" t="s">
        <v>271</v>
      </c>
      <c r="E285" s="207">
        <v>6.4</v>
      </c>
    </row>
    <row r="286" spans="1:5" x14ac:dyDescent="0.25">
      <c r="A286" s="178" t="s">
        <v>893</v>
      </c>
      <c r="B286" s="179" t="s">
        <v>894</v>
      </c>
      <c r="C286" s="206">
        <v>694</v>
      </c>
      <c r="D286" s="204">
        <v>2.5000000000000001E-2</v>
      </c>
      <c r="E286" s="207">
        <v>6.4</v>
      </c>
    </row>
    <row r="287" spans="1:5" x14ac:dyDescent="0.25">
      <c r="A287" s="178" t="s">
        <v>895</v>
      </c>
      <c r="B287" s="179" t="s">
        <v>896</v>
      </c>
      <c r="C287" s="206">
        <v>696</v>
      </c>
      <c r="D287" s="204">
        <v>0.02</v>
      </c>
      <c r="E287" s="207">
        <v>6.4</v>
      </c>
    </row>
    <row r="288" spans="1:5" x14ac:dyDescent="0.25">
      <c r="A288" s="178" t="s">
        <v>897</v>
      </c>
      <c r="B288" s="179" t="s">
        <v>898</v>
      </c>
      <c r="C288" s="206">
        <v>697</v>
      </c>
      <c r="D288" s="204">
        <v>0.05</v>
      </c>
      <c r="E288" s="207">
        <v>6.4</v>
      </c>
    </row>
    <row r="289" spans="1:5" x14ac:dyDescent="0.25">
      <c r="A289" s="178" t="s">
        <v>899</v>
      </c>
      <c r="B289" s="179" t="s">
        <v>899</v>
      </c>
      <c r="C289" s="206">
        <v>699</v>
      </c>
      <c r="D289" s="204">
        <v>0.03</v>
      </c>
      <c r="E289" s="207">
        <v>6.4</v>
      </c>
    </row>
    <row r="290" spans="1:5" x14ac:dyDescent="0.25">
      <c r="A290" s="178" t="s">
        <v>900</v>
      </c>
      <c r="B290" s="179" t="s">
        <v>901</v>
      </c>
      <c r="C290" s="206">
        <v>701</v>
      </c>
      <c r="D290" s="204">
        <v>0.03</v>
      </c>
      <c r="E290" s="207">
        <v>6.4</v>
      </c>
    </row>
    <row r="291" spans="1:5" x14ac:dyDescent="0.25">
      <c r="A291" s="178" t="s">
        <v>902</v>
      </c>
      <c r="B291" s="179" t="s">
        <v>903</v>
      </c>
      <c r="C291" s="206">
        <v>702</v>
      </c>
      <c r="D291" s="204">
        <v>0.03</v>
      </c>
      <c r="E291" s="207">
        <v>6.4</v>
      </c>
    </row>
    <row r="292" spans="1:5" x14ac:dyDescent="0.25">
      <c r="A292" s="178" t="s">
        <v>904</v>
      </c>
      <c r="B292" s="179" t="s">
        <v>905</v>
      </c>
      <c r="C292" s="206">
        <v>704</v>
      </c>
      <c r="D292" s="204">
        <v>0.04</v>
      </c>
      <c r="E292" s="207">
        <v>6.4</v>
      </c>
    </row>
    <row r="293" spans="1:5" x14ac:dyDescent="0.25">
      <c r="A293" s="178" t="s">
        <v>906</v>
      </c>
      <c r="B293" s="179" t="s">
        <v>907</v>
      </c>
      <c r="C293" s="206">
        <v>707</v>
      </c>
      <c r="D293" s="204">
        <v>0.03</v>
      </c>
      <c r="E293" s="207">
        <v>6.4</v>
      </c>
    </row>
    <row r="294" spans="1:5" x14ac:dyDescent="0.25">
      <c r="A294" s="178" t="s">
        <v>908</v>
      </c>
      <c r="B294" s="179" t="s">
        <v>909</v>
      </c>
      <c r="C294" s="206">
        <v>708</v>
      </c>
      <c r="D294" s="204">
        <v>0.05</v>
      </c>
      <c r="E294" s="207">
        <v>6.4</v>
      </c>
    </row>
    <row r="295" spans="1:5" x14ac:dyDescent="0.25">
      <c r="A295" s="178" t="s">
        <v>910</v>
      </c>
      <c r="B295" s="179" t="s">
        <v>911</v>
      </c>
      <c r="C295" s="206">
        <v>710</v>
      </c>
      <c r="D295" s="204" t="s">
        <v>271</v>
      </c>
      <c r="E295" s="207">
        <v>6.4</v>
      </c>
    </row>
    <row r="296" spans="1:5" x14ac:dyDescent="0.25">
      <c r="A296" s="178" t="s">
        <v>912</v>
      </c>
      <c r="B296" s="179" t="s">
        <v>913</v>
      </c>
      <c r="C296" s="206">
        <v>290</v>
      </c>
      <c r="D296" s="204">
        <v>0.03</v>
      </c>
      <c r="E296" s="207">
        <v>6.4</v>
      </c>
    </row>
    <row r="297" spans="1:5" x14ac:dyDescent="0.25">
      <c r="A297" s="178" t="s">
        <v>914</v>
      </c>
      <c r="B297" s="179" t="s">
        <v>915</v>
      </c>
      <c r="C297" s="206">
        <v>713</v>
      </c>
      <c r="D297" s="204">
        <v>0.03</v>
      </c>
      <c r="E297" s="207">
        <v>6.4</v>
      </c>
    </row>
    <row r="298" spans="1:5" x14ac:dyDescent="0.25">
      <c r="A298" s="178" t="s">
        <v>916</v>
      </c>
      <c r="B298" s="179" t="s">
        <v>917</v>
      </c>
      <c r="C298" s="206">
        <v>718</v>
      </c>
      <c r="D298" s="204" t="s">
        <v>271</v>
      </c>
      <c r="E298" s="207">
        <v>6.4</v>
      </c>
    </row>
    <row r="299" spans="1:5" x14ac:dyDescent="0.25">
      <c r="A299" s="178" t="s">
        <v>918</v>
      </c>
      <c r="B299" s="179" t="s">
        <v>919</v>
      </c>
      <c r="C299" s="206">
        <v>720</v>
      </c>
      <c r="D299" s="204">
        <v>0.03</v>
      </c>
      <c r="E299" s="207">
        <v>6.4</v>
      </c>
    </row>
  </sheetData>
  <mergeCells count="2">
    <mergeCell ref="V1:X1"/>
    <mergeCell ref="Z1:AB1"/>
  </mergeCells>
  <phoneticPr fontId="9" type="noConversion"/>
  <pageMargins left="0.511811024" right="0.511811024" top="0.78740157499999996" bottom="0.78740157499999996" header="0.31496062000000002" footer="0.31496062000000002"/>
  <pageSetup paperSize="9" orientation="portrait" r:id="rId1"/>
  <tableParts count="8">
    <tablePart r:id="rId2"/>
    <tablePart r:id="rId3"/>
    <tablePart r:id="rId4"/>
    <tablePart r:id="rId5"/>
    <tablePart r:id="rId6"/>
    <tablePart r:id="rId7"/>
    <tablePart r:id="rId8"/>
    <tablePart r:id="rId9"/>
  </tablePart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FEA0B32-0AD8-4C3C-AC41-88A51E4D1BC0}">
  <sheetPr codeName="Planilha3"/>
  <dimension ref="A1:EU87"/>
  <sheetViews>
    <sheetView workbookViewId="0">
      <pane ySplit="6" topLeftCell="A7" activePane="bottomLeft" state="frozen"/>
      <selection pane="bottomLeft" activeCell="G19" sqref="G19"/>
    </sheetView>
  </sheetViews>
  <sheetFormatPr defaultColWidth="9.140625" defaultRowHeight="12.75" x14ac:dyDescent="0.2"/>
  <cols>
    <col min="1" max="1" width="30.7109375" style="142" customWidth="1"/>
    <col min="2" max="2" width="77.42578125" style="142" customWidth="1"/>
    <col min="3" max="3" width="17.28515625" style="142" bestFit="1" customWidth="1"/>
    <col min="4" max="5" width="12.7109375" style="142" customWidth="1"/>
    <col min="6" max="6" width="11.140625" style="142" customWidth="1"/>
    <col min="7" max="7" width="54.140625" style="142" bestFit="1" customWidth="1"/>
    <col min="8" max="8" width="15.42578125" style="142" customWidth="1"/>
    <col min="9" max="10" width="14.28515625" style="142" customWidth="1"/>
    <col min="11" max="11" width="13.140625" style="142" customWidth="1"/>
    <col min="12" max="12" width="52.85546875" style="142" bestFit="1" customWidth="1"/>
    <col min="13" max="13" width="22.5703125" style="144" bestFit="1" customWidth="1"/>
    <col min="14" max="37" width="51.7109375" style="142" bestFit="1" customWidth="1"/>
    <col min="38" max="38" width="22.28515625" style="142" bestFit="1" customWidth="1"/>
    <col min="39" max="39" width="16.5703125" style="142" bestFit="1" customWidth="1"/>
    <col min="40" max="40" width="25.28515625" style="142" bestFit="1" customWidth="1"/>
    <col min="41" max="67" width="20.7109375" style="142" customWidth="1"/>
    <col min="68" max="76" width="20.7109375" style="142" bestFit="1" customWidth="1"/>
    <col min="77" max="91" width="20.7109375" style="142" customWidth="1"/>
    <col min="92" max="94" width="20.7109375" style="142" bestFit="1" customWidth="1"/>
    <col min="95" max="121" width="20.7109375" style="142" customWidth="1"/>
    <col min="122" max="127" width="20.7109375" style="142" bestFit="1" customWidth="1"/>
    <col min="128" max="133" width="20.7109375" style="142" customWidth="1"/>
    <col min="134" max="136" width="20.7109375" style="142" bestFit="1" customWidth="1"/>
    <col min="137" max="145" width="20.7109375" style="142" customWidth="1"/>
    <col min="146" max="148" width="20.7109375" style="142" bestFit="1" customWidth="1"/>
    <col min="149" max="149" width="8.5703125" style="142" customWidth="1"/>
    <col min="150" max="150" width="14.42578125" style="142" bestFit="1" customWidth="1"/>
    <col min="151" max="151" width="12.28515625" style="142" bestFit="1" customWidth="1"/>
    <col min="152" max="16384" width="9.140625" style="142"/>
  </cols>
  <sheetData>
    <row r="1" spans="1:151" x14ac:dyDescent="0.2">
      <c r="A1" s="310"/>
      <c r="B1" s="263" t="s">
        <v>271</v>
      </c>
    </row>
    <row r="2" spans="1:151" x14ac:dyDescent="0.2">
      <c r="A2" s="310" t="s">
        <v>1603</v>
      </c>
    </row>
    <row r="3" spans="1:151" x14ac:dyDescent="0.2">
      <c r="A3" s="143"/>
    </row>
    <row r="4" spans="1:151" x14ac:dyDescent="0.2">
      <c r="A4" s="143"/>
    </row>
    <row r="5" spans="1:151" s="146" customFormat="1" ht="15" x14ac:dyDescent="0.25">
      <c r="A5" s="142"/>
      <c r="B5" s="11"/>
      <c r="C5" s="143"/>
      <c r="D5" s="142"/>
      <c r="E5" s="142"/>
      <c r="F5" s="142"/>
      <c r="G5" s="142"/>
      <c r="H5" s="142"/>
      <c r="I5" s="142"/>
      <c r="J5" s="142"/>
      <c r="L5"/>
      <c r="M5"/>
      <c r="N5" s="279" t="s">
        <v>237</v>
      </c>
      <c r="O5" s="147" t="s">
        <v>920</v>
      </c>
      <c r="P5"/>
      <c r="Q5"/>
      <c r="R5"/>
      <c r="S5"/>
      <c r="T5"/>
      <c r="U5"/>
      <c r="V5"/>
      <c r="W5"/>
      <c r="X5"/>
      <c r="Y5"/>
      <c r="Z5"/>
      <c r="AA5"/>
      <c r="AB5"/>
      <c r="AC5"/>
      <c r="AD5"/>
      <c r="AE5"/>
      <c r="AF5"/>
      <c r="AG5"/>
      <c r="AH5"/>
      <c r="AI5"/>
      <c r="AJ5"/>
      <c r="AK5"/>
      <c r="AL5"/>
      <c r="AM5"/>
      <c r="AN5"/>
      <c r="AO5"/>
      <c r="AP5"/>
      <c r="AQ5"/>
      <c r="AR5"/>
      <c r="AS5"/>
      <c r="AT5"/>
      <c r="AU5"/>
      <c r="AV5"/>
      <c r="AW5"/>
      <c r="AX5"/>
      <c r="AY5"/>
      <c r="AZ5"/>
      <c r="BA5"/>
      <c r="BB5"/>
      <c r="BC5"/>
      <c r="BD5"/>
      <c r="BE5"/>
      <c r="BF5"/>
      <c r="BG5"/>
      <c r="BH5"/>
      <c r="BI5"/>
      <c r="BJ5"/>
      <c r="BK5"/>
      <c r="BL5"/>
      <c r="BM5"/>
      <c r="BN5"/>
      <c r="BO5"/>
      <c r="BP5"/>
      <c r="BQ5"/>
      <c r="BR5"/>
      <c r="BS5"/>
      <c r="BT5"/>
      <c r="BU5"/>
      <c r="BV5"/>
      <c r="BW5"/>
      <c r="BX5"/>
      <c r="BY5"/>
      <c r="BZ5"/>
      <c r="CA5"/>
      <c r="CB5"/>
      <c r="CC5"/>
      <c r="CD5"/>
      <c r="CE5"/>
      <c r="CF5"/>
      <c r="CG5"/>
      <c r="CH5"/>
      <c r="CI5"/>
      <c r="CJ5"/>
      <c r="CK5"/>
      <c r="CL5"/>
      <c r="CM5"/>
      <c r="CN5"/>
      <c r="CO5"/>
      <c r="CP5"/>
      <c r="CQ5"/>
      <c r="CR5"/>
      <c r="CS5"/>
      <c r="CT5"/>
      <c r="CU5"/>
      <c r="CV5"/>
      <c r="CW5"/>
      <c r="CX5"/>
      <c r="CY5"/>
      <c r="CZ5"/>
      <c r="DA5"/>
      <c r="DB5"/>
      <c r="DC5"/>
      <c r="DD5"/>
      <c r="DE5"/>
      <c r="DF5"/>
      <c r="DG5"/>
      <c r="DH5"/>
      <c r="DI5"/>
      <c r="DJ5"/>
      <c r="DK5"/>
      <c r="DL5"/>
      <c r="DM5"/>
      <c r="DN5"/>
      <c r="DO5"/>
      <c r="DP5"/>
      <c r="DQ5"/>
      <c r="DR5"/>
      <c r="DS5"/>
      <c r="DT5"/>
      <c r="DU5"/>
      <c r="DV5"/>
      <c r="DW5"/>
      <c r="DX5"/>
      <c r="DY5"/>
      <c r="DZ5"/>
      <c r="EA5"/>
      <c r="EB5"/>
      <c r="EC5"/>
      <c r="ED5"/>
      <c r="EE5"/>
      <c r="EF5"/>
      <c r="EG5"/>
      <c r="EH5"/>
      <c r="EI5"/>
      <c r="EJ5"/>
      <c r="EK5"/>
      <c r="EL5"/>
      <c r="EM5"/>
      <c r="EN5"/>
      <c r="EO5"/>
      <c r="EP5"/>
      <c r="EQ5"/>
      <c r="ER5"/>
      <c r="ES5"/>
      <c r="ET5"/>
      <c r="EU5"/>
    </row>
    <row r="6" spans="1:151" ht="25.5" x14ac:dyDescent="0.25">
      <c r="A6" s="145" t="s">
        <v>1300</v>
      </c>
      <c r="B6" s="145" t="s">
        <v>237</v>
      </c>
      <c r="C6" s="169" t="s">
        <v>921</v>
      </c>
      <c r="D6" s="145" t="s">
        <v>922</v>
      </c>
      <c r="E6" s="145" t="s">
        <v>923</v>
      </c>
      <c r="F6" s="145" t="s">
        <v>1298</v>
      </c>
      <c r="G6" s="145" t="s">
        <v>234</v>
      </c>
      <c r="H6" s="145" t="s">
        <v>924</v>
      </c>
      <c r="I6" s="145" t="s">
        <v>925</v>
      </c>
      <c r="J6" s="145" t="s">
        <v>926</v>
      </c>
      <c r="K6" s="145" t="s">
        <v>927</v>
      </c>
      <c r="L6"/>
      <c r="M6"/>
      <c r="N6" t="s">
        <v>935</v>
      </c>
      <c r="O6" t="s">
        <v>935</v>
      </c>
      <c r="P6" t="s">
        <v>935</v>
      </c>
      <c r="Q6" t="s">
        <v>937</v>
      </c>
      <c r="R6" t="s">
        <v>937</v>
      </c>
      <c r="S6" t="s">
        <v>937</v>
      </c>
      <c r="T6" t="s">
        <v>938</v>
      </c>
      <c r="U6" t="s">
        <v>938</v>
      </c>
      <c r="V6" t="s">
        <v>938</v>
      </c>
      <c r="W6" t="s">
        <v>1295</v>
      </c>
      <c r="X6" t="s">
        <v>1295</v>
      </c>
      <c r="Y6" t="s">
        <v>1295</v>
      </c>
      <c r="Z6" t="s">
        <v>1296</v>
      </c>
      <c r="AA6" t="s">
        <v>1296</v>
      </c>
      <c r="AB6" t="s">
        <v>1296</v>
      </c>
      <c r="AC6" t="s">
        <v>1293</v>
      </c>
      <c r="AD6" t="s">
        <v>1293</v>
      </c>
      <c r="AE6" t="s">
        <v>1293</v>
      </c>
      <c r="AF6" t="s">
        <v>1294</v>
      </c>
      <c r="AG6" t="s">
        <v>1294</v>
      </c>
      <c r="AH6" t="s">
        <v>1294</v>
      </c>
      <c r="AI6" t="s">
        <v>1297</v>
      </c>
      <c r="AJ6" t="s">
        <v>1297</v>
      </c>
      <c r="AK6" t="s">
        <v>1297</v>
      </c>
      <c r="AL6" t="s">
        <v>1201</v>
      </c>
      <c r="AM6" t="s">
        <v>933</v>
      </c>
      <c r="AN6" t="s">
        <v>934</v>
      </c>
      <c r="AO6"/>
      <c r="AP6"/>
      <c r="AQ6"/>
      <c r="AR6"/>
      <c r="AS6"/>
      <c r="AT6"/>
      <c r="AU6"/>
      <c r="AV6"/>
      <c r="AW6"/>
      <c r="AX6"/>
      <c r="AY6"/>
      <c r="AZ6"/>
      <c r="BA6"/>
      <c r="BB6"/>
      <c r="BC6"/>
      <c r="BD6"/>
      <c r="BE6"/>
      <c r="BF6"/>
      <c r="BG6"/>
      <c r="BH6"/>
      <c r="BI6"/>
      <c r="BJ6"/>
      <c r="BK6"/>
      <c r="BL6"/>
      <c r="BM6"/>
      <c r="BN6"/>
      <c r="BO6"/>
      <c r="BP6"/>
      <c r="BQ6"/>
      <c r="BR6"/>
      <c r="BS6"/>
      <c r="BT6"/>
      <c r="BU6"/>
      <c r="BV6"/>
      <c r="BW6"/>
      <c r="BX6"/>
      <c r="BY6"/>
      <c r="BZ6"/>
      <c r="CA6"/>
      <c r="CB6"/>
      <c r="CC6"/>
      <c r="CD6"/>
      <c r="CE6"/>
      <c r="CF6"/>
      <c r="CG6"/>
      <c r="CH6"/>
      <c r="CI6"/>
      <c r="CJ6"/>
      <c r="CK6"/>
      <c r="CL6"/>
      <c r="CM6"/>
      <c r="CN6"/>
      <c r="CO6"/>
      <c r="CP6"/>
      <c r="CQ6"/>
      <c r="CR6"/>
      <c r="CS6"/>
      <c r="CT6"/>
      <c r="CU6"/>
      <c r="CV6"/>
      <c r="CW6"/>
      <c r="CX6"/>
      <c r="CY6"/>
      <c r="CZ6"/>
      <c r="DA6"/>
      <c r="DB6"/>
      <c r="DC6"/>
      <c r="DD6"/>
      <c r="DE6"/>
      <c r="DF6"/>
      <c r="DG6"/>
      <c r="DH6"/>
      <c r="DI6"/>
      <c r="DJ6"/>
      <c r="DK6"/>
      <c r="DL6"/>
      <c r="DM6"/>
      <c r="DN6"/>
      <c r="DO6"/>
      <c r="DP6"/>
      <c r="DQ6"/>
      <c r="DR6"/>
      <c r="DS6"/>
      <c r="DT6"/>
      <c r="DU6"/>
      <c r="DV6"/>
      <c r="DW6"/>
      <c r="DX6"/>
      <c r="DY6"/>
      <c r="DZ6"/>
      <c r="EA6"/>
      <c r="EB6"/>
      <c r="EC6"/>
      <c r="ED6"/>
      <c r="EE6"/>
      <c r="EF6"/>
      <c r="EG6"/>
      <c r="EH6"/>
      <c r="EI6"/>
      <c r="EJ6"/>
      <c r="EK6"/>
      <c r="EL6"/>
      <c r="EM6"/>
      <c r="EN6"/>
      <c r="EO6"/>
      <c r="EP6"/>
      <c r="EQ6"/>
      <c r="ER6"/>
      <c r="ES6"/>
      <c r="ET6"/>
      <c r="EU6"/>
    </row>
    <row r="7" spans="1:151" ht="15" x14ac:dyDescent="0.25">
      <c r="A7" s="170" t="s">
        <v>928</v>
      </c>
      <c r="B7" s="171" t="s">
        <v>935</v>
      </c>
      <c r="C7" s="173"/>
      <c r="D7" s="309">
        <v>60.93</v>
      </c>
      <c r="E7" s="172" cm="1">
        <f t="array" ref="E7">tabUniformes[[#This Row],[Valor Inicial]]*IFERROR(PRODUCT(1+_xlfn._xlws.FILTER(tabIndices[PERCENTUAL],tabIndices[DATA DA PUBLICAÇÃO]&gt;tabUniformes[[#This Row],[DATA PUBLICAÇÃO]])),1)</f>
        <v>60.93</v>
      </c>
      <c r="F7" s="174">
        <v>2</v>
      </c>
      <c r="G7" s="174" t="s">
        <v>1241</v>
      </c>
      <c r="H7" s="174">
        <v>77</v>
      </c>
      <c r="I7" s="175">
        <f>tabUniformes[[#This Row],[Valor Reajustado]]*tabUniformes[[#This Row],[Qtde Anual de Peças]]*tabUniformes[[#This Row],[Qtde. funcionários]]</f>
        <v>9383.2199999999993</v>
      </c>
      <c r="J7" s="174">
        <f>tabUniformes[[#This Row],[Qtde Anual de Peças]]*tabUniformes[[#This Row],[Qtde. funcionários]]</f>
        <v>154</v>
      </c>
      <c r="K7" s="172">
        <f>IFERROR(tabUniformes[[#This Row],[Total]]/12/tabUniformes[[#This Row],[Qtde. funcionários]],0)</f>
        <v>10.154999999999999</v>
      </c>
      <c r="L7" s="182" t="s">
        <v>234</v>
      </c>
      <c r="M7" s="183" t="s">
        <v>924</v>
      </c>
      <c r="N7" t="s">
        <v>1202</v>
      </c>
      <c r="O7" t="s">
        <v>939</v>
      </c>
      <c r="P7" t="s">
        <v>940</v>
      </c>
      <c r="Q7" t="s">
        <v>1202</v>
      </c>
      <c r="R7" t="s">
        <v>939</v>
      </c>
      <c r="S7" t="s">
        <v>940</v>
      </c>
      <c r="T7" t="s">
        <v>1202</v>
      </c>
      <c r="U7" t="s">
        <v>939</v>
      </c>
      <c r="V7" t="s">
        <v>940</v>
      </c>
      <c r="W7" t="s">
        <v>1202</v>
      </c>
      <c r="X7" t="s">
        <v>939</v>
      </c>
      <c r="Y7" t="s">
        <v>940</v>
      </c>
      <c r="Z7" t="s">
        <v>1202</v>
      </c>
      <c r="AA7" t="s">
        <v>939</v>
      </c>
      <c r="AB7" t="s">
        <v>940</v>
      </c>
      <c r="AC7" t="s">
        <v>1202</v>
      </c>
      <c r="AD7" t="s">
        <v>939</v>
      </c>
      <c r="AE7" t="s">
        <v>940</v>
      </c>
      <c r="AF7" t="s">
        <v>1202</v>
      </c>
      <c r="AG7" t="s">
        <v>939</v>
      </c>
      <c r="AH7" t="s">
        <v>940</v>
      </c>
      <c r="AI7" t="s">
        <v>1202</v>
      </c>
      <c r="AJ7" t="s">
        <v>939</v>
      </c>
      <c r="AK7" t="s">
        <v>940</v>
      </c>
      <c r="AL7"/>
      <c r="AM7"/>
      <c r="AN7"/>
      <c r="AO7"/>
      <c r="AP7"/>
      <c r="AQ7"/>
      <c r="AR7"/>
      <c r="AS7"/>
      <c r="AT7"/>
      <c r="AU7"/>
      <c r="AV7"/>
      <c r="AW7"/>
      <c r="AX7"/>
      <c r="AY7"/>
      <c r="AZ7"/>
      <c r="BA7"/>
      <c r="BB7"/>
      <c r="BC7"/>
      <c r="BD7"/>
      <c r="BE7"/>
      <c r="BF7"/>
      <c r="BG7"/>
      <c r="BH7"/>
      <c r="BI7"/>
      <c r="BJ7"/>
      <c r="BK7"/>
      <c r="BL7"/>
      <c r="BM7"/>
      <c r="BN7"/>
      <c r="BO7"/>
      <c r="BP7"/>
      <c r="BQ7"/>
      <c r="BR7"/>
      <c r="BS7"/>
      <c r="BT7"/>
      <c r="BU7"/>
      <c r="BV7"/>
      <c r="BW7"/>
      <c r="BX7"/>
      <c r="BY7"/>
      <c r="BZ7"/>
      <c r="CA7"/>
      <c r="CB7"/>
      <c r="CC7"/>
      <c r="CD7"/>
      <c r="CE7"/>
      <c r="CF7"/>
      <c r="CG7"/>
      <c r="CH7"/>
      <c r="CI7"/>
      <c r="CJ7"/>
      <c r="CK7"/>
      <c r="CL7"/>
      <c r="CM7"/>
      <c r="CN7"/>
      <c r="CO7"/>
      <c r="CP7"/>
      <c r="CQ7"/>
      <c r="CR7"/>
      <c r="CS7"/>
      <c r="CT7"/>
      <c r="CU7"/>
      <c r="CV7"/>
      <c r="CW7"/>
      <c r="CX7"/>
      <c r="CY7"/>
      <c r="CZ7"/>
      <c r="DA7"/>
      <c r="DB7"/>
      <c r="DC7"/>
      <c r="DD7"/>
      <c r="DE7"/>
      <c r="DF7"/>
      <c r="DG7"/>
      <c r="DH7"/>
      <c r="DI7"/>
      <c r="DJ7"/>
      <c r="DK7"/>
      <c r="DL7"/>
      <c r="DM7"/>
      <c r="DN7"/>
      <c r="DO7"/>
      <c r="DP7"/>
      <c r="DQ7"/>
      <c r="DR7"/>
      <c r="DS7"/>
      <c r="DT7"/>
      <c r="DU7"/>
      <c r="DV7"/>
      <c r="DW7"/>
      <c r="DX7"/>
      <c r="DY7"/>
      <c r="DZ7"/>
      <c r="EA7"/>
      <c r="EB7"/>
      <c r="EC7"/>
      <c r="ED7"/>
      <c r="EE7"/>
      <c r="EF7"/>
      <c r="EG7"/>
      <c r="EH7"/>
      <c r="EI7"/>
      <c r="EJ7"/>
      <c r="EK7"/>
      <c r="EL7"/>
      <c r="EM7"/>
      <c r="EN7"/>
      <c r="EO7"/>
      <c r="EP7"/>
      <c r="EQ7"/>
      <c r="ER7"/>
      <c r="ES7"/>
      <c r="ET7"/>
      <c r="EU7"/>
    </row>
    <row r="8" spans="1:151" ht="15" x14ac:dyDescent="0.25">
      <c r="A8" s="170" t="s">
        <v>929</v>
      </c>
      <c r="B8" s="171" t="s">
        <v>937</v>
      </c>
      <c r="C8" s="173"/>
      <c r="D8" s="309">
        <v>40.85</v>
      </c>
      <c r="E8" s="172" cm="1">
        <f t="array" ref="E8">tabUniformes[[#This Row],[Valor Inicial]]*IFERROR(PRODUCT(1+_xlfn._xlws.FILTER(tabIndices[PERCENTUAL],tabIndices[DATA DA PUBLICAÇÃO]&gt;tabUniformes[[#This Row],[DATA PUBLICAÇÃO]])),1)</f>
        <v>40.85</v>
      </c>
      <c r="F8" s="174">
        <v>4</v>
      </c>
      <c r="G8" s="174" t="s">
        <v>1241</v>
      </c>
      <c r="H8" s="174">
        <v>77</v>
      </c>
      <c r="I8" s="175">
        <f>tabUniformes[[#This Row],[Valor Reajustado]]*tabUniformes[[#This Row],[Qtde Anual de Peças]]*tabUniformes[[#This Row],[Qtde. funcionários]]</f>
        <v>12581.800000000001</v>
      </c>
      <c r="J8" s="174">
        <f>tabUniformes[[#This Row],[Qtde Anual de Peças]]*tabUniformes[[#This Row],[Qtde. funcionários]]</f>
        <v>308</v>
      </c>
      <c r="K8" s="172">
        <f>IFERROR(tabUniformes[[#This Row],[Total]]/12/tabUniformes[[#This Row],[Qtde. funcionários]],0)</f>
        <v>13.616666666666667</v>
      </c>
      <c r="L8" t="s">
        <v>1241</v>
      </c>
      <c r="M8">
        <v>77</v>
      </c>
      <c r="N8" s="20">
        <v>154</v>
      </c>
      <c r="O8" s="25">
        <v>9383.2199999999993</v>
      </c>
      <c r="P8" s="25">
        <v>10.154999999999999</v>
      </c>
      <c r="Q8" s="20">
        <v>308</v>
      </c>
      <c r="R8" s="25">
        <v>12581.800000000001</v>
      </c>
      <c r="S8" s="25">
        <v>13.616666666666667</v>
      </c>
      <c r="T8" s="20">
        <v>77</v>
      </c>
      <c r="U8" s="25">
        <v>7325.0099999999993</v>
      </c>
      <c r="V8" s="25">
        <v>7.9274999999999984</v>
      </c>
      <c r="W8" s="20">
        <v>77</v>
      </c>
      <c r="X8" s="25">
        <v>3849.23</v>
      </c>
      <c r="Y8" s="25">
        <v>4.1658333333333335</v>
      </c>
      <c r="Z8" s="20">
        <v>154</v>
      </c>
      <c r="AA8" s="25">
        <v>14748.58</v>
      </c>
      <c r="AB8" s="25">
        <v>15.961666666666668</v>
      </c>
      <c r="AC8" s="20">
        <v>1848</v>
      </c>
      <c r="AD8" s="25">
        <v>10145.519999999999</v>
      </c>
      <c r="AE8" s="25">
        <v>10.979999999999999</v>
      </c>
      <c r="AF8" s="20"/>
      <c r="AG8" s="25"/>
      <c r="AH8" s="25"/>
      <c r="AI8" s="20"/>
      <c r="AJ8" s="25"/>
      <c r="AK8" s="25"/>
      <c r="AL8" s="20">
        <v>2618</v>
      </c>
      <c r="AM8" s="25">
        <v>58033.36</v>
      </c>
      <c r="AN8" s="25">
        <v>62.806666666666665</v>
      </c>
      <c r="AO8"/>
      <c r="AP8"/>
      <c r="AQ8"/>
      <c r="AR8"/>
      <c r="AS8"/>
      <c r="AT8"/>
      <c r="AU8"/>
      <c r="AV8"/>
      <c r="AW8"/>
      <c r="AX8"/>
      <c r="AY8"/>
      <c r="AZ8"/>
      <c r="BA8"/>
      <c r="BB8"/>
      <c r="BC8"/>
      <c r="BD8"/>
      <c r="BE8"/>
      <c r="BF8"/>
      <c r="BG8"/>
      <c r="BH8"/>
      <c r="BI8"/>
      <c r="BJ8"/>
      <c r="BK8"/>
      <c r="BL8"/>
      <c r="BM8"/>
      <c r="BN8"/>
      <c r="BO8"/>
      <c r="BP8"/>
      <c r="BQ8"/>
      <c r="BR8"/>
      <c r="BS8"/>
      <c r="BT8"/>
      <c r="BU8"/>
      <c r="BV8"/>
      <c r="BW8"/>
      <c r="BX8"/>
      <c r="BY8"/>
      <c r="BZ8"/>
      <c r="CA8"/>
      <c r="CB8"/>
      <c r="CC8"/>
      <c r="CD8"/>
      <c r="CE8"/>
      <c r="CF8"/>
      <c r="CG8"/>
      <c r="CH8"/>
      <c r="CI8"/>
      <c r="CJ8"/>
      <c r="CK8"/>
      <c r="CL8"/>
      <c r="CM8"/>
      <c r="CN8"/>
      <c r="CO8"/>
      <c r="CP8"/>
      <c r="CQ8"/>
      <c r="CR8"/>
      <c r="CS8"/>
      <c r="CT8"/>
      <c r="CU8"/>
      <c r="CV8"/>
      <c r="CW8"/>
      <c r="CX8"/>
      <c r="CY8"/>
      <c r="CZ8"/>
      <c r="DA8"/>
      <c r="DB8"/>
      <c r="DC8"/>
      <c r="DD8"/>
      <c r="DE8"/>
      <c r="DF8"/>
      <c r="DG8"/>
      <c r="DH8"/>
      <c r="DI8"/>
      <c r="DJ8"/>
      <c r="DK8"/>
      <c r="DL8"/>
      <c r="DM8"/>
      <c r="DN8"/>
      <c r="DO8"/>
      <c r="DP8"/>
      <c r="DQ8"/>
      <c r="DR8"/>
      <c r="DS8"/>
      <c r="DT8"/>
      <c r="DU8"/>
      <c r="DV8"/>
      <c r="DW8"/>
      <c r="DX8"/>
      <c r="DY8"/>
      <c r="DZ8"/>
      <c r="EA8"/>
      <c r="EB8"/>
      <c r="EC8"/>
      <c r="ED8"/>
      <c r="EE8"/>
      <c r="EF8"/>
      <c r="EG8"/>
      <c r="EH8"/>
      <c r="EI8"/>
      <c r="EJ8"/>
      <c r="EK8"/>
      <c r="EL8"/>
      <c r="EM8"/>
      <c r="EN8"/>
      <c r="EO8"/>
      <c r="EP8"/>
      <c r="EQ8"/>
      <c r="ER8"/>
      <c r="ES8"/>
      <c r="ET8"/>
      <c r="EU8"/>
    </row>
    <row r="9" spans="1:151" ht="15" customHeight="1" x14ac:dyDescent="0.25">
      <c r="A9" s="170" t="s">
        <v>930</v>
      </c>
      <c r="B9" s="171" t="s">
        <v>938</v>
      </c>
      <c r="C9" s="173"/>
      <c r="D9" s="309">
        <v>95.13</v>
      </c>
      <c r="E9" s="172" cm="1">
        <f t="array" ref="E9">tabUniformes[[#This Row],[Valor Inicial]]*IFERROR(PRODUCT(1+_xlfn._xlws.FILTER(tabIndices[PERCENTUAL],tabIndices[DATA DA PUBLICAÇÃO]&gt;tabUniformes[[#This Row],[DATA PUBLICAÇÃO]])),1)</f>
        <v>95.13</v>
      </c>
      <c r="F9" s="174">
        <v>1</v>
      </c>
      <c r="G9" s="174" t="s">
        <v>1241</v>
      </c>
      <c r="H9" s="174">
        <v>77</v>
      </c>
      <c r="I9" s="175">
        <f>tabUniformes[[#This Row],[Valor Reajustado]]*tabUniformes[[#This Row],[Qtde Anual de Peças]]*tabUniformes[[#This Row],[Qtde. funcionários]]</f>
        <v>7325.0099999999993</v>
      </c>
      <c r="J9" s="174">
        <f>tabUniformes[[#This Row],[Qtde Anual de Peças]]*tabUniformes[[#This Row],[Qtde. funcionários]]</f>
        <v>77</v>
      </c>
      <c r="K9" s="172">
        <f>IFERROR(tabUniformes[[#This Row],[Total]]/12/tabUniformes[[#This Row],[Qtde. funcionários]],0)</f>
        <v>7.9274999999999984</v>
      </c>
      <c r="L9" t="s">
        <v>1269</v>
      </c>
      <c r="M9">
        <v>2</v>
      </c>
      <c r="N9" s="20">
        <v>8</v>
      </c>
      <c r="O9" s="25">
        <v>487.44</v>
      </c>
      <c r="P9" s="25">
        <v>20.309999999999999</v>
      </c>
      <c r="Q9" s="20">
        <v>16</v>
      </c>
      <c r="R9" s="25">
        <v>653.6</v>
      </c>
      <c r="S9" s="25">
        <v>27.233333333333334</v>
      </c>
      <c r="T9" s="20">
        <v>2</v>
      </c>
      <c r="U9" s="25">
        <v>190.26</v>
      </c>
      <c r="V9" s="25">
        <v>7.9274999999999993</v>
      </c>
      <c r="W9" s="20">
        <v>4</v>
      </c>
      <c r="X9" s="25">
        <v>199.96</v>
      </c>
      <c r="Y9" s="25">
        <v>8.331666666666667</v>
      </c>
      <c r="Z9" s="20">
        <v>4</v>
      </c>
      <c r="AA9" s="25">
        <v>383.08</v>
      </c>
      <c r="AB9" s="25">
        <v>15.961666666666666</v>
      </c>
      <c r="AC9" s="20">
        <v>92</v>
      </c>
      <c r="AD9" s="25">
        <v>505.08000000000004</v>
      </c>
      <c r="AE9" s="25">
        <v>21.045000000000002</v>
      </c>
      <c r="AF9" s="20"/>
      <c r="AG9" s="25"/>
      <c r="AH9" s="25"/>
      <c r="AI9" s="20"/>
      <c r="AJ9" s="25"/>
      <c r="AK9" s="25"/>
      <c r="AL9" s="20">
        <v>126</v>
      </c>
      <c r="AM9" s="25">
        <v>2419.42</v>
      </c>
      <c r="AN9" s="25">
        <v>100.80916666666668</v>
      </c>
      <c r="AO9"/>
      <c r="AP9"/>
      <c r="AQ9"/>
      <c r="AR9"/>
      <c r="AS9"/>
      <c r="AT9"/>
      <c r="AU9"/>
      <c r="AV9"/>
      <c r="AW9"/>
      <c r="AX9"/>
      <c r="AY9"/>
      <c r="AZ9"/>
      <c r="BA9"/>
      <c r="BB9"/>
      <c r="BC9"/>
      <c r="BD9"/>
      <c r="BE9"/>
      <c r="BF9"/>
      <c r="BG9"/>
      <c r="BH9"/>
      <c r="BI9"/>
      <c r="BJ9"/>
      <c r="BK9"/>
      <c r="BL9"/>
      <c r="BM9"/>
      <c r="BN9"/>
      <c r="BO9"/>
      <c r="BP9"/>
      <c r="BQ9"/>
      <c r="BR9"/>
      <c r="BS9"/>
      <c r="BT9"/>
      <c r="BU9"/>
      <c r="BV9"/>
      <c r="BW9"/>
      <c r="BX9"/>
      <c r="BY9"/>
      <c r="BZ9"/>
      <c r="CA9"/>
      <c r="CB9"/>
      <c r="CC9"/>
      <c r="CD9"/>
      <c r="CE9"/>
      <c r="CF9"/>
      <c r="CG9"/>
      <c r="CH9"/>
      <c r="CI9"/>
      <c r="CJ9"/>
      <c r="CK9"/>
      <c r="CL9"/>
      <c r="CM9"/>
      <c r="CN9"/>
      <c r="CO9"/>
      <c r="CP9"/>
      <c r="CQ9"/>
      <c r="CR9"/>
      <c r="CS9"/>
      <c r="CT9"/>
      <c r="CU9"/>
      <c r="CV9"/>
      <c r="CW9"/>
      <c r="CX9"/>
      <c r="CY9"/>
      <c r="CZ9"/>
      <c r="DA9"/>
      <c r="DB9"/>
      <c r="DC9"/>
      <c r="DD9"/>
      <c r="DE9"/>
      <c r="DF9"/>
      <c r="DG9"/>
      <c r="DH9"/>
      <c r="DI9"/>
      <c r="DJ9"/>
      <c r="DK9"/>
      <c r="DL9"/>
      <c r="DM9"/>
      <c r="DN9"/>
      <c r="DO9"/>
      <c r="DP9"/>
      <c r="DQ9"/>
      <c r="DR9"/>
      <c r="DS9"/>
      <c r="DT9"/>
      <c r="DU9"/>
      <c r="DV9"/>
      <c r="DW9"/>
      <c r="DX9"/>
      <c r="DY9"/>
      <c r="DZ9"/>
      <c r="EA9"/>
      <c r="EB9"/>
      <c r="EC9"/>
      <c r="ED9"/>
      <c r="EE9"/>
      <c r="EF9"/>
      <c r="EG9"/>
      <c r="EH9"/>
      <c r="EI9"/>
      <c r="EJ9"/>
      <c r="EK9"/>
      <c r="EL9"/>
      <c r="EM9"/>
      <c r="EN9"/>
      <c r="EO9"/>
      <c r="EP9"/>
      <c r="EQ9"/>
      <c r="ER9"/>
      <c r="ES9"/>
      <c r="ET9"/>
      <c r="EU9"/>
    </row>
    <row r="10" spans="1:151" ht="15" x14ac:dyDescent="0.25">
      <c r="A10" s="170" t="s">
        <v>931</v>
      </c>
      <c r="B10" s="171" t="s">
        <v>1295</v>
      </c>
      <c r="C10" s="173"/>
      <c r="D10" s="309">
        <v>49.99</v>
      </c>
      <c r="E10" s="172" cm="1">
        <f t="array" ref="E10">tabUniformes[[#This Row],[Valor Inicial]]*IFERROR(PRODUCT(1+_xlfn._xlws.FILTER(tabIndices[PERCENTUAL],tabIndices[DATA DA PUBLICAÇÃO]&gt;tabUniformes[[#This Row],[DATA PUBLICAÇÃO]])),1)</f>
        <v>49.99</v>
      </c>
      <c r="F10" s="174">
        <v>1</v>
      </c>
      <c r="G10" s="174" t="s">
        <v>1241</v>
      </c>
      <c r="H10" s="174">
        <v>77</v>
      </c>
      <c r="I10" s="175">
        <f>tabUniformes[[#This Row],[Valor Reajustado]]*tabUniformes[[#This Row],[Qtde Anual de Peças]]*tabUniformes[[#This Row],[Qtde. funcionários]]</f>
        <v>3849.23</v>
      </c>
      <c r="J10" s="174">
        <f>tabUniformes[[#This Row],[Qtde Anual de Peças]]*tabUniformes[[#This Row],[Qtde. funcionários]]</f>
        <v>77</v>
      </c>
      <c r="K10" s="172">
        <f>IFERROR(tabUniformes[[#This Row],[Total]]/12/tabUniformes[[#This Row],[Qtde. funcionários]],0)</f>
        <v>4.1658333333333335</v>
      </c>
      <c r="L10" t="s">
        <v>1276</v>
      </c>
      <c r="M10">
        <v>2</v>
      </c>
      <c r="N10" s="20">
        <v>8</v>
      </c>
      <c r="O10" s="25">
        <v>487.44</v>
      </c>
      <c r="P10" s="25">
        <v>20.309999999999999</v>
      </c>
      <c r="Q10" s="20">
        <v>16</v>
      </c>
      <c r="R10" s="25">
        <v>653.6</v>
      </c>
      <c r="S10" s="25">
        <v>27.233333333333334</v>
      </c>
      <c r="T10" s="20">
        <v>2</v>
      </c>
      <c r="U10" s="25">
        <v>190.26</v>
      </c>
      <c r="V10" s="25">
        <v>7.9274999999999993</v>
      </c>
      <c r="W10" s="20">
        <v>4</v>
      </c>
      <c r="X10" s="25">
        <v>199.96</v>
      </c>
      <c r="Y10" s="25">
        <v>8.331666666666667</v>
      </c>
      <c r="Z10" s="20">
        <v>4</v>
      </c>
      <c r="AA10" s="25">
        <v>383.08</v>
      </c>
      <c r="AB10" s="25">
        <v>15.961666666666666</v>
      </c>
      <c r="AC10" s="20">
        <v>92</v>
      </c>
      <c r="AD10" s="25">
        <v>505.08000000000004</v>
      </c>
      <c r="AE10" s="25">
        <v>21.045000000000002</v>
      </c>
      <c r="AF10" s="20"/>
      <c r="AG10" s="25"/>
      <c r="AH10" s="25"/>
      <c r="AI10" s="20"/>
      <c r="AJ10" s="25"/>
      <c r="AK10" s="25"/>
      <c r="AL10" s="20">
        <v>126</v>
      </c>
      <c r="AM10" s="25">
        <v>2419.42</v>
      </c>
      <c r="AN10" s="25">
        <v>100.80916666666668</v>
      </c>
      <c r="AO10"/>
      <c r="AP10"/>
      <c r="AQ10"/>
      <c r="AR10"/>
      <c r="AS10"/>
      <c r="AT10"/>
      <c r="AU10"/>
      <c r="AV10"/>
      <c r="AW10"/>
      <c r="AX10"/>
      <c r="AY10"/>
      <c r="AZ10"/>
      <c r="BA10"/>
      <c r="BB10"/>
      <c r="BC10"/>
      <c r="BD10"/>
      <c r="BE10"/>
      <c r="BF10"/>
      <c r="BG10"/>
      <c r="BH10"/>
      <c r="BI10"/>
      <c r="BJ10"/>
      <c r="BK10"/>
      <c r="BL10"/>
      <c r="BM10"/>
      <c r="BN10"/>
      <c r="BO10"/>
      <c r="BP10"/>
      <c r="BQ10"/>
      <c r="BR10"/>
      <c r="BS10"/>
      <c r="BT10"/>
      <c r="BU10"/>
      <c r="BV10"/>
      <c r="BW10"/>
      <c r="BX10"/>
      <c r="BY10"/>
      <c r="BZ10"/>
      <c r="CA10"/>
      <c r="CB10"/>
      <c r="CC10"/>
      <c r="CD10"/>
      <c r="CE10"/>
      <c r="CF10"/>
      <c r="CG10"/>
      <c r="CH10"/>
      <c r="CI10"/>
      <c r="CJ10"/>
      <c r="CK10"/>
      <c r="CL10"/>
      <c r="CM10"/>
      <c r="CN10"/>
      <c r="CO10"/>
      <c r="CP10"/>
      <c r="CQ10"/>
      <c r="CR10"/>
      <c r="CS10"/>
      <c r="CT10"/>
      <c r="CU10"/>
      <c r="CV10"/>
      <c r="CW10"/>
      <c r="CX10"/>
      <c r="CY10"/>
      <c r="CZ10"/>
      <c r="DA10"/>
      <c r="DB10"/>
      <c r="DC10"/>
      <c r="DD10"/>
      <c r="DE10"/>
      <c r="DF10"/>
      <c r="DG10"/>
      <c r="DH10"/>
      <c r="DI10"/>
      <c r="DJ10"/>
      <c r="DK10"/>
      <c r="DL10"/>
      <c r="DM10"/>
      <c r="DN10"/>
      <c r="DO10"/>
      <c r="DP10"/>
      <c r="DQ10"/>
      <c r="DR10"/>
      <c r="DS10"/>
      <c r="DT10"/>
      <c r="DU10"/>
      <c r="DV10"/>
      <c r="DW10"/>
      <c r="DX10"/>
      <c r="DY10"/>
      <c r="DZ10"/>
      <c r="EA10"/>
      <c r="EB10"/>
      <c r="EC10"/>
      <c r="ED10"/>
      <c r="EE10"/>
      <c r="EF10"/>
      <c r="EG10"/>
      <c r="EH10"/>
      <c r="EI10"/>
      <c r="EJ10"/>
      <c r="EK10"/>
      <c r="EL10"/>
      <c r="EM10"/>
      <c r="EN10"/>
      <c r="EO10"/>
      <c r="EP10"/>
      <c r="EQ10"/>
      <c r="ER10"/>
      <c r="ES10"/>
      <c r="ET10"/>
      <c r="EU10"/>
    </row>
    <row r="11" spans="1:151" ht="15" x14ac:dyDescent="0.25">
      <c r="A11" s="170" t="s">
        <v>931</v>
      </c>
      <c r="B11" s="171" t="s">
        <v>1296</v>
      </c>
      <c r="C11" s="173"/>
      <c r="D11" s="309">
        <v>95.77</v>
      </c>
      <c r="E11" s="172" cm="1">
        <f t="array" ref="E11">tabUniformes[[#This Row],[Valor Inicial]]*IFERROR(PRODUCT(1+_xlfn._xlws.FILTER(tabIndices[PERCENTUAL],tabIndices[DATA DA PUBLICAÇÃO]&gt;tabUniformes[[#This Row],[DATA PUBLICAÇÃO]])),1)</f>
        <v>95.77</v>
      </c>
      <c r="F11" s="174">
        <v>2</v>
      </c>
      <c r="G11" s="174" t="s">
        <v>1241</v>
      </c>
      <c r="H11" s="174">
        <v>77</v>
      </c>
      <c r="I11" s="175">
        <f>tabUniformes[[#This Row],[Valor Reajustado]]*tabUniformes[[#This Row],[Qtde Anual de Peças]]*tabUniformes[[#This Row],[Qtde. funcionários]]</f>
        <v>14748.58</v>
      </c>
      <c r="J11" s="174">
        <f>tabUniformes[[#This Row],[Qtde Anual de Peças]]*tabUniformes[[#This Row],[Qtde. funcionários]]</f>
        <v>154</v>
      </c>
      <c r="K11" s="172">
        <f>IFERROR(tabUniformes[[#This Row],[Total]]/12/tabUniformes[[#This Row],[Qtde. funcionários]],0)</f>
        <v>15.961666666666668</v>
      </c>
      <c r="L11" t="s">
        <v>1242</v>
      </c>
      <c r="M11">
        <v>19</v>
      </c>
      <c r="N11" s="20">
        <v>76</v>
      </c>
      <c r="O11" s="25">
        <v>4630.68</v>
      </c>
      <c r="P11" s="25">
        <v>20.310000000000002</v>
      </c>
      <c r="Q11" s="20">
        <v>152</v>
      </c>
      <c r="R11" s="25">
        <v>6209.2</v>
      </c>
      <c r="S11" s="25">
        <v>27.233333333333331</v>
      </c>
      <c r="T11" s="20">
        <v>19</v>
      </c>
      <c r="U11" s="25">
        <v>1807.4699999999998</v>
      </c>
      <c r="V11" s="25">
        <v>7.9274999999999984</v>
      </c>
      <c r="W11" s="20">
        <v>38</v>
      </c>
      <c r="X11" s="25">
        <v>1899.6200000000001</v>
      </c>
      <c r="Y11" s="25">
        <v>8.331666666666667</v>
      </c>
      <c r="Z11" s="20">
        <v>38</v>
      </c>
      <c r="AA11" s="25">
        <v>3639.2599999999998</v>
      </c>
      <c r="AB11" s="25">
        <v>15.961666666666666</v>
      </c>
      <c r="AC11" s="20">
        <v>874</v>
      </c>
      <c r="AD11" s="25">
        <v>4798.26</v>
      </c>
      <c r="AE11" s="25">
        <v>21.045000000000002</v>
      </c>
      <c r="AF11" s="20"/>
      <c r="AG11" s="25"/>
      <c r="AH11" s="25"/>
      <c r="AI11" s="20"/>
      <c r="AJ11" s="25"/>
      <c r="AK11" s="25"/>
      <c r="AL11" s="20">
        <v>1197</v>
      </c>
      <c r="AM11" s="25">
        <v>22984.489999999998</v>
      </c>
      <c r="AN11" s="25">
        <v>100.80916666666666</v>
      </c>
      <c r="AO11"/>
      <c r="AP11"/>
      <c r="AQ11"/>
      <c r="AR11"/>
      <c r="AS11"/>
      <c r="AT11"/>
      <c r="AU11"/>
      <c r="AV11"/>
      <c r="AW11"/>
      <c r="AX11"/>
      <c r="AY11"/>
      <c r="AZ11"/>
      <c r="BA11"/>
      <c r="BB11"/>
      <c r="BC11"/>
      <c r="BD11"/>
      <c r="BE11"/>
      <c r="BF11"/>
      <c r="BG11"/>
      <c r="BH11"/>
      <c r="BI11"/>
      <c r="BJ11"/>
      <c r="BK11"/>
      <c r="BL11"/>
      <c r="BM11"/>
      <c r="BN11"/>
      <c r="BO11"/>
      <c r="BP11"/>
      <c r="BQ11"/>
      <c r="BR11"/>
      <c r="BS11"/>
      <c r="BT11"/>
      <c r="BU11"/>
      <c r="BV11"/>
      <c r="BW11"/>
      <c r="BX11"/>
      <c r="BY11"/>
      <c r="BZ11"/>
      <c r="CA11"/>
      <c r="CB11"/>
      <c r="CC11"/>
      <c r="CD11"/>
      <c r="CE11"/>
      <c r="CF11"/>
      <c r="CG11"/>
      <c r="CH11"/>
      <c r="CI11"/>
      <c r="CJ11"/>
      <c r="CK11"/>
      <c r="CL11"/>
      <c r="CM11"/>
      <c r="CN11"/>
      <c r="CO11"/>
      <c r="CP11"/>
      <c r="CQ11"/>
      <c r="CR11"/>
      <c r="CS11"/>
      <c r="CT11"/>
      <c r="CU11"/>
      <c r="CV11"/>
      <c r="CW11"/>
      <c r="CX11"/>
      <c r="CY11"/>
      <c r="CZ11"/>
      <c r="DA11"/>
      <c r="DB11"/>
      <c r="DC11"/>
      <c r="DD11"/>
      <c r="DE11"/>
      <c r="DF11"/>
      <c r="DG11"/>
      <c r="DH11"/>
      <c r="DI11"/>
      <c r="DJ11"/>
      <c r="DK11"/>
      <c r="DL11"/>
      <c r="DM11"/>
      <c r="DN11"/>
      <c r="DO11"/>
      <c r="DP11"/>
      <c r="DQ11"/>
      <c r="DR11"/>
      <c r="DS11"/>
      <c r="DT11"/>
      <c r="DU11"/>
      <c r="DV11"/>
      <c r="DW11"/>
      <c r="DX11"/>
      <c r="DY11"/>
      <c r="DZ11"/>
      <c r="EA11"/>
      <c r="EB11"/>
      <c r="EC11"/>
      <c r="ED11"/>
      <c r="EE11"/>
      <c r="EF11"/>
      <c r="EG11"/>
      <c r="EH11"/>
      <c r="EI11"/>
      <c r="EJ11"/>
      <c r="EK11"/>
      <c r="EL11"/>
      <c r="EM11"/>
      <c r="EN11"/>
      <c r="EO11"/>
      <c r="EP11"/>
      <c r="EQ11"/>
      <c r="ER11"/>
      <c r="ES11"/>
      <c r="ET11"/>
      <c r="EU11"/>
    </row>
    <row r="12" spans="1:151" ht="15" x14ac:dyDescent="0.25">
      <c r="A12" s="170" t="s">
        <v>932</v>
      </c>
      <c r="B12" s="171" t="s">
        <v>1293</v>
      </c>
      <c r="C12" s="173"/>
      <c r="D12" s="309">
        <v>5.49</v>
      </c>
      <c r="E12" s="172" cm="1">
        <f t="array" ref="E12">tabUniformes[[#This Row],[Valor Inicial]]*IFERROR(PRODUCT(1+_xlfn._xlws.FILTER(tabIndices[PERCENTUAL],tabIndices[DATA DA PUBLICAÇÃO]&gt;tabUniformes[[#This Row],[DATA PUBLICAÇÃO]])),1)</f>
        <v>5.49</v>
      </c>
      <c r="F12" s="174">
        <v>24</v>
      </c>
      <c r="G12" s="174" t="s">
        <v>1241</v>
      </c>
      <c r="H12" s="174">
        <v>77</v>
      </c>
      <c r="I12" s="175">
        <f>tabUniformes[[#This Row],[Valor Reajustado]]*tabUniformes[[#This Row],[Qtde Anual de Peças]]*tabUniformes[[#This Row],[Qtde. funcionários]]</f>
        <v>10145.519999999999</v>
      </c>
      <c r="J12" s="174">
        <f>tabUniformes[[#This Row],[Qtde Anual de Peças]]*tabUniformes[[#This Row],[Qtde. funcionários]]</f>
        <v>1848</v>
      </c>
      <c r="K12" s="172">
        <f>IFERROR(tabUniformes[[#This Row],[Total]]/12/tabUniformes[[#This Row],[Qtde. funcionários]],0)</f>
        <v>10.979999999999999</v>
      </c>
      <c r="L12" t="s">
        <v>1243</v>
      </c>
      <c r="M12">
        <v>254</v>
      </c>
      <c r="N12" s="20">
        <v>1016</v>
      </c>
      <c r="O12" s="25">
        <v>61904.88</v>
      </c>
      <c r="P12" s="25">
        <v>20.309999999999999</v>
      </c>
      <c r="Q12" s="20">
        <v>2032</v>
      </c>
      <c r="R12" s="25">
        <v>83007.199999999997</v>
      </c>
      <c r="S12" s="25">
        <v>27.233333333333331</v>
      </c>
      <c r="T12" s="20">
        <v>254</v>
      </c>
      <c r="U12" s="25">
        <v>24163.02</v>
      </c>
      <c r="V12" s="25">
        <v>7.9275000000000002</v>
      </c>
      <c r="W12" s="20">
        <v>508</v>
      </c>
      <c r="X12" s="25">
        <v>25394.920000000002</v>
      </c>
      <c r="Y12" s="25">
        <v>8.331666666666667</v>
      </c>
      <c r="Z12" s="20">
        <v>508</v>
      </c>
      <c r="AA12" s="25">
        <v>48651.159999999996</v>
      </c>
      <c r="AB12" s="25">
        <v>15.961666666666664</v>
      </c>
      <c r="AC12" s="20">
        <v>11684</v>
      </c>
      <c r="AD12" s="25">
        <v>64145.16</v>
      </c>
      <c r="AE12" s="25">
        <v>21.045000000000002</v>
      </c>
      <c r="AF12" s="20"/>
      <c r="AG12" s="25"/>
      <c r="AH12" s="25"/>
      <c r="AI12" s="20"/>
      <c r="AJ12" s="25"/>
      <c r="AK12" s="25"/>
      <c r="AL12" s="20">
        <v>16002</v>
      </c>
      <c r="AM12" s="25">
        <v>307266.33999999997</v>
      </c>
      <c r="AN12" s="25">
        <v>100.80916666666666</v>
      </c>
      <c r="AO12"/>
      <c r="AP12"/>
      <c r="AQ12"/>
      <c r="AR12"/>
      <c r="AS12"/>
      <c r="AT12"/>
      <c r="AU12"/>
      <c r="AV12"/>
      <c r="AW12"/>
      <c r="AX12"/>
      <c r="AY12"/>
      <c r="AZ12"/>
      <c r="BA12"/>
      <c r="BB12"/>
      <c r="BC12"/>
      <c r="BD12"/>
      <c r="BE12"/>
      <c r="BF12"/>
      <c r="BG12"/>
      <c r="BH12"/>
      <c r="BI12"/>
      <c r="BJ12"/>
      <c r="BK12"/>
      <c r="BL12"/>
      <c r="BM12"/>
      <c r="BN12"/>
      <c r="BO12"/>
      <c r="BP12"/>
      <c r="BQ12"/>
      <c r="BR12"/>
      <c r="BS12"/>
      <c r="BT12"/>
      <c r="BU12"/>
      <c r="BV12"/>
      <c r="BW12"/>
      <c r="BX12"/>
      <c r="BY12"/>
      <c r="BZ12"/>
      <c r="CA12"/>
      <c r="CB12"/>
      <c r="CC12"/>
      <c r="CD12"/>
      <c r="CE12"/>
      <c r="CF12"/>
      <c r="CG12"/>
      <c r="CH12"/>
      <c r="CI12"/>
      <c r="CJ12"/>
      <c r="CK12"/>
      <c r="CL12"/>
      <c r="CM12"/>
      <c r="CN12"/>
      <c r="CO12"/>
      <c r="CP12"/>
      <c r="CQ12"/>
      <c r="CR12"/>
      <c r="CS12"/>
      <c r="CT12"/>
      <c r="CU12"/>
      <c r="CV12"/>
      <c r="CW12"/>
      <c r="CX12"/>
      <c r="CY12"/>
      <c r="CZ12"/>
      <c r="DA12"/>
      <c r="DB12"/>
      <c r="DC12"/>
      <c r="DD12"/>
      <c r="DE12"/>
      <c r="DF12"/>
      <c r="DG12"/>
      <c r="DH12"/>
      <c r="DI12"/>
      <c r="DJ12"/>
      <c r="DK12"/>
      <c r="DL12"/>
      <c r="DM12"/>
      <c r="DN12"/>
      <c r="DO12"/>
      <c r="DP12"/>
      <c r="DQ12"/>
      <c r="DR12"/>
      <c r="DS12"/>
      <c r="DT12"/>
      <c r="DU12"/>
      <c r="DV12"/>
      <c r="DW12"/>
      <c r="DX12"/>
      <c r="DY12"/>
      <c r="DZ12"/>
      <c r="EA12"/>
      <c r="EB12"/>
      <c r="EC12"/>
      <c r="ED12"/>
      <c r="EE12"/>
      <c r="EF12"/>
      <c r="EG12"/>
      <c r="EH12"/>
      <c r="EI12"/>
      <c r="EJ12"/>
      <c r="EK12"/>
      <c r="EL12"/>
      <c r="EM12"/>
      <c r="EN12"/>
      <c r="EO12"/>
      <c r="EP12"/>
      <c r="EQ12"/>
      <c r="ER12"/>
      <c r="ES12"/>
      <c r="ET12"/>
      <c r="EU12"/>
    </row>
    <row r="13" spans="1:151" ht="15" x14ac:dyDescent="0.25">
      <c r="A13" s="170" t="s">
        <v>928</v>
      </c>
      <c r="B13" s="171" t="s">
        <v>935</v>
      </c>
      <c r="C13" s="173"/>
      <c r="D13" s="309">
        <v>60.93</v>
      </c>
      <c r="E13" s="172" cm="1">
        <f t="array" ref="E13">tabUniformes[[#This Row],[Valor Inicial]]*IFERROR(PRODUCT(1+_xlfn._xlws.FILTER(tabIndices[PERCENTUAL],tabIndices[DATA DA PUBLICAÇÃO]&gt;tabUniformes[[#This Row],[DATA PUBLICAÇÃO]])),1)</f>
        <v>60.93</v>
      </c>
      <c r="F13" s="174">
        <v>4</v>
      </c>
      <c r="G13" s="174" t="s">
        <v>1269</v>
      </c>
      <c r="H13" s="174">
        <v>2</v>
      </c>
      <c r="I13" s="175">
        <f>tabUniformes[[#This Row],[Valor Reajustado]]*tabUniformes[[#This Row],[Qtde Anual de Peças]]*tabUniformes[[#This Row],[Qtde. funcionários]]</f>
        <v>487.44</v>
      </c>
      <c r="J13" s="174">
        <f>tabUniformes[[#This Row],[Qtde Anual de Peças]]*tabUniformes[[#This Row],[Qtde. funcionários]]</f>
        <v>8</v>
      </c>
      <c r="K13" s="172">
        <f>IFERROR(tabUniformes[[#This Row],[Total]]/12/tabUniformes[[#This Row],[Qtde. funcionários]],0)</f>
        <v>20.309999999999999</v>
      </c>
      <c r="L13" t="s">
        <v>1248</v>
      </c>
      <c r="M13">
        <v>79</v>
      </c>
      <c r="N13" s="20">
        <v>158</v>
      </c>
      <c r="O13" s="25">
        <v>9626.94</v>
      </c>
      <c r="P13" s="25">
        <v>10.154999999999999</v>
      </c>
      <c r="Q13" s="20">
        <v>316</v>
      </c>
      <c r="R13" s="25">
        <v>12908.6</v>
      </c>
      <c r="S13" s="25">
        <v>13.616666666666667</v>
      </c>
      <c r="T13" s="20">
        <v>79</v>
      </c>
      <c r="U13" s="25">
        <v>7515.2699999999995</v>
      </c>
      <c r="V13" s="25">
        <v>7.9274999999999993</v>
      </c>
      <c r="W13" s="20">
        <v>79</v>
      </c>
      <c r="X13" s="25">
        <v>3949.21</v>
      </c>
      <c r="Y13" s="25">
        <v>4.1658333333333335</v>
      </c>
      <c r="Z13" s="20">
        <v>158</v>
      </c>
      <c r="AA13" s="25">
        <v>15131.66</v>
      </c>
      <c r="AB13" s="25">
        <v>15.961666666666666</v>
      </c>
      <c r="AC13" s="20">
        <v>1896</v>
      </c>
      <c r="AD13" s="25">
        <v>10409.039999999999</v>
      </c>
      <c r="AE13" s="25">
        <v>10.979999999999999</v>
      </c>
      <c r="AF13" s="20"/>
      <c r="AG13" s="25"/>
      <c r="AH13" s="25"/>
      <c r="AI13" s="20"/>
      <c r="AJ13" s="25"/>
      <c r="AK13" s="25"/>
      <c r="AL13" s="20">
        <v>2686</v>
      </c>
      <c r="AM13" s="25">
        <v>59540.720000000008</v>
      </c>
      <c r="AN13" s="25">
        <v>62.806666666666665</v>
      </c>
      <c r="AO13"/>
      <c r="AP13"/>
      <c r="AQ13"/>
      <c r="AR13"/>
      <c r="AS13"/>
      <c r="AT13"/>
      <c r="AU13"/>
      <c r="AV13"/>
      <c r="AW13"/>
      <c r="AX13"/>
      <c r="AY13"/>
      <c r="AZ13"/>
      <c r="BA13"/>
      <c r="BB13"/>
      <c r="BC13"/>
      <c r="BD13"/>
      <c r="BE13"/>
      <c r="BF13"/>
      <c r="BG13"/>
      <c r="BH13"/>
      <c r="BI13"/>
      <c r="BJ13"/>
      <c r="BK13"/>
      <c r="BL13"/>
      <c r="BM13"/>
      <c r="BN13"/>
      <c r="BO13"/>
      <c r="BP13"/>
      <c r="BQ13"/>
      <c r="BR13"/>
      <c r="BS13"/>
      <c r="BT13"/>
      <c r="BU13"/>
      <c r="BV13"/>
      <c r="BW13"/>
      <c r="BX13"/>
      <c r="BY13"/>
      <c r="BZ13"/>
      <c r="CA13"/>
      <c r="CB13"/>
      <c r="CC13"/>
      <c r="CD13"/>
      <c r="CE13"/>
      <c r="CF13"/>
      <c r="CG13"/>
      <c r="CH13"/>
      <c r="CI13"/>
      <c r="CJ13"/>
      <c r="CK13"/>
      <c r="CL13"/>
      <c r="CM13"/>
      <c r="CN13"/>
      <c r="CO13"/>
      <c r="CP13"/>
      <c r="CQ13"/>
      <c r="CR13"/>
      <c r="CS13"/>
      <c r="CT13"/>
      <c r="CU13"/>
      <c r="CV13"/>
      <c r="CW13"/>
      <c r="CX13"/>
      <c r="CY13"/>
      <c r="CZ13"/>
      <c r="DA13"/>
      <c r="DB13"/>
      <c r="DC13"/>
      <c r="DD13"/>
      <c r="DE13"/>
      <c r="DF13"/>
      <c r="DG13"/>
      <c r="DH13"/>
      <c r="DI13"/>
      <c r="DJ13"/>
      <c r="DK13"/>
      <c r="DL13"/>
      <c r="DM13"/>
      <c r="DN13"/>
      <c r="DO13"/>
      <c r="DP13"/>
      <c r="DQ13"/>
      <c r="DR13"/>
      <c r="DS13"/>
      <c r="DT13"/>
      <c r="DU13"/>
      <c r="DV13"/>
      <c r="DW13"/>
      <c r="DX13"/>
      <c r="DY13"/>
      <c r="DZ13"/>
      <c r="EA13"/>
      <c r="EB13"/>
      <c r="EC13"/>
      <c r="ED13"/>
      <c r="EE13"/>
      <c r="EF13"/>
      <c r="EG13"/>
      <c r="EH13"/>
      <c r="EI13"/>
      <c r="EJ13"/>
      <c r="EK13"/>
      <c r="EL13"/>
      <c r="EM13"/>
      <c r="EN13"/>
      <c r="EO13"/>
      <c r="EP13"/>
      <c r="EQ13"/>
      <c r="ER13"/>
      <c r="ES13"/>
      <c r="ET13"/>
      <c r="EU13"/>
    </row>
    <row r="14" spans="1:151" ht="15" x14ac:dyDescent="0.25">
      <c r="A14" s="170" t="s">
        <v>929</v>
      </c>
      <c r="B14" s="171" t="s">
        <v>937</v>
      </c>
      <c r="C14" s="173"/>
      <c r="D14" s="309">
        <v>40.85</v>
      </c>
      <c r="E14" s="172" cm="1">
        <f t="array" ref="E14">tabUniformes[[#This Row],[Valor Inicial]]*IFERROR(PRODUCT(1+_xlfn._xlws.FILTER(tabIndices[PERCENTUAL],tabIndices[DATA DA PUBLICAÇÃO]&gt;tabUniformes[[#This Row],[DATA PUBLICAÇÃO]])),1)</f>
        <v>40.85</v>
      </c>
      <c r="F14" s="174">
        <v>8</v>
      </c>
      <c r="G14" s="174" t="s">
        <v>1269</v>
      </c>
      <c r="H14" s="174">
        <v>2</v>
      </c>
      <c r="I14" s="175">
        <f>tabUniformes[[#This Row],[Valor Reajustado]]*tabUniformes[[#This Row],[Qtde Anual de Peças]]*tabUniformes[[#This Row],[Qtde. funcionários]]</f>
        <v>653.6</v>
      </c>
      <c r="J14" s="174">
        <f>tabUniformes[[#This Row],[Qtde Anual de Peças]]*tabUniformes[[#This Row],[Qtde. funcionários]]</f>
        <v>16</v>
      </c>
      <c r="K14" s="172">
        <f>IFERROR(tabUniformes[[#This Row],[Total]]/12/tabUniformes[[#This Row],[Qtde. funcionários]],0)</f>
        <v>27.233333333333334</v>
      </c>
      <c r="L14" t="s">
        <v>936</v>
      </c>
      <c r="M14">
        <v>4</v>
      </c>
      <c r="N14" s="20">
        <v>16</v>
      </c>
      <c r="O14" s="25">
        <v>974.88</v>
      </c>
      <c r="P14" s="25">
        <v>20.309999999999999</v>
      </c>
      <c r="Q14" s="20">
        <v>32</v>
      </c>
      <c r="R14" s="25">
        <v>1307.2</v>
      </c>
      <c r="S14" s="25">
        <v>27.233333333333334</v>
      </c>
      <c r="T14" s="20">
        <v>4</v>
      </c>
      <c r="U14" s="25">
        <v>380.52</v>
      </c>
      <c r="V14" s="25">
        <v>7.9274999999999993</v>
      </c>
      <c r="W14" s="20"/>
      <c r="X14" s="25"/>
      <c r="Y14" s="25"/>
      <c r="Z14" s="20"/>
      <c r="AA14" s="25"/>
      <c r="AB14" s="25"/>
      <c r="AC14" s="20">
        <v>96</v>
      </c>
      <c r="AD14" s="25">
        <v>527.04</v>
      </c>
      <c r="AE14" s="25">
        <v>10.979999999999999</v>
      </c>
      <c r="AF14" s="20">
        <v>8</v>
      </c>
      <c r="AG14" s="25">
        <v>2240.3200000000002</v>
      </c>
      <c r="AH14" s="25">
        <v>46.673333333333339</v>
      </c>
      <c r="AI14" s="20">
        <v>8</v>
      </c>
      <c r="AJ14" s="25">
        <v>61.36</v>
      </c>
      <c r="AK14" s="25">
        <v>1.2783333333333333</v>
      </c>
      <c r="AL14" s="20">
        <v>164</v>
      </c>
      <c r="AM14" s="25">
        <v>5491.32</v>
      </c>
      <c r="AN14" s="25">
        <v>114.4025</v>
      </c>
      <c r="AO14"/>
      <c r="AP14"/>
      <c r="AQ14"/>
      <c r="AR14"/>
      <c r="AS14"/>
      <c r="AT14"/>
      <c r="AU14"/>
      <c r="AV14"/>
      <c r="AW14"/>
      <c r="AX14"/>
      <c r="AY14"/>
      <c r="AZ14"/>
      <c r="BA14"/>
      <c r="BB14"/>
      <c r="BC14"/>
      <c r="BD14"/>
      <c r="BE14"/>
      <c r="BF14"/>
      <c r="BG14"/>
      <c r="BH14"/>
      <c r="BI14"/>
      <c r="BJ14"/>
      <c r="BK14"/>
      <c r="BL14"/>
      <c r="BM14"/>
      <c r="BN14"/>
      <c r="BO14"/>
      <c r="BP14"/>
      <c r="BQ14"/>
      <c r="BR14"/>
      <c r="BS14"/>
      <c r="BT14"/>
      <c r="BU14"/>
      <c r="BV14"/>
      <c r="BW14"/>
      <c r="BX14"/>
      <c r="BY14"/>
      <c r="BZ14"/>
      <c r="CA14"/>
      <c r="CB14"/>
      <c r="CC14"/>
      <c r="CD14"/>
      <c r="CE14"/>
      <c r="CF14"/>
      <c r="CG14"/>
      <c r="CH14"/>
      <c r="CI14"/>
      <c r="CJ14"/>
      <c r="CK14"/>
      <c r="CL14"/>
      <c r="CM14"/>
      <c r="CN14"/>
      <c r="CO14"/>
      <c r="CP14"/>
      <c r="CQ14"/>
      <c r="CR14"/>
      <c r="CS14"/>
      <c r="CT14"/>
      <c r="CU14"/>
      <c r="CV14"/>
      <c r="CW14"/>
      <c r="CX14"/>
      <c r="CY14"/>
      <c r="CZ14"/>
      <c r="DA14"/>
      <c r="DB14"/>
      <c r="DC14"/>
      <c r="DD14"/>
      <c r="DE14"/>
      <c r="DF14"/>
      <c r="DG14"/>
      <c r="DH14"/>
      <c r="DI14"/>
      <c r="DJ14"/>
      <c r="DK14"/>
      <c r="DL14"/>
      <c r="DM14"/>
      <c r="DN14"/>
      <c r="DO14"/>
      <c r="DP14"/>
      <c r="DQ14"/>
      <c r="DR14"/>
      <c r="DS14"/>
      <c r="DT14"/>
      <c r="DU14"/>
      <c r="DV14"/>
      <c r="DW14"/>
      <c r="DX14"/>
      <c r="DY14"/>
      <c r="DZ14"/>
      <c r="EA14"/>
      <c r="EB14"/>
      <c r="EC14"/>
      <c r="ED14"/>
      <c r="EE14"/>
      <c r="EF14"/>
      <c r="EG14"/>
      <c r="EH14"/>
      <c r="EI14"/>
      <c r="EJ14"/>
      <c r="EK14"/>
      <c r="EL14"/>
      <c r="EM14"/>
      <c r="EN14"/>
      <c r="EO14"/>
      <c r="EP14"/>
      <c r="EQ14"/>
      <c r="ER14"/>
      <c r="ES14"/>
      <c r="ET14"/>
      <c r="EU14"/>
    </row>
    <row r="15" spans="1:151" ht="15" x14ac:dyDescent="0.25">
      <c r="A15" s="170" t="s">
        <v>930</v>
      </c>
      <c r="B15" s="171" t="s">
        <v>938</v>
      </c>
      <c r="C15" s="173"/>
      <c r="D15" s="309">
        <v>95.13</v>
      </c>
      <c r="E15" s="172" cm="1">
        <f t="array" ref="E15">tabUniformes[[#This Row],[Valor Inicial]]*IFERROR(PRODUCT(1+_xlfn._xlws.FILTER(tabIndices[PERCENTUAL],tabIndices[DATA DA PUBLICAÇÃO]&gt;tabUniformes[[#This Row],[DATA PUBLICAÇÃO]])),1)</f>
        <v>95.13</v>
      </c>
      <c r="F15" s="174">
        <v>1</v>
      </c>
      <c r="G15" s="174" t="s">
        <v>1269</v>
      </c>
      <c r="H15" s="174">
        <v>2</v>
      </c>
      <c r="I15" s="175">
        <f>tabUniformes[[#This Row],[Valor Reajustado]]*tabUniformes[[#This Row],[Qtde Anual de Peças]]*tabUniformes[[#This Row],[Qtde. funcionários]]</f>
        <v>190.26</v>
      </c>
      <c r="J15" s="174">
        <f>tabUniformes[[#This Row],[Qtde Anual de Peças]]*tabUniformes[[#This Row],[Qtde. funcionários]]</f>
        <v>2</v>
      </c>
      <c r="K15" s="172">
        <f>IFERROR(tabUniformes[[#This Row],[Total]]/12/tabUniformes[[#This Row],[Qtde. funcionários]],0)</f>
        <v>7.9274999999999993</v>
      </c>
      <c r="L15" t="s">
        <v>941</v>
      </c>
      <c r="M15"/>
      <c r="N15" s="20">
        <v>1436</v>
      </c>
      <c r="O15" s="25">
        <v>87495.48000000001</v>
      </c>
      <c r="P15" s="25">
        <v>121.86</v>
      </c>
      <c r="Q15" s="20">
        <v>2872</v>
      </c>
      <c r="R15" s="25">
        <v>117321.2</v>
      </c>
      <c r="S15" s="25">
        <v>163.40000000000003</v>
      </c>
      <c r="T15" s="20">
        <v>437</v>
      </c>
      <c r="U15" s="25">
        <v>41571.81</v>
      </c>
      <c r="V15" s="25">
        <v>55.4925</v>
      </c>
      <c r="W15" s="20">
        <v>710</v>
      </c>
      <c r="X15" s="25">
        <v>35492.9</v>
      </c>
      <c r="Y15" s="25">
        <v>41.658333333333331</v>
      </c>
      <c r="Z15" s="20">
        <v>866</v>
      </c>
      <c r="AA15" s="25">
        <v>82936.820000000007</v>
      </c>
      <c r="AB15" s="25">
        <v>95.769999999999982</v>
      </c>
      <c r="AC15" s="20">
        <v>16582</v>
      </c>
      <c r="AD15" s="25">
        <v>91035.18</v>
      </c>
      <c r="AE15" s="25">
        <v>117.12000000000002</v>
      </c>
      <c r="AF15" s="20">
        <v>8</v>
      </c>
      <c r="AG15" s="25">
        <v>2240.3200000000002</v>
      </c>
      <c r="AH15" s="25">
        <v>46.673333333333339</v>
      </c>
      <c r="AI15" s="20">
        <v>8</v>
      </c>
      <c r="AJ15" s="25">
        <v>61.36</v>
      </c>
      <c r="AK15" s="25">
        <v>1.2783333333333333</v>
      </c>
      <c r="AL15" s="20">
        <v>22919</v>
      </c>
      <c r="AM15" s="25">
        <v>458155.07</v>
      </c>
      <c r="AN15" s="25">
        <v>643.25250000000005</v>
      </c>
      <c r="AO15"/>
      <c r="AP15"/>
      <c r="AQ15"/>
      <c r="AR15"/>
      <c r="AS15"/>
      <c r="AT15"/>
      <c r="AU15"/>
      <c r="AV15"/>
      <c r="AW15"/>
      <c r="AX15"/>
      <c r="AY15"/>
      <c r="AZ15"/>
      <c r="BA15"/>
      <c r="BB15"/>
      <c r="BC15"/>
      <c r="BD15"/>
      <c r="BE15"/>
      <c r="BF15"/>
      <c r="BG15"/>
      <c r="BH15"/>
      <c r="BI15"/>
      <c r="BJ15"/>
      <c r="BK15"/>
      <c r="BL15"/>
      <c r="BM15"/>
      <c r="BN15"/>
      <c r="BO15"/>
      <c r="BP15"/>
      <c r="BQ15"/>
      <c r="BR15"/>
      <c r="BS15"/>
      <c r="BT15"/>
      <c r="BU15"/>
      <c r="BV15"/>
      <c r="BW15"/>
      <c r="BX15"/>
      <c r="BY15"/>
      <c r="BZ15"/>
      <c r="CA15"/>
      <c r="CB15"/>
      <c r="CC15"/>
      <c r="CD15"/>
      <c r="CE15"/>
      <c r="CF15"/>
      <c r="CG15"/>
      <c r="CH15"/>
      <c r="CI15"/>
      <c r="CJ15"/>
      <c r="CK15"/>
      <c r="CL15"/>
      <c r="CM15"/>
      <c r="CN15"/>
      <c r="CO15"/>
      <c r="CP15"/>
      <c r="CQ15"/>
      <c r="CR15"/>
      <c r="CS15"/>
      <c r="CT15"/>
      <c r="CU15"/>
      <c r="CV15"/>
      <c r="CW15"/>
      <c r="CX15"/>
      <c r="CY15"/>
      <c r="CZ15"/>
      <c r="DA15"/>
      <c r="DB15"/>
      <c r="DC15"/>
      <c r="DD15"/>
      <c r="DE15"/>
      <c r="DF15"/>
      <c r="DG15"/>
      <c r="DH15"/>
      <c r="DI15"/>
      <c r="DJ15"/>
      <c r="DK15"/>
      <c r="DL15"/>
      <c r="DM15"/>
      <c r="DN15"/>
      <c r="DO15"/>
      <c r="DP15"/>
      <c r="DQ15"/>
      <c r="DR15"/>
      <c r="DS15"/>
      <c r="DT15"/>
      <c r="DU15"/>
      <c r="DV15"/>
      <c r="DW15"/>
      <c r="DX15"/>
      <c r="DY15"/>
      <c r="DZ15"/>
      <c r="EA15"/>
      <c r="EB15"/>
      <c r="EC15"/>
      <c r="ED15"/>
      <c r="EE15"/>
      <c r="EF15"/>
      <c r="EG15"/>
      <c r="EH15"/>
      <c r="EI15"/>
      <c r="EJ15"/>
      <c r="EK15"/>
      <c r="EL15"/>
      <c r="EM15"/>
      <c r="EN15"/>
      <c r="EO15"/>
      <c r="EP15"/>
      <c r="EQ15"/>
      <c r="ER15"/>
      <c r="ES15"/>
      <c r="ET15"/>
      <c r="EU15"/>
    </row>
    <row r="16" spans="1:151" ht="15" x14ac:dyDescent="0.25">
      <c r="A16" s="170" t="s">
        <v>931</v>
      </c>
      <c r="B16" s="171" t="s">
        <v>1295</v>
      </c>
      <c r="C16" s="173"/>
      <c r="D16" s="309">
        <v>49.99</v>
      </c>
      <c r="E16" s="172" cm="1">
        <f t="array" ref="E16">tabUniformes[[#This Row],[Valor Inicial]]*IFERROR(PRODUCT(1+_xlfn._xlws.FILTER(tabIndices[PERCENTUAL],tabIndices[DATA DA PUBLICAÇÃO]&gt;tabUniformes[[#This Row],[DATA PUBLICAÇÃO]])),1)</f>
        <v>49.99</v>
      </c>
      <c r="F16" s="174">
        <v>2</v>
      </c>
      <c r="G16" s="174" t="s">
        <v>1269</v>
      </c>
      <c r="H16" s="174">
        <v>2</v>
      </c>
      <c r="I16" s="175">
        <f>tabUniformes[[#This Row],[Valor Reajustado]]*tabUniformes[[#This Row],[Qtde Anual de Peças]]*tabUniformes[[#This Row],[Qtde. funcionários]]</f>
        <v>199.96</v>
      </c>
      <c r="J16" s="174">
        <f>tabUniformes[[#This Row],[Qtde Anual de Peças]]*tabUniformes[[#This Row],[Qtde. funcionários]]</f>
        <v>4</v>
      </c>
      <c r="K16" s="172">
        <f>IFERROR(tabUniformes[[#This Row],[Total]]/12/tabUniformes[[#This Row],[Qtde. funcionários]],0)</f>
        <v>8.331666666666667</v>
      </c>
      <c r="L16"/>
      <c r="M16"/>
      <c r="N16"/>
      <c r="O16"/>
      <c r="P16"/>
      <c r="Q16"/>
      <c r="R16"/>
      <c r="S16"/>
      <c r="T16"/>
      <c r="U16"/>
      <c r="V16"/>
      <c r="W16"/>
      <c r="X16"/>
      <c r="Y16"/>
      <c r="Z16"/>
      <c r="AA16"/>
      <c r="AB16"/>
      <c r="AC16"/>
      <c r="AD16"/>
      <c r="AE16"/>
      <c r="AF16"/>
      <c r="AG16"/>
      <c r="AH16"/>
      <c r="AI16"/>
      <c r="AJ16"/>
      <c r="AK16"/>
      <c r="AL16"/>
      <c r="AM16"/>
      <c r="AN16"/>
      <c r="AO16"/>
      <c r="AP16"/>
      <c r="AQ16"/>
      <c r="AR16"/>
      <c r="AS16"/>
      <c r="AT16"/>
      <c r="AU16"/>
      <c r="AV16"/>
      <c r="AW16"/>
      <c r="AX16"/>
      <c r="AY16"/>
      <c r="AZ16"/>
      <c r="BA16"/>
      <c r="BB16"/>
      <c r="BC16"/>
      <c r="BD16"/>
      <c r="BE16"/>
      <c r="BF16"/>
      <c r="BG16"/>
      <c r="BH16"/>
      <c r="BI16"/>
      <c r="BJ16"/>
      <c r="BK16"/>
      <c r="BL16"/>
      <c r="BM16"/>
      <c r="BN16"/>
      <c r="BO16"/>
      <c r="BP16"/>
      <c r="BQ16"/>
      <c r="BR16"/>
      <c r="BS16"/>
      <c r="BT16"/>
      <c r="BU16"/>
      <c r="BV16"/>
      <c r="BW16"/>
      <c r="BX16"/>
      <c r="BY16"/>
      <c r="BZ16"/>
      <c r="CA16"/>
      <c r="CB16"/>
      <c r="CC16"/>
      <c r="CD16"/>
      <c r="CE16"/>
      <c r="CF16"/>
      <c r="CG16"/>
      <c r="CH16"/>
      <c r="CI16"/>
      <c r="CJ16"/>
      <c r="CK16"/>
      <c r="CL16"/>
      <c r="CM16"/>
      <c r="CN16"/>
      <c r="CO16"/>
      <c r="CP16"/>
      <c r="CQ16"/>
      <c r="CR16"/>
      <c r="CS16"/>
      <c r="CT16"/>
      <c r="CU16"/>
      <c r="CV16"/>
      <c r="CW16"/>
      <c r="CX16"/>
      <c r="CY16"/>
      <c r="CZ16"/>
      <c r="DA16"/>
      <c r="DB16"/>
      <c r="DC16"/>
      <c r="DD16"/>
      <c r="DE16"/>
      <c r="DF16"/>
      <c r="DG16"/>
      <c r="DH16"/>
      <c r="DI16"/>
      <c r="DJ16"/>
      <c r="DK16"/>
      <c r="DL16"/>
      <c r="DM16"/>
      <c r="DN16"/>
      <c r="DO16"/>
      <c r="DP16"/>
      <c r="DQ16"/>
      <c r="DR16"/>
      <c r="DS16"/>
      <c r="DT16"/>
      <c r="DU16"/>
      <c r="DV16"/>
      <c r="DW16"/>
      <c r="DX16"/>
      <c r="DY16"/>
      <c r="DZ16"/>
      <c r="EA16"/>
      <c r="EB16"/>
      <c r="EC16"/>
      <c r="ED16"/>
      <c r="EE16"/>
      <c r="EF16"/>
      <c r="EG16"/>
      <c r="EH16"/>
      <c r="EI16"/>
      <c r="EJ16"/>
      <c r="EK16"/>
      <c r="EL16"/>
      <c r="EM16"/>
      <c r="EN16"/>
      <c r="EO16"/>
      <c r="EP16"/>
      <c r="EQ16"/>
      <c r="ER16"/>
      <c r="ES16"/>
      <c r="ET16"/>
      <c r="EU16"/>
    </row>
    <row r="17" spans="1:151" ht="15" x14ac:dyDescent="0.25">
      <c r="A17" s="170" t="s">
        <v>931</v>
      </c>
      <c r="B17" s="171" t="s">
        <v>1296</v>
      </c>
      <c r="C17" s="173"/>
      <c r="D17" s="309">
        <v>95.77</v>
      </c>
      <c r="E17" s="172" cm="1">
        <f t="array" ref="E17">tabUniformes[[#This Row],[Valor Inicial]]*IFERROR(PRODUCT(1+_xlfn._xlws.FILTER(tabIndices[PERCENTUAL],tabIndices[DATA DA PUBLICAÇÃO]&gt;tabUniformes[[#This Row],[DATA PUBLICAÇÃO]])),1)</f>
        <v>95.77</v>
      </c>
      <c r="F17" s="174">
        <v>2</v>
      </c>
      <c r="G17" s="174" t="s">
        <v>1269</v>
      </c>
      <c r="H17" s="174">
        <v>2</v>
      </c>
      <c r="I17" s="175">
        <f>tabUniformes[[#This Row],[Valor Reajustado]]*tabUniformes[[#This Row],[Qtde Anual de Peças]]*tabUniformes[[#This Row],[Qtde. funcionários]]</f>
        <v>383.08</v>
      </c>
      <c r="J17" s="174">
        <f>tabUniformes[[#This Row],[Qtde Anual de Peças]]*tabUniformes[[#This Row],[Qtde. funcionários]]</f>
        <v>4</v>
      </c>
      <c r="K17" s="172">
        <f>IFERROR(tabUniformes[[#This Row],[Total]]/12/tabUniformes[[#This Row],[Qtde. funcionários]],0)</f>
        <v>15.961666666666666</v>
      </c>
      <c r="L17"/>
      <c r="M17"/>
      <c r="N17"/>
      <c r="O17"/>
      <c r="P17"/>
      <c r="Q17"/>
      <c r="R17"/>
      <c r="S17"/>
      <c r="T17"/>
      <c r="U17"/>
      <c r="V17"/>
      <c r="W17"/>
      <c r="X17"/>
      <c r="Y17"/>
      <c r="Z17"/>
      <c r="AA17"/>
      <c r="AB17"/>
      <c r="AC17"/>
      <c r="AD17"/>
      <c r="AE17"/>
      <c r="AF17"/>
      <c r="AG17"/>
      <c r="AH17"/>
      <c r="AI17"/>
      <c r="AJ17"/>
      <c r="AK17"/>
      <c r="AL17"/>
      <c r="AM17"/>
      <c r="AN17"/>
      <c r="AO17"/>
      <c r="AP17"/>
      <c r="AQ17"/>
      <c r="AR17"/>
      <c r="AS17"/>
      <c r="AT17"/>
      <c r="AU17"/>
      <c r="AV17"/>
      <c r="AW17"/>
      <c r="AX17"/>
      <c r="AY17"/>
      <c r="AZ17"/>
      <c r="BA17"/>
      <c r="BB17"/>
      <c r="BC17"/>
      <c r="BD17"/>
      <c r="BE17"/>
      <c r="BF17"/>
      <c r="BG17"/>
      <c r="BH17"/>
      <c r="BI17"/>
      <c r="BJ17"/>
      <c r="BK17"/>
      <c r="BL17"/>
      <c r="BM17"/>
      <c r="BN17"/>
      <c r="BO17"/>
      <c r="BP17"/>
      <c r="BQ17"/>
      <c r="BR17"/>
      <c r="BS17"/>
      <c r="BT17"/>
      <c r="BU17"/>
      <c r="BV17"/>
      <c r="BW17"/>
      <c r="BX17"/>
      <c r="BY17"/>
      <c r="BZ17"/>
      <c r="CA17"/>
      <c r="CB17"/>
      <c r="CC17"/>
      <c r="CD17"/>
      <c r="CE17"/>
      <c r="CF17"/>
      <c r="CG17"/>
      <c r="CH17"/>
      <c r="CI17"/>
      <c r="CJ17"/>
      <c r="CK17"/>
      <c r="CL17"/>
      <c r="CM17"/>
      <c r="CN17"/>
      <c r="CO17"/>
      <c r="CP17"/>
      <c r="CQ17"/>
      <c r="CR17"/>
      <c r="CS17"/>
      <c r="CT17"/>
      <c r="CU17"/>
      <c r="CV17"/>
      <c r="CW17"/>
      <c r="CX17"/>
      <c r="CY17"/>
      <c r="CZ17"/>
      <c r="DA17"/>
      <c r="DB17"/>
      <c r="DC17"/>
      <c r="DD17"/>
      <c r="DE17"/>
      <c r="DF17"/>
      <c r="DG17"/>
      <c r="DH17"/>
      <c r="DI17"/>
      <c r="DJ17"/>
      <c r="DK17"/>
      <c r="DL17"/>
      <c r="DM17"/>
      <c r="DN17"/>
      <c r="DO17"/>
      <c r="DP17"/>
      <c r="DQ17"/>
      <c r="DR17"/>
      <c r="DS17"/>
      <c r="DT17"/>
      <c r="DU17"/>
      <c r="DV17"/>
      <c r="DW17"/>
      <c r="DX17"/>
      <c r="DY17"/>
      <c r="DZ17"/>
      <c r="EA17"/>
      <c r="EB17"/>
      <c r="EC17"/>
      <c r="ED17"/>
      <c r="EE17"/>
      <c r="EF17"/>
      <c r="EG17"/>
      <c r="EH17"/>
      <c r="EI17"/>
      <c r="EJ17"/>
      <c r="EK17"/>
      <c r="EL17"/>
      <c r="EM17"/>
      <c r="EN17"/>
      <c r="EO17"/>
      <c r="EP17"/>
      <c r="EQ17"/>
      <c r="ER17"/>
      <c r="ES17"/>
      <c r="ET17"/>
      <c r="EU17"/>
    </row>
    <row r="18" spans="1:151" ht="15" x14ac:dyDescent="0.25">
      <c r="A18" s="170" t="s">
        <v>932</v>
      </c>
      <c r="B18" s="171" t="s">
        <v>1293</v>
      </c>
      <c r="C18" s="173"/>
      <c r="D18" s="309">
        <v>5.49</v>
      </c>
      <c r="E18" s="172" cm="1">
        <f t="array" ref="E18">tabUniformes[[#This Row],[Valor Inicial]]*IFERROR(PRODUCT(1+_xlfn._xlws.FILTER(tabIndices[PERCENTUAL],tabIndices[DATA DA PUBLICAÇÃO]&gt;tabUniformes[[#This Row],[DATA PUBLICAÇÃO]])),1)</f>
        <v>5.49</v>
      </c>
      <c r="F18" s="174">
        <v>46</v>
      </c>
      <c r="G18" s="174" t="s">
        <v>1269</v>
      </c>
      <c r="H18" s="174">
        <v>2</v>
      </c>
      <c r="I18" s="175">
        <f>tabUniformes[[#This Row],[Valor Reajustado]]*tabUniformes[[#This Row],[Qtde Anual de Peças]]*tabUniformes[[#This Row],[Qtde. funcionários]]</f>
        <v>505.08000000000004</v>
      </c>
      <c r="J18" s="174">
        <f>tabUniformes[[#This Row],[Qtde Anual de Peças]]*tabUniformes[[#This Row],[Qtde. funcionários]]</f>
        <v>92</v>
      </c>
      <c r="K18" s="172">
        <f>IFERROR(tabUniformes[[#This Row],[Total]]/12/tabUniformes[[#This Row],[Qtde. funcionários]],0)</f>
        <v>21.045000000000002</v>
      </c>
      <c r="L18"/>
      <c r="M18"/>
      <c r="N18"/>
      <c r="O18"/>
      <c r="P18"/>
      <c r="Q18"/>
      <c r="R18"/>
      <c r="S18"/>
      <c r="T18"/>
      <c r="U18"/>
      <c r="V18"/>
      <c r="W18"/>
      <c r="X18"/>
      <c r="Y18"/>
      <c r="Z18"/>
      <c r="AA18"/>
      <c r="AB18"/>
      <c r="AC18"/>
      <c r="AD18"/>
      <c r="AE18"/>
      <c r="AF18"/>
      <c r="AG18"/>
      <c r="AH18"/>
      <c r="AI18"/>
      <c r="AJ18"/>
      <c r="AK18"/>
      <c r="AL18"/>
      <c r="AM18"/>
      <c r="AN18"/>
      <c r="AO18"/>
      <c r="AP18"/>
      <c r="AQ18"/>
      <c r="AR18"/>
      <c r="AS18"/>
      <c r="AT18"/>
      <c r="AU18"/>
      <c r="AV18"/>
      <c r="AW18"/>
      <c r="AX18"/>
      <c r="AY18"/>
      <c r="AZ18"/>
      <c r="BA18"/>
      <c r="BB18"/>
      <c r="BC18"/>
      <c r="BD18"/>
      <c r="BE18"/>
      <c r="BF18"/>
      <c r="BG18"/>
      <c r="BH18"/>
      <c r="BI18"/>
      <c r="BJ18"/>
      <c r="BK18"/>
      <c r="BL18"/>
      <c r="BM18"/>
      <c r="BN18"/>
      <c r="BO18"/>
      <c r="BP18"/>
      <c r="BQ18"/>
      <c r="BR18"/>
      <c r="BS18"/>
      <c r="BT18"/>
      <c r="BU18"/>
      <c r="BV18"/>
      <c r="BW18"/>
      <c r="BX18"/>
      <c r="BY18"/>
      <c r="BZ18"/>
      <c r="CA18"/>
      <c r="CB18"/>
      <c r="CC18"/>
      <c r="CD18"/>
      <c r="CE18"/>
      <c r="CF18"/>
      <c r="CG18"/>
      <c r="CH18"/>
      <c r="CI18"/>
      <c r="CJ18"/>
      <c r="CK18"/>
      <c r="CL18"/>
      <c r="CM18"/>
      <c r="CN18"/>
      <c r="CO18"/>
      <c r="CP18"/>
      <c r="CQ18"/>
      <c r="CR18"/>
      <c r="CS18"/>
      <c r="CT18"/>
      <c r="CU18"/>
      <c r="CV18"/>
      <c r="CW18"/>
      <c r="CX18"/>
      <c r="CY18"/>
      <c r="CZ18"/>
      <c r="DA18"/>
      <c r="DB18"/>
      <c r="DC18"/>
      <c r="DD18"/>
      <c r="DE18"/>
      <c r="DF18"/>
      <c r="DG18"/>
      <c r="DH18"/>
      <c r="DI18"/>
      <c r="DJ18"/>
      <c r="DK18"/>
      <c r="DL18"/>
      <c r="DM18"/>
      <c r="DN18"/>
      <c r="DO18"/>
      <c r="DP18"/>
      <c r="DQ18"/>
      <c r="DR18"/>
      <c r="DS18"/>
      <c r="DT18"/>
      <c r="DU18"/>
      <c r="DV18"/>
      <c r="DW18"/>
      <c r="DX18"/>
      <c r="DY18"/>
      <c r="DZ18"/>
      <c r="EA18"/>
      <c r="EB18"/>
      <c r="EC18"/>
      <c r="ED18"/>
      <c r="EE18"/>
      <c r="EF18"/>
      <c r="EG18"/>
      <c r="EH18"/>
      <c r="EI18"/>
      <c r="EJ18"/>
      <c r="EK18"/>
      <c r="EL18"/>
      <c r="EM18"/>
      <c r="EN18"/>
      <c r="EO18"/>
      <c r="EP18"/>
      <c r="EQ18"/>
      <c r="ER18"/>
      <c r="ES18"/>
      <c r="ET18"/>
      <c r="EU18"/>
    </row>
    <row r="19" spans="1:151" ht="15" x14ac:dyDescent="0.25">
      <c r="A19" s="170" t="s">
        <v>928</v>
      </c>
      <c r="B19" s="171" t="s">
        <v>935</v>
      </c>
      <c r="C19" s="173"/>
      <c r="D19" s="309">
        <v>60.93</v>
      </c>
      <c r="E19" s="172" cm="1">
        <f t="array" ref="E19">tabUniformes[[#This Row],[Valor Inicial]]*IFERROR(PRODUCT(1+_xlfn._xlws.FILTER(tabIndices[PERCENTUAL],tabIndices[DATA DA PUBLICAÇÃO]&gt;tabUniformes[[#This Row],[DATA PUBLICAÇÃO]])),1)</f>
        <v>60.93</v>
      </c>
      <c r="F19" s="174">
        <v>4</v>
      </c>
      <c r="G19" s="174" t="s">
        <v>1276</v>
      </c>
      <c r="H19" s="174">
        <v>2</v>
      </c>
      <c r="I19" s="175">
        <f>tabUniformes[[#This Row],[Valor Reajustado]]*tabUniformes[[#This Row],[Qtde Anual de Peças]]*tabUniformes[[#This Row],[Qtde. funcionários]]</f>
        <v>487.44</v>
      </c>
      <c r="J19" s="174">
        <f>tabUniformes[[#This Row],[Qtde Anual de Peças]]*tabUniformes[[#This Row],[Qtde. funcionários]]</f>
        <v>8</v>
      </c>
      <c r="K19" s="172">
        <f>IFERROR(tabUniformes[[#This Row],[Total]]/12/tabUniformes[[#This Row],[Qtde. funcionários]],0)</f>
        <v>20.309999999999999</v>
      </c>
      <c r="L19"/>
      <c r="M19"/>
      <c r="N19"/>
      <c r="O19"/>
      <c r="P19"/>
      <c r="Q19"/>
      <c r="R19"/>
      <c r="S19"/>
      <c r="T19"/>
      <c r="U19"/>
      <c r="V19"/>
      <c r="W19"/>
      <c r="X19"/>
      <c r="Y19"/>
      <c r="Z19"/>
      <c r="AA19"/>
      <c r="AB19"/>
      <c r="AC19"/>
      <c r="AD19"/>
      <c r="AE19"/>
      <c r="AF19"/>
      <c r="AG19"/>
      <c r="AH19"/>
      <c r="AI19"/>
      <c r="AJ19"/>
      <c r="AK19"/>
      <c r="AL19"/>
      <c r="AM19"/>
      <c r="AN19"/>
      <c r="AO19"/>
      <c r="AP19"/>
      <c r="AQ19"/>
      <c r="AR19"/>
      <c r="AS19"/>
      <c r="AT19"/>
      <c r="AU19"/>
      <c r="AV19"/>
      <c r="AW19"/>
      <c r="AX19"/>
      <c r="AY19"/>
      <c r="AZ19"/>
      <c r="BA19"/>
      <c r="BB19"/>
      <c r="BC19"/>
      <c r="BD19"/>
      <c r="BE19"/>
      <c r="BF19"/>
      <c r="BG19"/>
      <c r="BH19"/>
      <c r="BI19"/>
      <c r="BJ19"/>
      <c r="BK19"/>
      <c r="BL19"/>
      <c r="BM19"/>
      <c r="BN19"/>
      <c r="BO19"/>
      <c r="BP19"/>
      <c r="BQ19"/>
      <c r="BR19"/>
      <c r="BS19"/>
      <c r="BT19"/>
      <c r="BU19"/>
      <c r="BV19"/>
      <c r="BW19"/>
      <c r="BX19"/>
      <c r="BY19"/>
      <c r="BZ19"/>
      <c r="CA19"/>
      <c r="CB19"/>
      <c r="CC19"/>
      <c r="CD19"/>
      <c r="CE19"/>
      <c r="CF19"/>
      <c r="CG19"/>
      <c r="CH19"/>
      <c r="CI19"/>
      <c r="CJ19"/>
      <c r="CK19"/>
      <c r="CL19"/>
      <c r="CM19"/>
      <c r="CN19"/>
      <c r="CO19"/>
      <c r="CP19"/>
      <c r="CQ19"/>
      <c r="CR19"/>
      <c r="CS19"/>
      <c r="CT19"/>
      <c r="CU19"/>
      <c r="CV19"/>
      <c r="CW19"/>
      <c r="CX19"/>
      <c r="CY19"/>
      <c r="CZ19"/>
      <c r="DA19"/>
      <c r="DB19"/>
      <c r="DC19"/>
      <c r="DD19"/>
      <c r="DE19"/>
      <c r="DF19"/>
      <c r="DG19"/>
      <c r="DH19"/>
      <c r="DI19"/>
      <c r="DJ19"/>
      <c r="DK19"/>
      <c r="DL19"/>
      <c r="DM19"/>
      <c r="DN19"/>
      <c r="DO19"/>
      <c r="DP19"/>
      <c r="DQ19"/>
      <c r="DR19"/>
      <c r="DS19"/>
      <c r="DT19"/>
      <c r="DU19"/>
      <c r="DV19"/>
      <c r="DW19"/>
      <c r="DX19"/>
      <c r="DY19"/>
      <c r="DZ19"/>
      <c r="EA19"/>
      <c r="EB19"/>
      <c r="EC19"/>
      <c r="ED19"/>
      <c r="EE19"/>
      <c r="EF19"/>
      <c r="EG19"/>
      <c r="EH19"/>
      <c r="EI19"/>
      <c r="EJ19"/>
      <c r="EK19"/>
      <c r="EL19"/>
      <c r="EM19"/>
      <c r="EN19"/>
      <c r="EO19"/>
      <c r="EP19"/>
      <c r="EQ19"/>
      <c r="ER19"/>
      <c r="ES19"/>
      <c r="ET19"/>
      <c r="EU19"/>
    </row>
    <row r="20" spans="1:151" ht="15" x14ac:dyDescent="0.25">
      <c r="A20" s="170" t="s">
        <v>929</v>
      </c>
      <c r="B20" s="171" t="s">
        <v>937</v>
      </c>
      <c r="C20" s="173"/>
      <c r="D20" s="309">
        <v>40.85</v>
      </c>
      <c r="E20" s="172" cm="1">
        <f t="array" ref="E20">tabUniformes[[#This Row],[Valor Inicial]]*IFERROR(PRODUCT(1+_xlfn._xlws.FILTER(tabIndices[PERCENTUAL],tabIndices[DATA DA PUBLICAÇÃO]&gt;tabUniformes[[#This Row],[DATA PUBLICAÇÃO]])),1)</f>
        <v>40.85</v>
      </c>
      <c r="F20" s="174">
        <v>8</v>
      </c>
      <c r="G20" s="174" t="s">
        <v>1276</v>
      </c>
      <c r="H20" s="174">
        <v>2</v>
      </c>
      <c r="I20" s="175">
        <f>tabUniformes[[#This Row],[Valor Reajustado]]*tabUniformes[[#This Row],[Qtde Anual de Peças]]*tabUniformes[[#This Row],[Qtde. funcionários]]</f>
        <v>653.6</v>
      </c>
      <c r="J20" s="174">
        <f>tabUniformes[[#This Row],[Qtde Anual de Peças]]*tabUniformes[[#This Row],[Qtde. funcionários]]</f>
        <v>16</v>
      </c>
      <c r="K20" s="172">
        <f>IFERROR(tabUniformes[[#This Row],[Total]]/12/tabUniformes[[#This Row],[Qtde. funcionários]],0)</f>
        <v>27.233333333333334</v>
      </c>
      <c r="L20"/>
      <c r="M20"/>
      <c r="N20"/>
      <c r="O20"/>
      <c r="P20"/>
      <c r="Q20"/>
      <c r="R20"/>
      <c r="S20"/>
      <c r="T20"/>
      <c r="U20"/>
      <c r="V20"/>
      <c r="W20"/>
      <c r="X20"/>
      <c r="Y20"/>
      <c r="Z20"/>
      <c r="AA20"/>
      <c r="AB20"/>
      <c r="AC20"/>
      <c r="AD20"/>
      <c r="AE20"/>
      <c r="AF20"/>
      <c r="AG20"/>
      <c r="AH20"/>
      <c r="AI20"/>
      <c r="AJ20"/>
      <c r="AK20"/>
      <c r="AL20"/>
      <c r="AM20"/>
      <c r="AN20"/>
      <c r="AO20"/>
      <c r="AP20"/>
      <c r="AQ20"/>
      <c r="AR20"/>
      <c r="AS20"/>
      <c r="AT20"/>
      <c r="AU20"/>
      <c r="AV20"/>
      <c r="AW20"/>
      <c r="AX20"/>
      <c r="AY20"/>
      <c r="AZ20"/>
      <c r="BA20"/>
      <c r="BB20"/>
      <c r="BC20"/>
      <c r="BD20"/>
      <c r="BE20"/>
      <c r="BF20"/>
      <c r="BG20"/>
      <c r="BH20"/>
      <c r="BI20"/>
      <c r="BJ20"/>
      <c r="BK20"/>
      <c r="BL20"/>
      <c r="BM20"/>
      <c r="BN20"/>
      <c r="BO20"/>
      <c r="BP20"/>
      <c r="BQ20"/>
      <c r="BR20"/>
      <c r="BS20"/>
      <c r="BT20"/>
      <c r="BU20"/>
      <c r="BV20"/>
      <c r="BW20"/>
      <c r="BX20"/>
      <c r="BY20"/>
      <c r="BZ20"/>
      <c r="CA20"/>
      <c r="CB20"/>
      <c r="CC20"/>
      <c r="CD20"/>
      <c r="CE20"/>
      <c r="CF20"/>
      <c r="CG20"/>
      <c r="CH20"/>
      <c r="CI20"/>
      <c r="CJ20"/>
      <c r="CK20"/>
      <c r="CL20"/>
      <c r="CM20"/>
      <c r="CN20"/>
      <c r="CO20"/>
      <c r="CP20"/>
      <c r="CQ20"/>
      <c r="CR20"/>
      <c r="CS20"/>
      <c r="CT20"/>
      <c r="CU20"/>
      <c r="CV20"/>
      <c r="CW20"/>
      <c r="CX20"/>
      <c r="CY20"/>
      <c r="CZ20"/>
      <c r="DA20"/>
      <c r="DB20"/>
      <c r="DC20"/>
      <c r="DD20"/>
      <c r="DE20"/>
      <c r="DF20"/>
      <c r="DG20"/>
      <c r="DH20"/>
      <c r="DI20"/>
      <c r="DJ20"/>
      <c r="DK20"/>
      <c r="DL20"/>
      <c r="DM20"/>
      <c r="DN20"/>
      <c r="DO20"/>
      <c r="DP20"/>
      <c r="DQ20"/>
      <c r="DR20"/>
      <c r="DS20"/>
      <c r="DT20"/>
      <c r="DU20"/>
      <c r="DV20"/>
      <c r="DW20"/>
      <c r="DX20"/>
      <c r="DY20"/>
      <c r="DZ20"/>
      <c r="EA20"/>
      <c r="EB20"/>
      <c r="EC20"/>
      <c r="ED20"/>
      <c r="EE20"/>
      <c r="EF20"/>
      <c r="EG20"/>
      <c r="EH20"/>
      <c r="EI20"/>
      <c r="EJ20"/>
      <c r="EK20"/>
      <c r="EL20"/>
      <c r="EM20"/>
      <c r="EN20"/>
      <c r="EO20"/>
      <c r="EP20"/>
      <c r="EQ20"/>
      <c r="ER20"/>
      <c r="ES20"/>
      <c r="ET20"/>
      <c r="EU20"/>
    </row>
    <row r="21" spans="1:151" ht="15" x14ac:dyDescent="0.25">
      <c r="A21" s="170" t="s">
        <v>930</v>
      </c>
      <c r="B21" s="171" t="s">
        <v>938</v>
      </c>
      <c r="C21" s="173"/>
      <c r="D21" s="309">
        <v>95.13</v>
      </c>
      <c r="E21" s="172" cm="1">
        <f t="array" ref="E21">tabUniformes[[#This Row],[Valor Inicial]]*IFERROR(PRODUCT(1+_xlfn._xlws.FILTER(tabIndices[PERCENTUAL],tabIndices[DATA DA PUBLICAÇÃO]&gt;tabUniformes[[#This Row],[DATA PUBLICAÇÃO]])),1)</f>
        <v>95.13</v>
      </c>
      <c r="F21" s="174">
        <v>1</v>
      </c>
      <c r="G21" s="174" t="s">
        <v>1276</v>
      </c>
      <c r="H21" s="174">
        <v>2</v>
      </c>
      <c r="I21" s="175">
        <f>tabUniformes[[#This Row],[Valor Reajustado]]*tabUniformes[[#This Row],[Qtde Anual de Peças]]*tabUniformes[[#This Row],[Qtde. funcionários]]</f>
        <v>190.26</v>
      </c>
      <c r="J21" s="174">
        <f>tabUniformes[[#This Row],[Qtde Anual de Peças]]*tabUniformes[[#This Row],[Qtde. funcionários]]</f>
        <v>2</v>
      </c>
      <c r="K21" s="172">
        <f>IFERROR(tabUniformes[[#This Row],[Total]]/12/tabUniformes[[#This Row],[Qtde. funcionários]],0)</f>
        <v>7.9274999999999993</v>
      </c>
      <c r="L21"/>
      <c r="M21"/>
      <c r="N21"/>
      <c r="O21"/>
      <c r="P21"/>
      <c r="Q21"/>
      <c r="R21"/>
      <c r="S21"/>
      <c r="T21"/>
      <c r="U21"/>
      <c r="V21"/>
      <c r="W21"/>
      <c r="X21"/>
      <c r="Y21"/>
      <c r="Z21"/>
      <c r="AA21"/>
      <c r="AB21"/>
      <c r="AC21"/>
      <c r="AD21"/>
      <c r="AE21"/>
      <c r="AF21"/>
      <c r="AG21"/>
      <c r="AH21"/>
      <c r="AI21"/>
      <c r="AJ21"/>
      <c r="AK21"/>
      <c r="AL21"/>
      <c r="AM21"/>
      <c r="AN21"/>
      <c r="AO21"/>
      <c r="AP21"/>
      <c r="AQ21"/>
      <c r="AR21"/>
      <c r="AS21"/>
      <c r="AT21"/>
      <c r="AU21"/>
      <c r="AV21"/>
      <c r="AW21"/>
      <c r="AX21"/>
      <c r="AY21"/>
      <c r="AZ21"/>
      <c r="BA21"/>
      <c r="BB21"/>
      <c r="BC21"/>
      <c r="BD21"/>
      <c r="BE21"/>
      <c r="BF21"/>
      <c r="BG21"/>
      <c r="BH21"/>
      <c r="BI21"/>
      <c r="BJ21"/>
      <c r="BK21"/>
      <c r="BL21"/>
      <c r="BM21"/>
      <c r="BN21"/>
      <c r="BO21"/>
      <c r="BP21"/>
      <c r="BQ21"/>
      <c r="BR21"/>
      <c r="BS21"/>
      <c r="BT21"/>
      <c r="BU21"/>
      <c r="BV21"/>
      <c r="BW21"/>
      <c r="BX21"/>
      <c r="BY21"/>
      <c r="BZ21"/>
      <c r="CA21"/>
      <c r="CB21"/>
      <c r="CC21"/>
      <c r="CD21"/>
      <c r="CE21"/>
      <c r="CF21"/>
      <c r="CG21"/>
      <c r="CH21"/>
      <c r="CI21"/>
      <c r="CJ21"/>
      <c r="CK21"/>
      <c r="CL21"/>
      <c r="CM21"/>
      <c r="CN21"/>
      <c r="CO21"/>
      <c r="CP21"/>
      <c r="CQ21"/>
      <c r="CR21"/>
      <c r="CS21"/>
      <c r="CT21"/>
      <c r="CU21"/>
      <c r="CV21"/>
      <c r="CW21"/>
      <c r="CX21"/>
      <c r="CY21"/>
      <c r="CZ21"/>
      <c r="DA21"/>
      <c r="DB21"/>
      <c r="DC21"/>
      <c r="DD21"/>
      <c r="DE21"/>
      <c r="DF21"/>
      <c r="DG21"/>
      <c r="DH21"/>
      <c r="DI21"/>
      <c r="DJ21"/>
      <c r="DK21"/>
      <c r="DL21"/>
      <c r="DM21"/>
      <c r="DN21"/>
      <c r="DO21"/>
      <c r="DP21"/>
      <c r="DQ21"/>
      <c r="DR21"/>
      <c r="DS21"/>
      <c r="DT21"/>
      <c r="DU21"/>
      <c r="DV21"/>
      <c r="DW21"/>
      <c r="DX21"/>
      <c r="DY21"/>
      <c r="DZ21"/>
      <c r="EA21"/>
      <c r="EB21"/>
      <c r="EC21"/>
      <c r="ED21"/>
      <c r="EE21"/>
      <c r="EF21"/>
      <c r="EG21"/>
      <c r="EH21"/>
      <c r="EI21"/>
      <c r="EJ21"/>
      <c r="EK21"/>
      <c r="EL21"/>
      <c r="EM21"/>
      <c r="EN21"/>
      <c r="EO21"/>
      <c r="EP21"/>
      <c r="EQ21"/>
      <c r="ER21"/>
      <c r="ES21"/>
      <c r="ET21"/>
      <c r="EU21"/>
    </row>
    <row r="22" spans="1:151" ht="15" x14ac:dyDescent="0.25">
      <c r="A22" s="170" t="s">
        <v>931</v>
      </c>
      <c r="B22" s="171" t="s">
        <v>1295</v>
      </c>
      <c r="C22" s="173"/>
      <c r="D22" s="309">
        <v>49.99</v>
      </c>
      <c r="E22" s="172" cm="1">
        <f t="array" ref="E22">tabUniformes[[#This Row],[Valor Inicial]]*IFERROR(PRODUCT(1+_xlfn._xlws.FILTER(tabIndices[PERCENTUAL],tabIndices[DATA DA PUBLICAÇÃO]&gt;tabUniformes[[#This Row],[DATA PUBLICAÇÃO]])),1)</f>
        <v>49.99</v>
      </c>
      <c r="F22" s="174">
        <v>2</v>
      </c>
      <c r="G22" s="174" t="s">
        <v>1276</v>
      </c>
      <c r="H22" s="174">
        <v>2</v>
      </c>
      <c r="I22" s="175">
        <f>tabUniformes[[#This Row],[Valor Reajustado]]*tabUniformes[[#This Row],[Qtde Anual de Peças]]*tabUniformes[[#This Row],[Qtde. funcionários]]</f>
        <v>199.96</v>
      </c>
      <c r="J22" s="174">
        <f>tabUniformes[[#This Row],[Qtde Anual de Peças]]*tabUniformes[[#This Row],[Qtde. funcionários]]</f>
        <v>4</v>
      </c>
      <c r="K22" s="172">
        <f>IFERROR(tabUniformes[[#This Row],[Total]]/12/tabUniformes[[#This Row],[Qtde. funcionários]],0)</f>
        <v>8.331666666666667</v>
      </c>
      <c r="L22"/>
      <c r="M22"/>
      <c r="N22"/>
      <c r="O22"/>
      <c r="P22"/>
      <c r="Q22"/>
      <c r="R22"/>
      <c r="S22"/>
      <c r="T22"/>
      <c r="U22"/>
      <c r="V22"/>
      <c r="W22"/>
      <c r="X22"/>
      <c r="Y22"/>
      <c r="Z22"/>
      <c r="AA22"/>
      <c r="AB22"/>
      <c r="AC22"/>
      <c r="AD22"/>
      <c r="AE22"/>
      <c r="AF22"/>
      <c r="AG22"/>
      <c r="AH22"/>
      <c r="AI22"/>
      <c r="AJ22"/>
      <c r="AK22"/>
      <c r="AL22"/>
      <c r="AM22"/>
      <c r="AN22"/>
      <c r="AO22"/>
      <c r="AP22"/>
      <c r="AQ22"/>
      <c r="AR22"/>
      <c r="AS22"/>
      <c r="AT22"/>
      <c r="AU22"/>
      <c r="AV22"/>
      <c r="AW22"/>
      <c r="AX22"/>
      <c r="AY22"/>
      <c r="AZ22"/>
      <c r="BA22"/>
      <c r="BB22"/>
      <c r="BC22"/>
      <c r="BD22"/>
      <c r="BE22"/>
      <c r="BF22"/>
      <c r="BG22"/>
      <c r="BH22"/>
      <c r="BI22"/>
      <c r="BJ22"/>
      <c r="BK22"/>
      <c r="BL22"/>
      <c r="BM22"/>
      <c r="BN22"/>
      <c r="BO22"/>
      <c r="BP22"/>
      <c r="BQ22"/>
      <c r="BR22"/>
      <c r="BS22"/>
      <c r="BT22"/>
      <c r="BU22"/>
      <c r="BV22"/>
      <c r="BW22"/>
      <c r="BX22"/>
      <c r="BY22"/>
      <c r="BZ22"/>
      <c r="CA22"/>
      <c r="CB22"/>
      <c r="CC22"/>
      <c r="CD22"/>
      <c r="CE22"/>
      <c r="CF22"/>
      <c r="CG22"/>
      <c r="CH22"/>
      <c r="CI22"/>
      <c r="CJ22"/>
      <c r="CK22"/>
      <c r="CL22"/>
      <c r="CM22"/>
      <c r="CN22"/>
      <c r="CO22"/>
      <c r="CP22"/>
      <c r="CQ22"/>
      <c r="CR22"/>
      <c r="CS22"/>
      <c r="CT22"/>
      <c r="CU22"/>
      <c r="CV22"/>
      <c r="CW22"/>
      <c r="CX22"/>
      <c r="CY22"/>
      <c r="CZ22"/>
      <c r="DA22"/>
      <c r="DB22"/>
      <c r="DC22"/>
      <c r="DD22"/>
      <c r="DE22"/>
      <c r="DF22"/>
      <c r="DG22"/>
      <c r="DH22"/>
      <c r="DI22"/>
      <c r="DJ22"/>
      <c r="DK22"/>
      <c r="DL22"/>
      <c r="DM22"/>
      <c r="DN22"/>
      <c r="DO22"/>
      <c r="DP22"/>
      <c r="DQ22"/>
      <c r="DR22"/>
      <c r="DS22"/>
      <c r="DT22"/>
      <c r="DU22"/>
      <c r="DV22"/>
      <c r="DW22"/>
      <c r="DX22"/>
      <c r="DY22"/>
      <c r="DZ22"/>
      <c r="EA22"/>
      <c r="EB22"/>
      <c r="EC22"/>
      <c r="ED22"/>
      <c r="EE22"/>
      <c r="EF22"/>
      <c r="EG22"/>
      <c r="EH22"/>
      <c r="EI22"/>
      <c r="EJ22"/>
      <c r="EK22"/>
      <c r="EL22"/>
      <c r="EM22"/>
      <c r="EN22"/>
      <c r="EO22"/>
      <c r="EP22"/>
      <c r="EQ22"/>
      <c r="ER22"/>
      <c r="ES22"/>
      <c r="ET22"/>
      <c r="EU22"/>
    </row>
    <row r="23" spans="1:151" ht="15" x14ac:dyDescent="0.25">
      <c r="A23" s="170" t="s">
        <v>931</v>
      </c>
      <c r="B23" s="171" t="s">
        <v>1296</v>
      </c>
      <c r="C23" s="173"/>
      <c r="D23" s="309">
        <v>95.77</v>
      </c>
      <c r="E23" s="172" cm="1">
        <f t="array" ref="E23">tabUniformes[[#This Row],[Valor Inicial]]*IFERROR(PRODUCT(1+_xlfn._xlws.FILTER(tabIndices[PERCENTUAL],tabIndices[DATA DA PUBLICAÇÃO]&gt;tabUniformes[[#This Row],[DATA PUBLICAÇÃO]])),1)</f>
        <v>95.77</v>
      </c>
      <c r="F23" s="174">
        <v>2</v>
      </c>
      <c r="G23" s="174" t="s">
        <v>1276</v>
      </c>
      <c r="H23" s="174">
        <v>2</v>
      </c>
      <c r="I23" s="175">
        <f>tabUniformes[[#This Row],[Valor Reajustado]]*tabUniformes[[#This Row],[Qtde Anual de Peças]]*tabUniformes[[#This Row],[Qtde. funcionários]]</f>
        <v>383.08</v>
      </c>
      <c r="J23" s="174">
        <f>tabUniformes[[#This Row],[Qtde Anual de Peças]]*tabUniformes[[#This Row],[Qtde. funcionários]]</f>
        <v>4</v>
      </c>
      <c r="K23" s="172">
        <f>IFERROR(tabUniformes[[#This Row],[Total]]/12/tabUniformes[[#This Row],[Qtde. funcionários]],0)</f>
        <v>15.961666666666666</v>
      </c>
      <c r="L23"/>
      <c r="M23"/>
      <c r="N23"/>
      <c r="O23"/>
      <c r="P23"/>
      <c r="Q23"/>
      <c r="R23"/>
      <c r="S23"/>
      <c r="T23"/>
      <c r="U23"/>
      <c r="V23"/>
      <c r="W23"/>
      <c r="X23"/>
      <c r="Y23"/>
      <c r="Z23"/>
      <c r="AA23"/>
      <c r="AB23"/>
      <c r="AC23"/>
      <c r="AD23"/>
      <c r="AE23"/>
      <c r="AF23"/>
      <c r="AG23"/>
      <c r="AH23"/>
      <c r="AI23"/>
      <c r="AJ23"/>
      <c r="AK23"/>
      <c r="AL23"/>
      <c r="AM23"/>
      <c r="AN23"/>
      <c r="AO23"/>
      <c r="AP23"/>
      <c r="AQ23"/>
      <c r="AR23"/>
      <c r="AS23"/>
      <c r="AT23"/>
      <c r="AU23"/>
      <c r="AV23"/>
      <c r="AW23"/>
      <c r="AX23"/>
      <c r="AY23"/>
      <c r="AZ23"/>
      <c r="BA23"/>
      <c r="BB23"/>
      <c r="BC23"/>
      <c r="BD23"/>
      <c r="BE23"/>
      <c r="BF23"/>
      <c r="BG23"/>
      <c r="BH23"/>
      <c r="BI23"/>
      <c r="BJ23"/>
      <c r="BK23"/>
      <c r="BL23"/>
      <c r="BM23"/>
      <c r="BN23"/>
      <c r="BO23"/>
      <c r="BP23"/>
      <c r="BQ23"/>
      <c r="BR23"/>
      <c r="BS23"/>
      <c r="BT23"/>
      <c r="BU23"/>
      <c r="BV23"/>
      <c r="BW23"/>
      <c r="BX23"/>
      <c r="BY23"/>
      <c r="BZ23"/>
      <c r="CA23"/>
      <c r="CB23"/>
      <c r="CC23"/>
      <c r="CD23"/>
      <c r="CE23"/>
      <c r="CF23"/>
      <c r="CG23"/>
      <c r="CH23"/>
      <c r="CI23"/>
      <c r="CJ23"/>
      <c r="CK23"/>
      <c r="CL23"/>
      <c r="CM23"/>
      <c r="CN23"/>
      <c r="CO23"/>
      <c r="CP23"/>
      <c r="CQ23"/>
      <c r="CR23"/>
      <c r="CS23"/>
      <c r="CT23"/>
      <c r="CU23"/>
      <c r="CV23"/>
      <c r="CW23"/>
      <c r="CX23"/>
      <c r="CY23"/>
      <c r="CZ23"/>
      <c r="DA23"/>
      <c r="DB23"/>
      <c r="DC23"/>
      <c r="DD23"/>
      <c r="DE23"/>
      <c r="DF23"/>
      <c r="DG23"/>
      <c r="DH23"/>
      <c r="DI23"/>
      <c r="DJ23"/>
      <c r="DK23"/>
      <c r="DL23"/>
      <c r="DM23"/>
      <c r="DN23"/>
      <c r="DO23"/>
      <c r="DP23"/>
      <c r="DQ23"/>
      <c r="DR23"/>
      <c r="DS23"/>
      <c r="DT23"/>
      <c r="DU23"/>
      <c r="DV23"/>
      <c r="DW23"/>
      <c r="DX23"/>
      <c r="DY23"/>
      <c r="DZ23"/>
      <c r="EA23"/>
      <c r="EB23"/>
      <c r="EC23"/>
      <c r="ED23"/>
      <c r="EE23"/>
      <c r="EF23"/>
      <c r="EG23"/>
      <c r="EH23"/>
      <c r="EI23"/>
      <c r="EJ23"/>
      <c r="EK23"/>
      <c r="EL23"/>
      <c r="EM23"/>
      <c r="EN23"/>
      <c r="EO23"/>
      <c r="EP23"/>
      <c r="EQ23"/>
      <c r="ER23"/>
      <c r="ES23"/>
      <c r="ET23"/>
      <c r="EU23"/>
    </row>
    <row r="24" spans="1:151" ht="15" x14ac:dyDescent="0.25">
      <c r="A24" s="170" t="s">
        <v>932</v>
      </c>
      <c r="B24" s="171" t="s">
        <v>1293</v>
      </c>
      <c r="C24" s="173"/>
      <c r="D24" s="309">
        <v>5.49</v>
      </c>
      <c r="E24" s="172" cm="1">
        <f t="array" ref="E24">tabUniformes[[#This Row],[Valor Inicial]]*IFERROR(PRODUCT(1+_xlfn._xlws.FILTER(tabIndices[PERCENTUAL],tabIndices[DATA DA PUBLICAÇÃO]&gt;tabUniformes[[#This Row],[DATA PUBLICAÇÃO]])),1)</f>
        <v>5.49</v>
      </c>
      <c r="F24" s="174">
        <v>46</v>
      </c>
      <c r="G24" s="174" t="s">
        <v>1276</v>
      </c>
      <c r="H24" s="174">
        <v>2</v>
      </c>
      <c r="I24" s="175">
        <f>tabUniformes[[#This Row],[Valor Reajustado]]*tabUniformes[[#This Row],[Qtde Anual de Peças]]*tabUniformes[[#This Row],[Qtde. funcionários]]</f>
        <v>505.08000000000004</v>
      </c>
      <c r="J24" s="174">
        <f>tabUniformes[[#This Row],[Qtde Anual de Peças]]*tabUniformes[[#This Row],[Qtde. funcionários]]</f>
        <v>92</v>
      </c>
      <c r="K24" s="172">
        <f>IFERROR(tabUniformes[[#This Row],[Total]]/12/tabUniformes[[#This Row],[Qtde. funcionários]],0)</f>
        <v>21.045000000000002</v>
      </c>
      <c r="L24"/>
      <c r="M24"/>
      <c r="N24"/>
      <c r="O24"/>
      <c r="P24"/>
      <c r="Q24"/>
      <c r="R24"/>
      <c r="S24"/>
      <c r="T24"/>
      <c r="U24"/>
      <c r="V24"/>
      <c r="W24"/>
      <c r="X24"/>
      <c r="Y24"/>
      <c r="Z24"/>
      <c r="AA24"/>
      <c r="AB24"/>
      <c r="AC24"/>
      <c r="AD24"/>
      <c r="AE24"/>
      <c r="AF24"/>
      <c r="AG24"/>
      <c r="AH24"/>
      <c r="AI24"/>
      <c r="AJ24"/>
      <c r="AK24"/>
      <c r="AL24"/>
      <c r="AM24"/>
      <c r="AN24"/>
      <c r="AO24"/>
      <c r="AP24"/>
      <c r="AQ24"/>
      <c r="AR24"/>
      <c r="AS24"/>
      <c r="AT24"/>
      <c r="AU24"/>
      <c r="AV24"/>
      <c r="AW24"/>
      <c r="AX24"/>
      <c r="AY24"/>
      <c r="AZ24"/>
      <c r="BA24"/>
      <c r="BB24"/>
      <c r="BC24"/>
      <c r="BD24"/>
      <c r="BE24"/>
      <c r="BF24"/>
      <c r="BG24"/>
      <c r="BH24"/>
      <c r="BI24"/>
      <c r="BJ24"/>
      <c r="BK24"/>
      <c r="BL24"/>
      <c r="BM24"/>
      <c r="BN24"/>
      <c r="BO24"/>
      <c r="BP24"/>
      <c r="BQ24"/>
      <c r="BR24"/>
      <c r="BS24"/>
      <c r="BT24"/>
      <c r="BU24"/>
      <c r="BV24"/>
      <c r="BW24"/>
      <c r="BX24"/>
      <c r="BY24"/>
      <c r="BZ24"/>
      <c r="CA24"/>
      <c r="CB24"/>
      <c r="CC24"/>
      <c r="CD24"/>
      <c r="CE24"/>
      <c r="CF24"/>
      <c r="CG24"/>
      <c r="CH24"/>
      <c r="CI24"/>
      <c r="CJ24"/>
      <c r="CK24"/>
      <c r="CL24"/>
      <c r="CM24"/>
      <c r="CN24"/>
      <c r="CO24"/>
      <c r="CP24"/>
      <c r="CQ24"/>
      <c r="CR24"/>
      <c r="CS24"/>
      <c r="CT24"/>
      <c r="CU24"/>
      <c r="CV24"/>
      <c r="CW24"/>
      <c r="CX24"/>
      <c r="CY24"/>
      <c r="CZ24"/>
      <c r="DA24"/>
      <c r="DB24"/>
      <c r="DC24"/>
      <c r="DD24"/>
      <c r="DE24"/>
      <c r="DF24"/>
      <c r="DG24"/>
      <c r="DH24"/>
      <c r="DI24"/>
      <c r="DJ24"/>
      <c r="DK24"/>
      <c r="DL24"/>
      <c r="DM24"/>
      <c r="DN24"/>
      <c r="DO24"/>
      <c r="DP24"/>
      <c r="DQ24"/>
      <c r="DR24"/>
      <c r="DS24"/>
      <c r="DT24"/>
      <c r="DU24"/>
      <c r="DV24"/>
      <c r="DW24"/>
      <c r="DX24"/>
      <c r="DY24"/>
      <c r="DZ24"/>
      <c r="EA24"/>
      <c r="EB24"/>
      <c r="EC24"/>
      <c r="ED24"/>
      <c r="EE24"/>
      <c r="EF24"/>
      <c r="EG24"/>
      <c r="EH24"/>
      <c r="EI24"/>
      <c r="EJ24"/>
      <c r="EK24"/>
      <c r="EL24"/>
      <c r="EM24"/>
      <c r="EN24"/>
      <c r="EO24"/>
      <c r="EP24"/>
      <c r="EQ24"/>
      <c r="ER24"/>
      <c r="ES24"/>
      <c r="ET24"/>
      <c r="EU24"/>
    </row>
    <row r="25" spans="1:151" ht="15" x14ac:dyDescent="0.25">
      <c r="A25" s="170" t="s">
        <v>928</v>
      </c>
      <c r="B25" s="171" t="s">
        <v>935</v>
      </c>
      <c r="C25" s="173"/>
      <c r="D25" s="309">
        <v>60.93</v>
      </c>
      <c r="E25" s="172" cm="1">
        <f t="array" ref="E25">tabUniformes[[#This Row],[Valor Inicial]]*IFERROR(PRODUCT(1+_xlfn._xlws.FILTER(tabIndices[PERCENTUAL],tabIndices[DATA DA PUBLICAÇÃO]&gt;tabUniformes[[#This Row],[DATA PUBLICAÇÃO]])),1)</f>
        <v>60.93</v>
      </c>
      <c r="F25" s="174">
        <v>4</v>
      </c>
      <c r="G25" s="174" t="s">
        <v>1242</v>
      </c>
      <c r="H25" s="174">
        <v>19</v>
      </c>
      <c r="I25" s="175">
        <f>tabUniformes[[#This Row],[Valor Reajustado]]*tabUniformes[[#This Row],[Qtde Anual de Peças]]*tabUniformes[[#This Row],[Qtde. funcionários]]</f>
        <v>4630.68</v>
      </c>
      <c r="J25" s="174">
        <f>tabUniformes[[#This Row],[Qtde Anual de Peças]]*tabUniformes[[#This Row],[Qtde. funcionários]]</f>
        <v>76</v>
      </c>
      <c r="K25" s="172">
        <f>IFERROR(tabUniformes[[#This Row],[Total]]/12/tabUniformes[[#This Row],[Qtde. funcionários]],0)</f>
        <v>20.310000000000002</v>
      </c>
      <c r="L25"/>
      <c r="M25"/>
      <c r="N25"/>
      <c r="O25"/>
      <c r="P25"/>
      <c r="Q25"/>
      <c r="R25"/>
      <c r="S25"/>
      <c r="T25"/>
      <c r="U25"/>
      <c r="V25"/>
      <c r="W25"/>
      <c r="X25"/>
      <c r="Y25"/>
      <c r="Z25"/>
      <c r="AA25"/>
      <c r="AB25"/>
      <c r="AC25"/>
      <c r="AD25"/>
      <c r="AE25"/>
      <c r="AF25"/>
      <c r="AG25"/>
      <c r="AH25"/>
      <c r="AI25"/>
      <c r="AJ25"/>
      <c r="AK25"/>
      <c r="AL25"/>
      <c r="AM25"/>
      <c r="AN25"/>
      <c r="AO25"/>
      <c r="AP25"/>
      <c r="AQ25"/>
      <c r="AR25"/>
      <c r="AS25"/>
      <c r="AT25"/>
      <c r="AU25"/>
      <c r="AV25"/>
      <c r="AW25"/>
      <c r="AX25"/>
      <c r="AY25"/>
      <c r="AZ25"/>
      <c r="BA25"/>
      <c r="BB25"/>
      <c r="BC25"/>
      <c r="BD25"/>
      <c r="BE25"/>
      <c r="BF25"/>
      <c r="BG25"/>
      <c r="BH25"/>
      <c r="BI25"/>
      <c r="BJ25"/>
      <c r="BK25"/>
      <c r="BL25"/>
      <c r="BM25"/>
      <c r="BN25"/>
      <c r="BO25"/>
      <c r="BP25"/>
      <c r="BQ25"/>
      <c r="BR25"/>
      <c r="BS25"/>
      <c r="BT25"/>
      <c r="BU25"/>
      <c r="BV25"/>
      <c r="BW25"/>
      <c r="BX25"/>
      <c r="BY25"/>
      <c r="BZ25"/>
      <c r="CA25"/>
      <c r="CB25"/>
      <c r="CC25"/>
      <c r="CD25"/>
      <c r="CE25"/>
      <c r="CF25"/>
      <c r="CG25"/>
      <c r="CH25"/>
      <c r="CI25"/>
      <c r="CJ25"/>
      <c r="CK25"/>
      <c r="CL25"/>
      <c r="CM25"/>
      <c r="CN25"/>
      <c r="CO25"/>
      <c r="CP25"/>
      <c r="CQ25"/>
      <c r="CR25"/>
      <c r="CS25"/>
      <c r="CT25"/>
      <c r="CU25"/>
      <c r="CV25"/>
      <c r="CW25"/>
      <c r="CX25"/>
      <c r="CY25"/>
      <c r="CZ25"/>
      <c r="DA25"/>
      <c r="DB25"/>
      <c r="DC25"/>
      <c r="DD25"/>
      <c r="DE25"/>
      <c r="DF25"/>
      <c r="DG25"/>
      <c r="DH25"/>
      <c r="DI25"/>
      <c r="DJ25"/>
      <c r="DK25"/>
      <c r="DL25"/>
      <c r="DM25"/>
      <c r="DN25"/>
      <c r="DO25"/>
      <c r="DP25"/>
      <c r="DQ25"/>
      <c r="DR25"/>
      <c r="DS25"/>
      <c r="DT25"/>
      <c r="DU25"/>
      <c r="DV25"/>
      <c r="DW25"/>
      <c r="DX25"/>
      <c r="DY25"/>
      <c r="DZ25"/>
      <c r="EA25"/>
      <c r="EB25"/>
      <c r="EC25"/>
      <c r="ED25"/>
      <c r="EE25"/>
      <c r="EF25"/>
      <c r="EG25"/>
      <c r="EH25"/>
      <c r="EI25"/>
      <c r="EJ25"/>
      <c r="EK25"/>
      <c r="EL25"/>
      <c r="EM25"/>
      <c r="EN25"/>
      <c r="EO25"/>
      <c r="EP25"/>
      <c r="EQ25"/>
      <c r="ER25"/>
      <c r="ES25"/>
      <c r="ET25"/>
      <c r="EU25"/>
    </row>
    <row r="26" spans="1:151" ht="15" x14ac:dyDescent="0.25">
      <c r="A26" s="170" t="s">
        <v>929</v>
      </c>
      <c r="B26" s="171" t="s">
        <v>937</v>
      </c>
      <c r="C26" s="173"/>
      <c r="D26" s="309">
        <v>40.85</v>
      </c>
      <c r="E26" s="172" cm="1">
        <f t="array" ref="E26">tabUniformes[[#This Row],[Valor Inicial]]*IFERROR(PRODUCT(1+_xlfn._xlws.FILTER(tabIndices[PERCENTUAL],tabIndices[DATA DA PUBLICAÇÃO]&gt;tabUniformes[[#This Row],[DATA PUBLICAÇÃO]])),1)</f>
        <v>40.85</v>
      </c>
      <c r="F26" s="174">
        <v>8</v>
      </c>
      <c r="G26" s="174" t="s">
        <v>1242</v>
      </c>
      <c r="H26" s="174">
        <v>19</v>
      </c>
      <c r="I26" s="175">
        <f>tabUniformes[[#This Row],[Valor Reajustado]]*tabUniformes[[#This Row],[Qtde Anual de Peças]]*tabUniformes[[#This Row],[Qtde. funcionários]]</f>
        <v>6209.2</v>
      </c>
      <c r="J26" s="174">
        <f>tabUniformes[[#This Row],[Qtde Anual de Peças]]*tabUniformes[[#This Row],[Qtde. funcionários]]</f>
        <v>152</v>
      </c>
      <c r="K26" s="172">
        <f>IFERROR(tabUniformes[[#This Row],[Total]]/12/tabUniformes[[#This Row],[Qtde. funcionários]],0)</f>
        <v>27.233333333333331</v>
      </c>
      <c r="L26"/>
      <c r="M26"/>
      <c r="N26"/>
      <c r="O26"/>
      <c r="P26"/>
      <c r="Q26"/>
      <c r="R26"/>
      <c r="S26"/>
      <c r="T26"/>
      <c r="U26"/>
      <c r="V26"/>
      <c r="W26"/>
      <c r="X26"/>
      <c r="Y26"/>
      <c r="Z26"/>
      <c r="AA26"/>
      <c r="AB26"/>
      <c r="AC26"/>
      <c r="AD26"/>
      <c r="AE26"/>
      <c r="AF26"/>
      <c r="AG26"/>
      <c r="AH26"/>
      <c r="AI26"/>
      <c r="AJ26"/>
      <c r="AK26"/>
      <c r="AL26"/>
      <c r="AM26"/>
      <c r="AN26"/>
      <c r="AO26"/>
      <c r="AP26"/>
      <c r="AQ26"/>
      <c r="AR26"/>
      <c r="AS26"/>
      <c r="AT26"/>
      <c r="AU26"/>
      <c r="AV26"/>
      <c r="AW26"/>
      <c r="AX26"/>
      <c r="AY26"/>
      <c r="AZ26"/>
      <c r="BA26"/>
      <c r="BB26"/>
      <c r="BC26"/>
      <c r="BD26"/>
      <c r="BE26"/>
      <c r="BF26"/>
      <c r="BG26"/>
      <c r="BH26"/>
      <c r="BI26"/>
      <c r="BJ26"/>
      <c r="BK26"/>
      <c r="BL26"/>
      <c r="BM26"/>
      <c r="BN26"/>
      <c r="BO26"/>
      <c r="BP26"/>
      <c r="BQ26"/>
      <c r="BR26"/>
      <c r="BS26"/>
      <c r="BT26"/>
      <c r="BU26"/>
      <c r="BV26"/>
      <c r="BW26"/>
      <c r="BX26"/>
      <c r="BY26"/>
      <c r="BZ26"/>
      <c r="CA26"/>
      <c r="CB26"/>
      <c r="CC26"/>
      <c r="CD26"/>
      <c r="CE26"/>
      <c r="CF26"/>
      <c r="CG26"/>
      <c r="CH26"/>
      <c r="CI26"/>
      <c r="CJ26"/>
      <c r="CK26"/>
      <c r="CL26"/>
      <c r="CM26"/>
      <c r="CN26"/>
      <c r="CO26"/>
      <c r="CP26"/>
      <c r="CQ26"/>
      <c r="CR26"/>
      <c r="CS26"/>
      <c r="CT26"/>
      <c r="CU26"/>
      <c r="CV26"/>
      <c r="CW26"/>
      <c r="CX26"/>
      <c r="CY26"/>
      <c r="CZ26"/>
      <c r="DA26"/>
      <c r="DB26"/>
      <c r="DC26"/>
      <c r="DD26"/>
      <c r="DE26"/>
      <c r="DF26"/>
      <c r="DG26"/>
      <c r="DH26"/>
      <c r="DI26"/>
      <c r="DJ26"/>
      <c r="DK26"/>
      <c r="DL26"/>
      <c r="DM26"/>
      <c r="DN26"/>
      <c r="DO26"/>
      <c r="DP26"/>
      <c r="DQ26"/>
      <c r="DR26"/>
      <c r="DS26"/>
      <c r="DT26"/>
      <c r="DU26"/>
      <c r="DV26"/>
      <c r="DW26"/>
      <c r="DX26"/>
      <c r="DY26"/>
      <c r="DZ26"/>
      <c r="EA26"/>
      <c r="EB26"/>
      <c r="EC26"/>
      <c r="ED26"/>
      <c r="EE26"/>
      <c r="EF26"/>
      <c r="EG26"/>
      <c r="EH26"/>
      <c r="EI26"/>
      <c r="EJ26"/>
      <c r="EK26"/>
      <c r="EL26"/>
      <c r="EM26"/>
      <c r="EN26"/>
      <c r="EO26"/>
      <c r="EP26"/>
      <c r="EQ26"/>
      <c r="ER26"/>
      <c r="ES26"/>
      <c r="ET26"/>
      <c r="EU26"/>
    </row>
    <row r="27" spans="1:151" ht="15" x14ac:dyDescent="0.25">
      <c r="A27" s="170" t="s">
        <v>930</v>
      </c>
      <c r="B27" s="171" t="s">
        <v>938</v>
      </c>
      <c r="C27" s="173"/>
      <c r="D27" s="309">
        <v>95.13</v>
      </c>
      <c r="E27" s="172" cm="1">
        <f t="array" ref="E27">tabUniformes[[#This Row],[Valor Inicial]]*IFERROR(PRODUCT(1+_xlfn._xlws.FILTER(tabIndices[PERCENTUAL],tabIndices[DATA DA PUBLICAÇÃO]&gt;tabUniformes[[#This Row],[DATA PUBLICAÇÃO]])),1)</f>
        <v>95.13</v>
      </c>
      <c r="F27" s="174">
        <v>1</v>
      </c>
      <c r="G27" s="174" t="s">
        <v>1242</v>
      </c>
      <c r="H27" s="174">
        <v>19</v>
      </c>
      <c r="I27" s="175">
        <f>tabUniformes[[#This Row],[Valor Reajustado]]*tabUniformes[[#This Row],[Qtde Anual de Peças]]*tabUniformes[[#This Row],[Qtde. funcionários]]</f>
        <v>1807.4699999999998</v>
      </c>
      <c r="J27" s="174">
        <f>tabUniformes[[#This Row],[Qtde Anual de Peças]]*tabUniformes[[#This Row],[Qtde. funcionários]]</f>
        <v>19</v>
      </c>
      <c r="K27" s="172">
        <f>IFERROR(tabUniformes[[#This Row],[Total]]/12/tabUniformes[[#This Row],[Qtde. funcionários]],0)</f>
        <v>7.9274999999999984</v>
      </c>
      <c r="L27"/>
      <c r="M27"/>
      <c r="N27"/>
      <c r="O27"/>
      <c r="P27"/>
      <c r="Q27"/>
      <c r="R27"/>
      <c r="S27"/>
      <c r="T27"/>
      <c r="U27"/>
      <c r="V27"/>
      <c r="W27"/>
      <c r="X27"/>
      <c r="Y27"/>
      <c r="Z27"/>
      <c r="AA27"/>
      <c r="AB27"/>
      <c r="AC27"/>
      <c r="AD27"/>
      <c r="AE27"/>
      <c r="AF27"/>
      <c r="AG27"/>
      <c r="AH27"/>
      <c r="AI27"/>
      <c r="AJ27"/>
      <c r="AK27"/>
      <c r="AL27"/>
      <c r="AM27"/>
      <c r="AN27"/>
      <c r="AO27"/>
      <c r="AP27"/>
      <c r="AQ27"/>
      <c r="AR27"/>
      <c r="AS27"/>
      <c r="AT27"/>
      <c r="AU27"/>
      <c r="AV27"/>
      <c r="AW27"/>
      <c r="AX27"/>
      <c r="AY27"/>
      <c r="AZ27"/>
      <c r="BA27"/>
      <c r="BB27"/>
      <c r="BC27"/>
      <c r="BD27"/>
      <c r="BE27"/>
      <c r="BF27"/>
      <c r="BG27"/>
      <c r="BH27"/>
      <c r="BI27"/>
      <c r="BJ27"/>
      <c r="BK27"/>
      <c r="BL27"/>
      <c r="BM27"/>
      <c r="BN27"/>
      <c r="BO27"/>
      <c r="BP27"/>
      <c r="BQ27"/>
      <c r="BR27"/>
      <c r="BS27"/>
      <c r="BT27"/>
      <c r="BU27"/>
      <c r="BV27"/>
      <c r="BW27"/>
      <c r="BX27"/>
      <c r="BY27"/>
      <c r="BZ27"/>
      <c r="CA27"/>
      <c r="CB27"/>
      <c r="CC27"/>
      <c r="CD27"/>
      <c r="CE27"/>
      <c r="CF27"/>
      <c r="CG27"/>
      <c r="CH27"/>
      <c r="CI27"/>
      <c r="CJ27"/>
      <c r="CK27"/>
      <c r="CL27"/>
      <c r="CM27"/>
      <c r="CN27"/>
      <c r="CO27"/>
      <c r="CP27"/>
      <c r="CQ27"/>
      <c r="CR27"/>
      <c r="CS27"/>
      <c r="CT27"/>
      <c r="CU27"/>
      <c r="CV27"/>
      <c r="CW27"/>
      <c r="CX27"/>
      <c r="CY27"/>
      <c r="CZ27"/>
      <c r="DA27"/>
      <c r="DB27"/>
      <c r="DC27"/>
      <c r="DD27"/>
      <c r="DE27"/>
      <c r="DF27"/>
      <c r="DG27"/>
      <c r="DH27"/>
      <c r="DI27"/>
      <c r="DJ27"/>
      <c r="DK27"/>
      <c r="DL27"/>
      <c r="DM27"/>
      <c r="DN27"/>
      <c r="DO27"/>
      <c r="DP27"/>
      <c r="DQ27"/>
      <c r="DR27"/>
      <c r="DS27"/>
      <c r="DT27"/>
      <c r="DU27"/>
      <c r="DV27"/>
      <c r="DW27"/>
      <c r="DX27"/>
      <c r="DY27"/>
      <c r="DZ27"/>
      <c r="EA27"/>
      <c r="EB27"/>
      <c r="EC27"/>
      <c r="ED27"/>
      <c r="EE27"/>
      <c r="EF27"/>
      <c r="EG27"/>
      <c r="EH27"/>
      <c r="EI27"/>
      <c r="EJ27"/>
      <c r="EK27"/>
      <c r="EL27"/>
      <c r="EM27"/>
      <c r="EN27"/>
      <c r="EO27"/>
      <c r="EP27"/>
      <c r="EQ27"/>
      <c r="ER27"/>
      <c r="ES27"/>
      <c r="ET27"/>
      <c r="EU27"/>
    </row>
    <row r="28" spans="1:151" ht="15" x14ac:dyDescent="0.25">
      <c r="A28" s="170" t="s">
        <v>931</v>
      </c>
      <c r="B28" s="171" t="s">
        <v>1295</v>
      </c>
      <c r="C28" s="173"/>
      <c r="D28" s="309">
        <v>49.99</v>
      </c>
      <c r="E28" s="172" cm="1">
        <f t="array" ref="E28">tabUniformes[[#This Row],[Valor Inicial]]*IFERROR(PRODUCT(1+_xlfn._xlws.FILTER(tabIndices[PERCENTUAL],tabIndices[DATA DA PUBLICAÇÃO]&gt;tabUniformes[[#This Row],[DATA PUBLICAÇÃO]])),1)</f>
        <v>49.99</v>
      </c>
      <c r="F28" s="174">
        <v>2</v>
      </c>
      <c r="G28" s="174" t="s">
        <v>1242</v>
      </c>
      <c r="H28" s="174">
        <v>19</v>
      </c>
      <c r="I28" s="175">
        <f>tabUniformes[[#This Row],[Valor Reajustado]]*tabUniformes[[#This Row],[Qtde Anual de Peças]]*tabUniformes[[#This Row],[Qtde. funcionários]]</f>
        <v>1899.6200000000001</v>
      </c>
      <c r="J28" s="174">
        <f>tabUniformes[[#This Row],[Qtde Anual de Peças]]*tabUniformes[[#This Row],[Qtde. funcionários]]</f>
        <v>38</v>
      </c>
      <c r="K28" s="172">
        <f>IFERROR(tabUniformes[[#This Row],[Total]]/12/tabUniformes[[#This Row],[Qtde. funcionários]],0)</f>
        <v>8.331666666666667</v>
      </c>
      <c r="L28"/>
      <c r="M28"/>
      <c r="N28"/>
      <c r="O28"/>
      <c r="P28"/>
      <c r="Q28"/>
      <c r="R28"/>
      <c r="S28"/>
      <c r="T28"/>
      <c r="U28"/>
      <c r="V28"/>
      <c r="W28"/>
      <c r="X28"/>
      <c r="Y28"/>
      <c r="Z28"/>
      <c r="AA28"/>
      <c r="AB28"/>
      <c r="AC28"/>
      <c r="AD28"/>
      <c r="AE28"/>
      <c r="AF28"/>
      <c r="AG28"/>
      <c r="AH28"/>
      <c r="AI28"/>
      <c r="AJ28"/>
      <c r="AK28"/>
      <c r="AL28"/>
      <c r="AM28"/>
      <c r="AN28"/>
      <c r="AO28"/>
      <c r="AP28"/>
      <c r="AQ28"/>
      <c r="AR28"/>
      <c r="AS28"/>
      <c r="AT28"/>
      <c r="AU28"/>
      <c r="AV28"/>
      <c r="AW28"/>
      <c r="AX28"/>
      <c r="AY28"/>
      <c r="AZ28"/>
      <c r="BA28"/>
      <c r="BB28"/>
      <c r="BC28"/>
      <c r="BD28"/>
      <c r="BE28"/>
      <c r="BF28"/>
      <c r="BG28"/>
      <c r="BH28"/>
      <c r="BI28"/>
      <c r="BJ28"/>
      <c r="BK28"/>
      <c r="BL28"/>
      <c r="BM28"/>
      <c r="BN28"/>
      <c r="BO28"/>
      <c r="BP28"/>
      <c r="BQ28"/>
      <c r="BR28"/>
      <c r="BS28"/>
      <c r="BT28"/>
      <c r="BU28"/>
      <c r="BV28"/>
      <c r="BW28"/>
      <c r="BX28"/>
      <c r="BY28"/>
      <c r="BZ28"/>
      <c r="CA28"/>
      <c r="CB28"/>
      <c r="CC28"/>
      <c r="CD28"/>
      <c r="CE28"/>
      <c r="CF28"/>
      <c r="CG28"/>
      <c r="CH28"/>
      <c r="CI28"/>
      <c r="CJ28"/>
      <c r="CK28"/>
      <c r="CL28"/>
      <c r="CM28"/>
      <c r="CN28"/>
      <c r="CO28"/>
      <c r="CP28"/>
      <c r="CQ28"/>
      <c r="CR28"/>
      <c r="CS28"/>
      <c r="CT28"/>
      <c r="CU28"/>
      <c r="CV28"/>
      <c r="CW28"/>
      <c r="CX28"/>
      <c r="CY28"/>
      <c r="CZ28"/>
      <c r="DA28"/>
      <c r="DB28"/>
      <c r="DC28"/>
      <c r="DD28"/>
      <c r="DE28"/>
      <c r="DF28"/>
      <c r="DG28"/>
      <c r="DH28"/>
      <c r="DI28"/>
      <c r="DJ28"/>
      <c r="DK28"/>
      <c r="DL28"/>
      <c r="DM28"/>
      <c r="DN28"/>
      <c r="DO28"/>
      <c r="DP28"/>
      <c r="DQ28"/>
      <c r="DR28"/>
      <c r="DS28"/>
      <c r="DT28"/>
      <c r="DU28"/>
      <c r="DV28"/>
      <c r="DW28"/>
      <c r="DX28"/>
      <c r="DY28"/>
      <c r="DZ28"/>
      <c r="EA28"/>
      <c r="EB28"/>
      <c r="EC28"/>
      <c r="ED28"/>
      <c r="EE28"/>
      <c r="EF28"/>
      <c r="EG28"/>
      <c r="EH28"/>
      <c r="EI28"/>
      <c r="EJ28"/>
      <c r="EK28"/>
      <c r="EL28"/>
      <c r="EM28"/>
      <c r="EN28"/>
      <c r="EO28"/>
      <c r="EP28"/>
      <c r="EQ28"/>
      <c r="ER28"/>
      <c r="ES28"/>
      <c r="ET28"/>
      <c r="EU28"/>
    </row>
    <row r="29" spans="1:151" ht="15" x14ac:dyDescent="0.25">
      <c r="A29" s="170" t="s">
        <v>931</v>
      </c>
      <c r="B29" s="171" t="s">
        <v>1296</v>
      </c>
      <c r="C29" s="173"/>
      <c r="D29" s="309">
        <v>95.77</v>
      </c>
      <c r="E29" s="172" cm="1">
        <f t="array" ref="E29">tabUniformes[[#This Row],[Valor Inicial]]*IFERROR(PRODUCT(1+_xlfn._xlws.FILTER(tabIndices[PERCENTUAL],tabIndices[DATA DA PUBLICAÇÃO]&gt;tabUniformes[[#This Row],[DATA PUBLICAÇÃO]])),1)</f>
        <v>95.77</v>
      </c>
      <c r="F29" s="174">
        <v>2</v>
      </c>
      <c r="G29" s="174" t="s">
        <v>1242</v>
      </c>
      <c r="H29" s="174">
        <v>19</v>
      </c>
      <c r="I29" s="175">
        <f>tabUniformes[[#This Row],[Valor Reajustado]]*tabUniformes[[#This Row],[Qtde Anual de Peças]]*tabUniformes[[#This Row],[Qtde. funcionários]]</f>
        <v>3639.2599999999998</v>
      </c>
      <c r="J29" s="174">
        <f>tabUniformes[[#This Row],[Qtde Anual de Peças]]*tabUniformes[[#This Row],[Qtde. funcionários]]</f>
        <v>38</v>
      </c>
      <c r="K29" s="172">
        <f>IFERROR(tabUniformes[[#This Row],[Total]]/12/tabUniformes[[#This Row],[Qtde. funcionários]],0)</f>
        <v>15.961666666666666</v>
      </c>
      <c r="L29"/>
      <c r="M29"/>
      <c r="N29"/>
      <c r="O29"/>
      <c r="P29"/>
      <c r="Q29"/>
      <c r="R29"/>
      <c r="S29"/>
      <c r="T29"/>
      <c r="U29"/>
      <c r="V29"/>
      <c r="W29"/>
      <c r="X29"/>
      <c r="Y29"/>
      <c r="Z29"/>
      <c r="AA29"/>
      <c r="AB29"/>
      <c r="AC29"/>
      <c r="AD29"/>
      <c r="AE29"/>
      <c r="AF29"/>
      <c r="AG29"/>
      <c r="AH29"/>
      <c r="AI29"/>
      <c r="AJ29"/>
      <c r="AK29"/>
      <c r="AL29"/>
      <c r="AM29"/>
      <c r="AN29"/>
      <c r="AO29"/>
      <c r="AP29"/>
      <c r="AQ29"/>
      <c r="AR29"/>
      <c r="AS29"/>
      <c r="AT29"/>
      <c r="AU29"/>
      <c r="AV29"/>
      <c r="AW29"/>
      <c r="AX29"/>
      <c r="AY29"/>
      <c r="AZ29"/>
      <c r="BA29"/>
      <c r="BB29"/>
      <c r="BC29"/>
      <c r="BD29"/>
      <c r="BE29"/>
      <c r="BF29"/>
      <c r="BG29"/>
      <c r="BH29"/>
      <c r="BI29"/>
      <c r="BJ29"/>
      <c r="BK29"/>
      <c r="BL29"/>
      <c r="BM29"/>
      <c r="BN29"/>
      <c r="BO29"/>
      <c r="BP29"/>
      <c r="BQ29"/>
      <c r="BR29"/>
      <c r="BS29"/>
      <c r="BT29"/>
      <c r="BU29"/>
      <c r="BV29"/>
      <c r="BW29"/>
      <c r="BX29"/>
      <c r="BY29"/>
      <c r="BZ29"/>
      <c r="CA29"/>
      <c r="CB29"/>
      <c r="CC29"/>
      <c r="CD29"/>
      <c r="CE29"/>
      <c r="CF29"/>
      <c r="CG29"/>
      <c r="CH29"/>
      <c r="CI29"/>
      <c r="CJ29"/>
      <c r="CK29"/>
      <c r="CL29"/>
      <c r="CM29"/>
      <c r="CN29"/>
      <c r="CO29"/>
      <c r="CP29"/>
      <c r="CQ29"/>
      <c r="CR29"/>
      <c r="CS29"/>
      <c r="CT29"/>
      <c r="CU29"/>
      <c r="CV29"/>
      <c r="CW29"/>
      <c r="CX29"/>
      <c r="CY29"/>
      <c r="CZ29"/>
      <c r="DA29"/>
      <c r="DB29"/>
      <c r="DC29"/>
      <c r="DD29"/>
      <c r="DE29"/>
      <c r="DF29"/>
      <c r="DG29"/>
      <c r="DH29"/>
      <c r="DI29"/>
      <c r="DJ29"/>
      <c r="DK29"/>
      <c r="DL29"/>
      <c r="DM29"/>
      <c r="DN29"/>
      <c r="DO29"/>
      <c r="DP29"/>
      <c r="DQ29"/>
      <c r="DR29"/>
      <c r="DS29"/>
      <c r="DT29"/>
      <c r="DU29"/>
      <c r="DV29"/>
      <c r="DW29"/>
      <c r="DX29"/>
      <c r="DY29"/>
      <c r="DZ29"/>
      <c r="EA29"/>
      <c r="EB29"/>
      <c r="EC29"/>
      <c r="ED29"/>
      <c r="EE29"/>
      <c r="EF29"/>
      <c r="EG29"/>
      <c r="EH29"/>
      <c r="EI29"/>
      <c r="EJ29"/>
      <c r="EK29"/>
      <c r="EL29"/>
      <c r="EM29"/>
      <c r="EN29"/>
      <c r="EO29"/>
      <c r="EP29"/>
      <c r="EQ29"/>
      <c r="ER29"/>
      <c r="ES29"/>
      <c r="ET29"/>
      <c r="EU29"/>
    </row>
    <row r="30" spans="1:151" ht="15" x14ac:dyDescent="0.25">
      <c r="A30" s="170" t="s">
        <v>932</v>
      </c>
      <c r="B30" s="171" t="s">
        <v>1293</v>
      </c>
      <c r="C30" s="173"/>
      <c r="D30" s="309">
        <v>5.49</v>
      </c>
      <c r="E30" s="172" cm="1">
        <f t="array" ref="E30">tabUniformes[[#This Row],[Valor Inicial]]*IFERROR(PRODUCT(1+_xlfn._xlws.FILTER(tabIndices[PERCENTUAL],tabIndices[DATA DA PUBLICAÇÃO]&gt;tabUniformes[[#This Row],[DATA PUBLICAÇÃO]])),1)</f>
        <v>5.49</v>
      </c>
      <c r="F30" s="174">
        <v>46</v>
      </c>
      <c r="G30" s="174" t="s">
        <v>1242</v>
      </c>
      <c r="H30" s="174">
        <v>19</v>
      </c>
      <c r="I30" s="175">
        <f>tabUniformes[[#This Row],[Valor Reajustado]]*tabUniformes[[#This Row],[Qtde Anual de Peças]]*tabUniformes[[#This Row],[Qtde. funcionários]]</f>
        <v>4798.26</v>
      </c>
      <c r="J30" s="174">
        <f>tabUniformes[[#This Row],[Qtde Anual de Peças]]*tabUniformes[[#This Row],[Qtde. funcionários]]</f>
        <v>874</v>
      </c>
      <c r="K30" s="172">
        <f>IFERROR(tabUniformes[[#This Row],[Total]]/12/tabUniformes[[#This Row],[Qtde. funcionários]],0)</f>
        <v>21.045000000000002</v>
      </c>
      <c r="L30"/>
      <c r="M30"/>
      <c r="N30"/>
      <c r="O30"/>
      <c r="P30"/>
      <c r="Q30"/>
      <c r="R30"/>
      <c r="S30"/>
      <c r="T30"/>
      <c r="U30"/>
      <c r="V30"/>
      <c r="W30"/>
      <c r="X30"/>
      <c r="Y30"/>
      <c r="Z30"/>
      <c r="AA30"/>
      <c r="AB30"/>
      <c r="AC30"/>
      <c r="AD30"/>
      <c r="AE30"/>
      <c r="AF30"/>
      <c r="AG30"/>
      <c r="AH30"/>
      <c r="AI30"/>
      <c r="AJ30"/>
      <c r="AK30"/>
      <c r="AL30"/>
      <c r="AM30"/>
      <c r="AN30"/>
      <c r="AO30"/>
      <c r="AP30"/>
      <c r="AQ30"/>
      <c r="AR30"/>
      <c r="AS30"/>
      <c r="AT30"/>
      <c r="AU30"/>
      <c r="AV30"/>
      <c r="AW30"/>
      <c r="AX30"/>
      <c r="AY30"/>
      <c r="AZ30"/>
      <c r="BA30"/>
      <c r="BB30"/>
      <c r="BC30"/>
      <c r="BD30"/>
      <c r="BE30"/>
      <c r="BF30"/>
      <c r="BG30"/>
      <c r="BH30"/>
      <c r="BI30"/>
      <c r="BJ30"/>
      <c r="BK30"/>
      <c r="BL30"/>
      <c r="BM30"/>
      <c r="BN30"/>
      <c r="BO30"/>
      <c r="BP30"/>
      <c r="BQ30"/>
      <c r="BR30"/>
      <c r="BS30"/>
      <c r="BT30"/>
      <c r="BU30"/>
      <c r="BV30"/>
      <c r="BW30"/>
      <c r="BX30"/>
      <c r="BY30"/>
      <c r="BZ30"/>
      <c r="CA30"/>
      <c r="CB30"/>
      <c r="CC30"/>
      <c r="CD30"/>
      <c r="CE30"/>
      <c r="CF30"/>
      <c r="CG30"/>
      <c r="CH30"/>
      <c r="CI30"/>
      <c r="CJ30"/>
      <c r="CK30"/>
      <c r="CL30"/>
      <c r="CM30"/>
      <c r="CN30"/>
      <c r="CO30"/>
      <c r="CP30"/>
      <c r="CQ30"/>
      <c r="CR30"/>
      <c r="CS30"/>
      <c r="CT30"/>
      <c r="CU30"/>
      <c r="CV30"/>
      <c r="CW30"/>
      <c r="CX30"/>
      <c r="CY30"/>
      <c r="CZ30"/>
      <c r="DA30"/>
      <c r="DB30"/>
      <c r="DC30"/>
      <c r="DD30"/>
      <c r="DE30"/>
      <c r="DF30"/>
      <c r="DG30"/>
      <c r="DH30"/>
      <c r="DI30"/>
      <c r="DJ30"/>
      <c r="DK30"/>
      <c r="DL30"/>
      <c r="DM30"/>
      <c r="DN30"/>
      <c r="DO30"/>
      <c r="DP30"/>
      <c r="DQ30"/>
      <c r="DR30"/>
      <c r="DS30"/>
      <c r="DT30"/>
      <c r="DU30"/>
      <c r="DV30"/>
      <c r="DW30"/>
      <c r="DX30"/>
      <c r="DY30"/>
      <c r="DZ30"/>
      <c r="EA30"/>
      <c r="EB30"/>
      <c r="EC30"/>
      <c r="ED30"/>
      <c r="EE30"/>
      <c r="EF30"/>
      <c r="EG30"/>
      <c r="EH30"/>
      <c r="EI30"/>
      <c r="EJ30"/>
      <c r="EK30"/>
      <c r="EL30"/>
      <c r="EM30"/>
      <c r="EN30"/>
      <c r="EO30"/>
      <c r="EP30"/>
      <c r="EQ30"/>
      <c r="ER30"/>
      <c r="ES30"/>
      <c r="ET30"/>
      <c r="EU30"/>
    </row>
    <row r="31" spans="1:151" ht="15" x14ac:dyDescent="0.25">
      <c r="A31" s="170" t="s">
        <v>928</v>
      </c>
      <c r="B31" s="171" t="s">
        <v>935</v>
      </c>
      <c r="C31" s="173"/>
      <c r="D31" s="309">
        <v>60.93</v>
      </c>
      <c r="E31" s="172" cm="1">
        <f t="array" ref="E31">tabUniformes[[#This Row],[Valor Inicial]]*IFERROR(PRODUCT(1+_xlfn._xlws.FILTER(tabIndices[PERCENTUAL],tabIndices[DATA DA PUBLICAÇÃO]&gt;tabUniformes[[#This Row],[DATA PUBLICAÇÃO]])),1)</f>
        <v>60.93</v>
      </c>
      <c r="F31" s="174">
        <v>4</v>
      </c>
      <c r="G31" s="174" t="s">
        <v>1243</v>
      </c>
      <c r="H31" s="174">
        <v>254</v>
      </c>
      <c r="I31" s="175">
        <f>tabUniformes[[#This Row],[Valor Reajustado]]*tabUniformes[[#This Row],[Qtde Anual de Peças]]*tabUniformes[[#This Row],[Qtde. funcionários]]</f>
        <v>61904.88</v>
      </c>
      <c r="J31" s="174">
        <f>tabUniformes[[#This Row],[Qtde Anual de Peças]]*tabUniformes[[#This Row],[Qtde. funcionários]]</f>
        <v>1016</v>
      </c>
      <c r="K31" s="172">
        <f>IFERROR(tabUniformes[[#This Row],[Total]]/12/tabUniformes[[#This Row],[Qtde. funcionários]],0)</f>
        <v>20.309999999999999</v>
      </c>
      <c r="L31"/>
      <c r="M31"/>
      <c r="N31"/>
      <c r="O31"/>
      <c r="P31"/>
      <c r="Q31"/>
      <c r="R31"/>
      <c r="S31"/>
      <c r="T31"/>
      <c r="U31"/>
      <c r="V31"/>
      <c r="W31"/>
      <c r="X31"/>
      <c r="Y31"/>
      <c r="Z31"/>
      <c r="AA31"/>
      <c r="AB31"/>
      <c r="AC31"/>
      <c r="AD31"/>
      <c r="AE31"/>
      <c r="AF31"/>
      <c r="AG31"/>
      <c r="AH31"/>
      <c r="AI31"/>
      <c r="AJ31"/>
      <c r="AK31"/>
      <c r="AL31"/>
      <c r="AM31"/>
      <c r="AN31"/>
      <c r="AO31"/>
      <c r="AP31"/>
      <c r="AQ31"/>
      <c r="AR31"/>
      <c r="AS31"/>
      <c r="AT31"/>
      <c r="AU31"/>
      <c r="AV31"/>
      <c r="AW31"/>
      <c r="AX31"/>
      <c r="AY31"/>
      <c r="AZ31"/>
      <c r="BA31"/>
      <c r="BB31"/>
      <c r="BC31"/>
      <c r="BD31"/>
      <c r="BE31"/>
      <c r="BF31"/>
      <c r="BG31"/>
      <c r="BH31"/>
      <c r="BI31"/>
      <c r="BJ31"/>
      <c r="BK31"/>
      <c r="BL31"/>
      <c r="BM31"/>
      <c r="BN31"/>
      <c r="BO31"/>
      <c r="BP31"/>
      <c r="BQ31"/>
      <c r="BR31"/>
      <c r="BS31"/>
      <c r="BT31"/>
      <c r="BU31"/>
      <c r="BV31"/>
      <c r="BW31"/>
      <c r="BX31"/>
      <c r="BY31"/>
      <c r="BZ31"/>
      <c r="CA31"/>
      <c r="CB31"/>
      <c r="CC31"/>
      <c r="CD31"/>
      <c r="CE31"/>
      <c r="CF31"/>
      <c r="CG31"/>
      <c r="CH31"/>
      <c r="CI31"/>
      <c r="CJ31"/>
      <c r="CK31"/>
      <c r="CL31"/>
      <c r="CM31"/>
      <c r="CN31"/>
      <c r="CO31"/>
      <c r="CP31"/>
      <c r="CQ31"/>
      <c r="CR31"/>
      <c r="CS31"/>
      <c r="CT31"/>
      <c r="CU31"/>
      <c r="CV31"/>
      <c r="CW31"/>
      <c r="CX31"/>
      <c r="CY31"/>
      <c r="CZ31"/>
      <c r="DA31"/>
      <c r="DB31"/>
      <c r="DC31"/>
      <c r="DD31"/>
      <c r="DE31"/>
      <c r="DF31"/>
      <c r="DG31"/>
      <c r="DH31"/>
      <c r="DI31"/>
      <c r="DJ31"/>
      <c r="DK31"/>
      <c r="DL31"/>
      <c r="DM31"/>
      <c r="DN31"/>
      <c r="DO31"/>
      <c r="DP31"/>
      <c r="DQ31"/>
      <c r="DR31"/>
      <c r="DS31"/>
      <c r="DT31"/>
      <c r="DU31"/>
      <c r="DV31"/>
      <c r="DW31"/>
      <c r="DX31"/>
      <c r="DY31"/>
      <c r="DZ31"/>
      <c r="EA31"/>
      <c r="EB31"/>
      <c r="EC31"/>
      <c r="ED31"/>
      <c r="EE31"/>
      <c r="EF31"/>
      <c r="EG31"/>
      <c r="EH31"/>
      <c r="EI31"/>
      <c r="EJ31"/>
      <c r="EK31"/>
      <c r="EL31"/>
      <c r="EM31"/>
      <c r="EN31"/>
      <c r="EO31"/>
      <c r="EP31"/>
      <c r="EQ31"/>
      <c r="ER31"/>
      <c r="ES31"/>
      <c r="ET31"/>
      <c r="EU31"/>
    </row>
    <row r="32" spans="1:151" ht="15" x14ac:dyDescent="0.25">
      <c r="A32" s="170" t="s">
        <v>929</v>
      </c>
      <c r="B32" s="171" t="s">
        <v>937</v>
      </c>
      <c r="C32" s="173"/>
      <c r="D32" s="309">
        <v>40.85</v>
      </c>
      <c r="E32" s="172" cm="1">
        <f t="array" ref="E32">tabUniformes[[#This Row],[Valor Inicial]]*IFERROR(PRODUCT(1+_xlfn._xlws.FILTER(tabIndices[PERCENTUAL],tabIndices[DATA DA PUBLICAÇÃO]&gt;tabUniformes[[#This Row],[DATA PUBLICAÇÃO]])),1)</f>
        <v>40.85</v>
      </c>
      <c r="F32" s="174">
        <v>8</v>
      </c>
      <c r="G32" s="174" t="s">
        <v>1243</v>
      </c>
      <c r="H32" s="174">
        <v>254</v>
      </c>
      <c r="I32" s="175">
        <f>tabUniformes[[#This Row],[Valor Reajustado]]*tabUniformes[[#This Row],[Qtde Anual de Peças]]*tabUniformes[[#This Row],[Qtde. funcionários]]</f>
        <v>83007.199999999997</v>
      </c>
      <c r="J32" s="174">
        <f>tabUniformes[[#This Row],[Qtde Anual de Peças]]*tabUniformes[[#This Row],[Qtde. funcionários]]</f>
        <v>2032</v>
      </c>
      <c r="K32" s="172">
        <f>IFERROR(tabUniformes[[#This Row],[Total]]/12/tabUniformes[[#This Row],[Qtde. funcionários]],0)</f>
        <v>27.233333333333331</v>
      </c>
      <c r="L32"/>
      <c r="M32"/>
      <c r="N32"/>
      <c r="O32"/>
      <c r="P32"/>
      <c r="Q32"/>
      <c r="R32"/>
      <c r="S32"/>
      <c r="T32"/>
      <c r="U32"/>
      <c r="V32"/>
      <c r="W32"/>
      <c r="X32"/>
      <c r="Y32"/>
      <c r="Z32"/>
      <c r="AA32"/>
      <c r="AB32"/>
      <c r="AC32"/>
      <c r="AD32"/>
      <c r="AE32"/>
      <c r="AF32"/>
      <c r="AG32"/>
      <c r="AH32"/>
      <c r="AI32"/>
      <c r="AJ32"/>
      <c r="AK32"/>
      <c r="AL32"/>
      <c r="AM32"/>
      <c r="AN32"/>
      <c r="AO32"/>
      <c r="AP32"/>
      <c r="AQ32"/>
      <c r="AR32"/>
      <c r="AS32"/>
      <c r="AT32"/>
      <c r="AU32"/>
      <c r="AV32"/>
      <c r="AW32"/>
      <c r="AX32"/>
      <c r="AY32"/>
      <c r="AZ32"/>
      <c r="BA32"/>
      <c r="BB32"/>
      <c r="BC32"/>
      <c r="BD32"/>
      <c r="BE32"/>
      <c r="BF32"/>
      <c r="BG32"/>
      <c r="BH32"/>
      <c r="BI32"/>
      <c r="BJ32"/>
      <c r="BK32"/>
      <c r="BL32"/>
      <c r="BM32"/>
      <c r="BN32"/>
      <c r="BO32"/>
      <c r="BP32"/>
      <c r="BQ32"/>
      <c r="BR32"/>
      <c r="BS32"/>
      <c r="BT32"/>
      <c r="BU32"/>
      <c r="BV32"/>
      <c r="BW32"/>
      <c r="BX32"/>
      <c r="BY32"/>
      <c r="BZ32"/>
      <c r="CA32"/>
      <c r="CB32"/>
      <c r="CC32"/>
      <c r="CD32"/>
      <c r="CE32"/>
      <c r="CF32"/>
      <c r="CG32"/>
      <c r="CH32"/>
      <c r="CI32"/>
      <c r="CJ32"/>
      <c r="CK32"/>
      <c r="CL32"/>
      <c r="CM32"/>
      <c r="CN32"/>
      <c r="CO32"/>
      <c r="CP32"/>
      <c r="CQ32"/>
      <c r="CR32"/>
      <c r="CS32"/>
      <c r="CT32"/>
      <c r="CU32"/>
      <c r="CV32"/>
      <c r="CW32"/>
      <c r="CX32"/>
      <c r="CY32"/>
      <c r="CZ32"/>
      <c r="DA32"/>
      <c r="DB32"/>
      <c r="DC32"/>
      <c r="DD32"/>
      <c r="DE32"/>
      <c r="DF32"/>
      <c r="DG32"/>
      <c r="DH32"/>
      <c r="DI32"/>
      <c r="DJ32"/>
      <c r="DK32"/>
      <c r="DL32"/>
      <c r="DM32"/>
      <c r="DN32"/>
      <c r="DO32"/>
      <c r="DP32"/>
      <c r="DQ32"/>
      <c r="DR32"/>
      <c r="DS32"/>
      <c r="DT32"/>
      <c r="DU32"/>
      <c r="DV32"/>
      <c r="DW32"/>
      <c r="DX32"/>
      <c r="DY32"/>
      <c r="DZ32"/>
      <c r="EA32"/>
      <c r="EB32"/>
      <c r="EC32"/>
      <c r="ED32"/>
      <c r="EE32"/>
      <c r="EF32"/>
      <c r="EG32"/>
      <c r="EH32"/>
      <c r="EI32"/>
      <c r="EJ32"/>
      <c r="EK32"/>
      <c r="EL32"/>
      <c r="EM32"/>
      <c r="EN32"/>
      <c r="EO32"/>
      <c r="EP32"/>
      <c r="EQ32"/>
      <c r="ER32"/>
      <c r="ES32"/>
      <c r="ET32"/>
      <c r="EU32"/>
    </row>
    <row r="33" spans="1:11" x14ac:dyDescent="0.2">
      <c r="A33" s="170" t="s">
        <v>930</v>
      </c>
      <c r="B33" s="171" t="s">
        <v>938</v>
      </c>
      <c r="C33" s="173"/>
      <c r="D33" s="309">
        <v>95.13</v>
      </c>
      <c r="E33" s="172" cm="1">
        <f t="array" ref="E33">tabUniformes[[#This Row],[Valor Inicial]]*IFERROR(PRODUCT(1+_xlfn._xlws.FILTER(tabIndices[PERCENTUAL],tabIndices[DATA DA PUBLICAÇÃO]&gt;tabUniformes[[#This Row],[DATA PUBLICAÇÃO]])),1)</f>
        <v>95.13</v>
      </c>
      <c r="F33" s="174">
        <v>1</v>
      </c>
      <c r="G33" s="174" t="s">
        <v>1243</v>
      </c>
      <c r="H33" s="174">
        <v>254</v>
      </c>
      <c r="I33" s="175">
        <f>tabUniformes[[#This Row],[Valor Reajustado]]*tabUniformes[[#This Row],[Qtde Anual de Peças]]*tabUniformes[[#This Row],[Qtde. funcionários]]</f>
        <v>24163.02</v>
      </c>
      <c r="J33" s="174">
        <f>tabUniformes[[#This Row],[Qtde Anual de Peças]]*tabUniformes[[#This Row],[Qtde. funcionários]]</f>
        <v>254</v>
      </c>
      <c r="K33" s="172">
        <f>IFERROR(tabUniformes[[#This Row],[Total]]/12/tabUniformes[[#This Row],[Qtde. funcionários]],0)</f>
        <v>7.9275000000000002</v>
      </c>
    </row>
    <row r="34" spans="1:11" x14ac:dyDescent="0.2">
      <c r="A34" s="170" t="s">
        <v>931</v>
      </c>
      <c r="B34" s="171" t="s">
        <v>1295</v>
      </c>
      <c r="C34" s="173"/>
      <c r="D34" s="309">
        <v>49.99</v>
      </c>
      <c r="E34" s="172" cm="1">
        <f t="array" ref="E34">tabUniformes[[#This Row],[Valor Inicial]]*IFERROR(PRODUCT(1+_xlfn._xlws.FILTER(tabIndices[PERCENTUAL],tabIndices[DATA DA PUBLICAÇÃO]&gt;tabUniformes[[#This Row],[DATA PUBLICAÇÃO]])),1)</f>
        <v>49.99</v>
      </c>
      <c r="F34" s="174">
        <v>2</v>
      </c>
      <c r="G34" s="174" t="s">
        <v>1243</v>
      </c>
      <c r="H34" s="174">
        <v>254</v>
      </c>
      <c r="I34" s="175">
        <f>tabUniformes[[#This Row],[Valor Reajustado]]*tabUniformes[[#This Row],[Qtde Anual de Peças]]*tabUniformes[[#This Row],[Qtde. funcionários]]</f>
        <v>25394.920000000002</v>
      </c>
      <c r="J34" s="174">
        <f>tabUniformes[[#This Row],[Qtde Anual de Peças]]*tabUniformes[[#This Row],[Qtde. funcionários]]</f>
        <v>508</v>
      </c>
      <c r="K34" s="172">
        <f>IFERROR(tabUniformes[[#This Row],[Total]]/12/tabUniformes[[#This Row],[Qtde. funcionários]],0)</f>
        <v>8.331666666666667</v>
      </c>
    </row>
    <row r="35" spans="1:11" x14ac:dyDescent="0.2">
      <c r="A35" s="170" t="s">
        <v>931</v>
      </c>
      <c r="B35" s="171" t="s">
        <v>1296</v>
      </c>
      <c r="C35" s="173"/>
      <c r="D35" s="309">
        <v>95.77</v>
      </c>
      <c r="E35" s="172" cm="1">
        <f t="array" ref="E35">tabUniformes[[#This Row],[Valor Inicial]]*IFERROR(PRODUCT(1+_xlfn._xlws.FILTER(tabIndices[PERCENTUAL],tabIndices[DATA DA PUBLICAÇÃO]&gt;tabUniformes[[#This Row],[DATA PUBLICAÇÃO]])),1)</f>
        <v>95.77</v>
      </c>
      <c r="F35" s="174">
        <v>2</v>
      </c>
      <c r="G35" s="174" t="s">
        <v>1243</v>
      </c>
      <c r="H35" s="174">
        <v>254</v>
      </c>
      <c r="I35" s="175">
        <f>tabUniformes[[#This Row],[Valor Reajustado]]*tabUniformes[[#This Row],[Qtde Anual de Peças]]*tabUniformes[[#This Row],[Qtde. funcionários]]</f>
        <v>48651.159999999996</v>
      </c>
      <c r="J35" s="174">
        <f>tabUniformes[[#This Row],[Qtde Anual de Peças]]*tabUniformes[[#This Row],[Qtde. funcionários]]</f>
        <v>508</v>
      </c>
      <c r="K35" s="172">
        <f>IFERROR(tabUniformes[[#This Row],[Total]]/12/tabUniformes[[#This Row],[Qtde. funcionários]],0)</f>
        <v>15.961666666666664</v>
      </c>
    </row>
    <row r="36" spans="1:11" x14ac:dyDescent="0.2">
      <c r="A36" s="170" t="s">
        <v>932</v>
      </c>
      <c r="B36" s="171" t="s">
        <v>1293</v>
      </c>
      <c r="C36" s="173"/>
      <c r="D36" s="309">
        <v>5.49</v>
      </c>
      <c r="E36" s="172" cm="1">
        <f t="array" ref="E36">tabUniformes[[#This Row],[Valor Inicial]]*IFERROR(PRODUCT(1+_xlfn._xlws.FILTER(tabIndices[PERCENTUAL],tabIndices[DATA DA PUBLICAÇÃO]&gt;tabUniformes[[#This Row],[DATA PUBLICAÇÃO]])),1)</f>
        <v>5.49</v>
      </c>
      <c r="F36" s="174">
        <v>46</v>
      </c>
      <c r="G36" s="174" t="s">
        <v>1243</v>
      </c>
      <c r="H36" s="174">
        <v>254</v>
      </c>
      <c r="I36" s="175">
        <f>tabUniformes[[#This Row],[Valor Reajustado]]*tabUniformes[[#This Row],[Qtde Anual de Peças]]*tabUniformes[[#This Row],[Qtde. funcionários]]</f>
        <v>64145.16</v>
      </c>
      <c r="J36" s="174">
        <f>tabUniformes[[#This Row],[Qtde Anual de Peças]]*tabUniformes[[#This Row],[Qtde. funcionários]]</f>
        <v>11684</v>
      </c>
      <c r="K36" s="172">
        <f>IFERROR(tabUniformes[[#This Row],[Total]]/12/tabUniformes[[#This Row],[Qtde. funcionários]],0)</f>
        <v>21.045000000000002</v>
      </c>
    </row>
    <row r="37" spans="1:11" x14ac:dyDescent="0.2">
      <c r="A37" s="170" t="s">
        <v>928</v>
      </c>
      <c r="B37" s="171" t="s">
        <v>935</v>
      </c>
      <c r="C37" s="173"/>
      <c r="D37" s="309">
        <v>60.93</v>
      </c>
      <c r="E37" s="172" cm="1">
        <f t="array" ref="E37">tabUniformes[[#This Row],[Valor Inicial]]*IFERROR(PRODUCT(1+_xlfn._xlws.FILTER(tabIndices[PERCENTUAL],tabIndices[DATA DA PUBLICAÇÃO]&gt;tabUniformes[[#This Row],[DATA PUBLICAÇÃO]])),1)</f>
        <v>60.93</v>
      </c>
      <c r="F37" s="174">
        <v>2</v>
      </c>
      <c r="G37" s="174" t="s">
        <v>1248</v>
      </c>
      <c r="H37" s="174">
        <v>79</v>
      </c>
      <c r="I37" s="175">
        <f>tabUniformes[[#This Row],[Valor Reajustado]]*tabUniformes[[#This Row],[Qtde Anual de Peças]]*tabUniformes[[#This Row],[Qtde. funcionários]]</f>
        <v>9626.94</v>
      </c>
      <c r="J37" s="174">
        <f>tabUniformes[[#This Row],[Qtde Anual de Peças]]*tabUniformes[[#This Row],[Qtde. funcionários]]</f>
        <v>158</v>
      </c>
      <c r="K37" s="172">
        <f>IFERROR(tabUniformes[[#This Row],[Total]]/12/tabUniformes[[#This Row],[Qtde. funcionários]],0)</f>
        <v>10.154999999999999</v>
      </c>
    </row>
    <row r="38" spans="1:11" x14ac:dyDescent="0.2">
      <c r="A38" s="170" t="s">
        <v>929</v>
      </c>
      <c r="B38" s="171" t="s">
        <v>937</v>
      </c>
      <c r="C38" s="173"/>
      <c r="D38" s="309">
        <v>40.85</v>
      </c>
      <c r="E38" s="172" cm="1">
        <f t="array" ref="E38">tabUniformes[[#This Row],[Valor Inicial]]*IFERROR(PRODUCT(1+_xlfn._xlws.FILTER(tabIndices[PERCENTUAL],tabIndices[DATA DA PUBLICAÇÃO]&gt;tabUniformes[[#This Row],[DATA PUBLICAÇÃO]])),1)</f>
        <v>40.85</v>
      </c>
      <c r="F38" s="174">
        <v>4</v>
      </c>
      <c r="G38" s="174" t="s">
        <v>1248</v>
      </c>
      <c r="H38" s="174">
        <v>79</v>
      </c>
      <c r="I38" s="175">
        <f>tabUniformes[[#This Row],[Valor Reajustado]]*tabUniformes[[#This Row],[Qtde Anual de Peças]]*tabUniformes[[#This Row],[Qtde. funcionários]]</f>
        <v>12908.6</v>
      </c>
      <c r="J38" s="174">
        <f>tabUniformes[[#This Row],[Qtde Anual de Peças]]*tabUniformes[[#This Row],[Qtde. funcionários]]</f>
        <v>316</v>
      </c>
      <c r="K38" s="172">
        <f>IFERROR(tabUniformes[[#This Row],[Total]]/12/tabUniformes[[#This Row],[Qtde. funcionários]],0)</f>
        <v>13.616666666666667</v>
      </c>
    </row>
    <row r="39" spans="1:11" x14ac:dyDescent="0.2">
      <c r="A39" s="170" t="s">
        <v>930</v>
      </c>
      <c r="B39" s="171" t="s">
        <v>938</v>
      </c>
      <c r="C39" s="173"/>
      <c r="D39" s="309">
        <v>95.13</v>
      </c>
      <c r="E39" s="172" cm="1">
        <f t="array" ref="E39">tabUniformes[[#This Row],[Valor Inicial]]*IFERROR(PRODUCT(1+_xlfn._xlws.FILTER(tabIndices[PERCENTUAL],tabIndices[DATA DA PUBLICAÇÃO]&gt;tabUniformes[[#This Row],[DATA PUBLICAÇÃO]])),1)</f>
        <v>95.13</v>
      </c>
      <c r="F39" s="174">
        <v>1</v>
      </c>
      <c r="G39" s="174" t="s">
        <v>1248</v>
      </c>
      <c r="H39" s="174">
        <v>79</v>
      </c>
      <c r="I39" s="175">
        <f>tabUniformes[[#This Row],[Valor Reajustado]]*tabUniformes[[#This Row],[Qtde Anual de Peças]]*tabUniformes[[#This Row],[Qtde. funcionários]]</f>
        <v>7515.2699999999995</v>
      </c>
      <c r="J39" s="174">
        <f>tabUniformes[[#This Row],[Qtde Anual de Peças]]*tabUniformes[[#This Row],[Qtde. funcionários]]</f>
        <v>79</v>
      </c>
      <c r="K39" s="172">
        <f>IFERROR(tabUniformes[[#This Row],[Total]]/12/tabUniformes[[#This Row],[Qtde. funcionários]],0)</f>
        <v>7.9274999999999993</v>
      </c>
    </row>
    <row r="40" spans="1:11" x14ac:dyDescent="0.2">
      <c r="A40" s="170" t="s">
        <v>931</v>
      </c>
      <c r="B40" s="171" t="s">
        <v>1295</v>
      </c>
      <c r="C40" s="173"/>
      <c r="D40" s="309">
        <v>49.99</v>
      </c>
      <c r="E40" s="172" cm="1">
        <f t="array" ref="E40">tabUniformes[[#This Row],[Valor Inicial]]*IFERROR(PRODUCT(1+_xlfn._xlws.FILTER(tabIndices[PERCENTUAL],tabIndices[DATA DA PUBLICAÇÃO]&gt;tabUniformes[[#This Row],[DATA PUBLICAÇÃO]])),1)</f>
        <v>49.99</v>
      </c>
      <c r="F40" s="174">
        <v>1</v>
      </c>
      <c r="G40" s="174" t="s">
        <v>1248</v>
      </c>
      <c r="H40" s="174">
        <v>79</v>
      </c>
      <c r="I40" s="175">
        <f>tabUniformes[[#This Row],[Valor Reajustado]]*tabUniformes[[#This Row],[Qtde Anual de Peças]]*tabUniformes[[#This Row],[Qtde. funcionários]]</f>
        <v>3949.21</v>
      </c>
      <c r="J40" s="174">
        <f>tabUniformes[[#This Row],[Qtde Anual de Peças]]*tabUniformes[[#This Row],[Qtde. funcionários]]</f>
        <v>79</v>
      </c>
      <c r="K40" s="172">
        <f>IFERROR(tabUniformes[[#This Row],[Total]]/12/tabUniformes[[#This Row],[Qtde. funcionários]],0)</f>
        <v>4.1658333333333335</v>
      </c>
    </row>
    <row r="41" spans="1:11" x14ac:dyDescent="0.2">
      <c r="A41" s="170" t="s">
        <v>931</v>
      </c>
      <c r="B41" s="171" t="s">
        <v>1296</v>
      </c>
      <c r="C41" s="173"/>
      <c r="D41" s="309">
        <v>95.77</v>
      </c>
      <c r="E41" s="172" cm="1">
        <f t="array" ref="E41">tabUniformes[[#This Row],[Valor Inicial]]*IFERROR(PRODUCT(1+_xlfn._xlws.FILTER(tabIndices[PERCENTUAL],tabIndices[DATA DA PUBLICAÇÃO]&gt;tabUniformes[[#This Row],[DATA PUBLICAÇÃO]])),1)</f>
        <v>95.77</v>
      </c>
      <c r="F41" s="174">
        <v>2</v>
      </c>
      <c r="G41" s="174" t="s">
        <v>1248</v>
      </c>
      <c r="H41" s="174">
        <v>79</v>
      </c>
      <c r="I41" s="175">
        <f>tabUniformes[[#This Row],[Valor Reajustado]]*tabUniformes[[#This Row],[Qtde Anual de Peças]]*tabUniformes[[#This Row],[Qtde. funcionários]]</f>
        <v>15131.66</v>
      </c>
      <c r="J41" s="174">
        <f>tabUniformes[[#This Row],[Qtde Anual de Peças]]*tabUniformes[[#This Row],[Qtde. funcionários]]</f>
        <v>158</v>
      </c>
      <c r="K41" s="172">
        <f>IFERROR(tabUniformes[[#This Row],[Total]]/12/tabUniformes[[#This Row],[Qtde. funcionários]],0)</f>
        <v>15.961666666666666</v>
      </c>
    </row>
    <row r="42" spans="1:11" x14ac:dyDescent="0.2">
      <c r="A42" s="170" t="s">
        <v>932</v>
      </c>
      <c r="B42" s="171" t="s">
        <v>1293</v>
      </c>
      <c r="C42" s="173"/>
      <c r="D42" s="309">
        <v>5.49</v>
      </c>
      <c r="E42" s="172" cm="1">
        <f t="array" ref="E42">tabUniformes[[#This Row],[Valor Inicial]]*IFERROR(PRODUCT(1+_xlfn._xlws.FILTER(tabIndices[PERCENTUAL],tabIndices[DATA DA PUBLICAÇÃO]&gt;tabUniformes[[#This Row],[DATA PUBLICAÇÃO]])),1)</f>
        <v>5.49</v>
      </c>
      <c r="F42" s="174">
        <v>24</v>
      </c>
      <c r="G42" s="174" t="s">
        <v>1248</v>
      </c>
      <c r="H42" s="174">
        <v>79</v>
      </c>
      <c r="I42" s="175">
        <f>tabUniformes[[#This Row],[Valor Reajustado]]*tabUniformes[[#This Row],[Qtde Anual de Peças]]*tabUniformes[[#This Row],[Qtde. funcionários]]</f>
        <v>10409.039999999999</v>
      </c>
      <c r="J42" s="174">
        <f>tabUniformes[[#This Row],[Qtde Anual de Peças]]*tabUniformes[[#This Row],[Qtde. funcionários]]</f>
        <v>1896</v>
      </c>
      <c r="K42" s="172">
        <f>IFERROR(tabUniformes[[#This Row],[Total]]/12/tabUniformes[[#This Row],[Qtde. funcionários]],0)</f>
        <v>10.979999999999999</v>
      </c>
    </row>
    <row r="43" spans="1:11" x14ac:dyDescent="0.2">
      <c r="A43" s="170" t="s">
        <v>928</v>
      </c>
      <c r="B43" s="171" t="s">
        <v>935</v>
      </c>
      <c r="C43" s="173"/>
      <c r="D43" s="309">
        <v>60.93</v>
      </c>
      <c r="E43" s="172" cm="1">
        <f t="array" ref="E43">tabUniformes[[#This Row],[Valor Inicial]]*IFERROR(PRODUCT(1+_xlfn._xlws.FILTER(tabIndices[PERCENTUAL],tabIndices[DATA DA PUBLICAÇÃO]&gt;tabUniformes[[#This Row],[DATA PUBLICAÇÃO]])),1)</f>
        <v>60.93</v>
      </c>
      <c r="F43" s="174">
        <v>4</v>
      </c>
      <c r="G43" s="174" t="s">
        <v>936</v>
      </c>
      <c r="H43" s="174">
        <v>4</v>
      </c>
      <c r="I43" s="175">
        <f>tabUniformes[[#This Row],[Valor Reajustado]]*tabUniformes[[#This Row],[Qtde Anual de Peças]]*tabUniformes[[#This Row],[Qtde. funcionários]]</f>
        <v>974.88</v>
      </c>
      <c r="J43" s="174">
        <f>tabUniformes[[#This Row],[Qtde Anual de Peças]]*tabUniformes[[#This Row],[Qtde. funcionários]]</f>
        <v>16</v>
      </c>
      <c r="K43" s="172">
        <f>IFERROR(tabUniformes[[#This Row],[Total]]/12/tabUniformes[[#This Row],[Qtde. funcionários]],0)</f>
        <v>20.309999999999999</v>
      </c>
    </row>
    <row r="44" spans="1:11" x14ac:dyDescent="0.2">
      <c r="A44" s="170" t="s">
        <v>929</v>
      </c>
      <c r="B44" s="171" t="s">
        <v>937</v>
      </c>
      <c r="C44" s="173"/>
      <c r="D44" s="309">
        <v>40.85</v>
      </c>
      <c r="E44" s="172" cm="1">
        <f t="array" ref="E44">tabUniformes[[#This Row],[Valor Inicial]]*IFERROR(PRODUCT(1+_xlfn._xlws.FILTER(tabIndices[PERCENTUAL],tabIndices[DATA DA PUBLICAÇÃO]&gt;tabUniformes[[#This Row],[DATA PUBLICAÇÃO]])),1)</f>
        <v>40.85</v>
      </c>
      <c r="F44" s="174">
        <v>8</v>
      </c>
      <c r="G44" s="174" t="s">
        <v>936</v>
      </c>
      <c r="H44" s="174">
        <v>4</v>
      </c>
      <c r="I44" s="175">
        <f>tabUniformes[[#This Row],[Valor Reajustado]]*tabUniformes[[#This Row],[Qtde Anual de Peças]]*tabUniformes[[#This Row],[Qtde. funcionários]]</f>
        <v>1307.2</v>
      </c>
      <c r="J44" s="174">
        <f>tabUniformes[[#This Row],[Qtde Anual de Peças]]*tabUniformes[[#This Row],[Qtde. funcionários]]</f>
        <v>32</v>
      </c>
      <c r="K44" s="172">
        <f>IFERROR(tabUniformes[[#This Row],[Total]]/12/tabUniformes[[#This Row],[Qtde. funcionários]],0)</f>
        <v>27.233333333333334</v>
      </c>
    </row>
    <row r="45" spans="1:11" x14ac:dyDescent="0.2">
      <c r="A45" s="170" t="s">
        <v>930</v>
      </c>
      <c r="B45" s="171" t="s">
        <v>938</v>
      </c>
      <c r="C45" s="173"/>
      <c r="D45" s="309">
        <v>95.13</v>
      </c>
      <c r="E45" s="172" cm="1">
        <f t="array" ref="E45">tabUniformes[[#This Row],[Valor Inicial]]*IFERROR(PRODUCT(1+_xlfn._xlws.FILTER(tabIndices[PERCENTUAL],tabIndices[DATA DA PUBLICAÇÃO]&gt;tabUniformes[[#This Row],[DATA PUBLICAÇÃO]])),1)</f>
        <v>95.13</v>
      </c>
      <c r="F45" s="174">
        <v>1</v>
      </c>
      <c r="G45" s="174" t="s">
        <v>936</v>
      </c>
      <c r="H45" s="174">
        <v>4</v>
      </c>
      <c r="I45" s="175">
        <f>tabUniformes[[#This Row],[Valor Reajustado]]*tabUniformes[[#This Row],[Qtde Anual de Peças]]*tabUniformes[[#This Row],[Qtde. funcionários]]</f>
        <v>380.52</v>
      </c>
      <c r="J45" s="174">
        <f>tabUniformes[[#This Row],[Qtde Anual de Peças]]*tabUniformes[[#This Row],[Qtde. funcionários]]</f>
        <v>4</v>
      </c>
      <c r="K45" s="172">
        <f>IFERROR(tabUniformes[[#This Row],[Total]]/12/tabUniformes[[#This Row],[Qtde. funcionários]],0)</f>
        <v>7.9274999999999993</v>
      </c>
    </row>
    <row r="46" spans="1:11" x14ac:dyDescent="0.2">
      <c r="A46" s="170" t="s">
        <v>931</v>
      </c>
      <c r="B46" s="171" t="s">
        <v>1294</v>
      </c>
      <c r="C46" s="173"/>
      <c r="D46" s="309">
        <v>280.04000000000002</v>
      </c>
      <c r="E46" s="172" cm="1">
        <f t="array" ref="E46">tabUniformes[[#This Row],[Valor Inicial]]*IFERROR(PRODUCT(1+_xlfn._xlws.FILTER(tabIndices[PERCENTUAL],tabIndices[DATA DA PUBLICAÇÃO]&gt;tabUniformes[[#This Row],[DATA PUBLICAÇÃO]])),1)</f>
        <v>280.04000000000002</v>
      </c>
      <c r="F46" s="174">
        <v>2</v>
      </c>
      <c r="G46" s="174" t="s">
        <v>936</v>
      </c>
      <c r="H46" s="174">
        <v>4</v>
      </c>
      <c r="I46" s="175">
        <f>tabUniformes[[#This Row],[Valor Reajustado]]*tabUniformes[[#This Row],[Qtde Anual de Peças]]*tabUniformes[[#This Row],[Qtde. funcionários]]</f>
        <v>2240.3200000000002</v>
      </c>
      <c r="J46" s="174">
        <f>tabUniformes[[#This Row],[Qtde Anual de Peças]]*tabUniformes[[#This Row],[Qtde. funcionários]]</f>
        <v>8</v>
      </c>
      <c r="K46" s="172">
        <f>IFERROR(tabUniformes[[#This Row],[Total]]/12/tabUniformes[[#This Row],[Qtde. funcionários]],0)</f>
        <v>46.673333333333339</v>
      </c>
    </row>
    <row r="47" spans="1:11" x14ac:dyDescent="0.2">
      <c r="A47" s="170" t="s">
        <v>932</v>
      </c>
      <c r="B47" s="171" t="s">
        <v>1293</v>
      </c>
      <c r="C47" s="173"/>
      <c r="D47" s="309">
        <v>5.49</v>
      </c>
      <c r="E47" s="172" cm="1">
        <f t="array" ref="E47">tabUniformes[[#This Row],[Valor Inicial]]*IFERROR(PRODUCT(1+_xlfn._xlws.FILTER(tabIndices[PERCENTUAL],tabIndices[DATA DA PUBLICAÇÃO]&gt;tabUniformes[[#This Row],[DATA PUBLICAÇÃO]])),1)</f>
        <v>5.49</v>
      </c>
      <c r="F47" s="174">
        <v>24</v>
      </c>
      <c r="G47" s="174" t="s">
        <v>936</v>
      </c>
      <c r="H47" s="174">
        <v>4</v>
      </c>
      <c r="I47" s="175">
        <f>tabUniformes[[#This Row],[Valor Reajustado]]*tabUniformes[[#This Row],[Qtde Anual de Peças]]*tabUniformes[[#This Row],[Qtde. funcionários]]</f>
        <v>527.04</v>
      </c>
      <c r="J47" s="174">
        <f>tabUniformes[[#This Row],[Qtde Anual de Peças]]*tabUniformes[[#This Row],[Qtde. funcionários]]</f>
        <v>96</v>
      </c>
      <c r="K47" s="172">
        <f>IFERROR(tabUniformes[[#This Row],[Total]]/12/tabUniformes[[#This Row],[Qtde. funcionários]],0)</f>
        <v>10.979999999999999</v>
      </c>
    </row>
    <row r="48" spans="1:11" x14ac:dyDescent="0.2">
      <c r="A48" s="170" t="s">
        <v>1299</v>
      </c>
      <c r="B48" s="171" t="s">
        <v>1297</v>
      </c>
      <c r="C48" s="173"/>
      <c r="D48" s="309">
        <v>7.67</v>
      </c>
      <c r="E48" s="172" cm="1">
        <f t="array" ref="E48">tabUniformes[[#This Row],[Valor Inicial]]*IFERROR(PRODUCT(1+_xlfn._xlws.FILTER(tabIndices[PERCENTUAL],tabIndices[DATA DA PUBLICAÇÃO]&gt;tabUniformes[[#This Row],[DATA PUBLICAÇÃO]])),1)</f>
        <v>7.67</v>
      </c>
      <c r="F48" s="174">
        <v>2</v>
      </c>
      <c r="G48" s="174" t="s">
        <v>936</v>
      </c>
      <c r="H48" s="174">
        <v>4</v>
      </c>
      <c r="I48" s="175">
        <f>tabUniformes[[#This Row],[Valor Reajustado]]*tabUniformes[[#This Row],[Qtde Anual de Peças]]*tabUniformes[[#This Row],[Qtde. funcionários]]</f>
        <v>61.36</v>
      </c>
      <c r="J48" s="174">
        <f>tabUniformes[[#This Row],[Qtde Anual de Peças]]*tabUniformes[[#This Row],[Qtde. funcionários]]</f>
        <v>8</v>
      </c>
      <c r="K48" s="172">
        <f>IFERROR(tabUniformes[[#This Row],[Total]]/12/tabUniformes[[#This Row],[Qtde. funcionários]],0)</f>
        <v>1.2783333333333333</v>
      </c>
    </row>
    <row r="53" spans="7:7" x14ac:dyDescent="0.2">
      <c r="G53" s="263"/>
    </row>
    <row r="84" spans="12:12" ht="15" x14ac:dyDescent="0.25">
      <c r="L84"/>
    </row>
    <row r="85" spans="12:12" ht="15" x14ac:dyDescent="0.25">
      <c r="L85"/>
    </row>
    <row r="86" spans="12:12" ht="15" x14ac:dyDescent="0.25">
      <c r="L86"/>
    </row>
    <row r="87" spans="12:12" ht="15" x14ac:dyDescent="0.25">
      <c r="L87"/>
    </row>
  </sheetData>
  <phoneticPr fontId="9" type="noConversion"/>
  <pageMargins left="0.511811024" right="0.511811024" top="0.78740157499999996" bottom="0.78740157499999996" header="0.31496062000000002" footer="0.31496062000000002"/>
  <pageSetup paperSize="9" orientation="landscape" r:id="rId2"/>
  <drawing r:id="rId3"/>
  <tableParts count="1">
    <tablePart r:id="rId4"/>
  </tableParts>
  <extLst>
    <ext xmlns:x14="http://schemas.microsoft.com/office/spreadsheetml/2009/9/main" uri="{CCE6A557-97BC-4b89-ADB6-D9C93CAAB3DF}">
      <x14:dataValidations xmlns:xm="http://schemas.microsoft.com/office/excel/2006/main" count="1">
        <x14:dataValidation type="list" allowBlank="1" showInputMessage="1" showErrorMessage="1" xr:uid="{809862A9-C8FA-46F7-94AA-6034D3699D03}">
          <x14:formula1>
            <xm:f>'BASE GERAL'!$G:$G</xm:f>
          </x14:formula1>
          <xm:sqref>G7:G48</xm:sqref>
        </x14:dataValidation>
      </x14:dataValidations>
    </ext>
    <ext xmlns:x14="http://schemas.microsoft.com/office/spreadsheetml/2009/9/main" uri="{A8765BA9-456A-4dab-B4F3-ACF838C121DE}">
      <x14:slicerList>
        <x14:slicer r:id="rId5"/>
      </x14:slicerList>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2D1E744-22E4-4A0A-8426-F85695697A3C}">
  <sheetPr codeName="Planilha4"/>
  <dimension ref="A1:Q86"/>
  <sheetViews>
    <sheetView zoomScaleNormal="100" workbookViewId="0">
      <pane ySplit="3" topLeftCell="A69" activePane="bottomLeft" state="frozen"/>
      <selection pane="bottomLeft" activeCell="K84" sqref="K84"/>
    </sheetView>
  </sheetViews>
  <sheetFormatPr defaultRowHeight="15" x14ac:dyDescent="0.25"/>
  <cols>
    <col min="1" max="4" width="9.7109375" customWidth="1"/>
    <col min="5" max="5" width="60.140625" customWidth="1"/>
    <col min="6" max="6" width="13.42578125" customWidth="1"/>
    <col min="7" max="7" width="13.7109375" customWidth="1"/>
    <col min="8" max="8" width="10.7109375" customWidth="1"/>
    <col min="9" max="16" width="13.7109375" customWidth="1"/>
  </cols>
  <sheetData>
    <row r="1" spans="1:17" ht="45" customHeight="1" x14ac:dyDescent="0.25">
      <c r="A1" s="321" t="s">
        <v>1610</v>
      </c>
      <c r="B1" s="321"/>
      <c r="C1" s="321"/>
      <c r="D1" s="321"/>
      <c r="E1" s="321"/>
      <c r="F1" s="321"/>
    </row>
    <row r="2" spans="1:17" x14ac:dyDescent="0.25">
      <c r="A2" s="322"/>
      <c r="B2" s="322"/>
      <c r="C2" s="322"/>
      <c r="D2" s="322"/>
      <c r="E2" s="322"/>
      <c r="F2" s="322"/>
    </row>
    <row r="3" spans="1:17" ht="51" x14ac:dyDescent="0.25">
      <c r="A3" s="185" t="s">
        <v>942</v>
      </c>
      <c r="B3" s="185" t="s">
        <v>943</v>
      </c>
      <c r="C3" s="185" t="s">
        <v>977</v>
      </c>
      <c r="D3" s="185" t="s">
        <v>944</v>
      </c>
      <c r="E3" s="185" t="s">
        <v>945</v>
      </c>
      <c r="F3" s="185" t="s">
        <v>257</v>
      </c>
      <c r="G3" s="196" t="s">
        <v>946</v>
      </c>
      <c r="H3" s="185" t="s">
        <v>947</v>
      </c>
      <c r="I3" s="185" t="s">
        <v>921</v>
      </c>
      <c r="J3" s="185" t="s">
        <v>948</v>
      </c>
      <c r="K3" s="185" t="s">
        <v>949</v>
      </c>
      <c r="L3" s="185" t="s">
        <v>950</v>
      </c>
      <c r="M3" s="185" t="s">
        <v>951</v>
      </c>
      <c r="N3" s="185" t="s">
        <v>952</v>
      </c>
      <c r="O3" s="185" t="s">
        <v>953</v>
      </c>
      <c r="P3" s="185" t="s">
        <v>954</v>
      </c>
    </row>
    <row r="4" spans="1:17" ht="38.25" x14ac:dyDescent="0.25">
      <c r="A4" s="186">
        <f t="shared" ref="A4:A35" si="0">ROW()-3</f>
        <v>1</v>
      </c>
      <c r="B4" s="186">
        <v>4</v>
      </c>
      <c r="C4" s="186" t="s">
        <v>977</v>
      </c>
      <c r="D4" s="186">
        <f t="shared" ref="D4:D35" si="1">79*75+77*110+19*150+(254+2+2)*220</f>
        <v>74005</v>
      </c>
      <c r="E4" s="193" t="s">
        <v>1301</v>
      </c>
      <c r="F4" s="192" t="s">
        <v>955</v>
      </c>
      <c r="G4" s="192" t="s">
        <v>1249</v>
      </c>
      <c r="H4" s="192"/>
      <c r="I4" s="192"/>
      <c r="J4" s="311">
        <v>2465.41</v>
      </c>
      <c r="K4" s="184">
        <f>tabLimpGeral[[#This Row],[PREÇO UNIDADE -  (R$)]]*tabLimpGeral[[#This Row],[QUANT. ITEM]]</f>
        <v>9861.64</v>
      </c>
      <c r="L4" s="184" cm="1">
        <f t="array" ref="L4">tabLimpGeral[[#This Row],[PREÇO INICIAL -  (R$)]]*IFERROR(PRODUCT(1+_xlfn._xlws.FILTER(tabIndices[PERCENTUAL],tabIndices[DATA DA PUBLICAÇÃO]&gt;tabLimpGeral[[#This Row],[DATA PUBLICAÇÃO]])),1)</f>
        <v>2465.41</v>
      </c>
      <c r="M4" s="184">
        <f>IF(tabLimpGeral[[#This Row],[TIPO]]="Equipamento",tabLimpGeral[[#This Row],[PREÇO UNIDADE -  (R$)]]/60,0)</f>
        <v>41.090166666666661</v>
      </c>
      <c r="N4" s="184">
        <f>tabLimpGeral[[#This Row],[VALOR  - DEPRECIAÇÃO MENSAL - UNIDADE (R$)]]*tabLimpGeral[[#This Row],[QUANT. ITEM]]</f>
        <v>164.36066666666665</v>
      </c>
      <c r="O4" s="184">
        <f>tabLimpGeral[[#This Row],[VALOR DEPRECIAÇÃO MENSAL - TOTAL (R$)]]*12</f>
        <v>1972.3279999999997</v>
      </c>
      <c r="P4" s="184">
        <f>IFERROR(IF(tabLimpGeral[[#This Row],[TIPO]]="Equipamento",tabLimpGeral[[#This Row],[VALOR  - DEPRECIAÇÃO ANUAL - TOTAL (R$) ]]/12/tabLimpGeral[[#This Row],[CARGA HORÁRIA INICIAL]],tabLimpGeral[[#This Row],[PREÇO TOTAL -  (R$)]]/12/tabLimpGeral[[#This Row],[CARGA HORÁRIA INICIAL]]),0)</f>
        <v>2.2209400265747808E-3</v>
      </c>
      <c r="Q4" s="280"/>
    </row>
    <row r="5" spans="1:17" x14ac:dyDescent="0.25">
      <c r="A5" s="186">
        <f t="shared" si="0"/>
        <v>2</v>
      </c>
      <c r="B5" s="186">
        <v>37</v>
      </c>
      <c r="C5" s="186" t="s">
        <v>977</v>
      </c>
      <c r="D5" s="186">
        <f t="shared" si="1"/>
        <v>74005</v>
      </c>
      <c r="E5" s="193" t="s">
        <v>1302</v>
      </c>
      <c r="F5" s="192" t="s">
        <v>955</v>
      </c>
      <c r="G5" s="192" t="s">
        <v>1249</v>
      </c>
      <c r="H5" s="192"/>
      <c r="I5" s="192"/>
      <c r="J5" s="311">
        <v>572.92999999999995</v>
      </c>
      <c r="K5" s="184">
        <f>tabLimpGeral[[#This Row],[PREÇO UNIDADE -  (R$)]]*tabLimpGeral[[#This Row],[QUANT. ITEM]]</f>
        <v>21198.41</v>
      </c>
      <c r="L5" s="184" cm="1">
        <f t="array" ref="L5">tabLimpGeral[[#This Row],[PREÇO INICIAL -  (R$)]]*IFERROR(PRODUCT(1+_xlfn._xlws.FILTER(tabIndices[PERCENTUAL],tabIndices[DATA DA PUBLICAÇÃO]&gt;tabLimpGeral[[#This Row],[DATA PUBLICAÇÃO]])),1)</f>
        <v>572.92999999999995</v>
      </c>
      <c r="M5" s="184">
        <f>IF(tabLimpGeral[[#This Row],[TIPO]]="Equipamento",tabLimpGeral[[#This Row],[PREÇO UNIDADE -  (R$)]]/60,0)</f>
        <v>9.5488333333333326</v>
      </c>
      <c r="N5" s="184">
        <f>tabLimpGeral[[#This Row],[VALOR  - DEPRECIAÇÃO MENSAL - UNIDADE (R$)]]*tabLimpGeral[[#This Row],[QUANT. ITEM]]</f>
        <v>353.30683333333332</v>
      </c>
      <c r="O5" s="184">
        <f>tabLimpGeral[[#This Row],[VALOR DEPRECIAÇÃO MENSAL - TOTAL (R$)]]*12</f>
        <v>4239.6819999999998</v>
      </c>
      <c r="P5" s="184">
        <f>IFERROR(IF(tabLimpGeral[[#This Row],[TIPO]]="Equipamento",tabLimpGeral[[#This Row],[VALOR  - DEPRECIAÇÃO ANUAL - TOTAL (R$) ]]/12/tabLimpGeral[[#This Row],[CARGA HORÁRIA INICIAL]],tabLimpGeral[[#This Row],[PREÇO TOTAL -  (R$)]]/12/tabLimpGeral[[#This Row],[CARGA HORÁRIA INICIAL]]),0)</f>
        <v>4.7740940927414816E-3</v>
      </c>
      <c r="Q5" s="280"/>
    </row>
    <row r="6" spans="1:17" ht="25.5" x14ac:dyDescent="0.25">
      <c r="A6" s="186">
        <f t="shared" si="0"/>
        <v>3</v>
      </c>
      <c r="B6" s="187">
        <v>12</v>
      </c>
      <c r="C6" s="186" t="s">
        <v>977</v>
      </c>
      <c r="D6" s="186">
        <f t="shared" si="1"/>
        <v>74005</v>
      </c>
      <c r="E6" s="193" t="s">
        <v>1305</v>
      </c>
      <c r="F6" s="192" t="s">
        <v>955</v>
      </c>
      <c r="G6" s="192" t="s">
        <v>1249</v>
      </c>
      <c r="H6" s="192"/>
      <c r="I6" s="192"/>
      <c r="J6" s="311">
        <v>851.8</v>
      </c>
      <c r="K6" s="184">
        <f>tabLimpGeral[[#This Row],[PREÇO UNIDADE -  (R$)]]*tabLimpGeral[[#This Row],[QUANT. ITEM]]</f>
        <v>10221.599999999999</v>
      </c>
      <c r="L6" s="184" cm="1">
        <f t="array" ref="L6">tabLimpGeral[[#This Row],[PREÇO INICIAL -  (R$)]]*IFERROR(PRODUCT(1+_xlfn._xlws.FILTER(tabIndices[PERCENTUAL],tabIndices[DATA DA PUBLICAÇÃO]&gt;tabLimpGeral[[#This Row],[DATA PUBLICAÇÃO]])),1)</f>
        <v>851.8</v>
      </c>
      <c r="M6" s="184">
        <f>IF(tabLimpGeral[[#This Row],[TIPO]]="Equipamento",tabLimpGeral[[#This Row],[PREÇO UNIDADE -  (R$)]]/60,0)</f>
        <v>14.196666666666665</v>
      </c>
      <c r="N6" s="184">
        <f>tabLimpGeral[[#This Row],[VALOR  - DEPRECIAÇÃO MENSAL - UNIDADE (R$)]]*tabLimpGeral[[#This Row],[QUANT. ITEM]]</f>
        <v>170.35999999999999</v>
      </c>
      <c r="O6" s="184">
        <f>tabLimpGeral[[#This Row],[VALOR DEPRECIAÇÃO MENSAL - TOTAL (R$)]]*12</f>
        <v>2044.3199999999997</v>
      </c>
      <c r="P6" s="184">
        <f>IFERROR(IF(tabLimpGeral[[#This Row],[TIPO]]="Equipamento",tabLimpGeral[[#This Row],[VALOR  - DEPRECIAÇÃO ANUAL - TOTAL (R$) ]]/12/tabLimpGeral[[#This Row],[CARGA HORÁRIA INICIAL]],tabLimpGeral[[#This Row],[PREÇO TOTAL -  (R$)]]/12/tabLimpGeral[[#This Row],[CARGA HORÁRIA INICIAL]]),0)</f>
        <v>2.302006621174245E-3</v>
      </c>
      <c r="Q6" s="280"/>
    </row>
    <row r="7" spans="1:17" ht="114.75" x14ac:dyDescent="0.25">
      <c r="A7" s="186">
        <f t="shared" si="0"/>
        <v>4</v>
      </c>
      <c r="B7" s="187">
        <v>300</v>
      </c>
      <c r="C7" s="186" t="s">
        <v>977</v>
      </c>
      <c r="D7" s="186">
        <f t="shared" si="1"/>
        <v>74005</v>
      </c>
      <c r="E7" s="193" t="s">
        <v>1252</v>
      </c>
      <c r="F7" s="192" t="s">
        <v>955</v>
      </c>
      <c r="G7" s="192" t="s">
        <v>1249</v>
      </c>
      <c r="H7" s="192"/>
      <c r="I7" s="192"/>
      <c r="J7" s="311">
        <v>38.97</v>
      </c>
      <c r="K7" s="184">
        <f>tabLimpGeral[[#This Row],[PREÇO UNIDADE -  (R$)]]*tabLimpGeral[[#This Row],[QUANT. ITEM]]</f>
        <v>11691</v>
      </c>
      <c r="L7" s="184" cm="1">
        <f t="array" ref="L7">tabLimpGeral[[#This Row],[PREÇO INICIAL -  (R$)]]*IFERROR(PRODUCT(1+_xlfn._xlws.FILTER(tabIndices[PERCENTUAL],tabIndices[DATA DA PUBLICAÇÃO]&gt;tabLimpGeral[[#This Row],[DATA PUBLICAÇÃO]])),1)</f>
        <v>38.97</v>
      </c>
      <c r="M7" s="184">
        <f>IF(tabLimpGeral[[#This Row],[TIPO]]="Equipamento",tabLimpGeral[[#This Row],[PREÇO UNIDADE -  (R$)]]/60,0)</f>
        <v>0.64949999999999997</v>
      </c>
      <c r="N7" s="184">
        <f>tabLimpGeral[[#This Row],[VALOR  - DEPRECIAÇÃO MENSAL - UNIDADE (R$)]]*tabLimpGeral[[#This Row],[QUANT. ITEM]]</f>
        <v>194.85</v>
      </c>
      <c r="O7" s="184">
        <f>tabLimpGeral[[#This Row],[VALOR DEPRECIAÇÃO MENSAL - TOTAL (R$)]]*12</f>
        <v>2338.1999999999998</v>
      </c>
      <c r="P7" s="184">
        <f>IFERROR(IF(tabLimpGeral[[#This Row],[TIPO]]="Equipamento",tabLimpGeral[[#This Row],[VALOR  - DEPRECIAÇÃO ANUAL - TOTAL (R$) ]]/12/tabLimpGeral[[#This Row],[CARGA HORÁRIA INICIAL]],tabLimpGeral[[#This Row],[PREÇO TOTAL -  (R$)]]/12/tabLimpGeral[[#This Row],[CARGA HORÁRIA INICIAL]]),0)</f>
        <v>2.6329302074184174E-3</v>
      </c>
      <c r="Q7" s="280"/>
    </row>
    <row r="8" spans="1:17" ht="63.75" x14ac:dyDescent="0.25">
      <c r="A8" s="186">
        <f t="shared" si="0"/>
        <v>5</v>
      </c>
      <c r="B8" s="187">
        <v>2000</v>
      </c>
      <c r="C8" s="186" t="s">
        <v>977</v>
      </c>
      <c r="D8" s="186">
        <f t="shared" si="1"/>
        <v>74005</v>
      </c>
      <c r="E8" s="193" t="s">
        <v>956</v>
      </c>
      <c r="F8" s="192" t="s">
        <v>955</v>
      </c>
      <c r="G8" s="192" t="s">
        <v>1249</v>
      </c>
      <c r="H8" s="192"/>
      <c r="I8" s="192"/>
      <c r="J8" s="311">
        <v>347.33</v>
      </c>
      <c r="K8" s="184">
        <f>tabLimpGeral[[#This Row],[PREÇO UNIDADE -  (R$)]]*tabLimpGeral[[#This Row],[QUANT. ITEM]]</f>
        <v>694660</v>
      </c>
      <c r="L8" s="184" cm="1">
        <f t="array" ref="L8">tabLimpGeral[[#This Row],[PREÇO INICIAL -  (R$)]]*IFERROR(PRODUCT(1+_xlfn._xlws.FILTER(tabIndices[PERCENTUAL],tabIndices[DATA DA PUBLICAÇÃO]&gt;tabLimpGeral[[#This Row],[DATA PUBLICAÇÃO]])),1)</f>
        <v>347.33</v>
      </c>
      <c r="M8" s="184">
        <f>IF(tabLimpGeral[[#This Row],[TIPO]]="Equipamento",tabLimpGeral[[#This Row],[PREÇO UNIDADE -  (R$)]]/60,0)</f>
        <v>5.7888333333333328</v>
      </c>
      <c r="N8" s="184">
        <f>tabLimpGeral[[#This Row],[VALOR  - DEPRECIAÇÃO MENSAL - UNIDADE (R$)]]*tabLimpGeral[[#This Row],[QUANT. ITEM]]</f>
        <v>11577.666666666666</v>
      </c>
      <c r="O8" s="184">
        <f>tabLimpGeral[[#This Row],[VALOR DEPRECIAÇÃO MENSAL - TOTAL (R$)]]*12</f>
        <v>138932</v>
      </c>
      <c r="P8" s="184">
        <f>IFERROR(IF(tabLimpGeral[[#This Row],[TIPO]]="Equipamento",tabLimpGeral[[#This Row],[VALOR  - DEPRECIAÇÃO ANUAL - TOTAL (R$) ]]/12/tabLimpGeral[[#This Row],[CARGA HORÁRIA INICIAL]],tabLimpGeral[[#This Row],[PREÇO TOTAL -  (R$)]]/12/tabLimpGeral[[#This Row],[CARGA HORÁRIA INICIAL]]),0)</f>
        <v>0.15644438438844221</v>
      </c>
      <c r="Q8" s="280"/>
    </row>
    <row r="9" spans="1:17" ht="114.75" x14ac:dyDescent="0.25">
      <c r="A9" s="186">
        <f t="shared" si="0"/>
        <v>6</v>
      </c>
      <c r="B9" s="187">
        <v>2000</v>
      </c>
      <c r="C9" s="186" t="s">
        <v>977</v>
      </c>
      <c r="D9" s="186">
        <f t="shared" si="1"/>
        <v>74005</v>
      </c>
      <c r="E9" s="193" t="s">
        <v>1251</v>
      </c>
      <c r="F9" s="192" t="s">
        <v>955</v>
      </c>
      <c r="G9" s="192" t="s">
        <v>1249</v>
      </c>
      <c r="H9" s="192"/>
      <c r="I9" s="192"/>
      <c r="J9" s="311">
        <v>36.22</v>
      </c>
      <c r="K9" s="184">
        <f>tabLimpGeral[[#This Row],[PREÇO UNIDADE -  (R$)]]*tabLimpGeral[[#This Row],[QUANT. ITEM]]</f>
        <v>72440</v>
      </c>
      <c r="L9" s="184" cm="1">
        <f t="array" ref="L9">tabLimpGeral[[#This Row],[PREÇO INICIAL -  (R$)]]*IFERROR(PRODUCT(1+_xlfn._xlws.FILTER(tabIndices[PERCENTUAL],tabIndices[DATA DA PUBLICAÇÃO]&gt;tabLimpGeral[[#This Row],[DATA PUBLICAÇÃO]])),1)</f>
        <v>36.22</v>
      </c>
      <c r="M9" s="184">
        <f>IF(tabLimpGeral[[#This Row],[TIPO]]="Equipamento",tabLimpGeral[[#This Row],[PREÇO UNIDADE -  (R$)]]/60,0)</f>
        <v>0.60366666666666668</v>
      </c>
      <c r="N9" s="184">
        <f>tabLimpGeral[[#This Row],[VALOR  - DEPRECIAÇÃO MENSAL - UNIDADE (R$)]]*tabLimpGeral[[#This Row],[QUANT. ITEM]]</f>
        <v>1207.3333333333333</v>
      </c>
      <c r="O9" s="184">
        <f>tabLimpGeral[[#This Row],[VALOR DEPRECIAÇÃO MENSAL - TOTAL (R$)]]*12</f>
        <v>14488</v>
      </c>
      <c r="P9" s="184">
        <f>IFERROR(IF(tabLimpGeral[[#This Row],[TIPO]]="Equipamento",tabLimpGeral[[#This Row],[VALOR  - DEPRECIAÇÃO ANUAL - TOTAL (R$) ]]/12/tabLimpGeral[[#This Row],[CARGA HORÁRIA INICIAL]],tabLimpGeral[[#This Row],[PREÇO TOTAL -  (R$)]]/12/tabLimpGeral[[#This Row],[CARGA HORÁRIA INICIAL]]),0)</f>
        <v>1.6314213003625878E-2</v>
      </c>
      <c r="Q9" s="280"/>
    </row>
    <row r="10" spans="1:17" ht="63.75" x14ac:dyDescent="0.25">
      <c r="A10" s="186">
        <f t="shared" si="0"/>
        <v>7</v>
      </c>
      <c r="B10" s="187">
        <v>60</v>
      </c>
      <c r="C10" s="186" t="s">
        <v>977</v>
      </c>
      <c r="D10" s="186">
        <f t="shared" si="1"/>
        <v>74005</v>
      </c>
      <c r="E10" s="194" t="s">
        <v>1303</v>
      </c>
      <c r="F10" s="192" t="s">
        <v>955</v>
      </c>
      <c r="G10" s="192" t="s">
        <v>1249</v>
      </c>
      <c r="H10" s="191"/>
      <c r="I10" s="191"/>
      <c r="J10" s="311">
        <v>2577.9</v>
      </c>
      <c r="K10" s="184">
        <f>tabLimpGeral[[#This Row],[PREÇO UNIDADE -  (R$)]]*tabLimpGeral[[#This Row],[QUANT. ITEM]]</f>
        <v>154674</v>
      </c>
      <c r="L10" s="184" cm="1">
        <f t="array" ref="L10">tabLimpGeral[[#This Row],[PREÇO INICIAL -  (R$)]]*IFERROR(PRODUCT(1+_xlfn._xlws.FILTER(tabIndices[PERCENTUAL],tabIndices[DATA DA PUBLICAÇÃO]&gt;tabLimpGeral[[#This Row],[DATA PUBLICAÇÃO]])),1)</f>
        <v>2577.9</v>
      </c>
      <c r="M10" s="184">
        <f>IF(tabLimpGeral[[#This Row],[TIPO]]="Equipamento",tabLimpGeral[[#This Row],[PREÇO UNIDADE -  (R$)]]/60,0)</f>
        <v>42.965000000000003</v>
      </c>
      <c r="N10" s="184">
        <f>tabLimpGeral[[#This Row],[VALOR  - DEPRECIAÇÃO MENSAL - UNIDADE (R$)]]*tabLimpGeral[[#This Row],[QUANT. ITEM]]</f>
        <v>2577.9</v>
      </c>
      <c r="O10" s="184">
        <f>tabLimpGeral[[#This Row],[VALOR DEPRECIAÇÃO MENSAL - TOTAL (R$)]]*12</f>
        <v>30934.800000000003</v>
      </c>
      <c r="P10" s="184">
        <f>IFERROR(IF(tabLimpGeral[[#This Row],[TIPO]]="Equipamento",tabLimpGeral[[#This Row],[VALOR  - DEPRECIAÇÃO ANUAL - TOTAL (R$) ]]/12/tabLimpGeral[[#This Row],[CARGA HORÁRIA INICIAL]],tabLimpGeral[[#This Row],[PREÇO TOTAL -  (R$)]]/12/tabLimpGeral[[#This Row],[CARGA HORÁRIA INICIAL]]),0)</f>
        <v>3.4834132828862913E-2</v>
      </c>
      <c r="Q10" s="280"/>
    </row>
    <row r="11" spans="1:17" ht="38.25" x14ac:dyDescent="0.25">
      <c r="A11" s="186">
        <f t="shared" si="0"/>
        <v>8</v>
      </c>
      <c r="B11" s="187">
        <v>21</v>
      </c>
      <c r="C11" s="186" t="s">
        <v>977</v>
      </c>
      <c r="D11" s="186">
        <f t="shared" si="1"/>
        <v>74005</v>
      </c>
      <c r="E11" s="193" t="s">
        <v>1304</v>
      </c>
      <c r="F11" s="192" t="s">
        <v>955</v>
      </c>
      <c r="G11" s="192" t="s">
        <v>1249</v>
      </c>
      <c r="H11" s="192"/>
      <c r="I11" s="192"/>
      <c r="J11" s="311">
        <v>4526.68</v>
      </c>
      <c r="K11" s="184">
        <f>tabLimpGeral[[#This Row],[PREÇO UNIDADE -  (R$)]]*tabLimpGeral[[#This Row],[QUANT. ITEM]]</f>
        <v>95060.28</v>
      </c>
      <c r="L11" s="184" cm="1">
        <f t="array" ref="L11">tabLimpGeral[[#This Row],[PREÇO INICIAL -  (R$)]]*IFERROR(PRODUCT(1+_xlfn._xlws.FILTER(tabIndices[PERCENTUAL],tabIndices[DATA DA PUBLICAÇÃO]&gt;tabLimpGeral[[#This Row],[DATA PUBLICAÇÃO]])),1)</f>
        <v>4526.68</v>
      </c>
      <c r="M11" s="184">
        <f>IF(tabLimpGeral[[#This Row],[TIPO]]="Equipamento",tabLimpGeral[[#This Row],[PREÇO UNIDADE -  (R$)]]/60,0)</f>
        <v>75.444666666666677</v>
      </c>
      <c r="N11" s="184">
        <f>tabLimpGeral[[#This Row],[VALOR  - DEPRECIAÇÃO MENSAL - UNIDADE (R$)]]*tabLimpGeral[[#This Row],[QUANT. ITEM]]</f>
        <v>1584.3380000000002</v>
      </c>
      <c r="O11" s="184">
        <f>tabLimpGeral[[#This Row],[VALOR DEPRECIAÇÃO MENSAL - TOTAL (R$)]]*12</f>
        <v>19012.056000000004</v>
      </c>
      <c r="P11" s="184">
        <f>IFERROR(IF(tabLimpGeral[[#This Row],[TIPO]]="Equipamento",tabLimpGeral[[#This Row],[VALOR  - DEPRECIAÇÃO ANUAL - TOTAL (R$) ]]/12/tabLimpGeral[[#This Row],[CARGA HORÁRIA INICIAL]],tabLimpGeral[[#This Row],[PREÇO TOTAL -  (R$)]]/12/tabLimpGeral[[#This Row],[CARGA HORÁRIA INICIAL]]),0)</f>
        <v>2.1408526450915483E-2</v>
      </c>
      <c r="Q11" s="280"/>
    </row>
    <row r="12" spans="1:17" ht="38.25" x14ac:dyDescent="0.25">
      <c r="A12" s="186">
        <f t="shared" si="0"/>
        <v>9</v>
      </c>
      <c r="B12" s="187">
        <v>376</v>
      </c>
      <c r="C12" s="186" t="s">
        <v>977</v>
      </c>
      <c r="D12" s="186">
        <f t="shared" si="1"/>
        <v>74005</v>
      </c>
      <c r="E12" s="193" t="s">
        <v>1307</v>
      </c>
      <c r="F12" s="192" t="s">
        <v>955</v>
      </c>
      <c r="G12" s="192" t="s">
        <v>1249</v>
      </c>
      <c r="H12" s="192"/>
      <c r="I12" s="192"/>
      <c r="J12" s="311">
        <v>373.3</v>
      </c>
      <c r="K12" s="184">
        <f>tabLimpGeral[[#This Row],[PREÇO UNIDADE -  (R$)]]*tabLimpGeral[[#This Row],[QUANT. ITEM]]</f>
        <v>140360.80000000002</v>
      </c>
      <c r="L12" s="184" cm="1">
        <f t="array" ref="L12">tabLimpGeral[[#This Row],[PREÇO INICIAL -  (R$)]]*IFERROR(PRODUCT(1+_xlfn._xlws.FILTER(tabIndices[PERCENTUAL],tabIndices[DATA DA PUBLICAÇÃO]&gt;tabLimpGeral[[#This Row],[DATA PUBLICAÇÃO]])),1)</f>
        <v>373.3</v>
      </c>
      <c r="M12" s="184">
        <f>IF(tabLimpGeral[[#This Row],[TIPO]]="Equipamento",tabLimpGeral[[#This Row],[PREÇO UNIDADE -  (R$)]]/60,0)</f>
        <v>6.2216666666666667</v>
      </c>
      <c r="N12" s="184">
        <f>tabLimpGeral[[#This Row],[VALOR  - DEPRECIAÇÃO MENSAL - UNIDADE (R$)]]*tabLimpGeral[[#This Row],[QUANT. ITEM]]</f>
        <v>2339.3466666666668</v>
      </c>
      <c r="O12" s="184">
        <f>tabLimpGeral[[#This Row],[VALOR DEPRECIAÇÃO MENSAL - TOTAL (R$)]]*12</f>
        <v>28072.160000000003</v>
      </c>
      <c r="P12" s="184">
        <f>IFERROR(IF(tabLimpGeral[[#This Row],[TIPO]]="Equipamento",tabLimpGeral[[#This Row],[VALOR  - DEPRECIAÇÃO ANUAL - TOTAL (R$) ]]/12/tabLimpGeral[[#This Row],[CARGA HORÁRIA INICIAL]],tabLimpGeral[[#This Row],[PREÇO TOTAL -  (R$)]]/12/tabLimpGeral[[#This Row],[CARGA HORÁRIA INICIAL]]),0)</f>
        <v>3.1610656937594309E-2</v>
      </c>
      <c r="Q12" s="280"/>
    </row>
    <row r="13" spans="1:17" ht="25.5" x14ac:dyDescent="0.25">
      <c r="A13" s="186">
        <f t="shared" si="0"/>
        <v>10</v>
      </c>
      <c r="B13" s="187">
        <v>4</v>
      </c>
      <c r="C13" s="186" t="s">
        <v>977</v>
      </c>
      <c r="D13" s="186">
        <f t="shared" si="1"/>
        <v>74005</v>
      </c>
      <c r="E13" s="193" t="s">
        <v>1250</v>
      </c>
      <c r="F13" s="192" t="s">
        <v>955</v>
      </c>
      <c r="G13" s="192" t="s">
        <v>1249</v>
      </c>
      <c r="H13" s="192"/>
      <c r="I13" s="192"/>
      <c r="J13" s="311">
        <v>3949.99</v>
      </c>
      <c r="K13" s="184">
        <f>tabLimpGeral[[#This Row],[PREÇO UNIDADE -  (R$)]]*tabLimpGeral[[#This Row],[QUANT. ITEM]]</f>
        <v>15799.96</v>
      </c>
      <c r="L13" s="184" cm="1">
        <f t="array" ref="L13">tabLimpGeral[[#This Row],[PREÇO INICIAL -  (R$)]]*IFERROR(PRODUCT(1+_xlfn._xlws.FILTER(tabIndices[PERCENTUAL],tabIndices[DATA DA PUBLICAÇÃO]&gt;tabLimpGeral[[#This Row],[DATA PUBLICAÇÃO]])),1)</f>
        <v>3949.99</v>
      </c>
      <c r="M13" s="184">
        <f>IF(tabLimpGeral[[#This Row],[TIPO]]="Equipamento",tabLimpGeral[[#This Row],[PREÇO UNIDADE -  (R$)]]/60,0)</f>
        <v>65.833166666666656</v>
      </c>
      <c r="N13" s="184">
        <f>tabLimpGeral[[#This Row],[VALOR  - DEPRECIAÇÃO MENSAL - UNIDADE (R$)]]*tabLimpGeral[[#This Row],[QUANT. ITEM]]</f>
        <v>263.33266666666663</v>
      </c>
      <c r="O13" s="184">
        <f>tabLimpGeral[[#This Row],[VALOR DEPRECIAÇÃO MENSAL - TOTAL (R$)]]*12</f>
        <v>3159.9919999999993</v>
      </c>
      <c r="P13" s="184">
        <f>IFERROR(IF(tabLimpGeral[[#This Row],[TIPO]]="Equipamento",tabLimpGeral[[#This Row],[VALOR  - DEPRECIAÇÃO ANUAL - TOTAL (R$) ]]/12/tabLimpGeral[[#This Row],[CARGA HORÁRIA INICIAL]],tabLimpGeral[[#This Row],[PREÇO TOTAL -  (R$)]]/12/tabLimpGeral[[#This Row],[CARGA HORÁRIA INICIAL]]),0)</f>
        <v>3.5583091232574372E-3</v>
      </c>
      <c r="Q13" s="280"/>
    </row>
    <row r="14" spans="1:17" ht="38.25" x14ac:dyDescent="0.25">
      <c r="A14" s="186">
        <f t="shared" si="0"/>
        <v>11</v>
      </c>
      <c r="B14" s="187">
        <v>2000</v>
      </c>
      <c r="C14" s="186" t="s">
        <v>977</v>
      </c>
      <c r="D14" s="186">
        <f t="shared" si="1"/>
        <v>74005</v>
      </c>
      <c r="E14" s="194" t="s">
        <v>957</v>
      </c>
      <c r="F14" s="192" t="s">
        <v>955</v>
      </c>
      <c r="G14" s="192" t="s">
        <v>1249</v>
      </c>
      <c r="H14" s="191"/>
      <c r="I14" s="191"/>
      <c r="J14" s="311">
        <v>37.65</v>
      </c>
      <c r="K14" s="184">
        <f>tabLimpGeral[[#This Row],[PREÇO UNIDADE -  (R$)]]*tabLimpGeral[[#This Row],[QUANT. ITEM]]</f>
        <v>75300</v>
      </c>
      <c r="L14" s="184" cm="1">
        <f t="array" ref="L14">tabLimpGeral[[#This Row],[PREÇO INICIAL -  (R$)]]*IFERROR(PRODUCT(1+_xlfn._xlws.FILTER(tabIndices[PERCENTUAL],tabIndices[DATA DA PUBLICAÇÃO]&gt;tabLimpGeral[[#This Row],[DATA PUBLICAÇÃO]])),1)</f>
        <v>37.65</v>
      </c>
      <c r="M14" s="184">
        <f>IF(tabLimpGeral[[#This Row],[TIPO]]="Equipamento",tabLimpGeral[[#This Row],[PREÇO UNIDADE -  (R$)]]/60,0)</f>
        <v>0.62749999999999995</v>
      </c>
      <c r="N14" s="184">
        <f>tabLimpGeral[[#This Row],[VALOR  - DEPRECIAÇÃO MENSAL - UNIDADE (R$)]]*tabLimpGeral[[#This Row],[QUANT. ITEM]]</f>
        <v>1255</v>
      </c>
      <c r="O14" s="184">
        <f>tabLimpGeral[[#This Row],[VALOR DEPRECIAÇÃO MENSAL - TOTAL (R$)]]*12</f>
        <v>15060</v>
      </c>
      <c r="P14" s="184">
        <f>IFERROR(IF(tabLimpGeral[[#This Row],[TIPO]]="Equipamento",tabLimpGeral[[#This Row],[VALOR  - DEPRECIAÇÃO ANUAL - TOTAL (R$) ]]/12/tabLimpGeral[[#This Row],[CARGA HORÁRIA INICIAL]],tabLimpGeral[[#This Row],[PREÇO TOTAL -  (R$)]]/12/tabLimpGeral[[#This Row],[CARGA HORÁRIA INICIAL]]),0)</f>
        <v>1.6958313627457606E-2</v>
      </c>
      <c r="Q14" s="280"/>
    </row>
    <row r="15" spans="1:17" ht="25.5" x14ac:dyDescent="0.25">
      <c r="A15" s="186">
        <f t="shared" si="0"/>
        <v>12</v>
      </c>
      <c r="B15" s="187">
        <v>5</v>
      </c>
      <c r="C15" s="186" t="s">
        <v>977</v>
      </c>
      <c r="D15" s="186">
        <f t="shared" si="1"/>
        <v>74005</v>
      </c>
      <c r="E15" s="193" t="s">
        <v>1306</v>
      </c>
      <c r="F15" s="192" t="s">
        <v>955</v>
      </c>
      <c r="G15" s="192" t="s">
        <v>1249</v>
      </c>
      <c r="H15" s="192"/>
      <c r="I15" s="192"/>
      <c r="J15" s="311">
        <v>228.16</v>
      </c>
      <c r="K15" s="184">
        <f>tabLimpGeral[[#This Row],[PREÇO UNIDADE -  (R$)]]*tabLimpGeral[[#This Row],[QUANT. ITEM]]</f>
        <v>1140.8</v>
      </c>
      <c r="L15" s="184" cm="1">
        <f t="array" ref="L15">tabLimpGeral[[#This Row],[PREÇO INICIAL -  (R$)]]*IFERROR(PRODUCT(1+_xlfn._xlws.FILTER(tabIndices[PERCENTUAL],tabIndices[DATA DA PUBLICAÇÃO]&gt;tabLimpGeral[[#This Row],[DATA PUBLICAÇÃO]])),1)</f>
        <v>228.16</v>
      </c>
      <c r="M15" s="184">
        <f>IF(tabLimpGeral[[#This Row],[TIPO]]="Equipamento",tabLimpGeral[[#This Row],[PREÇO UNIDADE -  (R$)]]/60,0)</f>
        <v>3.8026666666666666</v>
      </c>
      <c r="N15" s="184">
        <f>tabLimpGeral[[#This Row],[VALOR  - DEPRECIAÇÃO MENSAL - UNIDADE (R$)]]*tabLimpGeral[[#This Row],[QUANT. ITEM]]</f>
        <v>19.013333333333332</v>
      </c>
      <c r="O15" s="184">
        <f>tabLimpGeral[[#This Row],[VALOR DEPRECIAÇÃO MENSAL - TOTAL (R$)]]*12</f>
        <v>228.15999999999997</v>
      </c>
      <c r="P15" s="184">
        <f>IFERROR(IF(tabLimpGeral[[#This Row],[TIPO]]="Equipamento",tabLimpGeral[[#This Row],[VALOR  - DEPRECIAÇÃO ANUAL - TOTAL (R$) ]]/12/tabLimpGeral[[#This Row],[CARGA HORÁRIA INICIAL]],tabLimpGeral[[#This Row],[PREÇO TOTAL -  (R$)]]/12/tabLimpGeral[[#This Row],[CARGA HORÁRIA INICIAL]]),0)</f>
        <v>2.5691957750602432E-4</v>
      </c>
      <c r="Q15" s="280"/>
    </row>
    <row r="16" spans="1:17" ht="25.5" x14ac:dyDescent="0.25">
      <c r="A16" s="186">
        <f t="shared" si="0"/>
        <v>13</v>
      </c>
      <c r="B16" s="187">
        <v>384</v>
      </c>
      <c r="C16" s="186" t="s">
        <v>977</v>
      </c>
      <c r="D16" s="186">
        <f t="shared" si="1"/>
        <v>74005</v>
      </c>
      <c r="E16" s="193" t="s">
        <v>1280</v>
      </c>
      <c r="F16" s="192" t="s">
        <v>963</v>
      </c>
      <c r="G16" s="192" t="s">
        <v>964</v>
      </c>
      <c r="H16" s="192"/>
      <c r="I16" s="192"/>
      <c r="J16" s="312">
        <v>11.8</v>
      </c>
      <c r="K16" s="195">
        <f>tabLimpGeral[[#This Row],[PREÇO UNIDADE -  (R$)]]*tabLimpGeral[[#This Row],[QUANT. ITEM]]</f>
        <v>4531.2000000000007</v>
      </c>
      <c r="L16" s="195" cm="1">
        <f t="array" ref="L16">tabLimpGeral[[#This Row],[PREÇO INICIAL -  (R$)]]*IFERROR(PRODUCT(1+_xlfn._xlws.FILTER(tabIndices[PERCENTUAL],tabIndices[DATA DA PUBLICAÇÃO]&gt;tabLimpGeral[[#This Row],[DATA PUBLICAÇÃO]])),1)</f>
        <v>11.8</v>
      </c>
      <c r="M16" s="195">
        <f>IF(tabLimpGeral[[#This Row],[TIPO]]="Equipamento",tabLimpGeral[[#This Row],[PREÇO UNIDADE -  (R$)]]/60,0)</f>
        <v>0</v>
      </c>
      <c r="N16" s="195">
        <f>tabLimpGeral[[#This Row],[VALOR  - DEPRECIAÇÃO MENSAL - UNIDADE (R$)]]*tabLimpGeral[[#This Row],[QUANT. ITEM]]</f>
        <v>0</v>
      </c>
      <c r="O16" s="195">
        <f>tabLimpGeral[[#This Row],[VALOR DEPRECIAÇÃO MENSAL - TOTAL (R$)]]*12</f>
        <v>0</v>
      </c>
      <c r="P16" s="195">
        <f>IFERROR(IF(tabLimpGeral[[#This Row],[TIPO]]="Equipamento",tabLimpGeral[[#This Row],[VALOR  - DEPRECIAÇÃO ANUAL - TOTAL (R$) ]]/12/tabLimpGeral[[#This Row],[CARGA HORÁRIA INICIAL]],tabLimpGeral[[#This Row],[PREÇO TOTAL -  (R$)]]/12/tabLimpGeral[[#This Row],[CARGA HORÁRIA INICIAL]]),0)</f>
        <v>5.102357948787245E-3</v>
      </c>
    </row>
    <row r="17" spans="1:16" ht="25.5" x14ac:dyDescent="0.25">
      <c r="A17" s="186">
        <f t="shared" si="0"/>
        <v>14</v>
      </c>
      <c r="B17" s="187">
        <v>100</v>
      </c>
      <c r="C17" s="186" t="s">
        <v>977</v>
      </c>
      <c r="D17" s="186">
        <f t="shared" si="1"/>
        <v>74005</v>
      </c>
      <c r="E17" s="193" t="s">
        <v>1281</v>
      </c>
      <c r="F17" s="192" t="s">
        <v>963</v>
      </c>
      <c r="G17" s="192" t="s">
        <v>964</v>
      </c>
      <c r="H17" s="192"/>
      <c r="I17" s="192"/>
      <c r="J17" s="312">
        <v>15.16</v>
      </c>
      <c r="K17" s="195">
        <f>tabLimpGeral[[#This Row],[PREÇO UNIDADE -  (R$)]]*tabLimpGeral[[#This Row],[QUANT. ITEM]]</f>
        <v>1516</v>
      </c>
      <c r="L17" s="195" cm="1">
        <f t="array" ref="L17">tabLimpGeral[[#This Row],[PREÇO INICIAL -  (R$)]]*IFERROR(PRODUCT(1+_xlfn._xlws.FILTER(tabIndices[PERCENTUAL],tabIndices[DATA DA PUBLICAÇÃO]&gt;tabLimpGeral[[#This Row],[DATA PUBLICAÇÃO]])),1)</f>
        <v>15.16</v>
      </c>
      <c r="M17" s="195">
        <f>IF(tabLimpGeral[[#This Row],[TIPO]]="Equipamento",tabLimpGeral[[#This Row],[PREÇO UNIDADE -  (R$)]]/60,0)</f>
        <v>0</v>
      </c>
      <c r="N17" s="195">
        <f>tabLimpGeral[[#This Row],[VALOR  - DEPRECIAÇÃO MENSAL - UNIDADE (R$)]]*tabLimpGeral[[#This Row],[QUANT. ITEM]]</f>
        <v>0</v>
      </c>
      <c r="O17" s="195">
        <f>tabLimpGeral[[#This Row],[VALOR DEPRECIAÇÃO MENSAL - TOTAL (R$)]]*12</f>
        <v>0</v>
      </c>
      <c r="P17" s="195">
        <f>IFERROR(IF(tabLimpGeral[[#This Row],[TIPO]]="Equipamento",tabLimpGeral[[#This Row],[VALOR  - DEPRECIAÇÃO ANUAL - TOTAL (R$) ]]/12/tabLimpGeral[[#This Row],[CARGA HORÁRIA INICIAL]],tabLimpGeral[[#This Row],[PREÇO TOTAL -  (R$)]]/12/tabLimpGeral[[#This Row],[CARGA HORÁRIA INICIAL]]),0)</f>
        <v>1.707091863162399E-3</v>
      </c>
    </row>
    <row r="18" spans="1:16" ht="25.5" x14ac:dyDescent="0.25">
      <c r="A18" s="186">
        <f t="shared" si="0"/>
        <v>15</v>
      </c>
      <c r="B18" s="187">
        <v>384</v>
      </c>
      <c r="C18" s="186" t="s">
        <v>977</v>
      </c>
      <c r="D18" s="186">
        <f t="shared" si="1"/>
        <v>74005</v>
      </c>
      <c r="E18" s="193" t="s">
        <v>966</v>
      </c>
      <c r="F18" s="192" t="s">
        <v>963</v>
      </c>
      <c r="G18" s="192" t="s">
        <v>964</v>
      </c>
      <c r="H18" s="192"/>
      <c r="I18" s="192"/>
      <c r="J18" s="312">
        <v>13.79</v>
      </c>
      <c r="K18" s="195">
        <f>tabLimpGeral[[#This Row],[PREÇO UNIDADE -  (R$)]]*tabLimpGeral[[#This Row],[QUANT. ITEM]]</f>
        <v>5295.36</v>
      </c>
      <c r="L18" s="195" cm="1">
        <f t="array" ref="L18">tabLimpGeral[[#This Row],[PREÇO INICIAL -  (R$)]]*IFERROR(PRODUCT(1+_xlfn._xlws.FILTER(tabIndices[PERCENTUAL],tabIndices[DATA DA PUBLICAÇÃO]&gt;tabLimpGeral[[#This Row],[DATA PUBLICAÇÃO]])),1)</f>
        <v>13.79</v>
      </c>
      <c r="M18" s="195">
        <f>IF(tabLimpGeral[[#This Row],[TIPO]]="Equipamento",tabLimpGeral[[#This Row],[PREÇO UNIDADE -  (R$)]]/60,0)</f>
        <v>0</v>
      </c>
      <c r="N18" s="195">
        <f>tabLimpGeral[[#This Row],[VALOR  - DEPRECIAÇÃO MENSAL - UNIDADE (R$)]]*tabLimpGeral[[#This Row],[QUANT. ITEM]]</f>
        <v>0</v>
      </c>
      <c r="O18" s="195">
        <f>tabLimpGeral[[#This Row],[VALOR DEPRECIAÇÃO MENSAL - TOTAL (R$)]]*12</f>
        <v>0</v>
      </c>
      <c r="P18" s="195">
        <f>IFERROR(IF(tabLimpGeral[[#This Row],[TIPO]]="Equipamento",tabLimpGeral[[#This Row],[VALOR  - DEPRECIAÇÃO ANUAL - TOTAL (R$) ]]/12/tabLimpGeral[[#This Row],[CARGA HORÁRIA INICIAL]],tabLimpGeral[[#This Row],[PREÇO TOTAL -  (R$)]]/12/tabLimpGeral[[#This Row],[CARGA HORÁRIA INICIAL]]),0)</f>
        <v>5.9628403486250928E-3</v>
      </c>
    </row>
    <row r="19" spans="1:16" ht="25.5" x14ac:dyDescent="0.25">
      <c r="A19" s="186">
        <f t="shared" si="0"/>
        <v>16</v>
      </c>
      <c r="B19" s="187">
        <v>10</v>
      </c>
      <c r="C19" s="186" t="s">
        <v>977</v>
      </c>
      <c r="D19" s="186">
        <f t="shared" si="1"/>
        <v>74005</v>
      </c>
      <c r="E19" s="193" t="s">
        <v>1283</v>
      </c>
      <c r="F19" s="192" t="s">
        <v>963</v>
      </c>
      <c r="G19" s="192" t="s">
        <v>964</v>
      </c>
      <c r="H19" s="192"/>
      <c r="I19" s="192"/>
      <c r="J19" s="312">
        <v>22.16</v>
      </c>
      <c r="K19" s="195">
        <f>tabLimpGeral[[#This Row],[PREÇO UNIDADE -  (R$)]]*tabLimpGeral[[#This Row],[QUANT. ITEM]]</f>
        <v>221.6</v>
      </c>
      <c r="L19" s="195" cm="1">
        <f t="array" ref="L19">tabLimpGeral[[#This Row],[PREÇO INICIAL -  (R$)]]*IFERROR(PRODUCT(1+_xlfn._xlws.FILTER(tabIndices[PERCENTUAL],tabIndices[DATA DA PUBLICAÇÃO]&gt;tabLimpGeral[[#This Row],[DATA PUBLICAÇÃO]])),1)</f>
        <v>22.16</v>
      </c>
      <c r="M19" s="195">
        <f>IF(tabLimpGeral[[#This Row],[TIPO]]="Equipamento",tabLimpGeral[[#This Row],[PREÇO UNIDADE -  (R$)]]/60,0)</f>
        <v>0</v>
      </c>
      <c r="N19" s="195">
        <f>tabLimpGeral[[#This Row],[VALOR  - DEPRECIAÇÃO MENSAL - UNIDADE (R$)]]*tabLimpGeral[[#This Row],[QUANT. ITEM]]</f>
        <v>0</v>
      </c>
      <c r="O19" s="195">
        <f>tabLimpGeral[[#This Row],[VALOR DEPRECIAÇÃO MENSAL - TOTAL (R$)]]*12</f>
        <v>0</v>
      </c>
      <c r="P19" s="195">
        <f>IFERROR(IF(tabLimpGeral[[#This Row],[TIPO]]="Equipamento",tabLimpGeral[[#This Row],[VALOR  - DEPRECIAÇÃO ANUAL - TOTAL (R$) ]]/12/tabLimpGeral[[#This Row],[CARGA HORÁRIA INICIAL]],tabLimpGeral[[#This Row],[PREÇO TOTAL -  (R$)]]/12/tabLimpGeral[[#This Row],[CARGA HORÁRIA INICIAL]]),0)</f>
        <v>2.4953268923270949E-4</v>
      </c>
    </row>
    <row r="20" spans="1:16" ht="25.5" x14ac:dyDescent="0.25">
      <c r="A20" s="186">
        <f t="shared" si="0"/>
        <v>17</v>
      </c>
      <c r="B20" s="187">
        <v>5</v>
      </c>
      <c r="C20" s="186" t="s">
        <v>977</v>
      </c>
      <c r="D20" s="186">
        <f t="shared" si="1"/>
        <v>74005</v>
      </c>
      <c r="E20" s="193" t="s">
        <v>1284</v>
      </c>
      <c r="F20" s="192" t="s">
        <v>963</v>
      </c>
      <c r="G20" s="192" t="s">
        <v>964</v>
      </c>
      <c r="H20" s="192"/>
      <c r="I20" s="192"/>
      <c r="J20" s="312">
        <v>54.4</v>
      </c>
      <c r="K20" s="195">
        <f>tabLimpGeral[[#This Row],[PREÇO UNIDADE -  (R$)]]*tabLimpGeral[[#This Row],[QUANT. ITEM]]</f>
        <v>272</v>
      </c>
      <c r="L20" s="195" cm="1">
        <f t="array" ref="L20">tabLimpGeral[[#This Row],[PREÇO INICIAL -  (R$)]]*IFERROR(PRODUCT(1+_xlfn._xlws.FILTER(tabIndices[PERCENTUAL],tabIndices[DATA DA PUBLICAÇÃO]&gt;tabLimpGeral[[#This Row],[DATA PUBLICAÇÃO]])),1)</f>
        <v>54.4</v>
      </c>
      <c r="M20" s="195">
        <f>IF(tabLimpGeral[[#This Row],[TIPO]]="Equipamento",tabLimpGeral[[#This Row],[PREÇO UNIDADE -  (R$)]]/60,0)</f>
        <v>0</v>
      </c>
      <c r="N20" s="195">
        <f>tabLimpGeral[[#This Row],[VALOR  - DEPRECIAÇÃO MENSAL - UNIDADE (R$)]]*tabLimpGeral[[#This Row],[QUANT. ITEM]]</f>
        <v>0</v>
      </c>
      <c r="O20" s="195">
        <f>tabLimpGeral[[#This Row],[VALOR DEPRECIAÇÃO MENSAL - TOTAL (R$)]]*12</f>
        <v>0</v>
      </c>
      <c r="P20" s="195">
        <f>IFERROR(IF(tabLimpGeral[[#This Row],[TIPO]]="Equipamento",tabLimpGeral[[#This Row],[VALOR  - DEPRECIAÇÃO ANUAL - TOTAL (R$) ]]/12/tabLimpGeral[[#This Row],[CARGA HORÁRIA INICIAL]],tabLimpGeral[[#This Row],[PREÇO TOTAL -  (R$)]]/12/tabLimpGeral[[#This Row],[CARGA HORÁRIA INICIAL]]),0)</f>
        <v>3.0628561133256763E-4</v>
      </c>
    </row>
    <row r="21" spans="1:16" ht="25.5" x14ac:dyDescent="0.25">
      <c r="A21" s="186">
        <f t="shared" si="0"/>
        <v>18</v>
      </c>
      <c r="B21" s="187">
        <v>72</v>
      </c>
      <c r="C21" s="186" t="s">
        <v>977</v>
      </c>
      <c r="D21" s="186">
        <f t="shared" si="1"/>
        <v>74005</v>
      </c>
      <c r="E21" s="193" t="s">
        <v>965</v>
      </c>
      <c r="F21" s="192" t="s">
        <v>963</v>
      </c>
      <c r="G21" s="192" t="s">
        <v>964</v>
      </c>
      <c r="H21" s="192"/>
      <c r="I21" s="192"/>
      <c r="J21" s="312">
        <v>10.9</v>
      </c>
      <c r="K21" s="195">
        <f>tabLimpGeral[[#This Row],[PREÇO UNIDADE -  (R$)]]*tabLimpGeral[[#This Row],[QUANT. ITEM]]</f>
        <v>784.80000000000007</v>
      </c>
      <c r="L21" s="195" cm="1">
        <f t="array" ref="L21">tabLimpGeral[[#This Row],[PREÇO INICIAL -  (R$)]]*IFERROR(PRODUCT(1+_xlfn._xlws.FILTER(tabIndices[PERCENTUAL],tabIndices[DATA DA PUBLICAÇÃO]&gt;tabLimpGeral[[#This Row],[DATA PUBLICAÇÃO]])),1)</f>
        <v>10.9</v>
      </c>
      <c r="M21" s="195">
        <f>IF(tabLimpGeral[[#This Row],[TIPO]]="Equipamento",tabLimpGeral[[#This Row],[PREÇO UNIDADE -  (R$)]]/60,0)</f>
        <v>0</v>
      </c>
      <c r="N21" s="195">
        <f>tabLimpGeral[[#This Row],[VALOR  - DEPRECIAÇÃO MENSAL - UNIDADE (R$)]]*tabLimpGeral[[#This Row],[QUANT. ITEM]]</f>
        <v>0</v>
      </c>
      <c r="O21" s="195">
        <f>tabLimpGeral[[#This Row],[VALOR DEPRECIAÇÃO MENSAL - TOTAL (R$)]]*12</f>
        <v>0</v>
      </c>
      <c r="P21" s="195">
        <f>IFERROR(IF(tabLimpGeral[[#This Row],[TIPO]]="Equipamento",tabLimpGeral[[#This Row],[VALOR  - DEPRECIAÇÃO ANUAL - TOTAL (R$) ]]/12/tabLimpGeral[[#This Row],[CARGA HORÁRIA INICIAL]],tabLimpGeral[[#This Row],[PREÇO TOTAL -  (R$)]]/12/tabLimpGeral[[#This Row],[CARGA HORÁRIA INICIAL]]),0)</f>
        <v>8.8372407269779072E-4</v>
      </c>
    </row>
    <row r="22" spans="1:16" ht="25.5" x14ac:dyDescent="0.25">
      <c r="A22" s="186">
        <f t="shared" si="0"/>
        <v>19</v>
      </c>
      <c r="B22" s="187">
        <v>72</v>
      </c>
      <c r="C22" s="186" t="s">
        <v>977</v>
      </c>
      <c r="D22" s="186">
        <f t="shared" si="1"/>
        <v>74005</v>
      </c>
      <c r="E22" s="193" t="s">
        <v>1282</v>
      </c>
      <c r="F22" s="192" t="s">
        <v>963</v>
      </c>
      <c r="G22" s="192" t="s">
        <v>964</v>
      </c>
      <c r="H22" s="192"/>
      <c r="I22" s="192"/>
      <c r="J22" s="312">
        <v>16.87</v>
      </c>
      <c r="K22" s="195">
        <f>tabLimpGeral[[#This Row],[PREÇO UNIDADE -  (R$)]]*tabLimpGeral[[#This Row],[QUANT. ITEM]]</f>
        <v>1214.6400000000001</v>
      </c>
      <c r="L22" s="195" cm="1">
        <f t="array" ref="L22">tabLimpGeral[[#This Row],[PREÇO INICIAL -  (R$)]]*IFERROR(PRODUCT(1+_xlfn._xlws.FILTER(tabIndices[PERCENTUAL],tabIndices[DATA DA PUBLICAÇÃO]&gt;tabLimpGeral[[#This Row],[DATA PUBLICAÇÃO]])),1)</f>
        <v>16.87</v>
      </c>
      <c r="M22" s="195">
        <f>IF(tabLimpGeral[[#This Row],[TIPO]]="Equipamento",tabLimpGeral[[#This Row],[PREÇO UNIDADE -  (R$)]]/60,0)</f>
        <v>0</v>
      </c>
      <c r="N22" s="195">
        <f>tabLimpGeral[[#This Row],[VALOR  - DEPRECIAÇÃO MENSAL - UNIDADE (R$)]]*tabLimpGeral[[#This Row],[QUANT. ITEM]]</f>
        <v>0</v>
      </c>
      <c r="O22" s="195">
        <f>tabLimpGeral[[#This Row],[VALOR DEPRECIAÇÃO MENSAL - TOTAL (R$)]]*12</f>
        <v>0</v>
      </c>
      <c r="P22" s="195">
        <f>IFERROR(IF(tabLimpGeral[[#This Row],[TIPO]]="Equipamento",tabLimpGeral[[#This Row],[VALOR  - DEPRECIAÇÃO ANUAL - TOTAL (R$) ]]/12/tabLimpGeral[[#This Row],[CARGA HORÁRIA INICIAL]],tabLimpGeral[[#This Row],[PREÇO TOTAL -  (R$)]]/12/tabLimpGeral[[#This Row],[CARGA HORÁRIA INICIAL]]),0)</f>
        <v>1.3677454226065809E-3</v>
      </c>
    </row>
    <row r="23" spans="1:16" ht="25.5" x14ac:dyDescent="0.25">
      <c r="A23" s="186">
        <f t="shared" si="0"/>
        <v>20</v>
      </c>
      <c r="B23" s="187">
        <v>600</v>
      </c>
      <c r="C23" s="186" t="s">
        <v>977</v>
      </c>
      <c r="D23" s="186">
        <f t="shared" si="1"/>
        <v>74005</v>
      </c>
      <c r="E23" s="193" t="s">
        <v>1311</v>
      </c>
      <c r="F23" s="192" t="s">
        <v>963</v>
      </c>
      <c r="G23" s="192" t="s">
        <v>964</v>
      </c>
      <c r="H23" s="192"/>
      <c r="I23" s="192"/>
      <c r="J23" s="312">
        <v>30.62</v>
      </c>
      <c r="K23" s="195">
        <f>tabLimpGeral[[#This Row],[PREÇO UNIDADE -  (R$)]]*tabLimpGeral[[#This Row],[QUANT. ITEM]]</f>
        <v>18372</v>
      </c>
      <c r="L23" s="195" cm="1">
        <f t="array" ref="L23">tabLimpGeral[[#This Row],[PREÇO INICIAL -  (R$)]]*IFERROR(PRODUCT(1+_xlfn._xlws.FILTER(tabIndices[PERCENTUAL],tabIndices[DATA DA PUBLICAÇÃO]&gt;tabLimpGeral[[#This Row],[DATA PUBLICAÇÃO]])),1)</f>
        <v>30.62</v>
      </c>
      <c r="M23" s="195">
        <f>IF(tabLimpGeral[[#This Row],[TIPO]]="Equipamento",tabLimpGeral[[#This Row],[PREÇO UNIDADE -  (R$)]]/60,0)</f>
        <v>0</v>
      </c>
      <c r="N23" s="195">
        <f>tabLimpGeral[[#This Row],[VALOR  - DEPRECIAÇÃO MENSAL - UNIDADE (R$)]]*tabLimpGeral[[#This Row],[QUANT. ITEM]]</f>
        <v>0</v>
      </c>
      <c r="O23" s="195">
        <f>tabLimpGeral[[#This Row],[VALOR DEPRECIAÇÃO MENSAL - TOTAL (R$)]]*12</f>
        <v>0</v>
      </c>
      <c r="P23" s="195">
        <f>IFERROR(IF(tabLimpGeral[[#This Row],[TIPO]]="Equipamento",tabLimpGeral[[#This Row],[VALOR  - DEPRECIAÇÃO ANUAL - TOTAL (R$) ]]/12/tabLimpGeral[[#This Row],[CARGA HORÁRIA INICIAL]],tabLimpGeral[[#This Row],[PREÇO TOTAL -  (R$)]]/12/tabLimpGeral[[#This Row],[CARGA HORÁRIA INICIAL]]),0)</f>
        <v>2.068779136544828E-2</v>
      </c>
    </row>
    <row r="24" spans="1:16" ht="25.5" x14ac:dyDescent="0.25">
      <c r="A24" s="186">
        <f t="shared" si="0"/>
        <v>21</v>
      </c>
      <c r="B24" s="187">
        <v>100</v>
      </c>
      <c r="C24" s="186" t="s">
        <v>977</v>
      </c>
      <c r="D24" s="186">
        <f t="shared" si="1"/>
        <v>74005</v>
      </c>
      <c r="E24" s="193" t="s">
        <v>1312</v>
      </c>
      <c r="F24" s="192" t="s">
        <v>963</v>
      </c>
      <c r="G24" s="192" t="s">
        <v>964</v>
      </c>
      <c r="H24" s="192"/>
      <c r="I24" s="192"/>
      <c r="J24" s="312">
        <v>24.2</v>
      </c>
      <c r="K24" s="195">
        <f>tabLimpGeral[[#This Row],[PREÇO UNIDADE -  (R$)]]*tabLimpGeral[[#This Row],[QUANT. ITEM]]</f>
        <v>2420</v>
      </c>
      <c r="L24" s="195" cm="1">
        <f t="array" ref="L24">tabLimpGeral[[#This Row],[PREÇO INICIAL -  (R$)]]*IFERROR(PRODUCT(1+_xlfn._xlws.FILTER(tabIndices[PERCENTUAL],tabIndices[DATA DA PUBLICAÇÃO]&gt;tabLimpGeral[[#This Row],[DATA PUBLICAÇÃO]])),1)</f>
        <v>24.2</v>
      </c>
      <c r="M24" s="195">
        <f>IF(tabLimpGeral[[#This Row],[TIPO]]="Equipamento",tabLimpGeral[[#This Row],[PREÇO UNIDADE -  (R$)]]/60,0)</f>
        <v>0</v>
      </c>
      <c r="N24" s="195">
        <f>tabLimpGeral[[#This Row],[VALOR  - DEPRECIAÇÃO MENSAL - UNIDADE (R$)]]*tabLimpGeral[[#This Row],[QUANT. ITEM]]</f>
        <v>0</v>
      </c>
      <c r="O24" s="195">
        <f>tabLimpGeral[[#This Row],[VALOR DEPRECIAÇÃO MENSAL - TOTAL (R$)]]*12</f>
        <v>0</v>
      </c>
      <c r="P24" s="195">
        <f>IFERROR(IF(tabLimpGeral[[#This Row],[TIPO]]="Equipamento",tabLimpGeral[[#This Row],[VALOR  - DEPRECIAÇÃO ANUAL - TOTAL (R$) ]]/12/tabLimpGeral[[#This Row],[CARGA HORÁRIA INICIAL]],tabLimpGeral[[#This Row],[PREÇO TOTAL -  (R$)]]/12/tabLimpGeral[[#This Row],[CARGA HORÁRIA INICIAL]]),0)</f>
        <v>2.7250411008265204E-3</v>
      </c>
    </row>
    <row r="25" spans="1:16" ht="25.5" x14ac:dyDescent="0.25">
      <c r="A25" s="186">
        <f t="shared" si="0"/>
        <v>22</v>
      </c>
      <c r="B25" s="187">
        <v>100</v>
      </c>
      <c r="C25" s="186" t="s">
        <v>977</v>
      </c>
      <c r="D25" s="186">
        <f t="shared" si="1"/>
        <v>74005</v>
      </c>
      <c r="E25" s="193" t="s">
        <v>1315</v>
      </c>
      <c r="F25" s="192" t="s">
        <v>963</v>
      </c>
      <c r="G25" s="192" t="s">
        <v>964</v>
      </c>
      <c r="H25" s="192"/>
      <c r="I25" s="192"/>
      <c r="J25" s="312">
        <v>217.75</v>
      </c>
      <c r="K25" s="195">
        <f>tabLimpGeral[[#This Row],[PREÇO UNIDADE -  (R$)]]*tabLimpGeral[[#This Row],[QUANT. ITEM]]</f>
        <v>21775</v>
      </c>
      <c r="L25" s="195" cm="1">
        <f t="array" ref="L25">tabLimpGeral[[#This Row],[PREÇO INICIAL -  (R$)]]*IFERROR(PRODUCT(1+_xlfn._xlws.FILTER(tabIndices[PERCENTUAL],tabIndices[DATA DA PUBLICAÇÃO]&gt;tabLimpGeral[[#This Row],[DATA PUBLICAÇÃO]])),1)</f>
        <v>217.75</v>
      </c>
      <c r="M25" s="195">
        <f>IF(tabLimpGeral[[#This Row],[TIPO]]="Equipamento",tabLimpGeral[[#This Row],[PREÇO UNIDADE -  (R$)]]/60,0)</f>
        <v>0</v>
      </c>
      <c r="N25" s="195">
        <f>tabLimpGeral[[#This Row],[VALOR  - DEPRECIAÇÃO MENSAL - UNIDADE (R$)]]*tabLimpGeral[[#This Row],[QUANT. ITEM]]</f>
        <v>0</v>
      </c>
      <c r="O25" s="195">
        <f>tabLimpGeral[[#This Row],[VALOR DEPRECIAÇÃO MENSAL - TOTAL (R$)]]*12</f>
        <v>0</v>
      </c>
      <c r="P25" s="195">
        <f>IFERROR(IF(tabLimpGeral[[#This Row],[TIPO]]="Equipamento",tabLimpGeral[[#This Row],[VALOR  - DEPRECIAÇÃO ANUAL - TOTAL (R$) ]]/12/tabLimpGeral[[#This Row],[CARGA HORÁRIA INICIAL]],tabLimpGeral[[#This Row],[PREÇO TOTAL -  (R$)]]/12/tabLimpGeral[[#This Row],[CARGA HORÁRIA INICIAL]]),0)</f>
        <v>2.4519739657230366E-2</v>
      </c>
    </row>
    <row r="26" spans="1:16" ht="25.5" x14ac:dyDescent="0.25">
      <c r="A26" s="186">
        <f t="shared" si="0"/>
        <v>23</v>
      </c>
      <c r="B26" s="187">
        <v>23</v>
      </c>
      <c r="C26" s="186" t="s">
        <v>977</v>
      </c>
      <c r="D26" s="186">
        <f t="shared" si="1"/>
        <v>74005</v>
      </c>
      <c r="E26" s="193" t="s">
        <v>1316</v>
      </c>
      <c r="F26" s="192" t="s">
        <v>963</v>
      </c>
      <c r="G26" s="192" t="s">
        <v>964</v>
      </c>
      <c r="H26" s="192"/>
      <c r="I26" s="192"/>
      <c r="J26" s="312">
        <v>37.67</v>
      </c>
      <c r="K26" s="195">
        <f>tabLimpGeral[[#This Row],[PREÇO UNIDADE -  (R$)]]*tabLimpGeral[[#This Row],[QUANT. ITEM]]</f>
        <v>866.41000000000008</v>
      </c>
      <c r="L26" s="195" cm="1">
        <f t="array" ref="L26">tabLimpGeral[[#This Row],[PREÇO INICIAL -  (R$)]]*IFERROR(PRODUCT(1+_xlfn._xlws.FILTER(tabIndices[PERCENTUAL],tabIndices[DATA DA PUBLICAÇÃO]&gt;tabLimpGeral[[#This Row],[DATA PUBLICAÇÃO]])),1)</f>
        <v>37.67</v>
      </c>
      <c r="M26" s="195">
        <f>IF(tabLimpGeral[[#This Row],[TIPO]]="Equipamento",tabLimpGeral[[#This Row],[PREÇO UNIDADE -  (R$)]]/60,0)</f>
        <v>0</v>
      </c>
      <c r="N26" s="195">
        <f>tabLimpGeral[[#This Row],[VALOR  - DEPRECIAÇÃO MENSAL - UNIDADE (R$)]]*tabLimpGeral[[#This Row],[QUANT. ITEM]]</f>
        <v>0</v>
      </c>
      <c r="O26" s="195">
        <f>tabLimpGeral[[#This Row],[VALOR DEPRECIAÇÃO MENSAL - TOTAL (R$)]]*12</f>
        <v>0</v>
      </c>
      <c r="P26" s="195">
        <f>IFERROR(IF(tabLimpGeral[[#This Row],[TIPO]]="Equipamento",tabLimpGeral[[#This Row],[VALOR  - DEPRECIAÇÃO ANUAL - TOTAL (R$) ]]/12/tabLimpGeral[[#This Row],[CARGA HORÁRIA INICIAL]],tabLimpGeral[[#This Row],[PREÇO TOTAL -  (R$)]]/12/tabLimpGeral[[#This Row],[CARGA HORÁRIA INICIAL]]),0)</f>
        <v>9.7562101659797763E-4</v>
      </c>
    </row>
    <row r="27" spans="1:16" ht="25.5" x14ac:dyDescent="0.25">
      <c r="A27" s="186">
        <f t="shared" si="0"/>
        <v>24</v>
      </c>
      <c r="B27" s="187">
        <v>50</v>
      </c>
      <c r="C27" s="186" t="s">
        <v>977</v>
      </c>
      <c r="D27" s="186">
        <f t="shared" si="1"/>
        <v>74005</v>
      </c>
      <c r="E27" s="193" t="s">
        <v>1313</v>
      </c>
      <c r="F27" s="192" t="s">
        <v>963</v>
      </c>
      <c r="G27" s="192" t="s">
        <v>964</v>
      </c>
      <c r="H27" s="192"/>
      <c r="I27" s="192"/>
      <c r="J27" s="312">
        <v>76.8</v>
      </c>
      <c r="K27" s="195">
        <f>tabLimpGeral[[#This Row],[PREÇO UNIDADE -  (R$)]]*tabLimpGeral[[#This Row],[QUANT. ITEM]]</f>
        <v>3840</v>
      </c>
      <c r="L27" s="195" cm="1">
        <f t="array" ref="L27">tabLimpGeral[[#This Row],[PREÇO INICIAL -  (R$)]]*IFERROR(PRODUCT(1+_xlfn._xlws.FILTER(tabIndices[PERCENTUAL],tabIndices[DATA DA PUBLICAÇÃO]&gt;tabLimpGeral[[#This Row],[DATA PUBLICAÇÃO]])),1)</f>
        <v>76.8</v>
      </c>
      <c r="M27" s="195">
        <f>IF(tabLimpGeral[[#This Row],[TIPO]]="Equipamento",tabLimpGeral[[#This Row],[PREÇO UNIDADE -  (R$)]]/60,0)</f>
        <v>0</v>
      </c>
      <c r="N27" s="195">
        <f>tabLimpGeral[[#This Row],[VALOR  - DEPRECIAÇÃO MENSAL - UNIDADE (R$)]]*tabLimpGeral[[#This Row],[QUANT. ITEM]]</f>
        <v>0</v>
      </c>
      <c r="O27" s="195">
        <f>tabLimpGeral[[#This Row],[VALOR DEPRECIAÇÃO MENSAL - TOTAL (R$)]]*12</f>
        <v>0</v>
      </c>
      <c r="P27" s="195">
        <f>IFERROR(IF(tabLimpGeral[[#This Row],[TIPO]]="Equipamento",tabLimpGeral[[#This Row],[VALOR  - DEPRECIAÇÃO ANUAL - TOTAL (R$) ]]/12/tabLimpGeral[[#This Row],[CARGA HORÁRIA INICIAL]],tabLimpGeral[[#This Row],[PREÇO TOTAL -  (R$)]]/12/tabLimpGeral[[#This Row],[CARGA HORÁRIA INICIAL]]),0)</f>
        <v>4.3240321599891897E-3</v>
      </c>
    </row>
    <row r="28" spans="1:16" ht="25.5" x14ac:dyDescent="0.25">
      <c r="A28" s="186">
        <f t="shared" si="0"/>
        <v>25</v>
      </c>
      <c r="B28" s="187">
        <v>384</v>
      </c>
      <c r="C28" s="186" t="s">
        <v>977</v>
      </c>
      <c r="D28" s="186">
        <f t="shared" si="1"/>
        <v>74005</v>
      </c>
      <c r="E28" s="193" t="s">
        <v>974</v>
      </c>
      <c r="F28" s="192" t="s">
        <v>963</v>
      </c>
      <c r="G28" s="192" t="s">
        <v>964</v>
      </c>
      <c r="H28" s="192"/>
      <c r="I28" s="192"/>
      <c r="J28" s="312">
        <v>7.27</v>
      </c>
      <c r="K28" s="195">
        <f>tabLimpGeral[[#This Row],[PREÇO UNIDADE -  (R$)]]*tabLimpGeral[[#This Row],[QUANT. ITEM]]</f>
        <v>2791.68</v>
      </c>
      <c r="L28" s="195" cm="1">
        <f t="array" ref="L28">tabLimpGeral[[#This Row],[PREÇO INICIAL -  (R$)]]*IFERROR(PRODUCT(1+_xlfn._xlws.FILTER(tabIndices[PERCENTUAL],tabIndices[DATA DA PUBLICAÇÃO]&gt;tabLimpGeral[[#This Row],[DATA PUBLICAÇÃO]])),1)</f>
        <v>7.27</v>
      </c>
      <c r="M28" s="195">
        <f>IF(tabLimpGeral[[#This Row],[TIPO]]="Equipamento",tabLimpGeral[[#This Row],[PREÇO UNIDADE -  (R$)]]/60,0)</f>
        <v>0</v>
      </c>
      <c r="N28" s="195">
        <f>tabLimpGeral[[#This Row],[VALOR  - DEPRECIAÇÃO MENSAL - UNIDADE (R$)]]*tabLimpGeral[[#This Row],[QUANT. ITEM]]</f>
        <v>0</v>
      </c>
      <c r="O28" s="195">
        <f>tabLimpGeral[[#This Row],[VALOR DEPRECIAÇÃO MENSAL - TOTAL (R$)]]*12</f>
        <v>0</v>
      </c>
      <c r="P28" s="195">
        <f>IFERROR(IF(tabLimpGeral[[#This Row],[TIPO]]="Equipamento",tabLimpGeral[[#This Row],[VALOR  - DEPRECIAÇÃO ANUAL - TOTAL (R$) ]]/12/tabLimpGeral[[#This Row],[CARGA HORÁRIA INICIAL]],tabLimpGeral[[#This Row],[PREÇO TOTAL -  (R$)]]/12/tabLimpGeral[[#This Row],[CARGA HORÁRIA INICIAL]]),0)</f>
        <v>3.1435713803121407E-3</v>
      </c>
    </row>
    <row r="29" spans="1:16" ht="25.5" x14ac:dyDescent="0.25">
      <c r="A29" s="186">
        <f t="shared" si="0"/>
        <v>26</v>
      </c>
      <c r="B29" s="187">
        <v>210</v>
      </c>
      <c r="C29" s="186" t="s">
        <v>977</v>
      </c>
      <c r="D29" s="186">
        <f t="shared" si="1"/>
        <v>74005</v>
      </c>
      <c r="E29" s="193" t="s">
        <v>967</v>
      </c>
      <c r="F29" s="192" t="s">
        <v>963</v>
      </c>
      <c r="G29" s="192" t="s">
        <v>964</v>
      </c>
      <c r="H29" s="192"/>
      <c r="I29" s="192"/>
      <c r="J29" s="312">
        <v>10.45</v>
      </c>
      <c r="K29" s="195">
        <f>tabLimpGeral[[#This Row],[PREÇO UNIDADE -  (R$)]]*tabLimpGeral[[#This Row],[QUANT. ITEM]]</f>
        <v>2194.5</v>
      </c>
      <c r="L29" s="195" cm="1">
        <f t="array" ref="L29">tabLimpGeral[[#This Row],[PREÇO INICIAL -  (R$)]]*IFERROR(PRODUCT(1+_xlfn._xlws.FILTER(tabIndices[PERCENTUAL],tabIndices[DATA DA PUBLICAÇÃO]&gt;tabLimpGeral[[#This Row],[DATA PUBLICAÇÃO]])),1)</f>
        <v>10.45</v>
      </c>
      <c r="M29" s="195">
        <f>IF(tabLimpGeral[[#This Row],[TIPO]]="Equipamento",tabLimpGeral[[#This Row],[PREÇO UNIDADE -  (R$)]]/60,0)</f>
        <v>0</v>
      </c>
      <c r="N29" s="195">
        <f>tabLimpGeral[[#This Row],[VALOR  - DEPRECIAÇÃO MENSAL - UNIDADE (R$)]]*tabLimpGeral[[#This Row],[QUANT. ITEM]]</f>
        <v>0</v>
      </c>
      <c r="O29" s="195">
        <f>tabLimpGeral[[#This Row],[VALOR DEPRECIAÇÃO MENSAL - TOTAL (R$)]]*12</f>
        <v>0</v>
      </c>
      <c r="P29" s="195">
        <f>IFERROR(IF(tabLimpGeral[[#This Row],[TIPO]]="Equipamento",tabLimpGeral[[#This Row],[VALOR  - DEPRECIAÇÃO ANUAL - TOTAL (R$) ]]/12/tabLimpGeral[[#This Row],[CARGA HORÁRIA INICIAL]],tabLimpGeral[[#This Row],[PREÇO TOTAL -  (R$)]]/12/tabLimpGeral[[#This Row],[CARGA HORÁRIA INICIAL]]),0)</f>
        <v>2.4711168164313221E-3</v>
      </c>
    </row>
    <row r="30" spans="1:16" ht="25.5" x14ac:dyDescent="0.25">
      <c r="A30" s="186">
        <f t="shared" si="0"/>
        <v>27</v>
      </c>
      <c r="B30" s="187">
        <v>25</v>
      </c>
      <c r="C30" s="186" t="s">
        <v>977</v>
      </c>
      <c r="D30" s="186">
        <f t="shared" si="1"/>
        <v>74005</v>
      </c>
      <c r="E30" s="193" t="s">
        <v>1314</v>
      </c>
      <c r="F30" s="192" t="s">
        <v>963</v>
      </c>
      <c r="G30" s="192" t="s">
        <v>964</v>
      </c>
      <c r="H30" s="192"/>
      <c r="I30" s="192"/>
      <c r="J30" s="312">
        <v>65.91</v>
      </c>
      <c r="K30" s="195">
        <f>tabLimpGeral[[#This Row],[PREÇO UNIDADE -  (R$)]]*tabLimpGeral[[#This Row],[QUANT. ITEM]]</f>
        <v>1647.75</v>
      </c>
      <c r="L30" s="195" cm="1">
        <f t="array" ref="L30">tabLimpGeral[[#This Row],[PREÇO INICIAL -  (R$)]]*IFERROR(PRODUCT(1+_xlfn._xlws.FILTER(tabIndices[PERCENTUAL],tabIndices[DATA DA PUBLICAÇÃO]&gt;tabLimpGeral[[#This Row],[DATA PUBLICAÇÃO]])),1)</f>
        <v>65.91</v>
      </c>
      <c r="M30" s="195">
        <f>IF(tabLimpGeral[[#This Row],[TIPO]]="Equipamento",tabLimpGeral[[#This Row],[PREÇO UNIDADE -  (R$)]]/60,0)</f>
        <v>0</v>
      </c>
      <c r="N30" s="195">
        <f>tabLimpGeral[[#This Row],[VALOR  - DEPRECIAÇÃO MENSAL - UNIDADE (R$)]]*tabLimpGeral[[#This Row],[QUANT. ITEM]]</f>
        <v>0</v>
      </c>
      <c r="O30" s="195">
        <f>tabLimpGeral[[#This Row],[VALOR DEPRECIAÇÃO MENSAL - TOTAL (R$)]]*12</f>
        <v>0</v>
      </c>
      <c r="P30" s="195">
        <f>IFERROR(IF(tabLimpGeral[[#This Row],[TIPO]]="Equipamento",tabLimpGeral[[#This Row],[VALOR  - DEPRECIAÇÃO ANUAL - TOTAL (R$) ]]/12/tabLimpGeral[[#This Row],[CARGA HORÁRIA INICIAL]],tabLimpGeral[[#This Row],[PREÇO TOTAL -  (R$)]]/12/tabLimpGeral[[#This Row],[CARGA HORÁRIA INICIAL]]),0)</f>
        <v>1.8554489561516114E-3</v>
      </c>
    </row>
    <row r="31" spans="1:16" ht="38.25" x14ac:dyDescent="0.25">
      <c r="A31" s="186">
        <f t="shared" si="0"/>
        <v>28</v>
      </c>
      <c r="B31" s="187">
        <v>7</v>
      </c>
      <c r="C31" s="186" t="s">
        <v>977</v>
      </c>
      <c r="D31" s="186">
        <f t="shared" si="1"/>
        <v>74005</v>
      </c>
      <c r="E31" s="193" t="s">
        <v>1289</v>
      </c>
      <c r="F31" s="192" t="s">
        <v>963</v>
      </c>
      <c r="G31" s="192" t="s">
        <v>964</v>
      </c>
      <c r="H31" s="192"/>
      <c r="I31" s="192"/>
      <c r="J31" s="312">
        <v>43.48</v>
      </c>
      <c r="K31" s="195">
        <f>tabLimpGeral[[#This Row],[PREÇO UNIDADE -  (R$)]]*tabLimpGeral[[#This Row],[QUANT. ITEM]]</f>
        <v>304.35999999999996</v>
      </c>
      <c r="L31" s="195" cm="1">
        <f t="array" ref="L31">tabLimpGeral[[#This Row],[PREÇO INICIAL -  (R$)]]*IFERROR(PRODUCT(1+_xlfn._xlws.FILTER(tabIndices[PERCENTUAL],tabIndices[DATA DA PUBLICAÇÃO]&gt;tabLimpGeral[[#This Row],[DATA PUBLICAÇÃO]])),1)</f>
        <v>43.48</v>
      </c>
      <c r="M31" s="195">
        <f>IF(tabLimpGeral[[#This Row],[TIPO]]="Equipamento",tabLimpGeral[[#This Row],[PREÇO UNIDADE -  (R$)]]/60,0)</f>
        <v>0</v>
      </c>
      <c r="N31" s="195">
        <f>tabLimpGeral[[#This Row],[VALOR  - DEPRECIAÇÃO MENSAL - UNIDADE (R$)]]*tabLimpGeral[[#This Row],[QUANT. ITEM]]</f>
        <v>0</v>
      </c>
      <c r="O31" s="195">
        <f>tabLimpGeral[[#This Row],[VALOR DEPRECIAÇÃO MENSAL - TOTAL (R$)]]*12</f>
        <v>0</v>
      </c>
      <c r="P31" s="195">
        <f>IFERROR(IF(tabLimpGeral[[#This Row],[TIPO]]="Equipamento",tabLimpGeral[[#This Row],[VALOR  - DEPRECIAÇÃO ANUAL - TOTAL (R$) ]]/12/tabLimpGeral[[#This Row],[CARGA HORÁRIA INICIAL]],tabLimpGeral[[#This Row],[PREÇO TOTAL -  (R$)]]/12/tabLimpGeral[[#This Row],[CARGA HORÁRIA INICIAL]]),0)</f>
        <v>3.427245906808098E-4</v>
      </c>
    </row>
    <row r="32" spans="1:16" ht="25.5" x14ac:dyDescent="0.25">
      <c r="A32" s="186">
        <f t="shared" si="0"/>
        <v>29</v>
      </c>
      <c r="B32" s="187">
        <v>80</v>
      </c>
      <c r="C32" s="186" t="s">
        <v>977</v>
      </c>
      <c r="D32" s="186">
        <f t="shared" si="1"/>
        <v>74005</v>
      </c>
      <c r="E32" s="193" t="s">
        <v>1310</v>
      </c>
      <c r="F32" s="192" t="s">
        <v>963</v>
      </c>
      <c r="G32" s="192" t="s">
        <v>964</v>
      </c>
      <c r="H32" s="192"/>
      <c r="I32" s="192"/>
      <c r="J32" s="312">
        <v>38.869999999999997</v>
      </c>
      <c r="K32" s="195">
        <f>tabLimpGeral[[#This Row],[PREÇO UNIDADE -  (R$)]]*tabLimpGeral[[#This Row],[QUANT. ITEM]]</f>
        <v>3109.6</v>
      </c>
      <c r="L32" s="195" cm="1">
        <f t="array" ref="L32">tabLimpGeral[[#This Row],[PREÇO INICIAL -  (R$)]]*IFERROR(PRODUCT(1+_xlfn._xlws.FILTER(tabIndices[PERCENTUAL],tabIndices[DATA DA PUBLICAÇÃO]&gt;tabLimpGeral[[#This Row],[DATA PUBLICAÇÃO]])),1)</f>
        <v>38.869999999999997</v>
      </c>
      <c r="M32" s="195">
        <f>IF(tabLimpGeral[[#This Row],[TIPO]]="Equipamento",tabLimpGeral[[#This Row],[PREÇO UNIDADE -  (R$)]]/60,0)</f>
        <v>0</v>
      </c>
      <c r="N32" s="195">
        <f>tabLimpGeral[[#This Row],[VALOR  - DEPRECIAÇÃO MENSAL - UNIDADE (R$)]]*tabLimpGeral[[#This Row],[QUANT. ITEM]]</f>
        <v>0</v>
      </c>
      <c r="O32" s="195">
        <f>tabLimpGeral[[#This Row],[VALOR DEPRECIAÇÃO MENSAL - TOTAL (R$)]]*12</f>
        <v>0</v>
      </c>
      <c r="P32" s="195">
        <f>IFERROR(IF(tabLimpGeral[[#This Row],[TIPO]]="Equipamento",tabLimpGeral[[#This Row],[VALOR  - DEPRECIAÇÃO ANUAL - TOTAL (R$) ]]/12/tabLimpGeral[[#This Row],[CARGA HORÁRIA INICIAL]],tabLimpGeral[[#This Row],[PREÇO TOTAL -  (R$)]]/12/tabLimpGeral[[#This Row],[CARGA HORÁRIA INICIAL]]),0)</f>
        <v>3.5015652095579126E-3</v>
      </c>
    </row>
    <row r="33" spans="1:16" ht="25.5" x14ac:dyDescent="0.25">
      <c r="A33" s="186">
        <f t="shared" si="0"/>
        <v>30</v>
      </c>
      <c r="B33" s="187">
        <v>10</v>
      </c>
      <c r="C33" s="186" t="s">
        <v>977</v>
      </c>
      <c r="D33" s="186">
        <f t="shared" si="1"/>
        <v>74005</v>
      </c>
      <c r="E33" s="193" t="s">
        <v>1292</v>
      </c>
      <c r="F33" s="192" t="s">
        <v>963</v>
      </c>
      <c r="G33" s="192" t="s">
        <v>964</v>
      </c>
      <c r="H33" s="192"/>
      <c r="I33" s="192"/>
      <c r="J33" s="312">
        <v>288.67</v>
      </c>
      <c r="K33" s="195">
        <f>tabLimpGeral[[#This Row],[PREÇO UNIDADE -  (R$)]]*tabLimpGeral[[#This Row],[QUANT. ITEM]]</f>
        <v>2886.7000000000003</v>
      </c>
      <c r="L33" s="195" cm="1">
        <f t="array" ref="L33">tabLimpGeral[[#This Row],[PREÇO INICIAL -  (R$)]]*IFERROR(PRODUCT(1+_xlfn._xlws.FILTER(tabIndices[PERCENTUAL],tabIndices[DATA DA PUBLICAÇÃO]&gt;tabLimpGeral[[#This Row],[DATA PUBLICAÇÃO]])),1)</f>
        <v>288.67</v>
      </c>
      <c r="M33" s="195">
        <f>IF(tabLimpGeral[[#This Row],[TIPO]]="Equipamento",tabLimpGeral[[#This Row],[PREÇO UNIDADE -  (R$)]]/60,0)</f>
        <v>0</v>
      </c>
      <c r="N33" s="195">
        <f>tabLimpGeral[[#This Row],[VALOR  - DEPRECIAÇÃO MENSAL - UNIDADE (R$)]]*tabLimpGeral[[#This Row],[QUANT. ITEM]]</f>
        <v>0</v>
      </c>
      <c r="O33" s="195">
        <f>tabLimpGeral[[#This Row],[VALOR DEPRECIAÇÃO MENSAL - TOTAL (R$)]]*12</f>
        <v>0</v>
      </c>
      <c r="P33" s="195">
        <f>IFERROR(IF(tabLimpGeral[[#This Row],[TIPO]]="Equipamento",tabLimpGeral[[#This Row],[VALOR  - DEPRECIAÇÃO ANUAL - TOTAL (R$) ]]/12/tabLimpGeral[[#This Row],[CARGA HORÁRIA INICIAL]],tabLimpGeral[[#This Row],[PREÇO TOTAL -  (R$)]]/12/tabLimpGeral[[#This Row],[CARGA HORÁRIA INICIAL]]),0)</f>
        <v>3.2505686552710407E-3</v>
      </c>
    </row>
    <row r="34" spans="1:16" ht="25.5" x14ac:dyDescent="0.25">
      <c r="A34" s="186">
        <f t="shared" si="0"/>
        <v>31</v>
      </c>
      <c r="B34" s="187">
        <v>10</v>
      </c>
      <c r="C34" s="186" t="s">
        <v>977</v>
      </c>
      <c r="D34" s="186">
        <f t="shared" si="1"/>
        <v>74005</v>
      </c>
      <c r="E34" s="193" t="s">
        <v>1290</v>
      </c>
      <c r="F34" s="192" t="s">
        <v>963</v>
      </c>
      <c r="G34" s="192" t="s">
        <v>964</v>
      </c>
      <c r="H34" s="192"/>
      <c r="I34" s="192"/>
      <c r="J34" s="312">
        <v>102.87</v>
      </c>
      <c r="K34" s="195">
        <f>tabLimpGeral[[#This Row],[PREÇO UNIDADE -  (R$)]]*tabLimpGeral[[#This Row],[QUANT. ITEM]]</f>
        <v>1028.7</v>
      </c>
      <c r="L34" s="195" cm="1">
        <f t="array" ref="L34">tabLimpGeral[[#This Row],[PREÇO INICIAL -  (R$)]]*IFERROR(PRODUCT(1+_xlfn._xlws.FILTER(tabIndices[PERCENTUAL],tabIndices[DATA DA PUBLICAÇÃO]&gt;tabLimpGeral[[#This Row],[DATA PUBLICAÇÃO]])),1)</f>
        <v>102.87</v>
      </c>
      <c r="M34" s="195">
        <f>IF(tabLimpGeral[[#This Row],[TIPO]]="Equipamento",tabLimpGeral[[#This Row],[PREÇO UNIDADE -  (R$)]]/60,0)</f>
        <v>0</v>
      </c>
      <c r="N34" s="195">
        <f>tabLimpGeral[[#This Row],[VALOR  - DEPRECIAÇÃO MENSAL - UNIDADE (R$)]]*tabLimpGeral[[#This Row],[QUANT. ITEM]]</f>
        <v>0</v>
      </c>
      <c r="O34" s="195">
        <f>tabLimpGeral[[#This Row],[VALOR DEPRECIAÇÃO MENSAL - TOTAL (R$)]]*12</f>
        <v>0</v>
      </c>
      <c r="P34" s="195">
        <f>IFERROR(IF(tabLimpGeral[[#This Row],[TIPO]]="Equipamento",tabLimpGeral[[#This Row],[VALOR  - DEPRECIAÇÃO ANUAL - TOTAL (R$) ]]/12/tabLimpGeral[[#This Row],[CARGA HORÁRIA INICIAL]],tabLimpGeral[[#This Row],[PREÇO TOTAL -  (R$)]]/12/tabLimpGeral[[#This Row],[CARGA HORÁRIA INICIAL]]),0)</f>
        <v>1.1583676778596042E-3</v>
      </c>
    </row>
    <row r="35" spans="1:16" ht="25.5" x14ac:dyDescent="0.25">
      <c r="A35" s="186">
        <f t="shared" si="0"/>
        <v>32</v>
      </c>
      <c r="B35" s="187">
        <v>7</v>
      </c>
      <c r="C35" s="186" t="s">
        <v>977</v>
      </c>
      <c r="D35" s="186">
        <f t="shared" si="1"/>
        <v>74005</v>
      </c>
      <c r="E35" s="193" t="s">
        <v>1287</v>
      </c>
      <c r="F35" s="192" t="s">
        <v>963</v>
      </c>
      <c r="G35" s="192" t="s">
        <v>964</v>
      </c>
      <c r="H35" s="192"/>
      <c r="I35" s="192"/>
      <c r="J35" s="312">
        <v>218.63</v>
      </c>
      <c r="K35" s="195">
        <f>tabLimpGeral[[#This Row],[PREÇO UNIDADE -  (R$)]]*tabLimpGeral[[#This Row],[QUANT. ITEM]]</f>
        <v>1530.4099999999999</v>
      </c>
      <c r="L35" s="195" cm="1">
        <f t="array" ref="L35">tabLimpGeral[[#This Row],[PREÇO INICIAL -  (R$)]]*IFERROR(PRODUCT(1+_xlfn._xlws.FILTER(tabIndices[PERCENTUAL],tabIndices[DATA DA PUBLICAÇÃO]&gt;tabLimpGeral[[#This Row],[DATA PUBLICAÇÃO]])),1)</f>
        <v>218.63</v>
      </c>
      <c r="M35" s="195">
        <f>IF(tabLimpGeral[[#This Row],[TIPO]]="Equipamento",tabLimpGeral[[#This Row],[PREÇO UNIDADE -  (R$)]]/60,0)</f>
        <v>0</v>
      </c>
      <c r="N35" s="195">
        <f>tabLimpGeral[[#This Row],[VALOR  - DEPRECIAÇÃO MENSAL - UNIDADE (R$)]]*tabLimpGeral[[#This Row],[QUANT. ITEM]]</f>
        <v>0</v>
      </c>
      <c r="O35" s="195">
        <f>tabLimpGeral[[#This Row],[VALOR DEPRECIAÇÃO MENSAL - TOTAL (R$)]]*12</f>
        <v>0</v>
      </c>
      <c r="P35" s="195">
        <f>IFERROR(IF(tabLimpGeral[[#This Row],[TIPO]]="Equipamento",tabLimpGeral[[#This Row],[VALOR  - DEPRECIAÇÃO ANUAL - TOTAL (R$) ]]/12/tabLimpGeral[[#This Row],[CARGA HORÁRIA INICIAL]],tabLimpGeral[[#This Row],[PREÇO TOTAL -  (R$)]]/12/tabLimpGeral[[#This Row],[CARGA HORÁRIA INICIAL]]),0)</f>
        <v>1.7233182442627749E-3</v>
      </c>
    </row>
    <row r="36" spans="1:16" ht="25.5" x14ac:dyDescent="0.25">
      <c r="A36" s="186">
        <f t="shared" ref="A36:A67" si="2">ROW()-3</f>
        <v>33</v>
      </c>
      <c r="B36" s="187">
        <v>36</v>
      </c>
      <c r="C36" s="186" t="s">
        <v>977</v>
      </c>
      <c r="D36" s="186">
        <f t="shared" ref="D36:D67" si="3">79*75+77*110+19*150+(254+2+2)*220</f>
        <v>74005</v>
      </c>
      <c r="E36" s="193" t="s">
        <v>1288</v>
      </c>
      <c r="F36" s="192" t="s">
        <v>963</v>
      </c>
      <c r="G36" s="192" t="s">
        <v>964</v>
      </c>
      <c r="H36" s="192"/>
      <c r="I36" s="192"/>
      <c r="J36" s="312">
        <v>131.5</v>
      </c>
      <c r="K36" s="195">
        <f>tabLimpGeral[[#This Row],[PREÇO UNIDADE -  (R$)]]*tabLimpGeral[[#This Row],[QUANT. ITEM]]</f>
        <v>4734</v>
      </c>
      <c r="L36" s="195" cm="1">
        <f t="array" ref="L36">tabLimpGeral[[#This Row],[PREÇO INICIAL -  (R$)]]*IFERROR(PRODUCT(1+_xlfn._xlws.FILTER(tabIndices[PERCENTUAL],tabIndices[DATA DA PUBLICAÇÃO]&gt;tabLimpGeral[[#This Row],[DATA PUBLICAÇÃO]])),1)</f>
        <v>131.5</v>
      </c>
      <c r="M36" s="195">
        <f>IF(tabLimpGeral[[#This Row],[TIPO]]="Equipamento",tabLimpGeral[[#This Row],[PREÇO UNIDADE -  (R$)]]/60,0)</f>
        <v>0</v>
      </c>
      <c r="N36" s="195">
        <f>tabLimpGeral[[#This Row],[VALOR  - DEPRECIAÇÃO MENSAL - UNIDADE (R$)]]*tabLimpGeral[[#This Row],[QUANT. ITEM]]</f>
        <v>0</v>
      </c>
      <c r="O36" s="195">
        <f>tabLimpGeral[[#This Row],[VALOR DEPRECIAÇÃO MENSAL - TOTAL (R$)]]*12</f>
        <v>0</v>
      </c>
      <c r="P36" s="195">
        <f>IFERROR(IF(tabLimpGeral[[#This Row],[TIPO]]="Equipamento",tabLimpGeral[[#This Row],[VALOR  - DEPRECIAÇÃO ANUAL - TOTAL (R$) ]]/12/tabLimpGeral[[#This Row],[CARGA HORÁRIA INICIAL]],tabLimpGeral[[#This Row],[PREÇO TOTAL -  (R$)]]/12/tabLimpGeral[[#This Row],[CARGA HORÁRIA INICIAL]]),0)</f>
        <v>5.3307208972366736E-3</v>
      </c>
    </row>
    <row r="37" spans="1:16" ht="25.5" x14ac:dyDescent="0.25">
      <c r="A37" s="186">
        <f t="shared" si="2"/>
        <v>34</v>
      </c>
      <c r="B37" s="187">
        <v>10</v>
      </c>
      <c r="C37" s="186" t="s">
        <v>977</v>
      </c>
      <c r="D37" s="186">
        <f t="shared" si="3"/>
        <v>74005</v>
      </c>
      <c r="E37" s="193" t="s">
        <v>1309</v>
      </c>
      <c r="F37" s="192" t="s">
        <v>963</v>
      </c>
      <c r="G37" s="192" t="s">
        <v>964</v>
      </c>
      <c r="H37" s="192"/>
      <c r="I37" s="192"/>
      <c r="J37" s="312">
        <v>135.38999999999999</v>
      </c>
      <c r="K37" s="195">
        <f>tabLimpGeral[[#This Row],[PREÇO UNIDADE -  (R$)]]*tabLimpGeral[[#This Row],[QUANT. ITEM]]</f>
        <v>1353.8999999999999</v>
      </c>
      <c r="L37" s="195" cm="1">
        <f t="array" ref="L37">tabLimpGeral[[#This Row],[PREÇO INICIAL -  (R$)]]*IFERROR(PRODUCT(1+_xlfn._xlws.FILTER(tabIndices[PERCENTUAL],tabIndices[DATA DA PUBLICAÇÃO]&gt;tabLimpGeral[[#This Row],[DATA PUBLICAÇÃO]])),1)</f>
        <v>135.38999999999999</v>
      </c>
      <c r="M37" s="195">
        <f>IF(tabLimpGeral[[#This Row],[TIPO]]="Equipamento",tabLimpGeral[[#This Row],[PREÇO UNIDADE -  (R$)]]/60,0)</f>
        <v>0</v>
      </c>
      <c r="N37" s="195">
        <f>tabLimpGeral[[#This Row],[VALOR  - DEPRECIAÇÃO MENSAL - UNIDADE (R$)]]*tabLimpGeral[[#This Row],[QUANT. ITEM]]</f>
        <v>0</v>
      </c>
      <c r="O37" s="195">
        <f>tabLimpGeral[[#This Row],[VALOR DEPRECIAÇÃO MENSAL - TOTAL (R$)]]*12</f>
        <v>0</v>
      </c>
      <c r="P37" s="195">
        <f>IFERROR(IF(tabLimpGeral[[#This Row],[TIPO]]="Equipamento",tabLimpGeral[[#This Row],[VALOR  - DEPRECIAÇÃO ANUAL - TOTAL (R$) ]]/12/tabLimpGeral[[#This Row],[CARGA HORÁRIA INICIAL]],tabLimpGeral[[#This Row],[PREÇO TOTAL -  (R$)]]/12/tabLimpGeral[[#This Row],[CARGA HORÁRIA INICIAL]]),0)</f>
        <v>1.5245591514086885E-3</v>
      </c>
    </row>
    <row r="38" spans="1:16" ht="25.5" x14ac:dyDescent="0.25">
      <c r="A38" s="186">
        <f t="shared" si="2"/>
        <v>35</v>
      </c>
      <c r="B38" s="187">
        <v>105</v>
      </c>
      <c r="C38" s="186" t="s">
        <v>977</v>
      </c>
      <c r="D38" s="186">
        <f t="shared" si="3"/>
        <v>74005</v>
      </c>
      <c r="E38" s="193" t="s">
        <v>968</v>
      </c>
      <c r="F38" s="192" t="s">
        <v>963</v>
      </c>
      <c r="G38" s="192" t="s">
        <v>964</v>
      </c>
      <c r="H38" s="192"/>
      <c r="I38" s="192"/>
      <c r="J38" s="312">
        <v>21.05</v>
      </c>
      <c r="K38" s="195">
        <f>tabLimpGeral[[#This Row],[PREÇO UNIDADE -  (R$)]]*tabLimpGeral[[#This Row],[QUANT. ITEM]]</f>
        <v>2210.25</v>
      </c>
      <c r="L38" s="195" cm="1">
        <f t="array" ref="L38">tabLimpGeral[[#This Row],[PREÇO INICIAL -  (R$)]]*IFERROR(PRODUCT(1+_xlfn._xlws.FILTER(tabIndices[PERCENTUAL],tabIndices[DATA DA PUBLICAÇÃO]&gt;tabLimpGeral[[#This Row],[DATA PUBLICAÇÃO]])),1)</f>
        <v>21.05</v>
      </c>
      <c r="M38" s="195">
        <f>IF(tabLimpGeral[[#This Row],[TIPO]]="Equipamento",tabLimpGeral[[#This Row],[PREÇO UNIDADE -  (R$)]]/60,0)</f>
        <v>0</v>
      </c>
      <c r="N38" s="195">
        <f>tabLimpGeral[[#This Row],[VALOR  - DEPRECIAÇÃO MENSAL - UNIDADE (R$)]]*tabLimpGeral[[#This Row],[QUANT. ITEM]]</f>
        <v>0</v>
      </c>
      <c r="O38" s="195">
        <f>tabLimpGeral[[#This Row],[VALOR DEPRECIAÇÃO MENSAL - TOTAL (R$)]]*12</f>
        <v>0</v>
      </c>
      <c r="P38" s="195">
        <f>IFERROR(IF(tabLimpGeral[[#This Row],[TIPO]]="Equipamento",tabLimpGeral[[#This Row],[VALOR  - DEPRECIAÇÃO ANUAL - TOTAL (R$) ]]/12/tabLimpGeral[[#This Row],[CARGA HORÁRIA INICIAL]],tabLimpGeral[[#This Row],[PREÇO TOTAL -  (R$)]]/12/tabLimpGeral[[#This Row],[CARGA HORÁRIA INICIAL]]),0)</f>
        <v>2.488852104587528E-3</v>
      </c>
    </row>
    <row r="39" spans="1:16" ht="38.25" x14ac:dyDescent="0.25">
      <c r="A39" s="186">
        <f t="shared" si="2"/>
        <v>36</v>
      </c>
      <c r="B39" s="187">
        <v>400</v>
      </c>
      <c r="C39" s="186" t="s">
        <v>977</v>
      </c>
      <c r="D39" s="186">
        <f t="shared" si="3"/>
        <v>74005</v>
      </c>
      <c r="E39" s="193" t="s">
        <v>1291</v>
      </c>
      <c r="F39" s="192" t="s">
        <v>963</v>
      </c>
      <c r="G39" s="192" t="s">
        <v>964</v>
      </c>
      <c r="H39" s="192"/>
      <c r="I39" s="192"/>
      <c r="J39" s="312">
        <v>44.66</v>
      </c>
      <c r="K39" s="195">
        <f>tabLimpGeral[[#This Row],[PREÇO UNIDADE -  (R$)]]*tabLimpGeral[[#This Row],[QUANT. ITEM]]</f>
        <v>17864</v>
      </c>
      <c r="L39" s="195" cm="1">
        <f t="array" ref="L39">tabLimpGeral[[#This Row],[PREÇO INICIAL -  (R$)]]*IFERROR(PRODUCT(1+_xlfn._xlws.FILTER(tabIndices[PERCENTUAL],tabIndices[DATA DA PUBLICAÇÃO]&gt;tabLimpGeral[[#This Row],[DATA PUBLICAÇÃO]])),1)</f>
        <v>44.66</v>
      </c>
      <c r="M39" s="195">
        <f>IF(tabLimpGeral[[#This Row],[TIPO]]="Equipamento",tabLimpGeral[[#This Row],[PREÇO UNIDADE -  (R$)]]/60,0)</f>
        <v>0</v>
      </c>
      <c r="N39" s="195">
        <f>tabLimpGeral[[#This Row],[VALOR  - DEPRECIAÇÃO MENSAL - UNIDADE (R$)]]*tabLimpGeral[[#This Row],[QUANT. ITEM]]</f>
        <v>0</v>
      </c>
      <c r="O39" s="195">
        <f>tabLimpGeral[[#This Row],[VALOR DEPRECIAÇÃO MENSAL - TOTAL (R$)]]*12</f>
        <v>0</v>
      </c>
      <c r="P39" s="195">
        <f>IFERROR(IF(tabLimpGeral[[#This Row],[TIPO]]="Equipamento",tabLimpGeral[[#This Row],[VALOR  - DEPRECIAÇÃO ANUAL - TOTAL (R$) ]]/12/tabLimpGeral[[#This Row],[CARGA HORÁRIA INICIAL]],tabLimpGeral[[#This Row],[PREÇO TOTAL -  (R$)]]/12/tabLimpGeral[[#This Row],[CARGA HORÁRIA INICIAL]]),0)</f>
        <v>2.0115757944283046E-2</v>
      </c>
    </row>
    <row r="40" spans="1:16" ht="25.5" x14ac:dyDescent="0.25">
      <c r="A40" s="186">
        <f t="shared" si="2"/>
        <v>37</v>
      </c>
      <c r="B40" s="187">
        <v>40</v>
      </c>
      <c r="C40" s="186" t="s">
        <v>977</v>
      </c>
      <c r="D40" s="186">
        <f t="shared" si="3"/>
        <v>74005</v>
      </c>
      <c r="E40" s="193" t="s">
        <v>1286</v>
      </c>
      <c r="F40" s="192" t="s">
        <v>963</v>
      </c>
      <c r="G40" s="192" t="s">
        <v>964</v>
      </c>
      <c r="H40" s="192"/>
      <c r="I40" s="192"/>
      <c r="J40" s="312">
        <v>39.25</v>
      </c>
      <c r="K40" s="195">
        <f>tabLimpGeral[[#This Row],[PREÇO UNIDADE -  (R$)]]*tabLimpGeral[[#This Row],[QUANT. ITEM]]</f>
        <v>1570</v>
      </c>
      <c r="L40" s="195" cm="1">
        <f t="array" ref="L40">tabLimpGeral[[#This Row],[PREÇO INICIAL -  (R$)]]*IFERROR(PRODUCT(1+_xlfn._xlws.FILTER(tabIndices[PERCENTUAL],tabIndices[DATA DA PUBLICAÇÃO]&gt;tabLimpGeral[[#This Row],[DATA PUBLICAÇÃO]])),1)</f>
        <v>39.25</v>
      </c>
      <c r="M40" s="195">
        <f>IF(tabLimpGeral[[#This Row],[TIPO]]="Equipamento",tabLimpGeral[[#This Row],[PREÇO UNIDADE -  (R$)]]/60,0)</f>
        <v>0</v>
      </c>
      <c r="N40" s="195">
        <f>tabLimpGeral[[#This Row],[VALOR  - DEPRECIAÇÃO MENSAL - UNIDADE (R$)]]*tabLimpGeral[[#This Row],[QUANT. ITEM]]</f>
        <v>0</v>
      </c>
      <c r="O40" s="195">
        <f>tabLimpGeral[[#This Row],[VALOR DEPRECIAÇÃO MENSAL - TOTAL (R$)]]*12</f>
        <v>0</v>
      </c>
      <c r="P40" s="195">
        <f>IFERROR(IF(tabLimpGeral[[#This Row],[TIPO]]="Equipamento",tabLimpGeral[[#This Row],[VALOR  - DEPRECIAÇÃO ANUAL - TOTAL (R$) ]]/12/tabLimpGeral[[#This Row],[CARGA HORÁRIA INICIAL]],tabLimpGeral[[#This Row],[PREÇO TOTAL -  (R$)]]/12/tabLimpGeral[[#This Row],[CARGA HORÁRIA INICIAL]]),0)</f>
        <v>1.7678985654122471E-3</v>
      </c>
    </row>
    <row r="41" spans="1:16" ht="25.5" x14ac:dyDescent="0.25">
      <c r="A41" s="186">
        <f t="shared" si="2"/>
        <v>38</v>
      </c>
      <c r="B41" s="187">
        <v>384</v>
      </c>
      <c r="C41" s="186" t="s">
        <v>977</v>
      </c>
      <c r="D41" s="186">
        <f t="shared" si="3"/>
        <v>74005</v>
      </c>
      <c r="E41" s="193" t="s">
        <v>970</v>
      </c>
      <c r="F41" s="192" t="s">
        <v>963</v>
      </c>
      <c r="G41" s="192" t="s">
        <v>964</v>
      </c>
      <c r="H41" s="192"/>
      <c r="I41" s="192"/>
      <c r="J41" s="312">
        <v>14.73</v>
      </c>
      <c r="K41" s="195">
        <f>tabLimpGeral[[#This Row],[PREÇO UNIDADE -  (R$)]]*tabLimpGeral[[#This Row],[QUANT. ITEM]]</f>
        <v>5656.32</v>
      </c>
      <c r="L41" s="195" cm="1">
        <f t="array" ref="L41">tabLimpGeral[[#This Row],[PREÇO INICIAL -  (R$)]]*IFERROR(PRODUCT(1+_xlfn._xlws.FILTER(tabIndices[PERCENTUAL],tabIndices[DATA DA PUBLICAÇÃO]&gt;tabLimpGeral[[#This Row],[DATA PUBLICAÇÃO]])),1)</f>
        <v>14.73</v>
      </c>
      <c r="M41" s="195">
        <f>IF(tabLimpGeral[[#This Row],[TIPO]]="Equipamento",tabLimpGeral[[#This Row],[PREÇO UNIDADE -  (R$)]]/60,0)</f>
        <v>0</v>
      </c>
      <c r="N41" s="195">
        <f>tabLimpGeral[[#This Row],[VALOR  - DEPRECIAÇÃO MENSAL - UNIDADE (R$)]]*tabLimpGeral[[#This Row],[QUANT. ITEM]]</f>
        <v>0</v>
      </c>
      <c r="O41" s="195">
        <f>tabLimpGeral[[#This Row],[VALOR DEPRECIAÇÃO MENSAL - TOTAL (R$)]]*12</f>
        <v>0</v>
      </c>
      <c r="P41" s="195">
        <f>IFERROR(IF(tabLimpGeral[[#This Row],[TIPO]]="Equipamento",tabLimpGeral[[#This Row],[VALOR  - DEPRECIAÇÃO ANUAL - TOTAL (R$) ]]/12/tabLimpGeral[[#This Row],[CARGA HORÁRIA INICIAL]],tabLimpGeral[[#This Row],[PREÇO TOTAL -  (R$)]]/12/tabLimpGeral[[#This Row],[CARGA HORÁRIA INICIAL]]),0)</f>
        <v>6.3692993716640764E-3</v>
      </c>
    </row>
    <row r="42" spans="1:16" ht="25.5" x14ac:dyDescent="0.25">
      <c r="A42" s="186">
        <f t="shared" si="2"/>
        <v>39</v>
      </c>
      <c r="B42" s="187">
        <v>180</v>
      </c>
      <c r="C42" s="186" t="s">
        <v>977</v>
      </c>
      <c r="D42" s="186">
        <f t="shared" si="3"/>
        <v>74005</v>
      </c>
      <c r="E42" s="193" t="s">
        <v>969</v>
      </c>
      <c r="F42" s="192" t="s">
        <v>963</v>
      </c>
      <c r="G42" s="192" t="s">
        <v>964</v>
      </c>
      <c r="H42" s="192"/>
      <c r="I42" s="192"/>
      <c r="J42" s="312">
        <v>13.28</v>
      </c>
      <c r="K42" s="195">
        <f>tabLimpGeral[[#This Row],[PREÇO UNIDADE -  (R$)]]*tabLimpGeral[[#This Row],[QUANT. ITEM]]</f>
        <v>2390.4</v>
      </c>
      <c r="L42" s="195" cm="1">
        <f t="array" ref="L42">tabLimpGeral[[#This Row],[PREÇO INICIAL -  (R$)]]*IFERROR(PRODUCT(1+_xlfn._xlws.FILTER(tabIndices[PERCENTUAL],tabIndices[DATA DA PUBLICAÇÃO]&gt;tabLimpGeral[[#This Row],[DATA PUBLICAÇÃO]])),1)</f>
        <v>13.28</v>
      </c>
      <c r="M42" s="195">
        <f>IF(tabLimpGeral[[#This Row],[TIPO]]="Equipamento",tabLimpGeral[[#This Row],[PREÇO UNIDADE -  (R$)]]/60,0)</f>
        <v>0</v>
      </c>
      <c r="N42" s="195">
        <f>tabLimpGeral[[#This Row],[VALOR  - DEPRECIAÇÃO MENSAL - UNIDADE (R$)]]*tabLimpGeral[[#This Row],[QUANT. ITEM]]</f>
        <v>0</v>
      </c>
      <c r="O42" s="195">
        <f>tabLimpGeral[[#This Row],[VALOR DEPRECIAÇÃO MENSAL - TOTAL (R$)]]*12</f>
        <v>0</v>
      </c>
      <c r="P42" s="195">
        <f>IFERROR(IF(tabLimpGeral[[#This Row],[TIPO]]="Equipamento",tabLimpGeral[[#This Row],[VALOR  - DEPRECIAÇÃO ANUAL - TOTAL (R$) ]]/12/tabLimpGeral[[#This Row],[CARGA HORÁRIA INICIAL]],tabLimpGeral[[#This Row],[PREÇO TOTAL -  (R$)]]/12/tabLimpGeral[[#This Row],[CARGA HORÁRIA INICIAL]]),0)</f>
        <v>2.691710019593271E-3</v>
      </c>
    </row>
    <row r="43" spans="1:16" ht="25.5" x14ac:dyDescent="0.25">
      <c r="A43" s="186">
        <f t="shared" si="2"/>
        <v>40</v>
      </c>
      <c r="B43" s="187">
        <v>71</v>
      </c>
      <c r="C43" s="186" t="s">
        <v>977</v>
      </c>
      <c r="D43" s="186">
        <f t="shared" si="3"/>
        <v>74005</v>
      </c>
      <c r="E43" s="193" t="s">
        <v>1308</v>
      </c>
      <c r="F43" s="192" t="s">
        <v>963</v>
      </c>
      <c r="G43" s="192" t="s">
        <v>964</v>
      </c>
      <c r="H43" s="192"/>
      <c r="I43" s="192"/>
      <c r="J43" s="312">
        <v>75.209999999999994</v>
      </c>
      <c r="K43" s="195">
        <f>tabLimpGeral[[#This Row],[PREÇO UNIDADE -  (R$)]]*tabLimpGeral[[#This Row],[QUANT. ITEM]]</f>
        <v>5339.91</v>
      </c>
      <c r="L43" s="195" cm="1">
        <f t="array" ref="L43">tabLimpGeral[[#This Row],[PREÇO INICIAL -  (R$)]]*IFERROR(PRODUCT(1+_xlfn._xlws.FILTER(tabIndices[PERCENTUAL],tabIndices[DATA DA PUBLICAÇÃO]&gt;tabLimpGeral[[#This Row],[DATA PUBLICAÇÃO]])),1)</f>
        <v>75.209999999999994</v>
      </c>
      <c r="M43" s="195">
        <f>IF(tabLimpGeral[[#This Row],[TIPO]]="Equipamento",tabLimpGeral[[#This Row],[PREÇO UNIDADE -  (R$)]]/60,0)</f>
        <v>0</v>
      </c>
      <c r="N43" s="195">
        <f>tabLimpGeral[[#This Row],[VALOR  - DEPRECIAÇÃO MENSAL - UNIDADE (R$)]]*tabLimpGeral[[#This Row],[QUANT. ITEM]]</f>
        <v>0</v>
      </c>
      <c r="O43" s="195">
        <f>tabLimpGeral[[#This Row],[VALOR DEPRECIAÇÃO MENSAL - TOTAL (R$)]]*12</f>
        <v>0</v>
      </c>
      <c r="P43" s="195">
        <f>IFERROR(IF(tabLimpGeral[[#This Row],[TIPO]]="Equipamento",tabLimpGeral[[#This Row],[VALOR  - DEPRECIAÇÃO ANUAL - TOTAL (R$) ]]/12/tabLimpGeral[[#This Row],[CARGA HORÁRIA INICIAL]],tabLimpGeral[[#This Row],[PREÇO TOTAL -  (R$)]]/12/tabLimpGeral[[#This Row],[CARGA HORÁRIA INICIAL]]),0)</f>
        <v>6.0130058779812173E-3</v>
      </c>
    </row>
    <row r="44" spans="1:16" ht="25.5" x14ac:dyDescent="0.25">
      <c r="A44" s="186">
        <f t="shared" si="2"/>
        <v>41</v>
      </c>
      <c r="B44" s="187">
        <v>222</v>
      </c>
      <c r="C44" s="186" t="s">
        <v>977</v>
      </c>
      <c r="D44" s="186">
        <f t="shared" si="3"/>
        <v>74005</v>
      </c>
      <c r="E44" s="193" t="s">
        <v>1285</v>
      </c>
      <c r="F44" s="192" t="s">
        <v>963</v>
      </c>
      <c r="G44" s="192" t="s">
        <v>964</v>
      </c>
      <c r="H44" s="192"/>
      <c r="I44" s="192"/>
      <c r="J44" s="312">
        <v>28.23</v>
      </c>
      <c r="K44" s="195">
        <f>tabLimpGeral[[#This Row],[PREÇO UNIDADE -  (R$)]]*tabLimpGeral[[#This Row],[QUANT. ITEM]]</f>
        <v>6267.06</v>
      </c>
      <c r="L44" s="195" cm="1">
        <f t="array" ref="L44">tabLimpGeral[[#This Row],[PREÇO INICIAL -  (R$)]]*IFERROR(PRODUCT(1+_xlfn._xlws.FILTER(tabIndices[PERCENTUAL],tabIndices[DATA DA PUBLICAÇÃO]&gt;tabLimpGeral[[#This Row],[DATA PUBLICAÇÃO]])),1)</f>
        <v>28.23</v>
      </c>
      <c r="M44" s="195">
        <f>IF(tabLimpGeral[[#This Row],[TIPO]]="Equipamento",tabLimpGeral[[#This Row],[PREÇO UNIDADE -  (R$)]]/60,0)</f>
        <v>0</v>
      </c>
      <c r="N44" s="195">
        <f>tabLimpGeral[[#This Row],[VALOR  - DEPRECIAÇÃO MENSAL - UNIDADE (R$)]]*tabLimpGeral[[#This Row],[QUANT. ITEM]]</f>
        <v>0</v>
      </c>
      <c r="O44" s="195">
        <f>tabLimpGeral[[#This Row],[VALOR DEPRECIAÇÃO MENSAL - TOTAL (R$)]]*12</f>
        <v>0</v>
      </c>
      <c r="P44" s="195">
        <f>IFERROR(IF(tabLimpGeral[[#This Row],[TIPO]]="Equipamento",tabLimpGeral[[#This Row],[VALOR  - DEPRECIAÇÃO ANUAL - TOTAL (R$) ]]/12/tabLimpGeral[[#This Row],[CARGA HORÁRIA INICIAL]],tabLimpGeral[[#This Row],[PREÇO TOTAL -  (R$)]]/12/tabLimpGeral[[#This Row],[CARGA HORÁRIA INICIAL]]),0)</f>
        <v>7.0570231741098575E-3</v>
      </c>
    </row>
    <row r="45" spans="1:16" ht="25.5" x14ac:dyDescent="0.25">
      <c r="A45" s="186">
        <f t="shared" si="2"/>
        <v>42</v>
      </c>
      <c r="B45" s="187">
        <v>50</v>
      </c>
      <c r="C45" s="186" t="s">
        <v>977</v>
      </c>
      <c r="D45" s="186">
        <f t="shared" si="3"/>
        <v>74005</v>
      </c>
      <c r="E45" s="193" t="s">
        <v>971</v>
      </c>
      <c r="F45" s="192" t="s">
        <v>963</v>
      </c>
      <c r="G45" s="192" t="s">
        <v>964</v>
      </c>
      <c r="H45" s="192"/>
      <c r="I45" s="192"/>
      <c r="J45" s="312">
        <v>24.14</v>
      </c>
      <c r="K45" s="195">
        <f>tabLimpGeral[[#This Row],[PREÇO UNIDADE -  (R$)]]*tabLimpGeral[[#This Row],[QUANT. ITEM]]</f>
        <v>1207</v>
      </c>
      <c r="L45" s="195" cm="1">
        <f t="array" ref="L45">tabLimpGeral[[#This Row],[PREÇO INICIAL -  (R$)]]*IFERROR(PRODUCT(1+_xlfn._xlws.FILTER(tabIndices[PERCENTUAL],tabIndices[DATA DA PUBLICAÇÃO]&gt;tabLimpGeral[[#This Row],[DATA PUBLICAÇÃO]])),1)</f>
        <v>24.14</v>
      </c>
      <c r="M45" s="195">
        <f>IF(tabLimpGeral[[#This Row],[TIPO]]="Equipamento",tabLimpGeral[[#This Row],[PREÇO UNIDADE -  (R$)]]/60,0)</f>
        <v>0</v>
      </c>
      <c r="N45" s="195">
        <f>tabLimpGeral[[#This Row],[VALOR  - DEPRECIAÇÃO MENSAL - UNIDADE (R$)]]*tabLimpGeral[[#This Row],[QUANT. ITEM]]</f>
        <v>0</v>
      </c>
      <c r="O45" s="195">
        <f>tabLimpGeral[[#This Row],[VALOR DEPRECIAÇÃO MENSAL - TOTAL (R$)]]*12</f>
        <v>0</v>
      </c>
      <c r="P45" s="195">
        <f>IFERROR(IF(tabLimpGeral[[#This Row],[TIPO]]="Equipamento",tabLimpGeral[[#This Row],[VALOR  - DEPRECIAÇÃO ANUAL - TOTAL (R$) ]]/12/tabLimpGeral[[#This Row],[CARGA HORÁRIA INICIAL]],tabLimpGeral[[#This Row],[PREÇO TOTAL -  (R$)]]/12/tabLimpGeral[[#This Row],[CARGA HORÁRIA INICIAL]]),0)</f>
        <v>1.3591424002882687E-3</v>
      </c>
    </row>
    <row r="46" spans="1:16" ht="38.25" x14ac:dyDescent="0.25">
      <c r="A46" s="186">
        <f t="shared" si="2"/>
        <v>43</v>
      </c>
      <c r="B46" s="187">
        <v>384</v>
      </c>
      <c r="C46" s="186" t="s">
        <v>977</v>
      </c>
      <c r="D46" s="186">
        <f t="shared" si="3"/>
        <v>74005</v>
      </c>
      <c r="E46" s="193" t="s">
        <v>973</v>
      </c>
      <c r="F46" s="192" t="s">
        <v>963</v>
      </c>
      <c r="G46" s="192" t="s">
        <v>964</v>
      </c>
      <c r="H46" s="192"/>
      <c r="I46" s="192"/>
      <c r="J46" s="312">
        <v>24.34</v>
      </c>
      <c r="K46" s="195">
        <f>tabLimpGeral[[#This Row],[PREÇO UNIDADE -  (R$)]]*tabLimpGeral[[#This Row],[QUANT. ITEM]]</f>
        <v>9346.56</v>
      </c>
      <c r="L46" s="195" cm="1">
        <f t="array" ref="L46">tabLimpGeral[[#This Row],[PREÇO INICIAL -  (R$)]]*IFERROR(PRODUCT(1+_xlfn._xlws.FILTER(tabIndices[PERCENTUAL],tabIndices[DATA DA PUBLICAÇÃO]&gt;tabLimpGeral[[#This Row],[DATA PUBLICAÇÃO]])),1)</f>
        <v>24.34</v>
      </c>
      <c r="M46" s="195">
        <f>IF(tabLimpGeral[[#This Row],[TIPO]]="Equipamento",tabLimpGeral[[#This Row],[PREÇO UNIDADE -  (R$)]]/60,0)</f>
        <v>0</v>
      </c>
      <c r="N46" s="195">
        <f>tabLimpGeral[[#This Row],[VALOR  - DEPRECIAÇÃO MENSAL - UNIDADE (R$)]]*tabLimpGeral[[#This Row],[QUANT. ITEM]]</f>
        <v>0</v>
      </c>
      <c r="O46" s="195">
        <f>tabLimpGeral[[#This Row],[VALOR DEPRECIAÇÃO MENSAL - TOTAL (R$)]]*12</f>
        <v>0</v>
      </c>
      <c r="P46" s="195">
        <f>IFERROR(IF(tabLimpGeral[[#This Row],[TIPO]]="Equipamento",tabLimpGeral[[#This Row],[VALOR  - DEPRECIAÇÃO ANUAL - TOTAL (R$) ]]/12/tabLimpGeral[[#This Row],[CARGA HORÁRIA INICIAL]],tabLimpGeral[[#This Row],[PREÇO TOTAL -  (R$)]]/12/tabLimpGeral[[#This Row],[CARGA HORÁRIA INICIAL]]),0)</f>
        <v>1.0524694277413689E-2</v>
      </c>
    </row>
    <row r="47" spans="1:16" ht="25.5" x14ac:dyDescent="0.25">
      <c r="A47" s="186">
        <f t="shared" si="2"/>
        <v>44</v>
      </c>
      <c r="B47" s="187">
        <v>384</v>
      </c>
      <c r="C47" s="186" t="s">
        <v>977</v>
      </c>
      <c r="D47" s="186">
        <f t="shared" si="3"/>
        <v>74005</v>
      </c>
      <c r="E47" s="193" t="s">
        <v>972</v>
      </c>
      <c r="F47" s="192" t="s">
        <v>963</v>
      </c>
      <c r="G47" s="192" t="s">
        <v>964</v>
      </c>
      <c r="H47" s="192"/>
      <c r="I47" s="192"/>
      <c r="J47" s="312">
        <v>23</v>
      </c>
      <c r="K47" s="195">
        <f>tabLimpGeral[[#This Row],[PREÇO UNIDADE -  (R$)]]*tabLimpGeral[[#This Row],[QUANT. ITEM]]</f>
        <v>8832</v>
      </c>
      <c r="L47" s="195" cm="1">
        <f t="array" ref="L47">tabLimpGeral[[#This Row],[PREÇO INICIAL -  (R$)]]*IFERROR(PRODUCT(1+_xlfn._xlws.FILTER(tabIndices[PERCENTUAL],tabIndices[DATA DA PUBLICAÇÃO]&gt;tabLimpGeral[[#This Row],[DATA PUBLICAÇÃO]])),1)</f>
        <v>23</v>
      </c>
      <c r="M47" s="195">
        <f>IF(tabLimpGeral[[#This Row],[TIPO]]="Equipamento",tabLimpGeral[[#This Row],[PREÇO UNIDADE -  (R$)]]/60,0)</f>
        <v>0</v>
      </c>
      <c r="N47" s="195">
        <f>tabLimpGeral[[#This Row],[VALOR  - DEPRECIAÇÃO MENSAL - UNIDADE (R$)]]*tabLimpGeral[[#This Row],[QUANT. ITEM]]</f>
        <v>0</v>
      </c>
      <c r="O47" s="195">
        <f>tabLimpGeral[[#This Row],[VALOR DEPRECIAÇÃO MENSAL - TOTAL (R$)]]*12</f>
        <v>0</v>
      </c>
      <c r="P47" s="195">
        <f>IFERROR(IF(tabLimpGeral[[#This Row],[TIPO]]="Equipamento",tabLimpGeral[[#This Row],[VALOR  - DEPRECIAÇÃO ANUAL - TOTAL (R$) ]]/12/tabLimpGeral[[#This Row],[CARGA HORÁRIA INICIAL]],tabLimpGeral[[#This Row],[PREÇO TOTAL -  (R$)]]/12/tabLimpGeral[[#This Row],[CARGA HORÁRIA INICIAL]]),0)</f>
        <v>9.9452739679751368E-3</v>
      </c>
    </row>
    <row r="48" spans="1:16" ht="25.5" x14ac:dyDescent="0.25">
      <c r="A48" s="186">
        <f t="shared" si="2"/>
        <v>45</v>
      </c>
      <c r="B48" s="187">
        <v>1684</v>
      </c>
      <c r="C48" s="187" t="s">
        <v>1255</v>
      </c>
      <c r="D48" s="186">
        <f t="shared" si="3"/>
        <v>74005</v>
      </c>
      <c r="E48" s="193" t="s">
        <v>1317</v>
      </c>
      <c r="F48" s="192" t="s">
        <v>958</v>
      </c>
      <c r="G48" s="192" t="s">
        <v>959</v>
      </c>
      <c r="H48" s="192"/>
      <c r="I48" s="192"/>
      <c r="J48" s="312">
        <v>17.739999999999998</v>
      </c>
      <c r="K48" s="195">
        <f>tabLimpGeral[[#This Row],[PREÇO UNIDADE -  (R$)]]*tabLimpGeral[[#This Row],[QUANT. ITEM]]</f>
        <v>29874.159999999996</v>
      </c>
      <c r="L48" s="195" cm="1">
        <f t="array" ref="L48">tabLimpGeral[[#This Row],[PREÇO INICIAL -  (R$)]]*IFERROR(PRODUCT(1+_xlfn._xlws.FILTER(tabIndices[PERCENTUAL],tabIndices[DATA DA PUBLICAÇÃO]&gt;tabLimpGeral[[#This Row],[DATA PUBLICAÇÃO]])),1)</f>
        <v>17.739999999999998</v>
      </c>
      <c r="M48" s="195">
        <f>IF(tabLimpGeral[[#This Row],[TIPO]]="Equipamento",tabLimpGeral[[#This Row],[PREÇO UNIDADE -  (R$)]]/60,0)</f>
        <v>0</v>
      </c>
      <c r="N48" s="195">
        <f>tabLimpGeral[[#This Row],[VALOR  - DEPRECIAÇÃO MENSAL - UNIDADE (R$)]]*tabLimpGeral[[#This Row],[QUANT. ITEM]]</f>
        <v>0</v>
      </c>
      <c r="O48" s="195">
        <f>tabLimpGeral[[#This Row],[VALOR DEPRECIAÇÃO MENSAL - TOTAL (R$)]]*12</f>
        <v>0</v>
      </c>
      <c r="P48" s="195">
        <f>IFERROR(IF(tabLimpGeral[[#This Row],[TIPO]]="Equipamento",tabLimpGeral[[#This Row],[VALOR  - DEPRECIAÇÃO ANUAL - TOTAL (R$) ]]/12/tabLimpGeral[[#This Row],[CARGA HORÁRIA INICIAL]],tabLimpGeral[[#This Row],[PREÇO TOTAL -  (R$)]]/12/tabLimpGeral[[#This Row],[CARGA HORÁRIA INICIAL]]),0)</f>
        <v>3.3639799112672564E-2</v>
      </c>
    </row>
    <row r="49" spans="1:16" ht="25.5" x14ac:dyDescent="0.25">
      <c r="A49" s="186">
        <f t="shared" si="2"/>
        <v>46</v>
      </c>
      <c r="B49" s="187">
        <v>4050</v>
      </c>
      <c r="C49" s="187" t="s">
        <v>1256</v>
      </c>
      <c r="D49" s="186">
        <f t="shared" si="3"/>
        <v>74005</v>
      </c>
      <c r="E49" s="193" t="s">
        <v>1253</v>
      </c>
      <c r="F49" s="192" t="s">
        <v>958</v>
      </c>
      <c r="G49" s="192" t="s">
        <v>959</v>
      </c>
      <c r="H49" s="192"/>
      <c r="I49" s="192"/>
      <c r="J49" s="312">
        <v>10.54</v>
      </c>
      <c r="K49" s="195">
        <f>tabLimpGeral[[#This Row],[PREÇO UNIDADE -  (R$)]]*tabLimpGeral[[#This Row],[QUANT. ITEM]]</f>
        <v>42687</v>
      </c>
      <c r="L49" s="195" cm="1">
        <f t="array" ref="L49">tabLimpGeral[[#This Row],[PREÇO INICIAL -  (R$)]]*IFERROR(PRODUCT(1+_xlfn._xlws.FILTER(tabIndices[PERCENTUAL],tabIndices[DATA DA PUBLICAÇÃO]&gt;tabLimpGeral[[#This Row],[DATA PUBLICAÇÃO]])),1)</f>
        <v>10.54</v>
      </c>
      <c r="M49" s="195">
        <f>IF(tabLimpGeral[[#This Row],[TIPO]]="Equipamento",tabLimpGeral[[#This Row],[PREÇO UNIDADE -  (R$)]]/60,0)</f>
        <v>0</v>
      </c>
      <c r="N49" s="195">
        <f>tabLimpGeral[[#This Row],[VALOR  - DEPRECIAÇÃO MENSAL - UNIDADE (R$)]]*tabLimpGeral[[#This Row],[QUANT. ITEM]]</f>
        <v>0</v>
      </c>
      <c r="O49" s="195">
        <f>tabLimpGeral[[#This Row],[VALOR DEPRECIAÇÃO MENSAL - TOTAL (R$)]]*12</f>
        <v>0</v>
      </c>
      <c r="P49" s="195">
        <f>IFERROR(IF(tabLimpGeral[[#This Row],[TIPO]]="Equipamento",tabLimpGeral[[#This Row],[VALOR  - DEPRECIAÇÃO ANUAL - TOTAL (R$) ]]/12/tabLimpGeral[[#This Row],[CARGA HORÁRIA INICIAL]],tabLimpGeral[[#This Row],[PREÇO TOTAL -  (R$)]]/12/tabLimpGeral[[#This Row],[CARGA HORÁRIA INICIAL]]),0)</f>
        <v>4.8067698128504831E-2</v>
      </c>
    </row>
    <row r="50" spans="1:16" ht="63.75" x14ac:dyDescent="0.25">
      <c r="A50" s="186">
        <f t="shared" si="2"/>
        <v>47</v>
      </c>
      <c r="B50" s="187">
        <v>768</v>
      </c>
      <c r="C50" s="187" t="s">
        <v>1254</v>
      </c>
      <c r="D50" s="186">
        <f t="shared" si="3"/>
        <v>74005</v>
      </c>
      <c r="E50" s="193" t="s">
        <v>1318</v>
      </c>
      <c r="F50" s="192" t="s">
        <v>958</v>
      </c>
      <c r="G50" s="192" t="s">
        <v>959</v>
      </c>
      <c r="H50" s="192"/>
      <c r="I50" s="192"/>
      <c r="J50" s="312">
        <v>98.73</v>
      </c>
      <c r="K50" s="195">
        <f>tabLimpGeral[[#This Row],[PREÇO UNIDADE -  (R$)]]*tabLimpGeral[[#This Row],[QUANT. ITEM]]</f>
        <v>75824.639999999999</v>
      </c>
      <c r="L50" s="195" cm="1">
        <f t="array" ref="L50">tabLimpGeral[[#This Row],[PREÇO INICIAL -  (R$)]]*IFERROR(PRODUCT(1+_xlfn._xlws.FILTER(tabIndices[PERCENTUAL],tabIndices[DATA DA PUBLICAÇÃO]&gt;tabLimpGeral[[#This Row],[DATA PUBLICAÇÃO]])),1)</f>
        <v>98.73</v>
      </c>
      <c r="M50" s="195">
        <f>IF(tabLimpGeral[[#This Row],[TIPO]]="Equipamento",tabLimpGeral[[#This Row],[PREÇO UNIDADE -  (R$)]]/60,0)</f>
        <v>0</v>
      </c>
      <c r="N50" s="195">
        <f>tabLimpGeral[[#This Row],[VALOR  - DEPRECIAÇÃO MENSAL - UNIDADE (R$)]]*tabLimpGeral[[#This Row],[QUANT. ITEM]]</f>
        <v>0</v>
      </c>
      <c r="O50" s="195">
        <f>tabLimpGeral[[#This Row],[VALOR DEPRECIAÇÃO MENSAL - TOTAL (R$)]]*12</f>
        <v>0</v>
      </c>
      <c r="P50" s="195">
        <f>IFERROR(IF(tabLimpGeral[[#This Row],[TIPO]]="Equipamento",tabLimpGeral[[#This Row],[VALOR  - DEPRECIAÇÃO ANUAL - TOTAL (R$) ]]/12/tabLimpGeral[[#This Row],[CARGA HORÁRIA INICIAL]],tabLimpGeral[[#This Row],[PREÇO TOTAL -  (R$)]]/12/tabLimpGeral[[#This Row],[CARGA HORÁRIA INICIAL]]),0)</f>
        <v>8.5382339031146545E-2</v>
      </c>
    </row>
    <row r="51" spans="1:16" ht="51" x14ac:dyDescent="0.25">
      <c r="A51" s="186">
        <f t="shared" si="2"/>
        <v>48</v>
      </c>
      <c r="B51" s="187">
        <v>2305</v>
      </c>
      <c r="C51" s="187" t="s">
        <v>1254</v>
      </c>
      <c r="D51" s="186">
        <f t="shared" si="3"/>
        <v>74005</v>
      </c>
      <c r="E51" s="193" t="s">
        <v>960</v>
      </c>
      <c r="F51" s="192" t="s">
        <v>958</v>
      </c>
      <c r="G51" s="192" t="s">
        <v>959</v>
      </c>
      <c r="H51" s="192"/>
      <c r="I51" s="192"/>
      <c r="J51" s="312">
        <v>21.82</v>
      </c>
      <c r="K51" s="195">
        <f>tabLimpGeral[[#This Row],[PREÇO UNIDADE -  (R$)]]*tabLimpGeral[[#This Row],[QUANT. ITEM]]</f>
        <v>50295.1</v>
      </c>
      <c r="L51" s="195" cm="1">
        <f t="array" ref="L51">tabLimpGeral[[#This Row],[PREÇO INICIAL -  (R$)]]*IFERROR(PRODUCT(1+_xlfn._xlws.FILTER(tabIndices[PERCENTUAL],tabIndices[DATA DA PUBLICAÇÃO]&gt;tabLimpGeral[[#This Row],[DATA PUBLICAÇÃO]])),1)</f>
        <v>21.82</v>
      </c>
      <c r="M51" s="195">
        <f>IF(tabLimpGeral[[#This Row],[TIPO]]="Equipamento",tabLimpGeral[[#This Row],[PREÇO UNIDADE -  (R$)]]/60,0)</f>
        <v>0</v>
      </c>
      <c r="N51" s="195">
        <f>tabLimpGeral[[#This Row],[VALOR  - DEPRECIAÇÃO MENSAL - UNIDADE (R$)]]*tabLimpGeral[[#This Row],[QUANT. ITEM]]</f>
        <v>0</v>
      </c>
      <c r="O51" s="195">
        <f>tabLimpGeral[[#This Row],[VALOR DEPRECIAÇÃO MENSAL - TOTAL (R$)]]*12</f>
        <v>0</v>
      </c>
      <c r="P51" s="195">
        <f>IFERROR(IF(tabLimpGeral[[#This Row],[TIPO]]="Equipamento",tabLimpGeral[[#This Row],[VALOR  - DEPRECIAÇÃO ANUAL - TOTAL (R$) ]]/12/tabLimpGeral[[#This Row],[CARGA HORÁRIA INICIAL]],tabLimpGeral[[#This Row],[PREÇO TOTAL -  (R$)]]/12/tabLimpGeral[[#This Row],[CARGA HORÁRIA INICIAL]]),0)</f>
        <v>5.6634799450487577E-2</v>
      </c>
    </row>
    <row r="52" spans="1:16" ht="25.5" x14ac:dyDescent="0.25">
      <c r="A52" s="186">
        <f t="shared" si="2"/>
        <v>49</v>
      </c>
      <c r="B52" s="187">
        <v>1390</v>
      </c>
      <c r="C52" s="187" t="s">
        <v>1254</v>
      </c>
      <c r="D52" s="186">
        <f t="shared" si="3"/>
        <v>74005</v>
      </c>
      <c r="E52" s="193" t="s">
        <v>1320</v>
      </c>
      <c r="F52" s="192" t="s">
        <v>958</v>
      </c>
      <c r="G52" s="192" t="s">
        <v>959</v>
      </c>
      <c r="H52" s="192"/>
      <c r="I52" s="192"/>
      <c r="J52" s="312">
        <v>98.65</v>
      </c>
      <c r="K52" s="195">
        <f>tabLimpGeral[[#This Row],[PREÇO UNIDADE -  (R$)]]*tabLimpGeral[[#This Row],[QUANT. ITEM]]</f>
        <v>137123.5</v>
      </c>
      <c r="L52" s="195" cm="1">
        <f t="array" ref="L52">tabLimpGeral[[#This Row],[PREÇO INICIAL -  (R$)]]*IFERROR(PRODUCT(1+_xlfn._xlws.FILTER(tabIndices[PERCENTUAL],tabIndices[DATA DA PUBLICAÇÃO]&gt;tabLimpGeral[[#This Row],[DATA PUBLICAÇÃO]])),1)</f>
        <v>98.65</v>
      </c>
      <c r="M52" s="195">
        <f>IF(tabLimpGeral[[#This Row],[TIPO]]="Equipamento",tabLimpGeral[[#This Row],[PREÇO UNIDADE -  (R$)]]/60,0)</f>
        <v>0</v>
      </c>
      <c r="N52" s="195">
        <f>tabLimpGeral[[#This Row],[VALOR  - DEPRECIAÇÃO MENSAL - UNIDADE (R$)]]*tabLimpGeral[[#This Row],[QUANT. ITEM]]</f>
        <v>0</v>
      </c>
      <c r="O52" s="195">
        <f>tabLimpGeral[[#This Row],[VALOR DEPRECIAÇÃO MENSAL - TOTAL (R$)]]*12</f>
        <v>0</v>
      </c>
      <c r="P52" s="195">
        <f>IFERROR(IF(tabLimpGeral[[#This Row],[TIPO]]="Equipamento",tabLimpGeral[[#This Row],[VALOR  - DEPRECIAÇÃO ANUAL - TOTAL (R$) ]]/12/tabLimpGeral[[#This Row],[CARGA HORÁRIA INICIAL]],tabLimpGeral[[#This Row],[PREÇO TOTAL -  (R$)]]/12/tabLimpGeral[[#This Row],[CARGA HORÁRIA INICIAL]]),0)</f>
        <v>0.15440792288809316</v>
      </c>
    </row>
    <row r="53" spans="1:16" ht="25.5" x14ac:dyDescent="0.25">
      <c r="A53" s="186">
        <f t="shared" si="2"/>
        <v>50</v>
      </c>
      <c r="B53" s="187">
        <v>2675</v>
      </c>
      <c r="C53" s="187" t="s">
        <v>1257</v>
      </c>
      <c r="D53" s="186">
        <f t="shared" si="3"/>
        <v>74005</v>
      </c>
      <c r="E53" s="193" t="s">
        <v>1321</v>
      </c>
      <c r="F53" s="192" t="s">
        <v>958</v>
      </c>
      <c r="G53" s="192" t="s">
        <v>959</v>
      </c>
      <c r="H53" s="192"/>
      <c r="I53" s="192"/>
      <c r="J53" s="312">
        <v>2.36</v>
      </c>
      <c r="K53" s="195">
        <f>tabLimpGeral[[#This Row],[PREÇO UNIDADE -  (R$)]]*tabLimpGeral[[#This Row],[QUANT. ITEM]]</f>
        <v>6313</v>
      </c>
      <c r="L53" s="195" cm="1">
        <f t="array" ref="L53">tabLimpGeral[[#This Row],[PREÇO INICIAL -  (R$)]]*IFERROR(PRODUCT(1+_xlfn._xlws.FILTER(tabIndices[PERCENTUAL],tabIndices[DATA DA PUBLICAÇÃO]&gt;tabLimpGeral[[#This Row],[DATA PUBLICAÇÃO]])),1)</f>
        <v>2.36</v>
      </c>
      <c r="M53" s="195">
        <f>IF(tabLimpGeral[[#This Row],[TIPO]]="Equipamento",tabLimpGeral[[#This Row],[PREÇO UNIDADE -  (R$)]]/60,0)</f>
        <v>0</v>
      </c>
      <c r="N53" s="195">
        <f>tabLimpGeral[[#This Row],[VALOR  - DEPRECIAÇÃO MENSAL - UNIDADE (R$)]]*tabLimpGeral[[#This Row],[QUANT. ITEM]]</f>
        <v>0</v>
      </c>
      <c r="O53" s="195">
        <f>tabLimpGeral[[#This Row],[VALOR DEPRECIAÇÃO MENSAL - TOTAL (R$)]]*12</f>
        <v>0</v>
      </c>
      <c r="P53" s="195">
        <f>IFERROR(IF(tabLimpGeral[[#This Row],[TIPO]]="Equipamento",tabLimpGeral[[#This Row],[VALOR  - DEPRECIAÇÃO ANUAL - TOTAL (R$) ]]/12/tabLimpGeral[[#This Row],[CARGA HORÁRIA INICIAL]],tabLimpGeral[[#This Row],[PREÇO TOTAL -  (R$)]]/12/tabLimpGeral[[#This Row],[CARGA HORÁRIA INICIAL]]),0)</f>
        <v>7.108753913023895E-3</v>
      </c>
    </row>
    <row r="54" spans="1:16" ht="38.25" x14ac:dyDescent="0.25">
      <c r="A54" s="186">
        <f t="shared" si="2"/>
        <v>51</v>
      </c>
      <c r="B54" s="187">
        <v>4500</v>
      </c>
      <c r="C54" s="187" t="s">
        <v>977</v>
      </c>
      <c r="D54" s="186">
        <f t="shared" si="3"/>
        <v>74005</v>
      </c>
      <c r="E54" s="193" t="s">
        <v>1322</v>
      </c>
      <c r="F54" s="192" t="s">
        <v>958</v>
      </c>
      <c r="G54" s="192" t="s">
        <v>959</v>
      </c>
      <c r="H54" s="192"/>
      <c r="I54" s="192"/>
      <c r="J54" s="312">
        <v>1.91</v>
      </c>
      <c r="K54" s="195">
        <f>tabLimpGeral[[#This Row],[PREÇO UNIDADE -  (R$)]]*tabLimpGeral[[#This Row],[QUANT. ITEM]]</f>
        <v>8595</v>
      </c>
      <c r="L54" s="195" cm="1">
        <f t="array" ref="L54">tabLimpGeral[[#This Row],[PREÇO INICIAL -  (R$)]]*IFERROR(PRODUCT(1+_xlfn._xlws.FILTER(tabIndices[PERCENTUAL],tabIndices[DATA DA PUBLICAÇÃO]&gt;tabLimpGeral[[#This Row],[DATA PUBLICAÇÃO]])),1)</f>
        <v>1.91</v>
      </c>
      <c r="M54" s="195">
        <f>IF(tabLimpGeral[[#This Row],[TIPO]]="Equipamento",tabLimpGeral[[#This Row],[PREÇO UNIDADE -  (R$)]]/60,0)</f>
        <v>0</v>
      </c>
      <c r="N54" s="195">
        <f>tabLimpGeral[[#This Row],[VALOR  - DEPRECIAÇÃO MENSAL - UNIDADE (R$)]]*tabLimpGeral[[#This Row],[QUANT. ITEM]]</f>
        <v>0</v>
      </c>
      <c r="O54" s="195">
        <f>tabLimpGeral[[#This Row],[VALOR DEPRECIAÇÃO MENSAL - TOTAL (R$)]]*12</f>
        <v>0</v>
      </c>
      <c r="P54" s="195">
        <f>IFERROR(IF(tabLimpGeral[[#This Row],[TIPO]]="Equipamento",tabLimpGeral[[#This Row],[VALOR  - DEPRECIAÇÃO ANUAL - TOTAL (R$) ]]/12/tabLimpGeral[[#This Row],[CARGA HORÁRIA INICIAL]],tabLimpGeral[[#This Row],[PREÇO TOTAL -  (R$)]]/12/tabLimpGeral[[#This Row],[CARGA HORÁRIA INICIAL]]),0)</f>
        <v>9.6784001081008045E-3</v>
      </c>
    </row>
    <row r="55" spans="1:16" ht="25.5" x14ac:dyDescent="0.25">
      <c r="A55" s="186">
        <f t="shared" si="2"/>
        <v>52</v>
      </c>
      <c r="B55" s="187">
        <v>9900</v>
      </c>
      <c r="C55" s="187" t="s">
        <v>977</v>
      </c>
      <c r="D55" s="186">
        <f t="shared" si="3"/>
        <v>74005</v>
      </c>
      <c r="E55" s="193" t="s">
        <v>961</v>
      </c>
      <c r="F55" s="192" t="s">
        <v>958</v>
      </c>
      <c r="G55" s="192" t="s">
        <v>959</v>
      </c>
      <c r="H55" s="192"/>
      <c r="I55" s="192"/>
      <c r="J55" s="312">
        <v>2.0099999999999998</v>
      </c>
      <c r="K55" s="195">
        <f>tabLimpGeral[[#This Row],[PREÇO UNIDADE -  (R$)]]*tabLimpGeral[[#This Row],[QUANT. ITEM]]</f>
        <v>19898.999999999996</v>
      </c>
      <c r="L55" s="195" cm="1">
        <f t="array" ref="L55">tabLimpGeral[[#This Row],[PREÇO INICIAL -  (R$)]]*IFERROR(PRODUCT(1+_xlfn._xlws.FILTER(tabIndices[PERCENTUAL],tabIndices[DATA DA PUBLICAÇÃO]&gt;tabLimpGeral[[#This Row],[DATA PUBLICAÇÃO]])),1)</f>
        <v>2.0099999999999998</v>
      </c>
      <c r="M55" s="195">
        <f>IF(tabLimpGeral[[#This Row],[TIPO]]="Equipamento",tabLimpGeral[[#This Row],[PREÇO UNIDADE -  (R$)]]/60,0)</f>
        <v>0</v>
      </c>
      <c r="N55" s="195">
        <f>tabLimpGeral[[#This Row],[VALOR  - DEPRECIAÇÃO MENSAL - UNIDADE (R$)]]*tabLimpGeral[[#This Row],[QUANT. ITEM]]</f>
        <v>0</v>
      </c>
      <c r="O55" s="195">
        <f>tabLimpGeral[[#This Row],[VALOR DEPRECIAÇÃO MENSAL - TOTAL (R$)]]*12</f>
        <v>0</v>
      </c>
      <c r="P55" s="195">
        <f>IFERROR(IF(tabLimpGeral[[#This Row],[TIPO]]="Equipamento",tabLimpGeral[[#This Row],[VALOR  - DEPRECIAÇÃO ANUAL - TOTAL (R$) ]]/12/tabLimpGeral[[#This Row],[CARGA HORÁRIA INICIAL]],tabLimpGeral[[#This Row],[PREÇO TOTAL -  (R$)]]/12/tabLimpGeral[[#This Row],[CARGA HORÁRIA INICIAL]]),0)</f>
        <v>2.240726977906898E-2</v>
      </c>
    </row>
    <row r="56" spans="1:16" ht="25.5" x14ac:dyDescent="0.25">
      <c r="A56" s="186">
        <f t="shared" si="2"/>
        <v>53</v>
      </c>
      <c r="B56" s="187">
        <v>24</v>
      </c>
      <c r="C56" s="187" t="s">
        <v>1255</v>
      </c>
      <c r="D56" s="186">
        <f t="shared" si="3"/>
        <v>74005</v>
      </c>
      <c r="E56" s="193" t="s">
        <v>1319</v>
      </c>
      <c r="F56" s="192" t="s">
        <v>958</v>
      </c>
      <c r="G56" s="192" t="s">
        <v>959</v>
      </c>
      <c r="H56" s="192"/>
      <c r="I56" s="192"/>
      <c r="J56" s="312">
        <v>64.319999999999993</v>
      </c>
      <c r="K56" s="195">
        <f>tabLimpGeral[[#This Row],[PREÇO UNIDADE -  (R$)]]*tabLimpGeral[[#This Row],[QUANT. ITEM]]</f>
        <v>1543.6799999999998</v>
      </c>
      <c r="L56" s="195" cm="1">
        <f t="array" ref="L56">tabLimpGeral[[#This Row],[PREÇO INICIAL -  (R$)]]*IFERROR(PRODUCT(1+_xlfn._xlws.FILTER(tabIndices[PERCENTUAL],tabIndices[DATA DA PUBLICAÇÃO]&gt;tabLimpGeral[[#This Row],[DATA PUBLICAÇÃO]])),1)</f>
        <v>64.319999999999993</v>
      </c>
      <c r="M56" s="195">
        <f>IF(tabLimpGeral[[#This Row],[TIPO]]="Equipamento",tabLimpGeral[[#This Row],[PREÇO UNIDADE -  (R$)]]/60,0)</f>
        <v>0</v>
      </c>
      <c r="N56" s="195">
        <f>tabLimpGeral[[#This Row],[VALOR  - DEPRECIAÇÃO MENSAL - UNIDADE (R$)]]*tabLimpGeral[[#This Row],[QUANT. ITEM]]</f>
        <v>0</v>
      </c>
      <c r="O56" s="195">
        <f>tabLimpGeral[[#This Row],[VALOR DEPRECIAÇÃO MENSAL - TOTAL (R$)]]*12</f>
        <v>0</v>
      </c>
      <c r="P56" s="195">
        <f>IFERROR(IF(tabLimpGeral[[#This Row],[TIPO]]="Equipamento",tabLimpGeral[[#This Row],[VALOR  - DEPRECIAÇÃO ANUAL - TOTAL (R$) ]]/12/tabLimpGeral[[#This Row],[CARGA HORÁRIA INICIAL]],tabLimpGeral[[#This Row],[PREÇO TOTAL -  (R$)]]/12/tabLimpGeral[[#This Row],[CARGA HORÁRIA INICIAL]]),0)</f>
        <v>1.7382609283156541E-3</v>
      </c>
    </row>
    <row r="57" spans="1:16" ht="165.75" x14ac:dyDescent="0.25">
      <c r="A57" s="186">
        <f t="shared" si="2"/>
        <v>54</v>
      </c>
      <c r="B57" s="187">
        <v>12624</v>
      </c>
      <c r="C57" s="187" t="s">
        <v>1265</v>
      </c>
      <c r="D57" s="186">
        <f t="shared" si="3"/>
        <v>74005</v>
      </c>
      <c r="E57" s="193" t="s">
        <v>1279</v>
      </c>
      <c r="F57" s="192" t="s">
        <v>958</v>
      </c>
      <c r="G57" s="192" t="s">
        <v>959</v>
      </c>
      <c r="H57" s="192"/>
      <c r="I57" s="192"/>
      <c r="J57" s="312">
        <v>25.49</v>
      </c>
      <c r="K57" s="195">
        <f>tabLimpGeral[[#This Row],[PREÇO UNIDADE -  (R$)]]*tabLimpGeral[[#This Row],[QUANT. ITEM]]</f>
        <v>321785.76</v>
      </c>
      <c r="L57" s="195" cm="1">
        <f t="array" ref="L57">tabLimpGeral[[#This Row],[PREÇO INICIAL -  (R$)]]*IFERROR(PRODUCT(1+_xlfn._xlws.FILTER(tabIndices[PERCENTUAL],tabIndices[DATA DA PUBLICAÇÃO]&gt;tabLimpGeral[[#This Row],[DATA PUBLICAÇÃO]])),1)</f>
        <v>25.49</v>
      </c>
      <c r="M57" s="195">
        <f>IF(tabLimpGeral[[#This Row],[TIPO]]="Equipamento",tabLimpGeral[[#This Row],[PREÇO UNIDADE -  (R$)]]/60,0)</f>
        <v>0</v>
      </c>
      <c r="N57" s="195">
        <f>tabLimpGeral[[#This Row],[VALOR  - DEPRECIAÇÃO MENSAL - UNIDADE (R$)]]*tabLimpGeral[[#This Row],[QUANT. ITEM]]</f>
        <v>0</v>
      </c>
      <c r="O57" s="195">
        <f>tabLimpGeral[[#This Row],[VALOR DEPRECIAÇÃO MENSAL - TOTAL (R$)]]*12</f>
        <v>0</v>
      </c>
      <c r="P57" s="195">
        <f>IFERROR(IF(tabLimpGeral[[#This Row],[TIPO]]="Equipamento",tabLimpGeral[[#This Row],[VALOR  - DEPRECIAÇÃO ANUAL - TOTAL (R$) ]]/12/tabLimpGeral[[#This Row],[CARGA HORÁRIA INICIAL]],tabLimpGeral[[#This Row],[PREÇO TOTAL -  (R$)]]/12/tabLimpGeral[[#This Row],[CARGA HORÁRIA INICIAL]]),0)</f>
        <v>0.3623468684548341</v>
      </c>
    </row>
    <row r="58" spans="1:16" ht="51" x14ac:dyDescent="0.25">
      <c r="A58" s="186">
        <f t="shared" si="2"/>
        <v>55</v>
      </c>
      <c r="B58" s="187">
        <v>1180</v>
      </c>
      <c r="C58" s="187" t="s">
        <v>1263</v>
      </c>
      <c r="D58" s="186">
        <f t="shared" si="3"/>
        <v>74005</v>
      </c>
      <c r="E58" s="193" t="s">
        <v>1323</v>
      </c>
      <c r="F58" s="192" t="s">
        <v>958</v>
      </c>
      <c r="G58" s="192" t="s">
        <v>959</v>
      </c>
      <c r="H58" s="192"/>
      <c r="I58" s="192"/>
      <c r="J58" s="312">
        <v>3.13</v>
      </c>
      <c r="K58" s="195">
        <f>tabLimpGeral[[#This Row],[PREÇO UNIDADE -  (R$)]]*tabLimpGeral[[#This Row],[QUANT. ITEM]]</f>
        <v>3693.4</v>
      </c>
      <c r="L58" s="195" cm="1">
        <f t="array" ref="L58">tabLimpGeral[[#This Row],[PREÇO INICIAL -  (R$)]]*IFERROR(PRODUCT(1+_xlfn._xlws.FILTER(tabIndices[PERCENTUAL],tabIndices[DATA DA PUBLICAÇÃO]&gt;tabLimpGeral[[#This Row],[DATA PUBLICAÇÃO]])),1)</f>
        <v>3.13</v>
      </c>
      <c r="M58" s="195">
        <f>IF(tabLimpGeral[[#This Row],[TIPO]]="Equipamento",tabLimpGeral[[#This Row],[PREÇO UNIDADE -  (R$)]]/60,0)</f>
        <v>0</v>
      </c>
      <c r="N58" s="195">
        <f>tabLimpGeral[[#This Row],[VALOR  - DEPRECIAÇÃO MENSAL - UNIDADE (R$)]]*tabLimpGeral[[#This Row],[QUANT. ITEM]]</f>
        <v>0</v>
      </c>
      <c r="O58" s="195">
        <f>tabLimpGeral[[#This Row],[VALOR DEPRECIAÇÃO MENSAL - TOTAL (R$)]]*12</f>
        <v>0</v>
      </c>
      <c r="P58" s="195">
        <f>IFERROR(IF(tabLimpGeral[[#This Row],[TIPO]]="Equipamento",tabLimpGeral[[#This Row],[VALOR  - DEPRECIAÇÃO ANUAL - TOTAL (R$) ]]/12/tabLimpGeral[[#This Row],[CARGA HORÁRIA INICIAL]],tabLimpGeral[[#This Row],[PREÇO TOTAL -  (R$)]]/12/tabLimpGeral[[#This Row],[CARGA HORÁRIA INICIAL]]),0)</f>
        <v>4.1589532238812694E-3</v>
      </c>
    </row>
    <row r="59" spans="1:16" ht="25.5" x14ac:dyDescent="0.25">
      <c r="A59" s="186">
        <f t="shared" si="2"/>
        <v>56</v>
      </c>
      <c r="B59" s="187">
        <v>75</v>
      </c>
      <c r="C59" s="187" t="s">
        <v>1264</v>
      </c>
      <c r="D59" s="186">
        <f t="shared" si="3"/>
        <v>74005</v>
      </c>
      <c r="E59" s="193" t="s">
        <v>1324</v>
      </c>
      <c r="F59" s="192" t="s">
        <v>958</v>
      </c>
      <c r="G59" s="192" t="s">
        <v>959</v>
      </c>
      <c r="H59" s="192"/>
      <c r="I59" s="192"/>
      <c r="J59" s="312">
        <v>27.74</v>
      </c>
      <c r="K59" s="195">
        <f>tabLimpGeral[[#This Row],[PREÇO UNIDADE -  (R$)]]*tabLimpGeral[[#This Row],[QUANT. ITEM]]</f>
        <v>2080.5</v>
      </c>
      <c r="L59" s="195" cm="1">
        <f t="array" ref="L59">tabLimpGeral[[#This Row],[PREÇO INICIAL -  (R$)]]*IFERROR(PRODUCT(1+_xlfn._xlws.FILTER(tabIndices[PERCENTUAL],tabIndices[DATA DA PUBLICAÇÃO]&gt;tabLimpGeral[[#This Row],[DATA PUBLICAÇÃO]])),1)</f>
        <v>27.74</v>
      </c>
      <c r="M59" s="195">
        <f>IF(tabLimpGeral[[#This Row],[TIPO]]="Equipamento",tabLimpGeral[[#This Row],[PREÇO UNIDADE -  (R$)]]/60,0)</f>
        <v>0</v>
      </c>
      <c r="N59" s="195">
        <f>tabLimpGeral[[#This Row],[VALOR  - DEPRECIAÇÃO MENSAL - UNIDADE (R$)]]*tabLimpGeral[[#This Row],[QUANT. ITEM]]</f>
        <v>0</v>
      </c>
      <c r="O59" s="195">
        <f>tabLimpGeral[[#This Row],[VALOR DEPRECIAÇÃO MENSAL - TOTAL (R$)]]*12</f>
        <v>0</v>
      </c>
      <c r="P59" s="195">
        <f>IFERROR(IF(tabLimpGeral[[#This Row],[TIPO]]="Equipamento",tabLimpGeral[[#This Row],[VALOR  - DEPRECIAÇÃO ANUAL - TOTAL (R$) ]]/12/tabLimpGeral[[#This Row],[CARGA HORÁRIA INICIAL]],tabLimpGeral[[#This Row],[PREÇO TOTAL -  (R$)]]/12/tabLimpGeral[[#This Row],[CARGA HORÁRIA INICIAL]]),0)</f>
        <v>2.3427471116816432E-3</v>
      </c>
    </row>
    <row r="60" spans="1:16" ht="38.25" x14ac:dyDescent="0.25">
      <c r="A60" s="186">
        <f t="shared" si="2"/>
        <v>57</v>
      </c>
      <c r="B60" s="187">
        <v>60</v>
      </c>
      <c r="C60" s="187" t="s">
        <v>1266</v>
      </c>
      <c r="D60" s="186">
        <f t="shared" si="3"/>
        <v>74005</v>
      </c>
      <c r="E60" s="193" t="s">
        <v>1325</v>
      </c>
      <c r="F60" s="192" t="s">
        <v>958</v>
      </c>
      <c r="G60" s="192" t="s">
        <v>959</v>
      </c>
      <c r="H60" s="192"/>
      <c r="I60" s="192"/>
      <c r="J60" s="312">
        <v>49.93</v>
      </c>
      <c r="K60" s="195">
        <f>tabLimpGeral[[#This Row],[PREÇO UNIDADE -  (R$)]]*tabLimpGeral[[#This Row],[QUANT. ITEM]]</f>
        <v>2995.8</v>
      </c>
      <c r="L60" s="195" cm="1">
        <f t="array" ref="L60">tabLimpGeral[[#This Row],[PREÇO INICIAL -  (R$)]]*IFERROR(PRODUCT(1+_xlfn._xlws.FILTER(tabIndices[PERCENTUAL],tabIndices[DATA DA PUBLICAÇÃO]&gt;tabLimpGeral[[#This Row],[DATA PUBLICAÇÃO]])),1)</f>
        <v>49.93</v>
      </c>
      <c r="M60" s="195">
        <f>IF(tabLimpGeral[[#This Row],[TIPO]]="Equipamento",tabLimpGeral[[#This Row],[PREÇO UNIDADE -  (R$)]]/60,0)</f>
        <v>0</v>
      </c>
      <c r="N60" s="195">
        <f>tabLimpGeral[[#This Row],[VALOR  - DEPRECIAÇÃO MENSAL - UNIDADE (R$)]]*tabLimpGeral[[#This Row],[QUANT. ITEM]]</f>
        <v>0</v>
      </c>
      <c r="O60" s="195">
        <f>tabLimpGeral[[#This Row],[VALOR DEPRECIAÇÃO MENSAL - TOTAL (R$)]]*12</f>
        <v>0</v>
      </c>
      <c r="P60" s="195">
        <f>IFERROR(IF(tabLimpGeral[[#This Row],[TIPO]]="Equipamento",tabLimpGeral[[#This Row],[VALOR  - DEPRECIAÇÃO ANUAL - TOTAL (R$) ]]/12/tabLimpGeral[[#This Row],[CARGA HORÁRIA INICIAL]],tabLimpGeral[[#This Row],[PREÇO TOTAL -  (R$)]]/12/tabLimpGeral[[#This Row],[CARGA HORÁRIA INICIAL]]),0)</f>
        <v>3.3734207148165664E-3</v>
      </c>
    </row>
    <row r="61" spans="1:16" ht="51" x14ac:dyDescent="0.25">
      <c r="A61" s="186">
        <f t="shared" si="2"/>
        <v>58</v>
      </c>
      <c r="B61" s="187">
        <v>445</v>
      </c>
      <c r="C61" s="187" t="s">
        <v>1254</v>
      </c>
      <c r="D61" s="186">
        <f t="shared" si="3"/>
        <v>74005</v>
      </c>
      <c r="E61" s="193" t="s">
        <v>1327</v>
      </c>
      <c r="F61" s="192" t="s">
        <v>958</v>
      </c>
      <c r="G61" s="192" t="s">
        <v>959</v>
      </c>
      <c r="H61" s="192"/>
      <c r="I61" s="192"/>
      <c r="J61" s="312">
        <v>83.95</v>
      </c>
      <c r="K61" s="195">
        <f>tabLimpGeral[[#This Row],[PREÇO UNIDADE -  (R$)]]*tabLimpGeral[[#This Row],[QUANT. ITEM]]</f>
        <v>37357.75</v>
      </c>
      <c r="L61" s="195" cm="1">
        <f t="array" ref="L61">tabLimpGeral[[#This Row],[PREÇO INICIAL -  (R$)]]*IFERROR(PRODUCT(1+_xlfn._xlws.FILTER(tabIndices[PERCENTUAL],tabIndices[DATA DA PUBLICAÇÃO]&gt;tabLimpGeral[[#This Row],[DATA PUBLICAÇÃO]])),1)</f>
        <v>83.95</v>
      </c>
      <c r="M61" s="195">
        <f>IF(tabLimpGeral[[#This Row],[TIPO]]="Equipamento",tabLimpGeral[[#This Row],[PREÇO UNIDADE -  (R$)]]/60,0)</f>
        <v>0</v>
      </c>
      <c r="N61" s="195">
        <f>tabLimpGeral[[#This Row],[VALOR  - DEPRECIAÇÃO MENSAL - UNIDADE (R$)]]*tabLimpGeral[[#This Row],[QUANT. ITEM]]</f>
        <v>0</v>
      </c>
      <c r="O61" s="195">
        <f>tabLimpGeral[[#This Row],[VALOR DEPRECIAÇÃO MENSAL - TOTAL (R$)]]*12</f>
        <v>0</v>
      </c>
      <c r="P61" s="195">
        <f>IFERROR(IF(tabLimpGeral[[#This Row],[TIPO]]="Equipamento",tabLimpGeral[[#This Row],[VALOR  - DEPRECIAÇÃO ANUAL - TOTAL (R$) ]]/12/tabLimpGeral[[#This Row],[CARGA HORÁRIA INICIAL]],tabLimpGeral[[#This Row],[PREÇO TOTAL -  (R$)]]/12/tabLimpGeral[[#This Row],[CARGA HORÁRIA INICIAL]]),0)</f>
        <v>4.2066695943967752E-2</v>
      </c>
    </row>
    <row r="62" spans="1:16" ht="25.5" x14ac:dyDescent="0.25">
      <c r="A62" s="186">
        <f t="shared" si="2"/>
        <v>59</v>
      </c>
      <c r="B62" s="187">
        <v>1114</v>
      </c>
      <c r="C62" s="187" t="s">
        <v>1257</v>
      </c>
      <c r="D62" s="186">
        <f t="shared" si="3"/>
        <v>74005</v>
      </c>
      <c r="E62" s="193" t="s">
        <v>1326</v>
      </c>
      <c r="F62" s="192" t="s">
        <v>958</v>
      </c>
      <c r="G62" s="192" t="s">
        <v>959</v>
      </c>
      <c r="H62" s="192"/>
      <c r="I62" s="192"/>
      <c r="J62" s="312">
        <v>20.21</v>
      </c>
      <c r="K62" s="195">
        <f>tabLimpGeral[[#This Row],[PREÇO UNIDADE -  (R$)]]*tabLimpGeral[[#This Row],[QUANT. ITEM]]</f>
        <v>22513.940000000002</v>
      </c>
      <c r="L62" s="195" cm="1">
        <f t="array" ref="L62">tabLimpGeral[[#This Row],[PREÇO INICIAL -  (R$)]]*IFERROR(PRODUCT(1+_xlfn._xlws.FILTER(tabIndices[PERCENTUAL],tabIndices[DATA DA PUBLICAÇÃO]&gt;tabLimpGeral[[#This Row],[DATA PUBLICAÇÃO]])),1)</f>
        <v>20.21</v>
      </c>
      <c r="M62" s="195">
        <f>IF(tabLimpGeral[[#This Row],[TIPO]]="Equipamento",tabLimpGeral[[#This Row],[PREÇO UNIDADE -  (R$)]]/60,0)</f>
        <v>0</v>
      </c>
      <c r="N62" s="195">
        <f>tabLimpGeral[[#This Row],[VALOR  - DEPRECIAÇÃO MENSAL - UNIDADE (R$)]]*tabLimpGeral[[#This Row],[QUANT. ITEM]]</f>
        <v>0</v>
      </c>
      <c r="O62" s="195">
        <f>tabLimpGeral[[#This Row],[VALOR DEPRECIAÇÃO MENSAL - TOTAL (R$)]]*12</f>
        <v>0</v>
      </c>
      <c r="P62" s="195">
        <f>IFERROR(IF(tabLimpGeral[[#This Row],[TIPO]]="Equipamento",tabLimpGeral[[#This Row],[VALOR  - DEPRECIAÇÃO ANUAL - TOTAL (R$) ]]/12/tabLimpGeral[[#This Row],[CARGA HORÁRIA INICIAL]],tabLimpGeral[[#This Row],[PREÇO TOTAL -  (R$)]]/12/tabLimpGeral[[#This Row],[CARGA HORÁRIA INICIAL]]),0)</f>
        <v>2.5351823075017457E-2</v>
      </c>
    </row>
    <row r="63" spans="1:16" ht="25.5" x14ac:dyDescent="0.25">
      <c r="A63" s="186">
        <f t="shared" si="2"/>
        <v>60</v>
      </c>
      <c r="B63" s="187">
        <v>4000</v>
      </c>
      <c r="C63" s="187" t="s">
        <v>977</v>
      </c>
      <c r="D63" s="186">
        <f t="shared" si="3"/>
        <v>74005</v>
      </c>
      <c r="E63" s="193" t="s">
        <v>962</v>
      </c>
      <c r="F63" s="192" t="s">
        <v>958</v>
      </c>
      <c r="G63" s="192" t="s">
        <v>959</v>
      </c>
      <c r="H63" s="192"/>
      <c r="I63" s="192"/>
      <c r="J63" s="312">
        <v>6.12</v>
      </c>
      <c r="K63" s="195">
        <f>tabLimpGeral[[#This Row],[PREÇO UNIDADE -  (R$)]]*tabLimpGeral[[#This Row],[QUANT. ITEM]]</f>
        <v>24480</v>
      </c>
      <c r="L63" s="195" cm="1">
        <f t="array" ref="L63">tabLimpGeral[[#This Row],[PREÇO INICIAL -  (R$)]]*IFERROR(PRODUCT(1+_xlfn._xlws.FILTER(tabIndices[PERCENTUAL],tabIndices[DATA DA PUBLICAÇÃO]&gt;tabLimpGeral[[#This Row],[DATA PUBLICAÇÃO]])),1)</f>
        <v>6.12</v>
      </c>
      <c r="M63" s="195">
        <f>IF(tabLimpGeral[[#This Row],[TIPO]]="Equipamento",tabLimpGeral[[#This Row],[PREÇO UNIDADE -  (R$)]]/60,0)</f>
        <v>0</v>
      </c>
      <c r="N63" s="195">
        <f>tabLimpGeral[[#This Row],[VALOR  - DEPRECIAÇÃO MENSAL - UNIDADE (R$)]]*tabLimpGeral[[#This Row],[QUANT. ITEM]]</f>
        <v>0</v>
      </c>
      <c r="O63" s="195">
        <f>tabLimpGeral[[#This Row],[VALOR DEPRECIAÇÃO MENSAL - TOTAL (R$)]]*12</f>
        <v>0</v>
      </c>
      <c r="P63" s="195">
        <f>IFERROR(IF(tabLimpGeral[[#This Row],[TIPO]]="Equipamento",tabLimpGeral[[#This Row],[VALOR  - DEPRECIAÇÃO ANUAL - TOTAL (R$) ]]/12/tabLimpGeral[[#This Row],[CARGA HORÁRIA INICIAL]],tabLimpGeral[[#This Row],[PREÇO TOTAL -  (R$)]]/12/tabLimpGeral[[#This Row],[CARGA HORÁRIA INICIAL]]),0)</f>
        <v>2.7565705019931087E-2</v>
      </c>
    </row>
    <row r="64" spans="1:16" ht="63.75" x14ac:dyDescent="0.25">
      <c r="A64" s="186">
        <f t="shared" si="2"/>
        <v>61</v>
      </c>
      <c r="B64" s="187">
        <v>38288</v>
      </c>
      <c r="C64" s="187" t="s">
        <v>977</v>
      </c>
      <c r="D64" s="186">
        <f t="shared" si="3"/>
        <v>74005</v>
      </c>
      <c r="E64" s="193" t="s">
        <v>1328</v>
      </c>
      <c r="F64" s="192" t="s">
        <v>958</v>
      </c>
      <c r="G64" s="192" t="s">
        <v>959</v>
      </c>
      <c r="H64" s="192"/>
      <c r="I64" s="192"/>
      <c r="J64" s="312">
        <v>7.53</v>
      </c>
      <c r="K64" s="195">
        <f>tabLimpGeral[[#This Row],[PREÇO UNIDADE -  (R$)]]*tabLimpGeral[[#This Row],[QUANT. ITEM]]</f>
        <v>288308.64</v>
      </c>
      <c r="L64" s="195" cm="1">
        <f t="array" ref="L64">tabLimpGeral[[#This Row],[PREÇO INICIAL -  (R$)]]*IFERROR(PRODUCT(1+_xlfn._xlws.FILTER(tabIndices[PERCENTUAL],tabIndices[DATA DA PUBLICAÇÃO]&gt;tabLimpGeral[[#This Row],[DATA PUBLICAÇÃO]])),1)</f>
        <v>7.53</v>
      </c>
      <c r="M64" s="195">
        <f>IF(tabLimpGeral[[#This Row],[TIPO]]="Equipamento",tabLimpGeral[[#This Row],[PREÇO UNIDADE -  (R$)]]/60,0)</f>
        <v>0</v>
      </c>
      <c r="N64" s="195">
        <f>tabLimpGeral[[#This Row],[VALOR  - DEPRECIAÇÃO MENSAL - UNIDADE (R$)]]*tabLimpGeral[[#This Row],[QUANT. ITEM]]</f>
        <v>0</v>
      </c>
      <c r="O64" s="195">
        <f>tabLimpGeral[[#This Row],[VALOR DEPRECIAÇÃO MENSAL - TOTAL (R$)]]*12</f>
        <v>0</v>
      </c>
      <c r="P64" s="195">
        <f>IFERROR(IF(tabLimpGeral[[#This Row],[TIPO]]="Equipamento",tabLimpGeral[[#This Row],[VALOR  - DEPRECIAÇÃO ANUAL - TOTAL (R$) ]]/12/tabLimpGeral[[#This Row],[CARGA HORÁRIA INICIAL]],tabLimpGeral[[#This Row],[PREÇO TOTAL -  (R$)]]/12/tabLimpGeral[[#This Row],[CARGA HORÁRIA INICIAL]]),0)</f>
        <v>0.3246499560840484</v>
      </c>
    </row>
    <row r="65" spans="1:16" ht="38.25" x14ac:dyDescent="0.25">
      <c r="A65" s="186">
        <f t="shared" si="2"/>
        <v>62</v>
      </c>
      <c r="B65" s="187">
        <v>120</v>
      </c>
      <c r="C65" s="187" t="s">
        <v>1266</v>
      </c>
      <c r="D65" s="186">
        <f t="shared" si="3"/>
        <v>74005</v>
      </c>
      <c r="E65" s="193" t="s">
        <v>1329</v>
      </c>
      <c r="F65" s="192" t="s">
        <v>958</v>
      </c>
      <c r="G65" s="192" t="s">
        <v>959</v>
      </c>
      <c r="H65" s="192"/>
      <c r="I65" s="192"/>
      <c r="J65" s="312">
        <v>96.94</v>
      </c>
      <c r="K65" s="195">
        <f>tabLimpGeral[[#This Row],[PREÇO UNIDADE -  (R$)]]*tabLimpGeral[[#This Row],[QUANT. ITEM]]</f>
        <v>11632.8</v>
      </c>
      <c r="L65" s="195" cm="1">
        <f t="array" ref="L65">tabLimpGeral[[#This Row],[PREÇO INICIAL -  (R$)]]*IFERROR(PRODUCT(1+_xlfn._xlws.FILTER(tabIndices[PERCENTUAL],tabIndices[DATA DA PUBLICAÇÃO]&gt;tabLimpGeral[[#This Row],[DATA PUBLICAÇÃO]])),1)</f>
        <v>96.94</v>
      </c>
      <c r="M65" s="195">
        <f>IF(tabLimpGeral[[#This Row],[TIPO]]="Equipamento",tabLimpGeral[[#This Row],[PREÇO UNIDADE -  (R$)]]/60,0)</f>
        <v>0</v>
      </c>
      <c r="N65" s="195">
        <f>tabLimpGeral[[#This Row],[VALOR  - DEPRECIAÇÃO MENSAL - UNIDADE (R$)]]*tabLimpGeral[[#This Row],[QUANT. ITEM]]</f>
        <v>0</v>
      </c>
      <c r="O65" s="195">
        <f>tabLimpGeral[[#This Row],[VALOR DEPRECIAÇÃO MENSAL - TOTAL (R$)]]*12</f>
        <v>0</v>
      </c>
      <c r="P65" s="195">
        <f>IFERROR(IF(tabLimpGeral[[#This Row],[TIPO]]="Equipamento",tabLimpGeral[[#This Row],[VALOR  - DEPRECIAÇÃO ANUAL - TOTAL (R$) ]]/12/tabLimpGeral[[#This Row],[CARGA HORÁRIA INICIAL]],tabLimpGeral[[#This Row],[PREÇO TOTAL -  (R$)]]/12/tabLimpGeral[[#This Row],[CARGA HORÁRIA INICIAL]]),0)</f>
        <v>1.3099114924667253E-2</v>
      </c>
    </row>
    <row r="66" spans="1:16" ht="38.25" x14ac:dyDescent="0.25">
      <c r="A66" s="186">
        <f t="shared" si="2"/>
        <v>63</v>
      </c>
      <c r="B66" s="187">
        <v>2675</v>
      </c>
      <c r="C66" s="187" t="s">
        <v>1258</v>
      </c>
      <c r="D66" s="186">
        <f t="shared" si="3"/>
        <v>74005</v>
      </c>
      <c r="E66" s="193" t="s">
        <v>1330</v>
      </c>
      <c r="F66" s="192" t="s">
        <v>958</v>
      </c>
      <c r="G66" s="192" t="s">
        <v>959</v>
      </c>
      <c r="H66" s="192"/>
      <c r="I66" s="192"/>
      <c r="J66" s="312">
        <v>2.56</v>
      </c>
      <c r="K66" s="195">
        <f>tabLimpGeral[[#This Row],[PREÇO UNIDADE -  (R$)]]*tabLimpGeral[[#This Row],[QUANT. ITEM]]</f>
        <v>6848</v>
      </c>
      <c r="L66" s="195" cm="1">
        <f t="array" ref="L66">tabLimpGeral[[#This Row],[PREÇO INICIAL -  (R$)]]*IFERROR(PRODUCT(1+_xlfn._xlws.FILTER(tabIndices[PERCENTUAL],tabIndices[DATA DA PUBLICAÇÃO]&gt;tabLimpGeral[[#This Row],[DATA PUBLICAÇÃO]])),1)</f>
        <v>2.56</v>
      </c>
      <c r="M66" s="195">
        <f>IF(tabLimpGeral[[#This Row],[TIPO]]="Equipamento",tabLimpGeral[[#This Row],[PREÇO UNIDADE -  (R$)]]/60,0)</f>
        <v>0</v>
      </c>
      <c r="N66" s="195">
        <f>tabLimpGeral[[#This Row],[VALOR  - DEPRECIAÇÃO MENSAL - UNIDADE (R$)]]*tabLimpGeral[[#This Row],[QUANT. ITEM]]</f>
        <v>0</v>
      </c>
      <c r="O66" s="195">
        <f>tabLimpGeral[[#This Row],[VALOR DEPRECIAÇÃO MENSAL - TOTAL (R$)]]*12</f>
        <v>0</v>
      </c>
      <c r="P66" s="195">
        <f>IFERROR(IF(tabLimpGeral[[#This Row],[TIPO]]="Equipamento",tabLimpGeral[[#This Row],[VALOR  - DEPRECIAÇÃO ANUAL - TOTAL (R$) ]]/12/tabLimpGeral[[#This Row],[CARGA HORÁRIA INICIAL]],tabLimpGeral[[#This Row],[PREÇO TOTAL -  (R$)]]/12/tabLimpGeral[[#This Row],[CARGA HORÁRIA INICIAL]]),0)</f>
        <v>7.7111906853140552E-3</v>
      </c>
    </row>
    <row r="67" spans="1:16" ht="38.25" x14ac:dyDescent="0.25">
      <c r="A67" s="186">
        <f t="shared" si="2"/>
        <v>64</v>
      </c>
      <c r="B67" s="187">
        <v>634</v>
      </c>
      <c r="C67" s="187" t="s">
        <v>1259</v>
      </c>
      <c r="D67" s="186">
        <f t="shared" si="3"/>
        <v>74005</v>
      </c>
      <c r="E67" s="193" t="s">
        <v>1331</v>
      </c>
      <c r="F67" s="192" t="s">
        <v>958</v>
      </c>
      <c r="G67" s="192" t="s">
        <v>959</v>
      </c>
      <c r="H67" s="192"/>
      <c r="I67" s="192"/>
      <c r="J67" s="312">
        <v>11.3</v>
      </c>
      <c r="K67" s="195">
        <f>tabLimpGeral[[#This Row],[PREÇO UNIDADE -  (R$)]]*tabLimpGeral[[#This Row],[QUANT. ITEM]]</f>
        <v>7164.2000000000007</v>
      </c>
      <c r="L67" s="195" cm="1">
        <f t="array" ref="L67">tabLimpGeral[[#This Row],[PREÇO INICIAL -  (R$)]]*IFERROR(PRODUCT(1+_xlfn._xlws.FILTER(tabIndices[PERCENTUAL],tabIndices[DATA DA PUBLICAÇÃO]&gt;tabLimpGeral[[#This Row],[DATA PUBLICAÇÃO]])),1)</f>
        <v>11.3</v>
      </c>
      <c r="M67" s="195">
        <f>IF(tabLimpGeral[[#This Row],[TIPO]]="Equipamento",tabLimpGeral[[#This Row],[PREÇO UNIDADE -  (R$)]]/60,0)</f>
        <v>0</v>
      </c>
      <c r="N67" s="195">
        <f>tabLimpGeral[[#This Row],[VALOR  - DEPRECIAÇÃO MENSAL - UNIDADE (R$)]]*tabLimpGeral[[#This Row],[QUANT. ITEM]]</f>
        <v>0</v>
      </c>
      <c r="O67" s="195">
        <f>tabLimpGeral[[#This Row],[VALOR DEPRECIAÇÃO MENSAL - TOTAL (R$)]]*12</f>
        <v>0</v>
      </c>
      <c r="P67" s="195">
        <f>IFERROR(IF(tabLimpGeral[[#This Row],[TIPO]]="Equipamento",tabLimpGeral[[#This Row],[VALOR  - DEPRECIAÇÃO ANUAL - TOTAL (R$) ]]/12/tabLimpGeral[[#This Row],[CARGA HORÁRIA INICIAL]],tabLimpGeral[[#This Row],[PREÇO TOTAL -  (R$)]]/12/tabLimpGeral[[#This Row],[CARGA HORÁRIA INICIAL]]),0)</f>
        <v>8.0672477084881671E-3</v>
      </c>
    </row>
    <row r="68" spans="1:16" ht="38.25" x14ac:dyDescent="0.25">
      <c r="A68" s="186">
        <f t="shared" ref="A68:A80" si="4">ROW()-3</f>
        <v>65</v>
      </c>
      <c r="B68" s="187">
        <v>21572</v>
      </c>
      <c r="C68" s="187" t="s">
        <v>1265</v>
      </c>
      <c r="D68" s="186">
        <f t="shared" ref="D68:D80" si="5">79*75+77*110+19*150+(254+2+2)*220</f>
        <v>74005</v>
      </c>
      <c r="E68" s="193" t="s">
        <v>1332</v>
      </c>
      <c r="F68" s="192" t="s">
        <v>958</v>
      </c>
      <c r="G68" s="192" t="s">
        <v>959</v>
      </c>
      <c r="H68" s="192"/>
      <c r="I68" s="192"/>
      <c r="J68" s="312">
        <v>34.340000000000003</v>
      </c>
      <c r="K68" s="195">
        <f>tabLimpGeral[[#This Row],[PREÇO UNIDADE -  (R$)]]*tabLimpGeral[[#This Row],[QUANT. ITEM]]</f>
        <v>740782.4800000001</v>
      </c>
      <c r="L68" s="195" cm="1">
        <f t="array" ref="L68">tabLimpGeral[[#This Row],[PREÇO INICIAL -  (R$)]]*IFERROR(PRODUCT(1+_xlfn._xlws.FILTER(tabIndices[PERCENTUAL],tabIndices[DATA DA PUBLICAÇÃO]&gt;tabLimpGeral[[#This Row],[DATA PUBLICAÇÃO]])),1)</f>
        <v>34.340000000000003</v>
      </c>
      <c r="M68" s="195">
        <f>IF(tabLimpGeral[[#This Row],[TIPO]]="Equipamento",tabLimpGeral[[#This Row],[PREÇO UNIDADE -  (R$)]]/60,0)</f>
        <v>0</v>
      </c>
      <c r="N68" s="195">
        <f>tabLimpGeral[[#This Row],[VALOR  - DEPRECIAÇÃO MENSAL - UNIDADE (R$)]]*tabLimpGeral[[#This Row],[QUANT. ITEM]]</f>
        <v>0</v>
      </c>
      <c r="O68" s="195">
        <f>tabLimpGeral[[#This Row],[VALOR DEPRECIAÇÃO MENSAL - TOTAL (R$)]]*12</f>
        <v>0</v>
      </c>
      <c r="P68" s="195">
        <f>IFERROR(IF(tabLimpGeral[[#This Row],[TIPO]]="Equipamento",tabLimpGeral[[#This Row],[VALOR  - DEPRECIAÇÃO ANUAL - TOTAL (R$) ]]/12/tabLimpGeral[[#This Row],[CARGA HORÁRIA INICIAL]],tabLimpGeral[[#This Row],[PREÇO TOTAL -  (R$)]]/12/tabLimpGeral[[#This Row],[CARGA HORÁRIA INICIAL]]),0)</f>
        <v>0.83415814246785136</v>
      </c>
    </row>
    <row r="69" spans="1:16" ht="38.25" x14ac:dyDescent="0.25">
      <c r="A69" s="186">
        <f t="shared" si="4"/>
        <v>66</v>
      </c>
      <c r="B69" s="187">
        <v>334</v>
      </c>
      <c r="C69" s="187" t="s">
        <v>1262</v>
      </c>
      <c r="D69" s="186">
        <f t="shared" si="5"/>
        <v>74005</v>
      </c>
      <c r="E69" s="193" t="s">
        <v>1334</v>
      </c>
      <c r="F69" s="192" t="s">
        <v>958</v>
      </c>
      <c r="G69" s="192" t="s">
        <v>959</v>
      </c>
      <c r="H69" s="192"/>
      <c r="I69" s="192"/>
      <c r="J69" s="312">
        <v>55.85</v>
      </c>
      <c r="K69" s="195">
        <f>tabLimpGeral[[#This Row],[PREÇO UNIDADE -  (R$)]]*tabLimpGeral[[#This Row],[QUANT. ITEM]]</f>
        <v>18653.900000000001</v>
      </c>
      <c r="L69" s="195" cm="1">
        <f t="array" ref="L69">tabLimpGeral[[#This Row],[PREÇO INICIAL -  (R$)]]*IFERROR(PRODUCT(1+_xlfn._xlws.FILTER(tabIndices[PERCENTUAL],tabIndices[DATA DA PUBLICAÇÃO]&gt;tabLimpGeral[[#This Row],[DATA PUBLICAÇÃO]])),1)</f>
        <v>55.85</v>
      </c>
      <c r="M69" s="195">
        <f>IF(tabLimpGeral[[#This Row],[TIPO]]="Equipamento",tabLimpGeral[[#This Row],[PREÇO UNIDADE -  (R$)]]/60,0)</f>
        <v>0</v>
      </c>
      <c r="N69" s="195">
        <f>tabLimpGeral[[#This Row],[VALOR  - DEPRECIAÇÃO MENSAL - UNIDADE (R$)]]*tabLimpGeral[[#This Row],[QUANT. ITEM]]</f>
        <v>0</v>
      </c>
      <c r="O69" s="195">
        <f>tabLimpGeral[[#This Row],[VALOR DEPRECIAÇÃO MENSAL - TOTAL (R$)]]*12</f>
        <v>0</v>
      </c>
      <c r="P69" s="195">
        <f>IFERROR(IF(tabLimpGeral[[#This Row],[TIPO]]="Equipamento",tabLimpGeral[[#This Row],[VALOR  - DEPRECIAÇÃO ANUAL - TOTAL (R$) ]]/12/tabLimpGeral[[#This Row],[CARGA HORÁRIA INICIAL]],tabLimpGeral[[#This Row],[PREÇO TOTAL -  (R$)]]/12/tabLimpGeral[[#This Row],[CARGA HORÁRIA INICIAL]]),0)</f>
        <v>2.100522487219332E-2</v>
      </c>
    </row>
    <row r="70" spans="1:16" ht="25.5" x14ac:dyDescent="0.25">
      <c r="A70" s="186">
        <f t="shared" si="4"/>
        <v>67</v>
      </c>
      <c r="B70" s="187">
        <v>505</v>
      </c>
      <c r="C70" s="187" t="s">
        <v>1262</v>
      </c>
      <c r="D70" s="186">
        <f t="shared" si="5"/>
        <v>74005</v>
      </c>
      <c r="E70" s="193" t="s">
        <v>1335</v>
      </c>
      <c r="F70" s="192" t="s">
        <v>958</v>
      </c>
      <c r="G70" s="192" t="s">
        <v>959</v>
      </c>
      <c r="H70" s="192"/>
      <c r="I70" s="192"/>
      <c r="J70" s="312">
        <v>24.15</v>
      </c>
      <c r="K70" s="195">
        <f>tabLimpGeral[[#This Row],[PREÇO UNIDADE -  (R$)]]*tabLimpGeral[[#This Row],[QUANT. ITEM]]</f>
        <v>12195.75</v>
      </c>
      <c r="L70" s="195" cm="1">
        <f t="array" ref="L70">tabLimpGeral[[#This Row],[PREÇO INICIAL -  (R$)]]*IFERROR(PRODUCT(1+_xlfn._xlws.FILTER(tabIndices[PERCENTUAL],tabIndices[DATA DA PUBLICAÇÃO]&gt;tabLimpGeral[[#This Row],[DATA PUBLICAÇÃO]])),1)</f>
        <v>24.15</v>
      </c>
      <c r="M70" s="195">
        <f>IF(tabLimpGeral[[#This Row],[TIPO]]="Equipamento",tabLimpGeral[[#This Row],[PREÇO UNIDADE -  (R$)]]/60,0)</f>
        <v>0</v>
      </c>
      <c r="N70" s="195">
        <f>tabLimpGeral[[#This Row],[VALOR  - DEPRECIAÇÃO MENSAL - UNIDADE (R$)]]*tabLimpGeral[[#This Row],[QUANT. ITEM]]</f>
        <v>0</v>
      </c>
      <c r="O70" s="195">
        <f>tabLimpGeral[[#This Row],[VALOR DEPRECIAÇÃO MENSAL - TOTAL (R$)]]*12</f>
        <v>0</v>
      </c>
      <c r="P70" s="195">
        <f>IFERROR(IF(tabLimpGeral[[#This Row],[TIPO]]="Equipamento",tabLimpGeral[[#This Row],[VALOR  - DEPRECIAÇÃO ANUAL - TOTAL (R$) ]]/12/tabLimpGeral[[#This Row],[CARGA HORÁRIA INICIAL]],tabLimpGeral[[#This Row],[PREÇO TOTAL -  (R$)]]/12/tabLimpGeral[[#This Row],[CARGA HORÁRIA INICIAL]]),0)</f>
        <v>1.3733024795621917E-2</v>
      </c>
    </row>
    <row r="71" spans="1:16" ht="38.25" x14ac:dyDescent="0.25">
      <c r="A71" s="186">
        <f t="shared" si="4"/>
        <v>68</v>
      </c>
      <c r="B71" s="187">
        <v>193</v>
      </c>
      <c r="C71" s="187" t="s">
        <v>1262</v>
      </c>
      <c r="D71" s="186">
        <f t="shared" si="5"/>
        <v>74005</v>
      </c>
      <c r="E71" s="193" t="s">
        <v>1336</v>
      </c>
      <c r="F71" s="192" t="s">
        <v>958</v>
      </c>
      <c r="G71" s="192" t="s">
        <v>959</v>
      </c>
      <c r="H71" s="192"/>
      <c r="I71" s="192"/>
      <c r="J71" s="312">
        <v>92.06</v>
      </c>
      <c r="K71" s="195">
        <f>tabLimpGeral[[#This Row],[PREÇO UNIDADE -  (R$)]]*tabLimpGeral[[#This Row],[QUANT. ITEM]]</f>
        <v>17767.580000000002</v>
      </c>
      <c r="L71" s="195" cm="1">
        <f t="array" ref="L71">tabLimpGeral[[#This Row],[PREÇO INICIAL -  (R$)]]*IFERROR(PRODUCT(1+_xlfn._xlws.FILTER(tabIndices[PERCENTUAL],tabIndices[DATA DA PUBLICAÇÃO]&gt;tabLimpGeral[[#This Row],[DATA PUBLICAÇÃO]])),1)</f>
        <v>92.06</v>
      </c>
      <c r="M71" s="195">
        <f>IF(tabLimpGeral[[#This Row],[TIPO]]="Equipamento",tabLimpGeral[[#This Row],[PREÇO UNIDADE -  (R$)]]/60,0)</f>
        <v>0</v>
      </c>
      <c r="N71" s="195">
        <f>tabLimpGeral[[#This Row],[VALOR  - DEPRECIAÇÃO MENSAL - UNIDADE (R$)]]*tabLimpGeral[[#This Row],[QUANT. ITEM]]</f>
        <v>0</v>
      </c>
      <c r="O71" s="195">
        <f>tabLimpGeral[[#This Row],[VALOR DEPRECIAÇÃO MENSAL - TOTAL (R$)]]*12</f>
        <v>0</v>
      </c>
      <c r="P71" s="195">
        <f>IFERROR(IF(tabLimpGeral[[#This Row],[TIPO]]="Equipamento",tabLimpGeral[[#This Row],[VALOR  - DEPRECIAÇÃO ANUAL - TOTAL (R$) ]]/12/tabLimpGeral[[#This Row],[CARGA HORÁRIA INICIAL]],tabLimpGeral[[#This Row],[PREÇO TOTAL -  (R$)]]/12/tabLimpGeral[[#This Row],[CARGA HORÁRIA INICIAL]]),0)</f>
        <v>2.000718419926582E-2</v>
      </c>
    </row>
    <row r="72" spans="1:16" ht="25.5" x14ac:dyDescent="0.25">
      <c r="A72" s="186">
        <f t="shared" si="4"/>
        <v>69</v>
      </c>
      <c r="B72" s="187">
        <v>351</v>
      </c>
      <c r="C72" s="187" t="s">
        <v>1262</v>
      </c>
      <c r="D72" s="186">
        <f t="shared" si="5"/>
        <v>74005</v>
      </c>
      <c r="E72" s="193" t="s">
        <v>1337</v>
      </c>
      <c r="F72" s="192" t="s">
        <v>958</v>
      </c>
      <c r="G72" s="192" t="s">
        <v>959</v>
      </c>
      <c r="H72" s="192"/>
      <c r="I72" s="192"/>
      <c r="J72" s="312">
        <v>25.98</v>
      </c>
      <c r="K72" s="195">
        <f>tabLimpGeral[[#This Row],[PREÇO UNIDADE -  (R$)]]*tabLimpGeral[[#This Row],[QUANT. ITEM]]</f>
        <v>9118.98</v>
      </c>
      <c r="L72" s="195" cm="1">
        <f t="array" ref="L72">tabLimpGeral[[#This Row],[PREÇO INICIAL -  (R$)]]*IFERROR(PRODUCT(1+_xlfn._xlws.FILTER(tabIndices[PERCENTUAL],tabIndices[DATA DA PUBLICAÇÃO]&gt;tabLimpGeral[[#This Row],[DATA PUBLICAÇÃO]])),1)</f>
        <v>25.98</v>
      </c>
      <c r="M72" s="195">
        <f>IF(tabLimpGeral[[#This Row],[TIPO]]="Equipamento",tabLimpGeral[[#This Row],[PREÇO UNIDADE -  (R$)]]/60,0)</f>
        <v>0</v>
      </c>
      <c r="N72" s="195">
        <f>tabLimpGeral[[#This Row],[VALOR  - DEPRECIAÇÃO MENSAL - UNIDADE (R$)]]*tabLimpGeral[[#This Row],[QUANT. ITEM]]</f>
        <v>0</v>
      </c>
      <c r="O72" s="195">
        <f>tabLimpGeral[[#This Row],[VALOR DEPRECIAÇÃO MENSAL - TOTAL (R$)]]*12</f>
        <v>0</v>
      </c>
      <c r="P72" s="195">
        <f>IFERROR(IF(tabLimpGeral[[#This Row],[TIPO]]="Equipamento",tabLimpGeral[[#This Row],[VALOR  - DEPRECIAÇÃO ANUAL - TOTAL (R$) ]]/12/tabLimpGeral[[#This Row],[CARGA HORÁRIA INICIAL]],tabLimpGeral[[#This Row],[PREÇO TOTAL -  (R$)]]/12/tabLimpGeral[[#This Row],[CARGA HORÁRIA INICIAL]]),0)</f>
        <v>1.0268427808931828E-2</v>
      </c>
    </row>
    <row r="73" spans="1:16" ht="25.5" x14ac:dyDescent="0.25">
      <c r="A73" s="186">
        <f t="shared" si="4"/>
        <v>70</v>
      </c>
      <c r="B73" s="187">
        <v>526</v>
      </c>
      <c r="C73" s="187" t="s">
        <v>1262</v>
      </c>
      <c r="D73" s="186">
        <f t="shared" si="5"/>
        <v>74005</v>
      </c>
      <c r="E73" s="193" t="s">
        <v>1333</v>
      </c>
      <c r="F73" s="192" t="s">
        <v>958</v>
      </c>
      <c r="G73" s="192" t="s">
        <v>959</v>
      </c>
      <c r="H73" s="192"/>
      <c r="I73" s="192"/>
      <c r="J73" s="312">
        <v>35.4</v>
      </c>
      <c r="K73" s="195">
        <f>tabLimpGeral[[#This Row],[PREÇO UNIDADE -  (R$)]]*tabLimpGeral[[#This Row],[QUANT. ITEM]]</f>
        <v>18620.399999999998</v>
      </c>
      <c r="L73" s="195" cm="1">
        <f t="array" ref="L73">tabLimpGeral[[#This Row],[PREÇO INICIAL -  (R$)]]*IFERROR(PRODUCT(1+_xlfn._xlws.FILTER(tabIndices[PERCENTUAL],tabIndices[DATA DA PUBLICAÇÃO]&gt;tabLimpGeral[[#This Row],[DATA PUBLICAÇÃO]])),1)</f>
        <v>35.4</v>
      </c>
      <c r="M73" s="195">
        <f>IF(tabLimpGeral[[#This Row],[TIPO]]="Equipamento",tabLimpGeral[[#This Row],[PREÇO UNIDADE -  (R$)]]/60,0)</f>
        <v>0</v>
      </c>
      <c r="N73" s="195">
        <f>tabLimpGeral[[#This Row],[VALOR  - DEPRECIAÇÃO MENSAL - UNIDADE (R$)]]*tabLimpGeral[[#This Row],[QUANT. ITEM]]</f>
        <v>0</v>
      </c>
      <c r="O73" s="195">
        <f>tabLimpGeral[[#This Row],[VALOR DEPRECIAÇÃO MENSAL - TOTAL (R$)]]*12</f>
        <v>0</v>
      </c>
      <c r="P73" s="195">
        <f>IFERROR(IF(tabLimpGeral[[#This Row],[TIPO]]="Equipamento",tabLimpGeral[[#This Row],[VALOR  - DEPRECIAÇÃO ANUAL - TOTAL (R$) ]]/12/tabLimpGeral[[#This Row],[CARGA HORÁRIA INICIAL]],tabLimpGeral[[#This Row],[PREÇO TOTAL -  (R$)]]/12/tabLimpGeral[[#This Row],[CARGA HORÁRIA INICIAL]]),0)</f>
        <v>2.0967502195797579E-2</v>
      </c>
    </row>
    <row r="74" spans="1:16" ht="38.25" x14ac:dyDescent="0.25">
      <c r="A74" s="186">
        <f t="shared" si="4"/>
        <v>71</v>
      </c>
      <c r="B74" s="187">
        <v>668</v>
      </c>
      <c r="C74" s="187" t="s">
        <v>1262</v>
      </c>
      <c r="D74" s="186">
        <f t="shared" si="5"/>
        <v>74005</v>
      </c>
      <c r="E74" s="193" t="s">
        <v>1338</v>
      </c>
      <c r="F74" s="192" t="s">
        <v>958</v>
      </c>
      <c r="G74" s="192" t="s">
        <v>959</v>
      </c>
      <c r="H74" s="192"/>
      <c r="I74" s="192"/>
      <c r="J74" s="312">
        <v>59.96</v>
      </c>
      <c r="K74" s="195">
        <f>tabLimpGeral[[#This Row],[PREÇO UNIDADE -  (R$)]]*tabLimpGeral[[#This Row],[QUANT. ITEM]]</f>
        <v>40053.279999999999</v>
      </c>
      <c r="L74" s="195" cm="1">
        <f t="array" ref="L74">tabLimpGeral[[#This Row],[PREÇO INICIAL -  (R$)]]*IFERROR(PRODUCT(1+_xlfn._xlws.FILTER(tabIndices[PERCENTUAL],tabIndices[DATA DA PUBLICAÇÃO]&gt;tabLimpGeral[[#This Row],[DATA PUBLICAÇÃO]])),1)</f>
        <v>59.96</v>
      </c>
      <c r="M74" s="195">
        <f>IF(tabLimpGeral[[#This Row],[TIPO]]="Equipamento",tabLimpGeral[[#This Row],[PREÇO UNIDADE -  (R$)]]/60,0)</f>
        <v>0</v>
      </c>
      <c r="N74" s="195">
        <f>tabLimpGeral[[#This Row],[VALOR  - DEPRECIAÇÃO MENSAL - UNIDADE (R$)]]*tabLimpGeral[[#This Row],[QUANT. ITEM]]</f>
        <v>0</v>
      </c>
      <c r="O74" s="195">
        <f>tabLimpGeral[[#This Row],[VALOR DEPRECIAÇÃO MENSAL - TOTAL (R$)]]*12</f>
        <v>0</v>
      </c>
      <c r="P74" s="195">
        <f>IFERROR(IF(tabLimpGeral[[#This Row],[TIPO]]="Equipamento",tabLimpGeral[[#This Row],[VALOR  - DEPRECIAÇÃO ANUAL - TOTAL (R$) ]]/12/tabLimpGeral[[#This Row],[CARGA HORÁRIA INICIAL]],tabLimpGeral[[#This Row],[PREÇO TOTAL -  (R$)]]/12/tabLimpGeral[[#This Row],[CARGA HORÁRIA INICIAL]]),0)</f>
        <v>4.5101997612773906E-2</v>
      </c>
    </row>
    <row r="75" spans="1:16" ht="25.5" x14ac:dyDescent="0.25">
      <c r="A75" s="186">
        <f t="shared" si="4"/>
        <v>72</v>
      </c>
      <c r="B75" s="187">
        <v>351</v>
      </c>
      <c r="C75" s="187" t="s">
        <v>1262</v>
      </c>
      <c r="D75" s="186">
        <f t="shared" si="5"/>
        <v>74005</v>
      </c>
      <c r="E75" s="193" t="s">
        <v>1339</v>
      </c>
      <c r="F75" s="192" t="s">
        <v>958</v>
      </c>
      <c r="G75" s="192" t="s">
        <v>959</v>
      </c>
      <c r="H75" s="192"/>
      <c r="I75" s="192"/>
      <c r="J75" s="312">
        <v>27.44</v>
      </c>
      <c r="K75" s="195">
        <f>tabLimpGeral[[#This Row],[PREÇO UNIDADE -  (R$)]]*tabLimpGeral[[#This Row],[QUANT. ITEM]]</f>
        <v>9631.44</v>
      </c>
      <c r="L75" s="195" cm="1">
        <f t="array" ref="L75">tabLimpGeral[[#This Row],[PREÇO INICIAL -  (R$)]]*IFERROR(PRODUCT(1+_xlfn._xlws.FILTER(tabIndices[PERCENTUAL],tabIndices[DATA DA PUBLICAÇÃO]&gt;tabLimpGeral[[#This Row],[DATA PUBLICAÇÃO]])),1)</f>
        <v>27.44</v>
      </c>
      <c r="M75" s="195">
        <f>IF(tabLimpGeral[[#This Row],[TIPO]]="Equipamento",tabLimpGeral[[#This Row],[PREÇO UNIDADE -  (R$)]]/60,0)</f>
        <v>0</v>
      </c>
      <c r="N75" s="195">
        <f>tabLimpGeral[[#This Row],[VALOR  - DEPRECIAÇÃO MENSAL - UNIDADE (R$)]]*tabLimpGeral[[#This Row],[QUANT. ITEM]]</f>
        <v>0</v>
      </c>
      <c r="O75" s="195">
        <f>tabLimpGeral[[#This Row],[VALOR DEPRECIAÇÃO MENSAL - TOTAL (R$)]]*12</f>
        <v>0</v>
      </c>
      <c r="P75" s="195">
        <f>IFERROR(IF(tabLimpGeral[[#This Row],[TIPO]]="Equipamento",tabLimpGeral[[#This Row],[VALOR  - DEPRECIAÇÃO ANUAL - TOTAL (R$) ]]/12/tabLimpGeral[[#This Row],[CARGA HORÁRIA INICIAL]],tabLimpGeral[[#This Row],[PREÇO TOTAL -  (R$)]]/12/tabLimpGeral[[#This Row],[CARGA HORÁRIA INICIAL]]),0)</f>
        <v>1.0845483413282887E-2</v>
      </c>
    </row>
    <row r="76" spans="1:16" ht="38.25" x14ac:dyDescent="0.25">
      <c r="A76" s="186">
        <f t="shared" si="4"/>
        <v>73</v>
      </c>
      <c r="B76" s="187">
        <v>193</v>
      </c>
      <c r="C76" s="187" t="s">
        <v>1261</v>
      </c>
      <c r="D76" s="186">
        <f t="shared" si="5"/>
        <v>74005</v>
      </c>
      <c r="E76" s="193" t="s">
        <v>1340</v>
      </c>
      <c r="F76" s="192" t="s">
        <v>958</v>
      </c>
      <c r="G76" s="192" t="s">
        <v>959</v>
      </c>
      <c r="H76" s="192"/>
      <c r="I76" s="192"/>
      <c r="J76" s="312">
        <v>155.15</v>
      </c>
      <c r="K76" s="195">
        <f>tabLimpGeral[[#This Row],[PREÇO UNIDADE -  (R$)]]*tabLimpGeral[[#This Row],[QUANT. ITEM]]</f>
        <v>29943.95</v>
      </c>
      <c r="L76" s="195" cm="1">
        <f t="array" ref="L76">tabLimpGeral[[#This Row],[PREÇO INICIAL -  (R$)]]*IFERROR(PRODUCT(1+_xlfn._xlws.FILTER(tabIndices[PERCENTUAL],tabIndices[DATA DA PUBLICAÇÃO]&gt;tabLimpGeral[[#This Row],[DATA PUBLICAÇÃO]])),1)</f>
        <v>155.15</v>
      </c>
      <c r="M76" s="195">
        <f>IF(tabLimpGeral[[#This Row],[TIPO]]="Equipamento",tabLimpGeral[[#This Row],[PREÇO UNIDADE -  (R$)]]/60,0)</f>
        <v>0</v>
      </c>
      <c r="N76" s="195">
        <f>tabLimpGeral[[#This Row],[VALOR  - DEPRECIAÇÃO MENSAL - UNIDADE (R$)]]*tabLimpGeral[[#This Row],[QUANT. ITEM]]</f>
        <v>0</v>
      </c>
      <c r="O76" s="195">
        <f>tabLimpGeral[[#This Row],[VALOR DEPRECIAÇÃO MENSAL - TOTAL (R$)]]*12</f>
        <v>0</v>
      </c>
      <c r="P76" s="195">
        <f>IFERROR(IF(tabLimpGeral[[#This Row],[TIPO]]="Equipamento",tabLimpGeral[[#This Row],[VALOR  - DEPRECIAÇÃO ANUAL - TOTAL (R$) ]]/12/tabLimpGeral[[#This Row],[CARGA HORÁRIA INICIAL]],tabLimpGeral[[#This Row],[PREÇO TOTAL -  (R$)]]/12/tabLimpGeral[[#This Row],[CARGA HORÁRIA INICIAL]]),0)</f>
        <v>3.3718386145080291E-2</v>
      </c>
    </row>
    <row r="77" spans="1:16" ht="25.5" x14ac:dyDescent="0.25">
      <c r="A77" s="186">
        <f t="shared" si="4"/>
        <v>74</v>
      </c>
      <c r="B77" s="187">
        <v>526</v>
      </c>
      <c r="C77" s="187" t="s">
        <v>1262</v>
      </c>
      <c r="D77" s="186">
        <f t="shared" si="5"/>
        <v>74005</v>
      </c>
      <c r="E77" s="193" t="s">
        <v>1341</v>
      </c>
      <c r="F77" s="192" t="s">
        <v>958</v>
      </c>
      <c r="G77" s="192" t="s">
        <v>959</v>
      </c>
      <c r="H77" s="192"/>
      <c r="I77" s="192"/>
      <c r="J77" s="312">
        <v>24.87</v>
      </c>
      <c r="K77" s="195">
        <f>tabLimpGeral[[#This Row],[PREÇO UNIDADE -  (R$)]]*tabLimpGeral[[#This Row],[QUANT. ITEM]]</f>
        <v>13081.62</v>
      </c>
      <c r="L77" s="195" cm="1">
        <f t="array" ref="L77">tabLimpGeral[[#This Row],[PREÇO INICIAL -  (R$)]]*IFERROR(PRODUCT(1+_xlfn._xlws.FILTER(tabIndices[PERCENTUAL],tabIndices[DATA DA PUBLICAÇÃO]&gt;tabLimpGeral[[#This Row],[DATA PUBLICAÇÃO]])),1)</f>
        <v>24.87</v>
      </c>
      <c r="M77" s="195">
        <f>IF(tabLimpGeral[[#This Row],[TIPO]]="Equipamento",tabLimpGeral[[#This Row],[PREÇO UNIDADE -  (R$)]]/60,0)</f>
        <v>0</v>
      </c>
      <c r="N77" s="195">
        <f>tabLimpGeral[[#This Row],[VALOR  - DEPRECIAÇÃO MENSAL - UNIDADE (R$)]]*tabLimpGeral[[#This Row],[QUANT. ITEM]]</f>
        <v>0</v>
      </c>
      <c r="O77" s="195">
        <f>tabLimpGeral[[#This Row],[VALOR DEPRECIAÇÃO MENSAL - TOTAL (R$)]]*12</f>
        <v>0</v>
      </c>
      <c r="P77" s="195">
        <f>IFERROR(IF(tabLimpGeral[[#This Row],[TIPO]]="Equipamento",tabLimpGeral[[#This Row],[VALOR  - DEPRECIAÇÃO ANUAL - TOTAL (R$) ]]/12/tabLimpGeral[[#This Row],[CARGA HORÁRIA INICIAL]],tabLimpGeral[[#This Row],[PREÇO TOTAL -  (R$)]]/12/tabLimpGeral[[#This Row],[CARGA HORÁRIA INICIAL]]),0)</f>
        <v>1.4730558746030674E-2</v>
      </c>
    </row>
    <row r="78" spans="1:16" ht="25.5" x14ac:dyDescent="0.25">
      <c r="A78" s="186">
        <f t="shared" si="4"/>
        <v>75</v>
      </c>
      <c r="B78" s="187">
        <v>526</v>
      </c>
      <c r="C78" s="187" t="s">
        <v>1262</v>
      </c>
      <c r="D78" s="186">
        <f t="shared" si="5"/>
        <v>74005</v>
      </c>
      <c r="E78" s="193" t="s">
        <v>1342</v>
      </c>
      <c r="F78" s="192" t="s">
        <v>958</v>
      </c>
      <c r="G78" s="192" t="s">
        <v>959</v>
      </c>
      <c r="H78" s="192"/>
      <c r="I78" s="192"/>
      <c r="J78" s="312">
        <v>44.5</v>
      </c>
      <c r="K78" s="195">
        <f>tabLimpGeral[[#This Row],[PREÇO UNIDADE -  (R$)]]*tabLimpGeral[[#This Row],[QUANT. ITEM]]</f>
        <v>23407</v>
      </c>
      <c r="L78" s="195" cm="1">
        <f t="array" ref="L78">tabLimpGeral[[#This Row],[PREÇO INICIAL -  (R$)]]*IFERROR(PRODUCT(1+_xlfn._xlws.FILTER(tabIndices[PERCENTUAL],tabIndices[DATA DA PUBLICAÇÃO]&gt;tabLimpGeral[[#This Row],[DATA PUBLICAÇÃO]])),1)</f>
        <v>44.5</v>
      </c>
      <c r="M78" s="195">
        <f>IF(tabLimpGeral[[#This Row],[TIPO]]="Equipamento",tabLimpGeral[[#This Row],[PREÇO UNIDADE -  (R$)]]/60,0)</f>
        <v>0</v>
      </c>
      <c r="N78" s="195">
        <f>tabLimpGeral[[#This Row],[VALOR  - DEPRECIAÇÃO MENSAL - UNIDADE (R$)]]*tabLimpGeral[[#This Row],[QUANT. ITEM]]</f>
        <v>0</v>
      </c>
      <c r="O78" s="195">
        <f>tabLimpGeral[[#This Row],[VALOR DEPRECIAÇÃO MENSAL - TOTAL (R$)]]*12</f>
        <v>0</v>
      </c>
      <c r="P78" s="195">
        <f>IFERROR(IF(tabLimpGeral[[#This Row],[TIPO]]="Equipamento",tabLimpGeral[[#This Row],[VALOR  - DEPRECIAÇÃO ANUAL - TOTAL (R$) ]]/12/tabLimpGeral[[#This Row],[CARGA HORÁRIA INICIAL]],tabLimpGeral[[#This Row],[PREÇO TOTAL -  (R$)]]/12/tabLimpGeral[[#This Row],[CARGA HORÁRIA INICIAL]]),0)</f>
        <v>2.6357453325225773E-2</v>
      </c>
    </row>
    <row r="79" spans="1:16" ht="25.5" x14ac:dyDescent="0.25">
      <c r="A79" s="186">
        <f t="shared" si="4"/>
        <v>76</v>
      </c>
      <c r="B79" s="187">
        <v>1030</v>
      </c>
      <c r="C79" s="187" t="s">
        <v>1260</v>
      </c>
      <c r="D79" s="186">
        <f t="shared" si="5"/>
        <v>74005</v>
      </c>
      <c r="E79" s="193" t="s">
        <v>1343</v>
      </c>
      <c r="F79" s="192" t="s">
        <v>958</v>
      </c>
      <c r="G79" s="192" t="s">
        <v>959</v>
      </c>
      <c r="H79" s="192"/>
      <c r="I79" s="192"/>
      <c r="J79" s="312">
        <v>8.14</v>
      </c>
      <c r="K79" s="195">
        <f>tabLimpGeral[[#This Row],[PREÇO UNIDADE -  (R$)]]*tabLimpGeral[[#This Row],[QUANT. ITEM]]</f>
        <v>8384.2000000000007</v>
      </c>
      <c r="L79" s="195" cm="1">
        <f t="array" ref="L79">tabLimpGeral[[#This Row],[PREÇO INICIAL -  (R$)]]*IFERROR(PRODUCT(1+_xlfn._xlws.FILTER(tabIndices[PERCENTUAL],tabIndices[DATA DA PUBLICAÇÃO]&gt;tabLimpGeral[[#This Row],[DATA PUBLICAÇÃO]])),1)</f>
        <v>8.14</v>
      </c>
      <c r="M79" s="195">
        <f>IF(tabLimpGeral[[#This Row],[TIPO]]="Equipamento",tabLimpGeral[[#This Row],[PREÇO UNIDADE -  (R$)]]/60,0)</f>
        <v>0</v>
      </c>
      <c r="N79" s="195">
        <f>tabLimpGeral[[#This Row],[VALOR  - DEPRECIAÇÃO MENSAL - UNIDADE (R$)]]*tabLimpGeral[[#This Row],[QUANT. ITEM]]</f>
        <v>0</v>
      </c>
      <c r="O79" s="195">
        <f>tabLimpGeral[[#This Row],[VALOR DEPRECIAÇÃO MENSAL - TOTAL (R$)]]*12</f>
        <v>0</v>
      </c>
      <c r="P79" s="195">
        <f>IFERROR(IF(tabLimpGeral[[#This Row],[TIPO]]="Equipamento",tabLimpGeral[[#This Row],[VALOR  - DEPRECIAÇÃO ANUAL - TOTAL (R$) ]]/12/tabLimpGeral[[#This Row],[CARGA HORÁRIA INICIAL]],tabLimpGeral[[#This Row],[PREÇO TOTAL -  (R$)]]/12/tabLimpGeral[[#This Row],[CARGA HORÁRIA INICIAL]]),0)</f>
        <v>9.4410287593180656E-3</v>
      </c>
    </row>
    <row r="80" spans="1:16" ht="63.75" x14ac:dyDescent="0.25">
      <c r="A80" s="186">
        <f t="shared" si="4"/>
        <v>77</v>
      </c>
      <c r="B80" s="187">
        <v>31144</v>
      </c>
      <c r="C80" s="187" t="s">
        <v>977</v>
      </c>
      <c r="D80" s="186">
        <f t="shared" si="5"/>
        <v>74005</v>
      </c>
      <c r="E80" s="193" t="s">
        <v>1344</v>
      </c>
      <c r="F80" s="192" t="s">
        <v>958</v>
      </c>
      <c r="G80" s="192" t="s">
        <v>959</v>
      </c>
      <c r="H80" s="192"/>
      <c r="I80" s="192"/>
      <c r="J80" s="312">
        <v>23.88</v>
      </c>
      <c r="K80" s="195">
        <f>tabLimpGeral[[#This Row],[PREÇO UNIDADE -  (R$)]]*tabLimpGeral[[#This Row],[QUANT. ITEM]]</f>
        <v>743718.72</v>
      </c>
      <c r="L80" s="195" cm="1">
        <f t="array" ref="L80">tabLimpGeral[[#This Row],[PREÇO INICIAL -  (R$)]]*IFERROR(PRODUCT(1+_xlfn._xlws.FILTER(tabIndices[PERCENTUAL],tabIndices[DATA DA PUBLICAÇÃO]&gt;tabLimpGeral[[#This Row],[DATA PUBLICAÇÃO]])),1)</f>
        <v>23.88</v>
      </c>
      <c r="M80" s="195">
        <f>IF(tabLimpGeral[[#This Row],[TIPO]]="Equipamento",tabLimpGeral[[#This Row],[PREÇO UNIDADE -  (R$)]]/60,0)</f>
        <v>0</v>
      </c>
      <c r="N80" s="195">
        <f>tabLimpGeral[[#This Row],[VALOR  - DEPRECIAÇÃO MENSAL - UNIDADE (R$)]]*tabLimpGeral[[#This Row],[QUANT. ITEM]]</f>
        <v>0</v>
      </c>
      <c r="O80" s="195">
        <f>tabLimpGeral[[#This Row],[VALOR DEPRECIAÇÃO MENSAL - TOTAL (R$)]]*12</f>
        <v>0</v>
      </c>
      <c r="P80" s="195">
        <f>IFERROR(IF(tabLimpGeral[[#This Row],[TIPO]]="Equipamento",tabLimpGeral[[#This Row],[VALOR  - DEPRECIAÇÃO ANUAL - TOTAL (R$) ]]/12/tabLimpGeral[[#This Row],[CARGA HORÁRIA INICIAL]],tabLimpGeral[[#This Row],[PREÇO TOTAL -  (R$)]]/12/tabLimpGeral[[#This Row],[CARGA HORÁRIA INICIAL]]),0)</f>
        <v>0.83746449564218628</v>
      </c>
    </row>
    <row r="81" spans="1:16" x14ac:dyDescent="0.25">
      <c r="A81" s="188" t="s">
        <v>925</v>
      </c>
      <c r="B81" s="188"/>
      <c r="C81" s="188"/>
      <c r="D81" s="188"/>
      <c r="E81" s="189"/>
      <c r="F81" s="189"/>
      <c r="G81" s="189"/>
      <c r="H81" s="189"/>
      <c r="I81" s="189"/>
      <c r="J81" s="190">
        <f>SUBTOTAL(9,tabLimpGeral[PREÇO INICIAL -  (R$)])</f>
        <v>19154.089999999993</v>
      </c>
      <c r="K81" s="190">
        <f>SUBTOTAL(9,tabLimpGeral[PREÇO TOTAL -  (R$)])</f>
        <v>4232157.7699999996</v>
      </c>
      <c r="L81" s="190">
        <f>SUBTOTAL(9,tabLimpGeral[PREÇO UNIDADE -  (R$)])</f>
        <v>19154.089999999993</v>
      </c>
      <c r="M81" s="190">
        <f>SUBTOTAL(9,tabLimpGeral[VALOR  - DEPRECIAÇÃO MENSAL - UNIDADE (R$)])</f>
        <v>266.77233333333334</v>
      </c>
      <c r="N81" s="190">
        <f>SUBTOTAL(9,tabLimpGeral[VALOR DEPRECIAÇÃO MENSAL - TOTAL (R$)])</f>
        <v>21706.808166666666</v>
      </c>
      <c r="O81" s="190">
        <f>SUBTOTAL(9,tabLimpGeral[VALOR  - DEPRECIAÇÃO ANUAL - TOTAL (R$) ])</f>
        <v>260481.69800000003</v>
      </c>
      <c r="P81" s="190">
        <f>SUBTOTAL(9,tabLimpGeral[VALOR UNITÁRIO P/ HORA (R$)])</f>
        <v>3.5923597256942092</v>
      </c>
    </row>
    <row r="84" spans="1:16" x14ac:dyDescent="0.25">
      <c r="K84" s="243"/>
    </row>
    <row r="85" spans="1:16" x14ac:dyDescent="0.25">
      <c r="P85" s="243"/>
    </row>
    <row r="86" spans="1:16" x14ac:dyDescent="0.25">
      <c r="K86" s="243"/>
    </row>
  </sheetData>
  <mergeCells count="1">
    <mergeCell ref="A1:F2"/>
  </mergeCells>
  <pageMargins left="0.511811024" right="0.511811024" top="0.78740157499999996" bottom="0.78740157499999996" header="0.31496062000000002" footer="0.31496062000000002"/>
  <tableParts count="1">
    <tablePart r:id="rId1"/>
  </tablePart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D393596-DFCD-4BDF-98C2-D10560AA6D82}">
  <sheetPr codeName="Planilha5"/>
  <dimension ref="A1:P5"/>
  <sheetViews>
    <sheetView topLeftCell="B1" workbookViewId="0">
      <selection activeCell="J4" sqref="J4"/>
    </sheetView>
  </sheetViews>
  <sheetFormatPr defaultRowHeight="15" x14ac:dyDescent="0.25"/>
  <cols>
    <col min="1" max="2" width="9.7109375" customWidth="1"/>
    <col min="3" max="3" width="11.7109375" customWidth="1"/>
    <col min="4" max="4" width="9.7109375" customWidth="1"/>
    <col min="5" max="5" width="54.5703125" customWidth="1"/>
    <col min="6" max="6" width="13.42578125" customWidth="1"/>
    <col min="7" max="7" width="13.7109375" customWidth="1"/>
    <col min="8" max="8" width="10.7109375" customWidth="1"/>
    <col min="9" max="9" width="13.42578125" customWidth="1"/>
    <col min="10" max="16" width="13.7109375" customWidth="1"/>
  </cols>
  <sheetData>
    <row r="1" spans="1:16" ht="30.75" customHeight="1" x14ac:dyDescent="0.25">
      <c r="A1" s="323" t="s">
        <v>975</v>
      </c>
      <c r="B1" s="324"/>
      <c r="C1" s="324"/>
      <c r="D1" s="324"/>
      <c r="E1" s="324"/>
      <c r="F1" s="325"/>
    </row>
    <row r="3" spans="1:16" ht="51" x14ac:dyDescent="0.25">
      <c r="A3" s="185" t="s">
        <v>942</v>
      </c>
      <c r="B3" s="185" t="s">
        <v>943</v>
      </c>
      <c r="C3" s="185" t="s">
        <v>977</v>
      </c>
      <c r="D3" s="185" t="s">
        <v>976</v>
      </c>
      <c r="E3" s="185" t="s">
        <v>945</v>
      </c>
      <c r="F3" s="185" t="s">
        <v>257</v>
      </c>
      <c r="G3" s="196" t="s">
        <v>946</v>
      </c>
      <c r="H3" s="185" t="s">
        <v>947</v>
      </c>
      <c r="I3" s="185" t="s">
        <v>921</v>
      </c>
      <c r="J3" s="185" t="s">
        <v>948</v>
      </c>
      <c r="K3" s="185" t="s">
        <v>949</v>
      </c>
      <c r="L3" s="185" t="s">
        <v>950</v>
      </c>
      <c r="M3" s="185" t="s">
        <v>951</v>
      </c>
      <c r="N3" s="185" t="s">
        <v>952</v>
      </c>
      <c r="O3" s="185" t="s">
        <v>953</v>
      </c>
      <c r="P3" s="185" t="s">
        <v>978</v>
      </c>
    </row>
    <row r="4" spans="1:16" ht="51" x14ac:dyDescent="0.25">
      <c r="A4" s="186">
        <f>ROW()-3</f>
        <v>1</v>
      </c>
      <c r="B4" s="186">
        <v>4</v>
      </c>
      <c r="C4" s="192" t="s">
        <v>977</v>
      </c>
      <c r="D4" s="186">
        <v>4</v>
      </c>
      <c r="E4" s="193" t="s">
        <v>1307</v>
      </c>
      <c r="F4" s="192" t="s">
        <v>955</v>
      </c>
      <c r="G4" s="192" t="s">
        <v>1249</v>
      </c>
      <c r="H4" s="192"/>
      <c r="I4" s="197"/>
      <c r="J4" s="311">
        <v>373.3</v>
      </c>
      <c r="K4" s="184">
        <f>tabVidros[[#This Row],[PREÇO UNIDADE -  (R$)]]*tabVidros[[#This Row],[QUANT. ITEM]]</f>
        <v>1493.2</v>
      </c>
      <c r="L4" s="184" cm="1">
        <f t="array" ref="L4">tabVidros[[#This Row],[PREÇO INICIAL -  (R$)]]*IFERROR(PRODUCT(1+_xlfn._xlws.FILTER(tabIndices[PERCENTUAL],tabIndices[DATA DA PUBLICAÇÃO]&gt;tabVidros[[#This Row],[DATA PUBLICAÇÃO]])),1)</f>
        <v>373.3</v>
      </c>
      <c r="M4" s="184">
        <f>IF(tabVidros[[#This Row],[TIPO]]="Equipamento",tabVidros[[#This Row],[PREÇO UNIDADE -  (R$)]]/60,0)</f>
        <v>6.2216666666666667</v>
      </c>
      <c r="N4" s="184">
        <f>tabVidros[[#This Row],[VALOR  - DEPRECIAÇÃO MENSAL - UNIDADE (R$)]]*tabVidros[[#This Row],[QUANT. ITEM]]</f>
        <v>24.886666666666667</v>
      </c>
      <c r="O4" s="184">
        <f>tabVidros[[#This Row],[VALOR DEPRECIAÇÃO MENSAL - TOTAL (R$)]]*12</f>
        <v>298.64</v>
      </c>
      <c r="P4" s="184">
        <f>IFERROR(IF(tabVidros[[#This Row],[TIPO]]="Equipamento",tabVidros[[#This Row],[VALOR  - DEPRECIAÇÃO ANUAL - TOTAL (R$) ]]/12/tabVidros[[#This Row],[QUANT. POSTOS]],tabVidros[[#This Row],[PREÇO TOTAL -  (R$)]]/12/tabVidros[[#This Row],[QUANT. POSTOS]]),0)</f>
        <v>6.2216666666666667</v>
      </c>
    </row>
    <row r="5" spans="1:16" x14ac:dyDescent="0.25">
      <c r="A5" s="188" t="s">
        <v>925</v>
      </c>
      <c r="B5" s="188"/>
      <c r="C5" s="189"/>
      <c r="D5" s="188"/>
      <c r="E5" s="189"/>
      <c r="F5" s="189"/>
      <c r="G5" s="189"/>
      <c r="H5" s="189"/>
      <c r="I5" s="189"/>
      <c r="J5" s="190">
        <f>SUBTOTAL(9,tabVidros[PREÇO INICIAL -  (R$)])</f>
        <v>373.3</v>
      </c>
      <c r="K5" s="190">
        <f>SUBTOTAL(9,tabVidros[PREÇO TOTAL -  (R$)])</f>
        <v>1493.2</v>
      </c>
      <c r="L5" s="190">
        <f>SUBTOTAL(9,tabVidros[PREÇO UNIDADE -  (R$)])</f>
        <v>373.3</v>
      </c>
      <c r="M5" s="190">
        <f>SUBTOTAL(9,tabVidros[VALOR  - DEPRECIAÇÃO MENSAL - UNIDADE (R$)])</f>
        <v>6.2216666666666667</v>
      </c>
      <c r="N5" s="190">
        <f>SUBTOTAL(9,tabVidros[VALOR DEPRECIAÇÃO MENSAL - TOTAL (R$)])</f>
        <v>24.886666666666667</v>
      </c>
      <c r="O5" s="190">
        <f>SUBTOTAL(9,tabVidros[VALOR  - DEPRECIAÇÃO ANUAL - TOTAL (R$) ])</f>
        <v>298.64</v>
      </c>
      <c r="P5" s="190">
        <f>SUBTOTAL(9,tabVidros[VALOR UNITÁRIO P/ POSTO (R$)])</f>
        <v>6.2216666666666667</v>
      </c>
    </row>
  </sheetData>
  <mergeCells count="1">
    <mergeCell ref="A1:F1"/>
  </mergeCells>
  <pageMargins left="0.511811024" right="0.511811024" top="0.78740157499999996" bottom="0.78740157499999996" header="0.31496062000000002" footer="0.31496062000000002"/>
  <tableParts count="1">
    <tablePart r:id="rId1"/>
  </tableParts>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DB6D3B9-D4F5-4999-9ED6-A17E5679E67C}">
  <sheetPr codeName="Planilha6"/>
  <dimension ref="A1:N36"/>
  <sheetViews>
    <sheetView showGridLines="0" zoomScale="85" zoomScaleNormal="85" workbookViewId="0">
      <pane ySplit="1" topLeftCell="A19" activePane="bottomLeft" state="frozen"/>
      <selection activeCell="E1" sqref="E1"/>
      <selection pane="bottomLeft" activeCell="B11" sqref="B11"/>
    </sheetView>
  </sheetViews>
  <sheetFormatPr defaultRowHeight="15" x14ac:dyDescent="0.25"/>
  <cols>
    <col min="1" max="1" width="45.140625" bestFit="1" customWidth="1"/>
    <col min="2" max="2" width="171.28515625" customWidth="1"/>
    <col min="3" max="3" width="56.7109375" customWidth="1"/>
    <col min="4" max="4" width="58.28515625" customWidth="1"/>
    <col min="5" max="5" width="60" customWidth="1"/>
    <col min="6" max="6" width="11.85546875" customWidth="1"/>
    <col min="7" max="7" width="13" customWidth="1"/>
    <col min="8" max="8" width="11.85546875" customWidth="1"/>
    <col min="9" max="9" width="11.28515625" customWidth="1"/>
    <col min="10" max="10" width="17.7109375" customWidth="1"/>
    <col min="11" max="11" width="9.140625" customWidth="1"/>
    <col min="12" max="12" width="16.5703125" customWidth="1"/>
    <col min="13" max="13" width="20.140625" customWidth="1"/>
    <col min="14" max="14" width="16" bestFit="1" customWidth="1"/>
  </cols>
  <sheetData>
    <row r="1" spans="1:14" s="19" customFormat="1" ht="30" x14ac:dyDescent="0.25">
      <c r="A1" s="19" t="s">
        <v>979</v>
      </c>
      <c r="B1" s="19" t="s">
        <v>980</v>
      </c>
      <c r="C1" s="19" t="s">
        <v>981</v>
      </c>
      <c r="D1" s="19" t="s">
        <v>982</v>
      </c>
      <c r="E1" s="19" t="s">
        <v>983</v>
      </c>
      <c r="F1" s="19" t="s">
        <v>984</v>
      </c>
      <c r="G1" s="19" t="s">
        <v>985</v>
      </c>
      <c r="H1" s="19" t="s">
        <v>986</v>
      </c>
      <c r="I1" s="19" t="s">
        <v>987</v>
      </c>
      <c r="J1" s="19" t="s">
        <v>988</v>
      </c>
      <c r="K1" s="19" t="s">
        <v>989</v>
      </c>
      <c r="L1" s="19" t="s">
        <v>990</v>
      </c>
      <c r="M1" s="19" t="s">
        <v>991</v>
      </c>
      <c r="N1" s="19" t="s">
        <v>1203</v>
      </c>
    </row>
    <row r="2" spans="1:14" ht="90" x14ac:dyDescent="0.25">
      <c r="A2" s="157" t="s">
        <v>992</v>
      </c>
      <c r="B2" s="158" t="s">
        <v>993</v>
      </c>
      <c r="C2" s="158"/>
      <c r="D2" s="159" t="s">
        <v>1277</v>
      </c>
      <c r="E2" s="158" t="str" cm="1">
        <f t="array" ref="E2">_xlfn.LET(_xlpm.listaComarcas, _xlfn.UNIQUE(_xlfn._xlws.FILTER(tabParametros[Comarca],tabParametros[CCT DA CATEGORIA]=tabSindicatos[[#This Row],[SINDICATOS]],"")),
IF(COUNTA(_xlpm.listaComarcas)=1,
_xlpm.listaComarcas&amp;".",
SUBSTITUTE(_xlfn.TEXTJOIN(", ",TRUE,_xlpm.listaComarcas),", "," e ",COUNTA(_xlpm.listaComarcas)-1)&amp;"."
)
)</f>
        <v>Araguari, Campos Altos, Canapolis, Carmo do Paranaiba, Conquista, Coromandel, Ibia, Itapagipe, Ituiutaba, Iturama, Monte Carmelo, Nova Ponte, Perdizes, Presidente Olegario, Rio Paranaiba, Santa Vitoria, Sao Gotardo e Tupaciguara.</v>
      </c>
      <c r="F2" s="214">
        <v>0</v>
      </c>
      <c r="G2" s="214">
        <v>387.79</v>
      </c>
      <c r="H2" s="214">
        <v>42.97</v>
      </c>
      <c r="I2" s="214">
        <v>0</v>
      </c>
      <c r="J2" s="214">
        <v>0</v>
      </c>
      <c r="K2" s="215">
        <v>45658</v>
      </c>
      <c r="L2" s="211" t="s">
        <v>1196</v>
      </c>
      <c r="M2" s="211" t="s">
        <v>1196</v>
      </c>
      <c r="N2" s="157" t="s">
        <v>1208</v>
      </c>
    </row>
    <row r="3" spans="1:14" ht="60" x14ac:dyDescent="0.25">
      <c r="A3" s="157" t="s">
        <v>24</v>
      </c>
      <c r="B3" s="158" t="s">
        <v>994</v>
      </c>
      <c r="C3" s="158"/>
      <c r="D3" s="159" t="s">
        <v>1277</v>
      </c>
      <c r="E3" s="158" t="str" cm="1">
        <f t="array" ref="E3">_xlfn.LET(_xlpm.listaComarcas, _xlfn.UNIQUE(_xlfn._xlws.FILTER(tabParametros[Comarca],tabParametros[CCT DA CATEGORIA]=tabSindicatos[[#This Row],[SINDICATOS]],"")),
IF(COUNTA(_xlpm.listaComarcas)=1,
_xlpm.listaComarcas&amp;".",
SUBSTITUTE(_xlfn.TEXTJOIN(", ",TRUE,_xlpm.listaComarcas),", "," e ",COUNTA(_xlpm.listaComarcas)-1)&amp;"."
)
)</f>
        <v>Araxa.</v>
      </c>
      <c r="F3" s="214">
        <v>29.15</v>
      </c>
      <c r="G3" s="214">
        <v>0</v>
      </c>
      <c r="H3" s="214">
        <v>58.96</v>
      </c>
      <c r="I3" s="214">
        <v>0</v>
      </c>
      <c r="J3" s="214">
        <v>0</v>
      </c>
      <c r="K3" s="215">
        <v>45658</v>
      </c>
      <c r="L3" s="211" t="s">
        <v>1196</v>
      </c>
      <c r="M3" s="211" t="s">
        <v>1196</v>
      </c>
      <c r="N3" s="157" t="s">
        <v>1209</v>
      </c>
    </row>
    <row r="4" spans="1:14" ht="60" x14ac:dyDescent="0.25">
      <c r="A4" s="157" t="s">
        <v>66</v>
      </c>
      <c r="B4" s="158" t="s">
        <v>995</v>
      </c>
      <c r="C4" s="158"/>
      <c r="D4" s="159" t="s">
        <v>1277</v>
      </c>
      <c r="E4" s="158" t="str" cm="1">
        <f t="array" ref="E4">_xlfn.LET(_xlpm.listaComarcas, _xlfn.UNIQUE(_xlfn._xlws.FILTER(tabParametros[Comarca],tabParametros[CCT DA CATEGORIA]=tabSindicatos[[#This Row],[SINDICATOS]],"")),
IF(COUNTA(_xlpm.listaComarcas)=1,
_xlpm.listaComarcas&amp;".",
SUBSTITUTE(_xlfn.TEXTJOIN(", ",TRUE,_xlpm.listaComarcas),", "," e ",COUNTA(_xlpm.listaComarcas)-1)&amp;"."
)
)</f>
        <v>Alem Paraiba, Cataguases, Muriae, Uba e Visconde do Rio Branco.</v>
      </c>
      <c r="F4" s="214">
        <v>29.15</v>
      </c>
      <c r="G4" s="214">
        <v>0</v>
      </c>
      <c r="H4" s="214">
        <v>57.07</v>
      </c>
      <c r="I4" s="214">
        <v>0</v>
      </c>
      <c r="J4" s="214">
        <v>0</v>
      </c>
      <c r="K4" s="215">
        <v>45658</v>
      </c>
      <c r="L4" s="211" t="s">
        <v>1196</v>
      </c>
      <c r="M4" s="211" t="s">
        <v>1196</v>
      </c>
      <c r="N4" s="157" t="s">
        <v>1210</v>
      </c>
    </row>
    <row r="5" spans="1:14" ht="60" x14ac:dyDescent="0.25">
      <c r="A5" s="157" t="s">
        <v>67</v>
      </c>
      <c r="B5" s="158" t="s">
        <v>996</v>
      </c>
      <c r="C5" s="158"/>
      <c r="D5" s="159" t="s">
        <v>1277</v>
      </c>
      <c r="E5" s="158" t="str" cm="1">
        <f t="array" ref="E5">_xlfn.LET(_xlpm.listaComarcas, _xlfn.UNIQUE(_xlfn._xlws.FILTER(tabParametros[Comarca],tabParametros[CCT DA CATEGORIA]=tabSindicatos[[#This Row],[SINDICATOS]],"")),
IF(COUNTA(_xlpm.listaComarcas)=1,
_xlpm.listaComarcas&amp;".",
SUBSTITUTE(_xlfn.TEXTJOIN(", ",TRUE,_xlpm.listaComarcas),", "," e ",COUNTA(_xlpm.listaComarcas)-1)&amp;"."
)
)</f>
        <v>Caxambu.</v>
      </c>
      <c r="F5" s="214">
        <v>29.15</v>
      </c>
      <c r="G5" s="214">
        <v>0</v>
      </c>
      <c r="H5" s="214">
        <v>0</v>
      </c>
      <c r="I5" s="214">
        <v>15.07</v>
      </c>
      <c r="J5" s="214">
        <v>0</v>
      </c>
      <c r="K5" s="215">
        <v>45658</v>
      </c>
      <c r="L5" s="211" t="s">
        <v>1196</v>
      </c>
      <c r="M5" s="211" t="s">
        <v>1196</v>
      </c>
      <c r="N5" s="157" t="s">
        <v>1211</v>
      </c>
    </row>
    <row r="6" spans="1:14" ht="60" x14ac:dyDescent="0.25">
      <c r="A6" s="157" t="s">
        <v>81</v>
      </c>
      <c r="B6" s="158" t="s">
        <v>997</v>
      </c>
      <c r="C6" s="158" t="s">
        <v>998</v>
      </c>
      <c r="D6" s="159" t="s">
        <v>1277</v>
      </c>
      <c r="E6" s="158" t="str" cm="1">
        <f t="array" ref="E6">_xlfn.LET(_xlpm.listaComarcas, _xlfn.UNIQUE(_xlfn._xlws.FILTER(tabParametros[Comarca],tabParametros[CCT DA CATEGORIA]=tabSindicatos[[#This Row],[SINDICATOS]],"")),
IF(COUNTA(_xlpm.listaComarcas)=1,
_xlpm.listaComarcas&amp;".",
SUBSTITUTE(_xlfn.TEXTJOIN(", ",TRUE,_xlpm.listaComarcas),", "," e ",COUNTA(_xlpm.listaComarcas)-1)&amp;"."
)
)</f>
        <v>Abaete, Conceicao do Mato Dentro, Corinto, Curvelo, Diamantina, Pompeu e Serro.</v>
      </c>
      <c r="F6" s="214">
        <v>29.15</v>
      </c>
      <c r="G6" s="214">
        <v>0</v>
      </c>
      <c r="H6" s="214">
        <v>51.74</v>
      </c>
      <c r="I6" s="214">
        <v>0</v>
      </c>
      <c r="J6" s="214">
        <v>0</v>
      </c>
      <c r="K6" s="215">
        <v>45658</v>
      </c>
      <c r="L6" s="211" t="s">
        <v>1196</v>
      </c>
      <c r="M6" s="211" t="s">
        <v>1196</v>
      </c>
      <c r="N6" s="157" t="s">
        <v>1212</v>
      </c>
    </row>
    <row r="7" spans="1:14" ht="60" x14ac:dyDescent="0.25">
      <c r="A7" s="157" t="s">
        <v>84</v>
      </c>
      <c r="B7" s="158" t="s">
        <v>999</v>
      </c>
      <c r="C7" s="158"/>
      <c r="D7" s="159" t="s">
        <v>1277</v>
      </c>
      <c r="E7" s="158" t="str" cm="1">
        <f t="array" ref="E7">_xlfn.LET(_xlpm.listaComarcas, _xlfn.UNIQUE(_xlfn._xlws.FILTER(tabParametros[Comarca],tabParametros[CCT DA CATEGORIA]=tabSindicatos[[#This Row],[SINDICATOS]],"")),
IF(COUNTA(_xlpm.listaComarcas)=1,
_xlpm.listaComarcas&amp;".",
SUBSTITUTE(_xlfn.TEXTJOIN(", ",TRUE,_xlpm.listaComarcas),", "," e ",COUNTA(_xlpm.listaComarcas)-1)&amp;"."
)
)</f>
        <v>Divinopolis.</v>
      </c>
      <c r="F7" s="214">
        <v>29.15</v>
      </c>
      <c r="G7" s="214">
        <v>0</v>
      </c>
      <c r="H7" s="214">
        <v>51.88</v>
      </c>
      <c r="I7" s="214">
        <v>0</v>
      </c>
      <c r="J7" s="214">
        <v>0</v>
      </c>
      <c r="K7" s="215">
        <v>45658</v>
      </c>
      <c r="L7" s="211" t="s">
        <v>1196</v>
      </c>
      <c r="M7" s="211" t="s">
        <v>1196</v>
      </c>
      <c r="N7" s="157" t="s">
        <v>1213</v>
      </c>
    </row>
    <row r="8" spans="1:14" ht="409.5" x14ac:dyDescent="0.25">
      <c r="A8" s="157" t="s">
        <v>1000</v>
      </c>
      <c r="B8" s="158" t="s">
        <v>1001</v>
      </c>
      <c r="C8" s="158"/>
      <c r="D8" s="159" t="s">
        <v>1277</v>
      </c>
      <c r="E8" s="158" t="str" cm="1">
        <f t="array" ref="E8">_xlfn.LET(_xlpm.listaComarcas, _xlfn.UNIQUE(_xlfn._xlws.FILTER(tabParametros[Comarca],tabParametros[CCT DA CATEGORIA]=tabSindicatos[[#This Row],[SINDICATOS]],"")),
IF(COUNTA(_xlpm.listaComarcas)=1,
_xlpm.listaComarcas&amp;".",
SUBSTITUTE(_xlfn.TEXTJOIN(", ",TRUE,_xlpm.listaComarcas),", "," e ",COUNTA(_xlpm.listaComarcas)-1)&amp;"."
)
)</f>
        <v>Abre Campo, Aimores, Aracuai, Arinos, Bom Despacho, Bonfinopolis de Minas, Brazopolis, Bueno Brandao, Buritis, Cachoeira de Minas, Camanducaia, Cambui, Carandai, Carmopolis de Minas, Cassia, Claudio, Conselheiro Pena, Guaxupe, Ibiraci, Ipanema, Itabirito, Itaguara, Itamarandiba, Itauna, Jaboticatubas, Jacinto, Joao Pinheiro, Mantena, Minas Novas, Mutum, Muzambinho, Para de Minas, Paracatu, Pecanha, Resplendor, Rio Vermelho, Sabinopolis, Santa Maria do Suacui, Turmalina e Unai.</v>
      </c>
      <c r="F8" s="214">
        <v>29.15</v>
      </c>
      <c r="G8" s="214">
        <v>0</v>
      </c>
      <c r="H8" s="214">
        <v>0</v>
      </c>
      <c r="I8" s="214">
        <v>15.07</v>
      </c>
      <c r="J8" s="214">
        <v>0</v>
      </c>
      <c r="K8" s="215">
        <v>45658</v>
      </c>
      <c r="L8" s="211" t="s">
        <v>1196</v>
      </c>
      <c r="M8" s="211" t="s">
        <v>1196</v>
      </c>
      <c r="N8" s="157" t="s">
        <v>1214</v>
      </c>
    </row>
    <row r="9" spans="1:14" ht="60" x14ac:dyDescent="0.25">
      <c r="A9" s="157" t="s">
        <v>1002</v>
      </c>
      <c r="B9" s="158" t="s">
        <v>1003</v>
      </c>
      <c r="C9" s="158"/>
      <c r="D9" s="159" t="s">
        <v>1277</v>
      </c>
      <c r="E9" s="158" t="str" cm="1">
        <f t="array" ref="E9">_xlfn.LET(_xlpm.listaComarcas, _xlfn.UNIQUE(_xlfn._xlws.FILTER(tabParametros[Comarca],tabParametros[CCT DA CATEGORIA]=tabSindicatos[[#This Row],[SINDICATOS]],"")),
IF(COUNTA(_xlpm.listaComarcas)=1,
_xlpm.listaComarcas&amp;".",
SUBSTITUTE(_xlfn.TEXTJOIN(", ",TRUE,_xlpm.listaComarcas),", "," e ",COUNTA(_xlpm.listaComarcas)-1)&amp;"."
)
)</f>
        <v>Caete, Esmeraldas, Igarape e Pedro Leopoldo.</v>
      </c>
      <c r="F9" s="214">
        <v>29.15</v>
      </c>
      <c r="G9" s="214">
        <v>0</v>
      </c>
      <c r="H9" s="214">
        <v>0</v>
      </c>
      <c r="I9" s="214">
        <v>15.07</v>
      </c>
      <c r="J9" s="214">
        <v>0</v>
      </c>
      <c r="K9" s="215">
        <v>45658</v>
      </c>
      <c r="L9" s="211" t="s">
        <v>1196</v>
      </c>
      <c r="M9" s="211" t="s">
        <v>1196</v>
      </c>
      <c r="N9" s="157" t="s">
        <v>1215</v>
      </c>
    </row>
    <row r="10" spans="1:14" ht="60" x14ac:dyDescent="0.25">
      <c r="A10" s="157" t="s">
        <v>1004</v>
      </c>
      <c r="B10" s="158" t="s">
        <v>1005</v>
      </c>
      <c r="C10" s="158"/>
      <c r="D10" s="159" t="s">
        <v>1277</v>
      </c>
      <c r="E10" s="158" t="str" cm="1">
        <f t="array" ref="E10">_xlfn.LET(_xlpm.listaComarcas, _xlfn.UNIQUE(_xlfn._xlws.FILTER(tabParametros[Comarca],tabParametros[CCT DA CATEGORIA]=tabSindicatos[[#This Row],[SINDICATOS]],"")),
IF(COUNTA(_xlpm.listaComarcas)=1,
_xlpm.listaComarcas&amp;".",
SUBSTITUTE(_xlfn.TEXTJOIN(", ",TRUE,_xlpm.listaComarcas),", "," e ",COUNTA(_xlpm.listaComarcas)-1)&amp;"."
)
)</f>
        <v>Governador Valadares.</v>
      </c>
      <c r="F10" s="214">
        <v>29.15</v>
      </c>
      <c r="G10" s="214">
        <v>0</v>
      </c>
      <c r="H10" s="214">
        <v>51.88</v>
      </c>
      <c r="I10" s="214">
        <v>0</v>
      </c>
      <c r="J10" s="214">
        <v>0</v>
      </c>
      <c r="K10" s="215">
        <v>45658</v>
      </c>
      <c r="L10" s="211" t="s">
        <v>1196</v>
      </c>
      <c r="M10" s="211" t="s">
        <v>1196</v>
      </c>
      <c r="N10" s="157" t="s">
        <v>1346</v>
      </c>
    </row>
    <row r="11" spans="1:14" ht="60" x14ac:dyDescent="0.25">
      <c r="A11" s="157" t="s">
        <v>106</v>
      </c>
      <c r="B11" s="158" t="s">
        <v>1006</v>
      </c>
      <c r="C11" s="158"/>
      <c r="D11" s="159" t="s">
        <v>1277</v>
      </c>
      <c r="E11" s="158" t="str" cm="1">
        <f t="array" ref="E11">_xlfn.LET(_xlpm.listaComarcas, _xlfn.UNIQUE(_xlfn._xlws.FILTER(tabParametros[Comarca],tabParametros[CCT DA CATEGORIA]=tabSindicatos[[#This Row],[SINDICATOS]],"")),
IF(COUNTA(_xlpm.listaComarcas)=1,
_xlpm.listaComarcas&amp;".",
SUBSTITUTE(_xlfn.TEXTJOIN(", ",TRUE,_xlpm.listaComarcas),", "," e ",COUNTA(_xlpm.listaComarcas)-1)&amp;"."
)
)</f>
        <v>Itabira.</v>
      </c>
      <c r="F11" s="214">
        <v>29.15</v>
      </c>
      <c r="G11" s="214">
        <v>0</v>
      </c>
      <c r="H11" s="214">
        <v>51.88</v>
      </c>
      <c r="I11" s="214">
        <v>0</v>
      </c>
      <c r="J11" s="214">
        <v>0</v>
      </c>
      <c r="K11" s="215">
        <v>45658</v>
      </c>
      <c r="L11" s="211" t="s">
        <v>1196</v>
      </c>
      <c r="M11" s="211" t="s">
        <v>1196</v>
      </c>
      <c r="N11" s="157" t="s">
        <v>1216</v>
      </c>
    </row>
    <row r="12" spans="1:14" ht="60" x14ac:dyDescent="0.25">
      <c r="A12" s="157" t="s">
        <v>123</v>
      </c>
      <c r="B12" s="158" t="s">
        <v>1007</v>
      </c>
      <c r="C12" s="158"/>
      <c r="D12" s="159" t="s">
        <v>1277</v>
      </c>
      <c r="E12" s="158" t="str" cm="1">
        <f t="array" ref="E12">_xlfn.LET(_xlpm.listaComarcas, _xlfn.UNIQUE(_xlfn._xlws.FILTER(tabParametros[Comarca],tabParametros[CCT DA CATEGORIA]=tabSindicatos[[#This Row],[SINDICATOS]],"")),
IF(COUNTA(_xlpm.listaComarcas)=1,
_xlpm.listaComarcas&amp;".",
SUBSTITUTE(_xlfn.TEXTJOIN(", ",TRUE,_xlpm.listaComarcas),", "," e ",COUNTA(_xlpm.listaComarcas)-1)&amp;"."
)
)</f>
        <v>Joao Monlevade.</v>
      </c>
      <c r="F12" s="214">
        <v>29.15</v>
      </c>
      <c r="G12" s="214">
        <v>0</v>
      </c>
      <c r="H12" s="214">
        <v>51.88</v>
      </c>
      <c r="I12" s="214">
        <v>0</v>
      </c>
      <c r="J12" s="214">
        <v>0</v>
      </c>
      <c r="K12" s="215">
        <v>45658</v>
      </c>
      <c r="L12" s="211" t="s">
        <v>1196</v>
      </c>
      <c r="M12" s="211" t="s">
        <v>1196</v>
      </c>
      <c r="N12" s="157" t="s">
        <v>1206</v>
      </c>
    </row>
    <row r="13" spans="1:14" ht="60" x14ac:dyDescent="0.25">
      <c r="A13" s="157" t="s">
        <v>125</v>
      </c>
      <c r="B13" s="158" t="s">
        <v>1008</v>
      </c>
      <c r="C13" s="158"/>
      <c r="D13" s="159" t="s">
        <v>1277</v>
      </c>
      <c r="E13" s="158" t="str" cm="1">
        <f t="array" ref="E13">_xlfn.LET(_xlpm.listaComarcas, _xlfn.UNIQUE(_xlfn._xlws.FILTER(tabParametros[Comarca],tabParametros[CCT DA CATEGORIA]=tabSindicatos[[#This Row],[SINDICATOS]],"")),
IF(COUNTA(_xlpm.listaComarcas)=1,
_xlpm.listaComarcas&amp;".",
SUBSTITUTE(_xlfn.TEXTJOIN(", ",TRUE,_xlpm.listaComarcas),", "," e ",COUNTA(_xlpm.listaComarcas)-1)&amp;"."
)
)</f>
        <v>Juiz de Fora.</v>
      </c>
      <c r="F13" s="214">
        <v>29.15</v>
      </c>
      <c r="G13" s="214">
        <v>0</v>
      </c>
      <c r="H13" s="214">
        <v>56.3</v>
      </c>
      <c r="I13" s="214">
        <v>14.69</v>
      </c>
      <c r="J13" s="214">
        <v>0</v>
      </c>
      <c r="K13" s="215">
        <v>45658</v>
      </c>
      <c r="L13" s="211" t="s">
        <v>1196</v>
      </c>
      <c r="M13" s="211" t="s">
        <v>1196</v>
      </c>
      <c r="N13" s="157" t="s">
        <v>1204</v>
      </c>
    </row>
    <row r="14" spans="1:14" ht="60" x14ac:dyDescent="0.25">
      <c r="A14" s="157" t="s">
        <v>148</v>
      </c>
      <c r="B14" s="158" t="s">
        <v>1009</v>
      </c>
      <c r="C14" s="158"/>
      <c r="D14" s="159" t="s">
        <v>1277</v>
      </c>
      <c r="E14" s="158" t="str" cm="1">
        <f t="array" ref="E14">_xlfn.LET(_xlpm.listaComarcas, _xlfn.UNIQUE(_xlfn._xlws.FILTER(tabParametros[Comarca],tabParametros[CCT DA CATEGORIA]=tabSindicatos[[#This Row],[SINDICATOS]],"")),
IF(COUNTA(_xlpm.listaComarcas)=1,
_xlpm.listaComarcas&amp;".",
SUBSTITUTE(_xlfn.TEXTJOIN(", ",TRUE,_xlpm.listaComarcas),", "," e ",COUNTA(_xlpm.listaComarcas)-1)&amp;"."
)
)</f>
        <v>Montes Claros.</v>
      </c>
      <c r="F14" s="214">
        <v>29.15</v>
      </c>
      <c r="G14" s="214">
        <v>0</v>
      </c>
      <c r="H14" s="214">
        <v>51.86</v>
      </c>
      <c r="I14" s="214">
        <v>0</v>
      </c>
      <c r="J14" s="214">
        <v>0</v>
      </c>
      <c r="K14" s="215">
        <v>45658</v>
      </c>
      <c r="L14" s="211" t="s">
        <v>1196</v>
      </c>
      <c r="M14" s="211" t="s">
        <v>1196</v>
      </c>
      <c r="N14" s="157" t="s">
        <v>1217</v>
      </c>
    </row>
    <row r="15" spans="1:14" ht="60" x14ac:dyDescent="0.25">
      <c r="A15" s="157" t="s">
        <v>1010</v>
      </c>
      <c r="B15" s="158" t="s">
        <v>1011</v>
      </c>
      <c r="C15" s="158" t="s">
        <v>1012</v>
      </c>
      <c r="D15" s="159" t="s">
        <v>1277</v>
      </c>
      <c r="E15" s="158" t="str" cm="1">
        <f t="array" ref="E15">_xlfn.LET(_xlpm.listaComarcas, _xlfn.UNIQUE(_xlfn._xlws.FILTER(tabParametros[Comarca],tabParametros[CCT DA CATEGORIA]=tabSindicatos[[#This Row],[SINDICATOS]],"")),
IF(COUNTA(_xlpm.listaComarcas)=1,
_xlpm.listaComarcas&amp;".",
SUBSTITUTE(_xlfn.TEXTJOIN(", ",TRUE,_xlpm.listaComarcas),", "," e ",COUNTA(_xlpm.listaComarcas)-1)&amp;"."
)
)</f>
        <v>Arcos, Bonfim, Dores do Indaia, Itapecerica, Lagoa da Prata, Luz, Martinho Campos, Nova Serrana, Oliveira, Pitangui e Santo Antonio do Monte.</v>
      </c>
      <c r="F15" s="214">
        <v>29.15</v>
      </c>
      <c r="G15" s="214">
        <v>0</v>
      </c>
      <c r="H15" s="214">
        <v>51.88</v>
      </c>
      <c r="I15" s="214">
        <v>0</v>
      </c>
      <c r="J15" s="214">
        <v>0</v>
      </c>
      <c r="K15" s="215">
        <v>45658</v>
      </c>
      <c r="L15" s="211" t="s">
        <v>1196</v>
      </c>
      <c r="M15" s="211" t="s">
        <v>1196</v>
      </c>
      <c r="N15" s="157" t="s">
        <v>1218</v>
      </c>
    </row>
    <row r="16" spans="1:14" ht="60" x14ac:dyDescent="0.25">
      <c r="A16" s="157" t="s">
        <v>1013</v>
      </c>
      <c r="B16" s="158" t="s">
        <v>1014</v>
      </c>
      <c r="C16" s="158"/>
      <c r="D16" s="159" t="s">
        <v>1277</v>
      </c>
      <c r="E16" s="158" t="str" cm="1">
        <f t="array" ref="E16">_xlfn.LET(_xlpm.listaComarcas, _xlfn.UNIQUE(_xlfn._xlws.FILTER(tabParametros[Comarca],tabParametros[CCT DA CATEGORIA]=tabSindicatos[[#This Row],[SINDICATOS]],"")),
IF(COUNTA(_xlpm.listaComarcas)=1,
_xlpm.listaComarcas&amp;".",
SUBSTITUTE(_xlfn.TEXTJOIN(", ",TRUE,_xlpm.listaComarcas),", "," e ",COUNTA(_xlpm.listaComarcas)-1)&amp;"."
)
)</f>
        <v>.</v>
      </c>
      <c r="F16" s="214">
        <v>0</v>
      </c>
      <c r="G16" s="214">
        <v>0</v>
      </c>
      <c r="H16" s="214">
        <v>0</v>
      </c>
      <c r="I16" s="214">
        <v>29.15</v>
      </c>
      <c r="J16" s="214">
        <v>0</v>
      </c>
      <c r="K16" s="215">
        <v>45658</v>
      </c>
      <c r="L16" s="211" t="s">
        <v>1196</v>
      </c>
      <c r="M16" s="211" t="s">
        <v>1196</v>
      </c>
      <c r="N16" s="157" t="s">
        <v>1207</v>
      </c>
    </row>
    <row r="17" spans="1:14" ht="60" x14ac:dyDescent="0.25">
      <c r="A17" s="157" t="s">
        <v>1015</v>
      </c>
      <c r="B17" s="158" t="s">
        <v>1016</v>
      </c>
      <c r="C17" s="158" t="s">
        <v>1017</v>
      </c>
      <c r="D17" s="159" t="s">
        <v>1277</v>
      </c>
      <c r="E17" s="158" t="str" cm="1">
        <f t="array" ref="E17">_xlfn.LET(_xlpm.listaComarcas, _xlfn.UNIQUE(_xlfn._xlws.FILTER(tabParametros[Comarca],tabParametros[CCT DA CATEGORIA]=tabSindicatos[[#This Row],[SINDICATOS]],"")),
IF(COUNTA(_xlpm.listaComarcas)=1,
_xlpm.listaComarcas&amp;".",
SUBSTITUTE(_xlfn.TEXTJOIN(", ",TRUE,_xlpm.listaComarcas),", "," e ",COUNTA(_xlpm.listaComarcas)-1)&amp;"."
)
)</f>
        <v>Alvinopolis, Barao de Cocais e Santa Barbara.</v>
      </c>
      <c r="F17" s="214">
        <v>29.15</v>
      </c>
      <c r="G17" s="214">
        <v>0</v>
      </c>
      <c r="H17" s="214">
        <v>50.74</v>
      </c>
      <c r="I17" s="214">
        <v>0</v>
      </c>
      <c r="J17" s="214">
        <v>0</v>
      </c>
      <c r="K17" s="215">
        <v>45658</v>
      </c>
      <c r="L17" s="211" t="s">
        <v>1196</v>
      </c>
      <c r="M17" s="211" t="s">
        <v>1196</v>
      </c>
      <c r="N17" s="157" t="s">
        <v>1205</v>
      </c>
    </row>
    <row r="18" spans="1:14" ht="150" x14ac:dyDescent="0.25">
      <c r="A18" s="157" t="s">
        <v>1018</v>
      </c>
      <c r="B18" s="158" t="s">
        <v>1019</v>
      </c>
      <c r="C18" s="158"/>
      <c r="D18" s="159" t="s">
        <v>1277</v>
      </c>
      <c r="E18" s="158" t="str" cm="1">
        <f t="array" ref="E18">_xlfn.LET(_xlpm.listaComarcas, _xlfn.UNIQUE(_xlfn._xlws.FILTER(tabParametros[Comarca],tabParametros[CCT DA CATEGORIA]=tabSindicatos[[#This Row],[SINDICATOS]],"")),
IF(COUNTA(_xlpm.listaComarcas)=1,
_xlpm.listaComarcas&amp;".",
SUBSTITUTE(_xlfn.TEXTJOIN(", ",TRUE,_xlpm.listaComarcas),", "," e ",COUNTA(_xlpm.listaComarcas)-1)&amp;"."
)
)</f>
        <v>Barbacena, Bicas, Carangola, Guarani, Manhuacu, Matias Barbosa, Miradouro, Mirai, Palma, Prados, Rio Pomba, Sao Joao del Rei, Sao Joao Nepomuceno e Tombos.</v>
      </c>
      <c r="F18" s="214">
        <v>29.15</v>
      </c>
      <c r="G18" s="214">
        <v>0</v>
      </c>
      <c r="H18" s="214">
        <v>51.88</v>
      </c>
      <c r="I18" s="214">
        <v>0</v>
      </c>
      <c r="J18" s="214">
        <v>0</v>
      </c>
      <c r="K18" s="215">
        <v>45658</v>
      </c>
      <c r="L18" s="211" t="s">
        <v>1196</v>
      </c>
      <c r="M18" s="211" t="s">
        <v>1196</v>
      </c>
      <c r="N18" s="157" t="s">
        <v>1219</v>
      </c>
    </row>
    <row r="19" spans="1:14" ht="60" x14ac:dyDescent="0.25">
      <c r="A19" s="157" t="s">
        <v>1020</v>
      </c>
      <c r="B19" s="158" t="s">
        <v>1021</v>
      </c>
      <c r="C19" s="158" t="s">
        <v>1022</v>
      </c>
      <c r="D19" s="159" t="s">
        <v>1277</v>
      </c>
      <c r="E19" s="158" t="str" cm="1">
        <f t="array" ref="E19">_xlfn.LET(_xlpm.listaComarcas, _xlfn.UNIQUE(_xlfn._xlws.FILTER(tabParametros[Comarca],tabParametros[CCT DA CATEGORIA]=tabSindicatos[[#This Row],[SINDICATOS]],"")),
IF(COUNTA(_xlpm.listaComarcas)=1,
_xlpm.listaComarcas&amp;".",
SUBSTITUTE(_xlfn.TEXTJOIN(", ",TRUE,_xlpm.listaComarcas),", "," e ",COUNTA(_xlpm.listaComarcas)-1)&amp;"."
)
)</f>
        <v>Congonhas, Conselheiro Lafaiete, Manhumirim, Mariana, Ouro Preto, Piranga, Ponte Nova e Rio Casca.</v>
      </c>
      <c r="F19" s="214">
        <v>29.15</v>
      </c>
      <c r="G19" s="214">
        <v>0</v>
      </c>
      <c r="H19" s="214">
        <v>51.87</v>
      </c>
      <c r="I19" s="214">
        <v>0</v>
      </c>
      <c r="J19" s="214">
        <v>0</v>
      </c>
      <c r="K19" s="215">
        <v>45658</v>
      </c>
      <c r="L19" s="211" t="s">
        <v>1196</v>
      </c>
      <c r="M19" s="211" t="s">
        <v>1196</v>
      </c>
      <c r="N19" s="157" t="s">
        <v>1220</v>
      </c>
    </row>
    <row r="20" spans="1:14" ht="210" x14ac:dyDescent="0.25">
      <c r="A20" s="157" t="s">
        <v>1023</v>
      </c>
      <c r="B20" s="158" t="s">
        <v>1024</v>
      </c>
      <c r="C20" s="158" t="s">
        <v>1025</v>
      </c>
      <c r="D20" s="159" t="s">
        <v>1277</v>
      </c>
      <c r="E20" s="158" t="str" cm="1">
        <f t="array" ref="E20">_xlfn.LET(_xlpm.listaComarcas, _xlfn.UNIQUE(_xlfn._xlws.FILTER(tabParametros[Comarca],tabParametros[CCT DA CATEGORIA]=tabSindicatos[[#This Row],[SINDICATOS]],"")),
IF(COUNTA(_xlpm.listaComarcas)=1,
_xlpm.listaComarcas&amp;".",
SUBSTITUTE(_xlfn.TEXTJOIN(", ",TRUE,_xlpm.listaComarcas),", "," e ",COUNTA(_xlpm.listaComarcas)-1)&amp;"."
)
)</f>
        <v>Aiuruoca, Alfenas, Alpinopolis, Andradas, Andrelandia, Areado, Baependi, Boa Esperanca, Bom Sucesso, Caldas, Campanha, Campo Belo, Campos Gerais, Candeias, Carmo do Rio Claro, Cruzilia, Eloi Mendes, Extrema, Formiga, Guaranesia, Itajuba, Itamonte, Lambari, Lavras, Machado, Monte Belo, Natercia, Ouro Fino, Paraguacu, Passos, Piumhi, Poco Fundo, Pouso Alegre, Santa Rita de Caldas, Santa Rita do Sapucai, Sao Goncalo do Sapucai, Sao Sebastiao do Paraiso, Tres Coracoes, Tres Pontas e Varginha.</v>
      </c>
      <c r="F20" s="214">
        <v>29.15</v>
      </c>
      <c r="G20" s="214">
        <v>0</v>
      </c>
      <c r="H20" s="214">
        <v>53.27</v>
      </c>
      <c r="I20" s="214">
        <v>0</v>
      </c>
      <c r="J20" s="214">
        <v>0</v>
      </c>
      <c r="K20" s="215">
        <v>45658</v>
      </c>
      <c r="L20" s="211" t="s">
        <v>1196</v>
      </c>
      <c r="M20" s="211" t="s">
        <v>1196</v>
      </c>
      <c r="N20" s="157" t="s">
        <v>1221</v>
      </c>
    </row>
    <row r="21" spans="1:14" ht="60" x14ac:dyDescent="0.25">
      <c r="A21" s="157" t="s">
        <v>1026</v>
      </c>
      <c r="B21" s="158" t="s">
        <v>1027</v>
      </c>
      <c r="C21" s="158"/>
      <c r="D21" s="159" t="s">
        <v>1277</v>
      </c>
      <c r="E21" s="158" t="str" cm="1">
        <f t="array" ref="E21">_xlfn.LET(_xlpm.listaComarcas, _xlfn.UNIQUE(_xlfn._xlws.FILTER(tabParametros[Comarca],tabParametros[CCT DA CATEGORIA]=tabSindicatos[[#This Row],[SINDICATOS]],"")),
IF(COUNTA(_xlpm.listaComarcas)=1,
_xlpm.listaComarcas&amp;".",
SUBSTITUTE(_xlfn.TEXTJOIN(", ",TRUE,_xlpm.listaComarcas),", "," e ",COUNTA(_xlpm.listaComarcas)-1)&amp;"."
)
)</f>
        <v>Aguas Formosas, Almenara, Capelinha, Carlos Chagas, Itambacuri, Jequitinhonha, Malacacheta, Nanuque, Novo Cruzeiro e Pedra Azul.</v>
      </c>
      <c r="F21" s="214">
        <v>29.15</v>
      </c>
      <c r="G21" s="214">
        <v>0</v>
      </c>
      <c r="H21" s="214">
        <v>0</v>
      </c>
      <c r="I21" s="214">
        <v>15.07</v>
      </c>
      <c r="J21" s="214">
        <v>0</v>
      </c>
      <c r="K21" s="215">
        <v>45658</v>
      </c>
      <c r="L21" s="211" t="s">
        <v>1196</v>
      </c>
      <c r="M21" s="211" t="s">
        <v>1196</v>
      </c>
      <c r="N21" s="157" t="s">
        <v>1222</v>
      </c>
    </row>
    <row r="22" spans="1:14" ht="60" x14ac:dyDescent="0.25">
      <c r="A22" s="157" t="s">
        <v>1028</v>
      </c>
      <c r="B22" s="158" t="s">
        <v>1029</v>
      </c>
      <c r="C22" s="158" t="s">
        <v>1030</v>
      </c>
      <c r="D22" s="159" t="s">
        <v>1277</v>
      </c>
      <c r="E22" s="158" t="str" cm="1">
        <f t="array" ref="E22">_xlfn.LET(_xlpm.listaComarcas, _xlfn.UNIQUE(_xlfn._xlws.FILTER(tabParametros[Comarca],tabParametros[CCT DA CATEGORIA]=tabSindicatos[[#This Row],[SINDICATOS]],"")),
IF(COUNTA(_xlpm.listaComarcas)=1,
_xlpm.listaComarcas&amp;".",
SUBSTITUTE(_xlfn.TEXTJOIN(", ",TRUE,_xlpm.listaComarcas),", "," e ",COUNTA(_xlpm.listaComarcas)-1)&amp;"."
)
)</f>
        <v>Conceicao das Alagoas, Frutal, Patos de Minas e Sacramento.</v>
      </c>
      <c r="F22" s="214">
        <v>29.15</v>
      </c>
      <c r="G22" s="214">
        <v>0</v>
      </c>
      <c r="H22" s="214">
        <v>51.86</v>
      </c>
      <c r="I22" s="214">
        <v>0</v>
      </c>
      <c r="J22" s="214">
        <v>0</v>
      </c>
      <c r="K22" s="215">
        <v>45658</v>
      </c>
      <c r="L22" s="211" t="s">
        <v>1196</v>
      </c>
      <c r="M22" s="211" t="s">
        <v>1196</v>
      </c>
      <c r="N22" s="157" t="s">
        <v>1223</v>
      </c>
    </row>
    <row r="23" spans="1:14" ht="60" x14ac:dyDescent="0.25">
      <c r="A23" s="157" t="s">
        <v>207</v>
      </c>
      <c r="B23" s="158" t="s">
        <v>1032</v>
      </c>
      <c r="C23" s="158"/>
      <c r="D23" s="159" t="s">
        <v>1277</v>
      </c>
      <c r="E23" s="158" t="str" cm="1">
        <f t="array" ref="E23">_xlfn.LET(_xlpm.listaComarcas, _xlfn.UNIQUE(_xlfn._xlws.FILTER(tabParametros[Comarca],tabParametros[CCT DA CATEGORIA]=tabSindicatos[[#This Row],[SINDICATOS]],"")),
IF(COUNTA(_xlpm.listaComarcas)=1,
_xlpm.listaComarcas&amp;".",
SUBSTITUTE(_xlfn.TEXTJOIN(", ",TRUE,_xlpm.listaComarcas),", "," e ",COUNTA(_xlpm.listaComarcas)-1)&amp;"."
)
)</f>
        <v>Sao Lourenco.</v>
      </c>
      <c r="F23" s="214">
        <v>29.15</v>
      </c>
      <c r="G23" s="214">
        <v>0</v>
      </c>
      <c r="H23" s="214">
        <v>53.27</v>
      </c>
      <c r="I23" s="214">
        <v>0</v>
      </c>
      <c r="J23" s="214">
        <v>0</v>
      </c>
      <c r="K23" s="215">
        <v>45658</v>
      </c>
      <c r="L23" s="211" t="s">
        <v>1196</v>
      </c>
      <c r="M23" s="211" t="s">
        <v>1196</v>
      </c>
      <c r="N23" s="157" t="s">
        <v>1224</v>
      </c>
    </row>
    <row r="24" spans="1:14" ht="60" x14ac:dyDescent="0.25">
      <c r="A24" s="157" t="s">
        <v>1033</v>
      </c>
      <c r="B24" s="158" t="s">
        <v>1034</v>
      </c>
      <c r="C24" s="158"/>
      <c r="D24" s="159" t="s">
        <v>1277</v>
      </c>
      <c r="E24" s="158" t="str" cm="1">
        <f t="array" ref="E24">_xlfn.LET(_xlpm.listaComarcas, _xlfn.UNIQUE(_xlfn._xlws.FILTER(tabParametros[Comarca],tabParametros[CCT DA CATEGORIA]=tabSindicatos[[#This Row],[SINDICATOS]],"")),
IF(COUNTA(_xlpm.listaComarcas)=1,
_xlpm.listaComarcas&amp;".",
SUBSTITUTE(_xlfn.TEXTJOIN(", ",TRUE,_xlpm.listaComarcas),", "," e ",COUNTA(_xlpm.listaComarcas)-1)&amp;"."
)
)</f>
        <v>Belo Horizonte.</v>
      </c>
      <c r="F24" s="214">
        <v>29.15</v>
      </c>
      <c r="G24" s="214">
        <v>0</v>
      </c>
      <c r="H24" s="214">
        <v>95.9</v>
      </c>
      <c r="I24" s="214">
        <v>0</v>
      </c>
      <c r="J24" s="214">
        <v>0</v>
      </c>
      <c r="K24" s="215">
        <v>45658</v>
      </c>
      <c r="L24" s="211" t="s">
        <v>1196</v>
      </c>
      <c r="M24" s="211" t="s">
        <v>1196</v>
      </c>
      <c r="N24" s="157" t="s">
        <v>1225</v>
      </c>
    </row>
    <row r="25" spans="1:14" ht="60" x14ac:dyDescent="0.25">
      <c r="A25" s="157" t="s">
        <v>1035</v>
      </c>
      <c r="B25" s="158" t="s">
        <v>1036</v>
      </c>
      <c r="C25" s="158"/>
      <c r="D25" s="159" t="s">
        <v>1277</v>
      </c>
      <c r="E25" s="158" t="str" cm="1">
        <f t="array" ref="E25">_xlfn.LET(_xlpm.listaComarcas, _xlfn.UNIQUE(_xlfn._xlws.FILTER(tabParametros[Comarca],tabParametros[CCT DA CATEGORIA]=tabSindicatos[[#This Row],[SINDICATOS]],"")),
IF(COUNTA(_xlpm.listaComarcas)=1,
_xlpm.listaComarcas&amp;".",
SUBSTITUTE(_xlfn.TEXTJOIN(", ",TRUE,_xlpm.listaComarcas),", "," e ",COUNTA(_xlpm.listaComarcas)-1)&amp;"."
)
)</f>
        <v>Ipatinga.</v>
      </c>
      <c r="F25" s="214">
        <v>29.15</v>
      </c>
      <c r="G25" s="214">
        <v>0</v>
      </c>
      <c r="H25" s="214">
        <v>51.86</v>
      </c>
      <c r="I25" s="214">
        <v>0</v>
      </c>
      <c r="J25" s="214">
        <v>0</v>
      </c>
      <c r="K25" s="215">
        <v>45658</v>
      </c>
      <c r="L25" s="211" t="s">
        <v>1196</v>
      </c>
      <c r="M25" s="211" t="s">
        <v>1196</v>
      </c>
      <c r="N25" s="157" t="s">
        <v>1226</v>
      </c>
    </row>
    <row r="26" spans="1:14" ht="60" x14ac:dyDescent="0.25">
      <c r="A26" s="157" t="s">
        <v>1037</v>
      </c>
      <c r="B26" s="158" t="s">
        <v>1038</v>
      </c>
      <c r="C26" s="158" t="s">
        <v>1039</v>
      </c>
      <c r="D26" s="159" t="s">
        <v>1277</v>
      </c>
      <c r="E26" s="158" t="str" cm="1">
        <f t="array" ref="E26">_xlfn.LET(_xlpm.listaComarcas, _xlfn.UNIQUE(_xlfn._xlws.FILTER(tabParametros[Comarca],tabParametros[CCT DA CATEGORIA]=tabSindicatos[[#This Row],[SINDICATOS]],"")),
IF(COUNTA(_xlpm.listaComarcas)=1,
_xlpm.listaComarcas&amp;".",
SUBSTITUTE(_xlfn.TEXTJOIN(", ",TRUE,_xlpm.listaComarcas),", "," e ",COUNTA(_xlpm.listaComarcas)-1)&amp;"."
)
)</f>
        <v>Caratinga, Coronel Fabriciano, Divino, Guanhaes, Inhapim e Timoteo.</v>
      </c>
      <c r="F26" s="214">
        <v>29.15</v>
      </c>
      <c r="G26" s="214">
        <v>0</v>
      </c>
      <c r="H26" s="214">
        <v>51.86</v>
      </c>
      <c r="I26" s="214">
        <v>0</v>
      </c>
      <c r="J26" s="214">
        <v>0</v>
      </c>
      <c r="K26" s="215">
        <v>45658</v>
      </c>
      <c r="L26" s="211" t="s">
        <v>1196</v>
      </c>
      <c r="M26" s="211" t="s">
        <v>1196</v>
      </c>
      <c r="N26" s="157" t="s">
        <v>1227</v>
      </c>
    </row>
    <row r="27" spans="1:14" ht="60" x14ac:dyDescent="0.25">
      <c r="A27" s="157" t="s">
        <v>211</v>
      </c>
      <c r="B27" s="158" t="s">
        <v>1040</v>
      </c>
      <c r="C27" s="158"/>
      <c r="D27" s="159" t="s">
        <v>1277</v>
      </c>
      <c r="E27" s="158" t="str" cm="1">
        <f t="array" ref="E27">_xlfn.LET(_xlpm.listaComarcas, _xlfn.UNIQUE(_xlfn._xlws.FILTER(tabParametros[Comarca],tabParametros[CCT DA CATEGORIA]=tabSindicatos[[#This Row],[SINDICATOS]],"")),
IF(COUNTA(_xlpm.listaComarcas)=1,
_xlpm.listaComarcas&amp;".",
SUBSTITUTE(_xlfn.TEXTJOIN(", ",TRUE,_xlpm.listaComarcas),", "," e ",COUNTA(_xlpm.listaComarcas)-1)&amp;"."
)
)</f>
        <v>Paraopeba e Sete Lagoas.</v>
      </c>
      <c r="F27" s="214">
        <v>29.15</v>
      </c>
      <c r="G27" s="214">
        <v>0</v>
      </c>
      <c r="H27" s="214">
        <v>51.86</v>
      </c>
      <c r="I27" s="214">
        <v>0</v>
      </c>
      <c r="J27" s="214">
        <v>0</v>
      </c>
      <c r="K27" s="215">
        <v>45658</v>
      </c>
      <c r="L27" s="211" t="s">
        <v>1196</v>
      </c>
      <c r="M27" s="211" t="s">
        <v>1196</v>
      </c>
      <c r="N27" s="157" t="s">
        <v>1228</v>
      </c>
    </row>
    <row r="28" spans="1:14" ht="75" x14ac:dyDescent="0.25">
      <c r="A28" s="157" t="s">
        <v>1041</v>
      </c>
      <c r="B28" s="158" t="s">
        <v>1042</v>
      </c>
      <c r="C28" s="158" t="s">
        <v>1043</v>
      </c>
      <c r="D28" s="159" t="s">
        <v>1277</v>
      </c>
      <c r="E28" s="158" t="str" cm="1">
        <f t="array" ref="E28">_xlfn.LET(_xlpm.listaComarcas, _xlfn.UNIQUE(_xlfn._xlws.FILTER(tabParametros[Comarca],tabParametros[CCT DA CATEGORIA]=tabSindicatos[[#This Row],[SINDICATOS]],"")),
IF(COUNTA(_xlpm.listaComarcas)=1,
_xlpm.listaComarcas&amp;".",
SUBSTITUTE(_xlfn.TEXTJOIN(", ",TRUE,_xlpm.listaComarcas),", "," e ",COUNTA(_xlpm.listaComarcas)-1)&amp;"."
)
)</f>
        <v>Bocaiuva, Brasilia de Minas, Coracao de Jesus, Espinosa, Francisco Sa, Grao Mogol, Janauba, Januaria, Manga, Monte Azul, Pirapora, Porteirinha, Salinas, Sao Francisco, Sao Joao da Ponte, Sao Romao, Taiobeiras e Varzea da Palma.</v>
      </c>
      <c r="F28" s="214">
        <v>29.15</v>
      </c>
      <c r="G28" s="214">
        <v>0</v>
      </c>
      <c r="H28" s="214">
        <v>51.86</v>
      </c>
      <c r="I28" s="214">
        <v>0</v>
      </c>
      <c r="J28" s="214">
        <v>0</v>
      </c>
      <c r="K28" s="215">
        <v>45658</v>
      </c>
      <c r="L28" s="211" t="s">
        <v>1196</v>
      </c>
      <c r="M28" s="211" t="s">
        <v>1196</v>
      </c>
      <c r="N28" s="157" t="s">
        <v>1229</v>
      </c>
    </row>
    <row r="29" spans="1:14" ht="60" x14ac:dyDescent="0.25">
      <c r="A29" s="157" t="s">
        <v>1044</v>
      </c>
      <c r="B29" s="158" t="s">
        <v>1031</v>
      </c>
      <c r="C29" s="158"/>
      <c r="D29" s="159" t="s">
        <v>1277</v>
      </c>
      <c r="E29" s="158" t="str" cm="1">
        <f t="array" ref="E29">_xlfn.LET(_xlpm.listaComarcas, _xlfn.UNIQUE(_xlfn._xlws.FILTER(tabParametros[Comarca],tabParametros[CCT DA CATEGORIA]=tabSindicatos[[#This Row],[SINDICATOS]],"")),
IF(COUNTA(_xlpm.listaComarcas)=1,
_xlpm.listaComarcas&amp;".",
SUBSTITUTE(_xlfn.TEXTJOIN(", ",TRUE,_xlpm.listaComarcas),", "," e ",COUNTA(_xlpm.listaComarcas)-1)&amp;"."
)
)</f>
        <v>Pocos de Caldas.</v>
      </c>
      <c r="F29" s="214">
        <v>29.15</v>
      </c>
      <c r="G29" s="214">
        <v>0</v>
      </c>
      <c r="H29" s="214">
        <v>51.86</v>
      </c>
      <c r="I29" s="214">
        <v>0</v>
      </c>
      <c r="J29" s="214">
        <v>0</v>
      </c>
      <c r="K29" s="215">
        <v>45658</v>
      </c>
      <c r="L29" s="211" t="s">
        <v>1196</v>
      </c>
      <c r="M29" s="211" t="s">
        <v>1196</v>
      </c>
      <c r="N29" s="157" t="s">
        <v>1230</v>
      </c>
    </row>
    <row r="30" spans="1:14" ht="60" x14ac:dyDescent="0.25">
      <c r="A30" s="157" t="s">
        <v>1045</v>
      </c>
      <c r="B30" s="158" t="s">
        <v>1046</v>
      </c>
      <c r="C30" s="158"/>
      <c r="D30" s="159" t="s">
        <v>1277</v>
      </c>
      <c r="E30" s="158" t="str" cm="1">
        <f t="array" ref="E30">_xlfn.LET(_xlpm.listaComarcas, _xlfn.UNIQUE(_xlfn._xlws.FILTER(tabParametros[Comarca],tabParametros[CCT DA CATEGORIA]=tabSindicatos[[#This Row],[SINDICATOS]],"")),
IF(COUNTA(_xlpm.listaComarcas)=1,
_xlpm.listaComarcas&amp;".",
SUBSTITUTE(_xlfn.TEXTJOIN(", ",TRUE,_xlpm.listaComarcas),", "," e ",COUNTA(_xlpm.listaComarcas)-1)&amp;"."
)
)</f>
        <v>Betim, Brumadinho, Contagem, Ibirite, Lagoa Santa, Mateus Leme, Matozinhos, Nova Lima, Ribeirao das Neves, Sabara e Santa Luzia.</v>
      </c>
      <c r="F30" s="214">
        <v>29.15</v>
      </c>
      <c r="G30" s="214">
        <v>0</v>
      </c>
      <c r="H30" s="214">
        <v>77.25</v>
      </c>
      <c r="I30" s="214">
        <v>0</v>
      </c>
      <c r="J30" s="214">
        <v>0</v>
      </c>
      <c r="K30" s="215">
        <v>45658</v>
      </c>
      <c r="L30" s="211" t="s">
        <v>1196</v>
      </c>
      <c r="M30" s="211" t="s">
        <v>1196</v>
      </c>
      <c r="N30" s="157" t="s">
        <v>1231</v>
      </c>
    </row>
    <row r="31" spans="1:14" ht="60" x14ac:dyDescent="0.25">
      <c r="A31" s="157" t="s">
        <v>213</v>
      </c>
      <c r="B31" s="159" t="s">
        <v>1047</v>
      </c>
      <c r="C31" s="158"/>
      <c r="D31" s="159" t="s">
        <v>1277</v>
      </c>
      <c r="E31" s="158" t="str" cm="1">
        <f t="array" ref="E31">_xlfn.LET(_xlpm.listaComarcas, _xlfn.UNIQUE(_xlfn._xlws.FILTER(tabParametros[Comarca],tabParametros[CCT DA CATEGORIA]=tabSindicatos[[#This Row],[SINDICATOS]],"")),
IF(COUNTA(_xlpm.listaComarcas)=1,
_xlpm.listaComarcas&amp;".",
SUBSTITUTE(_xlfn.TEXTJOIN(", ",TRUE,_xlpm.listaComarcas),", "," e ",COUNTA(_xlpm.listaComarcas)-1)&amp;"."
)
)</f>
        <v>Teofilo Otoni.</v>
      </c>
      <c r="F31" s="214">
        <v>29.15</v>
      </c>
      <c r="G31" s="214">
        <v>0</v>
      </c>
      <c r="H31" s="214">
        <v>0</v>
      </c>
      <c r="I31" s="214">
        <v>15.07</v>
      </c>
      <c r="J31" s="214">
        <v>0</v>
      </c>
      <c r="K31" s="215">
        <v>45658</v>
      </c>
      <c r="L31" s="211" t="s">
        <v>1196</v>
      </c>
      <c r="M31" s="211" t="s">
        <v>1196</v>
      </c>
      <c r="N31" s="157" t="s">
        <v>1232</v>
      </c>
    </row>
    <row r="32" spans="1:14" ht="60" x14ac:dyDescent="0.25">
      <c r="A32" s="157" t="s">
        <v>221</v>
      </c>
      <c r="B32" s="158" t="s">
        <v>221</v>
      </c>
      <c r="C32" s="158"/>
      <c r="D32" s="159" t="s">
        <v>1277</v>
      </c>
      <c r="E32" s="158" t="str" cm="1">
        <f t="array" ref="E32">_xlfn.LET(_xlpm.listaComarcas, _xlfn.UNIQUE(_xlfn._xlws.FILTER(tabParametros[Comarca],tabParametros[CCT DA CATEGORIA]=tabSindicatos[[#This Row],[SINDICATOS]],"")),
IF(COUNTA(_xlpm.listaComarcas)=1,
_xlpm.listaComarcas&amp;".",
SUBSTITUTE(_xlfn.TEXTJOIN(", ",TRUE,_xlpm.listaComarcas),", "," e ",COUNTA(_xlpm.listaComarcas)-1)&amp;"."
)
)</f>
        <v>Uberaba.</v>
      </c>
      <c r="F32" s="214">
        <v>29.15</v>
      </c>
      <c r="G32" s="214">
        <v>0</v>
      </c>
      <c r="H32" s="214">
        <v>51.86</v>
      </c>
      <c r="I32" s="214">
        <v>0</v>
      </c>
      <c r="J32" s="214">
        <v>0</v>
      </c>
      <c r="K32" s="215">
        <v>45658</v>
      </c>
      <c r="L32" s="211" t="s">
        <v>1196</v>
      </c>
      <c r="M32" s="211" t="s">
        <v>1196</v>
      </c>
      <c r="N32" s="157" t="s">
        <v>1233</v>
      </c>
    </row>
    <row r="33" spans="1:14" ht="60" x14ac:dyDescent="0.25">
      <c r="A33" s="157" t="s">
        <v>222</v>
      </c>
      <c r="B33" s="158" t="s">
        <v>1048</v>
      </c>
      <c r="C33" s="158"/>
      <c r="D33" s="159" t="s">
        <v>1277</v>
      </c>
      <c r="E33" s="158" t="str" cm="1">
        <f t="array" ref="E33">_xlfn.LET(_xlpm.listaComarcas, _xlfn.UNIQUE(_xlfn._xlws.FILTER(tabParametros[Comarca],tabParametros[CCT DA CATEGORIA]=tabSindicatos[[#This Row],[SINDICATOS]],"")),
IF(COUNTA(_xlpm.listaComarcas)=1,
_xlpm.listaComarcas&amp;".",
SUBSTITUTE(_xlfn.TEXTJOIN(", ",TRUE,_xlpm.listaComarcas),", "," e ",COUNTA(_xlpm.listaComarcas)-1)&amp;"."
)
)</f>
        <v>Uberlandia.</v>
      </c>
      <c r="F33" s="214">
        <v>0</v>
      </c>
      <c r="G33" s="214">
        <v>387.79</v>
      </c>
      <c r="H33" s="214">
        <v>42.97</v>
      </c>
      <c r="I33" s="214">
        <v>0</v>
      </c>
      <c r="J33" s="214">
        <v>0</v>
      </c>
      <c r="K33" s="215">
        <v>45658</v>
      </c>
      <c r="L33" s="211" t="s">
        <v>1196</v>
      </c>
      <c r="M33" s="211" t="s">
        <v>1196</v>
      </c>
      <c r="N33" s="157" t="s">
        <v>1234</v>
      </c>
    </row>
    <row r="34" spans="1:14" ht="60" x14ac:dyDescent="0.25">
      <c r="A34" s="157" t="s">
        <v>226</v>
      </c>
      <c r="B34" s="158" t="s">
        <v>1049</v>
      </c>
      <c r="C34" s="158"/>
      <c r="D34" s="159" t="s">
        <v>1277</v>
      </c>
      <c r="E34" s="158" t="str" cm="1">
        <f t="array" ref="E34">_xlfn.LET(_xlpm.listaComarcas, _xlfn.UNIQUE(_xlfn._xlws.FILTER(tabParametros[Comarca],tabParametros[CCT DA CATEGORIA]=tabSindicatos[[#This Row],[SINDICATOS]],"")),
IF(COUNTA(_xlpm.listaComarcas)=1,
_xlpm.listaComarcas&amp;".",
SUBSTITUTE(_xlfn.TEXTJOIN(", ",TRUE,_xlpm.listaComarcas),", "," e ",COUNTA(_xlpm.listaComarcas)-1)&amp;"."
)
)</f>
        <v>Vespasiano.</v>
      </c>
      <c r="F34" s="214">
        <v>29.15</v>
      </c>
      <c r="G34" s="214">
        <v>0</v>
      </c>
      <c r="H34" s="214">
        <v>0</v>
      </c>
      <c r="I34" s="214">
        <v>0</v>
      </c>
      <c r="J34" s="214">
        <v>0</v>
      </c>
      <c r="K34" s="215">
        <v>45658</v>
      </c>
      <c r="L34" s="211" t="s">
        <v>1196</v>
      </c>
      <c r="M34" s="211" t="s">
        <v>1196</v>
      </c>
      <c r="N34" s="157" t="s">
        <v>1235</v>
      </c>
    </row>
    <row r="35" spans="1:14" ht="60" x14ac:dyDescent="0.25">
      <c r="A35" s="157" t="s">
        <v>1050</v>
      </c>
      <c r="B35" s="158" t="s">
        <v>1051</v>
      </c>
      <c r="C35" s="158" t="s">
        <v>1238</v>
      </c>
      <c r="D35" s="159" t="s">
        <v>1277</v>
      </c>
      <c r="E35" s="158" t="str" cm="1">
        <f t="array" ref="E35">_xlfn.LET(_xlpm.listaComarcas, _xlfn.UNIQUE(_xlfn._xlws.FILTER(tabParametros[Comarca],tabParametros[CCT DA CATEGORIA]=tabSindicatos[[#This Row],[SINDICATOS]],"")),
IF(COUNTA(_xlpm.listaComarcas)=1,
_xlpm.listaComarcas&amp;".",
SUBSTITUTE(_xlfn.TEXTJOIN(", ",TRUE,_xlpm.listaComarcas),", "," e ",COUNTA(_xlpm.listaComarcas)-1)&amp;"."
)
)</f>
        <v>Ervalia, Raul Soares e Vicosa.</v>
      </c>
      <c r="F35" s="214">
        <v>29.15</v>
      </c>
      <c r="G35" s="214">
        <v>0</v>
      </c>
      <c r="H35" s="214">
        <v>51.86</v>
      </c>
      <c r="I35" s="214">
        <v>0</v>
      </c>
      <c r="J35" s="214">
        <v>0</v>
      </c>
      <c r="K35" s="215">
        <v>45658</v>
      </c>
      <c r="L35" s="211" t="s">
        <v>1196</v>
      </c>
      <c r="M35" s="211" t="s">
        <v>1196</v>
      </c>
      <c r="N35" s="157" t="s">
        <v>1236</v>
      </c>
    </row>
    <row r="36" spans="1:14" x14ac:dyDescent="0.25">
      <c r="D36" s="160"/>
    </row>
  </sheetData>
  <phoneticPr fontId="9" type="noConversion"/>
  <pageMargins left="0.511811024" right="0.511811024" top="0.78740157499999996" bottom="0.78740157499999996" header="0.31496062000000002" footer="0.31496062000000002"/>
  <pageSetup paperSize="9" orientation="portrait" r:id="rId1"/>
  <tableParts count="1">
    <tablePart r:id="rId2"/>
  </tableParts>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5F101E8-035B-45B2-B768-1A34E6B1528F}">
  <sheetPr codeName="Planilha1"/>
  <dimension ref="A1:M254"/>
  <sheetViews>
    <sheetView workbookViewId="0">
      <pane ySplit="1" topLeftCell="A180" activePane="bottomLeft" state="frozen"/>
      <selection pane="bottomLeft" activeCell="F188" sqref="F188"/>
    </sheetView>
  </sheetViews>
  <sheetFormatPr defaultRowHeight="15" x14ac:dyDescent="0.25"/>
  <cols>
    <col min="1" max="1" width="16.28515625" customWidth="1"/>
    <col min="2" max="2" width="25.140625" customWidth="1"/>
    <col min="3" max="3" width="31" customWidth="1"/>
    <col min="4" max="4" width="35" customWidth="1"/>
    <col min="5" max="5" width="16.5703125" bestFit="1" customWidth="1"/>
    <col min="6" max="6" width="14.28515625" customWidth="1"/>
    <col min="7" max="7" width="16.140625" customWidth="1"/>
    <col min="8" max="8" width="17" customWidth="1"/>
    <col min="9" max="9" width="18" customWidth="1"/>
    <col min="10" max="10" width="12.5703125" customWidth="1"/>
    <col min="11" max="11" width="12.7109375" customWidth="1"/>
    <col min="12" max="12" width="19.85546875" customWidth="1"/>
    <col min="13" max="13" width="15.7109375" customWidth="1"/>
    <col min="14" max="14" width="6" customWidth="1"/>
  </cols>
  <sheetData>
    <row r="1" spans="1:13" s="19" customFormat="1" ht="48.75" customHeight="1" x14ac:dyDescent="0.25">
      <c r="A1" s="19" t="s">
        <v>0</v>
      </c>
      <c r="B1" s="19" t="s">
        <v>1</v>
      </c>
      <c r="C1" s="19" t="s">
        <v>2</v>
      </c>
      <c r="D1" s="19" t="s">
        <v>1052</v>
      </c>
      <c r="E1" s="19" t="s">
        <v>3</v>
      </c>
      <c r="F1" s="19" t="s">
        <v>4</v>
      </c>
      <c r="G1" s="19" t="s">
        <v>5</v>
      </c>
      <c r="H1" s="19" t="s">
        <v>6</v>
      </c>
      <c r="I1" s="19" t="s">
        <v>7</v>
      </c>
      <c r="J1" s="19" t="s">
        <v>989</v>
      </c>
      <c r="K1" s="19" t="s">
        <v>990</v>
      </c>
      <c r="L1" s="19" t="s">
        <v>1240</v>
      </c>
      <c r="M1" s="19" t="s">
        <v>1203</v>
      </c>
    </row>
    <row r="2" spans="1:13" x14ac:dyDescent="0.25">
      <c r="A2" s="148" t="str" cm="1">
        <f t="array" ref="A2">_xlfn.XLOOKUP(tabPostos[[#This Row],[Fonte de Recursos]]&amp;tabPostos[[#This Row],[Classificação]],tabLotacao[Lotacao]&amp;tabLotacao[Tipo],tabLotacao[Codigo Lote],"0")&amp;"."&amp;_xlfn.XLOOKUP(tabPostos[[#This Row],[Comarca]],tabComarca[COMARCA],tabComarca[Codigo Comarca],"000")&amp;"."&amp;_xlfn.XLOOKUP(tabPostos[[#This Row],[Função]],tabCargos[Cargo],tabCargos[Codigo Cargo],"00")</f>
        <v>2.002.04</v>
      </c>
      <c r="B2" s="200" t="s">
        <v>8</v>
      </c>
      <c r="C2" s="200" t="s">
        <v>1244</v>
      </c>
      <c r="D2" s="200" t="str" cm="1">
        <f t="array" ref="D2">IF(tabPostos[[#This Row],[Comarca]]="","",
_xlfn.LET(
_xlpm.MATRIZ_COMARCA, ","&amp;TRIM(UPPER(SUBSTITUTE(SUBSTITUTE(SUBSTITUTE(SUBSTITUTE(SUBSTITUTE(SUBSTITUTE(SUBSTITUTE(SUBSTITUTE(SUBSTITUTE(SUBSTITUTE(SUBSTITUTE(SUBSTITUTE(SUBSTITUTE(SUBSTITUTE(SUBSTITUTE(SUBSTITUTE(SUBSTITUTE(SUBSTITUTE(SUBSTITUTE(SUBSTITUTE(SUBSTITUTE(SUBSTITUTE(SUBSTITUTE(SUBSTITUTE(SUBSTITUTE(SUBSTITUTE(tabSindicatos[ABRANGÊNCIA],"á","a"),"ã","a"),"â","a"),"é","e"),"ê","e"),"í","i"),"ó","o"),"õ","o"),"ô","o"),"ú","u"),"ç","c"),"Á","a"),"Ã","a"),"Â","a"),"É","e"),"Ê","e"),"Í","i"),"Ó","o"),"Õ","o"),"Ô","o"),"Ú","u"),"Ç","c"),"/MG","")," e ",", ")," ",""),".","")))&amp;",",
_xlpm.MATRIZ_FUNCAO, ","&amp;TRIM(UPPER(SUBSTITUTE(SUBSTITUTE(SUBSTITUTE(SUBSTITUTE(SUBSTITUTE(SUBSTITUTE(SUBSTITUTE(SUBSTITUTE(SUBSTITUTE(SUBSTITUTE(SUBSTITUTE(SUBSTITUTE(SUBSTITUTE(SUBSTITUTE(SUBSTITUTE(SUBSTITUTE(SUBSTITUTE(SUBSTITUTE(SUBSTITUTE(SUBSTITUTE(SUBSTITUTE(SUBSTITUTE(SUBSTITUTE(SUBSTITUTE(SUBSTITUTE(tabSindicatos[FUNÇÕES],"á","a"),"ã","a"),"â","a"),"é","e"),"ê","e"),"í","i"),"ó","o"),"õ","o"),"ô","o"),"ú","u"),"ç","c"),"Á","a"),"Ã","a"),"Â","a"),"É","e"),"Ê","e"),"Í","i"),"Ó","o"),"Õ","o"),"Ô","o"),"Ú","u"),"Ç","c")," e ",", ")," ",""),".","")))&amp;",",
IFERROR(_xlfn._xlws.FILTER(tabSindicatos[SINDICATOS],
(ISNUMBER(SEARCH(","&amp;TRIM(UPPER(SUBSTITUTE(tabPostos[[#This Row],[Comarca]]," ","")))&amp;",",_xlpm.MATRIZ_COMARCA,1)))*
(ISNUMBER(SEARCH(","&amp;TRIM(SUBSTITUTE(SUBSTITUTE(SUBSTITUTE(UPPER(tabPostos[[#This Row],[Função]])," E ",", ")," ",""),".",""))&amp;",",_xlpm.MATRIZ_FUNCAO,1)))
),"")
))</f>
        <v>Curvelo</v>
      </c>
      <c r="E2" s="148" t="s">
        <v>9</v>
      </c>
      <c r="F2" s="148" t="s">
        <v>10</v>
      </c>
      <c r="G2" s="148">
        <v>1</v>
      </c>
      <c r="H2" s="148">
        <v>0</v>
      </c>
      <c r="I2" s="216">
        <f>798.14</f>
        <v>798.14</v>
      </c>
      <c r="J2" s="247">
        <f>VLOOKUP(tabPostos[[#This Row],[CCT DA CATEGORIA]],'RELAÇÃO SINDICATOS'!A:N,11,0)</f>
        <v>45658</v>
      </c>
      <c r="K2" s="148" t="str">
        <f>VLOOKUP(tabPostos[[#This Row],[CCT DA CATEGORIA]],'RELAÇÃO SINDICATOS'!A:N,12,0)</f>
        <v>-</v>
      </c>
      <c r="L2" s="148" t="str">
        <f>VLOOKUP(tabPostos[[#This Row],[CCT DA CATEGORIA]],'RELAÇÃO SINDICATOS'!A:N,13,0)</f>
        <v>-</v>
      </c>
      <c r="M2" s="148" t="str">
        <f>VLOOKUP(tabPostos[[#This Row],[CCT DA CATEGORIA]],'RELAÇÃO SINDICATOS'!A:N,14,0)</f>
        <v>MG0000423/2025</v>
      </c>
    </row>
    <row r="3" spans="1:13" x14ac:dyDescent="0.25">
      <c r="A3" s="148" t="str" cm="1">
        <f t="array" ref="A3">_xlfn.XLOOKUP(tabPostos[[#This Row],[Fonte de Recursos]]&amp;tabPostos[[#This Row],[Classificação]],tabLotacao[Lotacao]&amp;tabLotacao[Tipo],tabLotacao[Codigo Lote],"0")&amp;"."&amp;_xlfn.XLOOKUP(tabPostos[[#This Row],[Comarca]],tabComarca[COMARCA],tabComarca[Codigo Comarca],"000")&amp;"."&amp;_xlfn.XLOOKUP(tabPostos[[#This Row],[Função]],tabCargos[Cargo],tabCargos[Codigo Cargo],"00")</f>
        <v>2.003.04</v>
      </c>
      <c r="B3" s="200" t="s">
        <v>11</v>
      </c>
      <c r="C3" s="200" t="s">
        <v>1244</v>
      </c>
      <c r="D3" s="200" t="str" cm="1">
        <f t="array" ref="D3">IF(tabPostos[[#This Row],[Comarca]]="","",
_xlfn.LET(
_xlpm.MATRIZ_COMARCA, ","&amp;TRIM(UPPER(SUBSTITUTE(SUBSTITUTE(SUBSTITUTE(SUBSTITUTE(SUBSTITUTE(SUBSTITUTE(SUBSTITUTE(SUBSTITUTE(SUBSTITUTE(SUBSTITUTE(SUBSTITUTE(SUBSTITUTE(SUBSTITUTE(SUBSTITUTE(SUBSTITUTE(SUBSTITUTE(SUBSTITUTE(SUBSTITUTE(SUBSTITUTE(SUBSTITUTE(SUBSTITUTE(SUBSTITUTE(SUBSTITUTE(SUBSTITUTE(SUBSTITUTE(SUBSTITUTE(tabSindicatos[ABRANGÊNCIA],"á","a"),"ã","a"),"â","a"),"é","e"),"ê","e"),"í","i"),"ó","o"),"õ","o"),"ô","o"),"ú","u"),"ç","c"),"Á","a"),"Ã","a"),"Â","a"),"É","e"),"Ê","e"),"Í","i"),"Ó","o"),"Õ","o"),"Ô","o"),"Ú","u"),"Ç","c"),"/MG","")," e ",", ")," ",""),".","")))&amp;",",
_xlpm.MATRIZ_FUNCAO, ","&amp;TRIM(UPPER(SUBSTITUTE(SUBSTITUTE(SUBSTITUTE(SUBSTITUTE(SUBSTITUTE(SUBSTITUTE(SUBSTITUTE(SUBSTITUTE(SUBSTITUTE(SUBSTITUTE(SUBSTITUTE(SUBSTITUTE(SUBSTITUTE(SUBSTITUTE(SUBSTITUTE(SUBSTITUTE(SUBSTITUTE(SUBSTITUTE(SUBSTITUTE(SUBSTITUTE(SUBSTITUTE(SUBSTITUTE(SUBSTITUTE(SUBSTITUTE(SUBSTITUTE(tabSindicatos[FUNÇÕES],"á","a"),"ã","a"),"â","a"),"é","e"),"ê","e"),"í","i"),"ó","o"),"õ","o"),"ô","o"),"ú","u"),"ç","c"),"Á","a"),"Ã","a"),"Â","a"),"É","e"),"Ê","e"),"Í","i"),"Ó","o"),"Õ","o"),"Ô","o"),"Ú","u"),"Ç","c")," e ",", ")," ",""),".","")))&amp;",",
IFERROR(_xlfn._xlws.FILTER(tabSindicatos[SINDICATOS],
(ISNUMBER(SEARCH(","&amp;TRIM(UPPER(SUBSTITUTE(tabPostos[[#This Row],[Comarca]]," ","")))&amp;",",_xlpm.MATRIZ_COMARCA,1)))*
(ISNUMBER(SEARCH(","&amp;TRIM(SUBSTITUTE(SUBSTITUTE(SUBSTITUTE(UPPER(tabPostos[[#This Row],[Função]])," E ",", ")," ",""),".",""))&amp;",",_xlpm.MATRIZ_FUNCAO,1)))
),"")
))</f>
        <v>Fethemg Interior</v>
      </c>
      <c r="E3" s="148" t="s">
        <v>9</v>
      </c>
      <c r="F3" s="148" t="s">
        <v>10</v>
      </c>
      <c r="G3" s="148">
        <v>1</v>
      </c>
      <c r="H3" s="148">
        <v>0</v>
      </c>
      <c r="I3" s="216">
        <f>798.14</f>
        <v>798.14</v>
      </c>
      <c r="J3" s="247">
        <f>VLOOKUP(tabPostos[[#This Row],[CCT DA CATEGORIA]],'RELAÇÃO SINDICATOS'!A:N,11,0)</f>
        <v>45658</v>
      </c>
      <c r="K3" s="148" t="str">
        <f>VLOOKUP(tabPostos[[#This Row],[CCT DA CATEGORIA]],'RELAÇÃO SINDICATOS'!A:N,12,0)</f>
        <v>-</v>
      </c>
      <c r="L3" s="148" t="str">
        <f>VLOOKUP(tabPostos[[#This Row],[CCT DA CATEGORIA]],'RELAÇÃO SINDICATOS'!A:N,13,0)</f>
        <v>-</v>
      </c>
      <c r="M3" s="148" t="str">
        <f>VLOOKUP(tabPostos[[#This Row],[CCT DA CATEGORIA]],'RELAÇÃO SINDICATOS'!A:N,14,0)</f>
        <v>MG004482/2024</v>
      </c>
    </row>
    <row r="4" spans="1:13" x14ac:dyDescent="0.25">
      <c r="A4" s="148" t="str" cm="1">
        <f t="array" ref="A4">_xlfn.XLOOKUP(tabPostos[[#This Row],[Fonte de Recursos]]&amp;tabPostos[[#This Row],[Classificação]],tabLotacao[Lotacao]&amp;tabLotacao[Tipo],tabLotacao[Codigo Lote],"0")&amp;"."&amp;_xlfn.XLOOKUP(tabPostos[[#This Row],[Comarca]],tabComarca[COMARCA],tabComarca[Codigo Comarca],"000")&amp;"."&amp;_xlfn.XLOOKUP(tabPostos[[#This Row],[Função]],tabCargos[Cargo],tabCargos[Codigo Cargo],"00")</f>
        <v>2.009.06</v>
      </c>
      <c r="B4" s="200" t="s">
        <v>12</v>
      </c>
      <c r="C4" s="200" t="s">
        <v>1245</v>
      </c>
      <c r="D4" s="200" t="str" cm="1">
        <f t="array" ref="D4">IF(tabPostos[[#This Row],[Comarca]]="","",
_xlfn.LET(
_xlpm.MATRIZ_COMARCA, ","&amp;TRIM(UPPER(SUBSTITUTE(SUBSTITUTE(SUBSTITUTE(SUBSTITUTE(SUBSTITUTE(SUBSTITUTE(SUBSTITUTE(SUBSTITUTE(SUBSTITUTE(SUBSTITUTE(SUBSTITUTE(SUBSTITUTE(SUBSTITUTE(SUBSTITUTE(SUBSTITUTE(SUBSTITUTE(SUBSTITUTE(SUBSTITUTE(SUBSTITUTE(SUBSTITUTE(SUBSTITUTE(SUBSTITUTE(SUBSTITUTE(SUBSTITUTE(SUBSTITUTE(SUBSTITUTE(tabSindicatos[ABRANGÊNCIA],"á","a"),"ã","a"),"â","a"),"é","e"),"ê","e"),"í","i"),"ó","o"),"õ","o"),"ô","o"),"ú","u"),"ç","c"),"Á","a"),"Ã","a"),"Â","a"),"É","e"),"Ê","e"),"Í","i"),"Ó","o"),"Õ","o"),"Ô","o"),"Ú","u"),"Ç","c"),"/MG","")," e ",", ")," ",""),".","")))&amp;",",
_xlpm.MATRIZ_FUNCAO, ","&amp;TRIM(UPPER(SUBSTITUTE(SUBSTITUTE(SUBSTITUTE(SUBSTITUTE(SUBSTITUTE(SUBSTITUTE(SUBSTITUTE(SUBSTITUTE(SUBSTITUTE(SUBSTITUTE(SUBSTITUTE(SUBSTITUTE(SUBSTITUTE(SUBSTITUTE(SUBSTITUTE(SUBSTITUTE(SUBSTITUTE(SUBSTITUTE(SUBSTITUTE(SUBSTITUTE(SUBSTITUTE(SUBSTITUTE(SUBSTITUTE(SUBSTITUTE(SUBSTITUTE(tabSindicatos[FUNÇÕES],"á","a"),"ã","a"),"â","a"),"é","e"),"ê","e"),"í","i"),"ó","o"),"õ","o"),"ô","o"),"ú","u"),"ç","c"),"Á","a"),"Ã","a"),"Â","a"),"É","e"),"Ê","e"),"Í","i"),"Ó","o"),"Õ","o"),"Ô","o"),"Ú","u"),"Ç","c")," e ",", ")," ",""),".","")))&amp;",",
IFERROR(_xlfn._xlws.FILTER(tabSindicatos[SINDICATOS],
(ISNUMBER(SEARCH(","&amp;TRIM(UPPER(SUBSTITUTE(tabPostos[[#This Row],[Comarca]]," ","")))&amp;",",_xlpm.MATRIZ_COMARCA,1)))*
(ISNUMBER(SEARCH(","&amp;TRIM(SUBSTITUTE(SUBSTITUTE(SUBSTITUTE(UPPER(tabPostos[[#This Row],[Função]])," E ",", ")," ",""),".",""))&amp;",",_xlpm.MATRIZ_FUNCAO,1)))
),"")
))</f>
        <v>Regiao de Teofilo Otoni</v>
      </c>
      <c r="E4" s="148" t="s">
        <v>9</v>
      </c>
      <c r="F4" s="148" t="s">
        <v>10</v>
      </c>
      <c r="G4" s="148">
        <v>1</v>
      </c>
      <c r="H4" s="148">
        <v>0</v>
      </c>
      <c r="I4" s="216">
        <f>1596.28</f>
        <v>1596.28</v>
      </c>
      <c r="J4" s="247">
        <f>VLOOKUP(tabPostos[[#This Row],[CCT DA CATEGORIA]],'RELAÇÃO SINDICATOS'!A:N,11,0)</f>
        <v>45658</v>
      </c>
      <c r="K4" s="148" t="str">
        <f>VLOOKUP(tabPostos[[#This Row],[CCT DA CATEGORIA]],'RELAÇÃO SINDICATOS'!A:N,12,0)</f>
        <v>-</v>
      </c>
      <c r="L4" s="148" t="str">
        <f>VLOOKUP(tabPostos[[#This Row],[CCT DA CATEGORIA]],'RELAÇÃO SINDICATOS'!A:N,13,0)</f>
        <v>-</v>
      </c>
      <c r="M4" s="148" t="str">
        <f>VLOOKUP(tabPostos[[#This Row],[CCT DA CATEGORIA]],'RELAÇÃO SINDICATOS'!A:N,14,0)</f>
        <v>MG004488/2024</v>
      </c>
    </row>
    <row r="5" spans="1:13" x14ac:dyDescent="0.25">
      <c r="A5" s="148" t="str" cm="1">
        <f t="array" ref="A5">_xlfn.XLOOKUP(tabPostos[[#This Row],[Fonte de Recursos]]&amp;tabPostos[[#This Row],[Classificação]],tabLotacao[Lotacao]&amp;tabLotacao[Tipo],tabLotacao[Codigo Lote],"0")&amp;"."&amp;_xlfn.XLOOKUP(tabPostos[[#This Row],[Comarca]],tabComarca[COMARCA],tabComarca[Codigo Comarca],"000")&amp;"."&amp;_xlfn.XLOOKUP(tabPostos[[#This Row],[Função]],tabCargos[Cargo],tabCargos[Codigo Cargo],"00")</f>
        <v>2.011.03</v>
      </c>
      <c r="B5" s="200" t="s">
        <v>13</v>
      </c>
      <c r="C5" s="200" t="s">
        <v>1247</v>
      </c>
      <c r="D5" s="200" t="str" cm="1">
        <f t="array" ref="D5">IF(tabPostos[[#This Row],[Comarca]]="","",
_xlfn.LET(
_xlpm.MATRIZ_COMARCA, ","&amp;TRIM(UPPER(SUBSTITUTE(SUBSTITUTE(SUBSTITUTE(SUBSTITUTE(SUBSTITUTE(SUBSTITUTE(SUBSTITUTE(SUBSTITUTE(SUBSTITUTE(SUBSTITUTE(SUBSTITUTE(SUBSTITUTE(SUBSTITUTE(SUBSTITUTE(SUBSTITUTE(SUBSTITUTE(SUBSTITUTE(SUBSTITUTE(SUBSTITUTE(SUBSTITUTE(SUBSTITUTE(SUBSTITUTE(SUBSTITUTE(SUBSTITUTE(SUBSTITUTE(SUBSTITUTE(tabSindicatos[ABRANGÊNCIA],"á","a"),"ã","a"),"â","a"),"é","e"),"ê","e"),"í","i"),"ó","o"),"õ","o"),"ô","o"),"ú","u"),"ç","c"),"Á","a"),"Ã","a"),"Â","a"),"É","e"),"Ê","e"),"Í","i"),"Ó","o"),"Õ","o"),"Ô","o"),"Ú","u"),"Ç","c"),"/MG","")," e ",", ")," ",""),".","")))&amp;",",
_xlpm.MATRIZ_FUNCAO, ","&amp;TRIM(UPPER(SUBSTITUTE(SUBSTITUTE(SUBSTITUTE(SUBSTITUTE(SUBSTITUTE(SUBSTITUTE(SUBSTITUTE(SUBSTITUTE(SUBSTITUTE(SUBSTITUTE(SUBSTITUTE(SUBSTITUTE(SUBSTITUTE(SUBSTITUTE(SUBSTITUTE(SUBSTITUTE(SUBSTITUTE(SUBSTITUTE(SUBSTITUTE(SUBSTITUTE(SUBSTITUTE(SUBSTITUTE(SUBSTITUTE(SUBSTITUTE(SUBSTITUTE(tabSindicatos[FUNÇÕES],"á","a"),"ã","a"),"â","a"),"é","e"),"ê","e"),"í","i"),"ó","o"),"õ","o"),"ô","o"),"ú","u"),"ç","c"),"Á","a"),"Ã","a"),"Â","a"),"É","e"),"Ê","e"),"Í","i"),"Ó","o"),"Õ","o"),"Ô","o"),"Ú","u"),"Ç","c")," e ",", ")," ",""),".","")))&amp;",",
IFERROR(_xlfn._xlws.FILTER(tabSindicatos[SINDICATOS],
(ISNUMBER(SEARCH(","&amp;TRIM(UPPER(SUBSTITUTE(tabPostos[[#This Row],[Comarca]]," ","")))&amp;",",_xlpm.MATRIZ_COMARCA,1)))*
(ISNUMBER(SEARCH(","&amp;TRIM(SUBSTITUTE(SUBSTITUTE(SUBSTITUTE(UPPER(tabPostos[[#This Row],[Função]])," E ",", ")," ",""),".",""))&amp;",",_xlpm.MATRIZ_FUNCAO,1)))
),"")
))</f>
        <v>Fethemg Interior</v>
      </c>
      <c r="E5" s="148" t="s">
        <v>9</v>
      </c>
      <c r="F5" s="148" t="s">
        <v>10</v>
      </c>
      <c r="G5" s="148">
        <v>1</v>
      </c>
      <c r="H5" s="148">
        <v>0</v>
      </c>
      <c r="I5" s="216">
        <f>544.18</f>
        <v>544.17999999999995</v>
      </c>
      <c r="J5" s="247">
        <f>VLOOKUP(tabPostos[[#This Row],[CCT DA CATEGORIA]],'RELAÇÃO SINDICATOS'!A:N,11,0)</f>
        <v>45658</v>
      </c>
      <c r="K5" s="148" t="str">
        <f>VLOOKUP(tabPostos[[#This Row],[CCT DA CATEGORIA]],'RELAÇÃO SINDICATOS'!A:N,12,0)</f>
        <v>-</v>
      </c>
      <c r="L5" s="148" t="str">
        <f>VLOOKUP(tabPostos[[#This Row],[CCT DA CATEGORIA]],'RELAÇÃO SINDICATOS'!A:N,13,0)</f>
        <v>-</v>
      </c>
      <c r="M5" s="148" t="str">
        <f>VLOOKUP(tabPostos[[#This Row],[CCT DA CATEGORIA]],'RELAÇÃO SINDICATOS'!A:N,14,0)</f>
        <v>MG004482/2024</v>
      </c>
    </row>
    <row r="6" spans="1:13" x14ac:dyDescent="0.25">
      <c r="A6" s="148" t="str" cm="1">
        <f t="array" ref="A6">_xlfn.XLOOKUP(tabPostos[[#This Row],[Fonte de Recursos]]&amp;tabPostos[[#This Row],[Classificação]],tabLotacao[Lotacao]&amp;tabLotacao[Tipo],tabLotacao[Codigo Lote],"0")&amp;"."&amp;_xlfn.XLOOKUP(tabPostos[[#This Row],[Comarca]],tabComarca[COMARCA],tabComarca[Codigo Comarca],"000")&amp;"."&amp;_xlfn.XLOOKUP(tabPostos[[#This Row],[Função]],tabCargos[Cargo],tabCargos[Codigo Cargo],"00")</f>
        <v>2.012.04</v>
      </c>
      <c r="B6" s="200" t="s">
        <v>14</v>
      </c>
      <c r="C6" s="200" t="s">
        <v>1244</v>
      </c>
      <c r="D6" s="200" t="str" cm="1">
        <f t="array" ref="D6">IF(tabPostos[[#This Row],[Comarca]]="","",
_xlfn.LET(
_xlpm.MATRIZ_COMARCA, ","&amp;TRIM(UPPER(SUBSTITUTE(SUBSTITUTE(SUBSTITUTE(SUBSTITUTE(SUBSTITUTE(SUBSTITUTE(SUBSTITUTE(SUBSTITUTE(SUBSTITUTE(SUBSTITUTE(SUBSTITUTE(SUBSTITUTE(SUBSTITUTE(SUBSTITUTE(SUBSTITUTE(SUBSTITUTE(SUBSTITUTE(SUBSTITUTE(SUBSTITUTE(SUBSTITUTE(SUBSTITUTE(SUBSTITUTE(SUBSTITUTE(SUBSTITUTE(SUBSTITUTE(SUBSTITUTE(tabSindicatos[ABRANGÊNCIA],"á","a"),"ã","a"),"â","a"),"é","e"),"ê","e"),"í","i"),"ó","o"),"õ","o"),"ô","o"),"ú","u"),"ç","c"),"Á","a"),"Ã","a"),"Â","a"),"É","e"),"Ê","e"),"Í","i"),"Ó","o"),"Õ","o"),"Ô","o"),"Ú","u"),"Ç","c"),"/MG","")," e ",", ")," ",""),".","")))&amp;",",
_xlpm.MATRIZ_FUNCAO, ","&amp;TRIM(UPPER(SUBSTITUTE(SUBSTITUTE(SUBSTITUTE(SUBSTITUTE(SUBSTITUTE(SUBSTITUTE(SUBSTITUTE(SUBSTITUTE(SUBSTITUTE(SUBSTITUTE(SUBSTITUTE(SUBSTITUTE(SUBSTITUTE(SUBSTITUTE(SUBSTITUTE(SUBSTITUTE(SUBSTITUTE(SUBSTITUTE(SUBSTITUTE(SUBSTITUTE(SUBSTITUTE(SUBSTITUTE(SUBSTITUTE(SUBSTITUTE(SUBSTITUTE(tabSindicatos[FUNÇÕES],"á","a"),"ã","a"),"â","a"),"é","e"),"ê","e"),"í","i"),"ó","o"),"õ","o"),"ô","o"),"ú","u"),"ç","c"),"Á","a"),"Ã","a"),"Â","a"),"É","e"),"Ê","e"),"Í","i"),"Ó","o"),"Õ","o"),"Ô","o"),"Ú","u"),"Ç","c")," e ",", ")," ",""),".","")))&amp;",",
IFERROR(_xlfn._xlws.FILTER(tabSindicatos[SINDICATOS],
(ISNUMBER(SEARCH(","&amp;TRIM(UPPER(SUBSTITUTE(tabPostos[[#This Row],[Comarca]]," ","")))&amp;",",_xlpm.MATRIZ_COMARCA,1)))*
(ISNUMBER(SEARCH(","&amp;TRIM(SUBSTITUTE(SUBSTITUTE(SUBSTITUTE(UPPER(tabPostos[[#This Row],[Função]])," E ",", ")," ",""),".",""))&amp;",",_xlpm.MATRIZ_FUNCAO,1)))
),"")
))</f>
        <v>Regiao de Sao Lourenco</v>
      </c>
      <c r="E6" s="148" t="s">
        <v>9</v>
      </c>
      <c r="F6" s="148" t="s">
        <v>10</v>
      </c>
      <c r="G6" s="148">
        <v>1</v>
      </c>
      <c r="H6" s="148">
        <v>0</v>
      </c>
      <c r="I6" s="216">
        <f>798.14</f>
        <v>798.14</v>
      </c>
      <c r="J6" s="247">
        <f>VLOOKUP(tabPostos[[#This Row],[CCT DA CATEGORIA]],'RELAÇÃO SINDICATOS'!A:N,11,0)</f>
        <v>45658</v>
      </c>
      <c r="K6" s="148" t="str">
        <f>VLOOKUP(tabPostos[[#This Row],[CCT DA CATEGORIA]],'RELAÇÃO SINDICATOS'!A:N,12,0)</f>
        <v>-</v>
      </c>
      <c r="L6" s="148" t="str">
        <f>VLOOKUP(tabPostos[[#This Row],[CCT DA CATEGORIA]],'RELAÇÃO SINDICATOS'!A:N,13,0)</f>
        <v>-</v>
      </c>
      <c r="M6" s="148" t="str">
        <f>VLOOKUP(tabPostos[[#This Row],[CCT DA CATEGORIA]],'RELAÇÃO SINDICATOS'!A:N,14,0)</f>
        <v>MG000594/2025</v>
      </c>
    </row>
    <row r="7" spans="1:13" x14ac:dyDescent="0.25">
      <c r="A7" s="148" t="str" cm="1">
        <f t="array" ref="A7">_xlfn.XLOOKUP(tabPostos[[#This Row],[Fonte de Recursos]]&amp;tabPostos[[#This Row],[Classificação]],tabLotacao[Lotacao]&amp;tabLotacao[Tipo],tabLotacao[Codigo Lote],"0")&amp;"."&amp;_xlfn.XLOOKUP(tabPostos[[#This Row],[Comarca]],tabComarca[COMARCA],tabComarca[Codigo Comarca],"000")&amp;"."&amp;_xlfn.XLOOKUP(tabPostos[[#This Row],[Função]],tabCargos[Cargo],tabCargos[Codigo Cargo],"00")</f>
        <v>2.015.05</v>
      </c>
      <c r="B7" s="200" t="s">
        <v>15</v>
      </c>
      <c r="C7" s="200" t="s">
        <v>1246</v>
      </c>
      <c r="D7" s="200" t="str" cm="1">
        <f t="array" ref="D7">IF(tabPostos[[#This Row],[Comarca]]="","",
_xlfn.LET(
_xlpm.MATRIZ_COMARCA, ","&amp;TRIM(UPPER(SUBSTITUTE(SUBSTITUTE(SUBSTITUTE(SUBSTITUTE(SUBSTITUTE(SUBSTITUTE(SUBSTITUTE(SUBSTITUTE(SUBSTITUTE(SUBSTITUTE(SUBSTITUTE(SUBSTITUTE(SUBSTITUTE(SUBSTITUTE(SUBSTITUTE(SUBSTITUTE(SUBSTITUTE(SUBSTITUTE(SUBSTITUTE(SUBSTITUTE(SUBSTITUTE(SUBSTITUTE(SUBSTITUTE(SUBSTITUTE(SUBSTITUTE(SUBSTITUTE(tabSindicatos[ABRANGÊNCIA],"á","a"),"ã","a"),"â","a"),"é","e"),"ê","e"),"í","i"),"ó","o"),"õ","o"),"ô","o"),"ú","u"),"ç","c"),"Á","a"),"Ã","a"),"Â","a"),"É","e"),"Ê","e"),"Í","i"),"Ó","o"),"Õ","o"),"Ô","o"),"Ú","u"),"Ç","c"),"/MG","")," e ",", ")," ",""),".","")))&amp;",",
_xlpm.MATRIZ_FUNCAO, ","&amp;TRIM(UPPER(SUBSTITUTE(SUBSTITUTE(SUBSTITUTE(SUBSTITUTE(SUBSTITUTE(SUBSTITUTE(SUBSTITUTE(SUBSTITUTE(SUBSTITUTE(SUBSTITUTE(SUBSTITUTE(SUBSTITUTE(SUBSTITUTE(SUBSTITUTE(SUBSTITUTE(SUBSTITUTE(SUBSTITUTE(SUBSTITUTE(SUBSTITUTE(SUBSTITUTE(SUBSTITUTE(SUBSTITUTE(SUBSTITUTE(SUBSTITUTE(SUBSTITUTE(tabSindicatos[FUNÇÕES],"á","a"),"ã","a"),"â","a"),"é","e"),"ê","e"),"í","i"),"ó","o"),"õ","o"),"ô","o"),"ú","u"),"ç","c"),"Á","a"),"Ã","a"),"Â","a"),"É","e"),"Ê","e"),"Í","i"),"Ó","o"),"Õ","o"),"Ô","o"),"Ú","u"),"Ç","c")," e ",", ")," ",""),".","")))&amp;",",
IFERROR(_xlfn._xlws.FILTER(tabSindicatos[SINDICATOS],
(ISNUMBER(SEARCH(","&amp;TRIM(UPPER(SUBSTITUTE(tabPostos[[#This Row],[Comarca]]," ","")))&amp;",",_xlpm.MATRIZ_COMARCA,1)))*
(ISNUMBER(SEARCH(","&amp;TRIM(SUBSTITUTE(SUBSTITUTE(SUBSTITUTE(UPPER(tabPostos[[#This Row],[Função]])," E ",", ")," ",""),".",""))&amp;",",_xlpm.MATRIZ_FUNCAO,1)))
),"")
))</f>
        <v>Cataguases</v>
      </c>
      <c r="E7" s="148" t="s">
        <v>9</v>
      </c>
      <c r="F7" s="148" t="s">
        <v>10</v>
      </c>
      <c r="G7" s="148">
        <v>1</v>
      </c>
      <c r="H7" s="148">
        <v>0</v>
      </c>
      <c r="I7" s="216">
        <f>1088.37</f>
        <v>1088.3699999999999</v>
      </c>
      <c r="J7" s="247">
        <f>VLOOKUP(tabPostos[[#This Row],[CCT DA CATEGORIA]],'RELAÇÃO SINDICATOS'!A:N,11,0)</f>
        <v>45658</v>
      </c>
      <c r="K7" s="148" t="str">
        <f>VLOOKUP(tabPostos[[#This Row],[CCT DA CATEGORIA]],'RELAÇÃO SINDICATOS'!A:N,12,0)</f>
        <v>-</v>
      </c>
      <c r="L7" s="148" t="str">
        <f>VLOOKUP(tabPostos[[#This Row],[CCT DA CATEGORIA]],'RELAÇÃO SINDICATOS'!A:N,13,0)</f>
        <v>-</v>
      </c>
      <c r="M7" s="148" t="str">
        <f>VLOOKUP(tabPostos[[#This Row],[CCT DA CATEGORIA]],'RELAÇÃO SINDICATOS'!A:N,14,0)</f>
        <v>MG000299/2025</v>
      </c>
    </row>
    <row r="8" spans="1:13" x14ac:dyDescent="0.25">
      <c r="A8" s="148" t="str" cm="1">
        <f t="array" ref="A8">_xlfn.XLOOKUP(tabPostos[[#This Row],[Fonte de Recursos]]&amp;tabPostos[[#This Row],[Classificação]],tabLotacao[Lotacao]&amp;tabLotacao[Tipo],tabLotacao[Codigo Lote],"0")&amp;"."&amp;_xlfn.XLOOKUP(tabPostos[[#This Row],[Comarca]],tabComarca[COMARCA],tabComarca[Codigo Comarca],"000")&amp;"."&amp;_xlfn.XLOOKUP(tabPostos[[#This Row],[Função]],tabCargos[Cargo],tabCargos[Codigo Cargo],"00")</f>
        <v>2.016.06</v>
      </c>
      <c r="B8" s="200" t="s">
        <v>16</v>
      </c>
      <c r="C8" s="200" t="s">
        <v>1245</v>
      </c>
      <c r="D8" s="200" t="str" cm="1">
        <f t="array" ref="D8">IF(tabPostos[[#This Row],[Comarca]]="","",
_xlfn.LET(
_xlpm.MATRIZ_COMARCA, ","&amp;TRIM(UPPER(SUBSTITUTE(SUBSTITUTE(SUBSTITUTE(SUBSTITUTE(SUBSTITUTE(SUBSTITUTE(SUBSTITUTE(SUBSTITUTE(SUBSTITUTE(SUBSTITUTE(SUBSTITUTE(SUBSTITUTE(SUBSTITUTE(SUBSTITUTE(SUBSTITUTE(SUBSTITUTE(SUBSTITUTE(SUBSTITUTE(SUBSTITUTE(SUBSTITUTE(SUBSTITUTE(SUBSTITUTE(SUBSTITUTE(SUBSTITUTE(SUBSTITUTE(SUBSTITUTE(tabSindicatos[ABRANGÊNCIA],"á","a"),"ã","a"),"â","a"),"é","e"),"ê","e"),"í","i"),"ó","o"),"õ","o"),"ô","o"),"ú","u"),"ç","c"),"Á","a"),"Ã","a"),"Â","a"),"É","e"),"Ê","e"),"Í","i"),"Ó","o"),"Õ","o"),"Ô","o"),"Ú","u"),"Ç","c"),"/MG","")," e ",", ")," ",""),".","")))&amp;",",
_xlpm.MATRIZ_FUNCAO, ","&amp;TRIM(UPPER(SUBSTITUTE(SUBSTITUTE(SUBSTITUTE(SUBSTITUTE(SUBSTITUTE(SUBSTITUTE(SUBSTITUTE(SUBSTITUTE(SUBSTITUTE(SUBSTITUTE(SUBSTITUTE(SUBSTITUTE(SUBSTITUTE(SUBSTITUTE(SUBSTITUTE(SUBSTITUTE(SUBSTITUTE(SUBSTITUTE(SUBSTITUTE(SUBSTITUTE(SUBSTITUTE(SUBSTITUTE(SUBSTITUTE(SUBSTITUTE(SUBSTITUTE(tabSindicatos[FUNÇÕES],"á","a"),"ã","a"),"â","a"),"é","e"),"ê","e"),"í","i"),"ó","o"),"õ","o"),"ô","o"),"ú","u"),"ç","c"),"Á","a"),"Ã","a"),"Â","a"),"É","e"),"Ê","e"),"Í","i"),"Ó","o"),"Õ","o"),"Ô","o"),"Ú","u"),"Ç","c")," e ",", ")," ",""),".","")))&amp;",",
IFERROR(_xlfn._xlws.FILTER(tabSindicatos[SINDICATOS],
(ISNUMBER(SEARCH(","&amp;TRIM(UPPER(SUBSTITUTE(tabPostos[[#This Row],[Comarca]]," ","")))&amp;",",_xlpm.MATRIZ_COMARCA,1)))*
(ISNUMBER(SEARCH(","&amp;TRIM(SUBSTITUTE(SUBSTITUTE(SUBSTITUTE(UPPER(tabPostos[[#This Row],[Função]])," E ",", ")," ",""),".",""))&amp;",",_xlpm.MATRIZ_FUNCAO,1)))
),"")
))</f>
        <v>Regiao de Sao Lourenco</v>
      </c>
      <c r="E8" s="148" t="s">
        <v>9</v>
      </c>
      <c r="F8" s="148" t="s">
        <v>10</v>
      </c>
      <c r="G8" s="148">
        <v>2</v>
      </c>
      <c r="H8" s="148">
        <v>0</v>
      </c>
      <c r="I8" s="216">
        <f>1596.28</f>
        <v>1596.28</v>
      </c>
      <c r="J8" s="247">
        <f>VLOOKUP(tabPostos[[#This Row],[CCT DA CATEGORIA]],'RELAÇÃO SINDICATOS'!A:N,11,0)</f>
        <v>45658</v>
      </c>
      <c r="K8" s="148" t="str">
        <f>VLOOKUP(tabPostos[[#This Row],[CCT DA CATEGORIA]],'RELAÇÃO SINDICATOS'!A:N,12,0)</f>
        <v>-</v>
      </c>
      <c r="L8" s="148" t="str">
        <f>VLOOKUP(tabPostos[[#This Row],[CCT DA CATEGORIA]],'RELAÇÃO SINDICATOS'!A:N,13,0)</f>
        <v>-</v>
      </c>
      <c r="M8" s="148" t="str">
        <f>VLOOKUP(tabPostos[[#This Row],[CCT DA CATEGORIA]],'RELAÇÃO SINDICATOS'!A:N,14,0)</f>
        <v>MG000594/2025</v>
      </c>
    </row>
    <row r="9" spans="1:13" x14ac:dyDescent="0.25">
      <c r="A9" s="148" t="str" cm="1">
        <f t="array" ref="A9">_xlfn.XLOOKUP(tabPostos[[#This Row],[Fonte de Recursos]]&amp;tabPostos[[#This Row],[Classificação]],tabLotacao[Lotacao]&amp;tabLotacao[Tipo],tabLotacao[Codigo Lote],"0")&amp;"."&amp;_xlfn.XLOOKUP(tabPostos[[#This Row],[Comarca]],tabComarca[COMARCA],tabComarca[Codigo Comarca],"000")&amp;"."&amp;_xlfn.XLOOKUP(tabPostos[[#This Row],[Função]],tabCargos[Cargo],tabCargos[Codigo Cargo],"00")</f>
        <v>2.017.06</v>
      </c>
      <c r="B9" s="200" t="s">
        <v>17</v>
      </c>
      <c r="C9" s="200" t="s">
        <v>1245</v>
      </c>
      <c r="D9" s="200" t="str" cm="1">
        <f t="array" ref="D9">IF(tabPostos[[#This Row],[Comarca]]="","",
_xlfn.LET(
_xlpm.MATRIZ_COMARCA, ","&amp;TRIM(UPPER(SUBSTITUTE(SUBSTITUTE(SUBSTITUTE(SUBSTITUTE(SUBSTITUTE(SUBSTITUTE(SUBSTITUTE(SUBSTITUTE(SUBSTITUTE(SUBSTITUTE(SUBSTITUTE(SUBSTITUTE(SUBSTITUTE(SUBSTITUTE(SUBSTITUTE(SUBSTITUTE(SUBSTITUTE(SUBSTITUTE(SUBSTITUTE(SUBSTITUTE(SUBSTITUTE(SUBSTITUTE(SUBSTITUTE(SUBSTITUTE(SUBSTITUTE(SUBSTITUTE(tabSindicatos[ABRANGÊNCIA],"á","a"),"ã","a"),"â","a"),"é","e"),"ê","e"),"í","i"),"ó","o"),"õ","o"),"ô","o"),"ú","u"),"ç","c"),"Á","a"),"Ã","a"),"Â","a"),"É","e"),"Ê","e"),"Í","i"),"Ó","o"),"Õ","o"),"Ô","o"),"Ú","u"),"Ç","c"),"/MG","")," e ",", ")," ",""),".","")))&amp;",",
_xlpm.MATRIZ_FUNCAO, ","&amp;TRIM(UPPER(SUBSTITUTE(SUBSTITUTE(SUBSTITUTE(SUBSTITUTE(SUBSTITUTE(SUBSTITUTE(SUBSTITUTE(SUBSTITUTE(SUBSTITUTE(SUBSTITUTE(SUBSTITUTE(SUBSTITUTE(SUBSTITUTE(SUBSTITUTE(SUBSTITUTE(SUBSTITUTE(SUBSTITUTE(SUBSTITUTE(SUBSTITUTE(SUBSTITUTE(SUBSTITUTE(SUBSTITUTE(SUBSTITUTE(SUBSTITUTE(SUBSTITUTE(tabSindicatos[FUNÇÕES],"á","a"),"ã","a"),"â","a"),"é","e"),"ê","e"),"í","i"),"ó","o"),"õ","o"),"ô","o"),"ú","u"),"ç","c"),"Á","a"),"Ã","a"),"Â","a"),"É","e"),"Ê","e"),"Í","i"),"Ó","o"),"Õ","o"),"Ô","o"),"Ú","u"),"Ç","c")," e ",", ")," ",""),".","")))&amp;",",
IFERROR(_xlfn._xlws.FILTER(tabSindicatos[SINDICATOS],
(ISNUMBER(SEARCH(","&amp;TRIM(UPPER(SUBSTITUTE(tabPostos[[#This Row],[Comarca]]," ","")))&amp;",",_xlpm.MATRIZ_COMARCA,1)))*
(ISNUMBER(SEARCH(","&amp;TRIM(SUBSTITUTE(SUBSTITUTE(SUBSTITUTE(UPPER(tabPostos[[#This Row],[Função]])," E ",", ")," ",""),".",""))&amp;",",_xlpm.MATRIZ_FUNCAO,1)))
),"")
))</f>
        <v>Regiao de Teofilo Otoni</v>
      </c>
      <c r="E9" s="148" t="s">
        <v>9</v>
      </c>
      <c r="F9" s="148" t="s">
        <v>10</v>
      </c>
      <c r="G9" s="148">
        <v>1</v>
      </c>
      <c r="H9" s="148">
        <v>0</v>
      </c>
      <c r="I9" s="216">
        <f>1596.28</f>
        <v>1596.28</v>
      </c>
      <c r="J9" s="247">
        <f>VLOOKUP(tabPostos[[#This Row],[CCT DA CATEGORIA]],'RELAÇÃO SINDICATOS'!A:N,11,0)</f>
        <v>45658</v>
      </c>
      <c r="K9" s="148" t="str">
        <f>VLOOKUP(tabPostos[[#This Row],[CCT DA CATEGORIA]],'RELAÇÃO SINDICATOS'!A:N,12,0)</f>
        <v>-</v>
      </c>
      <c r="L9" s="148" t="str">
        <f>VLOOKUP(tabPostos[[#This Row],[CCT DA CATEGORIA]],'RELAÇÃO SINDICATOS'!A:N,13,0)</f>
        <v>-</v>
      </c>
      <c r="M9" s="148" t="str">
        <f>VLOOKUP(tabPostos[[#This Row],[CCT DA CATEGORIA]],'RELAÇÃO SINDICATOS'!A:N,14,0)</f>
        <v>MG004488/2024</v>
      </c>
    </row>
    <row r="10" spans="1:13" x14ac:dyDescent="0.25">
      <c r="A10" s="148" t="str" cm="1">
        <f t="array" ref="A10">_xlfn.XLOOKUP(tabPostos[[#This Row],[Fonte de Recursos]]&amp;tabPostos[[#This Row],[Classificação]],tabLotacao[Lotacao]&amp;tabLotacao[Tipo],tabLotacao[Codigo Lote],"0")&amp;"."&amp;_xlfn.XLOOKUP(tabPostos[[#This Row],[Comarca]],tabComarca[COMARCA],tabComarca[Codigo Comarca],"000")&amp;"."&amp;_xlfn.XLOOKUP(tabPostos[[#This Row],[Função]],tabCargos[Cargo],tabCargos[Codigo Cargo],"00")</f>
        <v>2.019.03</v>
      </c>
      <c r="B10" s="200" t="s">
        <v>18</v>
      </c>
      <c r="C10" s="200" t="s">
        <v>1247</v>
      </c>
      <c r="D10" s="200" t="str" cm="1">
        <f t="array" ref="D10">IF(tabPostos[[#This Row],[Comarca]]="","",
_xlfn.LET(
_xlpm.MATRIZ_COMARCA, ","&amp;TRIM(UPPER(SUBSTITUTE(SUBSTITUTE(SUBSTITUTE(SUBSTITUTE(SUBSTITUTE(SUBSTITUTE(SUBSTITUTE(SUBSTITUTE(SUBSTITUTE(SUBSTITUTE(SUBSTITUTE(SUBSTITUTE(SUBSTITUTE(SUBSTITUTE(SUBSTITUTE(SUBSTITUTE(SUBSTITUTE(SUBSTITUTE(SUBSTITUTE(SUBSTITUTE(SUBSTITUTE(SUBSTITUTE(SUBSTITUTE(SUBSTITUTE(SUBSTITUTE(SUBSTITUTE(tabSindicatos[ABRANGÊNCIA],"á","a"),"ã","a"),"â","a"),"é","e"),"ê","e"),"í","i"),"ó","o"),"õ","o"),"ô","o"),"ú","u"),"ç","c"),"Á","a"),"Ã","a"),"Â","a"),"É","e"),"Ê","e"),"Í","i"),"Ó","o"),"Õ","o"),"Ô","o"),"Ú","u"),"Ç","c"),"/MG","")," e ",", ")," ",""),".","")))&amp;",",
_xlpm.MATRIZ_FUNCAO, ","&amp;TRIM(UPPER(SUBSTITUTE(SUBSTITUTE(SUBSTITUTE(SUBSTITUTE(SUBSTITUTE(SUBSTITUTE(SUBSTITUTE(SUBSTITUTE(SUBSTITUTE(SUBSTITUTE(SUBSTITUTE(SUBSTITUTE(SUBSTITUTE(SUBSTITUTE(SUBSTITUTE(SUBSTITUTE(SUBSTITUTE(SUBSTITUTE(SUBSTITUTE(SUBSTITUTE(SUBSTITUTE(SUBSTITUTE(SUBSTITUTE(SUBSTITUTE(SUBSTITUTE(tabSindicatos[FUNÇÕES],"á","a"),"ã","a"),"â","a"),"é","e"),"ê","e"),"í","i"),"ó","o"),"õ","o"),"ô","o"),"ú","u"),"ç","c"),"Á","a"),"Ã","a"),"Â","a"),"É","e"),"Ê","e"),"Í","i"),"Ó","o"),"Õ","o"),"Ô","o"),"Ú","u"),"Ç","c")," e ",", ")," ",""),".","")))&amp;",",
IFERROR(_xlfn._xlws.FILTER(tabSindicatos[SINDICATOS],
(ISNUMBER(SEARCH(","&amp;TRIM(UPPER(SUBSTITUTE(tabPostos[[#This Row],[Comarca]]," ","")))&amp;",",_xlpm.MATRIZ_COMARCA,1)))*
(ISNUMBER(SEARCH(","&amp;TRIM(SUBSTITUTE(SUBSTITUTE(SUBSTITUTE(UPPER(tabPostos[[#This Row],[Função]])," E ",", ")," ",""),".",""))&amp;",",_xlpm.MATRIZ_FUNCAO,1)))
),"")
))</f>
        <v>Regiao de Sao Lourenco</v>
      </c>
      <c r="E10" s="148" t="s">
        <v>9</v>
      </c>
      <c r="F10" s="148" t="s">
        <v>10</v>
      </c>
      <c r="G10" s="148">
        <v>1</v>
      </c>
      <c r="H10" s="148">
        <v>0</v>
      </c>
      <c r="I10" s="216">
        <f>544.18</f>
        <v>544.17999999999995</v>
      </c>
      <c r="J10" s="247">
        <f>VLOOKUP(tabPostos[[#This Row],[CCT DA CATEGORIA]],'RELAÇÃO SINDICATOS'!A:N,11,0)</f>
        <v>45658</v>
      </c>
      <c r="K10" s="148" t="str">
        <f>VLOOKUP(tabPostos[[#This Row],[CCT DA CATEGORIA]],'RELAÇÃO SINDICATOS'!A:N,12,0)</f>
        <v>-</v>
      </c>
      <c r="L10" s="148" t="str">
        <f>VLOOKUP(tabPostos[[#This Row],[CCT DA CATEGORIA]],'RELAÇÃO SINDICATOS'!A:N,13,0)</f>
        <v>-</v>
      </c>
      <c r="M10" s="148" t="str">
        <f>VLOOKUP(tabPostos[[#This Row],[CCT DA CATEGORIA]],'RELAÇÃO SINDICATOS'!A:N,14,0)</f>
        <v>MG000594/2025</v>
      </c>
    </row>
    <row r="11" spans="1:13" x14ac:dyDescent="0.25">
      <c r="A11" s="148" t="str" cm="1">
        <f t="array" ref="A11">_xlfn.XLOOKUP(tabPostos[[#This Row],[Fonte de Recursos]]&amp;tabPostos[[#This Row],[Classificação]],tabLotacao[Lotacao]&amp;tabLotacao[Tipo],tabLotacao[Codigo Lote],"0")&amp;"."&amp;_xlfn.XLOOKUP(tabPostos[[#This Row],[Comarca]],tabComarca[COMARCA],tabComarca[Codigo Comarca],"000")&amp;"."&amp;_xlfn.XLOOKUP(tabPostos[[#This Row],[Função]],tabCargos[Cargo],tabCargos[Codigo Cargo],"00")</f>
        <v>2.023.03</v>
      </c>
      <c r="B11" s="200" t="s">
        <v>19</v>
      </c>
      <c r="C11" s="200" t="s">
        <v>1247</v>
      </c>
      <c r="D11" s="200" t="str" cm="1">
        <f t="array" ref="D11">IF(tabPostos[[#This Row],[Comarca]]="","",
_xlfn.LET(
_xlpm.MATRIZ_COMARCA, ","&amp;TRIM(UPPER(SUBSTITUTE(SUBSTITUTE(SUBSTITUTE(SUBSTITUTE(SUBSTITUTE(SUBSTITUTE(SUBSTITUTE(SUBSTITUTE(SUBSTITUTE(SUBSTITUTE(SUBSTITUTE(SUBSTITUTE(SUBSTITUTE(SUBSTITUTE(SUBSTITUTE(SUBSTITUTE(SUBSTITUTE(SUBSTITUTE(SUBSTITUTE(SUBSTITUTE(SUBSTITUTE(SUBSTITUTE(SUBSTITUTE(SUBSTITUTE(SUBSTITUTE(SUBSTITUTE(tabSindicatos[ABRANGÊNCIA],"á","a"),"ã","a"),"â","a"),"é","e"),"ê","e"),"í","i"),"ó","o"),"õ","o"),"ô","o"),"ú","u"),"ç","c"),"Á","a"),"Ã","a"),"Â","a"),"É","e"),"Ê","e"),"Í","i"),"Ó","o"),"Õ","o"),"Ô","o"),"Ú","u"),"Ç","c"),"/MG","")," e ",", ")," ",""),".","")))&amp;",",
_xlpm.MATRIZ_FUNCAO, ","&amp;TRIM(UPPER(SUBSTITUTE(SUBSTITUTE(SUBSTITUTE(SUBSTITUTE(SUBSTITUTE(SUBSTITUTE(SUBSTITUTE(SUBSTITUTE(SUBSTITUTE(SUBSTITUTE(SUBSTITUTE(SUBSTITUTE(SUBSTITUTE(SUBSTITUTE(SUBSTITUTE(SUBSTITUTE(SUBSTITUTE(SUBSTITUTE(SUBSTITUTE(SUBSTITUTE(SUBSTITUTE(SUBSTITUTE(SUBSTITUTE(SUBSTITUTE(SUBSTITUTE(tabSindicatos[FUNÇÕES],"á","a"),"ã","a"),"â","a"),"é","e"),"ê","e"),"í","i"),"ó","o"),"õ","o"),"ô","o"),"ú","u"),"ç","c"),"Á","a"),"Ã","a"),"Â","a"),"É","e"),"Ê","e"),"Í","i"),"Ó","o"),"Õ","o"),"Ô","o"),"Ú","u"),"Ç","c")," e ",", ")," ",""),".","")))&amp;",",
IFERROR(_xlfn._xlws.FILTER(tabSindicatos[SINDICATOS],
(ISNUMBER(SEARCH(","&amp;TRIM(UPPER(SUBSTITUTE(tabPostos[[#This Row],[Comarca]]," ","")))&amp;",",_xlpm.MATRIZ_COMARCA,1)))*
(ISNUMBER(SEARCH(","&amp;TRIM(SUBSTITUTE(SUBSTITUTE(SUBSTITUTE(UPPER(tabPostos[[#This Row],[Função]])," E ",", ")," ",""),".",""))&amp;",",_xlpm.MATRIZ_FUNCAO,1)))
),"")
))</f>
        <v>Regiao de Joao Monlevade</v>
      </c>
      <c r="E11" s="148" t="s">
        <v>9</v>
      </c>
      <c r="F11" s="148" t="s">
        <v>10</v>
      </c>
      <c r="G11" s="148">
        <v>1</v>
      </c>
      <c r="H11" s="148">
        <v>0</v>
      </c>
      <c r="I11" s="216">
        <f>544.18</f>
        <v>544.17999999999995</v>
      </c>
      <c r="J11" s="247">
        <f>VLOOKUP(tabPostos[[#This Row],[CCT DA CATEGORIA]],'RELAÇÃO SINDICATOS'!A:N,11,0)</f>
        <v>45658</v>
      </c>
      <c r="K11" s="148" t="str">
        <f>VLOOKUP(tabPostos[[#This Row],[CCT DA CATEGORIA]],'RELAÇÃO SINDICATOS'!A:N,12,0)</f>
        <v>-</v>
      </c>
      <c r="L11" s="148" t="str">
        <f>VLOOKUP(tabPostos[[#This Row],[CCT DA CATEGORIA]],'RELAÇÃO SINDICATOS'!A:N,13,0)</f>
        <v>-</v>
      </c>
      <c r="M11" s="148" t="str">
        <f>VLOOKUP(tabPostos[[#This Row],[CCT DA CATEGORIA]],'RELAÇÃO SINDICATOS'!A:N,14,0)</f>
        <v>MG001172/2025</v>
      </c>
    </row>
    <row r="12" spans="1:13" x14ac:dyDescent="0.25">
      <c r="A12" s="148" t="str" cm="1">
        <f t="array" ref="A12">_xlfn.XLOOKUP(tabPostos[[#This Row],[Fonte de Recursos]]&amp;tabPostos[[#This Row],[Classificação]],tabLotacao[Lotacao]&amp;tabLotacao[Tipo],tabLotacao[Codigo Lote],"0")&amp;"."&amp;_xlfn.XLOOKUP(tabPostos[[#This Row],[Comarca]],tabComarca[COMARCA],tabComarca[Codigo Comarca],"000")&amp;"."&amp;_xlfn.XLOOKUP(tabPostos[[#This Row],[Função]],tabCargos[Cargo],tabCargos[Codigo Cargo],"00")</f>
        <v>2.026.04</v>
      </c>
      <c r="B12" s="200" t="s">
        <v>20</v>
      </c>
      <c r="C12" s="200" t="s">
        <v>1244</v>
      </c>
      <c r="D12" s="200" t="str" cm="1">
        <f t="array" ref="D12">IF(tabPostos[[#This Row],[Comarca]]="","",
_xlfn.LET(
_xlpm.MATRIZ_COMARCA, ","&amp;TRIM(UPPER(SUBSTITUTE(SUBSTITUTE(SUBSTITUTE(SUBSTITUTE(SUBSTITUTE(SUBSTITUTE(SUBSTITUTE(SUBSTITUTE(SUBSTITUTE(SUBSTITUTE(SUBSTITUTE(SUBSTITUTE(SUBSTITUTE(SUBSTITUTE(SUBSTITUTE(SUBSTITUTE(SUBSTITUTE(SUBSTITUTE(SUBSTITUTE(SUBSTITUTE(SUBSTITUTE(SUBSTITUTE(SUBSTITUTE(SUBSTITUTE(SUBSTITUTE(SUBSTITUTE(tabSindicatos[ABRANGÊNCIA],"á","a"),"ã","a"),"â","a"),"é","e"),"ê","e"),"í","i"),"ó","o"),"õ","o"),"ô","o"),"ú","u"),"ç","c"),"Á","a"),"Ã","a"),"Â","a"),"É","e"),"Ê","e"),"Í","i"),"Ó","o"),"Õ","o"),"Ô","o"),"Ú","u"),"Ç","c"),"/MG","")," e ",", ")," ",""),".","")))&amp;",",
_xlpm.MATRIZ_FUNCAO, ","&amp;TRIM(UPPER(SUBSTITUTE(SUBSTITUTE(SUBSTITUTE(SUBSTITUTE(SUBSTITUTE(SUBSTITUTE(SUBSTITUTE(SUBSTITUTE(SUBSTITUTE(SUBSTITUTE(SUBSTITUTE(SUBSTITUTE(SUBSTITUTE(SUBSTITUTE(SUBSTITUTE(SUBSTITUTE(SUBSTITUTE(SUBSTITUTE(SUBSTITUTE(SUBSTITUTE(SUBSTITUTE(SUBSTITUTE(SUBSTITUTE(SUBSTITUTE(SUBSTITUTE(tabSindicatos[FUNÇÕES],"á","a"),"ã","a"),"â","a"),"é","e"),"ê","e"),"í","i"),"ó","o"),"õ","o"),"ô","o"),"ú","u"),"ç","c"),"Á","a"),"Ã","a"),"Â","a"),"É","e"),"Ê","e"),"Í","i"),"Ó","o"),"Õ","o"),"Ô","o"),"Ú","u"),"Ç","c")," e ",", ")," ",""),".","")))&amp;",",
IFERROR(_xlfn._xlws.FILTER(tabSindicatos[SINDICATOS],
(ISNUMBER(SEARCH(","&amp;TRIM(UPPER(SUBSTITUTE(tabPostos[[#This Row],[Comarca]]," ","")))&amp;",",_xlpm.MATRIZ_COMARCA,1)))*
(ISNUMBER(SEARCH(","&amp;TRIM(SUBSTITUTE(SUBSTITUTE(SUBSTITUTE(UPPER(tabPostos[[#This Row],[Função]])," E ",", ")," ",""),".",""))&amp;",",_xlpm.MATRIZ_FUNCAO,1)))
),"")
))</f>
        <v>Regiao de Sao Lourenco</v>
      </c>
      <c r="E12" s="148" t="s">
        <v>9</v>
      </c>
      <c r="F12" s="148" t="s">
        <v>10</v>
      </c>
      <c r="G12" s="148">
        <v>1</v>
      </c>
      <c r="H12" s="148">
        <v>0</v>
      </c>
      <c r="I12" s="216">
        <f>798.14</f>
        <v>798.14</v>
      </c>
      <c r="J12" s="247">
        <f>VLOOKUP(tabPostos[[#This Row],[CCT DA CATEGORIA]],'RELAÇÃO SINDICATOS'!A:N,11,0)</f>
        <v>45658</v>
      </c>
      <c r="K12" s="148" t="str">
        <f>VLOOKUP(tabPostos[[#This Row],[CCT DA CATEGORIA]],'RELAÇÃO SINDICATOS'!A:N,12,0)</f>
        <v>-</v>
      </c>
      <c r="L12" s="148" t="str">
        <f>VLOOKUP(tabPostos[[#This Row],[CCT DA CATEGORIA]],'RELAÇÃO SINDICATOS'!A:N,13,0)</f>
        <v>-</v>
      </c>
      <c r="M12" s="148" t="str">
        <f>VLOOKUP(tabPostos[[#This Row],[CCT DA CATEGORIA]],'RELAÇÃO SINDICATOS'!A:N,14,0)</f>
        <v>MG000594/2025</v>
      </c>
    </row>
    <row r="13" spans="1:13" x14ac:dyDescent="0.25">
      <c r="A13" s="148" t="str" cm="1">
        <f t="array" ref="A13">_xlfn.XLOOKUP(tabPostos[[#This Row],[Fonte de Recursos]]&amp;tabPostos[[#This Row],[Classificação]],tabLotacao[Lotacao]&amp;tabLotacao[Tipo],tabLotacao[Codigo Lote],"0")&amp;"."&amp;_xlfn.XLOOKUP(tabPostos[[#This Row],[Comarca]],tabComarca[COMARCA],tabComarca[Codigo Comarca],"000")&amp;"."&amp;_xlfn.XLOOKUP(tabPostos[[#This Row],[Função]],tabCargos[Cargo],tabCargos[Codigo Cargo],"00")</f>
        <v>2.028.04</v>
      </c>
      <c r="B13" s="200" t="s">
        <v>21</v>
      </c>
      <c r="C13" s="200" t="s">
        <v>1244</v>
      </c>
      <c r="D13" s="200" t="str" cm="1">
        <f t="array" ref="D13">IF(tabPostos[[#This Row],[Comarca]]="","",
_xlfn.LET(
_xlpm.MATRIZ_COMARCA, ","&amp;TRIM(UPPER(SUBSTITUTE(SUBSTITUTE(SUBSTITUTE(SUBSTITUTE(SUBSTITUTE(SUBSTITUTE(SUBSTITUTE(SUBSTITUTE(SUBSTITUTE(SUBSTITUTE(SUBSTITUTE(SUBSTITUTE(SUBSTITUTE(SUBSTITUTE(SUBSTITUTE(SUBSTITUTE(SUBSTITUTE(SUBSTITUTE(SUBSTITUTE(SUBSTITUTE(SUBSTITUTE(SUBSTITUTE(SUBSTITUTE(SUBSTITUTE(SUBSTITUTE(SUBSTITUTE(tabSindicatos[ABRANGÊNCIA],"á","a"),"ã","a"),"â","a"),"é","e"),"ê","e"),"í","i"),"ó","o"),"õ","o"),"ô","o"),"ú","u"),"ç","c"),"Á","a"),"Ã","a"),"Â","a"),"É","e"),"Ê","e"),"Í","i"),"Ó","o"),"Õ","o"),"Ô","o"),"Ú","u"),"Ç","c"),"/MG","")," e ",", ")," ",""),".","")))&amp;",",
_xlpm.MATRIZ_FUNCAO, ","&amp;TRIM(UPPER(SUBSTITUTE(SUBSTITUTE(SUBSTITUTE(SUBSTITUTE(SUBSTITUTE(SUBSTITUTE(SUBSTITUTE(SUBSTITUTE(SUBSTITUTE(SUBSTITUTE(SUBSTITUTE(SUBSTITUTE(SUBSTITUTE(SUBSTITUTE(SUBSTITUTE(SUBSTITUTE(SUBSTITUTE(SUBSTITUTE(SUBSTITUTE(SUBSTITUTE(SUBSTITUTE(SUBSTITUTE(SUBSTITUTE(SUBSTITUTE(SUBSTITUTE(tabSindicatos[FUNÇÕES],"á","a"),"ã","a"),"â","a"),"é","e"),"ê","e"),"í","i"),"ó","o"),"õ","o"),"ô","o"),"ú","u"),"ç","c"),"Á","a"),"Ã","a"),"Â","a"),"É","e"),"Ê","e"),"Í","i"),"Ó","o"),"Õ","o"),"Ô","o"),"Ú","u"),"Ç","c")," e ",", ")," ",""),".","")))&amp;",",
IFERROR(_xlfn._xlws.FILTER(tabSindicatos[SINDICATOS],
(ISNUMBER(SEARCH(","&amp;TRIM(UPPER(SUBSTITUTE(tabPostos[[#This Row],[Comarca]]," ","")))&amp;",",_xlpm.MATRIZ_COMARCA,1)))*
(ISNUMBER(SEARCH(","&amp;TRIM(SUBSTITUTE(SUBSTITUTE(SUBSTITUTE(UPPER(tabPostos[[#This Row],[Função]])," E ",", ")," ",""),".",""))&amp;",",_xlpm.MATRIZ_FUNCAO,1)))
),"")
))</f>
        <v>Regiao de Sao Lourenco</v>
      </c>
      <c r="E13" s="148" t="s">
        <v>9</v>
      </c>
      <c r="F13" s="148" t="s">
        <v>10</v>
      </c>
      <c r="G13" s="148">
        <v>1</v>
      </c>
      <c r="H13" s="148">
        <v>0</v>
      </c>
      <c r="I13" s="216">
        <f>798.14</f>
        <v>798.14</v>
      </c>
      <c r="J13" s="247">
        <f>VLOOKUP(tabPostos[[#This Row],[CCT DA CATEGORIA]],'RELAÇÃO SINDICATOS'!A:N,11,0)</f>
        <v>45658</v>
      </c>
      <c r="K13" s="148" t="str">
        <f>VLOOKUP(tabPostos[[#This Row],[CCT DA CATEGORIA]],'RELAÇÃO SINDICATOS'!A:N,12,0)</f>
        <v>-</v>
      </c>
      <c r="L13" s="148" t="str">
        <f>VLOOKUP(tabPostos[[#This Row],[CCT DA CATEGORIA]],'RELAÇÃO SINDICATOS'!A:N,13,0)</f>
        <v>-</v>
      </c>
      <c r="M13" s="148" t="str">
        <f>VLOOKUP(tabPostos[[#This Row],[CCT DA CATEGORIA]],'RELAÇÃO SINDICATOS'!A:N,14,0)</f>
        <v>MG000594/2025</v>
      </c>
    </row>
    <row r="14" spans="1:13" x14ac:dyDescent="0.25">
      <c r="A14" s="148" t="str" cm="1">
        <f t="array" ref="A14">_xlfn.XLOOKUP(tabPostos[[#This Row],[Fonte de Recursos]]&amp;tabPostos[[#This Row],[Classificação]],tabLotacao[Lotacao]&amp;tabLotacao[Tipo],tabLotacao[Codigo Lote],"0")&amp;"."&amp;_xlfn.XLOOKUP(tabPostos[[#This Row],[Comarca]],tabComarca[COMARCA],tabComarca[Codigo Comarca],"000")&amp;"."&amp;_xlfn.XLOOKUP(tabPostos[[#This Row],[Função]],tabCargos[Cargo],tabCargos[Codigo Cargo],"00")</f>
        <v>2.034.04</v>
      </c>
      <c r="B14" s="200" t="s">
        <v>22</v>
      </c>
      <c r="C14" s="200" t="s">
        <v>1244</v>
      </c>
      <c r="D14" s="200" t="str" cm="1">
        <f t="array" ref="D14">IF(tabPostos[[#This Row],[Comarca]]="","",
_xlfn.LET(
_xlpm.MATRIZ_COMARCA, ","&amp;TRIM(UPPER(SUBSTITUTE(SUBSTITUTE(SUBSTITUTE(SUBSTITUTE(SUBSTITUTE(SUBSTITUTE(SUBSTITUTE(SUBSTITUTE(SUBSTITUTE(SUBSTITUTE(SUBSTITUTE(SUBSTITUTE(SUBSTITUTE(SUBSTITUTE(SUBSTITUTE(SUBSTITUTE(SUBSTITUTE(SUBSTITUTE(SUBSTITUTE(SUBSTITUTE(SUBSTITUTE(SUBSTITUTE(SUBSTITUTE(SUBSTITUTE(SUBSTITUTE(SUBSTITUTE(tabSindicatos[ABRANGÊNCIA],"á","a"),"ã","a"),"â","a"),"é","e"),"ê","e"),"í","i"),"ó","o"),"õ","o"),"ô","o"),"ú","u"),"ç","c"),"Á","a"),"Ã","a"),"Â","a"),"É","e"),"Ê","e"),"Í","i"),"Ó","o"),"Õ","o"),"Ô","o"),"Ú","u"),"Ç","c"),"/MG","")," e ",", ")," ",""),".","")))&amp;",",
_xlpm.MATRIZ_FUNCAO, ","&amp;TRIM(UPPER(SUBSTITUTE(SUBSTITUTE(SUBSTITUTE(SUBSTITUTE(SUBSTITUTE(SUBSTITUTE(SUBSTITUTE(SUBSTITUTE(SUBSTITUTE(SUBSTITUTE(SUBSTITUTE(SUBSTITUTE(SUBSTITUTE(SUBSTITUTE(SUBSTITUTE(SUBSTITUTE(SUBSTITUTE(SUBSTITUTE(SUBSTITUTE(SUBSTITUTE(SUBSTITUTE(SUBSTITUTE(SUBSTITUTE(SUBSTITUTE(SUBSTITUTE(tabSindicatos[FUNÇÕES],"á","a"),"ã","a"),"â","a"),"é","e"),"ê","e"),"í","i"),"ó","o"),"õ","o"),"ô","o"),"ú","u"),"ç","c"),"Á","a"),"Ã","a"),"Â","a"),"É","e"),"Ê","e"),"Í","i"),"Ó","o"),"Õ","o"),"Ô","o"),"Ú","u"),"Ç","c")," e ",", ")," ",""),".","")))&amp;",",
IFERROR(_xlfn._xlws.FILTER(tabSindicatos[SINDICATOS],
(ISNUMBER(SEARCH(","&amp;TRIM(UPPER(SUBSTITUTE(tabPostos[[#This Row],[Comarca]]," ","")))&amp;",",_xlpm.MATRIZ_COMARCA,1)))*
(ISNUMBER(SEARCH(","&amp;TRIM(SUBSTITUTE(SUBSTITUTE(SUBSTITUTE(UPPER(tabPostos[[#This Row],[Função]])," E ",", ")," ",""),".",""))&amp;",",_xlpm.MATRIZ_FUNCAO,1)))
),"")
))</f>
        <v>Fethemg Interior</v>
      </c>
      <c r="E14" s="148" t="s">
        <v>9</v>
      </c>
      <c r="F14" s="148" t="s">
        <v>10</v>
      </c>
      <c r="G14" s="148">
        <v>1</v>
      </c>
      <c r="H14" s="148">
        <v>0</v>
      </c>
      <c r="I14" s="216">
        <f>798.14</f>
        <v>798.14</v>
      </c>
      <c r="J14" s="247">
        <f>VLOOKUP(tabPostos[[#This Row],[CCT DA CATEGORIA]],'RELAÇÃO SINDICATOS'!A:N,11,0)</f>
        <v>45658</v>
      </c>
      <c r="K14" s="148" t="str">
        <f>VLOOKUP(tabPostos[[#This Row],[CCT DA CATEGORIA]],'RELAÇÃO SINDICATOS'!A:N,12,0)</f>
        <v>-</v>
      </c>
      <c r="L14" s="148" t="str">
        <f>VLOOKUP(tabPostos[[#This Row],[CCT DA CATEGORIA]],'RELAÇÃO SINDICATOS'!A:N,13,0)</f>
        <v>-</v>
      </c>
      <c r="M14" s="148" t="str">
        <f>VLOOKUP(tabPostos[[#This Row],[CCT DA CATEGORIA]],'RELAÇÃO SINDICATOS'!A:N,14,0)</f>
        <v>MG004482/2024</v>
      </c>
    </row>
    <row r="15" spans="1:13" x14ac:dyDescent="0.25">
      <c r="A15" s="148" t="str" cm="1">
        <f t="array" ref="A15">_xlfn.XLOOKUP(tabPostos[[#This Row],[Fonte de Recursos]]&amp;tabPostos[[#This Row],[Classificação]],tabLotacao[Lotacao]&amp;tabLotacao[Tipo],tabLotacao[Codigo Lote],"0")&amp;"."&amp;_xlfn.XLOOKUP(tabPostos[[#This Row],[Comarca]],tabComarca[COMARCA],tabComarca[Codigo Comarca],"000")&amp;"."&amp;_xlfn.XLOOKUP(tabPostos[[#This Row],[Função]],tabCargos[Cargo],tabCargos[Codigo Cargo],"00")</f>
        <v>2.035.06</v>
      </c>
      <c r="B15" s="200" t="s">
        <v>23</v>
      </c>
      <c r="C15" s="200" t="s">
        <v>1245</v>
      </c>
      <c r="D15" s="200" t="str" cm="1">
        <f t="array" ref="D15">IF(tabPostos[[#This Row],[Comarca]]="","",
_xlfn.LET(
_xlpm.MATRIZ_COMARCA, ","&amp;TRIM(UPPER(SUBSTITUTE(SUBSTITUTE(SUBSTITUTE(SUBSTITUTE(SUBSTITUTE(SUBSTITUTE(SUBSTITUTE(SUBSTITUTE(SUBSTITUTE(SUBSTITUTE(SUBSTITUTE(SUBSTITUTE(SUBSTITUTE(SUBSTITUTE(SUBSTITUTE(SUBSTITUTE(SUBSTITUTE(SUBSTITUTE(SUBSTITUTE(SUBSTITUTE(SUBSTITUTE(SUBSTITUTE(SUBSTITUTE(SUBSTITUTE(SUBSTITUTE(SUBSTITUTE(tabSindicatos[ABRANGÊNCIA],"á","a"),"ã","a"),"â","a"),"é","e"),"ê","e"),"í","i"),"ó","o"),"õ","o"),"ô","o"),"ú","u"),"ç","c"),"Á","a"),"Ã","a"),"Â","a"),"É","e"),"Ê","e"),"Í","i"),"Ó","o"),"Õ","o"),"Ô","o"),"Ú","u"),"Ç","c"),"/MG","")," e ",", ")," ",""),".","")))&amp;",",
_xlpm.MATRIZ_FUNCAO, ","&amp;TRIM(UPPER(SUBSTITUTE(SUBSTITUTE(SUBSTITUTE(SUBSTITUTE(SUBSTITUTE(SUBSTITUTE(SUBSTITUTE(SUBSTITUTE(SUBSTITUTE(SUBSTITUTE(SUBSTITUTE(SUBSTITUTE(SUBSTITUTE(SUBSTITUTE(SUBSTITUTE(SUBSTITUTE(SUBSTITUTE(SUBSTITUTE(SUBSTITUTE(SUBSTITUTE(SUBSTITUTE(SUBSTITUTE(SUBSTITUTE(SUBSTITUTE(SUBSTITUTE(tabSindicatos[FUNÇÕES],"á","a"),"ã","a"),"â","a"),"é","e"),"ê","e"),"í","i"),"ó","o"),"õ","o"),"ô","o"),"ú","u"),"ç","c"),"Á","a"),"Ã","a"),"Â","a"),"É","e"),"Ê","e"),"Í","i"),"Ó","o"),"Õ","o"),"Ô","o"),"Ú","u"),"Ç","c")," e ",", ")," ",""),".","")))&amp;",",
IFERROR(_xlfn._xlws.FILTER(tabSindicatos[SINDICATOS],
(ISNUMBER(SEARCH(","&amp;TRIM(UPPER(SUBSTITUTE(tabPostos[[#This Row],[Comarca]]," ","")))&amp;",",_xlpm.MATRIZ_COMARCA,1)))*
(ISNUMBER(SEARCH(","&amp;TRIM(SUBSTITUTE(SUBSTITUTE(SUBSTITUTE(UPPER(tabPostos[[#This Row],[Função]])," E ",", ")," ",""),".",""))&amp;",",_xlpm.MATRIZ_FUNCAO,1)))
),"")
))</f>
        <v>Alto Paranaiba</v>
      </c>
      <c r="E15" s="148" t="s">
        <v>9</v>
      </c>
      <c r="F15" s="148" t="s">
        <v>10</v>
      </c>
      <c r="G15" s="148">
        <v>2</v>
      </c>
      <c r="H15" s="148">
        <v>0</v>
      </c>
      <c r="I15" s="216">
        <f>1596.28</f>
        <v>1596.28</v>
      </c>
      <c r="J15" s="247">
        <f>VLOOKUP(tabPostos[[#This Row],[CCT DA CATEGORIA]],'RELAÇÃO SINDICATOS'!A:N,11,0)</f>
        <v>45658</v>
      </c>
      <c r="K15" s="148" t="str">
        <f>VLOOKUP(tabPostos[[#This Row],[CCT DA CATEGORIA]],'RELAÇÃO SINDICATOS'!A:N,12,0)</f>
        <v>-</v>
      </c>
      <c r="L15" s="148" t="str">
        <f>VLOOKUP(tabPostos[[#This Row],[CCT DA CATEGORIA]],'RELAÇÃO SINDICATOS'!A:N,13,0)</f>
        <v>-</v>
      </c>
      <c r="M15" s="148" t="str">
        <f>VLOOKUP(tabPostos[[#This Row],[CCT DA CATEGORIA]],'RELAÇÃO SINDICATOS'!A:N,14,0)</f>
        <v>MG001106/2025</v>
      </c>
    </row>
    <row r="16" spans="1:13" x14ac:dyDescent="0.25">
      <c r="A16" s="148" t="str" cm="1">
        <f t="array" ref="A16">_xlfn.XLOOKUP(tabPostos[[#This Row],[Fonte de Recursos]]&amp;tabPostos[[#This Row],[Classificação]],tabLotacao[Lotacao]&amp;tabLotacao[Tipo],tabLotacao[Codigo Lote],"0")&amp;"."&amp;_xlfn.XLOOKUP(tabPostos[[#This Row],[Comarca]],tabComarca[COMARCA],tabComarca[Codigo Comarca],"000")&amp;"."&amp;_xlfn.XLOOKUP(tabPostos[[#This Row],[Função]],tabCargos[Cargo],tabCargos[Codigo Cargo],"00")</f>
        <v>2.040.06</v>
      </c>
      <c r="B16" s="200" t="s">
        <v>24</v>
      </c>
      <c r="C16" s="200" t="s">
        <v>1245</v>
      </c>
      <c r="D16" s="200" t="str" cm="1">
        <f t="array" ref="D16">IF(tabPostos[[#This Row],[Comarca]]="","",
_xlfn.LET(
_xlpm.MATRIZ_COMARCA, ","&amp;TRIM(UPPER(SUBSTITUTE(SUBSTITUTE(SUBSTITUTE(SUBSTITUTE(SUBSTITUTE(SUBSTITUTE(SUBSTITUTE(SUBSTITUTE(SUBSTITUTE(SUBSTITUTE(SUBSTITUTE(SUBSTITUTE(SUBSTITUTE(SUBSTITUTE(SUBSTITUTE(SUBSTITUTE(SUBSTITUTE(SUBSTITUTE(SUBSTITUTE(SUBSTITUTE(SUBSTITUTE(SUBSTITUTE(SUBSTITUTE(SUBSTITUTE(SUBSTITUTE(SUBSTITUTE(tabSindicatos[ABRANGÊNCIA],"á","a"),"ã","a"),"â","a"),"é","e"),"ê","e"),"í","i"),"ó","o"),"õ","o"),"ô","o"),"ú","u"),"ç","c"),"Á","a"),"Ã","a"),"Â","a"),"É","e"),"Ê","e"),"Í","i"),"Ó","o"),"Õ","o"),"Ô","o"),"Ú","u"),"Ç","c"),"/MG","")," e ",", ")," ",""),".","")))&amp;",",
_xlpm.MATRIZ_FUNCAO, ","&amp;TRIM(UPPER(SUBSTITUTE(SUBSTITUTE(SUBSTITUTE(SUBSTITUTE(SUBSTITUTE(SUBSTITUTE(SUBSTITUTE(SUBSTITUTE(SUBSTITUTE(SUBSTITUTE(SUBSTITUTE(SUBSTITUTE(SUBSTITUTE(SUBSTITUTE(SUBSTITUTE(SUBSTITUTE(SUBSTITUTE(SUBSTITUTE(SUBSTITUTE(SUBSTITUTE(SUBSTITUTE(SUBSTITUTE(SUBSTITUTE(SUBSTITUTE(SUBSTITUTE(tabSindicatos[FUNÇÕES],"á","a"),"ã","a"),"â","a"),"é","e"),"ê","e"),"í","i"),"ó","o"),"õ","o"),"ô","o"),"ú","u"),"ç","c"),"Á","a"),"Ã","a"),"Â","a"),"É","e"),"Ê","e"),"Í","i"),"Ó","o"),"Õ","o"),"Ô","o"),"Ú","u"),"Ç","c")," e ",", ")," ",""),".","")))&amp;",",
IFERROR(_xlfn._xlws.FILTER(tabSindicatos[SINDICATOS],
(ISNUMBER(SEARCH(","&amp;TRIM(UPPER(SUBSTITUTE(tabPostos[[#This Row],[Comarca]]," ","")))&amp;",",_xlpm.MATRIZ_COMARCA,1)))*
(ISNUMBER(SEARCH(","&amp;TRIM(SUBSTITUTE(SUBSTITUTE(SUBSTITUTE(UPPER(tabPostos[[#This Row],[Função]])," E ",", ")," ",""),".",""))&amp;",",_xlpm.MATRIZ_FUNCAO,1)))
),"")
))</f>
        <v>Araxa</v>
      </c>
      <c r="E16" s="148" t="s">
        <v>9</v>
      </c>
      <c r="F16" s="148" t="s">
        <v>10</v>
      </c>
      <c r="G16" s="148">
        <v>2</v>
      </c>
      <c r="H16" s="148">
        <v>0</v>
      </c>
      <c r="I16" s="216">
        <f>1649.12</f>
        <v>1649.12</v>
      </c>
      <c r="J16" s="247">
        <f>VLOOKUP(tabPostos[[#This Row],[CCT DA CATEGORIA]],'RELAÇÃO SINDICATOS'!A:N,11,0)</f>
        <v>45658</v>
      </c>
      <c r="K16" s="148" t="str">
        <f>VLOOKUP(tabPostos[[#This Row],[CCT DA CATEGORIA]],'RELAÇÃO SINDICATOS'!A:N,12,0)</f>
        <v>-</v>
      </c>
      <c r="L16" s="148" t="str">
        <f>VLOOKUP(tabPostos[[#This Row],[CCT DA CATEGORIA]],'RELAÇÃO SINDICATOS'!A:N,13,0)</f>
        <v>-</v>
      </c>
      <c r="M16" s="148" t="str">
        <f>VLOOKUP(tabPostos[[#This Row],[CCT DA CATEGORIA]],'RELAÇÃO SINDICATOS'!A:N,14,0)</f>
        <v>MG000344/2025</v>
      </c>
    </row>
    <row r="17" spans="1:13" x14ac:dyDescent="0.25">
      <c r="A17" s="148" t="str" cm="1">
        <f t="array" ref="A17">_xlfn.XLOOKUP(tabPostos[[#This Row],[Fonte de Recursos]]&amp;tabPostos[[#This Row],[Classificação]],tabLotacao[Lotacao]&amp;tabLotacao[Tipo],tabLotacao[Codigo Lote],"0")&amp;"."&amp;_xlfn.XLOOKUP(tabPostos[[#This Row],[Comarca]],tabComarca[COMARCA],tabComarca[Codigo Comarca],"000")&amp;"."&amp;_xlfn.XLOOKUP(tabPostos[[#This Row],[Função]],tabCargos[Cargo],tabCargos[Codigo Cargo],"00")</f>
        <v>2.042.03</v>
      </c>
      <c r="B17" s="200" t="s">
        <v>25</v>
      </c>
      <c r="C17" s="200" t="s">
        <v>1247</v>
      </c>
      <c r="D17" s="200" t="str" cm="1">
        <f t="array" ref="D17">IF(tabPostos[[#This Row],[Comarca]]="","",
_xlfn.LET(
_xlpm.MATRIZ_COMARCA, ","&amp;TRIM(UPPER(SUBSTITUTE(SUBSTITUTE(SUBSTITUTE(SUBSTITUTE(SUBSTITUTE(SUBSTITUTE(SUBSTITUTE(SUBSTITUTE(SUBSTITUTE(SUBSTITUTE(SUBSTITUTE(SUBSTITUTE(SUBSTITUTE(SUBSTITUTE(SUBSTITUTE(SUBSTITUTE(SUBSTITUTE(SUBSTITUTE(SUBSTITUTE(SUBSTITUTE(SUBSTITUTE(SUBSTITUTE(SUBSTITUTE(SUBSTITUTE(SUBSTITUTE(SUBSTITUTE(tabSindicatos[ABRANGÊNCIA],"á","a"),"ã","a"),"â","a"),"é","e"),"ê","e"),"í","i"),"ó","o"),"õ","o"),"ô","o"),"ú","u"),"ç","c"),"Á","a"),"Ã","a"),"Â","a"),"É","e"),"Ê","e"),"Í","i"),"Ó","o"),"Õ","o"),"Ô","o"),"Ú","u"),"Ç","c"),"/MG","")," e ",", ")," ",""),".","")))&amp;",",
_xlpm.MATRIZ_FUNCAO, ","&amp;TRIM(UPPER(SUBSTITUTE(SUBSTITUTE(SUBSTITUTE(SUBSTITUTE(SUBSTITUTE(SUBSTITUTE(SUBSTITUTE(SUBSTITUTE(SUBSTITUTE(SUBSTITUTE(SUBSTITUTE(SUBSTITUTE(SUBSTITUTE(SUBSTITUTE(SUBSTITUTE(SUBSTITUTE(SUBSTITUTE(SUBSTITUTE(SUBSTITUTE(SUBSTITUTE(SUBSTITUTE(SUBSTITUTE(SUBSTITUTE(SUBSTITUTE(SUBSTITUTE(tabSindicatos[FUNÇÕES],"á","a"),"ã","a"),"â","a"),"é","e"),"ê","e"),"í","i"),"ó","o"),"õ","o"),"ô","o"),"ú","u"),"ç","c"),"Á","a"),"Ã","a"),"Â","a"),"É","e"),"Ê","e"),"Í","i"),"Ó","o"),"Õ","o"),"Ô","o"),"Ú","u"),"Ç","c")," e ",", ")," ",""),".","")))&amp;",",
IFERROR(_xlfn._xlws.FILTER(tabSindicatos[SINDICATOS],
(ISNUMBER(SEARCH(","&amp;TRIM(UPPER(SUBSTITUTE(tabPostos[[#This Row],[Comarca]]," ","")))&amp;",",_xlpm.MATRIZ_COMARCA,1)))*
(ISNUMBER(SEARCH(","&amp;TRIM(SUBSTITUTE(SUBSTITUTE(SUBSTITUTE(UPPER(tabPostos[[#This Row],[Função]])," E ",", ")," ",""),".",""))&amp;",",_xlpm.MATRIZ_FUNCAO,1)))
),"")
))</f>
        <v>Regiao de Divinopolis</v>
      </c>
      <c r="E17" s="148" t="s">
        <v>9</v>
      </c>
      <c r="F17" s="148" t="s">
        <v>10</v>
      </c>
      <c r="G17" s="148">
        <v>1</v>
      </c>
      <c r="H17" s="148">
        <v>0</v>
      </c>
      <c r="I17" s="216">
        <f>544.18</f>
        <v>544.17999999999995</v>
      </c>
      <c r="J17" s="247">
        <f>VLOOKUP(tabPostos[[#This Row],[CCT DA CATEGORIA]],'RELAÇÃO SINDICATOS'!A:N,11,0)</f>
        <v>45658</v>
      </c>
      <c r="K17" s="148" t="str">
        <f>VLOOKUP(tabPostos[[#This Row],[CCT DA CATEGORIA]],'RELAÇÃO SINDICATOS'!A:N,12,0)</f>
        <v>-</v>
      </c>
      <c r="L17" s="148" t="str">
        <f>VLOOKUP(tabPostos[[#This Row],[CCT DA CATEGORIA]],'RELAÇÃO SINDICATOS'!A:N,13,0)</f>
        <v>-</v>
      </c>
      <c r="M17" s="148" t="str">
        <f>VLOOKUP(tabPostos[[#This Row],[CCT DA CATEGORIA]],'RELAÇÃO SINDICATOS'!A:N,14,0)</f>
        <v>MG001011/2025</v>
      </c>
    </row>
    <row r="18" spans="1:13" x14ac:dyDescent="0.25">
      <c r="A18" s="148" t="str" cm="1">
        <f t="array" ref="A18">_xlfn.XLOOKUP(tabPostos[[#This Row],[Fonte de Recursos]]&amp;tabPostos[[#This Row],[Classificação]],tabLotacao[Lotacao]&amp;tabLotacao[Tipo],tabLotacao[Codigo Lote],"0")&amp;"."&amp;_xlfn.XLOOKUP(tabPostos[[#This Row],[Comarca]],tabComarca[COMARCA],tabComarca[Codigo Comarca],"000")&amp;"."&amp;_xlfn.XLOOKUP(tabPostos[[#This Row],[Função]],tabCargos[Cargo],tabCargos[Codigo Cargo],"00")</f>
        <v>2.043.04</v>
      </c>
      <c r="B18" s="200" t="s">
        <v>26</v>
      </c>
      <c r="C18" s="200" t="s">
        <v>1244</v>
      </c>
      <c r="D18" s="200" t="str" cm="1">
        <f t="array" ref="D18">IF(tabPostos[[#This Row],[Comarca]]="","",
_xlfn.LET(
_xlpm.MATRIZ_COMARCA, ","&amp;TRIM(UPPER(SUBSTITUTE(SUBSTITUTE(SUBSTITUTE(SUBSTITUTE(SUBSTITUTE(SUBSTITUTE(SUBSTITUTE(SUBSTITUTE(SUBSTITUTE(SUBSTITUTE(SUBSTITUTE(SUBSTITUTE(SUBSTITUTE(SUBSTITUTE(SUBSTITUTE(SUBSTITUTE(SUBSTITUTE(SUBSTITUTE(SUBSTITUTE(SUBSTITUTE(SUBSTITUTE(SUBSTITUTE(SUBSTITUTE(SUBSTITUTE(SUBSTITUTE(SUBSTITUTE(tabSindicatos[ABRANGÊNCIA],"á","a"),"ã","a"),"â","a"),"é","e"),"ê","e"),"í","i"),"ó","o"),"õ","o"),"ô","o"),"ú","u"),"ç","c"),"Á","a"),"Ã","a"),"Â","a"),"É","e"),"Ê","e"),"Í","i"),"Ó","o"),"Õ","o"),"Ô","o"),"Ú","u"),"Ç","c"),"/MG","")," e ",", ")," ",""),".","")))&amp;",",
_xlpm.MATRIZ_FUNCAO, ","&amp;TRIM(UPPER(SUBSTITUTE(SUBSTITUTE(SUBSTITUTE(SUBSTITUTE(SUBSTITUTE(SUBSTITUTE(SUBSTITUTE(SUBSTITUTE(SUBSTITUTE(SUBSTITUTE(SUBSTITUTE(SUBSTITUTE(SUBSTITUTE(SUBSTITUTE(SUBSTITUTE(SUBSTITUTE(SUBSTITUTE(SUBSTITUTE(SUBSTITUTE(SUBSTITUTE(SUBSTITUTE(SUBSTITUTE(SUBSTITUTE(SUBSTITUTE(SUBSTITUTE(tabSindicatos[FUNÇÕES],"á","a"),"ã","a"),"â","a"),"é","e"),"ê","e"),"í","i"),"ó","o"),"õ","o"),"ô","o"),"ú","u"),"ç","c"),"Á","a"),"Ã","a"),"Â","a"),"É","e"),"Ê","e"),"Í","i"),"Ó","o"),"Õ","o"),"Ô","o"),"Ú","u"),"Ç","c")," e ",", ")," ",""),".","")))&amp;",",
IFERROR(_xlfn._xlws.FILTER(tabSindicatos[SINDICATOS],
(ISNUMBER(SEARCH(","&amp;TRIM(UPPER(SUBSTITUTE(tabPostos[[#This Row],[Comarca]]," ","")))&amp;",",_xlpm.MATRIZ_COMARCA,1)))*
(ISNUMBER(SEARCH(","&amp;TRIM(SUBSTITUTE(SUBSTITUTE(SUBSTITUTE(UPPER(tabPostos[[#This Row],[Função]])," E ",", ")," ",""),".",""))&amp;",",_xlpm.MATRIZ_FUNCAO,1)))
),"")
))</f>
        <v>Regiao de Sao Lourenco</v>
      </c>
      <c r="E18" s="148" t="s">
        <v>9</v>
      </c>
      <c r="F18" s="148" t="s">
        <v>10</v>
      </c>
      <c r="G18" s="148">
        <v>1</v>
      </c>
      <c r="H18" s="148">
        <v>0</v>
      </c>
      <c r="I18" s="216">
        <f>798.14</f>
        <v>798.14</v>
      </c>
      <c r="J18" s="247">
        <f>VLOOKUP(tabPostos[[#This Row],[CCT DA CATEGORIA]],'RELAÇÃO SINDICATOS'!A:N,11,0)</f>
        <v>45658</v>
      </c>
      <c r="K18" s="148" t="str">
        <f>VLOOKUP(tabPostos[[#This Row],[CCT DA CATEGORIA]],'RELAÇÃO SINDICATOS'!A:N,12,0)</f>
        <v>-</v>
      </c>
      <c r="L18" s="148" t="str">
        <f>VLOOKUP(tabPostos[[#This Row],[CCT DA CATEGORIA]],'RELAÇÃO SINDICATOS'!A:N,13,0)</f>
        <v>-</v>
      </c>
      <c r="M18" s="148" t="str">
        <f>VLOOKUP(tabPostos[[#This Row],[CCT DA CATEGORIA]],'RELAÇÃO SINDICATOS'!A:N,14,0)</f>
        <v>MG000594/2025</v>
      </c>
    </row>
    <row r="19" spans="1:13" x14ac:dyDescent="0.25">
      <c r="A19" s="148" t="str" cm="1">
        <f t="array" ref="A19">_xlfn.XLOOKUP(tabPostos[[#This Row],[Fonte de Recursos]]&amp;tabPostos[[#This Row],[Classificação]],tabLotacao[Lotacao]&amp;tabLotacao[Tipo],tabLotacao[Codigo Lote],"0")&amp;"."&amp;_xlfn.XLOOKUP(tabPostos[[#This Row],[Comarca]],tabComarca[COMARCA],tabComarca[Codigo Comarca],"000")&amp;"."&amp;_xlfn.XLOOKUP(tabPostos[[#This Row],[Função]],tabCargos[Cargo],tabCargos[Codigo Cargo],"00")</f>
        <v>2.778.03</v>
      </c>
      <c r="B19" s="200" t="s">
        <v>27</v>
      </c>
      <c r="C19" s="200" t="s">
        <v>1247</v>
      </c>
      <c r="D19" s="200" t="str" cm="1">
        <f t="array" ref="D19">IF(tabPostos[[#This Row],[Comarca]]="","",
_xlfn.LET(
_xlpm.MATRIZ_COMARCA, ","&amp;TRIM(UPPER(SUBSTITUTE(SUBSTITUTE(SUBSTITUTE(SUBSTITUTE(SUBSTITUTE(SUBSTITUTE(SUBSTITUTE(SUBSTITUTE(SUBSTITUTE(SUBSTITUTE(SUBSTITUTE(SUBSTITUTE(SUBSTITUTE(SUBSTITUTE(SUBSTITUTE(SUBSTITUTE(SUBSTITUTE(SUBSTITUTE(SUBSTITUTE(SUBSTITUTE(SUBSTITUTE(SUBSTITUTE(SUBSTITUTE(SUBSTITUTE(SUBSTITUTE(SUBSTITUTE(tabSindicatos[ABRANGÊNCIA],"á","a"),"ã","a"),"â","a"),"é","e"),"ê","e"),"í","i"),"ó","o"),"õ","o"),"ô","o"),"ú","u"),"ç","c"),"Á","a"),"Ã","a"),"Â","a"),"É","e"),"Ê","e"),"Í","i"),"Ó","o"),"Õ","o"),"Ô","o"),"Ú","u"),"Ç","c"),"/MG","")," e ",", ")," ",""),".","")))&amp;",",
_xlpm.MATRIZ_FUNCAO, ","&amp;TRIM(UPPER(SUBSTITUTE(SUBSTITUTE(SUBSTITUTE(SUBSTITUTE(SUBSTITUTE(SUBSTITUTE(SUBSTITUTE(SUBSTITUTE(SUBSTITUTE(SUBSTITUTE(SUBSTITUTE(SUBSTITUTE(SUBSTITUTE(SUBSTITUTE(SUBSTITUTE(SUBSTITUTE(SUBSTITUTE(SUBSTITUTE(SUBSTITUTE(SUBSTITUTE(SUBSTITUTE(SUBSTITUTE(SUBSTITUTE(SUBSTITUTE(SUBSTITUTE(tabSindicatos[FUNÇÕES],"á","a"),"ã","a"),"â","a"),"é","e"),"ê","e"),"í","i"),"ó","o"),"õ","o"),"ô","o"),"ú","u"),"ç","c"),"Á","a"),"Ã","a"),"Â","a"),"É","e"),"Ê","e"),"Í","i"),"Ó","o"),"Õ","o"),"Ô","o"),"Ú","u"),"Ç","c")," e ",", ")," ",""),".","")))&amp;",",
IFERROR(_xlfn._xlws.FILTER(tabSindicatos[SINDICATOS],
(ISNUMBER(SEARCH(","&amp;TRIM(UPPER(SUBSTITUTE(tabPostos[[#This Row],[Comarca]]," ","")))&amp;",",_xlpm.MATRIZ_COMARCA,1)))*
(ISNUMBER(SEARCH(","&amp;TRIM(SUBSTITUTE(SUBSTITUTE(SUBSTITUTE(UPPER(tabPostos[[#This Row],[Função]])," E ",", ")," ",""),".",""))&amp;",",_xlpm.MATRIZ_FUNCAO,1)))
),"")
))</f>
        <v>Fethemg Interior</v>
      </c>
      <c r="E19" s="148" t="s">
        <v>9</v>
      </c>
      <c r="F19" s="148" t="s">
        <v>10</v>
      </c>
      <c r="G19" s="148">
        <v>1</v>
      </c>
      <c r="H19" s="148">
        <v>0</v>
      </c>
      <c r="I19" s="216">
        <f>544.18</f>
        <v>544.17999999999995</v>
      </c>
      <c r="J19" s="247">
        <f>VLOOKUP(tabPostos[[#This Row],[CCT DA CATEGORIA]],'RELAÇÃO SINDICATOS'!A:N,11,0)</f>
        <v>45658</v>
      </c>
      <c r="K19" s="148" t="str">
        <f>VLOOKUP(tabPostos[[#This Row],[CCT DA CATEGORIA]],'RELAÇÃO SINDICATOS'!A:N,12,0)</f>
        <v>-</v>
      </c>
      <c r="L19" s="148" t="str">
        <f>VLOOKUP(tabPostos[[#This Row],[CCT DA CATEGORIA]],'RELAÇÃO SINDICATOS'!A:N,13,0)</f>
        <v>-</v>
      </c>
      <c r="M19" s="148" t="str">
        <f>VLOOKUP(tabPostos[[#This Row],[CCT DA CATEGORIA]],'RELAÇÃO SINDICATOS'!A:N,14,0)</f>
        <v>MG004482/2024</v>
      </c>
    </row>
    <row r="20" spans="1:13" x14ac:dyDescent="0.25">
      <c r="A20" s="148" t="str" cm="1">
        <f t="array" ref="A20">_xlfn.XLOOKUP(tabPostos[[#This Row],[Fonte de Recursos]]&amp;tabPostos[[#This Row],[Classificação]],tabLotacao[Lotacao]&amp;tabLotacao[Tipo],tabLotacao[Codigo Lote],"0")&amp;"."&amp;_xlfn.XLOOKUP(tabPostos[[#This Row],[Comarca]],tabComarca[COMARCA],tabComarca[Codigo Comarca],"000")&amp;"."&amp;_xlfn.XLOOKUP(tabPostos[[#This Row],[Função]],tabCargos[Cargo],tabCargos[Codigo Cargo],"00")</f>
        <v>2.049.03</v>
      </c>
      <c r="B20" s="200" t="s">
        <v>28</v>
      </c>
      <c r="C20" s="200" t="s">
        <v>1247</v>
      </c>
      <c r="D20" s="200" t="str" cm="1">
        <f t="array" ref="D20">IF(tabPostos[[#This Row],[Comarca]]="","",
_xlfn.LET(
_xlpm.MATRIZ_COMARCA, ","&amp;TRIM(UPPER(SUBSTITUTE(SUBSTITUTE(SUBSTITUTE(SUBSTITUTE(SUBSTITUTE(SUBSTITUTE(SUBSTITUTE(SUBSTITUTE(SUBSTITUTE(SUBSTITUTE(SUBSTITUTE(SUBSTITUTE(SUBSTITUTE(SUBSTITUTE(SUBSTITUTE(SUBSTITUTE(SUBSTITUTE(SUBSTITUTE(SUBSTITUTE(SUBSTITUTE(SUBSTITUTE(SUBSTITUTE(SUBSTITUTE(SUBSTITUTE(SUBSTITUTE(SUBSTITUTE(tabSindicatos[ABRANGÊNCIA],"á","a"),"ã","a"),"â","a"),"é","e"),"ê","e"),"í","i"),"ó","o"),"õ","o"),"ô","o"),"ú","u"),"ç","c"),"Á","a"),"Ã","a"),"Â","a"),"É","e"),"Ê","e"),"Í","i"),"Ó","o"),"Õ","o"),"Ô","o"),"Ú","u"),"Ç","c"),"/MG","")," e ",", ")," ",""),".","")))&amp;",",
_xlpm.MATRIZ_FUNCAO, ","&amp;TRIM(UPPER(SUBSTITUTE(SUBSTITUTE(SUBSTITUTE(SUBSTITUTE(SUBSTITUTE(SUBSTITUTE(SUBSTITUTE(SUBSTITUTE(SUBSTITUTE(SUBSTITUTE(SUBSTITUTE(SUBSTITUTE(SUBSTITUTE(SUBSTITUTE(SUBSTITUTE(SUBSTITUTE(SUBSTITUTE(SUBSTITUTE(SUBSTITUTE(SUBSTITUTE(SUBSTITUTE(SUBSTITUTE(SUBSTITUTE(SUBSTITUTE(SUBSTITUTE(tabSindicatos[FUNÇÕES],"á","a"),"ã","a"),"â","a"),"é","e"),"ê","e"),"í","i"),"ó","o"),"õ","o"),"ô","o"),"ú","u"),"ç","c"),"Á","a"),"Ã","a"),"Â","a"),"É","e"),"Ê","e"),"Í","i"),"Ó","o"),"Õ","o"),"Ô","o"),"Ú","u"),"Ç","c")," e ",", ")," ",""),".","")))&amp;",",
IFERROR(_xlfn._xlws.FILTER(tabSindicatos[SINDICATOS],
(ISNUMBER(SEARCH(","&amp;TRIM(UPPER(SUBSTITUTE(tabPostos[[#This Row],[Comarca]]," ","")))&amp;",",_xlpm.MATRIZ_COMARCA,1)))*
(ISNUMBER(SEARCH(","&amp;TRIM(SUBSTITUTE(SUBSTITUTE(SUBSTITUTE(UPPER(tabPostos[[#This Row],[Função]])," E ",", ")," ",""),".",""))&amp;",",_xlpm.MATRIZ_FUNCAO,1)))
),"")
))</f>
        <v>Regiao de Sao Lourenco</v>
      </c>
      <c r="E20" s="148" t="s">
        <v>9</v>
      </c>
      <c r="F20" s="148" t="s">
        <v>10</v>
      </c>
      <c r="G20" s="148">
        <v>1</v>
      </c>
      <c r="H20" s="148">
        <v>0</v>
      </c>
      <c r="I20" s="216">
        <f>544.18</f>
        <v>544.17999999999995</v>
      </c>
      <c r="J20" s="247">
        <f>VLOOKUP(tabPostos[[#This Row],[CCT DA CATEGORIA]],'RELAÇÃO SINDICATOS'!A:N,11,0)</f>
        <v>45658</v>
      </c>
      <c r="K20" s="148" t="str">
        <f>VLOOKUP(tabPostos[[#This Row],[CCT DA CATEGORIA]],'RELAÇÃO SINDICATOS'!A:N,12,0)</f>
        <v>-</v>
      </c>
      <c r="L20" s="148" t="str">
        <f>VLOOKUP(tabPostos[[#This Row],[CCT DA CATEGORIA]],'RELAÇÃO SINDICATOS'!A:N,13,0)</f>
        <v>-</v>
      </c>
      <c r="M20" s="148" t="str">
        <f>VLOOKUP(tabPostos[[#This Row],[CCT DA CATEGORIA]],'RELAÇÃO SINDICATOS'!A:N,14,0)</f>
        <v>MG000594/2025</v>
      </c>
    </row>
    <row r="21" spans="1:13" x14ac:dyDescent="0.25">
      <c r="A21" s="148" t="str" cm="1">
        <f t="array" ref="A21">_xlfn.XLOOKUP(tabPostos[[#This Row],[Fonte de Recursos]]&amp;tabPostos[[#This Row],[Classificação]],tabLotacao[Lotacao]&amp;tabLotacao[Tipo],tabLotacao[Codigo Lote],"0")&amp;"."&amp;_xlfn.XLOOKUP(tabPostos[[#This Row],[Comarca]],tabComarca[COMARCA],tabComarca[Codigo Comarca],"000")&amp;"."&amp;_xlfn.XLOOKUP(tabPostos[[#This Row],[Função]],tabCargos[Cargo],tabCargos[Codigo Cargo],"00")</f>
        <v>2.054.04</v>
      </c>
      <c r="B21" s="200" t="s">
        <v>29</v>
      </c>
      <c r="C21" s="200" t="s">
        <v>1244</v>
      </c>
      <c r="D21" s="200" t="str" cm="1">
        <f t="array" ref="D21">IF(tabPostos[[#This Row],[Comarca]]="","",
_xlfn.LET(
_xlpm.MATRIZ_COMARCA, ","&amp;TRIM(UPPER(SUBSTITUTE(SUBSTITUTE(SUBSTITUTE(SUBSTITUTE(SUBSTITUTE(SUBSTITUTE(SUBSTITUTE(SUBSTITUTE(SUBSTITUTE(SUBSTITUTE(SUBSTITUTE(SUBSTITUTE(SUBSTITUTE(SUBSTITUTE(SUBSTITUTE(SUBSTITUTE(SUBSTITUTE(SUBSTITUTE(SUBSTITUTE(SUBSTITUTE(SUBSTITUTE(SUBSTITUTE(SUBSTITUTE(SUBSTITUTE(SUBSTITUTE(SUBSTITUTE(tabSindicatos[ABRANGÊNCIA],"á","a"),"ã","a"),"â","a"),"é","e"),"ê","e"),"í","i"),"ó","o"),"õ","o"),"ô","o"),"ú","u"),"ç","c"),"Á","a"),"Ã","a"),"Â","a"),"É","e"),"Ê","e"),"Í","i"),"Ó","o"),"Õ","o"),"Ô","o"),"Ú","u"),"Ç","c"),"/MG","")," e ",", ")," ",""),".","")))&amp;",",
_xlpm.MATRIZ_FUNCAO, ","&amp;TRIM(UPPER(SUBSTITUTE(SUBSTITUTE(SUBSTITUTE(SUBSTITUTE(SUBSTITUTE(SUBSTITUTE(SUBSTITUTE(SUBSTITUTE(SUBSTITUTE(SUBSTITUTE(SUBSTITUTE(SUBSTITUTE(SUBSTITUTE(SUBSTITUTE(SUBSTITUTE(SUBSTITUTE(SUBSTITUTE(SUBSTITUTE(SUBSTITUTE(SUBSTITUTE(SUBSTITUTE(SUBSTITUTE(SUBSTITUTE(SUBSTITUTE(SUBSTITUTE(tabSindicatos[FUNÇÕES],"á","a"),"ã","a"),"â","a"),"é","e"),"ê","e"),"í","i"),"ó","o"),"õ","o"),"ô","o"),"ú","u"),"ç","c"),"Á","a"),"Ã","a"),"Â","a"),"É","e"),"Ê","e"),"Í","i"),"Ó","o"),"Õ","o"),"Ô","o"),"Ú","u"),"Ç","c")," e ",", ")," ",""),".","")))&amp;",",
IFERROR(_xlfn._xlws.FILTER(tabSindicatos[SINDICATOS],
(ISNUMBER(SEARCH(","&amp;TRIM(UPPER(SUBSTITUTE(tabPostos[[#This Row],[Comarca]]," ","")))&amp;",",_xlpm.MATRIZ_COMARCA,1)))*
(ISNUMBER(SEARCH(","&amp;TRIM(SUBSTITUTE(SUBSTITUTE(SUBSTITUTE(UPPER(tabPostos[[#This Row],[Função]])," E ",", ")," ",""),".",""))&amp;",",_xlpm.MATRIZ_FUNCAO,1)))
),"")
))</f>
        <v>Regiao de Joao Monlevade</v>
      </c>
      <c r="E21" s="148" t="s">
        <v>9</v>
      </c>
      <c r="F21" s="148" t="s">
        <v>10</v>
      </c>
      <c r="G21" s="148">
        <v>1</v>
      </c>
      <c r="H21" s="148">
        <v>0</v>
      </c>
      <c r="I21" s="216">
        <f>798.14</f>
        <v>798.14</v>
      </c>
      <c r="J21" s="247">
        <f>VLOOKUP(tabPostos[[#This Row],[CCT DA CATEGORIA]],'RELAÇÃO SINDICATOS'!A:N,11,0)</f>
        <v>45658</v>
      </c>
      <c r="K21" s="148" t="str">
        <f>VLOOKUP(tabPostos[[#This Row],[CCT DA CATEGORIA]],'RELAÇÃO SINDICATOS'!A:N,12,0)</f>
        <v>-</v>
      </c>
      <c r="L21" s="148" t="str">
        <f>VLOOKUP(tabPostos[[#This Row],[CCT DA CATEGORIA]],'RELAÇÃO SINDICATOS'!A:N,13,0)</f>
        <v>-</v>
      </c>
      <c r="M21" s="148" t="str">
        <f>VLOOKUP(tabPostos[[#This Row],[CCT DA CATEGORIA]],'RELAÇÃO SINDICATOS'!A:N,14,0)</f>
        <v>MG001172/2025</v>
      </c>
    </row>
    <row r="22" spans="1:13" x14ac:dyDescent="0.25">
      <c r="A22" s="148" t="str" cm="1">
        <f t="array" ref="A22">_xlfn.XLOOKUP(tabPostos[[#This Row],[Fonte de Recursos]]&amp;tabPostos[[#This Row],[Classificação]],tabLotacao[Lotacao]&amp;tabLotacao[Tipo],tabLotacao[Codigo Lote],"0")&amp;"."&amp;_xlfn.XLOOKUP(tabPostos[[#This Row],[Comarca]],tabComarca[COMARCA],tabComarca[Codigo Comarca],"000")&amp;"."&amp;_xlfn.XLOOKUP(tabPostos[[#This Row],[Função]],tabCargos[Cargo],tabCargos[Codigo Cargo],"00")</f>
        <v>2.056.06</v>
      </c>
      <c r="B22" s="200" t="s">
        <v>30</v>
      </c>
      <c r="C22" s="200" t="s">
        <v>1245</v>
      </c>
      <c r="D22" s="200" t="str" cm="1">
        <f t="array" ref="D22">IF(tabPostos[[#This Row],[Comarca]]="","",
_xlfn.LET(
_xlpm.MATRIZ_COMARCA, ","&amp;TRIM(UPPER(SUBSTITUTE(SUBSTITUTE(SUBSTITUTE(SUBSTITUTE(SUBSTITUTE(SUBSTITUTE(SUBSTITUTE(SUBSTITUTE(SUBSTITUTE(SUBSTITUTE(SUBSTITUTE(SUBSTITUTE(SUBSTITUTE(SUBSTITUTE(SUBSTITUTE(SUBSTITUTE(SUBSTITUTE(SUBSTITUTE(SUBSTITUTE(SUBSTITUTE(SUBSTITUTE(SUBSTITUTE(SUBSTITUTE(SUBSTITUTE(SUBSTITUTE(SUBSTITUTE(tabSindicatos[ABRANGÊNCIA],"á","a"),"ã","a"),"â","a"),"é","e"),"ê","e"),"í","i"),"ó","o"),"õ","o"),"ô","o"),"ú","u"),"ç","c"),"Á","a"),"Ã","a"),"Â","a"),"É","e"),"Ê","e"),"Í","i"),"Ó","o"),"Õ","o"),"Ô","o"),"Ú","u"),"Ç","c"),"/MG","")," e ",", ")," ",""),".","")))&amp;",",
_xlpm.MATRIZ_FUNCAO, ","&amp;TRIM(UPPER(SUBSTITUTE(SUBSTITUTE(SUBSTITUTE(SUBSTITUTE(SUBSTITUTE(SUBSTITUTE(SUBSTITUTE(SUBSTITUTE(SUBSTITUTE(SUBSTITUTE(SUBSTITUTE(SUBSTITUTE(SUBSTITUTE(SUBSTITUTE(SUBSTITUTE(SUBSTITUTE(SUBSTITUTE(SUBSTITUTE(SUBSTITUTE(SUBSTITUTE(SUBSTITUTE(SUBSTITUTE(SUBSTITUTE(SUBSTITUTE(SUBSTITUTE(tabSindicatos[FUNÇÕES],"á","a"),"ã","a"),"â","a"),"é","e"),"ê","e"),"í","i"),"ó","o"),"õ","o"),"ô","o"),"ú","u"),"ç","c"),"Á","a"),"Ã","a"),"Â","a"),"É","e"),"Ê","e"),"Í","i"),"Ó","o"),"Õ","o"),"Ô","o"),"Ú","u"),"Ç","c")," e ",", ")," ",""),".","")))&amp;",",
IFERROR(_xlfn._xlws.FILTER(tabSindicatos[SINDICATOS],
(ISNUMBER(SEARCH(","&amp;TRIM(UPPER(SUBSTITUTE(tabPostos[[#This Row],[Comarca]]," ","")))&amp;",",_xlpm.MATRIZ_COMARCA,1)))*
(ISNUMBER(SEARCH(","&amp;TRIM(SUBSTITUTE(SUBSTITUTE(SUBSTITUTE(UPPER(tabPostos[[#This Row],[Função]])," E ",", ")," ",""),".",""))&amp;",",_xlpm.MATRIZ_FUNCAO,1)))
),"")
))</f>
        <v>Regiao de Juiz de Fora</v>
      </c>
      <c r="E22" s="148" t="s">
        <v>9</v>
      </c>
      <c r="F22" s="148" t="s">
        <v>10</v>
      </c>
      <c r="G22" s="148">
        <v>2</v>
      </c>
      <c r="H22" s="148">
        <v>0</v>
      </c>
      <c r="I22" s="216">
        <f>1596.28</f>
        <v>1596.28</v>
      </c>
      <c r="J22" s="247">
        <f>VLOOKUP(tabPostos[[#This Row],[CCT DA CATEGORIA]],'RELAÇÃO SINDICATOS'!A:N,11,0)</f>
        <v>45658</v>
      </c>
      <c r="K22" s="148" t="str">
        <f>VLOOKUP(tabPostos[[#This Row],[CCT DA CATEGORIA]],'RELAÇÃO SINDICATOS'!A:N,12,0)</f>
        <v>-</v>
      </c>
      <c r="L22" s="148" t="str">
        <f>VLOOKUP(tabPostos[[#This Row],[CCT DA CATEGORIA]],'RELAÇÃO SINDICATOS'!A:N,13,0)</f>
        <v>-</v>
      </c>
      <c r="M22" s="148" t="str">
        <f>VLOOKUP(tabPostos[[#This Row],[CCT DA CATEGORIA]],'RELAÇÃO SINDICATOS'!A:N,14,0)</f>
        <v>MG000506/2025</v>
      </c>
    </row>
    <row r="23" spans="1:13" x14ac:dyDescent="0.25">
      <c r="A23" s="148" t="str" cm="1">
        <f t="array" ref="A23">_xlfn.XLOOKUP(tabPostos[[#This Row],[Fonte de Recursos]]&amp;tabPostos[[#This Row],[Classificação]],tabLotacao[Lotacao]&amp;tabLotacao[Tipo],tabLotacao[Codigo Lote],"0")&amp;"."&amp;_xlfn.XLOOKUP(tabPostos[[#This Row],[Comarca]],tabComarca[COMARCA],tabComarca[Codigo Comarca],"000")&amp;"."&amp;_xlfn.XLOOKUP(tabPostos[[#This Row],[Função]],tabCargos[Cargo],tabCargos[Codigo Cargo],"00")</f>
        <v>2.024.01</v>
      </c>
      <c r="B23" s="200" t="s">
        <v>31</v>
      </c>
      <c r="C23" s="200" t="s">
        <v>1267</v>
      </c>
      <c r="D23" s="200" t="str" cm="1">
        <f t="array" ref="D23">IF(tabPostos[[#This Row],[Comarca]]="","",
_xlfn.LET(
_xlpm.MATRIZ_COMARCA, ","&amp;TRIM(UPPER(SUBSTITUTE(SUBSTITUTE(SUBSTITUTE(SUBSTITUTE(SUBSTITUTE(SUBSTITUTE(SUBSTITUTE(SUBSTITUTE(SUBSTITUTE(SUBSTITUTE(SUBSTITUTE(SUBSTITUTE(SUBSTITUTE(SUBSTITUTE(SUBSTITUTE(SUBSTITUTE(SUBSTITUTE(SUBSTITUTE(SUBSTITUTE(SUBSTITUTE(SUBSTITUTE(SUBSTITUTE(SUBSTITUTE(SUBSTITUTE(SUBSTITUTE(SUBSTITUTE(tabSindicatos[ABRANGÊNCIA],"á","a"),"ã","a"),"â","a"),"é","e"),"ê","e"),"í","i"),"ó","o"),"õ","o"),"ô","o"),"ú","u"),"ç","c"),"Á","a"),"Ã","a"),"Â","a"),"É","e"),"Ê","e"),"Í","i"),"Ó","o"),"Õ","o"),"Ô","o"),"Ú","u"),"Ç","c"),"/MG","")," e ",", ")," ",""),".","")))&amp;",",
_xlpm.MATRIZ_FUNCAO, ","&amp;TRIM(UPPER(SUBSTITUTE(SUBSTITUTE(SUBSTITUTE(SUBSTITUTE(SUBSTITUTE(SUBSTITUTE(SUBSTITUTE(SUBSTITUTE(SUBSTITUTE(SUBSTITUTE(SUBSTITUTE(SUBSTITUTE(SUBSTITUTE(SUBSTITUTE(SUBSTITUTE(SUBSTITUTE(SUBSTITUTE(SUBSTITUTE(SUBSTITUTE(SUBSTITUTE(SUBSTITUTE(SUBSTITUTE(SUBSTITUTE(SUBSTITUTE(SUBSTITUTE(tabSindicatos[FUNÇÕES],"á","a"),"ã","a"),"â","a"),"é","e"),"ê","e"),"í","i"),"ó","o"),"õ","o"),"ô","o"),"ú","u"),"ç","c"),"Á","a"),"Ã","a"),"Â","a"),"É","e"),"Ê","e"),"Í","i"),"Ó","o"),"Õ","o"),"Ô","o"),"Ú","u"),"Ç","c")," e ",", ")," ",""),".","")))&amp;",",
IFERROR(_xlfn._xlws.FILTER(tabSindicatos[SINDICATOS],
(ISNUMBER(SEARCH(","&amp;TRIM(UPPER(SUBSTITUTE(tabPostos[[#This Row],[Comarca]]," ","")))&amp;",",_xlpm.MATRIZ_COMARCA,1)))*
(ISNUMBER(SEARCH(","&amp;TRIM(SUBSTITUTE(SUBSTITUTE(SUBSTITUTE(UPPER(tabPostos[[#This Row],[Função]])," E ",", ")," ",""),".",""))&amp;",",_xlpm.MATRIZ_FUNCAO,1)))
),"")
))</f>
        <v>SEAC/SINDEAC</v>
      </c>
      <c r="E23" s="148" t="s">
        <v>9</v>
      </c>
      <c r="F23" s="148" t="s">
        <v>10</v>
      </c>
      <c r="G23" s="148">
        <v>2</v>
      </c>
      <c r="H23" s="148">
        <v>0</v>
      </c>
      <c r="I23" s="216">
        <f>1649.12</f>
        <v>1649.12</v>
      </c>
      <c r="J23" s="247">
        <f>VLOOKUP(tabPostos[[#This Row],[CCT DA CATEGORIA]],'RELAÇÃO SINDICATOS'!A:N,11,0)</f>
        <v>45658</v>
      </c>
      <c r="K23" s="148" t="str">
        <f>VLOOKUP(tabPostos[[#This Row],[CCT DA CATEGORIA]],'RELAÇÃO SINDICATOS'!A:N,12,0)</f>
        <v>-</v>
      </c>
      <c r="L23" s="148" t="str">
        <f>VLOOKUP(tabPostos[[#This Row],[CCT DA CATEGORIA]],'RELAÇÃO SINDICATOS'!A:N,13,0)</f>
        <v>-</v>
      </c>
      <c r="M23" s="148" t="str">
        <f>VLOOKUP(tabPostos[[#This Row],[CCT DA CATEGORIA]],'RELAÇÃO SINDICATOS'!A:N,14,0)</f>
        <v>MG004474/2024</v>
      </c>
    </row>
    <row r="24" spans="1:13" x14ac:dyDescent="0.25">
      <c r="A24" s="148" t="str" cm="1">
        <f t="array" ref="A24">_xlfn.XLOOKUP(tabPostos[[#This Row],[Fonte de Recursos]]&amp;tabPostos[[#This Row],[Classificação]],tabLotacao[Lotacao]&amp;tabLotacao[Tipo],tabLotacao[Codigo Lote],"0")&amp;"."&amp;_xlfn.XLOOKUP(tabPostos[[#This Row],[Comarca]],tabComarca[COMARCA],tabComarca[Codigo Comarca],"000")&amp;"."&amp;_xlfn.XLOOKUP(tabPostos[[#This Row],[Função]],tabCargos[Cargo],tabCargos[Codigo Cargo],"00")</f>
        <v>2.024.02</v>
      </c>
      <c r="B24" s="200" t="s">
        <v>31</v>
      </c>
      <c r="C24" s="200" t="s">
        <v>1278</v>
      </c>
      <c r="D24" s="200" t="str" cm="1">
        <f t="array" ref="D24">IF(tabPostos[[#This Row],[Comarca]]="","",
_xlfn.LET(
_xlpm.MATRIZ_COMARCA, ","&amp;TRIM(UPPER(SUBSTITUTE(SUBSTITUTE(SUBSTITUTE(SUBSTITUTE(SUBSTITUTE(SUBSTITUTE(SUBSTITUTE(SUBSTITUTE(SUBSTITUTE(SUBSTITUTE(SUBSTITUTE(SUBSTITUTE(SUBSTITUTE(SUBSTITUTE(SUBSTITUTE(SUBSTITUTE(SUBSTITUTE(SUBSTITUTE(SUBSTITUTE(SUBSTITUTE(SUBSTITUTE(SUBSTITUTE(SUBSTITUTE(SUBSTITUTE(SUBSTITUTE(SUBSTITUTE(tabSindicatos[ABRANGÊNCIA],"á","a"),"ã","a"),"â","a"),"é","e"),"ê","e"),"í","i"),"ó","o"),"õ","o"),"ô","o"),"ú","u"),"ç","c"),"Á","a"),"Ã","a"),"Â","a"),"É","e"),"Ê","e"),"Í","i"),"Ó","o"),"Õ","o"),"Ô","o"),"Ú","u"),"Ç","c"),"/MG","")," e ",", ")," ",""),".","")))&amp;",",
_xlpm.MATRIZ_FUNCAO, ","&amp;TRIM(UPPER(SUBSTITUTE(SUBSTITUTE(SUBSTITUTE(SUBSTITUTE(SUBSTITUTE(SUBSTITUTE(SUBSTITUTE(SUBSTITUTE(SUBSTITUTE(SUBSTITUTE(SUBSTITUTE(SUBSTITUTE(SUBSTITUTE(SUBSTITUTE(SUBSTITUTE(SUBSTITUTE(SUBSTITUTE(SUBSTITUTE(SUBSTITUTE(SUBSTITUTE(SUBSTITUTE(SUBSTITUTE(SUBSTITUTE(SUBSTITUTE(SUBSTITUTE(tabSindicatos[FUNÇÕES],"á","a"),"ã","a"),"â","a"),"é","e"),"ê","e"),"í","i"),"ó","o"),"õ","o"),"ô","o"),"ú","u"),"ç","c"),"Á","a"),"Ã","a"),"Â","a"),"É","e"),"Ê","e"),"Í","i"),"Ó","o"),"Õ","o"),"Ô","o"),"Ú","u"),"Ç","c")," e ",", ")," ",""),".","")))&amp;",",
IFERROR(_xlfn._xlws.FILTER(tabSindicatos[SINDICATOS],
(ISNUMBER(SEARCH(","&amp;TRIM(UPPER(SUBSTITUTE(tabPostos[[#This Row],[Comarca]]," ","")))&amp;",",_xlpm.MATRIZ_COMARCA,1)))*
(ISNUMBER(SEARCH(","&amp;TRIM(SUBSTITUTE(SUBSTITUTE(SUBSTITUTE(UPPER(tabPostos[[#This Row],[Função]])," E ",", ")," ",""),".",""))&amp;",",_xlpm.MATRIZ_FUNCAO,1)))
),"")
))</f>
        <v>SEAC/SINDEAC</v>
      </c>
      <c r="E24" s="148" t="s">
        <v>9</v>
      </c>
      <c r="F24" s="148" t="s">
        <v>10</v>
      </c>
      <c r="G24" s="148">
        <v>2</v>
      </c>
      <c r="H24" s="148">
        <v>0</v>
      </c>
      <c r="I24" s="216">
        <f>1649.12</f>
        <v>1649.12</v>
      </c>
      <c r="J24" s="247">
        <f>VLOOKUP(tabPostos[[#This Row],[CCT DA CATEGORIA]],'RELAÇÃO SINDICATOS'!A:N,11,0)</f>
        <v>45658</v>
      </c>
      <c r="K24" s="148" t="str">
        <f>VLOOKUP(tabPostos[[#This Row],[CCT DA CATEGORIA]],'RELAÇÃO SINDICATOS'!A:N,12,0)</f>
        <v>-</v>
      </c>
      <c r="L24" s="148" t="str">
        <f>VLOOKUP(tabPostos[[#This Row],[CCT DA CATEGORIA]],'RELAÇÃO SINDICATOS'!A:N,13,0)</f>
        <v>-</v>
      </c>
      <c r="M24" s="148" t="str">
        <f>VLOOKUP(tabPostos[[#This Row],[CCT DA CATEGORIA]],'RELAÇÃO SINDICATOS'!A:N,14,0)</f>
        <v>MG004474/2024</v>
      </c>
    </row>
    <row r="25" spans="1:13" x14ac:dyDescent="0.25">
      <c r="A25" s="148" t="str" cm="1">
        <f t="array" ref="A25">_xlfn.XLOOKUP(tabPostos[[#This Row],[Fonte de Recursos]]&amp;tabPostos[[#This Row],[Classificação]],tabLotacao[Lotacao]&amp;tabLotacao[Tipo],tabLotacao[Codigo Lote],"0")&amp;"."&amp;_xlfn.XLOOKUP(tabPostos[[#This Row],[Comarca]],tabComarca[COMARCA],tabComarca[Codigo Comarca],"000")&amp;"."&amp;_xlfn.XLOOKUP(tabPostos[[#This Row],[Função]],tabCargos[Cargo],tabCargos[Codigo Cargo],"00")</f>
        <v>2.024.03</v>
      </c>
      <c r="B25" s="200" t="s">
        <v>31</v>
      </c>
      <c r="C25" s="200" t="s">
        <v>1247</v>
      </c>
      <c r="D25" s="200" t="str" cm="1">
        <f t="array" ref="D25">IF(tabPostos[[#This Row],[Comarca]]="","",
_xlfn.LET(
_xlpm.MATRIZ_COMARCA, ","&amp;TRIM(UPPER(SUBSTITUTE(SUBSTITUTE(SUBSTITUTE(SUBSTITUTE(SUBSTITUTE(SUBSTITUTE(SUBSTITUTE(SUBSTITUTE(SUBSTITUTE(SUBSTITUTE(SUBSTITUTE(SUBSTITUTE(SUBSTITUTE(SUBSTITUTE(SUBSTITUTE(SUBSTITUTE(SUBSTITUTE(SUBSTITUTE(SUBSTITUTE(SUBSTITUTE(SUBSTITUTE(SUBSTITUTE(SUBSTITUTE(SUBSTITUTE(SUBSTITUTE(SUBSTITUTE(tabSindicatos[ABRANGÊNCIA],"á","a"),"ã","a"),"â","a"),"é","e"),"ê","e"),"í","i"),"ó","o"),"õ","o"),"ô","o"),"ú","u"),"ç","c"),"Á","a"),"Ã","a"),"Â","a"),"É","e"),"Ê","e"),"Í","i"),"Ó","o"),"Õ","o"),"Ô","o"),"Ú","u"),"Ç","c"),"/MG","")," e ",", ")," ",""),".","")))&amp;",",
_xlpm.MATRIZ_FUNCAO, ","&amp;TRIM(UPPER(SUBSTITUTE(SUBSTITUTE(SUBSTITUTE(SUBSTITUTE(SUBSTITUTE(SUBSTITUTE(SUBSTITUTE(SUBSTITUTE(SUBSTITUTE(SUBSTITUTE(SUBSTITUTE(SUBSTITUTE(SUBSTITUTE(SUBSTITUTE(SUBSTITUTE(SUBSTITUTE(SUBSTITUTE(SUBSTITUTE(SUBSTITUTE(SUBSTITUTE(SUBSTITUTE(SUBSTITUTE(SUBSTITUTE(SUBSTITUTE(SUBSTITUTE(tabSindicatos[FUNÇÕES],"á","a"),"ã","a"),"â","a"),"é","e"),"ê","e"),"í","i"),"ó","o"),"õ","o"),"ô","o"),"ú","u"),"ç","c"),"Á","a"),"Ã","a"),"Â","a"),"É","e"),"Ê","e"),"Í","i"),"Ó","o"),"Õ","o"),"Ô","o"),"Ú","u"),"Ç","c")," e ",", ")," ",""),".","")))&amp;",",
IFERROR(_xlfn._xlws.FILTER(tabSindicatos[SINDICATOS],
(ISNUMBER(SEARCH(","&amp;TRIM(UPPER(SUBSTITUTE(tabPostos[[#This Row],[Comarca]]," ","")))&amp;",",_xlpm.MATRIZ_COMARCA,1)))*
(ISNUMBER(SEARCH(","&amp;TRIM(SUBSTITUTE(SUBSTITUTE(SUBSTITUTE(UPPER(tabPostos[[#This Row],[Função]])," E ",", ")," ",""),".",""))&amp;",",_xlpm.MATRIZ_FUNCAO,1)))
),"")
))</f>
        <v>SEAC/SINDEAC</v>
      </c>
      <c r="E25" s="148" t="s">
        <v>9</v>
      </c>
      <c r="F25" s="148" t="s">
        <v>10</v>
      </c>
      <c r="G25" s="148">
        <v>1</v>
      </c>
      <c r="H25" s="148">
        <v>0</v>
      </c>
      <c r="I25" s="216">
        <f>562.2</f>
        <v>562.20000000000005</v>
      </c>
      <c r="J25" s="247">
        <f>VLOOKUP(tabPostos[[#This Row],[CCT DA CATEGORIA]],'RELAÇÃO SINDICATOS'!A:N,11,0)</f>
        <v>45658</v>
      </c>
      <c r="K25" s="148" t="str">
        <f>VLOOKUP(tabPostos[[#This Row],[CCT DA CATEGORIA]],'RELAÇÃO SINDICATOS'!A:N,12,0)</f>
        <v>-</v>
      </c>
      <c r="L25" s="148" t="str">
        <f>VLOOKUP(tabPostos[[#This Row],[CCT DA CATEGORIA]],'RELAÇÃO SINDICATOS'!A:N,13,0)</f>
        <v>-</v>
      </c>
      <c r="M25" s="148" t="str">
        <f>VLOOKUP(tabPostos[[#This Row],[CCT DA CATEGORIA]],'RELAÇÃO SINDICATOS'!A:N,14,0)</f>
        <v>MG004474/2024</v>
      </c>
    </row>
    <row r="26" spans="1:13" x14ac:dyDescent="0.25">
      <c r="A26" s="148" t="str" cm="1">
        <f t="array" ref="A26">_xlfn.XLOOKUP(tabPostos[[#This Row],[Fonte de Recursos]]&amp;tabPostos[[#This Row],[Classificação]],tabLotacao[Lotacao]&amp;tabLotacao[Tipo],tabLotacao[Codigo Lote],"0")&amp;"."&amp;_xlfn.XLOOKUP(tabPostos[[#This Row],[Comarca]],tabComarca[COMARCA],tabComarca[Codigo Comarca],"000")&amp;"."&amp;_xlfn.XLOOKUP(tabPostos[[#This Row],[Função]],tabCargos[Cargo],tabCargos[Codigo Cargo],"00")</f>
        <v>2.024.04</v>
      </c>
      <c r="B26" s="200" t="s">
        <v>31</v>
      </c>
      <c r="C26" s="200" t="s">
        <v>1244</v>
      </c>
      <c r="D26" s="200" t="str" cm="1">
        <f t="array" ref="D26">IF(tabPostos[[#This Row],[Comarca]]="","",
_xlfn.LET(
_xlpm.MATRIZ_COMARCA, ","&amp;TRIM(UPPER(SUBSTITUTE(SUBSTITUTE(SUBSTITUTE(SUBSTITUTE(SUBSTITUTE(SUBSTITUTE(SUBSTITUTE(SUBSTITUTE(SUBSTITUTE(SUBSTITUTE(SUBSTITUTE(SUBSTITUTE(SUBSTITUTE(SUBSTITUTE(SUBSTITUTE(SUBSTITUTE(SUBSTITUTE(SUBSTITUTE(SUBSTITUTE(SUBSTITUTE(SUBSTITUTE(SUBSTITUTE(SUBSTITUTE(SUBSTITUTE(SUBSTITUTE(SUBSTITUTE(tabSindicatos[ABRANGÊNCIA],"á","a"),"ã","a"),"â","a"),"é","e"),"ê","e"),"í","i"),"ó","o"),"õ","o"),"ô","o"),"ú","u"),"ç","c"),"Á","a"),"Ã","a"),"Â","a"),"É","e"),"Ê","e"),"Í","i"),"Ó","o"),"Õ","o"),"Ô","o"),"Ú","u"),"Ç","c"),"/MG","")," e ",", ")," ",""),".","")))&amp;",",
_xlpm.MATRIZ_FUNCAO, ","&amp;TRIM(UPPER(SUBSTITUTE(SUBSTITUTE(SUBSTITUTE(SUBSTITUTE(SUBSTITUTE(SUBSTITUTE(SUBSTITUTE(SUBSTITUTE(SUBSTITUTE(SUBSTITUTE(SUBSTITUTE(SUBSTITUTE(SUBSTITUTE(SUBSTITUTE(SUBSTITUTE(SUBSTITUTE(SUBSTITUTE(SUBSTITUTE(SUBSTITUTE(SUBSTITUTE(SUBSTITUTE(SUBSTITUTE(SUBSTITUTE(SUBSTITUTE(SUBSTITUTE(tabSindicatos[FUNÇÕES],"á","a"),"ã","a"),"â","a"),"é","e"),"ê","e"),"í","i"),"ó","o"),"õ","o"),"ô","o"),"ú","u"),"ç","c"),"Á","a"),"Ã","a"),"Â","a"),"É","e"),"Ê","e"),"Í","i"),"Ó","o"),"Õ","o"),"Ô","o"),"Ú","u"),"Ç","c")," e ",", ")," ",""),".","")))&amp;",",
IFERROR(_xlfn._xlws.FILTER(tabSindicatos[SINDICATOS],
(ISNUMBER(SEARCH(","&amp;TRIM(UPPER(SUBSTITUTE(tabPostos[[#This Row],[Comarca]]," ","")))&amp;",",_xlpm.MATRIZ_COMARCA,1)))*
(ISNUMBER(SEARCH(","&amp;TRIM(SUBSTITUTE(SUBSTITUTE(SUBSTITUTE(UPPER(tabPostos[[#This Row],[Função]])," E ",", ")," ",""),".",""))&amp;",",_xlpm.MATRIZ_FUNCAO,1)))
),"")
))</f>
        <v>SEAC/SINDEAC</v>
      </c>
      <c r="E26" s="148" t="s">
        <v>9</v>
      </c>
      <c r="F26" s="148" t="s">
        <v>10</v>
      </c>
      <c r="G26" s="148">
        <v>6</v>
      </c>
      <c r="H26" s="148">
        <v>0</v>
      </c>
      <c r="I26" s="216">
        <f>824.56</f>
        <v>824.56</v>
      </c>
      <c r="J26" s="247">
        <f>VLOOKUP(tabPostos[[#This Row],[CCT DA CATEGORIA]],'RELAÇÃO SINDICATOS'!A:N,11,0)</f>
        <v>45658</v>
      </c>
      <c r="K26" s="148" t="str">
        <f>VLOOKUP(tabPostos[[#This Row],[CCT DA CATEGORIA]],'RELAÇÃO SINDICATOS'!A:N,12,0)</f>
        <v>-</v>
      </c>
      <c r="L26" s="148" t="str">
        <f>VLOOKUP(tabPostos[[#This Row],[CCT DA CATEGORIA]],'RELAÇÃO SINDICATOS'!A:N,13,0)</f>
        <v>-</v>
      </c>
      <c r="M26" s="148" t="str">
        <f>VLOOKUP(tabPostos[[#This Row],[CCT DA CATEGORIA]],'RELAÇÃO SINDICATOS'!A:N,14,0)</f>
        <v>MG004474/2024</v>
      </c>
    </row>
    <row r="27" spans="1:13" x14ac:dyDescent="0.25">
      <c r="A27" s="148" t="str" cm="1">
        <f t="array" ref="A27">_xlfn.XLOOKUP(tabPostos[[#This Row],[Fonte de Recursos]]&amp;tabPostos[[#This Row],[Classificação]],tabLotacao[Lotacao]&amp;tabLotacao[Tipo],tabLotacao[Codigo Lote],"0")&amp;"."&amp;_xlfn.XLOOKUP(tabPostos[[#This Row],[Comarca]],tabComarca[COMARCA],tabComarca[Codigo Comarca],"000")&amp;"."&amp;_xlfn.XLOOKUP(tabPostos[[#This Row],[Função]],tabCargos[Cargo],tabCargos[Codigo Cargo],"00")</f>
        <v>2.024.05</v>
      </c>
      <c r="B27" s="200" t="s">
        <v>31</v>
      </c>
      <c r="C27" s="200" t="s">
        <v>1246</v>
      </c>
      <c r="D27" s="200" t="str" cm="1">
        <f t="array" ref="D27">IF(tabPostos[[#This Row],[Comarca]]="","",
_xlfn.LET(
_xlpm.MATRIZ_COMARCA, ","&amp;TRIM(UPPER(SUBSTITUTE(SUBSTITUTE(SUBSTITUTE(SUBSTITUTE(SUBSTITUTE(SUBSTITUTE(SUBSTITUTE(SUBSTITUTE(SUBSTITUTE(SUBSTITUTE(SUBSTITUTE(SUBSTITUTE(SUBSTITUTE(SUBSTITUTE(SUBSTITUTE(SUBSTITUTE(SUBSTITUTE(SUBSTITUTE(SUBSTITUTE(SUBSTITUTE(SUBSTITUTE(SUBSTITUTE(SUBSTITUTE(SUBSTITUTE(SUBSTITUTE(SUBSTITUTE(tabSindicatos[ABRANGÊNCIA],"á","a"),"ã","a"),"â","a"),"é","e"),"ê","e"),"í","i"),"ó","o"),"õ","o"),"ô","o"),"ú","u"),"ç","c"),"Á","a"),"Ã","a"),"Â","a"),"É","e"),"Ê","e"),"Í","i"),"Ó","o"),"Õ","o"),"Ô","o"),"Ú","u"),"Ç","c"),"/MG","")," e ",", ")," ",""),".","")))&amp;",",
_xlpm.MATRIZ_FUNCAO, ","&amp;TRIM(UPPER(SUBSTITUTE(SUBSTITUTE(SUBSTITUTE(SUBSTITUTE(SUBSTITUTE(SUBSTITUTE(SUBSTITUTE(SUBSTITUTE(SUBSTITUTE(SUBSTITUTE(SUBSTITUTE(SUBSTITUTE(SUBSTITUTE(SUBSTITUTE(SUBSTITUTE(SUBSTITUTE(SUBSTITUTE(SUBSTITUTE(SUBSTITUTE(SUBSTITUTE(SUBSTITUTE(SUBSTITUTE(SUBSTITUTE(SUBSTITUTE(SUBSTITUTE(tabSindicatos[FUNÇÕES],"á","a"),"ã","a"),"â","a"),"é","e"),"ê","e"),"í","i"),"ó","o"),"õ","o"),"ô","o"),"ú","u"),"ç","c"),"Á","a"),"Ã","a"),"Â","a"),"É","e"),"Ê","e"),"Í","i"),"Ó","o"),"Õ","o"),"Ô","o"),"Ú","u"),"Ç","c")," e ",", ")," ",""),".","")))&amp;",",
IFERROR(_xlfn._xlws.FILTER(tabSindicatos[SINDICATOS],
(ISNUMBER(SEARCH(","&amp;TRIM(UPPER(SUBSTITUTE(tabPostos[[#This Row],[Comarca]]," ","")))&amp;",",_xlpm.MATRIZ_COMARCA,1)))*
(ISNUMBER(SEARCH(","&amp;TRIM(SUBSTITUTE(SUBSTITUTE(SUBSTITUTE(UPPER(tabPostos[[#This Row],[Função]])," E ",", ")," ",""),".",""))&amp;",",_xlpm.MATRIZ_FUNCAO,1)))
),"")
))</f>
        <v>SEAC/SINDEAC</v>
      </c>
      <c r="E27" s="148" t="s">
        <v>9</v>
      </c>
      <c r="F27" s="148" t="s">
        <v>10</v>
      </c>
      <c r="G27" s="148">
        <v>2</v>
      </c>
      <c r="H27" s="148">
        <v>0</v>
      </c>
      <c r="I27" s="216">
        <f>1124.39</f>
        <v>1124.3900000000001</v>
      </c>
      <c r="J27" s="247">
        <f>VLOOKUP(tabPostos[[#This Row],[CCT DA CATEGORIA]],'RELAÇÃO SINDICATOS'!A:N,11,0)</f>
        <v>45658</v>
      </c>
      <c r="K27" s="148" t="str">
        <f>VLOOKUP(tabPostos[[#This Row],[CCT DA CATEGORIA]],'RELAÇÃO SINDICATOS'!A:N,12,0)</f>
        <v>-</v>
      </c>
      <c r="L27" s="148" t="str">
        <f>VLOOKUP(tabPostos[[#This Row],[CCT DA CATEGORIA]],'RELAÇÃO SINDICATOS'!A:N,13,0)</f>
        <v>-</v>
      </c>
      <c r="M27" s="148" t="str">
        <f>VLOOKUP(tabPostos[[#This Row],[CCT DA CATEGORIA]],'RELAÇÃO SINDICATOS'!A:N,14,0)</f>
        <v>MG004474/2024</v>
      </c>
    </row>
    <row r="28" spans="1:13" x14ac:dyDescent="0.25">
      <c r="A28" s="148" t="str" cm="1">
        <f t="array" ref="A28">_xlfn.XLOOKUP(tabPostos[[#This Row],[Fonte de Recursos]]&amp;tabPostos[[#This Row],[Classificação]],tabLotacao[Lotacao]&amp;tabLotacao[Tipo],tabLotacao[Codigo Lote],"0")&amp;"."&amp;_xlfn.XLOOKUP(tabPostos[[#This Row],[Comarca]],tabComarca[COMARCA],tabComarca[Codigo Comarca],"000")&amp;"."&amp;_xlfn.XLOOKUP(tabPostos[[#This Row],[Função]],tabCargos[Cargo],tabCargos[Codigo Cargo],"00")</f>
        <v>2.024.06</v>
      </c>
      <c r="B28" s="200" t="s">
        <v>31</v>
      </c>
      <c r="C28" s="200" t="s">
        <v>1245</v>
      </c>
      <c r="D28" s="200" t="str" cm="1">
        <f t="array" ref="D28">IF(tabPostos[[#This Row],[Comarca]]="","",
_xlfn.LET(
_xlpm.MATRIZ_COMARCA, ","&amp;TRIM(UPPER(SUBSTITUTE(SUBSTITUTE(SUBSTITUTE(SUBSTITUTE(SUBSTITUTE(SUBSTITUTE(SUBSTITUTE(SUBSTITUTE(SUBSTITUTE(SUBSTITUTE(SUBSTITUTE(SUBSTITUTE(SUBSTITUTE(SUBSTITUTE(SUBSTITUTE(SUBSTITUTE(SUBSTITUTE(SUBSTITUTE(SUBSTITUTE(SUBSTITUTE(SUBSTITUTE(SUBSTITUTE(SUBSTITUTE(SUBSTITUTE(SUBSTITUTE(SUBSTITUTE(tabSindicatos[ABRANGÊNCIA],"á","a"),"ã","a"),"â","a"),"é","e"),"ê","e"),"í","i"),"ó","o"),"õ","o"),"ô","o"),"ú","u"),"ç","c"),"Á","a"),"Ã","a"),"Â","a"),"É","e"),"Ê","e"),"Í","i"),"Ó","o"),"Õ","o"),"Ô","o"),"Ú","u"),"Ç","c"),"/MG","")," e ",", ")," ",""),".","")))&amp;",",
_xlpm.MATRIZ_FUNCAO, ","&amp;TRIM(UPPER(SUBSTITUTE(SUBSTITUTE(SUBSTITUTE(SUBSTITUTE(SUBSTITUTE(SUBSTITUTE(SUBSTITUTE(SUBSTITUTE(SUBSTITUTE(SUBSTITUTE(SUBSTITUTE(SUBSTITUTE(SUBSTITUTE(SUBSTITUTE(SUBSTITUTE(SUBSTITUTE(SUBSTITUTE(SUBSTITUTE(SUBSTITUTE(SUBSTITUTE(SUBSTITUTE(SUBSTITUTE(SUBSTITUTE(SUBSTITUTE(SUBSTITUTE(tabSindicatos[FUNÇÕES],"á","a"),"ã","a"),"â","a"),"é","e"),"ê","e"),"í","i"),"ó","o"),"õ","o"),"ô","o"),"ú","u"),"ç","c"),"Á","a"),"Ã","a"),"Â","a"),"É","e"),"Ê","e"),"Í","i"),"Ó","o"),"Õ","o"),"Ô","o"),"Ú","u"),"Ç","c")," e ",", ")," ",""),".","")))&amp;",",
IFERROR(_xlfn._xlws.FILTER(tabSindicatos[SINDICATOS],
(ISNUMBER(SEARCH(","&amp;TRIM(UPPER(SUBSTITUTE(tabPostos[[#This Row],[Comarca]]," ","")))&amp;",",_xlpm.MATRIZ_COMARCA,1)))*
(ISNUMBER(SEARCH(","&amp;TRIM(SUBSTITUTE(SUBSTITUTE(SUBSTITUTE(UPPER(tabPostos[[#This Row],[Função]])," E ",", ")," ",""),".",""))&amp;",",_xlpm.MATRIZ_FUNCAO,1)))
),"")
))</f>
        <v>SEAC/SINDEAC</v>
      </c>
      <c r="E28" s="148" t="s">
        <v>9</v>
      </c>
      <c r="F28" s="148" t="s">
        <v>10</v>
      </c>
      <c r="G28" s="148">
        <v>101</v>
      </c>
      <c r="H28" s="148">
        <v>0</v>
      </c>
      <c r="I28" s="216">
        <f>1649.12</f>
        <v>1649.12</v>
      </c>
      <c r="J28" s="247">
        <f>VLOOKUP(tabPostos[[#This Row],[CCT DA CATEGORIA]],'RELAÇÃO SINDICATOS'!A:N,11,0)</f>
        <v>45658</v>
      </c>
      <c r="K28" s="148" t="str">
        <f>VLOOKUP(tabPostos[[#This Row],[CCT DA CATEGORIA]],'RELAÇÃO SINDICATOS'!A:N,12,0)</f>
        <v>-</v>
      </c>
      <c r="L28" s="148" t="str">
        <f>VLOOKUP(tabPostos[[#This Row],[CCT DA CATEGORIA]],'RELAÇÃO SINDICATOS'!A:N,13,0)</f>
        <v>-</v>
      </c>
      <c r="M28" s="148" t="str">
        <f>VLOOKUP(tabPostos[[#This Row],[CCT DA CATEGORIA]],'RELAÇÃO SINDICATOS'!A:N,14,0)</f>
        <v>MG004474/2024</v>
      </c>
    </row>
    <row r="29" spans="1:13" x14ac:dyDescent="0.25">
      <c r="A29" s="148" t="str" cm="1">
        <f t="array" ref="A29">_xlfn.XLOOKUP(tabPostos[[#This Row],[Fonte de Recursos]]&amp;tabPostos[[#This Row],[Classificação]],tabLotacao[Lotacao]&amp;tabLotacao[Tipo],tabLotacao[Codigo Lote],"0")&amp;"."&amp;_xlfn.XLOOKUP(tabPostos[[#This Row],[Comarca]],tabComarca[COMARCA],tabComarca[Codigo Comarca],"000")&amp;"."&amp;_xlfn.XLOOKUP(tabPostos[[#This Row],[Função]],tabCargos[Cargo],tabCargos[Codigo Cargo],"00")</f>
        <v>4.024.06</v>
      </c>
      <c r="B29" s="200" t="s">
        <v>31</v>
      </c>
      <c r="C29" s="200" t="s">
        <v>1245</v>
      </c>
      <c r="D29" s="200" t="str" cm="1">
        <f t="array" ref="D29">IF(tabPostos[[#This Row],[Comarca]]="","",
_xlfn.LET(
_xlpm.MATRIZ_COMARCA, ","&amp;TRIM(UPPER(SUBSTITUTE(SUBSTITUTE(SUBSTITUTE(SUBSTITUTE(SUBSTITUTE(SUBSTITUTE(SUBSTITUTE(SUBSTITUTE(SUBSTITUTE(SUBSTITUTE(SUBSTITUTE(SUBSTITUTE(SUBSTITUTE(SUBSTITUTE(SUBSTITUTE(SUBSTITUTE(SUBSTITUTE(SUBSTITUTE(SUBSTITUTE(SUBSTITUTE(SUBSTITUTE(SUBSTITUTE(SUBSTITUTE(SUBSTITUTE(SUBSTITUTE(SUBSTITUTE(tabSindicatos[ABRANGÊNCIA],"á","a"),"ã","a"),"â","a"),"é","e"),"ê","e"),"í","i"),"ó","o"),"õ","o"),"ô","o"),"ú","u"),"ç","c"),"Á","a"),"Ã","a"),"Â","a"),"É","e"),"Ê","e"),"Í","i"),"Ó","o"),"Õ","o"),"Ô","o"),"Ú","u"),"Ç","c"),"/MG","")," e ",", ")," ",""),".","")))&amp;",",
_xlpm.MATRIZ_FUNCAO, ","&amp;TRIM(UPPER(SUBSTITUTE(SUBSTITUTE(SUBSTITUTE(SUBSTITUTE(SUBSTITUTE(SUBSTITUTE(SUBSTITUTE(SUBSTITUTE(SUBSTITUTE(SUBSTITUTE(SUBSTITUTE(SUBSTITUTE(SUBSTITUTE(SUBSTITUTE(SUBSTITUTE(SUBSTITUTE(SUBSTITUTE(SUBSTITUTE(SUBSTITUTE(SUBSTITUTE(SUBSTITUTE(SUBSTITUTE(SUBSTITUTE(SUBSTITUTE(SUBSTITUTE(tabSindicatos[FUNÇÕES],"á","a"),"ã","a"),"â","a"),"é","e"),"ê","e"),"í","i"),"ó","o"),"õ","o"),"ô","o"),"ú","u"),"ç","c"),"Á","a"),"Ã","a"),"Â","a"),"É","e"),"Ê","e"),"Í","i"),"Ó","o"),"Õ","o"),"Ô","o"),"Ú","u"),"Ç","c")," e ",", ")," ",""),".","")))&amp;",",
IFERROR(_xlfn._xlws.FILTER(tabSindicatos[SINDICATOS],
(ISNUMBER(SEARCH(","&amp;TRIM(UPPER(SUBSTITUTE(tabPostos[[#This Row],[Comarca]]," ","")))&amp;",",_xlpm.MATRIZ_COMARCA,1)))*
(ISNUMBER(SEARCH(","&amp;TRIM(SUBSTITUTE(SUBSTITUTE(SUBSTITUTE(UPPER(tabPostos[[#This Row],[Função]])," E ",", ")," ",""),".",""))&amp;",",_xlpm.MATRIZ_FUNCAO,1)))
),"")
))</f>
        <v>SEAC/SINDEAC</v>
      </c>
      <c r="E29" s="148" t="s">
        <v>9</v>
      </c>
      <c r="F29" s="148" t="s">
        <v>33</v>
      </c>
      <c r="G29" s="148">
        <v>2</v>
      </c>
      <c r="H29" s="148">
        <v>0</v>
      </c>
      <c r="I29" s="216">
        <f>1649.12</f>
        <v>1649.12</v>
      </c>
      <c r="J29" s="247">
        <f>VLOOKUP(tabPostos[[#This Row],[CCT DA CATEGORIA]],'RELAÇÃO SINDICATOS'!A:N,11,0)</f>
        <v>45658</v>
      </c>
      <c r="K29" s="148" t="str">
        <f>VLOOKUP(tabPostos[[#This Row],[CCT DA CATEGORIA]],'RELAÇÃO SINDICATOS'!A:N,12,0)</f>
        <v>-</v>
      </c>
      <c r="L29" s="148" t="str">
        <f>VLOOKUP(tabPostos[[#This Row],[CCT DA CATEGORIA]],'RELAÇÃO SINDICATOS'!A:N,13,0)</f>
        <v>-</v>
      </c>
      <c r="M29" s="148" t="str">
        <f>VLOOKUP(tabPostos[[#This Row],[CCT DA CATEGORIA]],'RELAÇÃO SINDICATOS'!A:N,14,0)</f>
        <v>MG004474/2024</v>
      </c>
    </row>
    <row r="30" spans="1:13" x14ac:dyDescent="0.25">
      <c r="A30" s="148" t="str" cm="1">
        <f t="array" ref="A30">_xlfn.XLOOKUP(tabPostos[[#This Row],[Fonte de Recursos]]&amp;tabPostos[[#This Row],[Classificação]],tabLotacao[Lotacao]&amp;tabLotacao[Tipo],tabLotacao[Codigo Lote],"0")&amp;"."&amp;_xlfn.XLOOKUP(tabPostos[[#This Row],[Comarca]],tabComarca[COMARCA],tabComarca[Codigo Comarca],"000")&amp;"."&amp;_xlfn.XLOOKUP(tabPostos[[#This Row],[Função]],tabCargos[Cargo],tabCargos[Codigo Cargo],"00")</f>
        <v>2.024.07</v>
      </c>
      <c r="B30" s="200" t="s">
        <v>31</v>
      </c>
      <c r="C30" s="200" t="s">
        <v>32</v>
      </c>
      <c r="D30" s="200" t="str" cm="1">
        <f t="array" ref="D30">IF(tabPostos[[#This Row],[Comarca]]="","",
_xlfn.LET(
_xlpm.MATRIZ_COMARCA, ","&amp;TRIM(UPPER(SUBSTITUTE(SUBSTITUTE(SUBSTITUTE(SUBSTITUTE(SUBSTITUTE(SUBSTITUTE(SUBSTITUTE(SUBSTITUTE(SUBSTITUTE(SUBSTITUTE(SUBSTITUTE(SUBSTITUTE(SUBSTITUTE(SUBSTITUTE(SUBSTITUTE(SUBSTITUTE(SUBSTITUTE(SUBSTITUTE(SUBSTITUTE(SUBSTITUTE(SUBSTITUTE(SUBSTITUTE(SUBSTITUTE(SUBSTITUTE(SUBSTITUTE(SUBSTITUTE(tabSindicatos[ABRANGÊNCIA],"á","a"),"ã","a"),"â","a"),"é","e"),"ê","e"),"í","i"),"ó","o"),"õ","o"),"ô","o"),"ú","u"),"ç","c"),"Á","a"),"Ã","a"),"Â","a"),"É","e"),"Ê","e"),"Í","i"),"Ó","o"),"Õ","o"),"Ô","o"),"Ú","u"),"Ç","c"),"/MG","")," e ",", ")," ",""),".","")))&amp;",",
_xlpm.MATRIZ_FUNCAO, ","&amp;TRIM(UPPER(SUBSTITUTE(SUBSTITUTE(SUBSTITUTE(SUBSTITUTE(SUBSTITUTE(SUBSTITUTE(SUBSTITUTE(SUBSTITUTE(SUBSTITUTE(SUBSTITUTE(SUBSTITUTE(SUBSTITUTE(SUBSTITUTE(SUBSTITUTE(SUBSTITUTE(SUBSTITUTE(SUBSTITUTE(SUBSTITUTE(SUBSTITUTE(SUBSTITUTE(SUBSTITUTE(SUBSTITUTE(SUBSTITUTE(SUBSTITUTE(SUBSTITUTE(tabSindicatos[FUNÇÕES],"á","a"),"ã","a"),"â","a"),"é","e"),"ê","e"),"í","i"),"ó","o"),"õ","o"),"ô","o"),"ú","u"),"ç","c"),"Á","a"),"Ã","a"),"Â","a"),"É","e"),"Ê","e"),"Í","i"),"Ó","o"),"Õ","o"),"Ô","o"),"Ú","u"),"Ç","c")," e ",", ")," ",""),".","")))&amp;",",
IFERROR(_xlfn._xlws.FILTER(tabSindicatos[SINDICATOS],
(ISNUMBER(SEARCH(","&amp;TRIM(UPPER(SUBSTITUTE(tabPostos[[#This Row],[Comarca]]," ","")))&amp;",",_xlpm.MATRIZ_COMARCA,1)))*
(ISNUMBER(SEARCH(","&amp;TRIM(SUBSTITUTE(SUBSTITUTE(SUBSTITUTE(UPPER(tabPostos[[#This Row],[Função]])," E ",", ")," ",""),".",""))&amp;",",_xlpm.MATRIZ_FUNCAO,1)))
),"")
))</f>
        <v>SEAC/SINDEAC</v>
      </c>
      <c r="E30" s="148" t="s">
        <v>9</v>
      </c>
      <c r="F30" s="148" t="s">
        <v>10</v>
      </c>
      <c r="G30" s="148">
        <v>4</v>
      </c>
      <c r="H30" s="148">
        <v>0</v>
      </c>
      <c r="I30" s="216">
        <f>1805.94</f>
        <v>1805.94</v>
      </c>
      <c r="J30" s="247">
        <f>VLOOKUP(tabPostos[[#This Row],[CCT DA CATEGORIA]],'RELAÇÃO SINDICATOS'!A:N,11,0)</f>
        <v>45658</v>
      </c>
      <c r="K30" s="148" t="str">
        <f>VLOOKUP(tabPostos[[#This Row],[CCT DA CATEGORIA]],'RELAÇÃO SINDICATOS'!A:N,12,0)</f>
        <v>-</v>
      </c>
      <c r="L30" s="148" t="str">
        <f>VLOOKUP(tabPostos[[#This Row],[CCT DA CATEGORIA]],'RELAÇÃO SINDICATOS'!A:N,13,0)</f>
        <v>-</v>
      </c>
      <c r="M30" s="148" t="str">
        <f>VLOOKUP(tabPostos[[#This Row],[CCT DA CATEGORIA]],'RELAÇÃO SINDICATOS'!A:N,14,0)</f>
        <v>MG004474/2024</v>
      </c>
    </row>
    <row r="31" spans="1:13" x14ac:dyDescent="0.25">
      <c r="A31" s="148" t="str" cm="1">
        <f t="array" ref="A31">_xlfn.XLOOKUP(tabPostos[[#This Row],[Fonte de Recursos]]&amp;tabPostos[[#This Row],[Classificação]],tabLotacao[Lotacao]&amp;tabLotacao[Tipo],tabLotacao[Codigo Lote],"0")&amp;"."&amp;_xlfn.XLOOKUP(tabPostos[[#This Row],[Comarca]],tabComarca[COMARCA],tabComarca[Codigo Comarca],"000")&amp;"."&amp;_xlfn.XLOOKUP(tabPostos[[#This Row],[Função]],tabCargos[Cargo],tabCargos[Codigo Cargo],"00")</f>
        <v>2.027.04</v>
      </c>
      <c r="B31" s="200" t="s">
        <v>34</v>
      </c>
      <c r="C31" s="200" t="s">
        <v>1244</v>
      </c>
      <c r="D31" s="200" t="str" cm="1">
        <f t="array" ref="D31">IF(tabPostos[[#This Row],[Comarca]]="","",
_xlfn.LET(
_xlpm.MATRIZ_COMARCA, ","&amp;TRIM(UPPER(SUBSTITUTE(SUBSTITUTE(SUBSTITUTE(SUBSTITUTE(SUBSTITUTE(SUBSTITUTE(SUBSTITUTE(SUBSTITUTE(SUBSTITUTE(SUBSTITUTE(SUBSTITUTE(SUBSTITUTE(SUBSTITUTE(SUBSTITUTE(SUBSTITUTE(SUBSTITUTE(SUBSTITUTE(SUBSTITUTE(SUBSTITUTE(SUBSTITUTE(SUBSTITUTE(SUBSTITUTE(SUBSTITUTE(SUBSTITUTE(SUBSTITUTE(SUBSTITUTE(tabSindicatos[ABRANGÊNCIA],"á","a"),"ã","a"),"â","a"),"é","e"),"ê","e"),"í","i"),"ó","o"),"õ","o"),"ô","o"),"ú","u"),"ç","c"),"Á","a"),"Ã","a"),"Â","a"),"É","e"),"Ê","e"),"Í","i"),"Ó","o"),"Õ","o"),"Ô","o"),"Ú","u"),"Ç","c"),"/MG","")," e ",", ")," ",""),".","")))&amp;",",
_xlpm.MATRIZ_FUNCAO, ","&amp;TRIM(UPPER(SUBSTITUTE(SUBSTITUTE(SUBSTITUTE(SUBSTITUTE(SUBSTITUTE(SUBSTITUTE(SUBSTITUTE(SUBSTITUTE(SUBSTITUTE(SUBSTITUTE(SUBSTITUTE(SUBSTITUTE(SUBSTITUTE(SUBSTITUTE(SUBSTITUTE(SUBSTITUTE(SUBSTITUTE(SUBSTITUTE(SUBSTITUTE(SUBSTITUTE(SUBSTITUTE(SUBSTITUTE(SUBSTITUTE(SUBSTITUTE(SUBSTITUTE(tabSindicatos[FUNÇÕES],"á","a"),"ã","a"),"â","a"),"é","e"),"ê","e"),"í","i"),"ó","o"),"õ","o"),"ô","o"),"ú","u"),"ç","c"),"Á","a"),"Ã","a"),"Â","a"),"É","e"),"Ê","e"),"Í","i"),"Ó","o"),"Õ","o"),"Ô","o"),"Ú","u"),"Ç","c")," e ",", ")," ",""),".","")))&amp;",",
IFERROR(_xlfn._xlws.FILTER(tabSindicatos[SINDICATOS],
(ISNUMBER(SEARCH(","&amp;TRIM(UPPER(SUBSTITUTE(tabPostos[[#This Row],[Comarca]]," ","")))&amp;",",_xlpm.MATRIZ_COMARCA,1)))*
(ISNUMBER(SEARCH(","&amp;TRIM(SUBSTITUTE(SUBSTITUTE(SUBSTITUTE(UPPER(tabPostos[[#This Row],[Função]])," E ",", ")," ",""),".",""))&amp;",",_xlpm.MATRIZ_FUNCAO,1)))
),"")
))</f>
        <v>Sind - Asseio</v>
      </c>
      <c r="E31" s="148" t="s">
        <v>9</v>
      </c>
      <c r="F31" s="148" t="s">
        <v>10</v>
      </c>
      <c r="G31" s="148">
        <v>1</v>
      </c>
      <c r="H31" s="148">
        <v>0</v>
      </c>
      <c r="I31" s="216">
        <f>824.56</f>
        <v>824.56</v>
      </c>
      <c r="J31" s="247">
        <f>VLOOKUP(tabPostos[[#This Row],[CCT DA CATEGORIA]],'RELAÇÃO SINDICATOS'!A:N,11,0)</f>
        <v>45658</v>
      </c>
      <c r="K31" s="148" t="str">
        <f>VLOOKUP(tabPostos[[#This Row],[CCT DA CATEGORIA]],'RELAÇÃO SINDICATOS'!A:N,12,0)</f>
        <v>-</v>
      </c>
      <c r="L31" s="148" t="str">
        <f>VLOOKUP(tabPostos[[#This Row],[CCT DA CATEGORIA]],'RELAÇÃO SINDICATOS'!A:N,13,0)</f>
        <v>-</v>
      </c>
      <c r="M31" s="148" t="str">
        <f>VLOOKUP(tabPostos[[#This Row],[CCT DA CATEGORIA]],'RELAÇÃO SINDICATOS'!A:N,14,0)</f>
        <v>MG000016/2025</v>
      </c>
    </row>
    <row r="32" spans="1:13" x14ac:dyDescent="0.25">
      <c r="A32" s="148" t="str" cm="1">
        <f t="array" ref="A32">_xlfn.XLOOKUP(tabPostos[[#This Row],[Fonte de Recursos]]&amp;tabPostos[[#This Row],[Classificação]],tabLotacao[Lotacao]&amp;tabLotacao[Tipo],tabLotacao[Codigo Lote],"0")&amp;"."&amp;_xlfn.XLOOKUP(tabPostos[[#This Row],[Comarca]],tabComarca[COMARCA],tabComarca[Codigo Comarca],"000")&amp;"."&amp;_xlfn.XLOOKUP(tabPostos[[#This Row],[Função]],tabCargos[Cargo],tabCargos[Codigo Cargo],"00")</f>
        <v>2.027.06</v>
      </c>
      <c r="B32" s="200" t="s">
        <v>34</v>
      </c>
      <c r="C32" s="200" t="s">
        <v>1245</v>
      </c>
      <c r="D32" s="200" t="str" cm="1">
        <f t="array" ref="D32">IF(tabPostos[[#This Row],[Comarca]]="","",
_xlfn.LET(
_xlpm.MATRIZ_COMARCA, ","&amp;TRIM(UPPER(SUBSTITUTE(SUBSTITUTE(SUBSTITUTE(SUBSTITUTE(SUBSTITUTE(SUBSTITUTE(SUBSTITUTE(SUBSTITUTE(SUBSTITUTE(SUBSTITUTE(SUBSTITUTE(SUBSTITUTE(SUBSTITUTE(SUBSTITUTE(SUBSTITUTE(SUBSTITUTE(SUBSTITUTE(SUBSTITUTE(SUBSTITUTE(SUBSTITUTE(SUBSTITUTE(SUBSTITUTE(SUBSTITUTE(SUBSTITUTE(SUBSTITUTE(SUBSTITUTE(tabSindicatos[ABRANGÊNCIA],"á","a"),"ã","a"),"â","a"),"é","e"),"ê","e"),"í","i"),"ó","o"),"õ","o"),"ô","o"),"ú","u"),"ç","c"),"Á","a"),"Ã","a"),"Â","a"),"É","e"),"Ê","e"),"Í","i"),"Ó","o"),"Õ","o"),"Ô","o"),"Ú","u"),"Ç","c"),"/MG","")," e ",", ")," ",""),".","")))&amp;",",
_xlpm.MATRIZ_FUNCAO, ","&amp;TRIM(UPPER(SUBSTITUTE(SUBSTITUTE(SUBSTITUTE(SUBSTITUTE(SUBSTITUTE(SUBSTITUTE(SUBSTITUTE(SUBSTITUTE(SUBSTITUTE(SUBSTITUTE(SUBSTITUTE(SUBSTITUTE(SUBSTITUTE(SUBSTITUTE(SUBSTITUTE(SUBSTITUTE(SUBSTITUTE(SUBSTITUTE(SUBSTITUTE(SUBSTITUTE(SUBSTITUTE(SUBSTITUTE(SUBSTITUTE(SUBSTITUTE(SUBSTITUTE(tabSindicatos[FUNÇÕES],"á","a"),"ã","a"),"â","a"),"é","e"),"ê","e"),"í","i"),"ó","o"),"õ","o"),"ô","o"),"ú","u"),"ç","c"),"Á","a"),"Ã","a"),"Â","a"),"É","e"),"Ê","e"),"Í","i"),"Ó","o"),"Õ","o"),"Ô","o"),"Ú","u"),"Ç","c")," e ",", ")," ",""),".","")))&amp;",",
IFERROR(_xlfn._xlws.FILTER(tabSindicatos[SINDICATOS],
(ISNUMBER(SEARCH(","&amp;TRIM(UPPER(SUBSTITUTE(tabPostos[[#This Row],[Comarca]]," ","")))&amp;",",_xlpm.MATRIZ_COMARCA,1)))*
(ISNUMBER(SEARCH(","&amp;TRIM(SUBSTITUTE(SUBSTITUTE(SUBSTITUTE(UPPER(tabPostos[[#This Row],[Função]])," E ",", ")," ",""),".",""))&amp;",",_xlpm.MATRIZ_FUNCAO,1)))
),"")
))</f>
        <v>Sind - Asseio</v>
      </c>
      <c r="E32" s="148" t="s">
        <v>9</v>
      </c>
      <c r="F32" s="148" t="s">
        <v>10</v>
      </c>
      <c r="G32" s="148">
        <v>3</v>
      </c>
      <c r="H32" s="148">
        <v>0</v>
      </c>
      <c r="I32" s="216">
        <f>1649.12</f>
        <v>1649.12</v>
      </c>
      <c r="J32" s="247">
        <f>VLOOKUP(tabPostos[[#This Row],[CCT DA CATEGORIA]],'RELAÇÃO SINDICATOS'!A:N,11,0)</f>
        <v>45658</v>
      </c>
      <c r="K32" s="148" t="str">
        <f>VLOOKUP(tabPostos[[#This Row],[CCT DA CATEGORIA]],'RELAÇÃO SINDICATOS'!A:N,12,0)</f>
        <v>-</v>
      </c>
      <c r="L32" s="148" t="str">
        <f>VLOOKUP(tabPostos[[#This Row],[CCT DA CATEGORIA]],'RELAÇÃO SINDICATOS'!A:N,13,0)</f>
        <v>-</v>
      </c>
      <c r="M32" s="148" t="str">
        <f>VLOOKUP(tabPostos[[#This Row],[CCT DA CATEGORIA]],'RELAÇÃO SINDICATOS'!A:N,14,0)</f>
        <v>MG000016/2025</v>
      </c>
    </row>
    <row r="33" spans="1:13" x14ac:dyDescent="0.25">
      <c r="A33" s="148" t="str" cm="1">
        <f t="array" ref="A33">_xlfn.XLOOKUP(tabPostos[[#This Row],[Fonte de Recursos]]&amp;tabPostos[[#This Row],[Classificação]],tabLotacao[Lotacao]&amp;tabLotacao[Tipo],tabLotacao[Codigo Lote],"0")&amp;"."&amp;_xlfn.XLOOKUP(tabPostos[[#This Row],[Comarca]],tabComarca[COMARCA],tabComarca[Codigo Comarca],"000")&amp;"."&amp;_xlfn.XLOOKUP(tabPostos[[#This Row],[Função]],tabCargos[Cargo],tabCargos[Codigo Cargo],"00")</f>
        <v>2.069.03</v>
      </c>
      <c r="B33" s="200" t="s">
        <v>35</v>
      </c>
      <c r="C33" s="200" t="s">
        <v>1247</v>
      </c>
      <c r="D33" s="200" t="str" cm="1">
        <f t="array" ref="D33">IF(tabPostos[[#This Row],[Comarca]]="","",
_xlfn.LET(
_xlpm.MATRIZ_COMARCA, ","&amp;TRIM(UPPER(SUBSTITUTE(SUBSTITUTE(SUBSTITUTE(SUBSTITUTE(SUBSTITUTE(SUBSTITUTE(SUBSTITUTE(SUBSTITUTE(SUBSTITUTE(SUBSTITUTE(SUBSTITUTE(SUBSTITUTE(SUBSTITUTE(SUBSTITUTE(SUBSTITUTE(SUBSTITUTE(SUBSTITUTE(SUBSTITUTE(SUBSTITUTE(SUBSTITUTE(SUBSTITUTE(SUBSTITUTE(SUBSTITUTE(SUBSTITUTE(SUBSTITUTE(SUBSTITUTE(tabSindicatos[ABRANGÊNCIA],"á","a"),"ã","a"),"â","a"),"é","e"),"ê","e"),"í","i"),"ó","o"),"õ","o"),"ô","o"),"ú","u"),"ç","c"),"Á","a"),"Ã","a"),"Â","a"),"É","e"),"Ê","e"),"Í","i"),"Ó","o"),"Õ","o"),"Ô","o"),"Ú","u"),"Ç","c"),"/MG","")," e ",", ")," ",""),".","")))&amp;",",
_xlpm.MATRIZ_FUNCAO, ","&amp;TRIM(UPPER(SUBSTITUTE(SUBSTITUTE(SUBSTITUTE(SUBSTITUTE(SUBSTITUTE(SUBSTITUTE(SUBSTITUTE(SUBSTITUTE(SUBSTITUTE(SUBSTITUTE(SUBSTITUTE(SUBSTITUTE(SUBSTITUTE(SUBSTITUTE(SUBSTITUTE(SUBSTITUTE(SUBSTITUTE(SUBSTITUTE(SUBSTITUTE(SUBSTITUTE(SUBSTITUTE(SUBSTITUTE(SUBSTITUTE(SUBSTITUTE(SUBSTITUTE(tabSindicatos[FUNÇÕES],"á","a"),"ã","a"),"â","a"),"é","e"),"ê","e"),"í","i"),"ó","o"),"õ","o"),"ô","o"),"ú","u"),"ç","c"),"Á","a"),"Ã","a"),"Â","a"),"É","e"),"Ê","e"),"Í","i"),"Ó","o"),"Õ","o"),"Ô","o"),"Ú","u"),"Ç","c")," e ",", ")," ",""),".","")))&amp;",",
IFERROR(_xlfn._xlws.FILTER(tabSindicatos[SINDICATOS],
(ISNUMBER(SEARCH(","&amp;TRIM(UPPER(SUBSTITUTE(tabPostos[[#This Row],[Comarca]]," ","")))&amp;",",_xlpm.MATRIZ_COMARCA,1)))*
(ISNUMBER(SEARCH(","&amp;TRIM(SUBSTITUTE(SUBSTITUTE(SUBSTITUTE(UPPER(tabPostos[[#This Row],[Função]])," E ",", ")," ",""),".",""))&amp;",",_xlpm.MATRIZ_FUNCAO,1)))
),"")
))</f>
        <v>Regiao de Juiz de Fora</v>
      </c>
      <c r="E33" s="148" t="s">
        <v>9</v>
      </c>
      <c r="F33" s="148" t="s">
        <v>10</v>
      </c>
      <c r="G33" s="148">
        <v>1</v>
      </c>
      <c r="H33" s="148">
        <v>0</v>
      </c>
      <c r="I33" s="216">
        <f>544.18</f>
        <v>544.17999999999995</v>
      </c>
      <c r="J33" s="247">
        <f>VLOOKUP(tabPostos[[#This Row],[CCT DA CATEGORIA]],'RELAÇÃO SINDICATOS'!A:N,11,0)</f>
        <v>45658</v>
      </c>
      <c r="K33" s="148" t="str">
        <f>VLOOKUP(tabPostos[[#This Row],[CCT DA CATEGORIA]],'RELAÇÃO SINDICATOS'!A:N,12,0)</f>
        <v>-</v>
      </c>
      <c r="L33" s="148" t="str">
        <f>VLOOKUP(tabPostos[[#This Row],[CCT DA CATEGORIA]],'RELAÇÃO SINDICATOS'!A:N,13,0)</f>
        <v>-</v>
      </c>
      <c r="M33" s="148" t="str">
        <f>VLOOKUP(tabPostos[[#This Row],[CCT DA CATEGORIA]],'RELAÇÃO SINDICATOS'!A:N,14,0)</f>
        <v>MG000506/2025</v>
      </c>
    </row>
    <row r="34" spans="1:13" x14ac:dyDescent="0.25">
      <c r="A34" s="148" t="str" cm="1">
        <f t="array" ref="A34">_xlfn.XLOOKUP(tabPostos[[#This Row],[Fonte de Recursos]]&amp;tabPostos[[#This Row],[Classificação]],tabLotacao[Lotacao]&amp;tabLotacao[Tipo],tabLotacao[Codigo Lote],"0")&amp;"."&amp;_xlfn.XLOOKUP(tabPostos[[#This Row],[Comarca]],tabComarca[COMARCA],tabComarca[Codigo Comarca],"000")&amp;"."&amp;_xlfn.XLOOKUP(tabPostos[[#This Row],[Função]],tabCargos[Cargo],tabCargos[Codigo Cargo],"00")</f>
        <v>2.071.04</v>
      </c>
      <c r="B34" s="200" t="s">
        <v>36</v>
      </c>
      <c r="C34" s="200" t="s">
        <v>1244</v>
      </c>
      <c r="D34" s="200" t="str" cm="1">
        <f t="array" ref="D34">IF(tabPostos[[#This Row],[Comarca]]="","",
_xlfn.LET(
_xlpm.MATRIZ_COMARCA, ","&amp;TRIM(UPPER(SUBSTITUTE(SUBSTITUTE(SUBSTITUTE(SUBSTITUTE(SUBSTITUTE(SUBSTITUTE(SUBSTITUTE(SUBSTITUTE(SUBSTITUTE(SUBSTITUTE(SUBSTITUTE(SUBSTITUTE(SUBSTITUTE(SUBSTITUTE(SUBSTITUTE(SUBSTITUTE(SUBSTITUTE(SUBSTITUTE(SUBSTITUTE(SUBSTITUTE(SUBSTITUTE(SUBSTITUTE(SUBSTITUTE(SUBSTITUTE(SUBSTITUTE(SUBSTITUTE(tabSindicatos[ABRANGÊNCIA],"á","a"),"ã","a"),"â","a"),"é","e"),"ê","e"),"í","i"),"ó","o"),"õ","o"),"ô","o"),"ú","u"),"ç","c"),"Á","a"),"Ã","a"),"Â","a"),"É","e"),"Ê","e"),"Í","i"),"Ó","o"),"Õ","o"),"Ô","o"),"Ú","u"),"Ç","c"),"/MG","")," e ",", ")," ",""),".","")))&amp;",",
_xlpm.MATRIZ_FUNCAO, ","&amp;TRIM(UPPER(SUBSTITUTE(SUBSTITUTE(SUBSTITUTE(SUBSTITUTE(SUBSTITUTE(SUBSTITUTE(SUBSTITUTE(SUBSTITUTE(SUBSTITUTE(SUBSTITUTE(SUBSTITUTE(SUBSTITUTE(SUBSTITUTE(SUBSTITUTE(SUBSTITUTE(SUBSTITUTE(SUBSTITUTE(SUBSTITUTE(SUBSTITUTE(SUBSTITUTE(SUBSTITUTE(SUBSTITUTE(SUBSTITUTE(SUBSTITUTE(SUBSTITUTE(tabSindicatos[FUNÇÕES],"á","a"),"ã","a"),"â","a"),"é","e"),"ê","e"),"í","i"),"ó","o"),"õ","o"),"ô","o"),"ú","u"),"ç","c"),"Á","a"),"Ã","a"),"Â","a"),"É","e"),"Ê","e"),"Í","i"),"Ó","o"),"Õ","o"),"Ô","o"),"Ú","u"),"Ç","c")," e ",", ")," ",""),".","")))&amp;",",
IFERROR(_xlfn._xlws.FILTER(tabSindicatos[SINDICATOS],
(ISNUMBER(SEARCH(","&amp;TRIM(UPPER(SUBSTITUTE(tabPostos[[#This Row],[Comarca]]," ","")))&amp;",",_xlpm.MATRIZ_COMARCA,1)))*
(ISNUMBER(SEARCH(","&amp;TRIM(SUBSTITUTE(SUBSTITUTE(SUBSTITUTE(UPPER(tabPostos[[#This Row],[Função]])," E ",", ")," ",""),".",""))&amp;",",_xlpm.MATRIZ_FUNCAO,1)))
),"")
))</f>
        <v>Regiao de Sao Lourenco</v>
      </c>
      <c r="E34" s="148" t="s">
        <v>9</v>
      </c>
      <c r="F34" s="148" t="s">
        <v>10</v>
      </c>
      <c r="G34" s="148">
        <v>1</v>
      </c>
      <c r="H34" s="148">
        <v>0</v>
      </c>
      <c r="I34" s="216">
        <f>798.14</f>
        <v>798.14</v>
      </c>
      <c r="J34" s="247">
        <f>VLOOKUP(tabPostos[[#This Row],[CCT DA CATEGORIA]],'RELAÇÃO SINDICATOS'!A:N,11,0)</f>
        <v>45658</v>
      </c>
      <c r="K34" s="148" t="str">
        <f>VLOOKUP(tabPostos[[#This Row],[CCT DA CATEGORIA]],'RELAÇÃO SINDICATOS'!A:N,12,0)</f>
        <v>-</v>
      </c>
      <c r="L34" s="148" t="str">
        <f>VLOOKUP(tabPostos[[#This Row],[CCT DA CATEGORIA]],'RELAÇÃO SINDICATOS'!A:N,13,0)</f>
        <v>-</v>
      </c>
      <c r="M34" s="148" t="str">
        <f>VLOOKUP(tabPostos[[#This Row],[CCT DA CATEGORIA]],'RELAÇÃO SINDICATOS'!A:N,14,0)</f>
        <v>MG000594/2025</v>
      </c>
    </row>
    <row r="35" spans="1:13" x14ac:dyDescent="0.25">
      <c r="A35" s="148" t="str" cm="1">
        <f t="array" ref="A35">_xlfn.XLOOKUP(tabPostos[[#This Row],[Fonte de Recursos]]&amp;tabPostos[[#This Row],[Classificação]],tabLotacao[Lotacao]&amp;tabLotacao[Tipo],tabLotacao[Codigo Lote],"0")&amp;"."&amp;_xlfn.XLOOKUP(tabPostos[[#This Row],[Comarca]],tabComarca[COMARCA],tabComarca[Codigo Comarca],"000")&amp;"."&amp;_xlfn.XLOOKUP(tabPostos[[#This Row],[Função]],tabCargos[Cargo],tabCargos[Codigo Cargo],"00")</f>
        <v>2.073.06</v>
      </c>
      <c r="B35" s="200" t="s">
        <v>37</v>
      </c>
      <c r="C35" s="200" t="s">
        <v>1245</v>
      </c>
      <c r="D35" s="200" t="str" cm="1">
        <f t="array" ref="D35">IF(tabPostos[[#This Row],[Comarca]]="","",
_xlfn.LET(
_xlpm.MATRIZ_COMARCA, ","&amp;TRIM(UPPER(SUBSTITUTE(SUBSTITUTE(SUBSTITUTE(SUBSTITUTE(SUBSTITUTE(SUBSTITUTE(SUBSTITUTE(SUBSTITUTE(SUBSTITUTE(SUBSTITUTE(SUBSTITUTE(SUBSTITUTE(SUBSTITUTE(SUBSTITUTE(SUBSTITUTE(SUBSTITUTE(SUBSTITUTE(SUBSTITUTE(SUBSTITUTE(SUBSTITUTE(SUBSTITUTE(SUBSTITUTE(SUBSTITUTE(SUBSTITUTE(SUBSTITUTE(SUBSTITUTE(tabSindicatos[ABRANGÊNCIA],"á","a"),"ã","a"),"â","a"),"é","e"),"ê","e"),"í","i"),"ó","o"),"õ","o"),"ô","o"),"ú","u"),"ç","c"),"Á","a"),"Ã","a"),"Â","a"),"É","e"),"Ê","e"),"Í","i"),"Ó","o"),"Õ","o"),"Ô","o"),"Ú","u"),"Ç","c"),"/MG","")," e ",", ")," ",""),".","")))&amp;",",
_xlpm.MATRIZ_FUNCAO, ","&amp;TRIM(UPPER(SUBSTITUTE(SUBSTITUTE(SUBSTITUTE(SUBSTITUTE(SUBSTITUTE(SUBSTITUTE(SUBSTITUTE(SUBSTITUTE(SUBSTITUTE(SUBSTITUTE(SUBSTITUTE(SUBSTITUTE(SUBSTITUTE(SUBSTITUTE(SUBSTITUTE(SUBSTITUTE(SUBSTITUTE(SUBSTITUTE(SUBSTITUTE(SUBSTITUTE(SUBSTITUTE(SUBSTITUTE(SUBSTITUTE(SUBSTITUTE(SUBSTITUTE(tabSindicatos[FUNÇÕES],"á","a"),"ã","a"),"â","a"),"é","e"),"ê","e"),"í","i"),"ó","o"),"õ","o"),"ô","o"),"ú","u"),"ç","c"),"Á","a"),"Ã","a"),"Â","a"),"É","e"),"Ê","e"),"Í","i"),"Ó","o"),"Õ","o"),"Ô","o"),"Ú","u"),"Ç","c")," e ",", ")," ",""),".","")))&amp;",",
IFERROR(_xlfn._xlws.FILTER(tabSindicatos[SINDICATOS],
(ISNUMBER(SEARCH(","&amp;TRIM(UPPER(SUBSTITUTE(tabPostos[[#This Row],[Comarca]]," ","")))&amp;",",_xlpm.MATRIZ_COMARCA,1)))*
(ISNUMBER(SEARCH(","&amp;TRIM(SUBSTITUTE(SUBSTITUTE(SUBSTITUTE(UPPER(tabPostos[[#This Row],[Função]])," E ",", ")," ",""),".",""))&amp;",",_xlpm.MATRIZ_FUNCAO,1)))
),"")
))</f>
        <v>Sethac Norte de Minas</v>
      </c>
      <c r="E35" s="148" t="s">
        <v>9</v>
      </c>
      <c r="F35" s="148" t="s">
        <v>10</v>
      </c>
      <c r="G35" s="148">
        <v>1</v>
      </c>
      <c r="H35" s="148">
        <v>0</v>
      </c>
      <c r="I35" s="216">
        <f>1596.28</f>
        <v>1596.28</v>
      </c>
      <c r="J35" s="247">
        <f>VLOOKUP(tabPostos[[#This Row],[CCT DA CATEGORIA]],'RELAÇÃO SINDICATOS'!A:N,11,0)</f>
        <v>45658</v>
      </c>
      <c r="K35" s="148" t="str">
        <f>VLOOKUP(tabPostos[[#This Row],[CCT DA CATEGORIA]],'RELAÇÃO SINDICATOS'!A:N,12,0)</f>
        <v>-</v>
      </c>
      <c r="L35" s="148" t="str">
        <f>VLOOKUP(tabPostos[[#This Row],[CCT DA CATEGORIA]],'RELAÇÃO SINDICATOS'!A:N,13,0)</f>
        <v>-</v>
      </c>
      <c r="M35" s="148" t="str">
        <f>VLOOKUP(tabPostos[[#This Row],[CCT DA CATEGORIA]],'RELAÇÃO SINDICATOS'!A:N,14,0)</f>
        <v>MG000256/2025</v>
      </c>
    </row>
    <row r="36" spans="1:13" x14ac:dyDescent="0.25">
      <c r="A36" s="148" t="str" cm="1">
        <f t="array" ref="A36">_xlfn.XLOOKUP(tabPostos[[#This Row],[Fonte de Recursos]]&amp;tabPostos[[#This Row],[Classificação]],tabLotacao[Lotacao]&amp;tabLotacao[Tipo],tabLotacao[Codigo Lote],"0")&amp;"."&amp;_xlfn.XLOOKUP(tabPostos[[#This Row],[Comarca]],tabComarca[COMARCA],tabComarca[Codigo Comarca],"000")&amp;"."&amp;_xlfn.XLOOKUP(tabPostos[[#This Row],[Função]],tabCargos[Cargo],tabCargos[Codigo Cargo],"00")</f>
        <v>2.074.06</v>
      </c>
      <c r="B36" s="200" t="s">
        <v>38</v>
      </c>
      <c r="C36" s="200" t="s">
        <v>1245</v>
      </c>
      <c r="D36" s="200" t="str" cm="1">
        <f t="array" ref="D36">IF(tabPostos[[#This Row],[Comarca]]="","",
_xlfn.LET(
_xlpm.MATRIZ_COMARCA, ","&amp;TRIM(UPPER(SUBSTITUTE(SUBSTITUTE(SUBSTITUTE(SUBSTITUTE(SUBSTITUTE(SUBSTITUTE(SUBSTITUTE(SUBSTITUTE(SUBSTITUTE(SUBSTITUTE(SUBSTITUTE(SUBSTITUTE(SUBSTITUTE(SUBSTITUTE(SUBSTITUTE(SUBSTITUTE(SUBSTITUTE(SUBSTITUTE(SUBSTITUTE(SUBSTITUTE(SUBSTITUTE(SUBSTITUTE(SUBSTITUTE(SUBSTITUTE(SUBSTITUTE(SUBSTITUTE(tabSindicatos[ABRANGÊNCIA],"á","a"),"ã","a"),"â","a"),"é","e"),"ê","e"),"í","i"),"ó","o"),"õ","o"),"ô","o"),"ú","u"),"ç","c"),"Á","a"),"Ã","a"),"Â","a"),"É","e"),"Ê","e"),"Í","i"),"Ó","o"),"Õ","o"),"Ô","o"),"Ú","u"),"Ç","c"),"/MG","")," e ",", ")," ",""),".","")))&amp;",",
_xlpm.MATRIZ_FUNCAO, ","&amp;TRIM(UPPER(SUBSTITUTE(SUBSTITUTE(SUBSTITUTE(SUBSTITUTE(SUBSTITUTE(SUBSTITUTE(SUBSTITUTE(SUBSTITUTE(SUBSTITUTE(SUBSTITUTE(SUBSTITUTE(SUBSTITUTE(SUBSTITUTE(SUBSTITUTE(SUBSTITUTE(SUBSTITUTE(SUBSTITUTE(SUBSTITUTE(SUBSTITUTE(SUBSTITUTE(SUBSTITUTE(SUBSTITUTE(SUBSTITUTE(SUBSTITUTE(SUBSTITUTE(tabSindicatos[FUNÇÕES],"á","a"),"ã","a"),"â","a"),"é","e"),"ê","e"),"í","i"),"ó","o"),"õ","o"),"ô","o"),"ú","u"),"ç","c"),"Á","a"),"Ã","a"),"Â","a"),"É","e"),"Ê","e"),"Í","i"),"Ó","o"),"Õ","o"),"Ô","o"),"Ú","u"),"Ç","c")," e ",", ")," ",""),".","")))&amp;",",
IFERROR(_xlfn._xlws.FILTER(tabSindicatos[SINDICATOS],
(ISNUMBER(SEARCH(","&amp;TRIM(UPPER(SUBSTITUTE(tabPostos[[#This Row],[Comarca]]," ","")))&amp;",",_xlpm.MATRIZ_COMARCA,1)))*
(ISNUMBER(SEARCH(","&amp;TRIM(SUBSTITUTE(SUBSTITUTE(SUBSTITUTE(UPPER(tabPostos[[#This Row],[Função]])," E ",", ")," ",""),".",""))&amp;",",_xlpm.MATRIZ_FUNCAO,1)))
),"")
))</f>
        <v>Fethemg Interior</v>
      </c>
      <c r="E36" s="148" t="s">
        <v>9</v>
      </c>
      <c r="F36" s="148" t="s">
        <v>10</v>
      </c>
      <c r="G36" s="148">
        <v>1</v>
      </c>
      <c r="H36" s="148">
        <v>0</v>
      </c>
      <c r="I36" s="216">
        <f>1596.28</f>
        <v>1596.28</v>
      </c>
      <c r="J36" s="247">
        <f>VLOOKUP(tabPostos[[#This Row],[CCT DA CATEGORIA]],'RELAÇÃO SINDICATOS'!A:N,11,0)</f>
        <v>45658</v>
      </c>
      <c r="K36" s="148" t="str">
        <f>VLOOKUP(tabPostos[[#This Row],[CCT DA CATEGORIA]],'RELAÇÃO SINDICATOS'!A:N,12,0)</f>
        <v>-</v>
      </c>
      <c r="L36" s="148" t="str">
        <f>VLOOKUP(tabPostos[[#This Row],[CCT DA CATEGORIA]],'RELAÇÃO SINDICATOS'!A:N,13,0)</f>
        <v>-</v>
      </c>
      <c r="M36" s="148" t="str">
        <f>VLOOKUP(tabPostos[[#This Row],[CCT DA CATEGORIA]],'RELAÇÃO SINDICATOS'!A:N,14,0)</f>
        <v>MG004482/2024</v>
      </c>
    </row>
    <row r="37" spans="1:13" x14ac:dyDescent="0.25">
      <c r="A37" s="148" t="str" cm="1">
        <f t="array" ref="A37">_xlfn.XLOOKUP(tabPostos[[#This Row],[Fonte de Recursos]]&amp;tabPostos[[#This Row],[Classificação]],tabLotacao[Lotacao]&amp;tabLotacao[Tipo],tabLotacao[Codigo Lote],"0")&amp;"."&amp;_xlfn.XLOOKUP(tabPostos[[#This Row],[Comarca]],tabComarca[COMARCA],tabComarca[Codigo Comarca],"000")&amp;"."&amp;_xlfn.XLOOKUP(tabPostos[[#This Row],[Função]],tabCargos[Cargo],tabCargos[Codigo Cargo],"00")</f>
        <v>2.080.03</v>
      </c>
      <c r="B37" s="200" t="s">
        <v>39</v>
      </c>
      <c r="C37" s="200" t="s">
        <v>1247</v>
      </c>
      <c r="D37" s="200" t="str" cm="1">
        <f t="array" ref="D37">IF(tabPostos[[#This Row],[Comarca]]="","",
_xlfn.LET(
_xlpm.MATRIZ_COMARCA, ","&amp;TRIM(UPPER(SUBSTITUTE(SUBSTITUTE(SUBSTITUTE(SUBSTITUTE(SUBSTITUTE(SUBSTITUTE(SUBSTITUTE(SUBSTITUTE(SUBSTITUTE(SUBSTITUTE(SUBSTITUTE(SUBSTITUTE(SUBSTITUTE(SUBSTITUTE(SUBSTITUTE(SUBSTITUTE(SUBSTITUTE(SUBSTITUTE(SUBSTITUTE(SUBSTITUTE(SUBSTITUTE(SUBSTITUTE(SUBSTITUTE(SUBSTITUTE(SUBSTITUTE(SUBSTITUTE(tabSindicatos[ABRANGÊNCIA],"á","a"),"ã","a"),"â","a"),"é","e"),"ê","e"),"í","i"),"ó","o"),"õ","o"),"ô","o"),"ú","u"),"ç","c"),"Á","a"),"Ã","a"),"Â","a"),"É","e"),"Ê","e"),"Í","i"),"Ó","o"),"Õ","o"),"Ô","o"),"Ú","u"),"Ç","c"),"/MG","")," e ",", ")," ",""),".","")))&amp;",",
_xlpm.MATRIZ_FUNCAO, ","&amp;TRIM(UPPER(SUBSTITUTE(SUBSTITUTE(SUBSTITUTE(SUBSTITUTE(SUBSTITUTE(SUBSTITUTE(SUBSTITUTE(SUBSTITUTE(SUBSTITUTE(SUBSTITUTE(SUBSTITUTE(SUBSTITUTE(SUBSTITUTE(SUBSTITUTE(SUBSTITUTE(SUBSTITUTE(SUBSTITUTE(SUBSTITUTE(SUBSTITUTE(SUBSTITUTE(SUBSTITUTE(SUBSTITUTE(SUBSTITUTE(SUBSTITUTE(SUBSTITUTE(tabSindicatos[FUNÇÕES],"á","a"),"ã","a"),"â","a"),"é","e"),"ê","e"),"í","i"),"ó","o"),"õ","o"),"ô","o"),"ú","u"),"ç","c"),"Á","a"),"Ã","a"),"Â","a"),"É","e"),"Ê","e"),"Í","i"),"Ó","o"),"Õ","o"),"Ô","o"),"Ú","u"),"Ç","c")," e ",", ")," ",""),".","")))&amp;",",
IFERROR(_xlfn._xlws.FILTER(tabSindicatos[SINDICATOS],
(ISNUMBER(SEARCH(","&amp;TRIM(UPPER(SUBSTITUTE(tabPostos[[#This Row],[Comarca]]," ","")))&amp;",",_xlpm.MATRIZ_COMARCA,1)))*
(ISNUMBER(SEARCH(","&amp;TRIM(SUBSTITUTE(SUBSTITUTE(SUBSTITUTE(UPPER(tabPostos[[#This Row],[Função]])," E ",", ")," ",""),".",""))&amp;",",_xlpm.MATRIZ_FUNCAO,1)))
),"")
))</f>
        <v>Regiao de Sao Lourenco</v>
      </c>
      <c r="E37" s="148" t="s">
        <v>9</v>
      </c>
      <c r="F37" s="148" t="s">
        <v>10</v>
      </c>
      <c r="G37" s="148">
        <v>1</v>
      </c>
      <c r="H37" s="148">
        <v>0</v>
      </c>
      <c r="I37" s="216">
        <f>544.18</f>
        <v>544.17999999999995</v>
      </c>
      <c r="J37" s="247">
        <f>VLOOKUP(tabPostos[[#This Row],[CCT DA CATEGORIA]],'RELAÇÃO SINDICATOS'!A:N,11,0)</f>
        <v>45658</v>
      </c>
      <c r="K37" s="148" t="str">
        <f>VLOOKUP(tabPostos[[#This Row],[CCT DA CATEGORIA]],'RELAÇÃO SINDICATOS'!A:N,12,0)</f>
        <v>-</v>
      </c>
      <c r="L37" s="148" t="str">
        <f>VLOOKUP(tabPostos[[#This Row],[CCT DA CATEGORIA]],'RELAÇÃO SINDICATOS'!A:N,13,0)</f>
        <v>-</v>
      </c>
      <c r="M37" s="148" t="str">
        <f>VLOOKUP(tabPostos[[#This Row],[CCT DA CATEGORIA]],'RELAÇÃO SINDICATOS'!A:N,14,0)</f>
        <v>MG000594/2025</v>
      </c>
    </row>
    <row r="38" spans="1:13" x14ac:dyDescent="0.25">
      <c r="A38" s="148" t="str" cm="1">
        <f t="array" ref="A38">_xlfn.XLOOKUP(tabPostos[[#This Row],[Fonte de Recursos]]&amp;tabPostos[[#This Row],[Classificação]],tabLotacao[Lotacao]&amp;tabLotacao[Tipo],tabLotacao[Codigo Lote],"0")&amp;"."&amp;_xlfn.XLOOKUP(tabPostos[[#This Row],[Comarca]],tabComarca[COMARCA],tabComarca[Codigo Comarca],"000")&amp;"."&amp;_xlfn.XLOOKUP(tabPostos[[#This Row],[Função]],tabCargos[Cargo],tabCargos[Codigo Cargo],"00")</f>
        <v>2.081.03</v>
      </c>
      <c r="B38" s="200" t="s">
        <v>40</v>
      </c>
      <c r="C38" s="200" t="s">
        <v>1247</v>
      </c>
      <c r="D38" s="200" t="str" cm="1">
        <f t="array" ref="D38">IF(tabPostos[[#This Row],[Comarca]]="","",
_xlfn.LET(
_xlpm.MATRIZ_COMARCA, ","&amp;TRIM(UPPER(SUBSTITUTE(SUBSTITUTE(SUBSTITUTE(SUBSTITUTE(SUBSTITUTE(SUBSTITUTE(SUBSTITUTE(SUBSTITUTE(SUBSTITUTE(SUBSTITUTE(SUBSTITUTE(SUBSTITUTE(SUBSTITUTE(SUBSTITUTE(SUBSTITUTE(SUBSTITUTE(SUBSTITUTE(SUBSTITUTE(SUBSTITUTE(SUBSTITUTE(SUBSTITUTE(SUBSTITUTE(SUBSTITUTE(SUBSTITUTE(SUBSTITUTE(SUBSTITUTE(tabSindicatos[ABRANGÊNCIA],"á","a"),"ã","a"),"â","a"),"é","e"),"ê","e"),"í","i"),"ó","o"),"õ","o"),"ô","o"),"ú","u"),"ç","c"),"Á","a"),"Ã","a"),"Â","a"),"É","e"),"Ê","e"),"Í","i"),"Ó","o"),"Õ","o"),"Ô","o"),"Ú","u"),"Ç","c"),"/MG","")," e ",", ")," ",""),".","")))&amp;",",
_xlpm.MATRIZ_FUNCAO, ","&amp;TRIM(UPPER(SUBSTITUTE(SUBSTITUTE(SUBSTITUTE(SUBSTITUTE(SUBSTITUTE(SUBSTITUTE(SUBSTITUTE(SUBSTITUTE(SUBSTITUTE(SUBSTITUTE(SUBSTITUTE(SUBSTITUTE(SUBSTITUTE(SUBSTITUTE(SUBSTITUTE(SUBSTITUTE(SUBSTITUTE(SUBSTITUTE(SUBSTITUTE(SUBSTITUTE(SUBSTITUTE(SUBSTITUTE(SUBSTITUTE(SUBSTITUTE(SUBSTITUTE(tabSindicatos[FUNÇÕES],"á","a"),"ã","a"),"â","a"),"é","e"),"ê","e"),"í","i"),"ó","o"),"õ","o"),"ô","o"),"ú","u"),"ç","c"),"Á","a"),"Ã","a"),"Â","a"),"É","e"),"Ê","e"),"Í","i"),"Ó","o"),"Õ","o"),"Ô","o"),"Ú","u"),"Ç","c")," e ",", ")," ",""),".","")))&amp;",",
IFERROR(_xlfn._xlws.FILTER(tabSindicatos[SINDICATOS],
(ISNUMBER(SEARCH(","&amp;TRIM(UPPER(SUBSTITUTE(tabPostos[[#This Row],[Comarca]]," ","")))&amp;",",_xlpm.MATRIZ_COMARCA,1)))*
(ISNUMBER(SEARCH(","&amp;TRIM(SUBSTITUTE(SUBSTITUTE(SUBSTITUTE(UPPER(tabPostos[[#This Row],[Função]])," E ",", ")," ",""),".",""))&amp;",",_xlpm.MATRIZ_FUNCAO,1)))
),"")
))</f>
        <v>Regiao de Divinopolis</v>
      </c>
      <c r="E38" s="148" t="s">
        <v>9</v>
      </c>
      <c r="F38" s="148" t="s">
        <v>10</v>
      </c>
      <c r="G38" s="148">
        <v>1</v>
      </c>
      <c r="H38" s="148">
        <v>0</v>
      </c>
      <c r="I38" s="216">
        <f>544.18</f>
        <v>544.17999999999995</v>
      </c>
      <c r="J38" s="247">
        <f>VLOOKUP(tabPostos[[#This Row],[CCT DA CATEGORIA]],'RELAÇÃO SINDICATOS'!A:N,11,0)</f>
        <v>45658</v>
      </c>
      <c r="K38" s="148" t="str">
        <f>VLOOKUP(tabPostos[[#This Row],[CCT DA CATEGORIA]],'RELAÇÃO SINDICATOS'!A:N,12,0)</f>
        <v>-</v>
      </c>
      <c r="L38" s="148" t="str">
        <f>VLOOKUP(tabPostos[[#This Row],[CCT DA CATEGORIA]],'RELAÇÃO SINDICATOS'!A:N,13,0)</f>
        <v>-</v>
      </c>
      <c r="M38" s="148" t="str">
        <f>VLOOKUP(tabPostos[[#This Row],[CCT DA CATEGORIA]],'RELAÇÃO SINDICATOS'!A:N,14,0)</f>
        <v>MG001011/2025</v>
      </c>
    </row>
    <row r="39" spans="1:13" x14ac:dyDescent="0.25">
      <c r="A39" s="148" t="str" cm="1">
        <f t="array" ref="A39">_xlfn.XLOOKUP(tabPostos[[#This Row],[Fonte de Recursos]]&amp;tabPostos[[#This Row],[Classificação]],tabLotacao[Lotacao]&amp;tabLotacao[Tipo],tabLotacao[Codigo Lote],"0")&amp;"."&amp;_xlfn.XLOOKUP(tabPostos[[#This Row],[Comarca]],tabComarca[COMARCA],tabComarca[Codigo Comarca],"000")&amp;"."&amp;_xlfn.XLOOKUP(tabPostos[[#This Row],[Função]],tabCargos[Cargo],tabCargos[Codigo Cargo],"00")</f>
        <v>2.082.04</v>
      </c>
      <c r="B39" s="200" t="s">
        <v>1348</v>
      </c>
      <c r="C39" s="200" t="s">
        <v>1244</v>
      </c>
      <c r="D39" s="200" t="str" cm="1">
        <f t="array" ref="D39">IF(tabPostos[[#This Row],[Comarca]]="","",
_xlfn.LET(
_xlpm.MATRIZ_COMARCA, ","&amp;TRIM(UPPER(SUBSTITUTE(SUBSTITUTE(SUBSTITUTE(SUBSTITUTE(SUBSTITUTE(SUBSTITUTE(SUBSTITUTE(SUBSTITUTE(SUBSTITUTE(SUBSTITUTE(SUBSTITUTE(SUBSTITUTE(SUBSTITUTE(SUBSTITUTE(SUBSTITUTE(SUBSTITUTE(SUBSTITUTE(SUBSTITUTE(SUBSTITUTE(SUBSTITUTE(SUBSTITUTE(SUBSTITUTE(SUBSTITUTE(SUBSTITUTE(SUBSTITUTE(SUBSTITUTE(tabSindicatos[ABRANGÊNCIA],"á","a"),"ã","a"),"â","a"),"é","e"),"ê","e"),"í","i"),"ó","o"),"õ","o"),"ô","o"),"ú","u"),"ç","c"),"Á","a"),"Ã","a"),"Â","a"),"É","e"),"Ê","e"),"Í","i"),"Ó","o"),"Õ","o"),"Ô","o"),"Ú","u"),"Ç","c"),"/MG","")," e ",", ")," ",""),".","")))&amp;",",
_xlpm.MATRIZ_FUNCAO, ","&amp;TRIM(UPPER(SUBSTITUTE(SUBSTITUTE(SUBSTITUTE(SUBSTITUTE(SUBSTITUTE(SUBSTITUTE(SUBSTITUTE(SUBSTITUTE(SUBSTITUTE(SUBSTITUTE(SUBSTITUTE(SUBSTITUTE(SUBSTITUTE(SUBSTITUTE(SUBSTITUTE(SUBSTITUTE(SUBSTITUTE(SUBSTITUTE(SUBSTITUTE(SUBSTITUTE(SUBSTITUTE(SUBSTITUTE(SUBSTITUTE(SUBSTITUTE(SUBSTITUTE(tabSindicatos[FUNÇÕES],"á","a"),"ã","a"),"â","a"),"é","e"),"ê","e"),"í","i"),"ó","o"),"õ","o"),"ô","o"),"ú","u"),"ç","c"),"Á","a"),"Ã","a"),"Â","a"),"É","e"),"Ê","e"),"Í","i"),"Ó","o"),"Õ","o"),"Ô","o"),"Ú","u"),"Ç","c")," e ",", ")," ",""),".","")))&amp;",",
IFERROR(_xlfn._xlws.FILTER(tabSindicatos[SINDICATOS],
(ISNUMBER(SEARCH(","&amp;TRIM(UPPER(SUBSTITUTE(tabPostos[[#This Row],[Comarca]]," ","")))&amp;",",_xlpm.MATRIZ_COMARCA,1)))*
(ISNUMBER(SEARCH(","&amp;TRIM(SUBSTITUTE(SUBSTITUTE(SUBSTITUTE(UPPER(tabPostos[[#This Row],[Função]])," E ",", ")," ",""),".",""))&amp;",",_xlpm.MATRIZ_FUNCAO,1)))
),"")
))</f>
        <v>Fethemg Interior</v>
      </c>
      <c r="E39" s="148" t="s">
        <v>9</v>
      </c>
      <c r="F39" s="148" t="s">
        <v>10</v>
      </c>
      <c r="G39" s="148">
        <v>1</v>
      </c>
      <c r="H39" s="148">
        <v>0</v>
      </c>
      <c r="I39" s="216">
        <f>798.14</f>
        <v>798.14</v>
      </c>
      <c r="J39" s="247">
        <f>VLOOKUP(tabPostos[[#This Row],[CCT DA CATEGORIA]],'RELAÇÃO SINDICATOS'!A:N,11,0)</f>
        <v>45658</v>
      </c>
      <c r="K39" s="148" t="str">
        <f>VLOOKUP(tabPostos[[#This Row],[CCT DA CATEGORIA]],'RELAÇÃO SINDICATOS'!A:N,12,0)</f>
        <v>-</v>
      </c>
      <c r="L39" s="148" t="str">
        <f>VLOOKUP(tabPostos[[#This Row],[CCT DA CATEGORIA]],'RELAÇÃO SINDICATOS'!A:N,13,0)</f>
        <v>-</v>
      </c>
      <c r="M39" s="148" t="str">
        <f>VLOOKUP(tabPostos[[#This Row],[CCT DA CATEGORIA]],'RELAÇÃO SINDICATOS'!A:N,14,0)</f>
        <v>MG004482/2024</v>
      </c>
    </row>
    <row r="40" spans="1:13" x14ac:dyDescent="0.25">
      <c r="A40" s="148" t="str" cm="1">
        <f t="array" ref="A40">_xlfn.XLOOKUP(tabPostos[[#This Row],[Fonte de Recursos]]&amp;tabPostos[[#This Row],[Classificação]],tabLotacao[Lotacao]&amp;tabLotacao[Tipo],tabLotacao[Codigo Lote],"0")&amp;"."&amp;_xlfn.XLOOKUP(tabPostos[[#This Row],[Comarca]],tabComarca[COMARCA],tabComarca[Codigo Comarca],"000")&amp;"."&amp;_xlfn.XLOOKUP(tabPostos[[#This Row],[Função]],tabCargos[Cargo],tabCargos[Codigo Cargo],"00")</f>
        <v>2.086.04</v>
      </c>
      <c r="B40" s="200" t="s">
        <v>41</v>
      </c>
      <c r="C40" s="200" t="s">
        <v>1244</v>
      </c>
      <c r="D40" s="200" t="str" cm="1">
        <f t="array" ref="D40">IF(tabPostos[[#This Row],[Comarca]]="","",
_xlfn.LET(
_xlpm.MATRIZ_COMARCA, ","&amp;TRIM(UPPER(SUBSTITUTE(SUBSTITUTE(SUBSTITUTE(SUBSTITUTE(SUBSTITUTE(SUBSTITUTE(SUBSTITUTE(SUBSTITUTE(SUBSTITUTE(SUBSTITUTE(SUBSTITUTE(SUBSTITUTE(SUBSTITUTE(SUBSTITUTE(SUBSTITUTE(SUBSTITUTE(SUBSTITUTE(SUBSTITUTE(SUBSTITUTE(SUBSTITUTE(SUBSTITUTE(SUBSTITUTE(SUBSTITUTE(SUBSTITUTE(SUBSTITUTE(SUBSTITUTE(tabSindicatos[ABRANGÊNCIA],"á","a"),"ã","a"),"â","a"),"é","e"),"ê","e"),"í","i"),"ó","o"),"õ","o"),"ô","o"),"ú","u"),"ç","c"),"Á","a"),"Ã","a"),"Â","a"),"É","e"),"Ê","e"),"Í","i"),"Ó","o"),"Õ","o"),"Ô","o"),"Ú","u"),"Ç","c"),"/MG","")," e ",", ")," ",""),".","")))&amp;",",
_xlpm.MATRIZ_FUNCAO, ","&amp;TRIM(UPPER(SUBSTITUTE(SUBSTITUTE(SUBSTITUTE(SUBSTITUTE(SUBSTITUTE(SUBSTITUTE(SUBSTITUTE(SUBSTITUTE(SUBSTITUTE(SUBSTITUTE(SUBSTITUTE(SUBSTITUTE(SUBSTITUTE(SUBSTITUTE(SUBSTITUTE(SUBSTITUTE(SUBSTITUTE(SUBSTITUTE(SUBSTITUTE(SUBSTITUTE(SUBSTITUTE(SUBSTITUTE(SUBSTITUTE(SUBSTITUTE(SUBSTITUTE(tabSindicatos[FUNÇÕES],"á","a"),"ã","a"),"â","a"),"é","e"),"ê","e"),"í","i"),"ó","o"),"õ","o"),"ô","o"),"ú","u"),"ç","c"),"Á","a"),"Ã","a"),"Â","a"),"É","e"),"Ê","e"),"Í","i"),"Ó","o"),"Õ","o"),"Ô","o"),"Ú","u"),"Ç","c")," e ",", ")," ",""),".","")))&amp;",",
IFERROR(_xlfn._xlws.FILTER(tabSindicatos[SINDICATOS],
(ISNUMBER(SEARCH(","&amp;TRIM(UPPER(SUBSTITUTE(tabPostos[[#This Row],[Comarca]]," ","")))&amp;",",_xlpm.MATRIZ_COMARCA,1)))*
(ISNUMBER(SEARCH(","&amp;TRIM(SUBSTITUTE(SUBSTITUTE(SUBSTITUTE(UPPER(tabPostos[[#This Row],[Função]])," E ",", ")," ",""),".",""))&amp;",",_xlpm.MATRIZ_FUNCAO,1)))
),"")
))</f>
        <v>Sethac Norte de Minas</v>
      </c>
      <c r="E40" s="148" t="s">
        <v>9</v>
      </c>
      <c r="F40" s="148" t="s">
        <v>10</v>
      </c>
      <c r="G40" s="148">
        <v>1</v>
      </c>
      <c r="H40" s="148">
        <v>0</v>
      </c>
      <c r="I40" s="216">
        <f>798.14</f>
        <v>798.14</v>
      </c>
      <c r="J40" s="247">
        <f>VLOOKUP(tabPostos[[#This Row],[CCT DA CATEGORIA]],'RELAÇÃO SINDICATOS'!A:N,11,0)</f>
        <v>45658</v>
      </c>
      <c r="K40" s="148" t="str">
        <f>VLOOKUP(tabPostos[[#This Row],[CCT DA CATEGORIA]],'RELAÇÃO SINDICATOS'!A:N,12,0)</f>
        <v>-</v>
      </c>
      <c r="L40" s="148" t="str">
        <f>VLOOKUP(tabPostos[[#This Row],[CCT DA CATEGORIA]],'RELAÇÃO SINDICATOS'!A:N,13,0)</f>
        <v>-</v>
      </c>
      <c r="M40" s="148" t="str">
        <f>VLOOKUP(tabPostos[[#This Row],[CCT DA CATEGORIA]],'RELAÇÃO SINDICATOS'!A:N,14,0)</f>
        <v>MG000256/2025</v>
      </c>
    </row>
    <row r="41" spans="1:13" x14ac:dyDescent="0.25">
      <c r="A41" s="148" t="str" cm="1">
        <f t="array" ref="A41">_xlfn.XLOOKUP(tabPostos[[#This Row],[Fonte de Recursos]]&amp;tabPostos[[#This Row],[Classificação]],tabLotacao[Lotacao]&amp;tabLotacao[Tipo],tabLotacao[Codigo Lote],"0")&amp;"."&amp;_xlfn.XLOOKUP(tabPostos[[#This Row],[Comarca]],tabComarca[COMARCA],tabComarca[Codigo Comarca],"000")&amp;"."&amp;_xlfn.XLOOKUP(tabPostos[[#This Row],[Função]],tabCargos[Cargo],tabCargos[Codigo Cargo],"00")</f>
        <v>2.089.03</v>
      </c>
      <c r="B41" s="200" t="s">
        <v>42</v>
      </c>
      <c r="C41" s="200" t="s">
        <v>1247</v>
      </c>
      <c r="D41" s="200" t="str" cm="1">
        <f t="array" ref="D41">IF(tabPostos[[#This Row],[Comarca]]="","",
_xlfn.LET(
_xlpm.MATRIZ_COMARCA, ","&amp;TRIM(UPPER(SUBSTITUTE(SUBSTITUTE(SUBSTITUTE(SUBSTITUTE(SUBSTITUTE(SUBSTITUTE(SUBSTITUTE(SUBSTITUTE(SUBSTITUTE(SUBSTITUTE(SUBSTITUTE(SUBSTITUTE(SUBSTITUTE(SUBSTITUTE(SUBSTITUTE(SUBSTITUTE(SUBSTITUTE(SUBSTITUTE(SUBSTITUTE(SUBSTITUTE(SUBSTITUTE(SUBSTITUTE(SUBSTITUTE(SUBSTITUTE(SUBSTITUTE(SUBSTITUTE(tabSindicatos[ABRANGÊNCIA],"á","a"),"ã","a"),"â","a"),"é","e"),"ê","e"),"í","i"),"ó","o"),"õ","o"),"ô","o"),"ú","u"),"ç","c"),"Á","a"),"Ã","a"),"Â","a"),"É","e"),"Ê","e"),"Í","i"),"Ó","o"),"Õ","o"),"Ô","o"),"Ú","u"),"Ç","c"),"/MG","")," e ",", ")," ",""),".","")))&amp;",",
_xlpm.MATRIZ_FUNCAO, ","&amp;TRIM(UPPER(SUBSTITUTE(SUBSTITUTE(SUBSTITUTE(SUBSTITUTE(SUBSTITUTE(SUBSTITUTE(SUBSTITUTE(SUBSTITUTE(SUBSTITUTE(SUBSTITUTE(SUBSTITUTE(SUBSTITUTE(SUBSTITUTE(SUBSTITUTE(SUBSTITUTE(SUBSTITUTE(SUBSTITUTE(SUBSTITUTE(SUBSTITUTE(SUBSTITUTE(SUBSTITUTE(SUBSTITUTE(SUBSTITUTE(SUBSTITUTE(SUBSTITUTE(tabSindicatos[FUNÇÕES],"á","a"),"ã","a"),"â","a"),"é","e"),"ê","e"),"í","i"),"ó","o"),"õ","o"),"ô","o"),"ú","u"),"ç","c"),"Á","a"),"Ã","a"),"Â","a"),"É","e"),"Ê","e"),"Í","i"),"Ó","o"),"Õ","o"),"Ô","o"),"Ú","u"),"Ç","c")," e ",", ")," ",""),".","")))&amp;",",
IFERROR(_xlfn._xlws.FILTER(tabSindicatos[SINDICATOS],
(ISNUMBER(SEARCH(","&amp;TRIM(UPPER(SUBSTITUTE(tabPostos[[#This Row],[Comarca]]," ","")))&amp;",",_xlpm.MATRIZ_COMARCA,1)))*
(ISNUMBER(SEARCH(","&amp;TRIM(SUBSTITUTE(SUBSTITUTE(SUBSTITUTE(UPPER(tabPostos[[#This Row],[Função]])," E ",", ")," ",""),".",""))&amp;",",_xlpm.MATRIZ_FUNCAO,1)))
),"")
))</f>
        <v>Fethemg Interior</v>
      </c>
      <c r="E41" s="148" t="s">
        <v>9</v>
      </c>
      <c r="F41" s="148" t="s">
        <v>10</v>
      </c>
      <c r="G41" s="148">
        <v>1</v>
      </c>
      <c r="H41" s="148">
        <v>0</v>
      </c>
      <c r="I41" s="216">
        <f>544.18</f>
        <v>544.17999999999995</v>
      </c>
      <c r="J41" s="247">
        <f>VLOOKUP(tabPostos[[#This Row],[CCT DA CATEGORIA]],'RELAÇÃO SINDICATOS'!A:N,11,0)</f>
        <v>45658</v>
      </c>
      <c r="K41" s="148" t="str">
        <f>VLOOKUP(tabPostos[[#This Row],[CCT DA CATEGORIA]],'RELAÇÃO SINDICATOS'!A:N,12,0)</f>
        <v>-</v>
      </c>
      <c r="L41" s="148" t="str">
        <f>VLOOKUP(tabPostos[[#This Row],[CCT DA CATEGORIA]],'RELAÇÃO SINDICATOS'!A:N,13,0)</f>
        <v>-</v>
      </c>
      <c r="M41" s="148" t="str">
        <f>VLOOKUP(tabPostos[[#This Row],[CCT DA CATEGORIA]],'RELAÇÃO SINDICATOS'!A:N,14,0)</f>
        <v>MG004482/2024</v>
      </c>
    </row>
    <row r="42" spans="1:13" x14ac:dyDescent="0.25">
      <c r="A42" s="148" t="str" cm="1">
        <f t="array" ref="A42">_xlfn.XLOOKUP(tabPostos[[#This Row],[Fonte de Recursos]]&amp;tabPostos[[#This Row],[Classificação]],tabLotacao[Lotacao]&amp;tabLotacao[Tipo],tabLotacao[Codigo Lote],"0")&amp;"."&amp;_xlfn.XLOOKUP(tabPostos[[#This Row],[Comarca]],tabComarca[COMARCA],tabComarca[Codigo Comarca],"000")&amp;"."&amp;_xlfn.XLOOKUP(tabPostos[[#This Row],[Função]],tabCargos[Cargo],tabCargos[Codigo Cargo],"00")</f>
        <v>2.090.06</v>
      </c>
      <c r="B42" s="200" t="s">
        <v>43</v>
      </c>
      <c r="C42" s="200" t="s">
        <v>1245</v>
      </c>
      <c r="D42" s="200" t="str" cm="1">
        <f t="array" ref="D42">IF(tabPostos[[#This Row],[Comarca]]="","",
_xlfn.LET(
_xlpm.MATRIZ_COMARCA, ","&amp;TRIM(UPPER(SUBSTITUTE(SUBSTITUTE(SUBSTITUTE(SUBSTITUTE(SUBSTITUTE(SUBSTITUTE(SUBSTITUTE(SUBSTITUTE(SUBSTITUTE(SUBSTITUTE(SUBSTITUTE(SUBSTITUTE(SUBSTITUTE(SUBSTITUTE(SUBSTITUTE(SUBSTITUTE(SUBSTITUTE(SUBSTITUTE(SUBSTITUTE(SUBSTITUTE(SUBSTITUTE(SUBSTITUTE(SUBSTITUTE(SUBSTITUTE(SUBSTITUTE(SUBSTITUTE(tabSindicatos[ABRANGÊNCIA],"á","a"),"ã","a"),"â","a"),"é","e"),"ê","e"),"í","i"),"ó","o"),"õ","o"),"ô","o"),"ú","u"),"ç","c"),"Á","a"),"Ã","a"),"Â","a"),"É","e"),"Ê","e"),"Í","i"),"Ó","o"),"Õ","o"),"Ô","o"),"Ú","u"),"Ç","c"),"/MG","")," e ",", ")," ",""),".","")))&amp;",",
_xlpm.MATRIZ_FUNCAO, ","&amp;TRIM(UPPER(SUBSTITUTE(SUBSTITUTE(SUBSTITUTE(SUBSTITUTE(SUBSTITUTE(SUBSTITUTE(SUBSTITUTE(SUBSTITUTE(SUBSTITUTE(SUBSTITUTE(SUBSTITUTE(SUBSTITUTE(SUBSTITUTE(SUBSTITUTE(SUBSTITUTE(SUBSTITUTE(SUBSTITUTE(SUBSTITUTE(SUBSTITUTE(SUBSTITUTE(SUBSTITUTE(SUBSTITUTE(SUBSTITUTE(SUBSTITUTE(SUBSTITUTE(tabSindicatos[FUNÇÕES],"á","a"),"ã","a"),"â","a"),"é","e"),"ê","e"),"í","i"),"ó","o"),"õ","o"),"ô","o"),"ú","u"),"ç","c"),"Á","a"),"Ã","a"),"Â","a"),"É","e"),"Ê","e"),"Í","i"),"Ó","o"),"Õ","o"),"Ô","o"),"Ú","u"),"Ç","c")," e ",", ")," ",""),".","")))&amp;",",
IFERROR(_xlfn._xlws.FILTER(tabSindicatos[SINDICATOS],
(ISNUMBER(SEARCH(","&amp;TRIM(UPPER(SUBSTITUTE(tabPostos[[#This Row],[Comarca]]," ","")))&amp;",",_xlpm.MATRIZ_COMARCA,1)))*
(ISNUMBER(SEARCH(","&amp;TRIM(SUBSTITUTE(SUBSTITUTE(SUBSTITUTE(UPPER(tabPostos[[#This Row],[Função]])," E ",", ")," ",""),".",""))&amp;",",_xlpm.MATRIZ_FUNCAO,1)))
),"")
))</f>
        <v>Sind - Asseio</v>
      </c>
      <c r="E42" s="148" t="s">
        <v>9</v>
      </c>
      <c r="F42" s="148" t="s">
        <v>10</v>
      </c>
      <c r="G42" s="148">
        <v>1</v>
      </c>
      <c r="H42" s="148">
        <v>0</v>
      </c>
      <c r="I42" s="216">
        <f>1649.12</f>
        <v>1649.12</v>
      </c>
      <c r="J42" s="247">
        <f>VLOOKUP(tabPostos[[#This Row],[CCT DA CATEGORIA]],'RELAÇÃO SINDICATOS'!A:N,11,0)</f>
        <v>45658</v>
      </c>
      <c r="K42" s="148" t="str">
        <f>VLOOKUP(tabPostos[[#This Row],[CCT DA CATEGORIA]],'RELAÇÃO SINDICATOS'!A:N,12,0)</f>
        <v>-</v>
      </c>
      <c r="L42" s="148" t="str">
        <f>VLOOKUP(tabPostos[[#This Row],[CCT DA CATEGORIA]],'RELAÇÃO SINDICATOS'!A:N,13,0)</f>
        <v>-</v>
      </c>
      <c r="M42" s="148" t="str">
        <f>VLOOKUP(tabPostos[[#This Row],[CCT DA CATEGORIA]],'RELAÇÃO SINDICATOS'!A:N,14,0)</f>
        <v>MG000016/2025</v>
      </c>
    </row>
    <row r="43" spans="1:13" x14ac:dyDescent="0.25">
      <c r="A43" s="148" t="str" cm="1">
        <f t="array" ref="A43">_xlfn.XLOOKUP(tabPostos[[#This Row],[Fonte de Recursos]]&amp;tabPostos[[#This Row],[Classificação]],tabLotacao[Lotacao]&amp;tabLotacao[Tipo],tabLotacao[Codigo Lote],"0")&amp;"."&amp;_xlfn.XLOOKUP(tabPostos[[#This Row],[Comarca]],tabComarca[COMARCA],tabComarca[Codigo Comarca],"000")&amp;"."&amp;_xlfn.XLOOKUP(tabPostos[[#This Row],[Função]],tabCargos[Cargo],tabCargos[Codigo Cargo],"00")</f>
        <v>2.091.03</v>
      </c>
      <c r="B43" s="200" t="s">
        <v>44</v>
      </c>
      <c r="C43" s="200" t="s">
        <v>1247</v>
      </c>
      <c r="D43" s="200" t="str" cm="1">
        <f t="array" ref="D43">IF(tabPostos[[#This Row],[Comarca]]="","",
_xlfn.LET(
_xlpm.MATRIZ_COMARCA, ","&amp;TRIM(UPPER(SUBSTITUTE(SUBSTITUTE(SUBSTITUTE(SUBSTITUTE(SUBSTITUTE(SUBSTITUTE(SUBSTITUTE(SUBSTITUTE(SUBSTITUTE(SUBSTITUTE(SUBSTITUTE(SUBSTITUTE(SUBSTITUTE(SUBSTITUTE(SUBSTITUTE(SUBSTITUTE(SUBSTITUTE(SUBSTITUTE(SUBSTITUTE(SUBSTITUTE(SUBSTITUTE(SUBSTITUTE(SUBSTITUTE(SUBSTITUTE(SUBSTITUTE(SUBSTITUTE(tabSindicatos[ABRANGÊNCIA],"á","a"),"ã","a"),"â","a"),"é","e"),"ê","e"),"í","i"),"ó","o"),"õ","o"),"ô","o"),"ú","u"),"ç","c"),"Á","a"),"Ã","a"),"Â","a"),"É","e"),"Ê","e"),"Í","i"),"Ó","o"),"Õ","o"),"Ô","o"),"Ú","u"),"Ç","c"),"/MG","")," e ",", ")," ",""),".","")))&amp;",",
_xlpm.MATRIZ_FUNCAO, ","&amp;TRIM(UPPER(SUBSTITUTE(SUBSTITUTE(SUBSTITUTE(SUBSTITUTE(SUBSTITUTE(SUBSTITUTE(SUBSTITUTE(SUBSTITUTE(SUBSTITUTE(SUBSTITUTE(SUBSTITUTE(SUBSTITUTE(SUBSTITUTE(SUBSTITUTE(SUBSTITUTE(SUBSTITUTE(SUBSTITUTE(SUBSTITUTE(SUBSTITUTE(SUBSTITUTE(SUBSTITUTE(SUBSTITUTE(SUBSTITUTE(SUBSTITUTE(SUBSTITUTE(tabSindicatos[FUNÇÕES],"á","a"),"ã","a"),"â","a"),"é","e"),"ê","e"),"í","i"),"ó","o"),"õ","o"),"ô","o"),"ú","u"),"ç","c"),"Á","a"),"Ã","a"),"Â","a"),"É","e"),"Ê","e"),"Í","i"),"Ó","o"),"Õ","o"),"Ô","o"),"Ú","u"),"Ç","c")," e ",", ")," ",""),".","")))&amp;",",
IFERROR(_xlfn._xlws.FILTER(tabSindicatos[SINDICATOS],
(ISNUMBER(SEARCH(","&amp;TRIM(UPPER(SUBSTITUTE(tabPostos[[#This Row],[Comarca]]," ","")))&amp;",",_xlpm.MATRIZ_COMARCA,1)))*
(ISNUMBER(SEARCH(","&amp;TRIM(SUBSTITUTE(SUBSTITUTE(SUBSTITUTE(UPPER(tabPostos[[#This Row],[Função]])," E ",", ")," ",""),".",""))&amp;",",_xlpm.MATRIZ_FUNCAO,1)))
),"")
))</f>
        <v>Fethemg Interior</v>
      </c>
      <c r="E43" s="148" t="s">
        <v>9</v>
      </c>
      <c r="F43" s="148" t="s">
        <v>10</v>
      </c>
      <c r="G43" s="148">
        <v>1</v>
      </c>
      <c r="H43" s="148">
        <v>0</v>
      </c>
      <c r="I43" s="216">
        <f>544.18</f>
        <v>544.17999999999995</v>
      </c>
      <c r="J43" s="247">
        <f>VLOOKUP(tabPostos[[#This Row],[CCT DA CATEGORIA]],'RELAÇÃO SINDICATOS'!A:N,11,0)</f>
        <v>45658</v>
      </c>
      <c r="K43" s="148" t="str">
        <f>VLOOKUP(tabPostos[[#This Row],[CCT DA CATEGORIA]],'RELAÇÃO SINDICATOS'!A:N,12,0)</f>
        <v>-</v>
      </c>
      <c r="L43" s="148" t="str">
        <f>VLOOKUP(tabPostos[[#This Row],[CCT DA CATEGORIA]],'RELAÇÃO SINDICATOS'!A:N,13,0)</f>
        <v>-</v>
      </c>
      <c r="M43" s="148" t="str">
        <f>VLOOKUP(tabPostos[[#This Row],[CCT DA CATEGORIA]],'RELAÇÃO SINDICATOS'!A:N,14,0)</f>
        <v>MG004482/2024</v>
      </c>
    </row>
    <row r="44" spans="1:13" x14ac:dyDescent="0.25">
      <c r="A44" s="148" t="str" cm="1">
        <f t="array" ref="A44">_xlfn.XLOOKUP(tabPostos[[#This Row],[Fonte de Recursos]]&amp;tabPostos[[#This Row],[Classificação]],tabLotacao[Lotacao]&amp;tabLotacao[Tipo],tabLotacao[Codigo Lote],"0")&amp;"."&amp;_xlfn.XLOOKUP(tabPostos[[#This Row],[Comarca]],tabComarca[COMARCA],tabComarca[Codigo Comarca],"000")&amp;"."&amp;_xlfn.XLOOKUP(tabPostos[[#This Row],[Função]],tabCargos[Cargo],tabCargos[Codigo Cargo],"00")</f>
        <v>2.093.04</v>
      </c>
      <c r="B44" s="200" t="s">
        <v>45</v>
      </c>
      <c r="C44" s="200" t="s">
        <v>1244</v>
      </c>
      <c r="D44" s="200" t="str" cm="1">
        <f t="array" ref="D44">IF(tabPostos[[#This Row],[Comarca]]="","",
_xlfn.LET(
_xlpm.MATRIZ_COMARCA, ","&amp;TRIM(UPPER(SUBSTITUTE(SUBSTITUTE(SUBSTITUTE(SUBSTITUTE(SUBSTITUTE(SUBSTITUTE(SUBSTITUTE(SUBSTITUTE(SUBSTITUTE(SUBSTITUTE(SUBSTITUTE(SUBSTITUTE(SUBSTITUTE(SUBSTITUTE(SUBSTITUTE(SUBSTITUTE(SUBSTITUTE(SUBSTITUTE(SUBSTITUTE(SUBSTITUTE(SUBSTITUTE(SUBSTITUTE(SUBSTITUTE(SUBSTITUTE(SUBSTITUTE(SUBSTITUTE(tabSindicatos[ABRANGÊNCIA],"á","a"),"ã","a"),"â","a"),"é","e"),"ê","e"),"í","i"),"ó","o"),"õ","o"),"ô","o"),"ú","u"),"ç","c"),"Á","a"),"Ã","a"),"Â","a"),"É","e"),"Ê","e"),"Í","i"),"Ó","o"),"Õ","o"),"Ô","o"),"Ú","u"),"Ç","c"),"/MG","")," e ",", ")," ",""),".","")))&amp;",",
_xlpm.MATRIZ_FUNCAO, ","&amp;TRIM(UPPER(SUBSTITUTE(SUBSTITUTE(SUBSTITUTE(SUBSTITUTE(SUBSTITUTE(SUBSTITUTE(SUBSTITUTE(SUBSTITUTE(SUBSTITUTE(SUBSTITUTE(SUBSTITUTE(SUBSTITUTE(SUBSTITUTE(SUBSTITUTE(SUBSTITUTE(SUBSTITUTE(SUBSTITUTE(SUBSTITUTE(SUBSTITUTE(SUBSTITUTE(SUBSTITUTE(SUBSTITUTE(SUBSTITUTE(SUBSTITUTE(SUBSTITUTE(tabSindicatos[FUNÇÕES],"á","a"),"ã","a"),"â","a"),"é","e"),"ê","e"),"í","i"),"ó","o"),"õ","o"),"ô","o"),"ú","u"),"ç","c"),"Á","a"),"Ã","a"),"Â","a"),"É","e"),"Ê","e"),"Í","i"),"Ó","o"),"Õ","o"),"Ô","o"),"Ú","u"),"Ç","c")," e ",", ")," ",""),".","")))&amp;",",
IFERROR(_xlfn._xlws.FILTER(tabSindicatos[SINDICATOS],
(ISNUMBER(SEARCH(","&amp;TRIM(UPPER(SUBSTITUTE(tabPostos[[#This Row],[Comarca]]," ","")))&amp;",",_xlpm.MATRIZ_COMARCA,1)))*
(ISNUMBER(SEARCH(","&amp;TRIM(SUBSTITUTE(SUBSTITUTE(SUBSTITUTE(UPPER(tabPostos[[#This Row],[Função]])," E ",", ")," ",""),".",""))&amp;",",_xlpm.MATRIZ_FUNCAO,1)))
),"")
))</f>
        <v>Fethemg Interior</v>
      </c>
      <c r="E44" s="148" t="s">
        <v>9</v>
      </c>
      <c r="F44" s="148" t="s">
        <v>10</v>
      </c>
      <c r="G44" s="148">
        <v>1</v>
      </c>
      <c r="H44" s="148">
        <v>0</v>
      </c>
      <c r="I44" s="216">
        <f>798.14</f>
        <v>798.14</v>
      </c>
      <c r="J44" s="247">
        <f>VLOOKUP(tabPostos[[#This Row],[CCT DA CATEGORIA]],'RELAÇÃO SINDICATOS'!A:N,11,0)</f>
        <v>45658</v>
      </c>
      <c r="K44" s="148" t="str">
        <f>VLOOKUP(tabPostos[[#This Row],[CCT DA CATEGORIA]],'RELAÇÃO SINDICATOS'!A:N,12,0)</f>
        <v>-</v>
      </c>
      <c r="L44" s="148" t="str">
        <f>VLOOKUP(tabPostos[[#This Row],[CCT DA CATEGORIA]],'RELAÇÃO SINDICATOS'!A:N,13,0)</f>
        <v>-</v>
      </c>
      <c r="M44" s="148" t="str">
        <f>VLOOKUP(tabPostos[[#This Row],[CCT DA CATEGORIA]],'RELAÇÃO SINDICATOS'!A:N,14,0)</f>
        <v>MG004482/2024</v>
      </c>
    </row>
    <row r="45" spans="1:13" x14ac:dyDescent="0.25">
      <c r="A45" s="148" t="str" cm="1">
        <f t="array" ref="A45">_xlfn.XLOOKUP(tabPostos[[#This Row],[Fonte de Recursos]]&amp;tabPostos[[#This Row],[Classificação]],tabLotacao[Lotacao]&amp;tabLotacao[Tipo],tabLotacao[Codigo Lote],"0")&amp;"."&amp;_xlfn.XLOOKUP(tabPostos[[#This Row],[Comarca]],tabComarca[COMARCA],tabComarca[Codigo Comarca],"000")&amp;"."&amp;_xlfn.XLOOKUP(tabPostos[[#This Row],[Função]],tabCargos[Cargo],tabCargos[Codigo Cargo],"00")</f>
        <v>2.097.03</v>
      </c>
      <c r="B45" s="200" t="s">
        <v>46</v>
      </c>
      <c r="C45" s="200" t="s">
        <v>1247</v>
      </c>
      <c r="D45" s="200" t="str" cm="1">
        <f t="array" ref="D45">IF(tabPostos[[#This Row],[Comarca]]="","",
_xlfn.LET(
_xlpm.MATRIZ_COMARCA, ","&amp;TRIM(UPPER(SUBSTITUTE(SUBSTITUTE(SUBSTITUTE(SUBSTITUTE(SUBSTITUTE(SUBSTITUTE(SUBSTITUTE(SUBSTITUTE(SUBSTITUTE(SUBSTITUTE(SUBSTITUTE(SUBSTITUTE(SUBSTITUTE(SUBSTITUTE(SUBSTITUTE(SUBSTITUTE(SUBSTITUTE(SUBSTITUTE(SUBSTITUTE(SUBSTITUTE(SUBSTITUTE(SUBSTITUTE(SUBSTITUTE(SUBSTITUTE(SUBSTITUTE(SUBSTITUTE(tabSindicatos[ABRANGÊNCIA],"á","a"),"ã","a"),"â","a"),"é","e"),"ê","e"),"í","i"),"ó","o"),"õ","o"),"ô","o"),"ú","u"),"ç","c"),"Á","a"),"Ã","a"),"Â","a"),"É","e"),"Ê","e"),"Í","i"),"Ó","o"),"Õ","o"),"Ô","o"),"Ú","u"),"Ç","c"),"/MG","")," e ",", ")," ",""),".","")))&amp;",",
_xlpm.MATRIZ_FUNCAO, ","&amp;TRIM(UPPER(SUBSTITUTE(SUBSTITUTE(SUBSTITUTE(SUBSTITUTE(SUBSTITUTE(SUBSTITUTE(SUBSTITUTE(SUBSTITUTE(SUBSTITUTE(SUBSTITUTE(SUBSTITUTE(SUBSTITUTE(SUBSTITUTE(SUBSTITUTE(SUBSTITUTE(SUBSTITUTE(SUBSTITUTE(SUBSTITUTE(SUBSTITUTE(SUBSTITUTE(SUBSTITUTE(SUBSTITUTE(SUBSTITUTE(SUBSTITUTE(SUBSTITUTE(tabSindicatos[FUNÇÕES],"á","a"),"ã","a"),"â","a"),"é","e"),"ê","e"),"í","i"),"ó","o"),"õ","o"),"ô","o"),"ú","u"),"ç","c"),"Á","a"),"Ã","a"),"Â","a"),"É","e"),"Ê","e"),"Í","i"),"Ó","o"),"Õ","o"),"Ô","o"),"Ú","u"),"Ç","c")," e ",", ")," ",""),".","")))&amp;",",
IFERROR(_xlfn._xlws.FILTER(tabSindicatos[SINDICATOS],
(ISNUMBER(SEARCH(","&amp;TRIM(UPPER(SUBSTITUTE(tabPostos[[#This Row],[Comarca]]," ","")))&amp;",",_xlpm.MATRIZ_COMARCA,1)))*
(ISNUMBER(SEARCH(","&amp;TRIM(SUBSTITUTE(SUBSTITUTE(SUBSTITUTE(UPPER(tabPostos[[#This Row],[Função]])," E ",", ")," ",""),".",""))&amp;",",_xlpm.MATRIZ_FUNCAO,1)))
),"")
))</f>
        <v>Fethemg Interior</v>
      </c>
      <c r="E45" s="148" t="s">
        <v>9</v>
      </c>
      <c r="F45" s="148" t="s">
        <v>10</v>
      </c>
      <c r="G45" s="148">
        <v>1</v>
      </c>
      <c r="H45" s="148">
        <v>0</v>
      </c>
      <c r="I45" s="216">
        <f>544.18</f>
        <v>544.17999999999995</v>
      </c>
      <c r="J45" s="247">
        <f>VLOOKUP(tabPostos[[#This Row],[CCT DA CATEGORIA]],'RELAÇÃO SINDICATOS'!A:N,11,0)</f>
        <v>45658</v>
      </c>
      <c r="K45" s="148" t="str">
        <f>VLOOKUP(tabPostos[[#This Row],[CCT DA CATEGORIA]],'RELAÇÃO SINDICATOS'!A:N,12,0)</f>
        <v>-</v>
      </c>
      <c r="L45" s="148" t="str">
        <f>VLOOKUP(tabPostos[[#This Row],[CCT DA CATEGORIA]],'RELAÇÃO SINDICATOS'!A:N,13,0)</f>
        <v>-</v>
      </c>
      <c r="M45" s="148" t="str">
        <f>VLOOKUP(tabPostos[[#This Row],[CCT DA CATEGORIA]],'RELAÇÃO SINDICATOS'!A:N,14,0)</f>
        <v>MG004482/2024</v>
      </c>
    </row>
    <row r="46" spans="1:13" x14ac:dyDescent="0.25">
      <c r="A46" s="148" t="str" cm="1">
        <f t="array" ref="A46">_xlfn.XLOOKUP(tabPostos[[#This Row],[Fonte de Recursos]]&amp;tabPostos[[#This Row],[Classificação]],tabLotacao[Lotacao]&amp;tabLotacao[Tipo],tabLotacao[Codigo Lote],"0")&amp;"."&amp;_xlfn.XLOOKUP(tabPostos[[#This Row],[Comarca]],tabComarca[COMARCA],tabComarca[Codigo Comarca],"000")&amp;"."&amp;_xlfn.XLOOKUP(tabPostos[[#This Row],[Função]],tabCargos[Cargo],tabCargos[Codigo Cargo],"00")</f>
        <v>2.045.06</v>
      </c>
      <c r="B46" s="200" t="s">
        <v>47</v>
      </c>
      <c r="C46" s="200" t="s">
        <v>1245</v>
      </c>
      <c r="D46" s="200" t="str" cm="1">
        <f t="array" ref="D46">IF(tabPostos[[#This Row],[Comarca]]="","",
_xlfn.LET(
_xlpm.MATRIZ_COMARCA, ","&amp;TRIM(UPPER(SUBSTITUTE(SUBSTITUTE(SUBSTITUTE(SUBSTITUTE(SUBSTITUTE(SUBSTITUTE(SUBSTITUTE(SUBSTITUTE(SUBSTITUTE(SUBSTITUTE(SUBSTITUTE(SUBSTITUTE(SUBSTITUTE(SUBSTITUTE(SUBSTITUTE(SUBSTITUTE(SUBSTITUTE(SUBSTITUTE(SUBSTITUTE(SUBSTITUTE(SUBSTITUTE(SUBSTITUTE(SUBSTITUTE(SUBSTITUTE(SUBSTITUTE(SUBSTITUTE(tabSindicatos[ABRANGÊNCIA],"á","a"),"ã","a"),"â","a"),"é","e"),"ê","e"),"í","i"),"ó","o"),"õ","o"),"ô","o"),"ú","u"),"ç","c"),"Á","a"),"Ã","a"),"Â","a"),"É","e"),"Ê","e"),"Í","i"),"Ó","o"),"Õ","o"),"Ô","o"),"Ú","u"),"Ç","c"),"/MG","")," e ",", ")," ",""),".","")))&amp;",",
_xlpm.MATRIZ_FUNCAO, ","&amp;TRIM(UPPER(SUBSTITUTE(SUBSTITUTE(SUBSTITUTE(SUBSTITUTE(SUBSTITUTE(SUBSTITUTE(SUBSTITUTE(SUBSTITUTE(SUBSTITUTE(SUBSTITUTE(SUBSTITUTE(SUBSTITUTE(SUBSTITUTE(SUBSTITUTE(SUBSTITUTE(SUBSTITUTE(SUBSTITUTE(SUBSTITUTE(SUBSTITUTE(SUBSTITUTE(SUBSTITUTE(SUBSTITUTE(SUBSTITUTE(SUBSTITUTE(SUBSTITUTE(tabSindicatos[FUNÇÕES],"á","a"),"ã","a"),"â","a"),"é","e"),"ê","e"),"í","i"),"ó","o"),"õ","o"),"ô","o"),"ú","u"),"ç","c"),"Á","a"),"Ã","a"),"Â","a"),"É","e"),"Ê","e"),"Í","i"),"Ó","o"),"Õ","o"),"Ô","o"),"Ú","u"),"Ç","c")," e ",", ")," ",""),".","")))&amp;",",
IFERROR(_xlfn._xlws.FILTER(tabSindicatos[SINDICATOS],
(ISNUMBER(SEARCH(","&amp;TRIM(UPPER(SUBSTITUTE(tabPostos[[#This Row],[Comarca]]," ","")))&amp;",",_xlpm.MATRIZ_COMARCA,1)))*
(ISNUMBER(SEARCH(","&amp;TRIM(SUBSTITUTE(SUBSTITUTE(SUBSTITUTE(UPPER(tabPostos[[#This Row],[Função]])," E ",", ")," ",""),".",""))&amp;",",_xlpm.MATRIZ_FUNCAO,1)))
),"")
))</f>
        <v>Fethemg RM</v>
      </c>
      <c r="E46" s="148" t="s">
        <v>9</v>
      </c>
      <c r="F46" s="148" t="s">
        <v>10</v>
      </c>
      <c r="G46" s="148">
        <v>1</v>
      </c>
      <c r="H46" s="148">
        <v>0</v>
      </c>
      <c r="I46" s="216">
        <f>1649.12</f>
        <v>1649.12</v>
      </c>
      <c r="J46" s="247">
        <f>VLOOKUP(tabPostos[[#This Row],[CCT DA CATEGORIA]],'RELAÇÃO SINDICATOS'!A:N,11,0)</f>
        <v>45658</v>
      </c>
      <c r="K46" s="148" t="str">
        <f>VLOOKUP(tabPostos[[#This Row],[CCT DA CATEGORIA]],'RELAÇÃO SINDICATOS'!A:N,12,0)</f>
        <v>-</v>
      </c>
      <c r="L46" s="148" t="str">
        <f>VLOOKUP(tabPostos[[#This Row],[CCT DA CATEGORIA]],'RELAÇÃO SINDICATOS'!A:N,13,0)</f>
        <v>-</v>
      </c>
      <c r="M46" s="148" t="str">
        <f>VLOOKUP(tabPostos[[#This Row],[CCT DA CATEGORIA]],'RELAÇÃO SINDICATOS'!A:N,14,0)</f>
        <v>MG004479/2024</v>
      </c>
    </row>
    <row r="47" spans="1:13" x14ac:dyDescent="0.25">
      <c r="A47" s="148" t="str" cm="1">
        <f t="array" ref="A47">_xlfn.XLOOKUP(tabPostos[[#This Row],[Fonte de Recursos]]&amp;tabPostos[[#This Row],[Classificação]],tabLotacao[Lotacao]&amp;tabLotacao[Tipo],tabLotacao[Codigo Lote],"0")&amp;"."&amp;_xlfn.XLOOKUP(tabPostos[[#This Row],[Comarca]],tabComarca[COMARCA],tabComarca[Codigo Comarca],"000")&amp;"."&amp;_xlfn.XLOOKUP(tabPostos[[#This Row],[Função]],tabCargos[Cargo],tabCargos[Codigo Cargo],"00")</f>
        <v>2.103.03</v>
      </c>
      <c r="B47" s="200" t="s">
        <v>48</v>
      </c>
      <c r="C47" s="200" t="s">
        <v>1247</v>
      </c>
      <c r="D47" s="200" t="str" cm="1">
        <f t="array" ref="D47">IF(tabPostos[[#This Row],[Comarca]]="","",
_xlfn.LET(
_xlpm.MATRIZ_COMARCA, ","&amp;TRIM(UPPER(SUBSTITUTE(SUBSTITUTE(SUBSTITUTE(SUBSTITUTE(SUBSTITUTE(SUBSTITUTE(SUBSTITUTE(SUBSTITUTE(SUBSTITUTE(SUBSTITUTE(SUBSTITUTE(SUBSTITUTE(SUBSTITUTE(SUBSTITUTE(SUBSTITUTE(SUBSTITUTE(SUBSTITUTE(SUBSTITUTE(SUBSTITUTE(SUBSTITUTE(SUBSTITUTE(SUBSTITUTE(SUBSTITUTE(SUBSTITUTE(SUBSTITUTE(SUBSTITUTE(tabSindicatos[ABRANGÊNCIA],"á","a"),"ã","a"),"â","a"),"é","e"),"ê","e"),"í","i"),"ó","o"),"õ","o"),"ô","o"),"ú","u"),"ç","c"),"Á","a"),"Ã","a"),"Â","a"),"É","e"),"Ê","e"),"Í","i"),"Ó","o"),"Õ","o"),"Ô","o"),"Ú","u"),"Ç","c"),"/MG","")," e ",", ")," ",""),".","")))&amp;",",
_xlpm.MATRIZ_FUNCAO, ","&amp;TRIM(UPPER(SUBSTITUTE(SUBSTITUTE(SUBSTITUTE(SUBSTITUTE(SUBSTITUTE(SUBSTITUTE(SUBSTITUTE(SUBSTITUTE(SUBSTITUTE(SUBSTITUTE(SUBSTITUTE(SUBSTITUTE(SUBSTITUTE(SUBSTITUTE(SUBSTITUTE(SUBSTITUTE(SUBSTITUTE(SUBSTITUTE(SUBSTITUTE(SUBSTITUTE(SUBSTITUTE(SUBSTITUTE(SUBSTITUTE(SUBSTITUTE(SUBSTITUTE(tabSindicatos[FUNÇÕES],"á","a"),"ã","a"),"â","a"),"é","e"),"ê","e"),"í","i"),"ó","o"),"õ","o"),"ô","o"),"ú","u"),"ç","c"),"Á","a"),"Ã","a"),"Â","a"),"É","e"),"Ê","e"),"Í","i"),"Ó","o"),"Õ","o"),"Ô","o"),"Ú","u"),"Ç","c")," e ",", ")," ",""),".","")))&amp;",",
IFERROR(_xlfn._xlws.FILTER(tabSindicatos[SINDICATOS],
(ISNUMBER(SEARCH(","&amp;TRIM(UPPER(SUBSTITUTE(tabPostos[[#This Row],[Comarca]]," ","")))&amp;",",_xlpm.MATRIZ_COMARCA,1)))*
(ISNUMBER(SEARCH(","&amp;TRIM(SUBSTITUTE(SUBSTITUTE(SUBSTITUTE(UPPER(tabPostos[[#This Row],[Função]])," E ",", ")," ",""),".",""))&amp;",",_xlpm.MATRIZ_FUNCAO,1)))
),"")
))</f>
        <v>Regiao de Sao Lourenco</v>
      </c>
      <c r="E47" s="148" t="s">
        <v>9</v>
      </c>
      <c r="F47" s="148" t="s">
        <v>10</v>
      </c>
      <c r="G47" s="148">
        <v>1</v>
      </c>
      <c r="H47" s="148">
        <v>0</v>
      </c>
      <c r="I47" s="216">
        <f>544.18</f>
        <v>544.17999999999995</v>
      </c>
      <c r="J47" s="247">
        <f>VLOOKUP(tabPostos[[#This Row],[CCT DA CATEGORIA]],'RELAÇÃO SINDICATOS'!A:N,11,0)</f>
        <v>45658</v>
      </c>
      <c r="K47" s="148" t="str">
        <f>VLOOKUP(tabPostos[[#This Row],[CCT DA CATEGORIA]],'RELAÇÃO SINDICATOS'!A:N,12,0)</f>
        <v>-</v>
      </c>
      <c r="L47" s="148" t="str">
        <f>VLOOKUP(tabPostos[[#This Row],[CCT DA CATEGORIA]],'RELAÇÃO SINDICATOS'!A:N,13,0)</f>
        <v>-</v>
      </c>
      <c r="M47" s="148" t="str">
        <f>VLOOKUP(tabPostos[[#This Row],[CCT DA CATEGORIA]],'RELAÇÃO SINDICATOS'!A:N,14,0)</f>
        <v>MG000594/2025</v>
      </c>
    </row>
    <row r="48" spans="1:13" x14ac:dyDescent="0.25">
      <c r="A48" s="148" t="str" cm="1">
        <f t="array" ref="A48">_xlfn.XLOOKUP(tabPostos[[#This Row],[Fonte de Recursos]]&amp;tabPostos[[#This Row],[Classificação]],tabLotacao[Lotacao]&amp;tabLotacao[Tipo],tabLotacao[Codigo Lote],"0")&amp;"."&amp;_xlfn.XLOOKUP(tabPostos[[#This Row],[Comarca]],tabComarca[COMARCA],tabComarca[Codigo Comarca],"000")&amp;"."&amp;_xlfn.XLOOKUP(tabPostos[[#This Row],[Função]],tabCargos[Cargo],tabCargos[Codigo Cargo],"00")</f>
        <v>2.878.03</v>
      </c>
      <c r="B48" s="200" t="s">
        <v>49</v>
      </c>
      <c r="C48" s="200" t="s">
        <v>1247</v>
      </c>
      <c r="D48" s="200" t="str" cm="1">
        <f t="array" ref="D48">IF(tabPostos[[#This Row],[Comarca]]="","",
_xlfn.LET(
_xlpm.MATRIZ_COMARCA, ","&amp;TRIM(UPPER(SUBSTITUTE(SUBSTITUTE(SUBSTITUTE(SUBSTITUTE(SUBSTITUTE(SUBSTITUTE(SUBSTITUTE(SUBSTITUTE(SUBSTITUTE(SUBSTITUTE(SUBSTITUTE(SUBSTITUTE(SUBSTITUTE(SUBSTITUTE(SUBSTITUTE(SUBSTITUTE(SUBSTITUTE(SUBSTITUTE(SUBSTITUTE(SUBSTITUTE(SUBSTITUTE(SUBSTITUTE(SUBSTITUTE(SUBSTITUTE(SUBSTITUTE(SUBSTITUTE(tabSindicatos[ABRANGÊNCIA],"á","a"),"ã","a"),"â","a"),"é","e"),"ê","e"),"í","i"),"ó","o"),"õ","o"),"ô","o"),"ú","u"),"ç","c"),"Á","a"),"Ã","a"),"Â","a"),"É","e"),"Ê","e"),"Í","i"),"Ó","o"),"Õ","o"),"Ô","o"),"Ú","u"),"Ç","c"),"/MG","")," e ",", ")," ",""),".","")))&amp;",",
_xlpm.MATRIZ_FUNCAO, ","&amp;TRIM(UPPER(SUBSTITUTE(SUBSTITUTE(SUBSTITUTE(SUBSTITUTE(SUBSTITUTE(SUBSTITUTE(SUBSTITUTE(SUBSTITUTE(SUBSTITUTE(SUBSTITUTE(SUBSTITUTE(SUBSTITUTE(SUBSTITUTE(SUBSTITUTE(SUBSTITUTE(SUBSTITUTE(SUBSTITUTE(SUBSTITUTE(SUBSTITUTE(SUBSTITUTE(SUBSTITUTE(SUBSTITUTE(SUBSTITUTE(SUBSTITUTE(SUBSTITUTE(tabSindicatos[FUNÇÕES],"á","a"),"ã","a"),"â","a"),"é","e"),"ê","e"),"í","i"),"ó","o"),"õ","o"),"ô","o"),"ú","u"),"ç","c"),"Á","a"),"Ã","a"),"Â","a"),"É","e"),"Ê","e"),"Í","i"),"Ó","o"),"Õ","o"),"Ô","o"),"Ú","u"),"Ç","c")," e ",", ")," ",""),".","")))&amp;",",
IFERROR(_xlfn._xlws.FILTER(tabSindicatos[SINDICATOS],
(ISNUMBER(SEARCH(","&amp;TRIM(UPPER(SUBSTITUTE(tabPostos[[#This Row],[Comarca]]," ","")))&amp;",",_xlpm.MATRIZ_COMARCA,1)))*
(ISNUMBER(SEARCH(","&amp;TRIM(SUBSTITUTE(SUBSTITUTE(SUBSTITUTE(UPPER(tabPostos[[#This Row],[Função]])," E ",", ")," ",""),".",""))&amp;",",_xlpm.MATRIZ_FUNCAO,1)))
),"")
))</f>
        <v>Fethemg Interior</v>
      </c>
      <c r="E48" s="148" t="s">
        <v>9</v>
      </c>
      <c r="F48" s="148" t="s">
        <v>10</v>
      </c>
      <c r="G48" s="148">
        <v>1</v>
      </c>
      <c r="H48" s="148">
        <v>0</v>
      </c>
      <c r="I48" s="216">
        <f>544.18</f>
        <v>544.17999999999995</v>
      </c>
      <c r="J48" s="247">
        <f>VLOOKUP(tabPostos[[#This Row],[CCT DA CATEGORIA]],'RELAÇÃO SINDICATOS'!A:N,11,0)</f>
        <v>45658</v>
      </c>
      <c r="K48" s="148" t="str">
        <f>VLOOKUP(tabPostos[[#This Row],[CCT DA CATEGORIA]],'RELAÇÃO SINDICATOS'!A:N,12,0)</f>
        <v>-</v>
      </c>
      <c r="L48" s="148" t="str">
        <f>VLOOKUP(tabPostos[[#This Row],[CCT DA CATEGORIA]],'RELAÇÃO SINDICATOS'!A:N,13,0)</f>
        <v>-</v>
      </c>
      <c r="M48" s="148" t="str">
        <f>VLOOKUP(tabPostos[[#This Row],[CCT DA CATEGORIA]],'RELAÇÃO SINDICATOS'!A:N,14,0)</f>
        <v>MG004482/2024</v>
      </c>
    </row>
    <row r="49" spans="1:13" x14ac:dyDescent="0.25">
      <c r="A49" s="148" t="str" cm="1">
        <f t="array" ref="A49">_xlfn.XLOOKUP(tabPostos[[#This Row],[Fonte de Recursos]]&amp;tabPostos[[#This Row],[Classificação]],tabLotacao[Lotacao]&amp;tabLotacao[Tipo],tabLotacao[Codigo Lote],"0")&amp;"."&amp;_xlfn.XLOOKUP(tabPostos[[#This Row],[Comarca]],tabComarca[COMARCA],tabComarca[Codigo Comarca],"000")&amp;"."&amp;_xlfn.XLOOKUP(tabPostos[[#This Row],[Função]],tabCargos[Cargo],tabCargos[Codigo Cargo],"00")</f>
        <v>2.106.03</v>
      </c>
      <c r="B49" s="200" t="s">
        <v>50</v>
      </c>
      <c r="C49" s="200" t="s">
        <v>1247</v>
      </c>
      <c r="D49" s="200" t="str" cm="1">
        <f t="array" ref="D49">IF(tabPostos[[#This Row],[Comarca]]="","",
_xlfn.LET(
_xlpm.MATRIZ_COMARCA, ","&amp;TRIM(UPPER(SUBSTITUTE(SUBSTITUTE(SUBSTITUTE(SUBSTITUTE(SUBSTITUTE(SUBSTITUTE(SUBSTITUTE(SUBSTITUTE(SUBSTITUTE(SUBSTITUTE(SUBSTITUTE(SUBSTITUTE(SUBSTITUTE(SUBSTITUTE(SUBSTITUTE(SUBSTITUTE(SUBSTITUTE(SUBSTITUTE(SUBSTITUTE(SUBSTITUTE(SUBSTITUTE(SUBSTITUTE(SUBSTITUTE(SUBSTITUTE(SUBSTITUTE(SUBSTITUTE(tabSindicatos[ABRANGÊNCIA],"á","a"),"ã","a"),"â","a"),"é","e"),"ê","e"),"í","i"),"ó","o"),"õ","o"),"ô","o"),"ú","u"),"ç","c"),"Á","a"),"Ã","a"),"Â","a"),"É","e"),"Ê","e"),"Í","i"),"Ó","o"),"Õ","o"),"Ô","o"),"Ú","u"),"Ç","c"),"/MG","")," e ",", ")," ",""),".","")))&amp;",",
_xlpm.MATRIZ_FUNCAO, ","&amp;TRIM(UPPER(SUBSTITUTE(SUBSTITUTE(SUBSTITUTE(SUBSTITUTE(SUBSTITUTE(SUBSTITUTE(SUBSTITUTE(SUBSTITUTE(SUBSTITUTE(SUBSTITUTE(SUBSTITUTE(SUBSTITUTE(SUBSTITUTE(SUBSTITUTE(SUBSTITUTE(SUBSTITUTE(SUBSTITUTE(SUBSTITUTE(SUBSTITUTE(SUBSTITUTE(SUBSTITUTE(SUBSTITUTE(SUBSTITUTE(SUBSTITUTE(SUBSTITUTE(tabSindicatos[FUNÇÕES],"á","a"),"ã","a"),"â","a"),"é","e"),"ê","e"),"í","i"),"ó","o"),"õ","o"),"ô","o"),"ú","u"),"ç","c"),"Á","a"),"Ã","a"),"Â","a"),"É","e"),"Ê","e"),"Í","i"),"Ó","o"),"Õ","o"),"Ô","o"),"Ú","u"),"Ç","c")," e ",", ")," ",""),".","")))&amp;",",
IFERROR(_xlfn._xlws.FILTER(tabSindicatos[SINDICATOS],
(ISNUMBER(SEARCH(","&amp;TRIM(UPPER(SUBSTITUTE(tabPostos[[#This Row],[Comarca]]," ","")))&amp;",",_xlpm.MATRIZ_COMARCA,1)))*
(ISNUMBER(SEARCH(","&amp;TRIM(SUBSTITUTE(SUBSTITUTE(SUBSTITUTE(UPPER(tabPostos[[#This Row],[Função]])," E ",", ")," ",""),".",""))&amp;",",_xlpm.MATRIZ_FUNCAO,1)))
),"")
))</f>
        <v>Fethemg Interior</v>
      </c>
      <c r="E49" s="148" t="s">
        <v>9</v>
      </c>
      <c r="F49" s="148" t="s">
        <v>10</v>
      </c>
      <c r="G49" s="148">
        <v>1</v>
      </c>
      <c r="H49" s="148">
        <v>0</v>
      </c>
      <c r="I49" s="216">
        <f>544.18</f>
        <v>544.17999999999995</v>
      </c>
      <c r="J49" s="247">
        <f>VLOOKUP(tabPostos[[#This Row],[CCT DA CATEGORIA]],'RELAÇÃO SINDICATOS'!A:N,11,0)</f>
        <v>45658</v>
      </c>
      <c r="K49" s="148" t="str">
        <f>VLOOKUP(tabPostos[[#This Row],[CCT DA CATEGORIA]],'RELAÇÃO SINDICATOS'!A:N,12,0)</f>
        <v>-</v>
      </c>
      <c r="L49" s="148" t="str">
        <f>VLOOKUP(tabPostos[[#This Row],[CCT DA CATEGORIA]],'RELAÇÃO SINDICATOS'!A:N,13,0)</f>
        <v>-</v>
      </c>
      <c r="M49" s="148" t="str">
        <f>VLOOKUP(tabPostos[[#This Row],[CCT DA CATEGORIA]],'RELAÇÃO SINDICATOS'!A:N,14,0)</f>
        <v>MG004482/2024</v>
      </c>
    </row>
    <row r="50" spans="1:13" x14ac:dyDescent="0.25">
      <c r="A50" s="148" t="str" cm="1">
        <f t="array" ref="A50">_xlfn.XLOOKUP(tabPostos[[#This Row],[Fonte de Recursos]]&amp;tabPostos[[#This Row],[Classificação]],tabLotacao[Lotacao]&amp;tabLotacao[Tipo],tabLotacao[Codigo Lote],"0")&amp;"."&amp;_xlfn.XLOOKUP(tabPostos[[#This Row],[Comarca]],tabComarca[COMARCA],tabComarca[Codigo Comarca],"000")&amp;"."&amp;_xlfn.XLOOKUP(tabPostos[[#This Row],[Função]],tabCargos[Cargo],tabCargos[Codigo Cargo],"00")</f>
        <v>2.109.04</v>
      </c>
      <c r="B50" s="200" t="s">
        <v>51</v>
      </c>
      <c r="C50" s="200" t="s">
        <v>1244</v>
      </c>
      <c r="D50" s="200" t="str" cm="1">
        <f t="array" ref="D50">IF(tabPostos[[#This Row],[Comarca]]="","",
_xlfn.LET(
_xlpm.MATRIZ_COMARCA, ","&amp;TRIM(UPPER(SUBSTITUTE(SUBSTITUTE(SUBSTITUTE(SUBSTITUTE(SUBSTITUTE(SUBSTITUTE(SUBSTITUTE(SUBSTITUTE(SUBSTITUTE(SUBSTITUTE(SUBSTITUTE(SUBSTITUTE(SUBSTITUTE(SUBSTITUTE(SUBSTITUTE(SUBSTITUTE(SUBSTITUTE(SUBSTITUTE(SUBSTITUTE(SUBSTITUTE(SUBSTITUTE(SUBSTITUTE(SUBSTITUTE(SUBSTITUTE(SUBSTITUTE(SUBSTITUTE(tabSindicatos[ABRANGÊNCIA],"á","a"),"ã","a"),"â","a"),"é","e"),"ê","e"),"í","i"),"ó","o"),"õ","o"),"ô","o"),"ú","u"),"ç","c"),"Á","a"),"Ã","a"),"Â","a"),"É","e"),"Ê","e"),"Í","i"),"Ó","o"),"Õ","o"),"Ô","o"),"Ú","u"),"Ç","c"),"/MG","")," e ",", ")," ",""),".","")))&amp;",",
_xlpm.MATRIZ_FUNCAO, ","&amp;TRIM(UPPER(SUBSTITUTE(SUBSTITUTE(SUBSTITUTE(SUBSTITUTE(SUBSTITUTE(SUBSTITUTE(SUBSTITUTE(SUBSTITUTE(SUBSTITUTE(SUBSTITUTE(SUBSTITUTE(SUBSTITUTE(SUBSTITUTE(SUBSTITUTE(SUBSTITUTE(SUBSTITUTE(SUBSTITUTE(SUBSTITUTE(SUBSTITUTE(SUBSTITUTE(SUBSTITUTE(SUBSTITUTE(SUBSTITUTE(SUBSTITUTE(SUBSTITUTE(tabSindicatos[FUNÇÕES],"á","a"),"ã","a"),"â","a"),"é","e"),"ê","e"),"í","i"),"ó","o"),"õ","o"),"ô","o"),"ú","u"),"ç","c"),"Á","a"),"Ã","a"),"Â","a"),"É","e"),"Ê","e"),"Í","i"),"Ó","o"),"Õ","o"),"Ô","o"),"Ú","u"),"Ç","c")," e ",", ")," ",""),".","")))&amp;",",
IFERROR(_xlfn._xlws.FILTER(tabSindicatos[SINDICATOS],
(ISNUMBER(SEARCH(","&amp;TRIM(UPPER(SUBSTITUTE(tabPostos[[#This Row],[Comarca]]," ","")))&amp;",",_xlpm.MATRIZ_COMARCA,1)))*
(ISNUMBER(SEARCH(","&amp;TRIM(SUBSTITUTE(SUBSTITUTE(SUBSTITUTE(UPPER(tabPostos[[#This Row],[Função]])," E ",", ")," ",""),".",""))&amp;",",_xlpm.MATRIZ_FUNCAO,1)))
),"")
))</f>
        <v>Regiao de Sao Lourenco</v>
      </c>
      <c r="E50" s="148" t="s">
        <v>9</v>
      </c>
      <c r="F50" s="148" t="s">
        <v>10</v>
      </c>
      <c r="G50" s="148">
        <v>1</v>
      </c>
      <c r="H50" s="148">
        <v>0</v>
      </c>
      <c r="I50" s="216">
        <f>798.14</f>
        <v>798.14</v>
      </c>
      <c r="J50" s="247">
        <f>VLOOKUP(tabPostos[[#This Row],[CCT DA CATEGORIA]],'RELAÇÃO SINDICATOS'!A:N,11,0)</f>
        <v>45658</v>
      </c>
      <c r="K50" s="148" t="str">
        <f>VLOOKUP(tabPostos[[#This Row],[CCT DA CATEGORIA]],'RELAÇÃO SINDICATOS'!A:N,12,0)</f>
        <v>-</v>
      </c>
      <c r="L50" s="148" t="str">
        <f>VLOOKUP(tabPostos[[#This Row],[CCT DA CATEGORIA]],'RELAÇÃO SINDICATOS'!A:N,13,0)</f>
        <v>-</v>
      </c>
      <c r="M50" s="148" t="str">
        <f>VLOOKUP(tabPostos[[#This Row],[CCT DA CATEGORIA]],'RELAÇÃO SINDICATOS'!A:N,14,0)</f>
        <v>MG000594/2025</v>
      </c>
    </row>
    <row r="51" spans="1:13" x14ac:dyDescent="0.25">
      <c r="A51" s="148" t="str" cm="1">
        <f t="array" ref="A51">_xlfn.XLOOKUP(tabPostos[[#This Row],[Fonte de Recursos]]&amp;tabPostos[[#This Row],[Classificação]],tabLotacao[Lotacao]&amp;tabLotacao[Tipo],tabLotacao[Codigo Lote],"0")&amp;"."&amp;_xlfn.XLOOKUP(tabPostos[[#This Row],[Comarca]],tabComarca[COMARCA],tabComarca[Codigo Comarca],"000")&amp;"."&amp;_xlfn.XLOOKUP(tabPostos[[#This Row],[Função]],tabCargos[Cargo],tabCargos[Codigo Cargo],"00")</f>
        <v>2.112.04</v>
      </c>
      <c r="B51" s="200" t="s">
        <v>52</v>
      </c>
      <c r="C51" s="200" t="s">
        <v>1244</v>
      </c>
      <c r="D51" s="200" t="str" cm="1">
        <f t="array" ref="D51">IF(tabPostos[[#This Row],[Comarca]]="","",
_xlfn.LET(
_xlpm.MATRIZ_COMARCA, ","&amp;TRIM(UPPER(SUBSTITUTE(SUBSTITUTE(SUBSTITUTE(SUBSTITUTE(SUBSTITUTE(SUBSTITUTE(SUBSTITUTE(SUBSTITUTE(SUBSTITUTE(SUBSTITUTE(SUBSTITUTE(SUBSTITUTE(SUBSTITUTE(SUBSTITUTE(SUBSTITUTE(SUBSTITUTE(SUBSTITUTE(SUBSTITUTE(SUBSTITUTE(SUBSTITUTE(SUBSTITUTE(SUBSTITUTE(SUBSTITUTE(SUBSTITUTE(SUBSTITUTE(SUBSTITUTE(tabSindicatos[ABRANGÊNCIA],"á","a"),"ã","a"),"â","a"),"é","e"),"ê","e"),"í","i"),"ó","o"),"õ","o"),"ô","o"),"ú","u"),"ç","c"),"Á","a"),"Ã","a"),"Â","a"),"É","e"),"Ê","e"),"Í","i"),"Ó","o"),"Õ","o"),"Ô","o"),"Ú","u"),"Ç","c"),"/MG","")," e ",", ")," ",""),".","")))&amp;",",
_xlpm.MATRIZ_FUNCAO, ","&amp;TRIM(UPPER(SUBSTITUTE(SUBSTITUTE(SUBSTITUTE(SUBSTITUTE(SUBSTITUTE(SUBSTITUTE(SUBSTITUTE(SUBSTITUTE(SUBSTITUTE(SUBSTITUTE(SUBSTITUTE(SUBSTITUTE(SUBSTITUTE(SUBSTITUTE(SUBSTITUTE(SUBSTITUTE(SUBSTITUTE(SUBSTITUTE(SUBSTITUTE(SUBSTITUTE(SUBSTITUTE(SUBSTITUTE(SUBSTITUTE(SUBSTITUTE(SUBSTITUTE(tabSindicatos[FUNÇÕES],"á","a"),"ã","a"),"â","a"),"é","e"),"ê","e"),"í","i"),"ó","o"),"õ","o"),"ô","o"),"ú","u"),"ç","c"),"Á","a"),"Ã","a"),"Â","a"),"É","e"),"Ê","e"),"Í","i"),"Ó","o"),"Õ","o"),"Ô","o"),"Ú","u"),"Ç","c")," e ",", ")," ",""),".","")))&amp;",",
IFERROR(_xlfn._xlws.FILTER(tabSindicatos[SINDICATOS],
(ISNUMBER(SEARCH(","&amp;TRIM(UPPER(SUBSTITUTE(tabPostos[[#This Row],[Comarca]]," ","")))&amp;",",_xlpm.MATRIZ_COMARCA,1)))*
(ISNUMBER(SEARCH(","&amp;TRIM(SUBSTITUTE(SUBSTITUTE(SUBSTITUTE(UPPER(tabPostos[[#This Row],[Função]])," E ",", ")," ",""),".",""))&amp;",",_xlpm.MATRIZ_FUNCAO,1)))
),"")
))</f>
        <v>Regiao de Sao Lourenco</v>
      </c>
      <c r="E51" s="148" t="s">
        <v>9</v>
      </c>
      <c r="F51" s="148" t="s">
        <v>10</v>
      </c>
      <c r="G51" s="148">
        <v>1</v>
      </c>
      <c r="H51" s="148">
        <v>0</v>
      </c>
      <c r="I51" s="216">
        <f>798.14</f>
        <v>798.14</v>
      </c>
      <c r="J51" s="247">
        <f>VLOOKUP(tabPostos[[#This Row],[CCT DA CATEGORIA]],'RELAÇÃO SINDICATOS'!A:N,11,0)</f>
        <v>45658</v>
      </c>
      <c r="K51" s="148" t="str">
        <f>VLOOKUP(tabPostos[[#This Row],[CCT DA CATEGORIA]],'RELAÇÃO SINDICATOS'!A:N,12,0)</f>
        <v>-</v>
      </c>
      <c r="L51" s="148" t="str">
        <f>VLOOKUP(tabPostos[[#This Row],[CCT DA CATEGORIA]],'RELAÇÃO SINDICATOS'!A:N,13,0)</f>
        <v>-</v>
      </c>
      <c r="M51" s="148" t="str">
        <f>VLOOKUP(tabPostos[[#This Row],[CCT DA CATEGORIA]],'RELAÇÃO SINDICATOS'!A:N,14,0)</f>
        <v>MG000594/2025</v>
      </c>
    </row>
    <row r="52" spans="1:13" x14ac:dyDescent="0.25">
      <c r="A52" s="148" t="str" cm="1">
        <f t="array" ref="A52">_xlfn.XLOOKUP(tabPostos[[#This Row],[Fonte de Recursos]]&amp;tabPostos[[#This Row],[Classificação]],tabLotacao[Lotacao]&amp;tabLotacao[Tipo],tabLotacao[Codigo Lote],"0")&amp;"."&amp;_xlfn.XLOOKUP(tabPostos[[#This Row],[Comarca]],tabComarca[COMARCA],tabComarca[Codigo Comarca],"000")&amp;"."&amp;_xlfn.XLOOKUP(tabPostos[[#This Row],[Função]],tabCargos[Cargo],tabCargos[Codigo Cargo],"00")</f>
        <v>2.112.06</v>
      </c>
      <c r="B52" s="200" t="s">
        <v>52</v>
      </c>
      <c r="C52" s="200" t="s">
        <v>1245</v>
      </c>
      <c r="D52" s="200" t="str" cm="1">
        <f t="array" ref="D52">IF(tabPostos[[#This Row],[Comarca]]="","",
_xlfn.LET(
_xlpm.MATRIZ_COMARCA, ","&amp;TRIM(UPPER(SUBSTITUTE(SUBSTITUTE(SUBSTITUTE(SUBSTITUTE(SUBSTITUTE(SUBSTITUTE(SUBSTITUTE(SUBSTITUTE(SUBSTITUTE(SUBSTITUTE(SUBSTITUTE(SUBSTITUTE(SUBSTITUTE(SUBSTITUTE(SUBSTITUTE(SUBSTITUTE(SUBSTITUTE(SUBSTITUTE(SUBSTITUTE(SUBSTITUTE(SUBSTITUTE(SUBSTITUTE(SUBSTITUTE(SUBSTITUTE(SUBSTITUTE(SUBSTITUTE(tabSindicatos[ABRANGÊNCIA],"á","a"),"ã","a"),"â","a"),"é","e"),"ê","e"),"í","i"),"ó","o"),"õ","o"),"ô","o"),"ú","u"),"ç","c"),"Á","a"),"Ã","a"),"Â","a"),"É","e"),"Ê","e"),"Í","i"),"Ó","o"),"Õ","o"),"Ô","o"),"Ú","u"),"Ç","c"),"/MG","")," e ",", ")," ",""),".","")))&amp;",",
_xlpm.MATRIZ_FUNCAO, ","&amp;TRIM(UPPER(SUBSTITUTE(SUBSTITUTE(SUBSTITUTE(SUBSTITUTE(SUBSTITUTE(SUBSTITUTE(SUBSTITUTE(SUBSTITUTE(SUBSTITUTE(SUBSTITUTE(SUBSTITUTE(SUBSTITUTE(SUBSTITUTE(SUBSTITUTE(SUBSTITUTE(SUBSTITUTE(SUBSTITUTE(SUBSTITUTE(SUBSTITUTE(SUBSTITUTE(SUBSTITUTE(SUBSTITUTE(SUBSTITUTE(SUBSTITUTE(SUBSTITUTE(tabSindicatos[FUNÇÕES],"á","a"),"ã","a"),"â","a"),"é","e"),"ê","e"),"í","i"),"ó","o"),"õ","o"),"ô","o"),"ú","u"),"ç","c"),"Á","a"),"Ã","a"),"Â","a"),"É","e"),"Ê","e"),"Í","i"),"Ó","o"),"Õ","o"),"Ô","o"),"Ú","u"),"Ç","c")," e ",", ")," ",""),".","")))&amp;",",
IFERROR(_xlfn._xlws.FILTER(tabSindicatos[SINDICATOS],
(ISNUMBER(SEARCH(","&amp;TRIM(UPPER(SUBSTITUTE(tabPostos[[#This Row],[Comarca]]," ","")))&amp;",",_xlpm.MATRIZ_COMARCA,1)))*
(ISNUMBER(SEARCH(","&amp;TRIM(SUBSTITUTE(SUBSTITUTE(SUBSTITUTE(UPPER(tabPostos[[#This Row],[Função]])," E ",", ")," ",""),".",""))&amp;",",_xlpm.MATRIZ_FUNCAO,1)))
),"")
))</f>
        <v>Regiao de Sao Lourenco</v>
      </c>
      <c r="E52" s="148" t="s">
        <v>9</v>
      </c>
      <c r="F52" s="148" t="s">
        <v>10</v>
      </c>
      <c r="G52" s="148">
        <v>1</v>
      </c>
      <c r="H52" s="148">
        <v>0</v>
      </c>
      <c r="I52" s="216">
        <f>1596.28</f>
        <v>1596.28</v>
      </c>
      <c r="J52" s="247">
        <f>VLOOKUP(tabPostos[[#This Row],[CCT DA CATEGORIA]],'RELAÇÃO SINDICATOS'!A:N,11,0)</f>
        <v>45658</v>
      </c>
      <c r="K52" s="148" t="str">
        <f>VLOOKUP(tabPostos[[#This Row],[CCT DA CATEGORIA]],'RELAÇÃO SINDICATOS'!A:N,12,0)</f>
        <v>-</v>
      </c>
      <c r="L52" s="148" t="str">
        <f>VLOOKUP(tabPostos[[#This Row],[CCT DA CATEGORIA]],'RELAÇÃO SINDICATOS'!A:N,13,0)</f>
        <v>-</v>
      </c>
      <c r="M52" s="148" t="str">
        <f>VLOOKUP(tabPostos[[#This Row],[CCT DA CATEGORIA]],'RELAÇÃO SINDICATOS'!A:N,14,0)</f>
        <v>MG000594/2025</v>
      </c>
    </row>
    <row r="53" spans="1:13" x14ac:dyDescent="0.25">
      <c r="A53" s="148" t="str" cm="1">
        <f t="array" ref="A53">_xlfn.XLOOKUP(tabPostos[[#This Row],[Fonte de Recursos]]&amp;tabPostos[[#This Row],[Classificação]],tabLotacao[Lotacao]&amp;tabLotacao[Tipo],tabLotacao[Codigo Lote],"0")&amp;"."&amp;_xlfn.XLOOKUP(tabPostos[[#This Row],[Comarca]],tabComarca[COMARCA],tabComarca[Codigo Comarca],"000")&amp;"."&amp;_xlfn.XLOOKUP(tabPostos[[#This Row],[Função]],tabCargos[Cargo],tabCargos[Codigo Cargo],"00")</f>
        <v>2.115.03</v>
      </c>
      <c r="B53" s="200" t="s">
        <v>53</v>
      </c>
      <c r="C53" s="200" t="s">
        <v>1247</v>
      </c>
      <c r="D53" s="200" t="str" cm="1">
        <f t="array" ref="D53">IF(tabPostos[[#This Row],[Comarca]]="","",
_xlfn.LET(
_xlpm.MATRIZ_COMARCA, ","&amp;TRIM(UPPER(SUBSTITUTE(SUBSTITUTE(SUBSTITUTE(SUBSTITUTE(SUBSTITUTE(SUBSTITUTE(SUBSTITUTE(SUBSTITUTE(SUBSTITUTE(SUBSTITUTE(SUBSTITUTE(SUBSTITUTE(SUBSTITUTE(SUBSTITUTE(SUBSTITUTE(SUBSTITUTE(SUBSTITUTE(SUBSTITUTE(SUBSTITUTE(SUBSTITUTE(SUBSTITUTE(SUBSTITUTE(SUBSTITUTE(SUBSTITUTE(SUBSTITUTE(SUBSTITUTE(tabSindicatos[ABRANGÊNCIA],"á","a"),"ã","a"),"â","a"),"é","e"),"ê","e"),"í","i"),"ó","o"),"õ","o"),"ô","o"),"ú","u"),"ç","c"),"Á","a"),"Ã","a"),"Â","a"),"É","e"),"Ê","e"),"Í","i"),"Ó","o"),"Õ","o"),"Ô","o"),"Ú","u"),"Ç","c"),"/MG","")," e ",", ")," ",""),".","")))&amp;",",
_xlpm.MATRIZ_FUNCAO, ","&amp;TRIM(UPPER(SUBSTITUTE(SUBSTITUTE(SUBSTITUTE(SUBSTITUTE(SUBSTITUTE(SUBSTITUTE(SUBSTITUTE(SUBSTITUTE(SUBSTITUTE(SUBSTITUTE(SUBSTITUTE(SUBSTITUTE(SUBSTITUTE(SUBSTITUTE(SUBSTITUTE(SUBSTITUTE(SUBSTITUTE(SUBSTITUTE(SUBSTITUTE(SUBSTITUTE(SUBSTITUTE(SUBSTITUTE(SUBSTITUTE(SUBSTITUTE(SUBSTITUTE(tabSindicatos[FUNÇÕES],"á","a"),"ã","a"),"â","a"),"é","e"),"ê","e"),"í","i"),"ó","o"),"õ","o"),"ô","o"),"ú","u"),"ç","c"),"Á","a"),"Ã","a"),"Â","a"),"É","e"),"Ê","e"),"Í","i"),"Ó","o"),"Õ","o"),"Ô","o"),"Ú","u"),"Ç","c")," e ",", ")," ",""),".","")))&amp;",",
IFERROR(_xlfn._xlws.FILTER(tabSindicatos[SINDICATOS],
(ISNUMBER(SEARCH(","&amp;TRIM(UPPER(SUBSTITUTE(tabPostos[[#This Row],[Comarca]]," ","")))&amp;",",_xlpm.MATRIZ_COMARCA,1)))*
(ISNUMBER(SEARCH(","&amp;TRIM(SUBSTITUTE(SUBSTITUTE(SUBSTITUTE(UPPER(tabPostos[[#This Row],[Função]])," E ",", ")," ",""),".",""))&amp;",",_xlpm.MATRIZ_FUNCAO,1)))
),"")
))</f>
        <v>Alto Paranaiba</v>
      </c>
      <c r="E53" s="148" t="s">
        <v>9</v>
      </c>
      <c r="F53" s="148" t="s">
        <v>10</v>
      </c>
      <c r="G53" s="148">
        <v>1</v>
      </c>
      <c r="H53" s="148">
        <v>0</v>
      </c>
      <c r="I53" s="216">
        <f>544.18</f>
        <v>544.17999999999995</v>
      </c>
      <c r="J53" s="247">
        <f>VLOOKUP(tabPostos[[#This Row],[CCT DA CATEGORIA]],'RELAÇÃO SINDICATOS'!A:N,11,0)</f>
        <v>45658</v>
      </c>
      <c r="K53" s="148" t="str">
        <f>VLOOKUP(tabPostos[[#This Row],[CCT DA CATEGORIA]],'RELAÇÃO SINDICATOS'!A:N,12,0)</f>
        <v>-</v>
      </c>
      <c r="L53" s="148" t="str">
        <f>VLOOKUP(tabPostos[[#This Row],[CCT DA CATEGORIA]],'RELAÇÃO SINDICATOS'!A:N,13,0)</f>
        <v>-</v>
      </c>
      <c r="M53" s="148" t="str">
        <f>VLOOKUP(tabPostos[[#This Row],[CCT DA CATEGORIA]],'RELAÇÃO SINDICATOS'!A:N,14,0)</f>
        <v>MG001106/2025</v>
      </c>
    </row>
    <row r="54" spans="1:13" x14ac:dyDescent="0.25">
      <c r="A54" s="148" t="str" cm="1">
        <f t="array" ref="A54">_xlfn.XLOOKUP(tabPostos[[#This Row],[Fonte de Recursos]]&amp;tabPostos[[#This Row],[Classificação]],tabLotacao[Lotacao]&amp;tabLotacao[Tipo],tabLotacao[Codigo Lote],"0")&amp;"."&amp;_xlfn.XLOOKUP(tabPostos[[#This Row],[Comarca]],tabComarca[COMARCA],tabComarca[Codigo Comarca],"000")&amp;"."&amp;_xlfn.XLOOKUP(tabPostos[[#This Row],[Função]],tabCargos[Cargo],tabCargos[Codigo Cargo],"00")</f>
        <v>2.116.04</v>
      </c>
      <c r="B54" s="200" t="s">
        <v>54</v>
      </c>
      <c r="C54" s="200" t="s">
        <v>1244</v>
      </c>
      <c r="D54" s="200" t="str" cm="1">
        <f t="array" ref="D54">IF(tabPostos[[#This Row],[Comarca]]="","",
_xlfn.LET(
_xlpm.MATRIZ_COMARCA, ","&amp;TRIM(UPPER(SUBSTITUTE(SUBSTITUTE(SUBSTITUTE(SUBSTITUTE(SUBSTITUTE(SUBSTITUTE(SUBSTITUTE(SUBSTITUTE(SUBSTITUTE(SUBSTITUTE(SUBSTITUTE(SUBSTITUTE(SUBSTITUTE(SUBSTITUTE(SUBSTITUTE(SUBSTITUTE(SUBSTITUTE(SUBSTITUTE(SUBSTITUTE(SUBSTITUTE(SUBSTITUTE(SUBSTITUTE(SUBSTITUTE(SUBSTITUTE(SUBSTITUTE(SUBSTITUTE(tabSindicatos[ABRANGÊNCIA],"á","a"),"ã","a"),"â","a"),"é","e"),"ê","e"),"í","i"),"ó","o"),"õ","o"),"ô","o"),"ú","u"),"ç","c"),"Á","a"),"Ã","a"),"Â","a"),"É","e"),"Ê","e"),"Í","i"),"Ó","o"),"Õ","o"),"Ô","o"),"Ú","u"),"Ç","c"),"/MG","")," e ",", ")," ",""),".","")))&amp;",",
_xlpm.MATRIZ_FUNCAO, ","&amp;TRIM(UPPER(SUBSTITUTE(SUBSTITUTE(SUBSTITUTE(SUBSTITUTE(SUBSTITUTE(SUBSTITUTE(SUBSTITUTE(SUBSTITUTE(SUBSTITUTE(SUBSTITUTE(SUBSTITUTE(SUBSTITUTE(SUBSTITUTE(SUBSTITUTE(SUBSTITUTE(SUBSTITUTE(SUBSTITUTE(SUBSTITUTE(SUBSTITUTE(SUBSTITUTE(SUBSTITUTE(SUBSTITUTE(SUBSTITUTE(SUBSTITUTE(SUBSTITUTE(tabSindicatos[FUNÇÕES],"á","a"),"ã","a"),"â","a"),"é","e"),"ê","e"),"í","i"),"ó","o"),"õ","o"),"ô","o"),"ú","u"),"ç","c"),"Á","a"),"Ã","a"),"Â","a"),"É","e"),"Ê","e"),"Í","i"),"Ó","o"),"Õ","o"),"Ô","o"),"Ú","u"),"Ç","c")," e ",", ")," ",""),".","")))&amp;",",
IFERROR(_xlfn._xlws.FILTER(tabSindicatos[SINDICATOS],
(ISNUMBER(SEARCH(","&amp;TRIM(UPPER(SUBSTITUTE(tabPostos[[#This Row],[Comarca]]," ","")))&amp;",",_xlpm.MATRIZ_COMARCA,1)))*
(ISNUMBER(SEARCH(","&amp;TRIM(SUBSTITUTE(SUBSTITUTE(SUBSTITUTE(UPPER(tabPostos[[#This Row],[Função]])," E ",", ")," ",""),".",""))&amp;",",_xlpm.MATRIZ_FUNCAO,1)))
),"")
))</f>
        <v>Regiao de Sao Lourenco</v>
      </c>
      <c r="E54" s="148" t="s">
        <v>9</v>
      </c>
      <c r="F54" s="148" t="s">
        <v>10</v>
      </c>
      <c r="G54" s="148">
        <v>1</v>
      </c>
      <c r="H54" s="148">
        <v>0</v>
      </c>
      <c r="I54" s="216">
        <f>798.14</f>
        <v>798.14</v>
      </c>
      <c r="J54" s="247">
        <f>VLOOKUP(tabPostos[[#This Row],[CCT DA CATEGORIA]],'RELAÇÃO SINDICATOS'!A:N,11,0)</f>
        <v>45658</v>
      </c>
      <c r="K54" s="148" t="str">
        <f>VLOOKUP(tabPostos[[#This Row],[CCT DA CATEGORIA]],'RELAÇÃO SINDICATOS'!A:N,12,0)</f>
        <v>-</v>
      </c>
      <c r="L54" s="148" t="str">
        <f>VLOOKUP(tabPostos[[#This Row],[CCT DA CATEGORIA]],'RELAÇÃO SINDICATOS'!A:N,13,0)</f>
        <v>-</v>
      </c>
      <c r="M54" s="148" t="str">
        <f>VLOOKUP(tabPostos[[#This Row],[CCT DA CATEGORIA]],'RELAÇÃO SINDICATOS'!A:N,14,0)</f>
        <v>MG000594/2025</v>
      </c>
    </row>
    <row r="55" spans="1:13" x14ac:dyDescent="0.25">
      <c r="A55" s="148" t="str" cm="1">
        <f t="array" ref="A55">_xlfn.XLOOKUP(tabPostos[[#This Row],[Fonte de Recursos]]&amp;tabPostos[[#This Row],[Classificação]],tabLotacao[Lotacao]&amp;tabLotacao[Tipo],tabLotacao[Codigo Lote],"0")&amp;"."&amp;_xlfn.XLOOKUP(tabPostos[[#This Row],[Comarca]],tabComarca[COMARCA],tabComarca[Codigo Comarca],"000")&amp;"."&amp;_xlfn.XLOOKUP(tabPostos[[#This Row],[Função]],tabCargos[Cargo],tabCargos[Codigo Cargo],"00")</f>
        <v>2.118.03</v>
      </c>
      <c r="B55" s="200" t="s">
        <v>55</v>
      </c>
      <c r="C55" s="200" t="s">
        <v>1247</v>
      </c>
      <c r="D55" s="200" t="str" cm="1">
        <f t="array" ref="D55">IF(tabPostos[[#This Row],[Comarca]]="","",
_xlfn.LET(
_xlpm.MATRIZ_COMARCA, ","&amp;TRIM(UPPER(SUBSTITUTE(SUBSTITUTE(SUBSTITUTE(SUBSTITUTE(SUBSTITUTE(SUBSTITUTE(SUBSTITUTE(SUBSTITUTE(SUBSTITUTE(SUBSTITUTE(SUBSTITUTE(SUBSTITUTE(SUBSTITUTE(SUBSTITUTE(SUBSTITUTE(SUBSTITUTE(SUBSTITUTE(SUBSTITUTE(SUBSTITUTE(SUBSTITUTE(SUBSTITUTE(SUBSTITUTE(SUBSTITUTE(SUBSTITUTE(SUBSTITUTE(SUBSTITUTE(tabSindicatos[ABRANGÊNCIA],"á","a"),"ã","a"),"â","a"),"é","e"),"ê","e"),"í","i"),"ó","o"),"õ","o"),"ô","o"),"ú","u"),"ç","c"),"Á","a"),"Ã","a"),"Â","a"),"É","e"),"Ê","e"),"Í","i"),"Ó","o"),"Õ","o"),"Ô","o"),"Ú","u"),"Ç","c"),"/MG","")," e ",", ")," ",""),".","")))&amp;",",
_xlpm.MATRIZ_FUNCAO, ","&amp;TRIM(UPPER(SUBSTITUTE(SUBSTITUTE(SUBSTITUTE(SUBSTITUTE(SUBSTITUTE(SUBSTITUTE(SUBSTITUTE(SUBSTITUTE(SUBSTITUTE(SUBSTITUTE(SUBSTITUTE(SUBSTITUTE(SUBSTITUTE(SUBSTITUTE(SUBSTITUTE(SUBSTITUTE(SUBSTITUTE(SUBSTITUTE(SUBSTITUTE(SUBSTITUTE(SUBSTITUTE(SUBSTITUTE(SUBSTITUTE(SUBSTITUTE(SUBSTITUTE(tabSindicatos[FUNÇÕES],"á","a"),"ã","a"),"â","a"),"é","e"),"ê","e"),"í","i"),"ó","o"),"õ","o"),"ô","o"),"ú","u"),"ç","c"),"Á","a"),"Ã","a"),"Â","a"),"É","e"),"Ê","e"),"Í","i"),"Ó","o"),"Õ","o"),"Ô","o"),"Ú","u"),"Ç","c")," e ",", ")," ",""),".","")))&amp;",",
IFERROR(_xlfn._xlws.FILTER(tabSindicatos[SINDICATOS],
(ISNUMBER(SEARCH(","&amp;TRIM(UPPER(SUBSTITUTE(tabPostos[[#This Row],[Comarca]]," ","")))&amp;",",_xlpm.MATRIZ_COMARCA,1)))*
(ISNUMBER(SEARCH(","&amp;TRIM(SUBSTITUTE(SUBSTITUTE(SUBSTITUTE(UPPER(tabPostos[[#This Row],[Função]])," E ",", ")," ",""),".",""))&amp;",",_xlpm.MATRIZ_FUNCAO,1)))
),"")
))</f>
        <v>Alto Paranaiba</v>
      </c>
      <c r="E55" s="148" t="s">
        <v>9</v>
      </c>
      <c r="F55" s="148" t="s">
        <v>10</v>
      </c>
      <c r="G55" s="148">
        <v>1</v>
      </c>
      <c r="H55" s="148">
        <v>0</v>
      </c>
      <c r="I55" s="216">
        <f>544.18</f>
        <v>544.17999999999995</v>
      </c>
      <c r="J55" s="247">
        <f>VLOOKUP(tabPostos[[#This Row],[CCT DA CATEGORIA]],'RELAÇÃO SINDICATOS'!A:N,11,0)</f>
        <v>45658</v>
      </c>
      <c r="K55" s="148" t="str">
        <f>VLOOKUP(tabPostos[[#This Row],[CCT DA CATEGORIA]],'RELAÇÃO SINDICATOS'!A:N,12,0)</f>
        <v>-</v>
      </c>
      <c r="L55" s="148" t="str">
        <f>VLOOKUP(tabPostos[[#This Row],[CCT DA CATEGORIA]],'RELAÇÃO SINDICATOS'!A:N,13,0)</f>
        <v>-</v>
      </c>
      <c r="M55" s="148" t="str">
        <f>VLOOKUP(tabPostos[[#This Row],[CCT DA CATEGORIA]],'RELAÇÃO SINDICATOS'!A:N,14,0)</f>
        <v>MG001106/2025</v>
      </c>
    </row>
    <row r="56" spans="1:13" x14ac:dyDescent="0.25">
      <c r="A56" s="148" t="str" cm="1">
        <f t="array" ref="A56">_xlfn.XLOOKUP(tabPostos[[#This Row],[Fonte de Recursos]]&amp;tabPostos[[#This Row],[Classificação]],tabLotacao[Lotacao]&amp;tabLotacao[Tipo],tabLotacao[Codigo Lote],"0")&amp;"."&amp;_xlfn.XLOOKUP(tabPostos[[#This Row],[Comarca]],tabComarca[COMARCA],tabComarca[Codigo Comarca],"000")&amp;"."&amp;_xlfn.XLOOKUP(tabPostos[[#This Row],[Função]],tabCargos[Cargo],tabCargos[Codigo Cargo],"00")</f>
        <v>2.120.05</v>
      </c>
      <c r="B56" s="200" t="s">
        <v>56</v>
      </c>
      <c r="C56" s="200" t="s">
        <v>1246</v>
      </c>
      <c r="D56" s="200" t="str" cm="1">
        <f t="array" ref="D56">IF(tabPostos[[#This Row],[Comarca]]="","",
_xlfn.LET(
_xlpm.MATRIZ_COMARCA, ","&amp;TRIM(UPPER(SUBSTITUTE(SUBSTITUTE(SUBSTITUTE(SUBSTITUTE(SUBSTITUTE(SUBSTITUTE(SUBSTITUTE(SUBSTITUTE(SUBSTITUTE(SUBSTITUTE(SUBSTITUTE(SUBSTITUTE(SUBSTITUTE(SUBSTITUTE(SUBSTITUTE(SUBSTITUTE(SUBSTITUTE(SUBSTITUTE(SUBSTITUTE(SUBSTITUTE(SUBSTITUTE(SUBSTITUTE(SUBSTITUTE(SUBSTITUTE(SUBSTITUTE(SUBSTITUTE(tabSindicatos[ABRANGÊNCIA],"á","a"),"ã","a"),"â","a"),"é","e"),"ê","e"),"í","i"),"ó","o"),"õ","o"),"ô","o"),"ú","u"),"ç","c"),"Á","a"),"Ã","a"),"Â","a"),"É","e"),"Ê","e"),"Í","i"),"Ó","o"),"Õ","o"),"Ô","o"),"Ú","u"),"Ç","c"),"/MG","")," e ",", ")," ",""),".","")))&amp;",",
_xlpm.MATRIZ_FUNCAO, ","&amp;TRIM(UPPER(SUBSTITUTE(SUBSTITUTE(SUBSTITUTE(SUBSTITUTE(SUBSTITUTE(SUBSTITUTE(SUBSTITUTE(SUBSTITUTE(SUBSTITUTE(SUBSTITUTE(SUBSTITUTE(SUBSTITUTE(SUBSTITUTE(SUBSTITUTE(SUBSTITUTE(SUBSTITUTE(SUBSTITUTE(SUBSTITUTE(SUBSTITUTE(SUBSTITUTE(SUBSTITUTE(SUBSTITUTE(SUBSTITUTE(SUBSTITUTE(SUBSTITUTE(tabSindicatos[FUNÇÕES],"á","a"),"ã","a"),"â","a"),"é","e"),"ê","e"),"í","i"),"ó","o"),"õ","o"),"ô","o"),"ú","u"),"ç","c"),"Á","a"),"Ã","a"),"Â","a"),"É","e"),"Ê","e"),"Í","i"),"Ó","o"),"Õ","o"),"Ô","o"),"Ú","u"),"Ç","c")," e ",", ")," ",""),".","")))&amp;",",
IFERROR(_xlfn._xlws.FILTER(tabSindicatos[SINDICATOS],
(ISNUMBER(SEARCH(","&amp;TRIM(UPPER(SUBSTITUTE(tabPostos[[#This Row],[Comarca]]," ","")))&amp;",",_xlpm.MATRIZ_COMARCA,1)))*
(ISNUMBER(SEARCH(","&amp;TRIM(SUBSTITUTE(SUBSTITUTE(SUBSTITUTE(UPPER(tabPostos[[#This Row],[Função]])," E ",", ")," ",""),".",""))&amp;",",_xlpm.MATRIZ_FUNCAO,1)))
),"")
))</f>
        <v>Regiao de Sao Lourenco</v>
      </c>
      <c r="E56" s="148" t="s">
        <v>9</v>
      </c>
      <c r="F56" s="148" t="s">
        <v>10</v>
      </c>
      <c r="G56" s="148">
        <v>1</v>
      </c>
      <c r="H56" s="148">
        <v>0</v>
      </c>
      <c r="I56" s="216">
        <f>1088.37</f>
        <v>1088.3699999999999</v>
      </c>
      <c r="J56" s="247">
        <f>VLOOKUP(tabPostos[[#This Row],[CCT DA CATEGORIA]],'RELAÇÃO SINDICATOS'!A:N,11,0)</f>
        <v>45658</v>
      </c>
      <c r="K56" s="148" t="str">
        <f>VLOOKUP(tabPostos[[#This Row],[CCT DA CATEGORIA]],'RELAÇÃO SINDICATOS'!A:N,12,0)</f>
        <v>-</v>
      </c>
      <c r="L56" s="148" t="str">
        <f>VLOOKUP(tabPostos[[#This Row],[CCT DA CATEGORIA]],'RELAÇÃO SINDICATOS'!A:N,13,0)</f>
        <v>-</v>
      </c>
      <c r="M56" s="148" t="str">
        <f>VLOOKUP(tabPostos[[#This Row],[CCT DA CATEGORIA]],'RELAÇÃO SINDICATOS'!A:N,14,0)</f>
        <v>MG000594/2025</v>
      </c>
    </row>
    <row r="57" spans="1:13" x14ac:dyDescent="0.25">
      <c r="A57" s="148" t="str" cm="1">
        <f t="array" ref="A57">_xlfn.XLOOKUP(tabPostos[[#This Row],[Fonte de Recursos]]&amp;tabPostos[[#This Row],[Classificação]],tabLotacao[Lotacao]&amp;tabLotacao[Tipo],tabLotacao[Codigo Lote],"0")&amp;"."&amp;_xlfn.XLOOKUP(tabPostos[[#This Row],[Comarca]],tabComarca[COMARCA],tabComarca[Codigo Comarca],"000")&amp;"."&amp;_xlfn.XLOOKUP(tabPostos[[#This Row],[Função]],tabCargos[Cargo],tabCargos[Codigo Cargo],"00")</f>
        <v>2.123.04</v>
      </c>
      <c r="B57" s="200" t="s">
        <v>57</v>
      </c>
      <c r="C57" s="200" t="s">
        <v>1244</v>
      </c>
      <c r="D57" s="200" t="str" cm="1">
        <f t="array" ref="D57">IF(tabPostos[[#This Row],[Comarca]]="","",
_xlfn.LET(
_xlpm.MATRIZ_COMARCA, ","&amp;TRIM(UPPER(SUBSTITUTE(SUBSTITUTE(SUBSTITUTE(SUBSTITUTE(SUBSTITUTE(SUBSTITUTE(SUBSTITUTE(SUBSTITUTE(SUBSTITUTE(SUBSTITUTE(SUBSTITUTE(SUBSTITUTE(SUBSTITUTE(SUBSTITUTE(SUBSTITUTE(SUBSTITUTE(SUBSTITUTE(SUBSTITUTE(SUBSTITUTE(SUBSTITUTE(SUBSTITUTE(SUBSTITUTE(SUBSTITUTE(SUBSTITUTE(SUBSTITUTE(SUBSTITUTE(tabSindicatos[ABRANGÊNCIA],"á","a"),"ã","a"),"â","a"),"é","e"),"ê","e"),"í","i"),"ó","o"),"õ","o"),"ô","o"),"ú","u"),"ç","c"),"Á","a"),"Ã","a"),"Â","a"),"É","e"),"Ê","e"),"Í","i"),"Ó","o"),"Õ","o"),"Ô","o"),"Ú","u"),"Ç","c"),"/MG","")," e ",", ")," ",""),".","")))&amp;",",
_xlpm.MATRIZ_FUNCAO, ","&amp;TRIM(UPPER(SUBSTITUTE(SUBSTITUTE(SUBSTITUTE(SUBSTITUTE(SUBSTITUTE(SUBSTITUTE(SUBSTITUTE(SUBSTITUTE(SUBSTITUTE(SUBSTITUTE(SUBSTITUTE(SUBSTITUTE(SUBSTITUTE(SUBSTITUTE(SUBSTITUTE(SUBSTITUTE(SUBSTITUTE(SUBSTITUTE(SUBSTITUTE(SUBSTITUTE(SUBSTITUTE(SUBSTITUTE(SUBSTITUTE(SUBSTITUTE(SUBSTITUTE(tabSindicatos[FUNÇÕES],"á","a"),"ã","a"),"â","a"),"é","e"),"ê","e"),"í","i"),"ó","o"),"õ","o"),"ô","o"),"ú","u"),"ç","c"),"Á","a"),"Ã","a"),"Â","a"),"É","e"),"Ê","e"),"Í","i"),"Ó","o"),"Õ","o"),"Ô","o"),"Ú","u"),"Ç","c")," e ",", ")," ",""),".","")))&amp;",",
IFERROR(_xlfn._xlws.FILTER(tabSindicatos[SINDICATOS],
(ISNUMBER(SEARCH(","&amp;TRIM(UPPER(SUBSTITUTE(tabPostos[[#This Row],[Comarca]]," ","")))&amp;",",_xlpm.MATRIZ_COMARCA,1)))*
(ISNUMBER(SEARCH(","&amp;TRIM(SUBSTITUTE(SUBSTITUTE(SUBSTITUTE(UPPER(tabPostos[[#This Row],[Função]])," E ",", ")," ",""),".",""))&amp;",",_xlpm.MATRIZ_FUNCAO,1)))
),"")
))</f>
        <v>Regiao de Teofilo Otoni</v>
      </c>
      <c r="E57" s="148" t="s">
        <v>9</v>
      </c>
      <c r="F57" s="148" t="s">
        <v>10</v>
      </c>
      <c r="G57" s="148">
        <v>1</v>
      </c>
      <c r="H57" s="148">
        <v>0</v>
      </c>
      <c r="I57" s="216">
        <f>798.14</f>
        <v>798.14</v>
      </c>
      <c r="J57" s="247">
        <f>VLOOKUP(tabPostos[[#This Row],[CCT DA CATEGORIA]],'RELAÇÃO SINDICATOS'!A:N,11,0)</f>
        <v>45658</v>
      </c>
      <c r="K57" s="148" t="str">
        <f>VLOOKUP(tabPostos[[#This Row],[CCT DA CATEGORIA]],'RELAÇÃO SINDICATOS'!A:N,12,0)</f>
        <v>-</v>
      </c>
      <c r="L57" s="148" t="str">
        <f>VLOOKUP(tabPostos[[#This Row],[CCT DA CATEGORIA]],'RELAÇÃO SINDICATOS'!A:N,13,0)</f>
        <v>-</v>
      </c>
      <c r="M57" s="148" t="str">
        <f>VLOOKUP(tabPostos[[#This Row],[CCT DA CATEGORIA]],'RELAÇÃO SINDICATOS'!A:N,14,0)</f>
        <v>MG004488/2024</v>
      </c>
    </row>
    <row r="58" spans="1:13" x14ac:dyDescent="0.25">
      <c r="A58" s="148" t="str" cm="1">
        <f t="array" ref="A58">_xlfn.XLOOKUP(tabPostos[[#This Row],[Fonte de Recursos]]&amp;tabPostos[[#This Row],[Classificação]],tabLotacao[Lotacao]&amp;tabLotacao[Tipo],tabLotacao[Codigo Lote],"0")&amp;"."&amp;_xlfn.XLOOKUP(tabPostos[[#This Row],[Comarca]],tabComarca[COMARCA],tabComarca[Codigo Comarca],"000")&amp;"."&amp;_xlfn.XLOOKUP(tabPostos[[#This Row],[Função]],tabCargos[Cargo],tabCargos[Codigo Cargo],"00")</f>
        <v>2.132.03</v>
      </c>
      <c r="B58" s="200" t="s">
        <v>58</v>
      </c>
      <c r="C58" s="200" t="s">
        <v>1247</v>
      </c>
      <c r="D58" s="200" t="str" cm="1">
        <f t="array" ref="D58">IF(tabPostos[[#This Row],[Comarca]]="","",
_xlfn.LET(
_xlpm.MATRIZ_COMARCA, ","&amp;TRIM(UPPER(SUBSTITUTE(SUBSTITUTE(SUBSTITUTE(SUBSTITUTE(SUBSTITUTE(SUBSTITUTE(SUBSTITUTE(SUBSTITUTE(SUBSTITUTE(SUBSTITUTE(SUBSTITUTE(SUBSTITUTE(SUBSTITUTE(SUBSTITUTE(SUBSTITUTE(SUBSTITUTE(SUBSTITUTE(SUBSTITUTE(SUBSTITUTE(SUBSTITUTE(SUBSTITUTE(SUBSTITUTE(SUBSTITUTE(SUBSTITUTE(SUBSTITUTE(SUBSTITUTE(tabSindicatos[ABRANGÊNCIA],"á","a"),"ã","a"),"â","a"),"é","e"),"ê","e"),"í","i"),"ó","o"),"õ","o"),"ô","o"),"ú","u"),"ç","c"),"Á","a"),"Ã","a"),"Â","a"),"É","e"),"Ê","e"),"Í","i"),"Ó","o"),"Õ","o"),"Ô","o"),"Ú","u"),"Ç","c"),"/MG","")," e ",", ")," ",""),".","")))&amp;",",
_xlpm.MATRIZ_FUNCAO, ","&amp;TRIM(UPPER(SUBSTITUTE(SUBSTITUTE(SUBSTITUTE(SUBSTITUTE(SUBSTITUTE(SUBSTITUTE(SUBSTITUTE(SUBSTITUTE(SUBSTITUTE(SUBSTITUTE(SUBSTITUTE(SUBSTITUTE(SUBSTITUTE(SUBSTITUTE(SUBSTITUTE(SUBSTITUTE(SUBSTITUTE(SUBSTITUTE(SUBSTITUTE(SUBSTITUTE(SUBSTITUTE(SUBSTITUTE(SUBSTITUTE(SUBSTITUTE(SUBSTITUTE(tabSindicatos[FUNÇÕES],"á","a"),"ã","a"),"â","a"),"é","e"),"ê","e"),"í","i"),"ó","o"),"õ","o"),"ô","o"),"ú","u"),"ç","c"),"Á","a"),"Ã","a"),"Â","a"),"É","e"),"Ê","e"),"Í","i"),"Ó","o"),"Õ","o"),"Ô","o"),"Ú","u"),"Ç","c")," e ",", ")," ",""),".","")))&amp;",",
IFERROR(_xlfn._xlws.FILTER(tabSindicatos[SINDICATOS],
(ISNUMBER(SEARCH(","&amp;TRIM(UPPER(SUBSTITUTE(tabPostos[[#This Row],[Comarca]]," ","")))&amp;",",_xlpm.MATRIZ_COMARCA,1)))*
(ISNUMBER(SEARCH(","&amp;TRIM(SUBSTITUTE(SUBSTITUTE(SUBSTITUTE(UPPER(tabPostos[[#This Row],[Função]])," E ",", ")," ",""),".",""))&amp;",",_xlpm.MATRIZ_FUNCAO,1)))
),"")
))</f>
        <v>Fethemg Interior</v>
      </c>
      <c r="E58" s="148" t="s">
        <v>9</v>
      </c>
      <c r="F58" s="148" t="s">
        <v>10</v>
      </c>
      <c r="G58" s="148">
        <v>1</v>
      </c>
      <c r="H58" s="148">
        <v>0</v>
      </c>
      <c r="I58" s="216">
        <f>544.18</f>
        <v>544.17999999999995</v>
      </c>
      <c r="J58" s="247">
        <f>VLOOKUP(tabPostos[[#This Row],[CCT DA CATEGORIA]],'RELAÇÃO SINDICATOS'!A:N,11,0)</f>
        <v>45658</v>
      </c>
      <c r="K58" s="148" t="str">
        <f>VLOOKUP(tabPostos[[#This Row],[CCT DA CATEGORIA]],'RELAÇÃO SINDICATOS'!A:N,12,0)</f>
        <v>-</v>
      </c>
      <c r="L58" s="148" t="str">
        <f>VLOOKUP(tabPostos[[#This Row],[CCT DA CATEGORIA]],'RELAÇÃO SINDICATOS'!A:N,13,0)</f>
        <v>-</v>
      </c>
      <c r="M58" s="148" t="str">
        <f>VLOOKUP(tabPostos[[#This Row],[CCT DA CATEGORIA]],'RELAÇÃO SINDICATOS'!A:N,14,0)</f>
        <v>MG004482/2024</v>
      </c>
    </row>
    <row r="59" spans="1:13" x14ac:dyDescent="0.25">
      <c r="A59" s="148" t="str" cm="1">
        <f t="array" ref="A59">_xlfn.XLOOKUP(tabPostos[[#This Row],[Fonte de Recursos]]&amp;tabPostos[[#This Row],[Classificação]],tabLotacao[Lotacao]&amp;tabLotacao[Tipo],tabLotacao[Codigo Lote],"0")&amp;"."&amp;_xlfn.XLOOKUP(tabPostos[[#This Row],[Comarca]],tabComarca[COMARCA],tabComarca[Codigo Comarca],"000")&amp;"."&amp;_xlfn.XLOOKUP(tabPostos[[#This Row],[Função]],tabCargos[Cargo],tabCargos[Codigo Cargo],"00")</f>
        <v>2.133.06</v>
      </c>
      <c r="B59" s="200" t="s">
        <v>59</v>
      </c>
      <c r="C59" s="200" t="s">
        <v>1245</v>
      </c>
      <c r="D59" s="200" t="str" cm="1">
        <f t="array" ref="D59">IF(tabPostos[[#This Row],[Comarca]]="","",
_xlfn.LET(
_xlpm.MATRIZ_COMARCA, ","&amp;TRIM(UPPER(SUBSTITUTE(SUBSTITUTE(SUBSTITUTE(SUBSTITUTE(SUBSTITUTE(SUBSTITUTE(SUBSTITUTE(SUBSTITUTE(SUBSTITUTE(SUBSTITUTE(SUBSTITUTE(SUBSTITUTE(SUBSTITUTE(SUBSTITUTE(SUBSTITUTE(SUBSTITUTE(SUBSTITUTE(SUBSTITUTE(SUBSTITUTE(SUBSTITUTE(SUBSTITUTE(SUBSTITUTE(SUBSTITUTE(SUBSTITUTE(SUBSTITUTE(SUBSTITUTE(tabSindicatos[ABRANGÊNCIA],"á","a"),"ã","a"),"â","a"),"é","e"),"ê","e"),"í","i"),"ó","o"),"õ","o"),"ô","o"),"ú","u"),"ç","c"),"Á","a"),"Ã","a"),"Â","a"),"É","e"),"Ê","e"),"Í","i"),"Ó","o"),"Õ","o"),"Ô","o"),"Ú","u"),"Ç","c"),"/MG","")," e ",", ")," ",""),".","")))&amp;",",
_xlpm.MATRIZ_FUNCAO, ","&amp;TRIM(UPPER(SUBSTITUTE(SUBSTITUTE(SUBSTITUTE(SUBSTITUTE(SUBSTITUTE(SUBSTITUTE(SUBSTITUTE(SUBSTITUTE(SUBSTITUTE(SUBSTITUTE(SUBSTITUTE(SUBSTITUTE(SUBSTITUTE(SUBSTITUTE(SUBSTITUTE(SUBSTITUTE(SUBSTITUTE(SUBSTITUTE(SUBSTITUTE(SUBSTITUTE(SUBSTITUTE(SUBSTITUTE(SUBSTITUTE(SUBSTITUTE(SUBSTITUTE(tabSindicatos[FUNÇÕES],"á","a"),"ã","a"),"â","a"),"é","e"),"ê","e"),"í","i"),"ó","o"),"õ","o"),"ô","o"),"ú","u"),"ç","c"),"Á","a"),"Ã","a"),"Â","a"),"É","e"),"Ê","e"),"Í","i"),"Ó","o"),"Õ","o"),"Ô","o"),"Ú","u"),"Ç","c")," e ",", ")," ",""),".","")))&amp;",",
IFERROR(_xlfn._xlws.FILTER(tabSindicatos[SINDICATOS],
(ISNUMBER(SEARCH(","&amp;TRIM(UPPER(SUBSTITUTE(tabPostos[[#This Row],[Comarca]]," ","")))&amp;",",_xlpm.MATRIZ_COMARCA,1)))*
(ISNUMBER(SEARCH(","&amp;TRIM(SUBSTITUTE(SUBSTITUTE(SUBSTITUTE(UPPER(tabPostos[[#This Row],[Função]])," E ",", ")," ",""),".",""))&amp;",",_xlpm.MATRIZ_FUNCAO,1)))
),"")
))</f>
        <v>Regiao de Juiz de Fora</v>
      </c>
      <c r="E59" s="148" t="s">
        <v>9</v>
      </c>
      <c r="F59" s="148" t="s">
        <v>10</v>
      </c>
      <c r="G59" s="148">
        <v>1</v>
      </c>
      <c r="H59" s="148">
        <v>0</v>
      </c>
      <c r="I59" s="216">
        <f>1596.28</f>
        <v>1596.28</v>
      </c>
      <c r="J59" s="247">
        <f>VLOOKUP(tabPostos[[#This Row],[CCT DA CATEGORIA]],'RELAÇÃO SINDICATOS'!A:N,11,0)</f>
        <v>45658</v>
      </c>
      <c r="K59" s="148" t="str">
        <f>VLOOKUP(tabPostos[[#This Row],[CCT DA CATEGORIA]],'RELAÇÃO SINDICATOS'!A:N,12,0)</f>
        <v>-</v>
      </c>
      <c r="L59" s="148" t="str">
        <f>VLOOKUP(tabPostos[[#This Row],[CCT DA CATEGORIA]],'RELAÇÃO SINDICATOS'!A:N,13,0)</f>
        <v>-</v>
      </c>
      <c r="M59" s="148" t="str">
        <f>VLOOKUP(tabPostos[[#This Row],[CCT DA CATEGORIA]],'RELAÇÃO SINDICATOS'!A:N,14,0)</f>
        <v>MG000506/2025</v>
      </c>
    </row>
    <row r="60" spans="1:13" x14ac:dyDescent="0.25">
      <c r="A60" s="148" t="str" cm="1">
        <f t="array" ref="A60">_xlfn.XLOOKUP(tabPostos[[#This Row],[Fonte de Recursos]]&amp;tabPostos[[#This Row],[Classificação]],tabLotacao[Lotacao]&amp;tabLotacao[Tipo],tabLotacao[Codigo Lote],"0")&amp;"."&amp;_xlfn.XLOOKUP(tabPostos[[#This Row],[Comarca]],tabComarca[COMARCA],tabComarca[Codigo Comarca],"000")&amp;"."&amp;_xlfn.XLOOKUP(tabPostos[[#This Row],[Função]],tabCargos[Cargo],tabCargos[Codigo Cargo],"00")</f>
        <v>2.134.06</v>
      </c>
      <c r="B60" s="200" t="s">
        <v>60</v>
      </c>
      <c r="C60" s="200" t="s">
        <v>1245</v>
      </c>
      <c r="D60" s="200" t="str" cm="1">
        <f t="array" ref="D60">IF(tabPostos[[#This Row],[Comarca]]="","",
_xlfn.LET(
_xlpm.MATRIZ_COMARCA, ","&amp;TRIM(UPPER(SUBSTITUTE(SUBSTITUTE(SUBSTITUTE(SUBSTITUTE(SUBSTITUTE(SUBSTITUTE(SUBSTITUTE(SUBSTITUTE(SUBSTITUTE(SUBSTITUTE(SUBSTITUTE(SUBSTITUTE(SUBSTITUTE(SUBSTITUTE(SUBSTITUTE(SUBSTITUTE(SUBSTITUTE(SUBSTITUTE(SUBSTITUTE(SUBSTITUTE(SUBSTITUTE(SUBSTITUTE(SUBSTITUTE(SUBSTITUTE(SUBSTITUTE(SUBSTITUTE(tabSindicatos[ABRANGÊNCIA],"á","a"),"ã","a"),"â","a"),"é","e"),"ê","e"),"í","i"),"ó","o"),"õ","o"),"ô","o"),"ú","u"),"ç","c"),"Á","a"),"Ã","a"),"Â","a"),"É","e"),"Ê","e"),"Í","i"),"Ó","o"),"Õ","o"),"Ô","o"),"Ú","u"),"Ç","c"),"/MG","")," e ",", ")," ",""),".","")))&amp;",",
_xlpm.MATRIZ_FUNCAO, ","&amp;TRIM(UPPER(SUBSTITUTE(SUBSTITUTE(SUBSTITUTE(SUBSTITUTE(SUBSTITUTE(SUBSTITUTE(SUBSTITUTE(SUBSTITUTE(SUBSTITUTE(SUBSTITUTE(SUBSTITUTE(SUBSTITUTE(SUBSTITUTE(SUBSTITUTE(SUBSTITUTE(SUBSTITUTE(SUBSTITUTE(SUBSTITUTE(SUBSTITUTE(SUBSTITUTE(SUBSTITUTE(SUBSTITUTE(SUBSTITUTE(SUBSTITUTE(SUBSTITUTE(tabSindicatos[FUNÇÕES],"á","a"),"ã","a"),"â","a"),"é","e"),"ê","e"),"í","i"),"ó","o"),"õ","o"),"ô","o"),"ú","u"),"ç","c"),"Á","a"),"Ã","a"),"Â","a"),"É","e"),"Ê","e"),"Í","i"),"Ó","o"),"Õ","o"),"Ô","o"),"Ú","u"),"Ç","c")," e ",", ")," ",""),".","")))&amp;",",
IFERROR(_xlfn._xlws.FILTER(tabSindicatos[SINDICATOS],
(ISNUMBER(SEARCH(","&amp;TRIM(UPPER(SUBSTITUTE(tabPostos[[#This Row],[Comarca]]," ","")))&amp;",",_xlpm.MATRIZ_COMARCA,1)))*
(ISNUMBER(SEARCH(","&amp;TRIM(SUBSTITUTE(SUBSTITUTE(SUBSTITUTE(UPPER(tabPostos[[#This Row],[Função]])," E ",", ")," ",""),".",""))&amp;",",_xlpm.MATRIZ_FUNCAO,1)))
),"")
))</f>
        <v>Seethur</v>
      </c>
      <c r="E60" s="148" t="s">
        <v>9</v>
      </c>
      <c r="F60" s="148" t="s">
        <v>10</v>
      </c>
      <c r="G60" s="148">
        <v>1</v>
      </c>
      <c r="H60" s="148">
        <v>0</v>
      </c>
      <c r="I60" s="216">
        <f>1596.28</f>
        <v>1596.28</v>
      </c>
      <c r="J60" s="247">
        <f>VLOOKUP(tabPostos[[#This Row],[CCT DA CATEGORIA]],'RELAÇÃO SINDICATOS'!A:N,11,0)</f>
        <v>45658</v>
      </c>
      <c r="K60" s="148" t="str">
        <f>VLOOKUP(tabPostos[[#This Row],[CCT DA CATEGORIA]],'RELAÇÃO SINDICATOS'!A:N,12,0)</f>
        <v>-</v>
      </c>
      <c r="L60" s="148" t="str">
        <f>VLOOKUP(tabPostos[[#This Row],[CCT DA CATEGORIA]],'RELAÇÃO SINDICATOS'!A:N,13,0)</f>
        <v>-</v>
      </c>
      <c r="M60" s="148" t="str">
        <f>VLOOKUP(tabPostos[[#This Row],[CCT DA CATEGORIA]],'RELAÇÃO SINDICATOS'!A:N,14,0)</f>
        <v>MG000493/2025</v>
      </c>
    </row>
    <row r="61" spans="1:13" x14ac:dyDescent="0.25">
      <c r="A61" s="148" t="str" cm="1">
        <f t="array" ref="A61">_xlfn.XLOOKUP(tabPostos[[#This Row],[Fonte de Recursos]]&amp;tabPostos[[#This Row],[Classificação]],tabLotacao[Lotacao]&amp;tabLotacao[Tipo],tabLotacao[Codigo Lote],"0")&amp;"."&amp;_xlfn.XLOOKUP(tabPostos[[#This Row],[Comarca]],tabComarca[COMARCA],tabComarca[Codigo Comarca],"000")&amp;"."&amp;_xlfn.XLOOKUP(tabPostos[[#This Row],[Função]],tabCargos[Cargo],tabCargos[Codigo Cargo],"00")</f>
        <v>2.137.03</v>
      </c>
      <c r="B61" s="200" t="s">
        <v>61</v>
      </c>
      <c r="C61" s="200" t="s">
        <v>1247</v>
      </c>
      <c r="D61" s="200" t="str" cm="1">
        <f t="array" ref="D61">IF(tabPostos[[#This Row],[Comarca]]="","",
_xlfn.LET(
_xlpm.MATRIZ_COMARCA, ","&amp;TRIM(UPPER(SUBSTITUTE(SUBSTITUTE(SUBSTITUTE(SUBSTITUTE(SUBSTITUTE(SUBSTITUTE(SUBSTITUTE(SUBSTITUTE(SUBSTITUTE(SUBSTITUTE(SUBSTITUTE(SUBSTITUTE(SUBSTITUTE(SUBSTITUTE(SUBSTITUTE(SUBSTITUTE(SUBSTITUTE(SUBSTITUTE(SUBSTITUTE(SUBSTITUTE(SUBSTITUTE(SUBSTITUTE(SUBSTITUTE(SUBSTITUTE(SUBSTITUTE(SUBSTITUTE(tabSindicatos[ABRANGÊNCIA],"á","a"),"ã","a"),"â","a"),"é","e"),"ê","e"),"í","i"),"ó","o"),"õ","o"),"ô","o"),"ú","u"),"ç","c"),"Á","a"),"Ã","a"),"Â","a"),"É","e"),"Ê","e"),"Í","i"),"Ó","o"),"Õ","o"),"Ô","o"),"Ú","u"),"Ç","c"),"/MG","")," e ",", ")," ",""),".","")))&amp;",",
_xlpm.MATRIZ_FUNCAO, ","&amp;TRIM(UPPER(SUBSTITUTE(SUBSTITUTE(SUBSTITUTE(SUBSTITUTE(SUBSTITUTE(SUBSTITUTE(SUBSTITUTE(SUBSTITUTE(SUBSTITUTE(SUBSTITUTE(SUBSTITUTE(SUBSTITUTE(SUBSTITUTE(SUBSTITUTE(SUBSTITUTE(SUBSTITUTE(SUBSTITUTE(SUBSTITUTE(SUBSTITUTE(SUBSTITUTE(SUBSTITUTE(SUBSTITUTE(SUBSTITUTE(SUBSTITUTE(SUBSTITUTE(tabSindicatos[FUNÇÕES],"á","a"),"ã","a"),"â","a"),"é","e"),"ê","e"),"í","i"),"ó","o"),"õ","o"),"ô","o"),"ú","u"),"ç","c"),"Á","a"),"Ã","a"),"Â","a"),"É","e"),"Ê","e"),"Í","i"),"Ó","o"),"Õ","o"),"Ô","o"),"Ú","u"),"Ç","c")," e ",", ")," ",""),".","")))&amp;",",
IFERROR(_xlfn._xlws.FILTER(tabSindicatos[SINDICATOS],
(ISNUMBER(SEARCH(","&amp;TRIM(UPPER(SUBSTITUTE(tabPostos[[#This Row],[Comarca]]," ","")))&amp;",",_xlpm.MATRIZ_COMARCA,1)))*
(ISNUMBER(SEARCH(","&amp;TRIM(SUBSTITUTE(SUBSTITUTE(SUBSTITUTE(UPPER(tabPostos[[#This Row],[Função]])," E ",", ")," ",""),".",""))&amp;",",_xlpm.MATRIZ_FUNCAO,1)))
),"")
))</f>
        <v>Regiao de Teofilo Otoni</v>
      </c>
      <c r="E61" s="148" t="s">
        <v>9</v>
      </c>
      <c r="F61" s="148" t="s">
        <v>10</v>
      </c>
      <c r="G61" s="148">
        <v>1</v>
      </c>
      <c r="H61" s="148">
        <v>0</v>
      </c>
      <c r="I61" s="216">
        <f>544.18</f>
        <v>544.17999999999995</v>
      </c>
      <c r="J61" s="247">
        <f>VLOOKUP(tabPostos[[#This Row],[CCT DA CATEGORIA]],'RELAÇÃO SINDICATOS'!A:N,11,0)</f>
        <v>45658</v>
      </c>
      <c r="K61" s="148" t="str">
        <f>VLOOKUP(tabPostos[[#This Row],[CCT DA CATEGORIA]],'RELAÇÃO SINDICATOS'!A:N,12,0)</f>
        <v>-</v>
      </c>
      <c r="L61" s="148" t="str">
        <f>VLOOKUP(tabPostos[[#This Row],[CCT DA CATEGORIA]],'RELAÇÃO SINDICATOS'!A:N,13,0)</f>
        <v>-</v>
      </c>
      <c r="M61" s="148" t="str">
        <f>VLOOKUP(tabPostos[[#This Row],[CCT DA CATEGORIA]],'RELAÇÃO SINDICATOS'!A:N,14,0)</f>
        <v>MG004488/2024</v>
      </c>
    </row>
    <row r="62" spans="1:13" x14ac:dyDescent="0.25">
      <c r="A62" s="148" t="str" cm="1">
        <f t="array" ref="A62">_xlfn.XLOOKUP(tabPostos[[#This Row],[Fonte de Recursos]]&amp;tabPostos[[#This Row],[Classificação]],tabLotacao[Lotacao]&amp;tabLotacao[Tipo],tabLotacao[Codigo Lote],"0")&amp;"."&amp;_xlfn.XLOOKUP(tabPostos[[#This Row],[Comarca]],tabComarca[COMARCA],tabComarca[Codigo Comarca],"000")&amp;"."&amp;_xlfn.XLOOKUP(tabPostos[[#This Row],[Função]],tabCargos[Cargo],tabCargos[Codigo Cargo],"00")</f>
        <v>2.143.06</v>
      </c>
      <c r="B62" s="200" t="s">
        <v>62</v>
      </c>
      <c r="C62" s="200" t="s">
        <v>1245</v>
      </c>
      <c r="D62" s="200" t="str" cm="1">
        <f t="array" ref="D62">IF(tabPostos[[#This Row],[Comarca]]="","",
_xlfn.LET(
_xlpm.MATRIZ_COMARCA, ","&amp;TRIM(UPPER(SUBSTITUTE(SUBSTITUTE(SUBSTITUTE(SUBSTITUTE(SUBSTITUTE(SUBSTITUTE(SUBSTITUTE(SUBSTITUTE(SUBSTITUTE(SUBSTITUTE(SUBSTITUTE(SUBSTITUTE(SUBSTITUTE(SUBSTITUTE(SUBSTITUTE(SUBSTITUTE(SUBSTITUTE(SUBSTITUTE(SUBSTITUTE(SUBSTITUTE(SUBSTITUTE(SUBSTITUTE(SUBSTITUTE(SUBSTITUTE(SUBSTITUTE(SUBSTITUTE(tabSindicatos[ABRANGÊNCIA],"á","a"),"ã","a"),"â","a"),"é","e"),"ê","e"),"í","i"),"ó","o"),"õ","o"),"ô","o"),"ú","u"),"ç","c"),"Á","a"),"Ã","a"),"Â","a"),"É","e"),"Ê","e"),"Í","i"),"Ó","o"),"Õ","o"),"Ô","o"),"Ú","u"),"Ç","c"),"/MG","")," e ",", ")," ",""),".","")))&amp;",",
_xlpm.MATRIZ_FUNCAO, ","&amp;TRIM(UPPER(SUBSTITUTE(SUBSTITUTE(SUBSTITUTE(SUBSTITUTE(SUBSTITUTE(SUBSTITUTE(SUBSTITUTE(SUBSTITUTE(SUBSTITUTE(SUBSTITUTE(SUBSTITUTE(SUBSTITUTE(SUBSTITUTE(SUBSTITUTE(SUBSTITUTE(SUBSTITUTE(SUBSTITUTE(SUBSTITUTE(SUBSTITUTE(SUBSTITUTE(SUBSTITUTE(SUBSTITUTE(SUBSTITUTE(SUBSTITUTE(SUBSTITUTE(tabSindicatos[FUNÇÕES],"á","a"),"ã","a"),"â","a"),"é","e"),"ê","e"),"í","i"),"ó","o"),"õ","o"),"ô","o"),"ú","u"),"ç","c"),"Á","a"),"Ã","a"),"Â","a"),"É","e"),"Ê","e"),"Í","i"),"Ó","o"),"Õ","o"),"Ô","o"),"Ú","u"),"Ç","c")," e ",", ")," ",""),".","")))&amp;",",
IFERROR(_xlfn._xlws.FILTER(tabSindicatos[SINDICATOS],
(ISNUMBER(SEARCH(","&amp;TRIM(UPPER(SUBSTITUTE(tabPostos[[#This Row],[Comarca]]," ","")))&amp;",",_xlpm.MATRIZ_COMARCA,1)))*
(ISNUMBER(SEARCH(","&amp;TRIM(SUBSTITUTE(SUBSTITUTE(SUBSTITUTE(UPPER(tabPostos[[#This Row],[Função]])," E ",", ")," ",""),".",""))&amp;",",_xlpm.MATRIZ_FUNCAO,1)))
),"")
))</f>
        <v>Alto Paranaiba</v>
      </c>
      <c r="E62" s="148" t="s">
        <v>9</v>
      </c>
      <c r="F62" s="148" t="s">
        <v>10</v>
      </c>
      <c r="G62" s="148">
        <v>1</v>
      </c>
      <c r="H62" s="148">
        <v>0</v>
      </c>
      <c r="I62" s="216">
        <f>1596.28</f>
        <v>1596.28</v>
      </c>
      <c r="J62" s="247">
        <f>VLOOKUP(tabPostos[[#This Row],[CCT DA CATEGORIA]],'RELAÇÃO SINDICATOS'!A:N,11,0)</f>
        <v>45658</v>
      </c>
      <c r="K62" s="148" t="str">
        <f>VLOOKUP(tabPostos[[#This Row],[CCT DA CATEGORIA]],'RELAÇÃO SINDICATOS'!A:N,12,0)</f>
        <v>-</v>
      </c>
      <c r="L62" s="148" t="str">
        <f>VLOOKUP(tabPostos[[#This Row],[CCT DA CATEGORIA]],'RELAÇÃO SINDICATOS'!A:N,13,0)</f>
        <v>-</v>
      </c>
      <c r="M62" s="148" t="str">
        <f>VLOOKUP(tabPostos[[#This Row],[CCT DA CATEGORIA]],'RELAÇÃO SINDICATOS'!A:N,14,0)</f>
        <v>MG001106/2025</v>
      </c>
    </row>
    <row r="63" spans="1:13" x14ac:dyDescent="0.25">
      <c r="A63" s="148" t="str" cm="1">
        <f t="array" ref="A63">_xlfn.XLOOKUP(tabPostos[[#This Row],[Fonte de Recursos]]&amp;tabPostos[[#This Row],[Classificação]],tabLotacao[Lotacao]&amp;tabLotacao[Tipo],tabLotacao[Codigo Lote],"0")&amp;"."&amp;_xlfn.XLOOKUP(tabPostos[[#This Row],[Comarca]],tabComarca[COMARCA],tabComarca[Codigo Comarca],"000")&amp;"."&amp;_xlfn.XLOOKUP(tabPostos[[#This Row],[Função]],tabCargos[Cargo],tabCargos[Codigo Cargo],"00")</f>
        <v>2.144.06</v>
      </c>
      <c r="B63" s="200" t="s">
        <v>63</v>
      </c>
      <c r="C63" s="200" t="s">
        <v>1245</v>
      </c>
      <c r="D63" s="200" t="str" cm="1">
        <f t="array" ref="D63">IF(tabPostos[[#This Row],[Comarca]]="","",
_xlfn.LET(
_xlpm.MATRIZ_COMARCA, ","&amp;TRIM(UPPER(SUBSTITUTE(SUBSTITUTE(SUBSTITUTE(SUBSTITUTE(SUBSTITUTE(SUBSTITUTE(SUBSTITUTE(SUBSTITUTE(SUBSTITUTE(SUBSTITUTE(SUBSTITUTE(SUBSTITUTE(SUBSTITUTE(SUBSTITUTE(SUBSTITUTE(SUBSTITUTE(SUBSTITUTE(SUBSTITUTE(SUBSTITUTE(SUBSTITUTE(SUBSTITUTE(SUBSTITUTE(SUBSTITUTE(SUBSTITUTE(SUBSTITUTE(SUBSTITUTE(tabSindicatos[ABRANGÊNCIA],"á","a"),"ã","a"),"â","a"),"é","e"),"ê","e"),"í","i"),"ó","o"),"õ","o"),"ô","o"),"ú","u"),"ç","c"),"Á","a"),"Ã","a"),"Â","a"),"É","e"),"Ê","e"),"Í","i"),"Ó","o"),"Õ","o"),"Ô","o"),"Ú","u"),"Ç","c"),"/MG","")," e ",", ")," ",""),".","")))&amp;",",
_xlpm.MATRIZ_FUNCAO, ","&amp;TRIM(UPPER(SUBSTITUTE(SUBSTITUTE(SUBSTITUTE(SUBSTITUTE(SUBSTITUTE(SUBSTITUTE(SUBSTITUTE(SUBSTITUTE(SUBSTITUTE(SUBSTITUTE(SUBSTITUTE(SUBSTITUTE(SUBSTITUTE(SUBSTITUTE(SUBSTITUTE(SUBSTITUTE(SUBSTITUTE(SUBSTITUTE(SUBSTITUTE(SUBSTITUTE(SUBSTITUTE(SUBSTITUTE(SUBSTITUTE(SUBSTITUTE(SUBSTITUTE(tabSindicatos[FUNÇÕES],"á","a"),"ã","a"),"â","a"),"é","e"),"ê","e"),"í","i"),"ó","o"),"õ","o"),"ô","o"),"ú","u"),"ç","c"),"Á","a"),"Ã","a"),"Â","a"),"É","e"),"Ê","e"),"Í","i"),"Ó","o"),"Õ","o"),"Ô","o"),"Ú","u"),"Ç","c")," e ",", ")," ",""),".","")))&amp;",",
IFERROR(_xlfn._xlws.FILTER(tabSindicatos[SINDICATOS],
(ISNUMBER(SEARCH(","&amp;TRIM(UPPER(SUBSTITUTE(tabPostos[[#This Row],[Comarca]]," ","")))&amp;",",_xlpm.MATRIZ_COMARCA,1)))*
(ISNUMBER(SEARCH(","&amp;TRIM(SUBSTITUTE(SUBSTITUTE(SUBSTITUTE(UPPER(tabPostos[[#This Row],[Função]])," E ",", ")," ",""),".",""))&amp;",",_xlpm.MATRIZ_FUNCAO,1)))
),"")
))</f>
        <v>Regiao de Sao Lourenco</v>
      </c>
      <c r="E63" s="148" t="s">
        <v>9</v>
      </c>
      <c r="F63" s="148" t="s">
        <v>10</v>
      </c>
      <c r="G63" s="148">
        <v>1</v>
      </c>
      <c r="H63" s="148">
        <v>0</v>
      </c>
      <c r="I63" s="216">
        <f>1596.28</f>
        <v>1596.28</v>
      </c>
      <c r="J63" s="247">
        <f>VLOOKUP(tabPostos[[#This Row],[CCT DA CATEGORIA]],'RELAÇÃO SINDICATOS'!A:N,11,0)</f>
        <v>45658</v>
      </c>
      <c r="K63" s="148" t="str">
        <f>VLOOKUP(tabPostos[[#This Row],[CCT DA CATEGORIA]],'RELAÇÃO SINDICATOS'!A:N,12,0)</f>
        <v>-</v>
      </c>
      <c r="L63" s="148" t="str">
        <f>VLOOKUP(tabPostos[[#This Row],[CCT DA CATEGORIA]],'RELAÇÃO SINDICATOS'!A:N,13,0)</f>
        <v>-</v>
      </c>
      <c r="M63" s="148" t="str">
        <f>VLOOKUP(tabPostos[[#This Row],[CCT DA CATEGORIA]],'RELAÇÃO SINDICATOS'!A:N,14,0)</f>
        <v>MG000594/2025</v>
      </c>
    </row>
    <row r="64" spans="1:13" x14ac:dyDescent="0.25">
      <c r="A64" s="148" t="str" cm="1">
        <f t="array" ref="A64">_xlfn.XLOOKUP(tabPostos[[#This Row],[Fonte de Recursos]]&amp;tabPostos[[#This Row],[Classificação]],tabLotacao[Lotacao]&amp;tabLotacao[Tipo],tabLotacao[Codigo Lote],"0")&amp;"."&amp;_xlfn.XLOOKUP(tabPostos[[#This Row],[Comarca]],tabComarca[COMARCA],tabComarca[Codigo Comarca],"000")&amp;"."&amp;_xlfn.XLOOKUP(tabPostos[[#This Row],[Função]],tabCargos[Cargo],tabCargos[Codigo Cargo],"00")</f>
        <v>2.879.03</v>
      </c>
      <c r="B64" s="200" t="s">
        <v>64</v>
      </c>
      <c r="C64" s="200" t="s">
        <v>1247</v>
      </c>
      <c r="D64" s="200" t="str" cm="1">
        <f t="array" ref="D64">IF(tabPostos[[#This Row],[Comarca]]="","",
_xlfn.LET(
_xlpm.MATRIZ_COMARCA, ","&amp;TRIM(UPPER(SUBSTITUTE(SUBSTITUTE(SUBSTITUTE(SUBSTITUTE(SUBSTITUTE(SUBSTITUTE(SUBSTITUTE(SUBSTITUTE(SUBSTITUTE(SUBSTITUTE(SUBSTITUTE(SUBSTITUTE(SUBSTITUTE(SUBSTITUTE(SUBSTITUTE(SUBSTITUTE(SUBSTITUTE(SUBSTITUTE(SUBSTITUTE(SUBSTITUTE(SUBSTITUTE(SUBSTITUTE(SUBSTITUTE(SUBSTITUTE(SUBSTITUTE(SUBSTITUTE(tabSindicatos[ABRANGÊNCIA],"á","a"),"ã","a"),"â","a"),"é","e"),"ê","e"),"í","i"),"ó","o"),"õ","o"),"ô","o"),"ú","u"),"ç","c"),"Á","a"),"Ã","a"),"Â","a"),"É","e"),"Ê","e"),"Í","i"),"Ó","o"),"Õ","o"),"Ô","o"),"Ú","u"),"Ç","c"),"/MG","")," e ",", ")," ",""),".","")))&amp;",",
_xlpm.MATRIZ_FUNCAO, ","&amp;TRIM(UPPER(SUBSTITUTE(SUBSTITUTE(SUBSTITUTE(SUBSTITUTE(SUBSTITUTE(SUBSTITUTE(SUBSTITUTE(SUBSTITUTE(SUBSTITUTE(SUBSTITUTE(SUBSTITUTE(SUBSTITUTE(SUBSTITUTE(SUBSTITUTE(SUBSTITUTE(SUBSTITUTE(SUBSTITUTE(SUBSTITUTE(SUBSTITUTE(SUBSTITUTE(SUBSTITUTE(SUBSTITUTE(SUBSTITUTE(SUBSTITUTE(SUBSTITUTE(tabSindicatos[FUNÇÕES],"á","a"),"ã","a"),"â","a"),"é","e"),"ê","e"),"í","i"),"ó","o"),"õ","o"),"ô","o"),"ú","u"),"ç","c"),"Á","a"),"Ã","a"),"Â","a"),"É","e"),"Ê","e"),"Í","i"),"Ó","o"),"Õ","o"),"Ô","o"),"Ú","u"),"Ç","c")," e ",", ")," ",""),".","")))&amp;",",
IFERROR(_xlfn._xlws.FILTER(tabSindicatos[SINDICATOS],
(ISNUMBER(SEARCH(","&amp;TRIM(UPPER(SUBSTITUTE(tabPostos[[#This Row],[Comarca]]," ","")))&amp;",",_xlpm.MATRIZ_COMARCA,1)))*
(ISNUMBER(SEARCH(","&amp;TRIM(SUBSTITUTE(SUBSTITUTE(SUBSTITUTE(UPPER(tabPostos[[#This Row],[Função]])," E ",", ")," ",""),".",""))&amp;",",_xlpm.MATRIZ_FUNCAO,1)))
),"")
))</f>
        <v>Fethemg Interior</v>
      </c>
      <c r="E64" s="148" t="s">
        <v>9</v>
      </c>
      <c r="F64" s="148" t="s">
        <v>10</v>
      </c>
      <c r="G64" s="148">
        <v>1</v>
      </c>
      <c r="H64" s="148">
        <v>0</v>
      </c>
      <c r="I64" s="216">
        <f>544.18</f>
        <v>544.17999999999995</v>
      </c>
      <c r="J64" s="247">
        <f>VLOOKUP(tabPostos[[#This Row],[CCT DA CATEGORIA]],'RELAÇÃO SINDICATOS'!A:N,11,0)</f>
        <v>45658</v>
      </c>
      <c r="K64" s="148" t="str">
        <f>VLOOKUP(tabPostos[[#This Row],[CCT DA CATEGORIA]],'RELAÇÃO SINDICATOS'!A:N,12,0)</f>
        <v>-</v>
      </c>
      <c r="L64" s="148" t="str">
        <f>VLOOKUP(tabPostos[[#This Row],[CCT DA CATEGORIA]],'RELAÇÃO SINDICATOS'!A:N,13,0)</f>
        <v>-</v>
      </c>
      <c r="M64" s="148" t="str">
        <f>VLOOKUP(tabPostos[[#This Row],[CCT DA CATEGORIA]],'RELAÇÃO SINDICATOS'!A:N,14,0)</f>
        <v>MG004482/2024</v>
      </c>
    </row>
    <row r="65" spans="1:13" x14ac:dyDescent="0.25">
      <c r="A65" s="148" t="str" cm="1">
        <f t="array" ref="A65">_xlfn.XLOOKUP(tabPostos[[#This Row],[Fonte de Recursos]]&amp;tabPostos[[#This Row],[Classificação]],tabLotacao[Lotacao]&amp;tabLotacao[Tipo],tabLotacao[Codigo Lote],"0")&amp;"."&amp;_xlfn.XLOOKUP(tabPostos[[#This Row],[Comarca]],tabComarca[COMARCA],tabComarca[Codigo Comarca],"000")&amp;"."&amp;_xlfn.XLOOKUP(tabPostos[[#This Row],[Função]],tabCargos[Cargo],tabCargos[Codigo Cargo],"00")</f>
        <v>2.151.06</v>
      </c>
      <c r="B65" s="200" t="s">
        <v>65</v>
      </c>
      <c r="C65" s="200" t="s">
        <v>1245</v>
      </c>
      <c r="D65" s="200" t="str" cm="1">
        <f t="array" ref="D65">IF(tabPostos[[#This Row],[Comarca]]="","",
_xlfn.LET(
_xlpm.MATRIZ_COMARCA, ","&amp;TRIM(UPPER(SUBSTITUTE(SUBSTITUTE(SUBSTITUTE(SUBSTITUTE(SUBSTITUTE(SUBSTITUTE(SUBSTITUTE(SUBSTITUTE(SUBSTITUTE(SUBSTITUTE(SUBSTITUTE(SUBSTITUTE(SUBSTITUTE(SUBSTITUTE(SUBSTITUTE(SUBSTITUTE(SUBSTITUTE(SUBSTITUTE(SUBSTITUTE(SUBSTITUTE(SUBSTITUTE(SUBSTITUTE(SUBSTITUTE(SUBSTITUTE(SUBSTITUTE(SUBSTITUTE(tabSindicatos[ABRANGÊNCIA],"á","a"),"ã","a"),"â","a"),"é","e"),"ê","e"),"í","i"),"ó","o"),"õ","o"),"ô","o"),"ú","u"),"ç","c"),"Á","a"),"Ã","a"),"Â","a"),"É","e"),"Ê","e"),"Í","i"),"Ó","o"),"Õ","o"),"Ô","o"),"Ú","u"),"Ç","c"),"/MG","")," e ",", ")," ",""),".","")))&amp;",",
_xlpm.MATRIZ_FUNCAO, ","&amp;TRIM(UPPER(SUBSTITUTE(SUBSTITUTE(SUBSTITUTE(SUBSTITUTE(SUBSTITUTE(SUBSTITUTE(SUBSTITUTE(SUBSTITUTE(SUBSTITUTE(SUBSTITUTE(SUBSTITUTE(SUBSTITUTE(SUBSTITUTE(SUBSTITUTE(SUBSTITUTE(SUBSTITUTE(SUBSTITUTE(SUBSTITUTE(SUBSTITUTE(SUBSTITUTE(SUBSTITUTE(SUBSTITUTE(SUBSTITUTE(SUBSTITUTE(SUBSTITUTE(tabSindicatos[FUNÇÕES],"á","a"),"ã","a"),"â","a"),"é","e"),"ê","e"),"í","i"),"ó","o"),"õ","o"),"ô","o"),"ú","u"),"ç","c"),"Á","a"),"Ã","a"),"Â","a"),"É","e"),"Ê","e"),"Í","i"),"Ó","o"),"Õ","o"),"Ô","o"),"Ú","u"),"Ç","c")," e ",", ")," ",""),".","")))&amp;",",
IFERROR(_xlfn._xlws.FILTER(tabSindicatos[SINDICATOS],
(ISNUMBER(SEARCH(","&amp;TRIM(UPPER(SUBSTITUTE(tabPostos[[#This Row],[Comarca]]," ","")))&amp;",",_xlpm.MATRIZ_COMARCA,1)))*
(ISNUMBER(SEARCH(","&amp;TRIM(SUBSTITUTE(SUBSTITUTE(SUBSTITUTE(UPPER(tabPostos[[#This Row],[Função]])," E ",", ")," ",""),".",""))&amp;",",_xlpm.MATRIZ_FUNCAO,1)))
),"")
))</f>
        <v>Fethemg Interior</v>
      </c>
      <c r="E65" s="148" t="s">
        <v>9</v>
      </c>
      <c r="F65" s="148" t="s">
        <v>10</v>
      </c>
      <c r="G65" s="148">
        <v>1</v>
      </c>
      <c r="H65" s="148">
        <v>0</v>
      </c>
      <c r="I65" s="216">
        <f>1596.28</f>
        <v>1596.28</v>
      </c>
      <c r="J65" s="247">
        <f>VLOOKUP(tabPostos[[#This Row],[CCT DA CATEGORIA]],'RELAÇÃO SINDICATOS'!A:N,11,0)</f>
        <v>45658</v>
      </c>
      <c r="K65" s="148" t="str">
        <f>VLOOKUP(tabPostos[[#This Row],[CCT DA CATEGORIA]],'RELAÇÃO SINDICATOS'!A:N,12,0)</f>
        <v>-</v>
      </c>
      <c r="L65" s="148" t="str">
        <f>VLOOKUP(tabPostos[[#This Row],[CCT DA CATEGORIA]],'RELAÇÃO SINDICATOS'!A:N,13,0)</f>
        <v>-</v>
      </c>
      <c r="M65" s="148" t="str">
        <f>VLOOKUP(tabPostos[[#This Row],[CCT DA CATEGORIA]],'RELAÇÃO SINDICATOS'!A:N,14,0)</f>
        <v>MG004482/2024</v>
      </c>
    </row>
    <row r="66" spans="1:13" x14ac:dyDescent="0.25">
      <c r="A66" s="148" t="str" cm="1">
        <f t="array" ref="A66">_xlfn.XLOOKUP(tabPostos[[#This Row],[Fonte de Recursos]]&amp;tabPostos[[#This Row],[Classificação]],tabLotacao[Lotacao]&amp;tabLotacao[Tipo],tabLotacao[Codigo Lote],"0")&amp;"."&amp;_xlfn.XLOOKUP(tabPostos[[#This Row],[Comarca]],tabComarca[COMARCA],tabComarca[Codigo Comarca],"000")&amp;"."&amp;_xlfn.XLOOKUP(tabPostos[[#This Row],[Função]],tabCargos[Cargo],tabCargos[Codigo Cargo],"00")</f>
        <v>2.153.04</v>
      </c>
      <c r="B66" s="200" t="s">
        <v>66</v>
      </c>
      <c r="C66" s="200" t="s">
        <v>1244</v>
      </c>
      <c r="D66" s="200" t="str" cm="1">
        <f t="array" ref="D66">IF(tabPostos[[#This Row],[Comarca]]="","",
_xlfn.LET(
_xlpm.MATRIZ_COMARCA, ","&amp;TRIM(UPPER(SUBSTITUTE(SUBSTITUTE(SUBSTITUTE(SUBSTITUTE(SUBSTITUTE(SUBSTITUTE(SUBSTITUTE(SUBSTITUTE(SUBSTITUTE(SUBSTITUTE(SUBSTITUTE(SUBSTITUTE(SUBSTITUTE(SUBSTITUTE(SUBSTITUTE(SUBSTITUTE(SUBSTITUTE(SUBSTITUTE(SUBSTITUTE(SUBSTITUTE(SUBSTITUTE(SUBSTITUTE(SUBSTITUTE(SUBSTITUTE(SUBSTITUTE(SUBSTITUTE(tabSindicatos[ABRANGÊNCIA],"á","a"),"ã","a"),"â","a"),"é","e"),"ê","e"),"í","i"),"ó","o"),"õ","o"),"ô","o"),"ú","u"),"ç","c"),"Á","a"),"Ã","a"),"Â","a"),"É","e"),"Ê","e"),"Í","i"),"Ó","o"),"Õ","o"),"Ô","o"),"Ú","u"),"Ç","c"),"/MG","")," e ",", ")," ",""),".","")))&amp;",",
_xlpm.MATRIZ_FUNCAO, ","&amp;TRIM(UPPER(SUBSTITUTE(SUBSTITUTE(SUBSTITUTE(SUBSTITUTE(SUBSTITUTE(SUBSTITUTE(SUBSTITUTE(SUBSTITUTE(SUBSTITUTE(SUBSTITUTE(SUBSTITUTE(SUBSTITUTE(SUBSTITUTE(SUBSTITUTE(SUBSTITUTE(SUBSTITUTE(SUBSTITUTE(SUBSTITUTE(SUBSTITUTE(SUBSTITUTE(SUBSTITUTE(SUBSTITUTE(SUBSTITUTE(SUBSTITUTE(SUBSTITUTE(tabSindicatos[FUNÇÕES],"á","a"),"ã","a"),"â","a"),"é","e"),"ê","e"),"í","i"),"ó","o"),"õ","o"),"ô","o"),"ú","u"),"ç","c"),"Á","a"),"Ã","a"),"Â","a"),"É","e"),"Ê","e"),"Í","i"),"Ó","o"),"Õ","o"),"Ô","o"),"Ú","u"),"Ç","c")," e ",", ")," ",""),".","")))&amp;",",
IFERROR(_xlfn._xlws.FILTER(tabSindicatos[SINDICATOS],
(ISNUMBER(SEARCH(","&amp;TRIM(UPPER(SUBSTITUTE(tabPostos[[#This Row],[Comarca]]," ","")))&amp;",",_xlpm.MATRIZ_COMARCA,1)))*
(ISNUMBER(SEARCH(","&amp;TRIM(SUBSTITUTE(SUBSTITUTE(SUBSTITUTE(UPPER(tabPostos[[#This Row],[Função]])," E ",", ")," ",""),".",""))&amp;",",_xlpm.MATRIZ_FUNCAO,1)))
),"")
))</f>
        <v>Cataguases</v>
      </c>
      <c r="E66" s="148" t="s">
        <v>9</v>
      </c>
      <c r="F66" s="148" t="s">
        <v>10</v>
      </c>
      <c r="G66" s="148">
        <v>2</v>
      </c>
      <c r="H66" s="148">
        <v>0</v>
      </c>
      <c r="I66" s="216">
        <f>798.14</f>
        <v>798.14</v>
      </c>
      <c r="J66" s="247">
        <f>VLOOKUP(tabPostos[[#This Row],[CCT DA CATEGORIA]],'RELAÇÃO SINDICATOS'!A:N,11,0)</f>
        <v>45658</v>
      </c>
      <c r="K66" s="148" t="str">
        <f>VLOOKUP(tabPostos[[#This Row],[CCT DA CATEGORIA]],'RELAÇÃO SINDICATOS'!A:N,12,0)</f>
        <v>-</v>
      </c>
      <c r="L66" s="148" t="str">
        <f>VLOOKUP(tabPostos[[#This Row],[CCT DA CATEGORIA]],'RELAÇÃO SINDICATOS'!A:N,13,0)</f>
        <v>-</v>
      </c>
      <c r="M66" s="148" t="str">
        <f>VLOOKUP(tabPostos[[#This Row],[CCT DA CATEGORIA]],'RELAÇÃO SINDICATOS'!A:N,14,0)</f>
        <v>MG000299/2025</v>
      </c>
    </row>
    <row r="67" spans="1:13" x14ac:dyDescent="0.25">
      <c r="A67" s="148" t="str" cm="1">
        <f t="array" ref="A67">_xlfn.XLOOKUP(tabPostos[[#This Row],[Fonte de Recursos]]&amp;tabPostos[[#This Row],[Classificação]],tabLotacao[Lotacao]&amp;tabLotacao[Tipo],tabLotacao[Codigo Lote],"0")&amp;"."&amp;_xlfn.XLOOKUP(tabPostos[[#This Row],[Comarca]],tabComarca[COMARCA],tabComarca[Codigo Comarca],"000")&amp;"."&amp;_xlfn.XLOOKUP(tabPostos[[#This Row],[Função]],tabCargos[Cargo],tabCargos[Codigo Cargo],"00")</f>
        <v>2.155.04</v>
      </c>
      <c r="B67" s="200" t="s">
        <v>67</v>
      </c>
      <c r="C67" s="200" t="s">
        <v>1244</v>
      </c>
      <c r="D67" s="200" t="str" cm="1">
        <f t="array" ref="D67">IF(tabPostos[[#This Row],[Comarca]]="","",
_xlfn.LET(
_xlpm.MATRIZ_COMARCA, ","&amp;TRIM(UPPER(SUBSTITUTE(SUBSTITUTE(SUBSTITUTE(SUBSTITUTE(SUBSTITUTE(SUBSTITUTE(SUBSTITUTE(SUBSTITUTE(SUBSTITUTE(SUBSTITUTE(SUBSTITUTE(SUBSTITUTE(SUBSTITUTE(SUBSTITUTE(SUBSTITUTE(SUBSTITUTE(SUBSTITUTE(SUBSTITUTE(SUBSTITUTE(SUBSTITUTE(SUBSTITUTE(SUBSTITUTE(SUBSTITUTE(SUBSTITUTE(SUBSTITUTE(SUBSTITUTE(tabSindicatos[ABRANGÊNCIA],"á","a"),"ã","a"),"â","a"),"é","e"),"ê","e"),"í","i"),"ó","o"),"õ","o"),"ô","o"),"ú","u"),"ç","c"),"Á","a"),"Ã","a"),"Â","a"),"É","e"),"Ê","e"),"Í","i"),"Ó","o"),"Õ","o"),"Ô","o"),"Ú","u"),"Ç","c"),"/MG","")," e ",", ")," ",""),".","")))&amp;",",
_xlpm.MATRIZ_FUNCAO, ","&amp;TRIM(UPPER(SUBSTITUTE(SUBSTITUTE(SUBSTITUTE(SUBSTITUTE(SUBSTITUTE(SUBSTITUTE(SUBSTITUTE(SUBSTITUTE(SUBSTITUTE(SUBSTITUTE(SUBSTITUTE(SUBSTITUTE(SUBSTITUTE(SUBSTITUTE(SUBSTITUTE(SUBSTITUTE(SUBSTITUTE(SUBSTITUTE(SUBSTITUTE(SUBSTITUTE(SUBSTITUTE(SUBSTITUTE(SUBSTITUTE(SUBSTITUTE(SUBSTITUTE(tabSindicatos[FUNÇÕES],"á","a"),"ã","a"),"â","a"),"é","e"),"ê","e"),"í","i"),"ó","o"),"õ","o"),"ô","o"),"ú","u"),"ç","c"),"Á","a"),"Ã","a"),"Â","a"),"É","e"),"Ê","e"),"Í","i"),"Ó","o"),"Õ","o"),"Ô","o"),"Ú","u"),"Ç","c")," e ",", ")," ",""),".","")))&amp;",",
IFERROR(_xlfn._xlws.FILTER(tabSindicatos[SINDICATOS],
(ISNUMBER(SEARCH(","&amp;TRIM(UPPER(SUBSTITUTE(tabPostos[[#This Row],[Comarca]]," ","")))&amp;",",_xlpm.MATRIZ_COMARCA,1)))*
(ISNUMBER(SEARCH(","&amp;TRIM(SUBSTITUTE(SUBSTITUTE(SUBSTITUTE(UPPER(tabPostos[[#This Row],[Função]])," E ",", ")," ",""),".",""))&amp;",",_xlpm.MATRIZ_FUNCAO,1)))
),"")
))</f>
        <v>Caxambu</v>
      </c>
      <c r="E67" s="148" t="s">
        <v>9</v>
      </c>
      <c r="F67" s="148" t="s">
        <v>10</v>
      </c>
      <c r="G67" s="148">
        <v>1</v>
      </c>
      <c r="H67" s="148">
        <v>0</v>
      </c>
      <c r="I67" s="216">
        <f>798.14</f>
        <v>798.14</v>
      </c>
      <c r="J67" s="247">
        <f>VLOOKUP(tabPostos[[#This Row],[CCT DA CATEGORIA]],'RELAÇÃO SINDICATOS'!A:N,11,0)</f>
        <v>45658</v>
      </c>
      <c r="K67" s="148" t="str">
        <f>VLOOKUP(tabPostos[[#This Row],[CCT DA CATEGORIA]],'RELAÇÃO SINDICATOS'!A:N,12,0)</f>
        <v>-</v>
      </c>
      <c r="L67" s="148" t="str">
        <f>VLOOKUP(tabPostos[[#This Row],[CCT DA CATEGORIA]],'RELAÇÃO SINDICATOS'!A:N,13,0)</f>
        <v>-</v>
      </c>
      <c r="M67" s="148" t="str">
        <f>VLOOKUP(tabPostos[[#This Row],[CCT DA CATEGORIA]],'RELAÇÃO SINDICATOS'!A:N,14,0)</f>
        <v>MG000360/2025</v>
      </c>
    </row>
    <row r="68" spans="1:13" x14ac:dyDescent="0.25">
      <c r="A68" s="148" t="str" cm="1">
        <f t="array" ref="A68">_xlfn.XLOOKUP(tabPostos[[#This Row],[Fonte de Recursos]]&amp;tabPostos[[#This Row],[Classificação]],tabLotacao[Lotacao]&amp;tabLotacao[Tipo],tabLotacao[Codigo Lote],"0")&amp;"."&amp;_xlfn.XLOOKUP(tabPostos[[#This Row],[Comarca]],tabComarca[COMARCA],tabComarca[Codigo Comarca],"000")&amp;"."&amp;_xlfn.XLOOKUP(tabPostos[[#This Row],[Função]],tabCargos[Cargo],tabCargos[Codigo Cargo],"00")</f>
        <v>2.166.03</v>
      </c>
      <c r="B68" s="200" t="s">
        <v>68</v>
      </c>
      <c r="C68" s="200" t="s">
        <v>1247</v>
      </c>
      <c r="D68" s="200" t="str" cm="1">
        <f t="array" ref="D68">IF(tabPostos[[#This Row],[Comarca]]="","",
_xlfn.LET(
_xlpm.MATRIZ_COMARCA, ","&amp;TRIM(UPPER(SUBSTITUTE(SUBSTITUTE(SUBSTITUTE(SUBSTITUTE(SUBSTITUTE(SUBSTITUTE(SUBSTITUTE(SUBSTITUTE(SUBSTITUTE(SUBSTITUTE(SUBSTITUTE(SUBSTITUTE(SUBSTITUTE(SUBSTITUTE(SUBSTITUTE(SUBSTITUTE(SUBSTITUTE(SUBSTITUTE(SUBSTITUTE(SUBSTITUTE(SUBSTITUTE(SUBSTITUTE(SUBSTITUTE(SUBSTITUTE(SUBSTITUTE(SUBSTITUTE(tabSindicatos[ABRANGÊNCIA],"á","a"),"ã","a"),"â","a"),"é","e"),"ê","e"),"í","i"),"ó","o"),"õ","o"),"ô","o"),"ú","u"),"ç","c"),"Á","a"),"Ã","a"),"Â","a"),"É","e"),"Ê","e"),"Í","i"),"Ó","o"),"Õ","o"),"Ô","o"),"Ú","u"),"Ç","c"),"/MG","")," e ",", ")," ",""),".","")))&amp;",",
_xlpm.MATRIZ_FUNCAO, ","&amp;TRIM(UPPER(SUBSTITUTE(SUBSTITUTE(SUBSTITUTE(SUBSTITUTE(SUBSTITUTE(SUBSTITUTE(SUBSTITUTE(SUBSTITUTE(SUBSTITUTE(SUBSTITUTE(SUBSTITUTE(SUBSTITUTE(SUBSTITUTE(SUBSTITUTE(SUBSTITUTE(SUBSTITUTE(SUBSTITUTE(SUBSTITUTE(SUBSTITUTE(SUBSTITUTE(SUBSTITUTE(SUBSTITUTE(SUBSTITUTE(SUBSTITUTE(SUBSTITUTE(tabSindicatos[FUNÇÕES],"á","a"),"ã","a"),"â","a"),"é","e"),"ê","e"),"í","i"),"ó","o"),"õ","o"),"ô","o"),"ú","u"),"ç","c"),"Á","a"),"Ã","a"),"Â","a"),"É","e"),"Ê","e"),"Í","i"),"Ó","o"),"Õ","o"),"Ô","o"),"Ú","u"),"Ç","c")," e ",", ")," ",""),".","")))&amp;",",
IFERROR(_xlfn._xlws.FILTER(tabSindicatos[SINDICATOS],
(ISNUMBER(SEARCH(","&amp;TRIM(UPPER(SUBSTITUTE(tabPostos[[#This Row],[Comarca]]," ","")))&amp;",",_xlpm.MATRIZ_COMARCA,1)))*
(ISNUMBER(SEARCH(","&amp;TRIM(SUBSTITUTE(SUBSTITUTE(SUBSTITUTE(UPPER(tabPostos[[#This Row],[Função]])," E ",", ")," ",""),".",""))&amp;",",_xlpm.MATRIZ_FUNCAO,1)))
),"")
))</f>
        <v>Fethemg Interior</v>
      </c>
      <c r="E68" s="148" t="s">
        <v>9</v>
      </c>
      <c r="F68" s="148" t="s">
        <v>10</v>
      </c>
      <c r="G68" s="148">
        <v>1</v>
      </c>
      <c r="H68" s="148">
        <v>0</v>
      </c>
      <c r="I68" s="216">
        <f>544.18</f>
        <v>544.17999999999995</v>
      </c>
      <c r="J68" s="247">
        <f>VLOOKUP(tabPostos[[#This Row],[CCT DA CATEGORIA]],'RELAÇÃO SINDICATOS'!A:N,11,0)</f>
        <v>45658</v>
      </c>
      <c r="K68" s="148" t="str">
        <f>VLOOKUP(tabPostos[[#This Row],[CCT DA CATEGORIA]],'RELAÇÃO SINDICATOS'!A:N,12,0)</f>
        <v>-</v>
      </c>
      <c r="L68" s="148" t="str">
        <f>VLOOKUP(tabPostos[[#This Row],[CCT DA CATEGORIA]],'RELAÇÃO SINDICATOS'!A:N,13,0)</f>
        <v>-</v>
      </c>
      <c r="M68" s="148" t="str">
        <f>VLOOKUP(tabPostos[[#This Row],[CCT DA CATEGORIA]],'RELAÇÃO SINDICATOS'!A:N,14,0)</f>
        <v>MG004482/2024</v>
      </c>
    </row>
    <row r="69" spans="1:13" x14ac:dyDescent="0.25">
      <c r="A69" s="148" t="str" cm="1">
        <f t="array" ref="A69">_xlfn.XLOOKUP(tabPostos[[#This Row],[Fonte de Recursos]]&amp;tabPostos[[#This Row],[Classificação]],tabLotacao[Lotacao]&amp;tabLotacao[Tipo],tabLotacao[Codigo Lote],"0")&amp;"."&amp;_xlfn.XLOOKUP(tabPostos[[#This Row],[Comarca]],tabComarca[COMARCA],tabComarca[Codigo Comarca],"000")&amp;"."&amp;_xlfn.XLOOKUP(tabPostos[[#This Row],[Função]],tabCargos[Cargo],tabCargos[Codigo Cargo],"00")</f>
        <v>2.172.03</v>
      </c>
      <c r="B69" s="200" t="s">
        <v>69</v>
      </c>
      <c r="C69" s="200" t="s">
        <v>1247</v>
      </c>
      <c r="D69" s="200" t="str" cm="1">
        <f t="array" ref="D69">IF(tabPostos[[#This Row],[Comarca]]="","",
_xlfn.LET(
_xlpm.MATRIZ_COMARCA, ","&amp;TRIM(UPPER(SUBSTITUTE(SUBSTITUTE(SUBSTITUTE(SUBSTITUTE(SUBSTITUTE(SUBSTITUTE(SUBSTITUTE(SUBSTITUTE(SUBSTITUTE(SUBSTITUTE(SUBSTITUTE(SUBSTITUTE(SUBSTITUTE(SUBSTITUTE(SUBSTITUTE(SUBSTITUTE(SUBSTITUTE(SUBSTITUTE(SUBSTITUTE(SUBSTITUTE(SUBSTITUTE(SUBSTITUTE(SUBSTITUTE(SUBSTITUTE(SUBSTITUTE(SUBSTITUTE(tabSindicatos[ABRANGÊNCIA],"á","a"),"ã","a"),"â","a"),"é","e"),"ê","e"),"í","i"),"ó","o"),"õ","o"),"ô","o"),"ú","u"),"ç","c"),"Á","a"),"Ã","a"),"Â","a"),"É","e"),"Ê","e"),"Í","i"),"Ó","o"),"Õ","o"),"Ô","o"),"Ú","u"),"Ç","c"),"/MG","")," e ",", ")," ",""),".","")))&amp;",",
_xlpm.MATRIZ_FUNCAO, ","&amp;TRIM(UPPER(SUBSTITUTE(SUBSTITUTE(SUBSTITUTE(SUBSTITUTE(SUBSTITUTE(SUBSTITUTE(SUBSTITUTE(SUBSTITUTE(SUBSTITUTE(SUBSTITUTE(SUBSTITUTE(SUBSTITUTE(SUBSTITUTE(SUBSTITUTE(SUBSTITUTE(SUBSTITUTE(SUBSTITUTE(SUBSTITUTE(SUBSTITUTE(SUBSTITUTE(SUBSTITUTE(SUBSTITUTE(SUBSTITUTE(SUBSTITUTE(SUBSTITUTE(tabSindicatos[FUNÇÕES],"á","a"),"ã","a"),"â","a"),"é","e"),"ê","e"),"í","i"),"ó","o"),"õ","o"),"ô","o"),"ú","u"),"ç","c"),"Á","a"),"Ã","a"),"Â","a"),"É","e"),"Ê","e"),"Í","i"),"Ó","o"),"Õ","o"),"Ô","o"),"Ú","u"),"Ç","c")," e ",", ")," ",""),".","")))&amp;",",
IFERROR(_xlfn._xlws.FILTER(tabSindicatos[SINDICATOS],
(ISNUMBER(SEARCH(","&amp;TRIM(UPPER(SUBSTITUTE(tabPostos[[#This Row],[Comarca]]," ","")))&amp;",",_xlpm.MATRIZ_COMARCA,1)))*
(ISNUMBER(SEARCH(","&amp;TRIM(SUBSTITUTE(SUBSTITUTE(SUBSTITUTE(UPPER(tabPostos[[#This Row],[Função]])," E ",", ")," ",""),".",""))&amp;",",_xlpm.MATRIZ_FUNCAO,1)))
),"")
))</f>
        <v>Regiao Uberaba</v>
      </c>
      <c r="E69" s="148" t="s">
        <v>9</v>
      </c>
      <c r="F69" s="148" t="s">
        <v>10</v>
      </c>
      <c r="G69" s="148">
        <v>1</v>
      </c>
      <c r="H69" s="148">
        <v>0</v>
      </c>
      <c r="I69" s="216">
        <f>544.18</f>
        <v>544.17999999999995</v>
      </c>
      <c r="J69" s="247">
        <f>VLOOKUP(tabPostos[[#This Row],[CCT DA CATEGORIA]],'RELAÇÃO SINDICATOS'!A:N,11,0)</f>
        <v>45658</v>
      </c>
      <c r="K69" s="148" t="str">
        <f>VLOOKUP(tabPostos[[#This Row],[CCT DA CATEGORIA]],'RELAÇÃO SINDICATOS'!A:N,12,0)</f>
        <v>-</v>
      </c>
      <c r="L69" s="148" t="str">
        <f>VLOOKUP(tabPostos[[#This Row],[CCT DA CATEGORIA]],'RELAÇÃO SINDICATOS'!A:N,13,0)</f>
        <v>-</v>
      </c>
      <c r="M69" s="148" t="str">
        <f>VLOOKUP(tabPostos[[#This Row],[CCT DA CATEGORIA]],'RELAÇÃO SINDICATOS'!A:N,14,0)</f>
        <v>MG000478/2025</v>
      </c>
    </row>
    <row r="70" spans="1:13" x14ac:dyDescent="0.25">
      <c r="A70" s="148" t="str" cm="1">
        <f t="array" ref="A70">_xlfn.XLOOKUP(tabPostos[[#This Row],[Fonte de Recursos]]&amp;tabPostos[[#This Row],[Classificação]],tabLotacao[Lotacao]&amp;tabLotacao[Tipo],tabLotacao[Codigo Lote],"0")&amp;"."&amp;_xlfn.XLOOKUP(tabPostos[[#This Row],[Comarca]],tabComarca[COMARCA],tabComarca[Codigo Comarca],"000")&amp;"."&amp;_xlfn.XLOOKUP(tabPostos[[#This Row],[Função]],tabCargos[Cargo],tabCargos[Codigo Cargo],"00")</f>
        <v>2.175.04</v>
      </c>
      <c r="B70" s="200" t="s">
        <v>70</v>
      </c>
      <c r="C70" s="200" t="s">
        <v>1244</v>
      </c>
      <c r="D70" s="200" t="str" cm="1">
        <f t="array" ref="D70">IF(tabPostos[[#This Row],[Comarca]]="","",
_xlfn.LET(
_xlpm.MATRIZ_COMARCA, ","&amp;TRIM(UPPER(SUBSTITUTE(SUBSTITUTE(SUBSTITUTE(SUBSTITUTE(SUBSTITUTE(SUBSTITUTE(SUBSTITUTE(SUBSTITUTE(SUBSTITUTE(SUBSTITUTE(SUBSTITUTE(SUBSTITUTE(SUBSTITUTE(SUBSTITUTE(SUBSTITUTE(SUBSTITUTE(SUBSTITUTE(SUBSTITUTE(SUBSTITUTE(SUBSTITUTE(SUBSTITUTE(SUBSTITUTE(SUBSTITUTE(SUBSTITUTE(SUBSTITUTE(SUBSTITUTE(tabSindicatos[ABRANGÊNCIA],"á","a"),"ã","a"),"â","a"),"é","e"),"ê","e"),"í","i"),"ó","o"),"õ","o"),"ô","o"),"ú","u"),"ç","c"),"Á","a"),"Ã","a"),"Â","a"),"É","e"),"Ê","e"),"Í","i"),"Ó","o"),"Õ","o"),"Ô","o"),"Ú","u"),"Ç","c"),"/MG","")," e ",", ")," ",""),".","")))&amp;",",
_xlpm.MATRIZ_FUNCAO, ","&amp;TRIM(UPPER(SUBSTITUTE(SUBSTITUTE(SUBSTITUTE(SUBSTITUTE(SUBSTITUTE(SUBSTITUTE(SUBSTITUTE(SUBSTITUTE(SUBSTITUTE(SUBSTITUTE(SUBSTITUTE(SUBSTITUTE(SUBSTITUTE(SUBSTITUTE(SUBSTITUTE(SUBSTITUTE(SUBSTITUTE(SUBSTITUTE(SUBSTITUTE(SUBSTITUTE(SUBSTITUTE(SUBSTITUTE(SUBSTITUTE(SUBSTITUTE(SUBSTITUTE(tabSindicatos[FUNÇÕES],"á","a"),"ã","a"),"â","a"),"é","e"),"ê","e"),"í","i"),"ó","o"),"õ","o"),"ô","o"),"ú","u"),"ç","c"),"Á","a"),"Ã","a"),"Â","a"),"É","e"),"Ê","e"),"Í","i"),"Ó","o"),"Õ","o"),"Ô","o"),"Ú","u"),"Ç","c")," e ",", ")," ",""),".","")))&amp;",",
IFERROR(_xlfn._xlws.FILTER(tabSindicatos[SINDICATOS],
(ISNUMBER(SEARCH(","&amp;TRIM(UPPER(SUBSTITUTE(tabPostos[[#This Row],[Comarca]]," ","")))&amp;",",_xlpm.MATRIZ_COMARCA,1)))*
(ISNUMBER(SEARCH(","&amp;TRIM(SUBSTITUTE(SUBSTITUTE(SUBSTITUTE(UPPER(tabPostos[[#This Row],[Função]])," E ",", ")," ",""),".",""))&amp;",",_xlpm.MATRIZ_FUNCAO,1)))
),"")
))</f>
        <v>Curvelo</v>
      </c>
      <c r="E70" s="148" t="s">
        <v>9</v>
      </c>
      <c r="F70" s="148" t="s">
        <v>10</v>
      </c>
      <c r="G70" s="148">
        <v>1</v>
      </c>
      <c r="H70" s="148">
        <v>0</v>
      </c>
      <c r="I70" s="216">
        <f>798.14</f>
        <v>798.14</v>
      </c>
      <c r="J70" s="247">
        <f>VLOOKUP(tabPostos[[#This Row],[CCT DA CATEGORIA]],'RELAÇÃO SINDICATOS'!A:N,11,0)</f>
        <v>45658</v>
      </c>
      <c r="K70" s="148" t="str">
        <f>VLOOKUP(tabPostos[[#This Row],[CCT DA CATEGORIA]],'RELAÇÃO SINDICATOS'!A:N,12,0)</f>
        <v>-</v>
      </c>
      <c r="L70" s="148" t="str">
        <f>VLOOKUP(tabPostos[[#This Row],[CCT DA CATEGORIA]],'RELAÇÃO SINDICATOS'!A:N,13,0)</f>
        <v>-</v>
      </c>
      <c r="M70" s="148" t="str">
        <f>VLOOKUP(tabPostos[[#This Row],[CCT DA CATEGORIA]],'RELAÇÃO SINDICATOS'!A:N,14,0)</f>
        <v>MG0000423/2025</v>
      </c>
    </row>
    <row r="71" spans="1:13" x14ac:dyDescent="0.25">
      <c r="A71" s="148" t="str" cm="1">
        <f t="array" ref="A71">_xlfn.XLOOKUP(tabPostos[[#This Row],[Fonte de Recursos]]&amp;tabPostos[[#This Row],[Classificação]],tabLotacao[Lotacao]&amp;tabLotacao[Tipo],tabLotacao[Codigo Lote],"0")&amp;"."&amp;_xlfn.XLOOKUP(tabPostos[[#This Row],[Comarca]],tabComarca[COMARCA],tabComarca[Codigo Comarca],"000")&amp;"."&amp;_xlfn.XLOOKUP(tabPostos[[#This Row],[Função]],tabCargos[Cargo],tabCargos[Codigo Cargo],"00")</f>
        <v>2.180.06</v>
      </c>
      <c r="B71" s="200" t="s">
        <v>71</v>
      </c>
      <c r="C71" s="200" t="s">
        <v>1245</v>
      </c>
      <c r="D71" s="200" t="str" cm="1">
        <f t="array" ref="D71">IF(tabPostos[[#This Row],[Comarca]]="","",
_xlfn.LET(
_xlpm.MATRIZ_COMARCA, ","&amp;TRIM(UPPER(SUBSTITUTE(SUBSTITUTE(SUBSTITUTE(SUBSTITUTE(SUBSTITUTE(SUBSTITUTE(SUBSTITUTE(SUBSTITUTE(SUBSTITUTE(SUBSTITUTE(SUBSTITUTE(SUBSTITUTE(SUBSTITUTE(SUBSTITUTE(SUBSTITUTE(SUBSTITUTE(SUBSTITUTE(SUBSTITUTE(SUBSTITUTE(SUBSTITUTE(SUBSTITUTE(SUBSTITUTE(SUBSTITUTE(SUBSTITUTE(SUBSTITUTE(SUBSTITUTE(tabSindicatos[ABRANGÊNCIA],"á","a"),"ã","a"),"â","a"),"é","e"),"ê","e"),"í","i"),"ó","o"),"õ","o"),"ô","o"),"ú","u"),"ç","c"),"Á","a"),"Ã","a"),"Â","a"),"É","e"),"Ê","e"),"Í","i"),"Ó","o"),"Õ","o"),"Ô","o"),"Ú","u"),"Ç","c"),"/MG","")," e ",", ")," ",""),".","")))&amp;",",
_xlpm.MATRIZ_FUNCAO, ","&amp;TRIM(UPPER(SUBSTITUTE(SUBSTITUTE(SUBSTITUTE(SUBSTITUTE(SUBSTITUTE(SUBSTITUTE(SUBSTITUTE(SUBSTITUTE(SUBSTITUTE(SUBSTITUTE(SUBSTITUTE(SUBSTITUTE(SUBSTITUTE(SUBSTITUTE(SUBSTITUTE(SUBSTITUTE(SUBSTITUTE(SUBSTITUTE(SUBSTITUTE(SUBSTITUTE(SUBSTITUTE(SUBSTITUTE(SUBSTITUTE(SUBSTITUTE(SUBSTITUTE(tabSindicatos[FUNÇÕES],"á","a"),"ã","a"),"â","a"),"é","e"),"ê","e"),"í","i"),"ó","o"),"õ","o"),"ô","o"),"ú","u"),"ç","c"),"Á","a"),"Ã","a"),"Â","a"),"É","e"),"Ê","e"),"Í","i"),"Ó","o"),"Õ","o"),"Ô","o"),"Ú","u"),"Ç","c")," e ",", ")," ",""),".","")))&amp;",",
IFERROR(_xlfn._xlws.FILTER(tabSindicatos[SINDICATOS],
(ISNUMBER(SEARCH(","&amp;TRIM(UPPER(SUBSTITUTE(tabPostos[[#This Row],[Comarca]]," ","")))&amp;",",_xlpm.MATRIZ_COMARCA,1)))*
(ISNUMBER(SEARCH(","&amp;TRIM(SUBSTITUTE(SUBSTITUTE(SUBSTITUTE(UPPER(tabPostos[[#This Row],[Função]])," E ",", ")," ",""),".",""))&amp;",",_xlpm.MATRIZ_FUNCAO,1)))
),"")
))</f>
        <v>Regiao de Ouro Preto</v>
      </c>
      <c r="E71" s="148" t="s">
        <v>9</v>
      </c>
      <c r="F71" s="148" t="s">
        <v>10</v>
      </c>
      <c r="G71" s="148">
        <v>1</v>
      </c>
      <c r="H71" s="148">
        <v>0</v>
      </c>
      <c r="I71" s="216">
        <f>1596.28</f>
        <v>1596.28</v>
      </c>
      <c r="J71" s="247">
        <f>VLOOKUP(tabPostos[[#This Row],[CCT DA CATEGORIA]],'RELAÇÃO SINDICATOS'!A:N,11,0)</f>
        <v>45658</v>
      </c>
      <c r="K71" s="148" t="str">
        <f>VLOOKUP(tabPostos[[#This Row],[CCT DA CATEGORIA]],'RELAÇÃO SINDICATOS'!A:N,12,0)</f>
        <v>-</v>
      </c>
      <c r="L71" s="148" t="str">
        <f>VLOOKUP(tabPostos[[#This Row],[CCT DA CATEGORIA]],'RELAÇÃO SINDICATOS'!A:N,13,0)</f>
        <v>-</v>
      </c>
      <c r="M71" s="148" t="str">
        <f>VLOOKUP(tabPostos[[#This Row],[CCT DA CATEGORIA]],'RELAÇÃO SINDICATOS'!A:N,14,0)</f>
        <v>MG000212/2025</v>
      </c>
    </row>
    <row r="72" spans="1:13" x14ac:dyDescent="0.25">
      <c r="A72" s="148" t="str" cm="1">
        <f t="array" ref="A72">_xlfn.XLOOKUP(tabPostos[[#This Row],[Fonte de Recursos]]&amp;tabPostos[[#This Row],[Classificação]],tabLotacao[Lotacao]&amp;tabLotacao[Tipo],tabLotacao[Codigo Lote],"0")&amp;"."&amp;_xlfn.XLOOKUP(tabPostos[[#This Row],[Comarca]],tabComarca[COMARCA],tabComarca[Codigo Comarca],"000")&amp;"."&amp;_xlfn.XLOOKUP(tabPostos[[#This Row],[Função]],tabCargos[Cargo],tabCargos[Codigo Cargo],"00")</f>
        <v>2.182.03</v>
      </c>
      <c r="B72" s="200" t="s">
        <v>72</v>
      </c>
      <c r="C72" s="200" t="s">
        <v>1247</v>
      </c>
      <c r="D72" s="200" t="str" cm="1">
        <f t="array" ref="D72">IF(tabPostos[[#This Row],[Comarca]]="","",
_xlfn.LET(
_xlpm.MATRIZ_COMARCA, ","&amp;TRIM(UPPER(SUBSTITUTE(SUBSTITUTE(SUBSTITUTE(SUBSTITUTE(SUBSTITUTE(SUBSTITUTE(SUBSTITUTE(SUBSTITUTE(SUBSTITUTE(SUBSTITUTE(SUBSTITUTE(SUBSTITUTE(SUBSTITUTE(SUBSTITUTE(SUBSTITUTE(SUBSTITUTE(SUBSTITUTE(SUBSTITUTE(SUBSTITUTE(SUBSTITUTE(SUBSTITUTE(SUBSTITUTE(SUBSTITUTE(SUBSTITUTE(SUBSTITUTE(SUBSTITUTE(tabSindicatos[ABRANGÊNCIA],"á","a"),"ã","a"),"â","a"),"é","e"),"ê","e"),"í","i"),"ó","o"),"õ","o"),"ô","o"),"ú","u"),"ç","c"),"Á","a"),"Ã","a"),"Â","a"),"É","e"),"Ê","e"),"Í","i"),"Ó","o"),"Õ","o"),"Ô","o"),"Ú","u"),"Ç","c"),"/MG","")," e ",", ")," ",""),".","")))&amp;",",
_xlpm.MATRIZ_FUNCAO, ","&amp;TRIM(UPPER(SUBSTITUTE(SUBSTITUTE(SUBSTITUTE(SUBSTITUTE(SUBSTITUTE(SUBSTITUTE(SUBSTITUTE(SUBSTITUTE(SUBSTITUTE(SUBSTITUTE(SUBSTITUTE(SUBSTITUTE(SUBSTITUTE(SUBSTITUTE(SUBSTITUTE(SUBSTITUTE(SUBSTITUTE(SUBSTITUTE(SUBSTITUTE(SUBSTITUTE(SUBSTITUTE(SUBSTITUTE(SUBSTITUTE(SUBSTITUTE(SUBSTITUTE(tabSindicatos[FUNÇÕES],"á","a"),"ã","a"),"â","a"),"é","e"),"ê","e"),"í","i"),"ó","o"),"õ","o"),"ô","o"),"ú","u"),"ç","c"),"Á","a"),"Ã","a"),"Â","a"),"É","e"),"Ê","e"),"Í","i"),"Ó","o"),"Õ","o"),"Ô","o"),"Ú","u"),"Ç","c")," e ",", ")," ",""),".","")))&amp;",",
IFERROR(_xlfn._xlws.FILTER(tabSindicatos[SINDICATOS],
(ISNUMBER(SEARCH(","&amp;TRIM(UPPER(SUBSTITUTE(tabPostos[[#This Row],[Comarca]]," ","")))&amp;",",_xlpm.MATRIZ_COMARCA,1)))*
(ISNUMBER(SEARCH(","&amp;TRIM(SUBSTITUTE(SUBSTITUTE(SUBSTITUTE(UPPER(tabPostos[[#This Row],[Função]])," E ",", ")," ",""),".",""))&amp;",",_xlpm.MATRIZ_FUNCAO,1)))
),"")
))</f>
        <v>Alto Paranaiba</v>
      </c>
      <c r="E72" s="148" t="s">
        <v>9</v>
      </c>
      <c r="F72" s="148" t="s">
        <v>10</v>
      </c>
      <c r="G72" s="148">
        <v>1</v>
      </c>
      <c r="H72" s="148">
        <v>0</v>
      </c>
      <c r="I72" s="216">
        <f>544.18</f>
        <v>544.17999999999995</v>
      </c>
      <c r="J72" s="247">
        <f>VLOOKUP(tabPostos[[#This Row],[CCT DA CATEGORIA]],'RELAÇÃO SINDICATOS'!A:N,11,0)</f>
        <v>45658</v>
      </c>
      <c r="K72" s="148" t="str">
        <f>VLOOKUP(tabPostos[[#This Row],[CCT DA CATEGORIA]],'RELAÇÃO SINDICATOS'!A:N,12,0)</f>
        <v>-</v>
      </c>
      <c r="L72" s="148" t="str">
        <f>VLOOKUP(tabPostos[[#This Row],[CCT DA CATEGORIA]],'RELAÇÃO SINDICATOS'!A:N,13,0)</f>
        <v>-</v>
      </c>
      <c r="M72" s="148" t="str">
        <f>VLOOKUP(tabPostos[[#This Row],[CCT DA CATEGORIA]],'RELAÇÃO SINDICATOS'!A:N,14,0)</f>
        <v>MG001106/2025</v>
      </c>
    </row>
    <row r="73" spans="1:13" x14ac:dyDescent="0.25">
      <c r="A73" s="148" t="str" cm="1">
        <f t="array" ref="A73">_xlfn.XLOOKUP(tabPostos[[#This Row],[Fonte de Recursos]]&amp;tabPostos[[#This Row],[Classificação]],tabLotacao[Lotacao]&amp;tabLotacao[Tipo],tabLotacao[Codigo Lote],"0")&amp;"."&amp;_xlfn.XLOOKUP(tabPostos[[#This Row],[Comarca]],tabComarca[COMARCA],tabComarca[Codigo Comarca],"000")&amp;"."&amp;_xlfn.XLOOKUP(tabPostos[[#This Row],[Função]],tabCargos[Cargo],tabCargos[Codigo Cargo],"00")</f>
        <v>2.183.04</v>
      </c>
      <c r="B73" s="200" t="s">
        <v>73</v>
      </c>
      <c r="C73" s="200" t="s">
        <v>1244</v>
      </c>
      <c r="D73" s="200" t="str" cm="1">
        <f t="array" ref="D73">IF(tabPostos[[#This Row],[Comarca]]="","",
_xlfn.LET(
_xlpm.MATRIZ_COMARCA, ","&amp;TRIM(UPPER(SUBSTITUTE(SUBSTITUTE(SUBSTITUTE(SUBSTITUTE(SUBSTITUTE(SUBSTITUTE(SUBSTITUTE(SUBSTITUTE(SUBSTITUTE(SUBSTITUTE(SUBSTITUTE(SUBSTITUTE(SUBSTITUTE(SUBSTITUTE(SUBSTITUTE(SUBSTITUTE(SUBSTITUTE(SUBSTITUTE(SUBSTITUTE(SUBSTITUTE(SUBSTITUTE(SUBSTITUTE(SUBSTITUTE(SUBSTITUTE(SUBSTITUTE(SUBSTITUTE(tabSindicatos[ABRANGÊNCIA],"á","a"),"ã","a"),"â","a"),"é","e"),"ê","e"),"í","i"),"ó","o"),"õ","o"),"ô","o"),"ú","u"),"ç","c"),"Á","a"),"Ã","a"),"Â","a"),"É","e"),"Ê","e"),"Í","i"),"Ó","o"),"Õ","o"),"Ô","o"),"Ú","u"),"Ç","c"),"/MG","")," e ",", ")," ",""),".","")))&amp;",",
_xlpm.MATRIZ_FUNCAO, ","&amp;TRIM(UPPER(SUBSTITUTE(SUBSTITUTE(SUBSTITUTE(SUBSTITUTE(SUBSTITUTE(SUBSTITUTE(SUBSTITUTE(SUBSTITUTE(SUBSTITUTE(SUBSTITUTE(SUBSTITUTE(SUBSTITUTE(SUBSTITUTE(SUBSTITUTE(SUBSTITUTE(SUBSTITUTE(SUBSTITUTE(SUBSTITUTE(SUBSTITUTE(SUBSTITUTE(SUBSTITUTE(SUBSTITUTE(SUBSTITUTE(SUBSTITUTE(SUBSTITUTE(tabSindicatos[FUNÇÕES],"á","a"),"ã","a"),"â","a"),"é","e"),"ê","e"),"í","i"),"ó","o"),"õ","o"),"ô","o"),"ú","u"),"ç","c"),"Á","a"),"Ã","a"),"Â","a"),"É","e"),"Ê","e"),"Í","i"),"Ó","o"),"Õ","o"),"Ô","o"),"Ú","u"),"Ç","c")," e ",", ")," ",""),".","")))&amp;",",
IFERROR(_xlfn._xlws.FILTER(tabSindicatos[SINDICATOS],
(ISNUMBER(SEARCH(","&amp;TRIM(UPPER(SUBSTITUTE(tabPostos[[#This Row],[Comarca]]," ","")))&amp;",",_xlpm.MATRIZ_COMARCA,1)))*
(ISNUMBER(SEARCH(","&amp;TRIM(SUBSTITUTE(SUBSTITUTE(SUBSTITUTE(UPPER(tabPostos[[#This Row],[Função]])," E ",", ")," ",""),".",""))&amp;",",_xlpm.MATRIZ_FUNCAO,1)))
),"")
))</f>
        <v>Regiao de Ouro Preto</v>
      </c>
      <c r="E73" s="148" t="s">
        <v>9</v>
      </c>
      <c r="F73" s="148" t="s">
        <v>10</v>
      </c>
      <c r="G73" s="148">
        <v>1</v>
      </c>
      <c r="H73" s="148">
        <v>0</v>
      </c>
      <c r="I73" s="216">
        <f>798.14</f>
        <v>798.14</v>
      </c>
      <c r="J73" s="247">
        <f>VLOOKUP(tabPostos[[#This Row],[CCT DA CATEGORIA]],'RELAÇÃO SINDICATOS'!A:N,11,0)</f>
        <v>45658</v>
      </c>
      <c r="K73" s="148" t="str">
        <f>VLOOKUP(tabPostos[[#This Row],[CCT DA CATEGORIA]],'RELAÇÃO SINDICATOS'!A:N,12,0)</f>
        <v>-</v>
      </c>
      <c r="L73" s="148" t="str">
        <f>VLOOKUP(tabPostos[[#This Row],[CCT DA CATEGORIA]],'RELAÇÃO SINDICATOS'!A:N,13,0)</f>
        <v>-</v>
      </c>
      <c r="M73" s="148" t="str">
        <f>VLOOKUP(tabPostos[[#This Row],[CCT DA CATEGORIA]],'RELAÇÃO SINDICATOS'!A:N,14,0)</f>
        <v>MG000212/2025</v>
      </c>
    </row>
    <row r="74" spans="1:13" x14ac:dyDescent="0.25">
      <c r="A74" s="148" t="str" cm="1">
        <f t="array" ref="A74">_xlfn.XLOOKUP(tabPostos[[#This Row],[Fonte de Recursos]]&amp;tabPostos[[#This Row],[Classificação]],tabLotacao[Lotacao]&amp;tabLotacao[Tipo],tabLotacao[Codigo Lote],"0")&amp;"."&amp;_xlfn.XLOOKUP(tabPostos[[#This Row],[Comarca]],tabComarca[COMARCA],tabComarca[Codigo Comarca],"000")&amp;"."&amp;_xlfn.XLOOKUP(tabPostos[[#This Row],[Função]],tabCargos[Cargo],tabCargos[Codigo Cargo],"00")</f>
        <v>2.183.06</v>
      </c>
      <c r="B74" s="200" t="s">
        <v>73</v>
      </c>
      <c r="C74" s="200" t="s">
        <v>1245</v>
      </c>
      <c r="D74" s="200" t="str" cm="1">
        <f t="array" ref="D74">IF(tabPostos[[#This Row],[Comarca]]="","",
_xlfn.LET(
_xlpm.MATRIZ_COMARCA, ","&amp;TRIM(UPPER(SUBSTITUTE(SUBSTITUTE(SUBSTITUTE(SUBSTITUTE(SUBSTITUTE(SUBSTITUTE(SUBSTITUTE(SUBSTITUTE(SUBSTITUTE(SUBSTITUTE(SUBSTITUTE(SUBSTITUTE(SUBSTITUTE(SUBSTITUTE(SUBSTITUTE(SUBSTITUTE(SUBSTITUTE(SUBSTITUTE(SUBSTITUTE(SUBSTITUTE(SUBSTITUTE(SUBSTITUTE(SUBSTITUTE(SUBSTITUTE(SUBSTITUTE(SUBSTITUTE(tabSindicatos[ABRANGÊNCIA],"á","a"),"ã","a"),"â","a"),"é","e"),"ê","e"),"í","i"),"ó","o"),"õ","o"),"ô","o"),"ú","u"),"ç","c"),"Á","a"),"Ã","a"),"Â","a"),"É","e"),"Ê","e"),"Í","i"),"Ó","o"),"Õ","o"),"Ô","o"),"Ú","u"),"Ç","c"),"/MG","")," e ",", ")," ",""),".","")))&amp;",",
_xlpm.MATRIZ_FUNCAO, ","&amp;TRIM(UPPER(SUBSTITUTE(SUBSTITUTE(SUBSTITUTE(SUBSTITUTE(SUBSTITUTE(SUBSTITUTE(SUBSTITUTE(SUBSTITUTE(SUBSTITUTE(SUBSTITUTE(SUBSTITUTE(SUBSTITUTE(SUBSTITUTE(SUBSTITUTE(SUBSTITUTE(SUBSTITUTE(SUBSTITUTE(SUBSTITUTE(SUBSTITUTE(SUBSTITUTE(SUBSTITUTE(SUBSTITUTE(SUBSTITUTE(SUBSTITUTE(SUBSTITUTE(tabSindicatos[FUNÇÕES],"á","a"),"ã","a"),"â","a"),"é","e"),"ê","e"),"í","i"),"ó","o"),"õ","o"),"ô","o"),"ú","u"),"ç","c"),"Á","a"),"Ã","a"),"Â","a"),"É","e"),"Ê","e"),"Í","i"),"Ó","o"),"Õ","o"),"Ô","o"),"Ú","u"),"Ç","c")," e ",", ")," ",""),".","")))&amp;",",
IFERROR(_xlfn._xlws.FILTER(tabSindicatos[SINDICATOS],
(ISNUMBER(SEARCH(","&amp;TRIM(UPPER(SUBSTITUTE(tabPostos[[#This Row],[Comarca]]," ","")))&amp;",",_xlpm.MATRIZ_COMARCA,1)))*
(ISNUMBER(SEARCH(","&amp;TRIM(SUBSTITUTE(SUBSTITUTE(SUBSTITUTE(UPPER(tabPostos[[#This Row],[Função]])," E ",", ")," ",""),".",""))&amp;",",_xlpm.MATRIZ_FUNCAO,1)))
),"")
))</f>
        <v>Regiao de Ouro Preto</v>
      </c>
      <c r="E74" s="148" t="s">
        <v>9</v>
      </c>
      <c r="F74" s="148" t="s">
        <v>10</v>
      </c>
      <c r="G74" s="148">
        <v>1</v>
      </c>
      <c r="H74" s="148">
        <v>0</v>
      </c>
      <c r="I74" s="216">
        <f>1596.28</f>
        <v>1596.28</v>
      </c>
      <c r="J74" s="247">
        <f>VLOOKUP(tabPostos[[#This Row],[CCT DA CATEGORIA]],'RELAÇÃO SINDICATOS'!A:N,11,0)</f>
        <v>45658</v>
      </c>
      <c r="K74" s="148" t="str">
        <f>VLOOKUP(tabPostos[[#This Row],[CCT DA CATEGORIA]],'RELAÇÃO SINDICATOS'!A:N,12,0)</f>
        <v>-</v>
      </c>
      <c r="L74" s="148" t="str">
        <f>VLOOKUP(tabPostos[[#This Row],[CCT DA CATEGORIA]],'RELAÇÃO SINDICATOS'!A:N,13,0)</f>
        <v>-</v>
      </c>
      <c r="M74" s="148" t="str">
        <f>VLOOKUP(tabPostos[[#This Row],[CCT DA CATEGORIA]],'RELAÇÃO SINDICATOS'!A:N,14,0)</f>
        <v>MG000212/2025</v>
      </c>
    </row>
    <row r="75" spans="1:13" x14ac:dyDescent="0.25">
      <c r="A75" s="148" t="str" cm="1">
        <f t="array" ref="A75">_xlfn.XLOOKUP(tabPostos[[#This Row],[Fonte de Recursos]]&amp;tabPostos[[#This Row],[Classificação]],tabLotacao[Lotacao]&amp;tabLotacao[Tipo],tabLotacao[Codigo Lote],"0")&amp;"."&amp;_xlfn.XLOOKUP(tabPostos[[#This Row],[Comarca]],tabComarca[COMARCA],tabComarca[Codigo Comarca],"000")&amp;"."&amp;_xlfn.XLOOKUP(tabPostos[[#This Row],[Função]],tabCargos[Cargo],tabCargos[Codigo Cargo],"00")</f>
        <v>2.184.04</v>
      </c>
      <c r="B75" s="200" t="s">
        <v>74</v>
      </c>
      <c r="C75" s="200" t="s">
        <v>1244</v>
      </c>
      <c r="D75" s="200" t="str" cm="1">
        <f t="array" ref="D75">IF(tabPostos[[#This Row],[Comarca]]="","",
_xlfn.LET(
_xlpm.MATRIZ_COMARCA, ","&amp;TRIM(UPPER(SUBSTITUTE(SUBSTITUTE(SUBSTITUTE(SUBSTITUTE(SUBSTITUTE(SUBSTITUTE(SUBSTITUTE(SUBSTITUTE(SUBSTITUTE(SUBSTITUTE(SUBSTITUTE(SUBSTITUTE(SUBSTITUTE(SUBSTITUTE(SUBSTITUTE(SUBSTITUTE(SUBSTITUTE(SUBSTITUTE(SUBSTITUTE(SUBSTITUTE(SUBSTITUTE(SUBSTITUTE(SUBSTITUTE(SUBSTITUTE(SUBSTITUTE(SUBSTITUTE(tabSindicatos[ABRANGÊNCIA],"á","a"),"ã","a"),"â","a"),"é","e"),"ê","e"),"í","i"),"ó","o"),"õ","o"),"ô","o"),"ú","u"),"ç","c"),"Á","a"),"Ã","a"),"Â","a"),"É","e"),"Ê","e"),"Í","i"),"Ó","o"),"Õ","o"),"Ô","o"),"Ú","u"),"Ç","c"),"/MG","")," e ",", ")," ",""),".","")))&amp;",",
_xlpm.MATRIZ_FUNCAO, ","&amp;TRIM(UPPER(SUBSTITUTE(SUBSTITUTE(SUBSTITUTE(SUBSTITUTE(SUBSTITUTE(SUBSTITUTE(SUBSTITUTE(SUBSTITUTE(SUBSTITUTE(SUBSTITUTE(SUBSTITUTE(SUBSTITUTE(SUBSTITUTE(SUBSTITUTE(SUBSTITUTE(SUBSTITUTE(SUBSTITUTE(SUBSTITUTE(SUBSTITUTE(SUBSTITUTE(SUBSTITUTE(SUBSTITUTE(SUBSTITUTE(SUBSTITUTE(SUBSTITUTE(tabSindicatos[FUNÇÕES],"á","a"),"ã","a"),"â","a"),"é","e"),"ê","e"),"í","i"),"ó","o"),"õ","o"),"ô","o"),"ú","u"),"ç","c"),"Á","a"),"Ã","a"),"Â","a"),"É","e"),"Ê","e"),"Í","i"),"Ó","o"),"Õ","o"),"Ô","o"),"Ú","u"),"Ç","c")," e ",", ")," ",""),".","")))&amp;",",
IFERROR(_xlfn._xlws.FILTER(tabSindicatos[SINDICATOS],
(ISNUMBER(SEARCH(","&amp;TRIM(UPPER(SUBSTITUTE(tabPostos[[#This Row],[Comarca]]," ","")))&amp;",",_xlpm.MATRIZ_COMARCA,1)))*
(ISNUMBER(SEARCH(","&amp;TRIM(SUBSTITUTE(SUBSTITUTE(SUBSTITUTE(UPPER(tabPostos[[#This Row],[Função]])," E ",", ")," ",""),".",""))&amp;",",_xlpm.MATRIZ_FUNCAO,1)))
),"")
))</f>
        <v>Fethemg Interior</v>
      </c>
      <c r="E75" s="148" t="s">
        <v>9</v>
      </c>
      <c r="F75" s="148" t="s">
        <v>10</v>
      </c>
      <c r="G75" s="148">
        <v>1</v>
      </c>
      <c r="H75" s="148">
        <v>0</v>
      </c>
      <c r="I75" s="216">
        <f>798.14</f>
        <v>798.14</v>
      </c>
      <c r="J75" s="247">
        <f>VLOOKUP(tabPostos[[#This Row],[CCT DA CATEGORIA]],'RELAÇÃO SINDICATOS'!A:N,11,0)</f>
        <v>45658</v>
      </c>
      <c r="K75" s="148" t="str">
        <f>VLOOKUP(tabPostos[[#This Row],[CCT DA CATEGORIA]],'RELAÇÃO SINDICATOS'!A:N,12,0)</f>
        <v>-</v>
      </c>
      <c r="L75" s="148" t="str">
        <f>VLOOKUP(tabPostos[[#This Row],[CCT DA CATEGORIA]],'RELAÇÃO SINDICATOS'!A:N,13,0)</f>
        <v>-</v>
      </c>
      <c r="M75" s="148" t="str">
        <f>VLOOKUP(tabPostos[[#This Row],[CCT DA CATEGORIA]],'RELAÇÃO SINDICATOS'!A:N,14,0)</f>
        <v>MG004482/2024</v>
      </c>
    </row>
    <row r="76" spans="1:13" x14ac:dyDescent="0.25">
      <c r="A76" s="148" t="str" cm="1">
        <f t="array" ref="A76">_xlfn.XLOOKUP(tabPostos[[#This Row],[Fonte de Recursos]]&amp;tabPostos[[#This Row],[Classificação]],tabLotacao[Lotacao]&amp;tabLotacao[Tipo],tabLotacao[Codigo Lote],"0")&amp;"."&amp;_xlfn.XLOOKUP(tabPostos[[#This Row],[Comarca]],tabComarca[COMARCA],tabComarca[Codigo Comarca],"000")&amp;"."&amp;_xlfn.XLOOKUP(tabPostos[[#This Row],[Função]],tabCargos[Cargo],tabCargos[Codigo Cargo],"00")</f>
        <v>2.079.06</v>
      </c>
      <c r="B76" s="200" t="s">
        <v>75</v>
      </c>
      <c r="C76" s="200" t="s">
        <v>1245</v>
      </c>
      <c r="D76" s="200" t="str" cm="1">
        <f t="array" ref="D76">IF(tabPostos[[#This Row],[Comarca]]="","",
_xlfn.LET(
_xlpm.MATRIZ_COMARCA, ","&amp;TRIM(UPPER(SUBSTITUTE(SUBSTITUTE(SUBSTITUTE(SUBSTITUTE(SUBSTITUTE(SUBSTITUTE(SUBSTITUTE(SUBSTITUTE(SUBSTITUTE(SUBSTITUTE(SUBSTITUTE(SUBSTITUTE(SUBSTITUTE(SUBSTITUTE(SUBSTITUTE(SUBSTITUTE(SUBSTITUTE(SUBSTITUTE(SUBSTITUTE(SUBSTITUTE(SUBSTITUTE(SUBSTITUTE(SUBSTITUTE(SUBSTITUTE(SUBSTITUTE(SUBSTITUTE(tabSindicatos[ABRANGÊNCIA],"á","a"),"ã","a"),"â","a"),"é","e"),"ê","e"),"í","i"),"ó","o"),"õ","o"),"ô","o"),"ú","u"),"ç","c"),"Á","a"),"Ã","a"),"Â","a"),"É","e"),"Ê","e"),"Í","i"),"Ó","o"),"Õ","o"),"Ô","o"),"Ú","u"),"Ç","c"),"/MG","")," e ",", ")," ",""),".","")))&amp;",",
_xlpm.MATRIZ_FUNCAO, ","&amp;TRIM(UPPER(SUBSTITUTE(SUBSTITUTE(SUBSTITUTE(SUBSTITUTE(SUBSTITUTE(SUBSTITUTE(SUBSTITUTE(SUBSTITUTE(SUBSTITUTE(SUBSTITUTE(SUBSTITUTE(SUBSTITUTE(SUBSTITUTE(SUBSTITUTE(SUBSTITUTE(SUBSTITUTE(SUBSTITUTE(SUBSTITUTE(SUBSTITUTE(SUBSTITUTE(SUBSTITUTE(SUBSTITUTE(SUBSTITUTE(SUBSTITUTE(SUBSTITUTE(tabSindicatos[FUNÇÕES],"á","a"),"ã","a"),"â","a"),"é","e"),"ê","e"),"í","i"),"ó","o"),"õ","o"),"ô","o"),"ú","u"),"ç","c"),"Á","a"),"Ã","a"),"Â","a"),"É","e"),"Ê","e"),"Í","i"),"Ó","o"),"Õ","o"),"Ô","o"),"Ú","u"),"Ç","c")," e ",", ")," ",""),".","")))&amp;",",
IFERROR(_xlfn._xlws.FILTER(tabSindicatos[SINDICATOS],
(ISNUMBER(SEARCH(","&amp;TRIM(UPPER(SUBSTITUTE(tabPostos[[#This Row],[Comarca]]," ","")))&amp;",",_xlpm.MATRIZ_COMARCA,1)))*
(ISNUMBER(SEARCH(","&amp;TRIM(SUBSTITUTE(SUBSTITUTE(SUBSTITUTE(UPPER(tabPostos[[#This Row],[Função]])," E ",", ")," ",""),".",""))&amp;",",_xlpm.MATRIZ_FUNCAO,1)))
),"")
))</f>
        <v>Sind - Asseio</v>
      </c>
      <c r="E76" s="148" t="s">
        <v>9</v>
      </c>
      <c r="F76" s="148" t="s">
        <v>10</v>
      </c>
      <c r="G76" s="148">
        <v>5</v>
      </c>
      <c r="H76" s="148">
        <v>0</v>
      </c>
      <c r="I76" s="216">
        <f>1649.12</f>
        <v>1649.12</v>
      </c>
      <c r="J76" s="247">
        <f>VLOOKUP(tabPostos[[#This Row],[CCT DA CATEGORIA]],'RELAÇÃO SINDICATOS'!A:N,11,0)</f>
        <v>45658</v>
      </c>
      <c r="K76" s="148" t="str">
        <f>VLOOKUP(tabPostos[[#This Row],[CCT DA CATEGORIA]],'RELAÇÃO SINDICATOS'!A:N,12,0)</f>
        <v>-</v>
      </c>
      <c r="L76" s="148" t="str">
        <f>VLOOKUP(tabPostos[[#This Row],[CCT DA CATEGORIA]],'RELAÇÃO SINDICATOS'!A:N,13,0)</f>
        <v>-</v>
      </c>
      <c r="M76" s="148" t="str">
        <f>VLOOKUP(tabPostos[[#This Row],[CCT DA CATEGORIA]],'RELAÇÃO SINDICATOS'!A:N,14,0)</f>
        <v>MG000016/2025</v>
      </c>
    </row>
    <row r="77" spans="1:13" x14ac:dyDescent="0.25">
      <c r="A77" s="148" t="str" cm="1">
        <f t="array" ref="A77">_xlfn.XLOOKUP(tabPostos[[#This Row],[Fonte de Recursos]]&amp;tabPostos[[#This Row],[Classificação]],tabLotacao[Lotacao]&amp;tabLotacao[Tipo],tabLotacao[Codigo Lote],"0")&amp;"."&amp;_xlfn.XLOOKUP(tabPostos[[#This Row],[Comarca]],tabComarca[COMARCA],tabComarca[Codigo Comarca],"000")&amp;"."&amp;_xlfn.XLOOKUP(tabPostos[[#This Row],[Função]],tabCargos[Cargo],tabCargos[Codigo Cargo],"00")</f>
        <v>2.775.03</v>
      </c>
      <c r="B77" s="200" t="s">
        <v>76</v>
      </c>
      <c r="C77" s="200" t="s">
        <v>1247</v>
      </c>
      <c r="D77" s="200" t="str" cm="1">
        <f t="array" ref="D77">IF(tabPostos[[#This Row],[Comarca]]="","",
_xlfn.LET(
_xlpm.MATRIZ_COMARCA, ","&amp;TRIM(UPPER(SUBSTITUTE(SUBSTITUTE(SUBSTITUTE(SUBSTITUTE(SUBSTITUTE(SUBSTITUTE(SUBSTITUTE(SUBSTITUTE(SUBSTITUTE(SUBSTITUTE(SUBSTITUTE(SUBSTITUTE(SUBSTITUTE(SUBSTITUTE(SUBSTITUTE(SUBSTITUTE(SUBSTITUTE(SUBSTITUTE(SUBSTITUTE(SUBSTITUTE(SUBSTITUTE(SUBSTITUTE(SUBSTITUTE(SUBSTITUTE(SUBSTITUTE(SUBSTITUTE(tabSindicatos[ABRANGÊNCIA],"á","a"),"ã","a"),"â","a"),"é","e"),"ê","e"),"í","i"),"ó","o"),"õ","o"),"ô","o"),"ú","u"),"ç","c"),"Á","a"),"Ã","a"),"Â","a"),"É","e"),"Ê","e"),"Í","i"),"Ó","o"),"Õ","o"),"Ô","o"),"Ú","u"),"Ç","c"),"/MG","")," e ",", ")," ",""),".","")))&amp;",",
_xlpm.MATRIZ_FUNCAO, ","&amp;TRIM(UPPER(SUBSTITUTE(SUBSTITUTE(SUBSTITUTE(SUBSTITUTE(SUBSTITUTE(SUBSTITUTE(SUBSTITUTE(SUBSTITUTE(SUBSTITUTE(SUBSTITUTE(SUBSTITUTE(SUBSTITUTE(SUBSTITUTE(SUBSTITUTE(SUBSTITUTE(SUBSTITUTE(SUBSTITUTE(SUBSTITUTE(SUBSTITUTE(SUBSTITUTE(SUBSTITUTE(SUBSTITUTE(SUBSTITUTE(SUBSTITUTE(SUBSTITUTE(tabSindicatos[FUNÇÕES],"á","a"),"ã","a"),"â","a"),"é","e"),"ê","e"),"í","i"),"ó","o"),"õ","o"),"ô","o"),"ú","u"),"ç","c"),"Á","a"),"Ã","a"),"Â","a"),"É","e"),"Ê","e"),"Í","i"),"Ó","o"),"Õ","o"),"Ô","o"),"Ú","u"),"Ç","c")," e ",", ")," ",""),".","")))&amp;",",
IFERROR(_xlfn._xlws.FILTER(tabSindicatos[SINDICATOS],
(ISNUMBER(SEARCH(","&amp;TRIM(UPPER(SUBSTITUTE(tabPostos[[#This Row],[Comarca]]," ","")))&amp;",",_xlpm.MATRIZ_COMARCA,1)))*
(ISNUMBER(SEARCH(","&amp;TRIM(SUBSTITUTE(SUBSTITUTE(SUBSTITUTE(UPPER(tabPostos[[#This Row],[Função]])," E ",", ")," ",""),".",""))&amp;",",_xlpm.MATRIZ_FUNCAO,1)))
),"")
))</f>
        <v>Sethac Norte de Minas</v>
      </c>
      <c r="E77" s="148" t="s">
        <v>9</v>
      </c>
      <c r="F77" s="148" t="s">
        <v>10</v>
      </c>
      <c r="G77" s="148">
        <v>1</v>
      </c>
      <c r="H77" s="148">
        <v>0</v>
      </c>
      <c r="I77" s="216">
        <f>544.18</f>
        <v>544.17999999999995</v>
      </c>
      <c r="J77" s="247">
        <f>VLOOKUP(tabPostos[[#This Row],[CCT DA CATEGORIA]],'RELAÇÃO SINDICATOS'!A:N,11,0)</f>
        <v>45658</v>
      </c>
      <c r="K77" s="148" t="str">
        <f>VLOOKUP(tabPostos[[#This Row],[CCT DA CATEGORIA]],'RELAÇÃO SINDICATOS'!A:N,12,0)</f>
        <v>-</v>
      </c>
      <c r="L77" s="148" t="str">
        <f>VLOOKUP(tabPostos[[#This Row],[CCT DA CATEGORIA]],'RELAÇÃO SINDICATOS'!A:N,13,0)</f>
        <v>-</v>
      </c>
      <c r="M77" s="148" t="str">
        <f>VLOOKUP(tabPostos[[#This Row],[CCT DA CATEGORIA]],'RELAÇÃO SINDICATOS'!A:N,14,0)</f>
        <v>MG000256/2025</v>
      </c>
    </row>
    <row r="78" spans="1:13" x14ac:dyDescent="0.25">
      <c r="A78" s="148" t="str" cm="1">
        <f t="array" ref="A78">_xlfn.XLOOKUP(tabPostos[[#This Row],[Fonte de Recursos]]&amp;tabPostos[[#This Row],[Classificação]],tabLotacao[Lotacao]&amp;tabLotacao[Tipo],tabLotacao[Codigo Lote],"0")&amp;"."&amp;_xlfn.XLOOKUP(tabPostos[[#This Row],[Comarca]],tabComarca[COMARCA],tabComarca[Codigo Comarca],"000")&amp;"."&amp;_xlfn.XLOOKUP(tabPostos[[#This Row],[Função]],tabCargos[Cargo],tabCargos[Codigo Cargo],"00")</f>
        <v>2.191.03</v>
      </c>
      <c r="B78" s="200" t="s">
        <v>77</v>
      </c>
      <c r="C78" s="200" t="s">
        <v>1247</v>
      </c>
      <c r="D78" s="200" t="str" cm="1">
        <f t="array" ref="D78">IF(tabPostos[[#This Row],[Comarca]]="","",
_xlfn.LET(
_xlpm.MATRIZ_COMARCA, ","&amp;TRIM(UPPER(SUBSTITUTE(SUBSTITUTE(SUBSTITUTE(SUBSTITUTE(SUBSTITUTE(SUBSTITUTE(SUBSTITUTE(SUBSTITUTE(SUBSTITUTE(SUBSTITUTE(SUBSTITUTE(SUBSTITUTE(SUBSTITUTE(SUBSTITUTE(SUBSTITUTE(SUBSTITUTE(SUBSTITUTE(SUBSTITUTE(SUBSTITUTE(SUBSTITUTE(SUBSTITUTE(SUBSTITUTE(SUBSTITUTE(SUBSTITUTE(SUBSTITUTE(SUBSTITUTE(tabSindicatos[ABRANGÊNCIA],"á","a"),"ã","a"),"â","a"),"é","e"),"ê","e"),"í","i"),"ó","o"),"õ","o"),"ô","o"),"ú","u"),"ç","c"),"Á","a"),"Ã","a"),"Â","a"),"É","e"),"Ê","e"),"Í","i"),"Ó","o"),"Õ","o"),"Ô","o"),"Ú","u"),"Ç","c"),"/MG","")," e ",", ")," ",""),".","")))&amp;",",
_xlpm.MATRIZ_FUNCAO, ","&amp;TRIM(UPPER(SUBSTITUTE(SUBSTITUTE(SUBSTITUTE(SUBSTITUTE(SUBSTITUTE(SUBSTITUTE(SUBSTITUTE(SUBSTITUTE(SUBSTITUTE(SUBSTITUTE(SUBSTITUTE(SUBSTITUTE(SUBSTITUTE(SUBSTITUTE(SUBSTITUTE(SUBSTITUTE(SUBSTITUTE(SUBSTITUTE(SUBSTITUTE(SUBSTITUTE(SUBSTITUTE(SUBSTITUTE(SUBSTITUTE(SUBSTITUTE(SUBSTITUTE(tabSindicatos[FUNÇÕES],"á","a"),"ã","a"),"â","a"),"é","e"),"ê","e"),"í","i"),"ó","o"),"õ","o"),"ô","o"),"ú","u"),"ç","c"),"Á","a"),"Ã","a"),"Â","a"),"É","e"),"Ê","e"),"Í","i"),"Ó","o"),"Õ","o"),"Ô","o"),"Ú","u"),"Ç","c")," e ",", ")," ",""),".","")))&amp;",",
IFERROR(_xlfn._xlws.FILTER(tabSindicatos[SINDICATOS],
(ISNUMBER(SEARCH(","&amp;TRIM(UPPER(SUBSTITUTE(tabPostos[[#This Row],[Comarca]]," ","")))&amp;",",_xlpm.MATRIZ_COMARCA,1)))*
(ISNUMBER(SEARCH(","&amp;TRIM(SUBSTITUTE(SUBSTITUTE(SUBSTITUTE(UPPER(tabPostos[[#This Row],[Função]])," E ",", ")," ",""),".",""))&amp;",",_xlpm.MATRIZ_FUNCAO,1)))
),"")
))</f>
        <v>Curvelo</v>
      </c>
      <c r="E78" s="148" t="s">
        <v>9</v>
      </c>
      <c r="F78" s="148" t="s">
        <v>10</v>
      </c>
      <c r="G78" s="148">
        <v>1</v>
      </c>
      <c r="H78" s="148">
        <v>0</v>
      </c>
      <c r="I78" s="216">
        <f>544.18</f>
        <v>544.17999999999995</v>
      </c>
      <c r="J78" s="247">
        <f>VLOOKUP(tabPostos[[#This Row],[CCT DA CATEGORIA]],'RELAÇÃO SINDICATOS'!A:N,11,0)</f>
        <v>45658</v>
      </c>
      <c r="K78" s="148" t="str">
        <f>VLOOKUP(tabPostos[[#This Row],[CCT DA CATEGORIA]],'RELAÇÃO SINDICATOS'!A:N,12,0)</f>
        <v>-</v>
      </c>
      <c r="L78" s="148" t="str">
        <f>VLOOKUP(tabPostos[[#This Row],[CCT DA CATEGORIA]],'RELAÇÃO SINDICATOS'!A:N,13,0)</f>
        <v>-</v>
      </c>
      <c r="M78" s="148" t="str">
        <f>VLOOKUP(tabPostos[[#This Row],[CCT DA CATEGORIA]],'RELAÇÃO SINDICATOS'!A:N,14,0)</f>
        <v>MG0000423/2025</v>
      </c>
    </row>
    <row r="79" spans="1:13" x14ac:dyDescent="0.25">
      <c r="A79" s="148" t="str" cm="1">
        <f t="array" ref="A79">_xlfn.XLOOKUP(tabPostos[[#This Row],[Fonte de Recursos]]&amp;tabPostos[[#This Row],[Classificação]],tabLotacao[Lotacao]&amp;tabLotacao[Tipo],tabLotacao[Codigo Lote],"0")&amp;"."&amp;_xlfn.XLOOKUP(tabPostos[[#This Row],[Comarca]],tabComarca[COMARCA],tabComarca[Codigo Comarca],"000")&amp;"."&amp;_xlfn.XLOOKUP(tabPostos[[#This Row],[Função]],tabCargos[Cargo],tabCargos[Codigo Cargo],"00")</f>
        <v>2.193.04</v>
      </c>
      <c r="B79" s="200" t="s">
        <v>78</v>
      </c>
      <c r="C79" s="200" t="s">
        <v>1244</v>
      </c>
      <c r="D79" s="200" t="str" cm="1">
        <f t="array" ref="D79">IF(tabPostos[[#This Row],[Comarca]]="","",
_xlfn.LET(
_xlpm.MATRIZ_COMARCA, ","&amp;TRIM(UPPER(SUBSTITUTE(SUBSTITUTE(SUBSTITUTE(SUBSTITUTE(SUBSTITUTE(SUBSTITUTE(SUBSTITUTE(SUBSTITUTE(SUBSTITUTE(SUBSTITUTE(SUBSTITUTE(SUBSTITUTE(SUBSTITUTE(SUBSTITUTE(SUBSTITUTE(SUBSTITUTE(SUBSTITUTE(SUBSTITUTE(SUBSTITUTE(SUBSTITUTE(SUBSTITUTE(SUBSTITUTE(SUBSTITUTE(SUBSTITUTE(SUBSTITUTE(SUBSTITUTE(tabSindicatos[ABRANGÊNCIA],"á","a"),"ã","a"),"â","a"),"é","e"),"ê","e"),"í","i"),"ó","o"),"õ","o"),"ô","o"),"ú","u"),"ç","c"),"Á","a"),"Ã","a"),"Â","a"),"É","e"),"Ê","e"),"Í","i"),"Ó","o"),"Õ","o"),"Ô","o"),"Ú","u"),"Ç","c"),"/MG","")," e ",", ")," ",""),".","")))&amp;",",
_xlpm.MATRIZ_FUNCAO, ","&amp;TRIM(UPPER(SUBSTITUTE(SUBSTITUTE(SUBSTITUTE(SUBSTITUTE(SUBSTITUTE(SUBSTITUTE(SUBSTITUTE(SUBSTITUTE(SUBSTITUTE(SUBSTITUTE(SUBSTITUTE(SUBSTITUTE(SUBSTITUTE(SUBSTITUTE(SUBSTITUTE(SUBSTITUTE(SUBSTITUTE(SUBSTITUTE(SUBSTITUTE(SUBSTITUTE(SUBSTITUTE(SUBSTITUTE(SUBSTITUTE(SUBSTITUTE(SUBSTITUTE(tabSindicatos[FUNÇÕES],"á","a"),"ã","a"),"â","a"),"é","e"),"ê","e"),"í","i"),"ó","o"),"õ","o"),"ô","o"),"ú","u"),"ç","c"),"Á","a"),"Ã","a"),"Â","a"),"É","e"),"Ê","e"),"Í","i"),"Ó","o"),"Õ","o"),"Ô","o"),"Ú","u"),"Ç","c")," e ",", ")," ",""),".","")))&amp;",",
IFERROR(_xlfn._xlws.FILTER(tabSindicatos[SINDICATOS],
(ISNUMBER(SEARCH(","&amp;TRIM(UPPER(SUBSTITUTE(tabPostos[[#This Row],[Comarca]]," ","")))&amp;",",_xlpm.MATRIZ_COMARCA,1)))*
(ISNUMBER(SEARCH(","&amp;TRIM(SUBSTITUTE(SUBSTITUTE(SUBSTITUTE(UPPER(tabPostos[[#This Row],[Função]])," E ",", ")," ",""),".",""))&amp;",",_xlpm.MATRIZ_FUNCAO,1)))
),"")
))</f>
        <v>Alto Paranaiba</v>
      </c>
      <c r="E79" s="148" t="s">
        <v>9</v>
      </c>
      <c r="F79" s="148" t="s">
        <v>10</v>
      </c>
      <c r="G79" s="148">
        <v>1</v>
      </c>
      <c r="H79" s="148">
        <v>0</v>
      </c>
      <c r="I79" s="216">
        <f>798.14</f>
        <v>798.14</v>
      </c>
      <c r="J79" s="247">
        <f>VLOOKUP(tabPostos[[#This Row],[CCT DA CATEGORIA]],'RELAÇÃO SINDICATOS'!A:N,11,0)</f>
        <v>45658</v>
      </c>
      <c r="K79" s="148" t="str">
        <f>VLOOKUP(tabPostos[[#This Row],[CCT DA CATEGORIA]],'RELAÇÃO SINDICATOS'!A:N,12,0)</f>
        <v>-</v>
      </c>
      <c r="L79" s="148" t="str">
        <f>VLOOKUP(tabPostos[[#This Row],[CCT DA CATEGORIA]],'RELAÇÃO SINDICATOS'!A:N,13,0)</f>
        <v>-</v>
      </c>
      <c r="M79" s="148" t="str">
        <f>VLOOKUP(tabPostos[[#This Row],[CCT DA CATEGORIA]],'RELAÇÃO SINDICATOS'!A:N,14,0)</f>
        <v>MG001106/2025</v>
      </c>
    </row>
    <row r="80" spans="1:13" x14ac:dyDescent="0.25">
      <c r="A80" s="148" t="str" cm="1">
        <f t="array" ref="A80">_xlfn.XLOOKUP(tabPostos[[#This Row],[Fonte de Recursos]]&amp;tabPostos[[#This Row],[Classificação]],tabLotacao[Lotacao]&amp;tabLotacao[Tipo],tabLotacao[Codigo Lote],"0")&amp;"."&amp;_xlfn.XLOOKUP(tabPostos[[#This Row],[Comarca]],tabComarca[COMARCA],tabComarca[Codigo Comarca],"000")&amp;"."&amp;_xlfn.XLOOKUP(tabPostos[[#This Row],[Função]],tabCargos[Cargo],tabCargos[Codigo Cargo],"00")</f>
        <v>2.194.06</v>
      </c>
      <c r="B80" s="200" t="s">
        <v>79</v>
      </c>
      <c r="C80" s="200" t="s">
        <v>1245</v>
      </c>
      <c r="D80" s="200" t="str" cm="1">
        <f t="array" ref="D80">IF(tabPostos[[#This Row],[Comarca]]="","",
_xlfn.LET(
_xlpm.MATRIZ_COMARCA, ","&amp;TRIM(UPPER(SUBSTITUTE(SUBSTITUTE(SUBSTITUTE(SUBSTITUTE(SUBSTITUTE(SUBSTITUTE(SUBSTITUTE(SUBSTITUTE(SUBSTITUTE(SUBSTITUTE(SUBSTITUTE(SUBSTITUTE(SUBSTITUTE(SUBSTITUTE(SUBSTITUTE(SUBSTITUTE(SUBSTITUTE(SUBSTITUTE(SUBSTITUTE(SUBSTITUTE(SUBSTITUTE(SUBSTITUTE(SUBSTITUTE(SUBSTITUTE(SUBSTITUTE(SUBSTITUTE(tabSindicatos[ABRANGÊNCIA],"á","a"),"ã","a"),"â","a"),"é","e"),"ê","e"),"í","i"),"ó","o"),"õ","o"),"ô","o"),"ú","u"),"ç","c"),"Á","a"),"Ã","a"),"Â","a"),"É","e"),"Ê","e"),"Í","i"),"Ó","o"),"Õ","o"),"Ô","o"),"Ú","u"),"Ç","c"),"/MG","")," e ",", ")," ",""),".","")))&amp;",",
_xlpm.MATRIZ_FUNCAO, ","&amp;TRIM(UPPER(SUBSTITUTE(SUBSTITUTE(SUBSTITUTE(SUBSTITUTE(SUBSTITUTE(SUBSTITUTE(SUBSTITUTE(SUBSTITUTE(SUBSTITUTE(SUBSTITUTE(SUBSTITUTE(SUBSTITUTE(SUBSTITUTE(SUBSTITUTE(SUBSTITUTE(SUBSTITUTE(SUBSTITUTE(SUBSTITUTE(SUBSTITUTE(SUBSTITUTE(SUBSTITUTE(SUBSTITUTE(SUBSTITUTE(SUBSTITUTE(SUBSTITUTE(tabSindicatos[FUNÇÕES],"á","a"),"ã","a"),"â","a"),"é","e"),"ê","e"),"í","i"),"ó","o"),"õ","o"),"ô","o"),"ú","u"),"ç","c"),"Á","a"),"Ã","a"),"Â","a"),"É","e"),"Ê","e"),"Í","i"),"Ó","o"),"Õ","o"),"Ô","o"),"Ú","u"),"Ç","c")," e ",", ")," ",""),".","")))&amp;",",
IFERROR(_xlfn._xlws.FILTER(tabSindicatos[SINDICATOS],
(ISNUMBER(SEARCH(","&amp;TRIM(UPPER(SUBSTITUTE(tabPostos[[#This Row],[Comarca]]," ","")))&amp;",",_xlpm.MATRIZ_COMARCA,1)))*
(ISNUMBER(SEARCH(","&amp;TRIM(SUBSTITUTE(SUBSTITUTE(SUBSTITUTE(UPPER(tabPostos[[#This Row],[Função]])," E ",", ")," ",""),".",""))&amp;",",_xlpm.MATRIZ_FUNCAO,1)))
),"")
))</f>
        <v>Seethur</v>
      </c>
      <c r="E80" s="148" t="s">
        <v>9</v>
      </c>
      <c r="F80" s="148" t="s">
        <v>10</v>
      </c>
      <c r="G80" s="148">
        <v>1</v>
      </c>
      <c r="H80" s="148">
        <v>0</v>
      </c>
      <c r="I80" s="216">
        <f>1596.28</f>
        <v>1596.28</v>
      </c>
      <c r="J80" s="247">
        <f>VLOOKUP(tabPostos[[#This Row],[CCT DA CATEGORIA]],'RELAÇÃO SINDICATOS'!A:N,11,0)</f>
        <v>45658</v>
      </c>
      <c r="K80" s="148" t="str">
        <f>VLOOKUP(tabPostos[[#This Row],[CCT DA CATEGORIA]],'RELAÇÃO SINDICATOS'!A:N,12,0)</f>
        <v>-</v>
      </c>
      <c r="L80" s="148" t="str">
        <f>VLOOKUP(tabPostos[[#This Row],[CCT DA CATEGORIA]],'RELAÇÃO SINDICATOS'!A:N,13,0)</f>
        <v>-</v>
      </c>
      <c r="M80" s="148" t="str">
        <f>VLOOKUP(tabPostos[[#This Row],[CCT DA CATEGORIA]],'RELAÇÃO SINDICATOS'!A:N,14,0)</f>
        <v>MG000493/2025</v>
      </c>
    </row>
    <row r="81" spans="1:13" x14ac:dyDescent="0.25">
      <c r="A81" s="148" t="str" cm="1">
        <f t="array" ref="A81">_xlfn.XLOOKUP(tabPostos[[#This Row],[Fonte de Recursos]]&amp;tabPostos[[#This Row],[Classificação]],tabLotacao[Lotacao]&amp;tabLotacao[Tipo],tabLotacao[Codigo Lote],"0")&amp;"."&amp;_xlfn.XLOOKUP(tabPostos[[#This Row],[Comarca]],tabComarca[COMARCA],tabComarca[Codigo Comarca],"000")&amp;"."&amp;_xlfn.XLOOKUP(tabPostos[[#This Row],[Função]],tabCargos[Cargo],tabCargos[Codigo Cargo],"00")</f>
        <v>2.208.03</v>
      </c>
      <c r="B81" s="200" t="s">
        <v>80</v>
      </c>
      <c r="C81" s="200" t="s">
        <v>1247</v>
      </c>
      <c r="D81" s="200" t="str" cm="1">
        <f t="array" ref="D81">IF(tabPostos[[#This Row],[Comarca]]="","",
_xlfn.LET(
_xlpm.MATRIZ_COMARCA, ","&amp;TRIM(UPPER(SUBSTITUTE(SUBSTITUTE(SUBSTITUTE(SUBSTITUTE(SUBSTITUTE(SUBSTITUTE(SUBSTITUTE(SUBSTITUTE(SUBSTITUTE(SUBSTITUTE(SUBSTITUTE(SUBSTITUTE(SUBSTITUTE(SUBSTITUTE(SUBSTITUTE(SUBSTITUTE(SUBSTITUTE(SUBSTITUTE(SUBSTITUTE(SUBSTITUTE(SUBSTITUTE(SUBSTITUTE(SUBSTITUTE(SUBSTITUTE(SUBSTITUTE(SUBSTITUTE(tabSindicatos[ABRANGÊNCIA],"á","a"),"ã","a"),"â","a"),"é","e"),"ê","e"),"í","i"),"ó","o"),"õ","o"),"ô","o"),"ú","u"),"ç","c"),"Á","a"),"Ã","a"),"Â","a"),"É","e"),"Ê","e"),"Í","i"),"Ó","o"),"Õ","o"),"Ô","o"),"Ú","u"),"Ç","c"),"/MG","")," e ",", ")," ",""),".","")))&amp;",",
_xlpm.MATRIZ_FUNCAO, ","&amp;TRIM(UPPER(SUBSTITUTE(SUBSTITUTE(SUBSTITUTE(SUBSTITUTE(SUBSTITUTE(SUBSTITUTE(SUBSTITUTE(SUBSTITUTE(SUBSTITUTE(SUBSTITUTE(SUBSTITUTE(SUBSTITUTE(SUBSTITUTE(SUBSTITUTE(SUBSTITUTE(SUBSTITUTE(SUBSTITUTE(SUBSTITUTE(SUBSTITUTE(SUBSTITUTE(SUBSTITUTE(SUBSTITUTE(SUBSTITUTE(SUBSTITUTE(SUBSTITUTE(tabSindicatos[FUNÇÕES],"á","a"),"ã","a"),"â","a"),"é","e"),"ê","e"),"í","i"),"ó","o"),"õ","o"),"ô","o"),"ú","u"),"ç","c"),"Á","a"),"Ã","a"),"Â","a"),"É","e"),"Ê","e"),"Í","i"),"Ó","o"),"Õ","o"),"Ô","o"),"Ú","u"),"Ç","c")," e ",", ")," ",""),".","")))&amp;",",
IFERROR(_xlfn._xlws.FILTER(tabSindicatos[SINDICATOS],
(ISNUMBER(SEARCH(","&amp;TRIM(UPPER(SUBSTITUTE(tabPostos[[#This Row],[Comarca]]," ","")))&amp;",",_xlpm.MATRIZ_COMARCA,1)))*
(ISNUMBER(SEARCH(","&amp;TRIM(SUBSTITUTE(SUBSTITUTE(SUBSTITUTE(UPPER(tabPostos[[#This Row],[Função]])," E ",", ")," ",""),".",""))&amp;",",_xlpm.MATRIZ_FUNCAO,1)))
),"")
))</f>
        <v>Regiao de Sao Lourenco</v>
      </c>
      <c r="E81" s="148" t="s">
        <v>9</v>
      </c>
      <c r="F81" s="148" t="s">
        <v>10</v>
      </c>
      <c r="G81" s="148">
        <v>1</v>
      </c>
      <c r="H81" s="148">
        <v>0</v>
      </c>
      <c r="I81" s="216">
        <f>544.18</f>
        <v>544.17999999999995</v>
      </c>
      <c r="J81" s="247">
        <f>VLOOKUP(tabPostos[[#This Row],[CCT DA CATEGORIA]],'RELAÇÃO SINDICATOS'!A:N,11,0)</f>
        <v>45658</v>
      </c>
      <c r="K81" s="148" t="str">
        <f>VLOOKUP(tabPostos[[#This Row],[CCT DA CATEGORIA]],'RELAÇÃO SINDICATOS'!A:N,12,0)</f>
        <v>-</v>
      </c>
      <c r="L81" s="148" t="str">
        <f>VLOOKUP(tabPostos[[#This Row],[CCT DA CATEGORIA]],'RELAÇÃO SINDICATOS'!A:N,13,0)</f>
        <v>-</v>
      </c>
      <c r="M81" s="148" t="str">
        <f>VLOOKUP(tabPostos[[#This Row],[CCT DA CATEGORIA]],'RELAÇÃO SINDICATOS'!A:N,14,0)</f>
        <v>MG000594/2025</v>
      </c>
    </row>
    <row r="82" spans="1:13" x14ac:dyDescent="0.25">
      <c r="A82" s="148" t="str" cm="1">
        <f t="array" ref="A82">_xlfn.XLOOKUP(tabPostos[[#This Row],[Fonte de Recursos]]&amp;tabPostos[[#This Row],[Classificação]],tabLotacao[Lotacao]&amp;tabLotacao[Tipo],tabLotacao[Codigo Lote],"0")&amp;"."&amp;_xlfn.XLOOKUP(tabPostos[[#This Row],[Comarca]],tabComarca[COMARCA],tabComarca[Codigo Comarca],"000")&amp;"."&amp;_xlfn.XLOOKUP(tabPostos[[#This Row],[Função]],tabCargos[Cargo],tabCargos[Codigo Cargo],"00")</f>
        <v>2.209.06</v>
      </c>
      <c r="B82" s="200" t="s">
        <v>81</v>
      </c>
      <c r="C82" s="200" t="s">
        <v>1245</v>
      </c>
      <c r="D82" s="200" t="str" cm="1">
        <f t="array" ref="D82">IF(tabPostos[[#This Row],[Comarca]]="","",
_xlfn.LET(
_xlpm.MATRIZ_COMARCA, ","&amp;TRIM(UPPER(SUBSTITUTE(SUBSTITUTE(SUBSTITUTE(SUBSTITUTE(SUBSTITUTE(SUBSTITUTE(SUBSTITUTE(SUBSTITUTE(SUBSTITUTE(SUBSTITUTE(SUBSTITUTE(SUBSTITUTE(SUBSTITUTE(SUBSTITUTE(SUBSTITUTE(SUBSTITUTE(SUBSTITUTE(SUBSTITUTE(SUBSTITUTE(SUBSTITUTE(SUBSTITUTE(SUBSTITUTE(SUBSTITUTE(SUBSTITUTE(SUBSTITUTE(SUBSTITUTE(tabSindicatos[ABRANGÊNCIA],"á","a"),"ã","a"),"â","a"),"é","e"),"ê","e"),"í","i"),"ó","o"),"õ","o"),"ô","o"),"ú","u"),"ç","c"),"Á","a"),"Ã","a"),"Â","a"),"É","e"),"Ê","e"),"Í","i"),"Ó","o"),"Õ","o"),"Ô","o"),"Ú","u"),"Ç","c"),"/MG","")," e ",", ")," ",""),".","")))&amp;",",
_xlpm.MATRIZ_FUNCAO, ","&amp;TRIM(UPPER(SUBSTITUTE(SUBSTITUTE(SUBSTITUTE(SUBSTITUTE(SUBSTITUTE(SUBSTITUTE(SUBSTITUTE(SUBSTITUTE(SUBSTITUTE(SUBSTITUTE(SUBSTITUTE(SUBSTITUTE(SUBSTITUTE(SUBSTITUTE(SUBSTITUTE(SUBSTITUTE(SUBSTITUTE(SUBSTITUTE(SUBSTITUTE(SUBSTITUTE(SUBSTITUTE(SUBSTITUTE(SUBSTITUTE(SUBSTITUTE(SUBSTITUTE(tabSindicatos[FUNÇÕES],"á","a"),"ã","a"),"â","a"),"é","e"),"ê","e"),"í","i"),"ó","o"),"õ","o"),"ô","o"),"ú","u"),"ç","c"),"Á","a"),"Ã","a"),"Â","a"),"É","e"),"Ê","e"),"Í","i"),"Ó","o"),"Õ","o"),"Ô","o"),"Ú","u"),"Ç","c")," e ",", ")," ",""),".","")))&amp;",",
IFERROR(_xlfn._xlws.FILTER(tabSindicatos[SINDICATOS],
(ISNUMBER(SEARCH(","&amp;TRIM(UPPER(SUBSTITUTE(tabPostos[[#This Row],[Comarca]]," ","")))&amp;",",_xlpm.MATRIZ_COMARCA,1)))*
(ISNUMBER(SEARCH(","&amp;TRIM(SUBSTITUTE(SUBSTITUTE(SUBSTITUTE(UPPER(tabPostos[[#This Row],[Função]])," E ",", ")," ",""),".",""))&amp;",",_xlpm.MATRIZ_FUNCAO,1)))
),"")
))</f>
        <v>Curvelo</v>
      </c>
      <c r="E82" s="148" t="s">
        <v>9</v>
      </c>
      <c r="F82" s="148" t="s">
        <v>10</v>
      </c>
      <c r="G82" s="148">
        <v>3</v>
      </c>
      <c r="H82" s="148">
        <v>0</v>
      </c>
      <c r="I82" s="216">
        <f>1596.28</f>
        <v>1596.28</v>
      </c>
      <c r="J82" s="247">
        <f>VLOOKUP(tabPostos[[#This Row],[CCT DA CATEGORIA]],'RELAÇÃO SINDICATOS'!A:N,11,0)</f>
        <v>45658</v>
      </c>
      <c r="K82" s="148" t="str">
        <f>VLOOKUP(tabPostos[[#This Row],[CCT DA CATEGORIA]],'RELAÇÃO SINDICATOS'!A:N,12,0)</f>
        <v>-</v>
      </c>
      <c r="L82" s="148" t="str">
        <f>VLOOKUP(tabPostos[[#This Row],[CCT DA CATEGORIA]],'RELAÇÃO SINDICATOS'!A:N,13,0)</f>
        <v>-</v>
      </c>
      <c r="M82" s="148" t="str">
        <f>VLOOKUP(tabPostos[[#This Row],[CCT DA CATEGORIA]],'RELAÇÃO SINDICATOS'!A:N,14,0)</f>
        <v>MG0000423/2025</v>
      </c>
    </row>
    <row r="83" spans="1:13" x14ac:dyDescent="0.25">
      <c r="A83" s="148" t="str" cm="1">
        <f t="array" ref="A83">_xlfn.XLOOKUP(tabPostos[[#This Row],[Fonte de Recursos]]&amp;tabPostos[[#This Row],[Classificação]],tabLotacao[Lotacao]&amp;tabLotacao[Tipo],tabLotacao[Codigo Lote],"0")&amp;"."&amp;_xlfn.XLOOKUP(tabPostos[[#This Row],[Comarca]],tabComarca[COMARCA],tabComarca[Codigo Comarca],"000")&amp;"."&amp;_xlfn.XLOOKUP(tabPostos[[#This Row],[Função]],tabCargos[Cargo],tabCargos[Codigo Cargo],"00")</f>
        <v>2.216.06</v>
      </c>
      <c r="B83" s="200" t="s">
        <v>82</v>
      </c>
      <c r="C83" s="200" t="s">
        <v>1245</v>
      </c>
      <c r="D83" s="200" t="str" cm="1">
        <f t="array" ref="D83">IF(tabPostos[[#This Row],[Comarca]]="","",
_xlfn.LET(
_xlpm.MATRIZ_COMARCA, ","&amp;TRIM(UPPER(SUBSTITUTE(SUBSTITUTE(SUBSTITUTE(SUBSTITUTE(SUBSTITUTE(SUBSTITUTE(SUBSTITUTE(SUBSTITUTE(SUBSTITUTE(SUBSTITUTE(SUBSTITUTE(SUBSTITUTE(SUBSTITUTE(SUBSTITUTE(SUBSTITUTE(SUBSTITUTE(SUBSTITUTE(SUBSTITUTE(SUBSTITUTE(SUBSTITUTE(SUBSTITUTE(SUBSTITUTE(SUBSTITUTE(SUBSTITUTE(SUBSTITUTE(SUBSTITUTE(tabSindicatos[ABRANGÊNCIA],"á","a"),"ã","a"),"â","a"),"é","e"),"ê","e"),"í","i"),"ó","o"),"õ","o"),"ô","o"),"ú","u"),"ç","c"),"Á","a"),"Ã","a"),"Â","a"),"É","e"),"Ê","e"),"Í","i"),"Ó","o"),"Õ","o"),"Ô","o"),"Ú","u"),"Ç","c"),"/MG","")," e ",", ")," ",""),".","")))&amp;",",
_xlpm.MATRIZ_FUNCAO, ","&amp;TRIM(UPPER(SUBSTITUTE(SUBSTITUTE(SUBSTITUTE(SUBSTITUTE(SUBSTITUTE(SUBSTITUTE(SUBSTITUTE(SUBSTITUTE(SUBSTITUTE(SUBSTITUTE(SUBSTITUTE(SUBSTITUTE(SUBSTITUTE(SUBSTITUTE(SUBSTITUTE(SUBSTITUTE(SUBSTITUTE(SUBSTITUTE(SUBSTITUTE(SUBSTITUTE(SUBSTITUTE(SUBSTITUTE(SUBSTITUTE(SUBSTITUTE(SUBSTITUTE(tabSindicatos[FUNÇÕES],"á","a"),"ã","a"),"â","a"),"é","e"),"ê","e"),"í","i"),"ó","o"),"õ","o"),"ô","o"),"ú","u"),"ç","c"),"Á","a"),"Ã","a"),"Â","a"),"É","e"),"Ê","e"),"Í","i"),"Ó","o"),"Õ","o"),"Ô","o"),"Ú","u"),"Ç","c")," e ",", ")," ",""),".","")))&amp;",",
IFERROR(_xlfn._xlws.FILTER(tabSindicatos[SINDICATOS],
(ISNUMBER(SEARCH(","&amp;TRIM(UPPER(SUBSTITUTE(tabPostos[[#This Row],[Comarca]]," ","")))&amp;",",_xlpm.MATRIZ_COMARCA,1)))*
(ISNUMBER(SEARCH(","&amp;TRIM(SUBSTITUTE(SUBSTITUTE(SUBSTITUTE(UPPER(tabPostos[[#This Row],[Função]])," E ",", ")," ",""),".",""))&amp;",",_xlpm.MATRIZ_FUNCAO,1)))
),"")
))</f>
        <v>Curvelo</v>
      </c>
      <c r="E83" s="148" t="s">
        <v>9</v>
      </c>
      <c r="F83" s="148" t="s">
        <v>10</v>
      </c>
      <c r="G83" s="148">
        <v>1</v>
      </c>
      <c r="H83" s="148">
        <v>0</v>
      </c>
      <c r="I83" s="216">
        <f>1596.28</f>
        <v>1596.28</v>
      </c>
      <c r="J83" s="247">
        <f>VLOOKUP(tabPostos[[#This Row],[CCT DA CATEGORIA]],'RELAÇÃO SINDICATOS'!A:N,11,0)</f>
        <v>45658</v>
      </c>
      <c r="K83" s="148" t="str">
        <f>VLOOKUP(tabPostos[[#This Row],[CCT DA CATEGORIA]],'RELAÇÃO SINDICATOS'!A:N,12,0)</f>
        <v>-</v>
      </c>
      <c r="L83" s="148" t="str">
        <f>VLOOKUP(tabPostos[[#This Row],[CCT DA CATEGORIA]],'RELAÇÃO SINDICATOS'!A:N,13,0)</f>
        <v>-</v>
      </c>
      <c r="M83" s="148" t="str">
        <f>VLOOKUP(tabPostos[[#This Row],[CCT DA CATEGORIA]],'RELAÇÃO SINDICATOS'!A:N,14,0)</f>
        <v>MG0000423/2025</v>
      </c>
    </row>
    <row r="84" spans="1:13" x14ac:dyDescent="0.25">
      <c r="A84" s="148" t="str" cm="1">
        <f t="array" ref="A84">_xlfn.XLOOKUP(tabPostos[[#This Row],[Fonte de Recursos]]&amp;tabPostos[[#This Row],[Classificação]],tabLotacao[Lotacao]&amp;tabLotacao[Tipo],tabLotacao[Codigo Lote],"0")&amp;"."&amp;_xlfn.XLOOKUP(tabPostos[[#This Row],[Comarca]],tabComarca[COMARCA],tabComarca[Codigo Comarca],"000")&amp;"."&amp;_xlfn.XLOOKUP(tabPostos[[#This Row],[Função]],tabCargos[Cargo],tabCargos[Codigo Cargo],"00")</f>
        <v>2.220.03</v>
      </c>
      <c r="B84" s="200" t="s">
        <v>83</v>
      </c>
      <c r="C84" s="200" t="s">
        <v>1247</v>
      </c>
      <c r="D84" s="200" t="str" cm="1">
        <f t="array" ref="D84">IF(tabPostos[[#This Row],[Comarca]]="","",
_xlfn.LET(
_xlpm.MATRIZ_COMARCA, ","&amp;TRIM(UPPER(SUBSTITUTE(SUBSTITUTE(SUBSTITUTE(SUBSTITUTE(SUBSTITUTE(SUBSTITUTE(SUBSTITUTE(SUBSTITUTE(SUBSTITUTE(SUBSTITUTE(SUBSTITUTE(SUBSTITUTE(SUBSTITUTE(SUBSTITUTE(SUBSTITUTE(SUBSTITUTE(SUBSTITUTE(SUBSTITUTE(SUBSTITUTE(SUBSTITUTE(SUBSTITUTE(SUBSTITUTE(SUBSTITUTE(SUBSTITUTE(SUBSTITUTE(SUBSTITUTE(tabSindicatos[ABRANGÊNCIA],"á","a"),"ã","a"),"â","a"),"é","e"),"ê","e"),"í","i"),"ó","o"),"õ","o"),"ô","o"),"ú","u"),"ç","c"),"Á","a"),"Ã","a"),"Â","a"),"É","e"),"Ê","e"),"Í","i"),"Ó","o"),"Õ","o"),"Ô","o"),"Ú","u"),"Ç","c"),"/MG","")," e ",", ")," ",""),".","")))&amp;",",
_xlpm.MATRIZ_FUNCAO, ","&amp;TRIM(UPPER(SUBSTITUTE(SUBSTITUTE(SUBSTITUTE(SUBSTITUTE(SUBSTITUTE(SUBSTITUTE(SUBSTITUTE(SUBSTITUTE(SUBSTITUTE(SUBSTITUTE(SUBSTITUTE(SUBSTITUTE(SUBSTITUTE(SUBSTITUTE(SUBSTITUTE(SUBSTITUTE(SUBSTITUTE(SUBSTITUTE(SUBSTITUTE(SUBSTITUTE(SUBSTITUTE(SUBSTITUTE(SUBSTITUTE(SUBSTITUTE(SUBSTITUTE(tabSindicatos[FUNÇÕES],"á","a"),"ã","a"),"â","a"),"é","e"),"ê","e"),"í","i"),"ó","o"),"õ","o"),"ô","o"),"ú","u"),"ç","c"),"Á","a"),"Ã","a"),"Â","a"),"É","e"),"Ê","e"),"Í","i"),"Ó","o"),"Õ","o"),"Ô","o"),"Ú","u"),"Ç","c")," e ",", ")," ",""),".","")))&amp;",",
IFERROR(_xlfn._xlws.FILTER(tabSindicatos[SINDICATOS],
(ISNUMBER(SEARCH(","&amp;TRIM(UPPER(SUBSTITUTE(tabPostos[[#This Row],[Comarca]]," ","")))&amp;",",_xlpm.MATRIZ_COMARCA,1)))*
(ISNUMBER(SEARCH(","&amp;TRIM(SUBSTITUTE(SUBSTITUTE(SUBSTITUTE(UPPER(tabPostos[[#This Row],[Função]])," E ",", ")," ",""),".",""))&amp;",",_xlpm.MATRIZ_FUNCAO,1)))
),"")
))</f>
        <v>Seethur</v>
      </c>
      <c r="E84" s="148" t="s">
        <v>9</v>
      </c>
      <c r="F84" s="148" t="s">
        <v>10</v>
      </c>
      <c r="G84" s="148">
        <v>1</v>
      </c>
      <c r="H84" s="148">
        <v>0</v>
      </c>
      <c r="I84" s="216">
        <f>544.18</f>
        <v>544.17999999999995</v>
      </c>
      <c r="J84" s="247">
        <f>VLOOKUP(tabPostos[[#This Row],[CCT DA CATEGORIA]],'RELAÇÃO SINDICATOS'!A:N,11,0)</f>
        <v>45658</v>
      </c>
      <c r="K84" s="148" t="str">
        <f>VLOOKUP(tabPostos[[#This Row],[CCT DA CATEGORIA]],'RELAÇÃO SINDICATOS'!A:N,12,0)</f>
        <v>-</v>
      </c>
      <c r="L84" s="148" t="str">
        <f>VLOOKUP(tabPostos[[#This Row],[CCT DA CATEGORIA]],'RELAÇÃO SINDICATOS'!A:N,13,0)</f>
        <v>-</v>
      </c>
      <c r="M84" s="148" t="str">
        <f>VLOOKUP(tabPostos[[#This Row],[CCT DA CATEGORIA]],'RELAÇÃO SINDICATOS'!A:N,14,0)</f>
        <v>MG000493/2025</v>
      </c>
    </row>
    <row r="85" spans="1:13" x14ac:dyDescent="0.25">
      <c r="A85" s="148" t="str" cm="1">
        <f t="array" ref="A85">_xlfn.XLOOKUP(tabPostos[[#This Row],[Fonte de Recursos]]&amp;tabPostos[[#This Row],[Classificação]],tabLotacao[Lotacao]&amp;tabLotacao[Tipo],tabLotacao[Codigo Lote],"0")&amp;"."&amp;_xlfn.XLOOKUP(tabPostos[[#This Row],[Comarca]],tabComarca[COMARCA],tabComarca[Codigo Comarca],"000")&amp;"."&amp;_xlfn.XLOOKUP(tabPostos[[#This Row],[Função]],tabCargos[Cargo],tabCargos[Codigo Cargo],"00")</f>
        <v>2.223.05</v>
      </c>
      <c r="B85" s="200" t="s">
        <v>84</v>
      </c>
      <c r="C85" s="200" t="s">
        <v>1246</v>
      </c>
      <c r="D85" s="200" t="str" cm="1">
        <f t="array" ref="D85">IF(tabPostos[[#This Row],[Comarca]]="","",
_xlfn.LET(
_xlpm.MATRIZ_COMARCA, ","&amp;TRIM(UPPER(SUBSTITUTE(SUBSTITUTE(SUBSTITUTE(SUBSTITUTE(SUBSTITUTE(SUBSTITUTE(SUBSTITUTE(SUBSTITUTE(SUBSTITUTE(SUBSTITUTE(SUBSTITUTE(SUBSTITUTE(SUBSTITUTE(SUBSTITUTE(SUBSTITUTE(SUBSTITUTE(SUBSTITUTE(SUBSTITUTE(SUBSTITUTE(SUBSTITUTE(SUBSTITUTE(SUBSTITUTE(SUBSTITUTE(SUBSTITUTE(SUBSTITUTE(SUBSTITUTE(tabSindicatos[ABRANGÊNCIA],"á","a"),"ã","a"),"â","a"),"é","e"),"ê","e"),"í","i"),"ó","o"),"õ","o"),"ô","o"),"ú","u"),"ç","c"),"Á","a"),"Ã","a"),"Â","a"),"É","e"),"Ê","e"),"Í","i"),"Ó","o"),"Õ","o"),"Ô","o"),"Ú","u"),"Ç","c"),"/MG","")," e ",", ")," ",""),".","")))&amp;",",
_xlpm.MATRIZ_FUNCAO, ","&amp;TRIM(UPPER(SUBSTITUTE(SUBSTITUTE(SUBSTITUTE(SUBSTITUTE(SUBSTITUTE(SUBSTITUTE(SUBSTITUTE(SUBSTITUTE(SUBSTITUTE(SUBSTITUTE(SUBSTITUTE(SUBSTITUTE(SUBSTITUTE(SUBSTITUTE(SUBSTITUTE(SUBSTITUTE(SUBSTITUTE(SUBSTITUTE(SUBSTITUTE(SUBSTITUTE(SUBSTITUTE(SUBSTITUTE(SUBSTITUTE(SUBSTITUTE(SUBSTITUTE(tabSindicatos[FUNÇÕES],"á","a"),"ã","a"),"â","a"),"é","e"),"ê","e"),"í","i"),"ó","o"),"õ","o"),"ô","o"),"ú","u"),"ç","c"),"Á","a"),"Ã","a"),"Â","a"),"É","e"),"Ê","e"),"Í","i"),"Ó","o"),"Õ","o"),"Ô","o"),"Ú","u"),"Ç","c")," e ",", ")," ",""),".","")))&amp;",",
IFERROR(_xlfn._xlws.FILTER(tabSindicatos[SINDICATOS],
(ISNUMBER(SEARCH(","&amp;TRIM(UPPER(SUBSTITUTE(tabPostos[[#This Row],[Comarca]]," ","")))&amp;",",_xlpm.MATRIZ_COMARCA,1)))*
(ISNUMBER(SEARCH(","&amp;TRIM(SUBSTITUTE(SUBSTITUTE(SUBSTITUTE(UPPER(tabPostos[[#This Row],[Função]])," E ",", ")," ",""),".",""))&amp;",",_xlpm.MATRIZ_FUNCAO,1)))
),"")
))</f>
        <v>Divinopolis</v>
      </c>
      <c r="E85" s="148" t="s">
        <v>9</v>
      </c>
      <c r="F85" s="148" t="s">
        <v>10</v>
      </c>
      <c r="G85" s="148">
        <v>1</v>
      </c>
      <c r="H85" s="148">
        <v>0</v>
      </c>
      <c r="I85" s="216">
        <f>1124.39</f>
        <v>1124.3900000000001</v>
      </c>
      <c r="J85" s="247">
        <f>VLOOKUP(tabPostos[[#This Row],[CCT DA CATEGORIA]],'RELAÇÃO SINDICATOS'!A:N,11,0)</f>
        <v>45658</v>
      </c>
      <c r="K85" s="148" t="str">
        <f>VLOOKUP(tabPostos[[#This Row],[CCT DA CATEGORIA]],'RELAÇÃO SINDICATOS'!A:N,12,0)</f>
        <v>-</v>
      </c>
      <c r="L85" s="148" t="str">
        <f>VLOOKUP(tabPostos[[#This Row],[CCT DA CATEGORIA]],'RELAÇÃO SINDICATOS'!A:N,13,0)</f>
        <v>-</v>
      </c>
      <c r="M85" s="148" t="str">
        <f>VLOOKUP(tabPostos[[#This Row],[CCT DA CATEGORIA]],'RELAÇÃO SINDICATOS'!A:N,14,0)</f>
        <v>MG000555/2025</v>
      </c>
    </row>
    <row r="86" spans="1:13" x14ac:dyDescent="0.25">
      <c r="A86" s="148" t="str" cm="1">
        <f t="array" ref="A86">_xlfn.XLOOKUP(tabPostos[[#This Row],[Fonte de Recursos]]&amp;tabPostos[[#This Row],[Classificação]],tabLotacao[Lotacao]&amp;tabLotacao[Tipo],tabLotacao[Codigo Lote],"0")&amp;"."&amp;_xlfn.XLOOKUP(tabPostos[[#This Row],[Comarca]],tabComarca[COMARCA],tabComarca[Codigo Comarca],"000")&amp;"."&amp;_xlfn.XLOOKUP(tabPostos[[#This Row],[Função]],tabCargos[Cargo],tabCargos[Codigo Cargo],"00")</f>
        <v>2.223.06</v>
      </c>
      <c r="B86" s="200" t="s">
        <v>84</v>
      </c>
      <c r="C86" s="200" t="s">
        <v>1245</v>
      </c>
      <c r="D86" s="200" t="str" cm="1">
        <f t="array" ref="D86">IF(tabPostos[[#This Row],[Comarca]]="","",
_xlfn.LET(
_xlpm.MATRIZ_COMARCA, ","&amp;TRIM(UPPER(SUBSTITUTE(SUBSTITUTE(SUBSTITUTE(SUBSTITUTE(SUBSTITUTE(SUBSTITUTE(SUBSTITUTE(SUBSTITUTE(SUBSTITUTE(SUBSTITUTE(SUBSTITUTE(SUBSTITUTE(SUBSTITUTE(SUBSTITUTE(SUBSTITUTE(SUBSTITUTE(SUBSTITUTE(SUBSTITUTE(SUBSTITUTE(SUBSTITUTE(SUBSTITUTE(SUBSTITUTE(SUBSTITUTE(SUBSTITUTE(SUBSTITUTE(SUBSTITUTE(tabSindicatos[ABRANGÊNCIA],"á","a"),"ã","a"),"â","a"),"é","e"),"ê","e"),"í","i"),"ó","o"),"õ","o"),"ô","o"),"ú","u"),"ç","c"),"Á","a"),"Ã","a"),"Â","a"),"É","e"),"Ê","e"),"Í","i"),"Ó","o"),"Õ","o"),"Ô","o"),"Ú","u"),"Ç","c"),"/MG","")," e ",", ")," ",""),".","")))&amp;",",
_xlpm.MATRIZ_FUNCAO, ","&amp;TRIM(UPPER(SUBSTITUTE(SUBSTITUTE(SUBSTITUTE(SUBSTITUTE(SUBSTITUTE(SUBSTITUTE(SUBSTITUTE(SUBSTITUTE(SUBSTITUTE(SUBSTITUTE(SUBSTITUTE(SUBSTITUTE(SUBSTITUTE(SUBSTITUTE(SUBSTITUTE(SUBSTITUTE(SUBSTITUTE(SUBSTITUTE(SUBSTITUTE(SUBSTITUTE(SUBSTITUTE(SUBSTITUTE(SUBSTITUTE(SUBSTITUTE(SUBSTITUTE(tabSindicatos[FUNÇÕES],"á","a"),"ã","a"),"â","a"),"é","e"),"ê","e"),"í","i"),"ó","o"),"õ","o"),"ô","o"),"ú","u"),"ç","c"),"Á","a"),"Ã","a"),"Â","a"),"É","e"),"Ê","e"),"Í","i"),"Ó","o"),"Õ","o"),"Ô","o"),"Ú","u"),"Ç","c")," e ",", ")," ",""),".","")))&amp;",",
IFERROR(_xlfn._xlws.FILTER(tabSindicatos[SINDICATOS],
(ISNUMBER(SEARCH(","&amp;TRIM(UPPER(SUBSTITUTE(tabPostos[[#This Row],[Comarca]]," ","")))&amp;",",_xlpm.MATRIZ_COMARCA,1)))*
(ISNUMBER(SEARCH(","&amp;TRIM(SUBSTITUTE(SUBSTITUTE(SUBSTITUTE(UPPER(tabPostos[[#This Row],[Função]])," E ",", ")," ",""),".",""))&amp;",",_xlpm.MATRIZ_FUNCAO,1)))
),"")
))</f>
        <v>Divinopolis</v>
      </c>
      <c r="E86" s="148" t="s">
        <v>9</v>
      </c>
      <c r="F86" s="148" t="s">
        <v>10</v>
      </c>
      <c r="G86" s="148">
        <v>2</v>
      </c>
      <c r="H86" s="148">
        <v>0</v>
      </c>
      <c r="I86" s="216">
        <f>1649.12</f>
        <v>1649.12</v>
      </c>
      <c r="J86" s="247">
        <f>VLOOKUP(tabPostos[[#This Row],[CCT DA CATEGORIA]],'RELAÇÃO SINDICATOS'!A:N,11,0)</f>
        <v>45658</v>
      </c>
      <c r="K86" s="148" t="str">
        <f>VLOOKUP(tabPostos[[#This Row],[CCT DA CATEGORIA]],'RELAÇÃO SINDICATOS'!A:N,12,0)</f>
        <v>-</v>
      </c>
      <c r="L86" s="148" t="str">
        <f>VLOOKUP(tabPostos[[#This Row],[CCT DA CATEGORIA]],'RELAÇÃO SINDICATOS'!A:N,13,0)</f>
        <v>-</v>
      </c>
      <c r="M86" s="148" t="str">
        <f>VLOOKUP(tabPostos[[#This Row],[CCT DA CATEGORIA]],'RELAÇÃO SINDICATOS'!A:N,14,0)</f>
        <v>MG000555/2025</v>
      </c>
    </row>
    <row r="87" spans="1:13" x14ac:dyDescent="0.25">
      <c r="A87" s="148" t="str" cm="1">
        <f t="array" ref="A87">_xlfn.XLOOKUP(tabPostos[[#This Row],[Fonte de Recursos]]&amp;tabPostos[[#This Row],[Classificação]],tabLotacao[Lotacao]&amp;tabLotacao[Tipo],tabLotacao[Codigo Lote],"0")&amp;"."&amp;_xlfn.XLOOKUP(tabPostos[[#This Row],[Comarca]],tabComarca[COMARCA],tabComarca[Codigo Comarca],"000")&amp;"."&amp;_xlfn.XLOOKUP(tabPostos[[#This Row],[Função]],tabCargos[Cargo],tabCargos[Codigo Cargo],"00")</f>
        <v>2.232.03</v>
      </c>
      <c r="B87" s="200" t="s">
        <v>85</v>
      </c>
      <c r="C87" s="200" t="s">
        <v>1247</v>
      </c>
      <c r="D87" s="200" t="str" cm="1">
        <f t="array" ref="D87">IF(tabPostos[[#This Row],[Comarca]]="","",
_xlfn.LET(
_xlpm.MATRIZ_COMARCA, ","&amp;TRIM(UPPER(SUBSTITUTE(SUBSTITUTE(SUBSTITUTE(SUBSTITUTE(SUBSTITUTE(SUBSTITUTE(SUBSTITUTE(SUBSTITUTE(SUBSTITUTE(SUBSTITUTE(SUBSTITUTE(SUBSTITUTE(SUBSTITUTE(SUBSTITUTE(SUBSTITUTE(SUBSTITUTE(SUBSTITUTE(SUBSTITUTE(SUBSTITUTE(SUBSTITUTE(SUBSTITUTE(SUBSTITUTE(SUBSTITUTE(SUBSTITUTE(SUBSTITUTE(SUBSTITUTE(tabSindicatos[ABRANGÊNCIA],"á","a"),"ã","a"),"â","a"),"é","e"),"ê","e"),"í","i"),"ó","o"),"õ","o"),"ô","o"),"ú","u"),"ç","c"),"Á","a"),"Ã","a"),"Â","a"),"É","e"),"Ê","e"),"Í","i"),"Ó","o"),"Õ","o"),"Ô","o"),"Ú","u"),"Ç","c"),"/MG","")," e ",", ")," ",""),".","")))&amp;",",
_xlpm.MATRIZ_FUNCAO, ","&amp;TRIM(UPPER(SUBSTITUTE(SUBSTITUTE(SUBSTITUTE(SUBSTITUTE(SUBSTITUTE(SUBSTITUTE(SUBSTITUTE(SUBSTITUTE(SUBSTITUTE(SUBSTITUTE(SUBSTITUTE(SUBSTITUTE(SUBSTITUTE(SUBSTITUTE(SUBSTITUTE(SUBSTITUTE(SUBSTITUTE(SUBSTITUTE(SUBSTITUTE(SUBSTITUTE(SUBSTITUTE(SUBSTITUTE(SUBSTITUTE(SUBSTITUTE(SUBSTITUTE(tabSindicatos[FUNÇÕES],"á","a"),"ã","a"),"â","a"),"é","e"),"ê","e"),"í","i"),"ó","o"),"õ","o"),"ô","o"),"ú","u"),"ç","c"),"Á","a"),"Ã","a"),"Â","a"),"É","e"),"Ê","e"),"Í","i"),"Ó","o"),"Õ","o"),"Ô","o"),"Ú","u"),"Ç","c")," e ",", ")," ",""),".","")))&amp;",",
IFERROR(_xlfn._xlws.FILTER(tabSindicatos[SINDICATOS],
(ISNUMBER(SEARCH(","&amp;TRIM(UPPER(SUBSTITUTE(tabPostos[[#This Row],[Comarca]]," ","")))&amp;",",_xlpm.MATRIZ_COMARCA,1)))*
(ISNUMBER(SEARCH(","&amp;TRIM(SUBSTITUTE(SUBSTITUTE(SUBSTITUTE(UPPER(tabPostos[[#This Row],[Função]])," E ",", ")," ",""),".",""))&amp;",",_xlpm.MATRIZ_FUNCAO,1)))
),"")
))</f>
        <v>Regiao de Divinopolis</v>
      </c>
      <c r="E87" s="148" t="s">
        <v>9</v>
      </c>
      <c r="F87" s="148" t="s">
        <v>10</v>
      </c>
      <c r="G87" s="148">
        <v>1</v>
      </c>
      <c r="H87" s="148">
        <v>0</v>
      </c>
      <c r="I87" s="216">
        <f>544.18</f>
        <v>544.17999999999995</v>
      </c>
      <c r="J87" s="247">
        <f>VLOOKUP(tabPostos[[#This Row],[CCT DA CATEGORIA]],'RELAÇÃO SINDICATOS'!A:N,11,0)</f>
        <v>45658</v>
      </c>
      <c r="K87" s="148" t="str">
        <f>VLOOKUP(tabPostos[[#This Row],[CCT DA CATEGORIA]],'RELAÇÃO SINDICATOS'!A:N,12,0)</f>
        <v>-</v>
      </c>
      <c r="L87" s="148" t="str">
        <f>VLOOKUP(tabPostos[[#This Row],[CCT DA CATEGORIA]],'RELAÇÃO SINDICATOS'!A:N,13,0)</f>
        <v>-</v>
      </c>
      <c r="M87" s="148" t="str">
        <f>VLOOKUP(tabPostos[[#This Row],[CCT DA CATEGORIA]],'RELAÇÃO SINDICATOS'!A:N,14,0)</f>
        <v>MG001011/2025</v>
      </c>
    </row>
    <row r="88" spans="1:13" x14ac:dyDescent="0.25">
      <c r="A88" s="148" t="str" cm="1">
        <f t="array" ref="A88">_xlfn.XLOOKUP(tabPostos[[#This Row],[Fonte de Recursos]]&amp;tabPostos[[#This Row],[Classificação]],tabLotacao[Lotacao]&amp;tabLotacao[Tipo],tabLotacao[Codigo Lote],"0")&amp;"."&amp;_xlfn.XLOOKUP(tabPostos[[#This Row],[Comarca]],tabComarca[COMARCA],tabComarca[Codigo Comarca],"000")&amp;"."&amp;_xlfn.XLOOKUP(tabPostos[[#This Row],[Função]],tabCargos[Cargo],tabCargos[Codigo Cargo],"00")</f>
        <v>2.236.03</v>
      </c>
      <c r="B88" s="200" t="s">
        <v>86</v>
      </c>
      <c r="C88" s="200" t="s">
        <v>1247</v>
      </c>
      <c r="D88" s="200" t="str" cm="1">
        <f t="array" ref="D88">IF(tabPostos[[#This Row],[Comarca]]="","",
_xlfn.LET(
_xlpm.MATRIZ_COMARCA, ","&amp;TRIM(UPPER(SUBSTITUTE(SUBSTITUTE(SUBSTITUTE(SUBSTITUTE(SUBSTITUTE(SUBSTITUTE(SUBSTITUTE(SUBSTITUTE(SUBSTITUTE(SUBSTITUTE(SUBSTITUTE(SUBSTITUTE(SUBSTITUTE(SUBSTITUTE(SUBSTITUTE(SUBSTITUTE(SUBSTITUTE(SUBSTITUTE(SUBSTITUTE(SUBSTITUTE(SUBSTITUTE(SUBSTITUTE(SUBSTITUTE(SUBSTITUTE(SUBSTITUTE(SUBSTITUTE(tabSindicatos[ABRANGÊNCIA],"á","a"),"ã","a"),"â","a"),"é","e"),"ê","e"),"í","i"),"ó","o"),"õ","o"),"ô","o"),"ú","u"),"ç","c"),"Á","a"),"Ã","a"),"Â","a"),"É","e"),"Ê","e"),"Í","i"),"Ó","o"),"Õ","o"),"Ô","o"),"Ú","u"),"Ç","c"),"/MG","")," e ",", ")," ",""),".","")))&amp;",",
_xlpm.MATRIZ_FUNCAO, ","&amp;TRIM(UPPER(SUBSTITUTE(SUBSTITUTE(SUBSTITUTE(SUBSTITUTE(SUBSTITUTE(SUBSTITUTE(SUBSTITUTE(SUBSTITUTE(SUBSTITUTE(SUBSTITUTE(SUBSTITUTE(SUBSTITUTE(SUBSTITUTE(SUBSTITUTE(SUBSTITUTE(SUBSTITUTE(SUBSTITUTE(SUBSTITUTE(SUBSTITUTE(SUBSTITUTE(SUBSTITUTE(SUBSTITUTE(SUBSTITUTE(SUBSTITUTE(SUBSTITUTE(tabSindicatos[FUNÇÕES],"á","a"),"ã","a"),"â","a"),"é","e"),"ê","e"),"í","i"),"ó","o"),"õ","o"),"ô","o"),"ú","u"),"ç","c"),"Á","a"),"Ã","a"),"Â","a"),"É","e"),"Ê","e"),"Í","i"),"Ó","o"),"Õ","o"),"Ô","o"),"Ú","u"),"Ç","c")," e ",", ")," ",""),".","")))&amp;",",
IFERROR(_xlfn._xlws.FILTER(tabSindicatos[SINDICATOS],
(ISNUMBER(SEARCH(","&amp;TRIM(UPPER(SUBSTITUTE(tabPostos[[#This Row],[Comarca]]," ","")))&amp;",",_xlpm.MATRIZ_COMARCA,1)))*
(ISNUMBER(SEARCH(","&amp;TRIM(SUBSTITUTE(SUBSTITUTE(SUBSTITUTE(UPPER(tabPostos[[#This Row],[Função]])," E ",", ")," ",""),".",""))&amp;",",_xlpm.MATRIZ_FUNCAO,1)))
),"")
))</f>
        <v>Regiao de Sao Lourenco</v>
      </c>
      <c r="E88" s="148" t="s">
        <v>9</v>
      </c>
      <c r="F88" s="148" t="s">
        <v>10</v>
      </c>
      <c r="G88" s="148">
        <v>1</v>
      </c>
      <c r="H88" s="148">
        <v>0</v>
      </c>
      <c r="I88" s="216">
        <f>544.18</f>
        <v>544.17999999999995</v>
      </c>
      <c r="J88" s="247">
        <f>VLOOKUP(tabPostos[[#This Row],[CCT DA CATEGORIA]],'RELAÇÃO SINDICATOS'!A:N,11,0)</f>
        <v>45658</v>
      </c>
      <c r="K88" s="148" t="str">
        <f>VLOOKUP(tabPostos[[#This Row],[CCT DA CATEGORIA]],'RELAÇÃO SINDICATOS'!A:N,12,0)</f>
        <v>-</v>
      </c>
      <c r="L88" s="148" t="str">
        <f>VLOOKUP(tabPostos[[#This Row],[CCT DA CATEGORIA]],'RELAÇÃO SINDICATOS'!A:N,13,0)</f>
        <v>-</v>
      </c>
      <c r="M88" s="148" t="str">
        <f>VLOOKUP(tabPostos[[#This Row],[CCT DA CATEGORIA]],'RELAÇÃO SINDICATOS'!A:N,14,0)</f>
        <v>MG000594/2025</v>
      </c>
    </row>
    <row r="89" spans="1:13" x14ac:dyDescent="0.25">
      <c r="A89" s="148" t="str" cm="1">
        <f t="array" ref="A89">_xlfn.XLOOKUP(tabPostos[[#This Row],[Fonte de Recursos]]&amp;tabPostos[[#This Row],[Classificação]],tabLotacao[Lotacao]&amp;tabLotacao[Tipo],tabLotacao[Codigo Lote],"0")&amp;"."&amp;_xlfn.XLOOKUP(tabPostos[[#This Row],[Comarca]],tabComarca[COMARCA],tabComarca[Codigo Comarca],"000")&amp;"."&amp;_xlfn.XLOOKUP(tabPostos[[#This Row],[Função]],tabCargos[Cargo],tabCargos[Codigo Cargo],"00")</f>
        <v>2.240.03</v>
      </c>
      <c r="B89" s="200" t="s">
        <v>87</v>
      </c>
      <c r="C89" s="200" t="s">
        <v>1247</v>
      </c>
      <c r="D89" s="200" t="str" cm="1">
        <f t="array" ref="D89">IF(tabPostos[[#This Row],[Comarca]]="","",
_xlfn.LET(
_xlpm.MATRIZ_COMARCA, ","&amp;TRIM(UPPER(SUBSTITUTE(SUBSTITUTE(SUBSTITUTE(SUBSTITUTE(SUBSTITUTE(SUBSTITUTE(SUBSTITUTE(SUBSTITUTE(SUBSTITUTE(SUBSTITUTE(SUBSTITUTE(SUBSTITUTE(SUBSTITUTE(SUBSTITUTE(SUBSTITUTE(SUBSTITUTE(SUBSTITUTE(SUBSTITUTE(SUBSTITUTE(SUBSTITUTE(SUBSTITUTE(SUBSTITUTE(SUBSTITUTE(SUBSTITUTE(SUBSTITUTE(SUBSTITUTE(tabSindicatos[ABRANGÊNCIA],"á","a"),"ã","a"),"â","a"),"é","e"),"ê","e"),"í","i"),"ó","o"),"õ","o"),"ô","o"),"ú","u"),"ç","c"),"Á","a"),"Ã","a"),"Â","a"),"É","e"),"Ê","e"),"Í","i"),"Ó","o"),"Õ","o"),"Ô","o"),"Ú","u"),"Ç","c"),"/MG","")," e ",", ")," ",""),".","")))&amp;",",
_xlpm.MATRIZ_FUNCAO, ","&amp;TRIM(UPPER(SUBSTITUTE(SUBSTITUTE(SUBSTITUTE(SUBSTITUTE(SUBSTITUTE(SUBSTITUTE(SUBSTITUTE(SUBSTITUTE(SUBSTITUTE(SUBSTITUTE(SUBSTITUTE(SUBSTITUTE(SUBSTITUTE(SUBSTITUTE(SUBSTITUTE(SUBSTITUTE(SUBSTITUTE(SUBSTITUTE(SUBSTITUTE(SUBSTITUTE(SUBSTITUTE(SUBSTITUTE(SUBSTITUTE(SUBSTITUTE(SUBSTITUTE(tabSindicatos[FUNÇÕES],"á","a"),"ã","a"),"â","a"),"é","e"),"ê","e"),"í","i"),"ó","o"),"õ","o"),"ô","o"),"ú","u"),"ç","c"),"Á","a"),"Ã","a"),"Â","a"),"É","e"),"Ê","e"),"Í","i"),"Ó","o"),"Õ","o"),"Ô","o"),"Ú","u"),"Ç","c")," e ",", ")," ",""),".","")))&amp;",",
IFERROR(_xlfn._xlws.FILTER(tabSindicatos[SINDICATOS],
(ISNUMBER(SEARCH(","&amp;TRIM(UPPER(SUBSTITUTE(tabPostos[[#This Row],[Comarca]]," ","")))&amp;",",_xlpm.MATRIZ_COMARCA,1)))*
(ISNUMBER(SEARCH(","&amp;TRIM(SUBSTITUTE(SUBSTITUTE(SUBSTITUTE(UPPER(tabPostos[[#This Row],[Função]])," E ",", ")," ",""),".",""))&amp;",",_xlpm.MATRIZ_FUNCAO,1)))
),"")
))</f>
        <v>Vicosa e Regiao</v>
      </c>
      <c r="E89" s="148" t="s">
        <v>9</v>
      </c>
      <c r="F89" s="148" t="s">
        <v>10</v>
      </c>
      <c r="G89" s="148">
        <v>1</v>
      </c>
      <c r="H89" s="148">
        <v>0</v>
      </c>
      <c r="I89" s="216">
        <f>544.18</f>
        <v>544.17999999999995</v>
      </c>
      <c r="J89" s="247">
        <f>VLOOKUP(tabPostos[[#This Row],[CCT DA CATEGORIA]],'RELAÇÃO SINDICATOS'!A:N,11,0)</f>
        <v>45658</v>
      </c>
      <c r="K89" s="148" t="str">
        <f>VLOOKUP(tabPostos[[#This Row],[CCT DA CATEGORIA]],'RELAÇÃO SINDICATOS'!A:N,12,0)</f>
        <v>-</v>
      </c>
      <c r="L89" s="148" t="str">
        <f>VLOOKUP(tabPostos[[#This Row],[CCT DA CATEGORIA]],'RELAÇÃO SINDICATOS'!A:N,13,0)</f>
        <v>-</v>
      </c>
      <c r="M89" s="148" t="str">
        <f>VLOOKUP(tabPostos[[#This Row],[CCT DA CATEGORIA]],'RELAÇÃO SINDICATOS'!A:N,14,0)</f>
        <v>MG001208/2025</v>
      </c>
    </row>
    <row r="90" spans="1:13" x14ac:dyDescent="0.25">
      <c r="A90" s="148" t="str" cm="1">
        <f t="array" ref="A90">_xlfn.XLOOKUP(tabPostos[[#This Row],[Fonte de Recursos]]&amp;tabPostos[[#This Row],[Classificação]],tabLotacao[Lotacao]&amp;tabLotacao[Tipo],tabLotacao[Codigo Lote],"0")&amp;"."&amp;_xlfn.XLOOKUP(tabPostos[[#This Row],[Comarca]],tabComarca[COMARCA],tabComarca[Codigo Comarca],"000")&amp;"."&amp;_xlfn.XLOOKUP(tabPostos[[#This Row],[Função]],tabCargos[Cargo],tabCargos[Codigo Cargo],"00")</f>
        <v>2.241.04</v>
      </c>
      <c r="B90" s="200" t="s">
        <v>88</v>
      </c>
      <c r="C90" s="200" t="s">
        <v>1244</v>
      </c>
      <c r="D90" s="200" t="str" cm="1">
        <f t="array" ref="D90">IF(tabPostos[[#This Row],[Comarca]]="","",
_xlfn.LET(
_xlpm.MATRIZ_COMARCA, ","&amp;TRIM(UPPER(SUBSTITUTE(SUBSTITUTE(SUBSTITUTE(SUBSTITUTE(SUBSTITUTE(SUBSTITUTE(SUBSTITUTE(SUBSTITUTE(SUBSTITUTE(SUBSTITUTE(SUBSTITUTE(SUBSTITUTE(SUBSTITUTE(SUBSTITUTE(SUBSTITUTE(SUBSTITUTE(SUBSTITUTE(SUBSTITUTE(SUBSTITUTE(SUBSTITUTE(SUBSTITUTE(SUBSTITUTE(SUBSTITUTE(SUBSTITUTE(SUBSTITUTE(SUBSTITUTE(tabSindicatos[ABRANGÊNCIA],"á","a"),"ã","a"),"â","a"),"é","e"),"ê","e"),"í","i"),"ó","o"),"õ","o"),"ô","o"),"ú","u"),"ç","c"),"Á","a"),"Ã","a"),"Â","a"),"É","e"),"Ê","e"),"Í","i"),"Ó","o"),"Õ","o"),"Ô","o"),"Ú","u"),"Ç","c"),"/MG","")," e ",", ")," ",""),".","")))&amp;",",
_xlpm.MATRIZ_FUNCAO, ","&amp;TRIM(UPPER(SUBSTITUTE(SUBSTITUTE(SUBSTITUTE(SUBSTITUTE(SUBSTITUTE(SUBSTITUTE(SUBSTITUTE(SUBSTITUTE(SUBSTITUTE(SUBSTITUTE(SUBSTITUTE(SUBSTITUTE(SUBSTITUTE(SUBSTITUTE(SUBSTITUTE(SUBSTITUTE(SUBSTITUTE(SUBSTITUTE(SUBSTITUTE(SUBSTITUTE(SUBSTITUTE(SUBSTITUTE(SUBSTITUTE(SUBSTITUTE(SUBSTITUTE(tabSindicatos[FUNÇÕES],"á","a"),"ã","a"),"â","a"),"é","e"),"ê","e"),"í","i"),"ó","o"),"õ","o"),"ô","o"),"ú","u"),"ç","c"),"Á","a"),"Ã","a"),"Â","a"),"É","e"),"Ê","e"),"Í","i"),"Ó","o"),"Õ","o"),"Ô","o"),"Ú","u"),"Ç","c")," e ",", ")," ",""),".","")))&amp;",",
IFERROR(_xlfn._xlws.FILTER(tabSindicatos[SINDICATOS],
(ISNUMBER(SEARCH(","&amp;TRIM(UPPER(SUBSTITUTE(tabPostos[[#This Row],[Comarca]]," ","")))&amp;",",_xlpm.MATRIZ_COMARCA,1)))*
(ISNUMBER(SEARCH(","&amp;TRIM(SUBSTITUTE(SUBSTITUTE(SUBSTITUTE(UPPER(tabPostos[[#This Row],[Função]])," E ",", ")," ",""),".",""))&amp;",",_xlpm.MATRIZ_FUNCAO,1)))
),"")
))</f>
        <v>Fethemg RM</v>
      </c>
      <c r="E90" s="148" t="s">
        <v>9</v>
      </c>
      <c r="F90" s="148" t="s">
        <v>10</v>
      </c>
      <c r="G90" s="148">
        <v>1</v>
      </c>
      <c r="H90" s="148">
        <v>0</v>
      </c>
      <c r="I90" s="216">
        <f>824.56</f>
        <v>824.56</v>
      </c>
      <c r="J90" s="247">
        <f>VLOOKUP(tabPostos[[#This Row],[CCT DA CATEGORIA]],'RELAÇÃO SINDICATOS'!A:N,11,0)</f>
        <v>45658</v>
      </c>
      <c r="K90" s="148" t="str">
        <f>VLOOKUP(tabPostos[[#This Row],[CCT DA CATEGORIA]],'RELAÇÃO SINDICATOS'!A:N,12,0)</f>
        <v>-</v>
      </c>
      <c r="L90" s="148" t="str">
        <f>VLOOKUP(tabPostos[[#This Row],[CCT DA CATEGORIA]],'RELAÇÃO SINDICATOS'!A:N,13,0)</f>
        <v>-</v>
      </c>
      <c r="M90" s="148" t="str">
        <f>VLOOKUP(tabPostos[[#This Row],[CCT DA CATEGORIA]],'RELAÇÃO SINDICATOS'!A:N,14,0)</f>
        <v>MG004479/2024</v>
      </c>
    </row>
    <row r="91" spans="1:13" x14ac:dyDescent="0.25">
      <c r="A91" s="148" t="str" cm="1">
        <f t="array" ref="A91">_xlfn.XLOOKUP(tabPostos[[#This Row],[Fonte de Recursos]]&amp;tabPostos[[#This Row],[Classificação]],tabLotacao[Lotacao]&amp;tabLotacao[Tipo],tabLotacao[Codigo Lote],"0")&amp;"."&amp;_xlfn.XLOOKUP(tabPostos[[#This Row],[Comarca]],tabComarca[COMARCA],tabComarca[Codigo Comarca],"000")&amp;"."&amp;_xlfn.XLOOKUP(tabPostos[[#This Row],[Função]],tabCargos[Cargo],tabCargos[Codigo Cargo],"00")</f>
        <v>2.243.03</v>
      </c>
      <c r="B91" s="200" t="s">
        <v>89</v>
      </c>
      <c r="C91" s="200" t="s">
        <v>1247</v>
      </c>
      <c r="D91" s="200" t="str" cm="1">
        <f t="array" ref="D91">IF(tabPostos[[#This Row],[Comarca]]="","",
_xlfn.LET(
_xlpm.MATRIZ_COMARCA, ","&amp;TRIM(UPPER(SUBSTITUTE(SUBSTITUTE(SUBSTITUTE(SUBSTITUTE(SUBSTITUTE(SUBSTITUTE(SUBSTITUTE(SUBSTITUTE(SUBSTITUTE(SUBSTITUTE(SUBSTITUTE(SUBSTITUTE(SUBSTITUTE(SUBSTITUTE(SUBSTITUTE(SUBSTITUTE(SUBSTITUTE(SUBSTITUTE(SUBSTITUTE(SUBSTITUTE(SUBSTITUTE(SUBSTITUTE(SUBSTITUTE(SUBSTITUTE(SUBSTITUTE(SUBSTITUTE(tabSindicatos[ABRANGÊNCIA],"á","a"),"ã","a"),"â","a"),"é","e"),"ê","e"),"í","i"),"ó","o"),"õ","o"),"ô","o"),"ú","u"),"ç","c"),"Á","a"),"Ã","a"),"Â","a"),"É","e"),"Ê","e"),"Í","i"),"Ó","o"),"Õ","o"),"Ô","o"),"Ú","u"),"Ç","c"),"/MG","")," e ",", ")," ",""),".","")))&amp;",",
_xlpm.MATRIZ_FUNCAO, ","&amp;TRIM(UPPER(SUBSTITUTE(SUBSTITUTE(SUBSTITUTE(SUBSTITUTE(SUBSTITUTE(SUBSTITUTE(SUBSTITUTE(SUBSTITUTE(SUBSTITUTE(SUBSTITUTE(SUBSTITUTE(SUBSTITUTE(SUBSTITUTE(SUBSTITUTE(SUBSTITUTE(SUBSTITUTE(SUBSTITUTE(SUBSTITUTE(SUBSTITUTE(SUBSTITUTE(SUBSTITUTE(SUBSTITUTE(SUBSTITUTE(SUBSTITUTE(SUBSTITUTE(tabSindicatos[FUNÇÕES],"á","a"),"ã","a"),"â","a"),"é","e"),"ê","e"),"í","i"),"ó","o"),"õ","o"),"ô","o"),"ú","u"),"ç","c"),"Á","a"),"Ã","a"),"Â","a"),"É","e"),"Ê","e"),"Í","i"),"Ó","o"),"Õ","o"),"Ô","o"),"Ú","u"),"Ç","c")," e ",", ")," ",""),".","")))&amp;",",
IFERROR(_xlfn._xlws.FILTER(tabSindicatos[SINDICATOS],
(ISNUMBER(SEARCH(","&amp;TRIM(UPPER(SUBSTITUTE(tabPostos[[#This Row],[Comarca]]," ","")))&amp;",",_xlpm.MATRIZ_COMARCA,1)))*
(ISNUMBER(SEARCH(","&amp;TRIM(SUBSTITUTE(SUBSTITUTE(SUBSTITUTE(UPPER(tabPostos[[#This Row],[Função]])," E ",", ")," ",""),".",""))&amp;",",_xlpm.MATRIZ_FUNCAO,1)))
),"")
))</f>
        <v>Sethac Norte de Minas</v>
      </c>
      <c r="E91" s="148" t="s">
        <v>9</v>
      </c>
      <c r="F91" s="148" t="s">
        <v>10</v>
      </c>
      <c r="G91" s="148">
        <v>1</v>
      </c>
      <c r="H91" s="148">
        <v>0</v>
      </c>
      <c r="I91" s="216">
        <f>544.18</f>
        <v>544.17999999999995</v>
      </c>
      <c r="J91" s="247">
        <f>VLOOKUP(tabPostos[[#This Row],[CCT DA CATEGORIA]],'RELAÇÃO SINDICATOS'!A:N,11,0)</f>
        <v>45658</v>
      </c>
      <c r="K91" s="148" t="str">
        <f>VLOOKUP(tabPostos[[#This Row],[CCT DA CATEGORIA]],'RELAÇÃO SINDICATOS'!A:N,12,0)</f>
        <v>-</v>
      </c>
      <c r="L91" s="148" t="str">
        <f>VLOOKUP(tabPostos[[#This Row],[CCT DA CATEGORIA]],'RELAÇÃO SINDICATOS'!A:N,13,0)</f>
        <v>-</v>
      </c>
      <c r="M91" s="148" t="str">
        <f>VLOOKUP(tabPostos[[#This Row],[CCT DA CATEGORIA]],'RELAÇÃO SINDICATOS'!A:N,14,0)</f>
        <v>MG000256/2025</v>
      </c>
    </row>
    <row r="92" spans="1:13" x14ac:dyDescent="0.25">
      <c r="A92" s="148" t="str" cm="1">
        <f t="array" ref="A92">_xlfn.XLOOKUP(tabPostos[[#This Row],[Fonte de Recursos]]&amp;tabPostos[[#This Row],[Classificação]],tabLotacao[Lotacao]&amp;tabLotacao[Tipo],tabLotacao[Codigo Lote],"0")&amp;"."&amp;_xlfn.XLOOKUP(tabPostos[[#This Row],[Comarca]],tabComarca[COMARCA],tabComarca[Codigo Comarca],"000")&amp;"."&amp;_xlfn.XLOOKUP(tabPostos[[#This Row],[Função]],tabCargos[Cargo],tabCargos[Codigo Cargo],"00")</f>
        <v>2.251.06</v>
      </c>
      <c r="B92" s="200" t="s">
        <v>90</v>
      </c>
      <c r="C92" s="200" t="s">
        <v>1245</v>
      </c>
      <c r="D92" s="200" t="str" cm="1">
        <f t="array" ref="D92">IF(tabPostos[[#This Row],[Comarca]]="","",
_xlfn.LET(
_xlpm.MATRIZ_COMARCA, ","&amp;TRIM(UPPER(SUBSTITUTE(SUBSTITUTE(SUBSTITUTE(SUBSTITUTE(SUBSTITUTE(SUBSTITUTE(SUBSTITUTE(SUBSTITUTE(SUBSTITUTE(SUBSTITUTE(SUBSTITUTE(SUBSTITUTE(SUBSTITUTE(SUBSTITUTE(SUBSTITUTE(SUBSTITUTE(SUBSTITUTE(SUBSTITUTE(SUBSTITUTE(SUBSTITUTE(SUBSTITUTE(SUBSTITUTE(SUBSTITUTE(SUBSTITUTE(SUBSTITUTE(SUBSTITUTE(tabSindicatos[ABRANGÊNCIA],"á","a"),"ã","a"),"â","a"),"é","e"),"ê","e"),"í","i"),"ó","o"),"õ","o"),"ô","o"),"ú","u"),"ç","c"),"Á","a"),"Ã","a"),"Â","a"),"É","e"),"Ê","e"),"Í","i"),"Ó","o"),"Õ","o"),"Ô","o"),"Ú","u"),"Ç","c"),"/MG","")," e ",", ")," ",""),".","")))&amp;",",
_xlpm.MATRIZ_FUNCAO, ","&amp;TRIM(UPPER(SUBSTITUTE(SUBSTITUTE(SUBSTITUTE(SUBSTITUTE(SUBSTITUTE(SUBSTITUTE(SUBSTITUTE(SUBSTITUTE(SUBSTITUTE(SUBSTITUTE(SUBSTITUTE(SUBSTITUTE(SUBSTITUTE(SUBSTITUTE(SUBSTITUTE(SUBSTITUTE(SUBSTITUTE(SUBSTITUTE(SUBSTITUTE(SUBSTITUTE(SUBSTITUTE(SUBSTITUTE(SUBSTITUTE(SUBSTITUTE(SUBSTITUTE(tabSindicatos[FUNÇÕES],"á","a"),"ã","a"),"â","a"),"é","e"),"ê","e"),"í","i"),"ó","o"),"õ","o"),"ô","o"),"ú","u"),"ç","c"),"Á","a"),"Ã","a"),"Â","a"),"É","e"),"Ê","e"),"Í","i"),"Ó","o"),"Õ","o"),"Ô","o"),"Ú","u"),"Ç","c")," e ",", ")," ",""),".","")))&amp;",",
IFERROR(_xlfn._xlws.FILTER(tabSindicatos[SINDICATOS],
(ISNUMBER(SEARCH(","&amp;TRIM(UPPER(SUBSTITUTE(tabPostos[[#This Row],[Comarca]]," ","")))&amp;",",_xlpm.MATRIZ_COMARCA,1)))*
(ISNUMBER(SEARCH(","&amp;TRIM(SUBSTITUTE(SUBSTITUTE(SUBSTITUTE(UPPER(tabPostos[[#This Row],[Função]])," E ",", ")," ",""),".",""))&amp;",",_xlpm.MATRIZ_FUNCAO,1)))
),"")
))</f>
        <v>Regiao de Sao Lourenco</v>
      </c>
      <c r="E92" s="148" t="s">
        <v>9</v>
      </c>
      <c r="F92" s="148" t="s">
        <v>10</v>
      </c>
      <c r="G92" s="148">
        <v>1</v>
      </c>
      <c r="H92" s="148">
        <v>0</v>
      </c>
      <c r="I92" s="216">
        <f>1596.28</f>
        <v>1596.28</v>
      </c>
      <c r="J92" s="247">
        <f>VLOOKUP(tabPostos[[#This Row],[CCT DA CATEGORIA]],'RELAÇÃO SINDICATOS'!A:N,11,0)</f>
        <v>45658</v>
      </c>
      <c r="K92" s="148" t="str">
        <f>VLOOKUP(tabPostos[[#This Row],[CCT DA CATEGORIA]],'RELAÇÃO SINDICATOS'!A:N,12,0)</f>
        <v>-</v>
      </c>
      <c r="L92" s="148" t="str">
        <f>VLOOKUP(tabPostos[[#This Row],[CCT DA CATEGORIA]],'RELAÇÃO SINDICATOS'!A:N,13,0)</f>
        <v>-</v>
      </c>
      <c r="M92" s="148" t="str">
        <f>VLOOKUP(tabPostos[[#This Row],[CCT DA CATEGORIA]],'RELAÇÃO SINDICATOS'!A:N,14,0)</f>
        <v>MG000594/2025</v>
      </c>
    </row>
    <row r="93" spans="1:13" x14ac:dyDescent="0.25">
      <c r="A93" s="148" t="str" cm="1">
        <f t="array" ref="A93">_xlfn.XLOOKUP(tabPostos[[#This Row],[Fonte de Recursos]]&amp;tabPostos[[#This Row],[Classificação]],tabLotacao[Lotacao]&amp;tabLotacao[Tipo],tabLotacao[Codigo Lote],"0")&amp;"."&amp;_xlfn.XLOOKUP(tabPostos[[#This Row],[Comarca]],tabComarca[COMARCA],tabComarca[Codigo Comarca],"000")&amp;"."&amp;_xlfn.XLOOKUP(tabPostos[[#This Row],[Função]],tabCargos[Cargo],tabCargos[Codigo Cargo],"00")</f>
        <v>2.261.04</v>
      </c>
      <c r="B93" s="200" t="s">
        <v>91</v>
      </c>
      <c r="C93" s="200" t="s">
        <v>1244</v>
      </c>
      <c r="D93" s="200" t="str" cm="1">
        <f t="array" ref="D93">IF(tabPostos[[#This Row],[Comarca]]="","",
_xlfn.LET(
_xlpm.MATRIZ_COMARCA, ","&amp;TRIM(UPPER(SUBSTITUTE(SUBSTITUTE(SUBSTITUTE(SUBSTITUTE(SUBSTITUTE(SUBSTITUTE(SUBSTITUTE(SUBSTITUTE(SUBSTITUTE(SUBSTITUTE(SUBSTITUTE(SUBSTITUTE(SUBSTITUTE(SUBSTITUTE(SUBSTITUTE(SUBSTITUTE(SUBSTITUTE(SUBSTITUTE(SUBSTITUTE(SUBSTITUTE(SUBSTITUTE(SUBSTITUTE(SUBSTITUTE(SUBSTITUTE(SUBSTITUTE(SUBSTITUTE(tabSindicatos[ABRANGÊNCIA],"á","a"),"ã","a"),"â","a"),"é","e"),"ê","e"),"í","i"),"ó","o"),"õ","o"),"ô","o"),"ú","u"),"ç","c"),"Á","a"),"Ã","a"),"Â","a"),"É","e"),"Ê","e"),"Í","i"),"Ó","o"),"Õ","o"),"Ô","o"),"Ú","u"),"Ç","c"),"/MG","")," e ",", ")," ",""),".","")))&amp;",",
_xlpm.MATRIZ_FUNCAO, ","&amp;TRIM(UPPER(SUBSTITUTE(SUBSTITUTE(SUBSTITUTE(SUBSTITUTE(SUBSTITUTE(SUBSTITUTE(SUBSTITUTE(SUBSTITUTE(SUBSTITUTE(SUBSTITUTE(SUBSTITUTE(SUBSTITUTE(SUBSTITUTE(SUBSTITUTE(SUBSTITUTE(SUBSTITUTE(SUBSTITUTE(SUBSTITUTE(SUBSTITUTE(SUBSTITUTE(SUBSTITUTE(SUBSTITUTE(SUBSTITUTE(SUBSTITUTE(SUBSTITUTE(tabSindicatos[FUNÇÕES],"á","a"),"ã","a"),"â","a"),"é","e"),"ê","e"),"í","i"),"ó","o"),"õ","o"),"ô","o"),"ú","u"),"ç","c"),"Á","a"),"Ã","a"),"Â","a"),"É","e"),"Ê","e"),"Í","i"),"Ó","o"),"Õ","o"),"Ô","o"),"Ú","u"),"Ç","c")," e ",", ")," ",""),".","")))&amp;",",
IFERROR(_xlfn._xlws.FILTER(tabSindicatos[SINDICATOS],
(ISNUMBER(SEARCH(","&amp;TRIM(UPPER(SUBSTITUTE(tabPostos[[#This Row],[Comarca]]," ","")))&amp;",",_xlpm.MATRIZ_COMARCA,1)))*
(ISNUMBER(SEARCH(","&amp;TRIM(SUBSTITUTE(SUBSTITUTE(SUBSTITUTE(UPPER(tabPostos[[#This Row],[Função]])," E ",", ")," ",""),".",""))&amp;",",_xlpm.MATRIZ_FUNCAO,1)))
),"")
))</f>
        <v>Regiao de Sao Lourenco</v>
      </c>
      <c r="E93" s="148" t="s">
        <v>9</v>
      </c>
      <c r="F93" s="148" t="s">
        <v>10</v>
      </c>
      <c r="G93" s="148">
        <v>1</v>
      </c>
      <c r="H93" s="148">
        <v>0</v>
      </c>
      <c r="I93" s="216">
        <f>798.14</f>
        <v>798.14</v>
      </c>
      <c r="J93" s="247">
        <f>VLOOKUP(tabPostos[[#This Row],[CCT DA CATEGORIA]],'RELAÇÃO SINDICATOS'!A:N,11,0)</f>
        <v>45658</v>
      </c>
      <c r="K93" s="148" t="str">
        <f>VLOOKUP(tabPostos[[#This Row],[CCT DA CATEGORIA]],'RELAÇÃO SINDICATOS'!A:N,12,0)</f>
        <v>-</v>
      </c>
      <c r="L93" s="148" t="str">
        <f>VLOOKUP(tabPostos[[#This Row],[CCT DA CATEGORIA]],'RELAÇÃO SINDICATOS'!A:N,13,0)</f>
        <v>-</v>
      </c>
      <c r="M93" s="148" t="str">
        <f>VLOOKUP(tabPostos[[#This Row],[CCT DA CATEGORIA]],'RELAÇÃO SINDICATOS'!A:N,14,0)</f>
        <v>MG000594/2025</v>
      </c>
    </row>
    <row r="94" spans="1:13" x14ac:dyDescent="0.25">
      <c r="A94" s="148" t="str" cm="1">
        <f t="array" ref="A94">_xlfn.XLOOKUP(tabPostos[[#This Row],[Fonte de Recursos]]&amp;tabPostos[[#This Row],[Classificação]],tabLotacao[Lotacao]&amp;tabLotacao[Tipo],tabLotacao[Codigo Lote],"0")&amp;"."&amp;_xlfn.XLOOKUP(tabPostos[[#This Row],[Comarca]],tabComarca[COMARCA],tabComarca[Codigo Comarca],"000")&amp;"."&amp;_xlfn.XLOOKUP(tabPostos[[#This Row],[Função]],tabCargos[Cargo],tabCargos[Codigo Cargo],"00")</f>
        <v>2.261.06</v>
      </c>
      <c r="B94" s="200" t="s">
        <v>91</v>
      </c>
      <c r="C94" s="200" t="s">
        <v>1245</v>
      </c>
      <c r="D94" s="200" t="str" cm="1">
        <f t="array" ref="D94">IF(tabPostos[[#This Row],[Comarca]]="","",
_xlfn.LET(
_xlpm.MATRIZ_COMARCA, ","&amp;TRIM(UPPER(SUBSTITUTE(SUBSTITUTE(SUBSTITUTE(SUBSTITUTE(SUBSTITUTE(SUBSTITUTE(SUBSTITUTE(SUBSTITUTE(SUBSTITUTE(SUBSTITUTE(SUBSTITUTE(SUBSTITUTE(SUBSTITUTE(SUBSTITUTE(SUBSTITUTE(SUBSTITUTE(SUBSTITUTE(SUBSTITUTE(SUBSTITUTE(SUBSTITUTE(SUBSTITUTE(SUBSTITUTE(SUBSTITUTE(SUBSTITUTE(SUBSTITUTE(SUBSTITUTE(tabSindicatos[ABRANGÊNCIA],"á","a"),"ã","a"),"â","a"),"é","e"),"ê","e"),"í","i"),"ó","o"),"õ","o"),"ô","o"),"ú","u"),"ç","c"),"Á","a"),"Ã","a"),"Â","a"),"É","e"),"Ê","e"),"Í","i"),"Ó","o"),"Õ","o"),"Ô","o"),"Ú","u"),"Ç","c"),"/MG","")," e ",", ")," ",""),".","")))&amp;",",
_xlpm.MATRIZ_FUNCAO, ","&amp;TRIM(UPPER(SUBSTITUTE(SUBSTITUTE(SUBSTITUTE(SUBSTITUTE(SUBSTITUTE(SUBSTITUTE(SUBSTITUTE(SUBSTITUTE(SUBSTITUTE(SUBSTITUTE(SUBSTITUTE(SUBSTITUTE(SUBSTITUTE(SUBSTITUTE(SUBSTITUTE(SUBSTITUTE(SUBSTITUTE(SUBSTITUTE(SUBSTITUTE(SUBSTITUTE(SUBSTITUTE(SUBSTITUTE(SUBSTITUTE(SUBSTITUTE(SUBSTITUTE(tabSindicatos[FUNÇÕES],"á","a"),"ã","a"),"â","a"),"é","e"),"ê","e"),"í","i"),"ó","o"),"õ","o"),"ô","o"),"ú","u"),"ç","c"),"Á","a"),"Ã","a"),"Â","a"),"É","e"),"Ê","e"),"Í","i"),"Ó","o"),"Õ","o"),"Ô","o"),"Ú","u"),"Ç","c")," e ",", ")," ",""),".","")))&amp;",",
IFERROR(_xlfn._xlws.FILTER(tabSindicatos[SINDICATOS],
(ISNUMBER(SEARCH(","&amp;TRIM(UPPER(SUBSTITUTE(tabPostos[[#This Row],[Comarca]]," ","")))&amp;",",_xlpm.MATRIZ_COMARCA,1)))*
(ISNUMBER(SEARCH(","&amp;TRIM(SUBSTITUTE(SUBSTITUTE(SUBSTITUTE(UPPER(tabPostos[[#This Row],[Função]])," E ",", ")," ",""),".",""))&amp;",",_xlpm.MATRIZ_FUNCAO,1)))
),"")
))</f>
        <v>Regiao de Sao Lourenco</v>
      </c>
      <c r="E94" s="148" t="s">
        <v>9</v>
      </c>
      <c r="F94" s="148" t="s">
        <v>10</v>
      </c>
      <c r="G94" s="148">
        <v>1</v>
      </c>
      <c r="H94" s="148">
        <v>0</v>
      </c>
      <c r="I94" s="216">
        <f>1596.28</f>
        <v>1596.28</v>
      </c>
      <c r="J94" s="247">
        <f>VLOOKUP(tabPostos[[#This Row],[CCT DA CATEGORIA]],'RELAÇÃO SINDICATOS'!A:N,11,0)</f>
        <v>45658</v>
      </c>
      <c r="K94" s="148" t="str">
        <f>VLOOKUP(tabPostos[[#This Row],[CCT DA CATEGORIA]],'RELAÇÃO SINDICATOS'!A:N,12,0)</f>
        <v>-</v>
      </c>
      <c r="L94" s="148" t="str">
        <f>VLOOKUP(tabPostos[[#This Row],[CCT DA CATEGORIA]],'RELAÇÃO SINDICATOS'!A:N,13,0)</f>
        <v>-</v>
      </c>
      <c r="M94" s="148" t="str">
        <f>VLOOKUP(tabPostos[[#This Row],[CCT DA CATEGORIA]],'RELAÇÃO SINDICATOS'!A:N,14,0)</f>
        <v>MG000594/2025</v>
      </c>
    </row>
    <row r="95" spans="1:13" x14ac:dyDescent="0.25">
      <c r="A95" s="148" t="str" cm="1">
        <f t="array" ref="A95">_xlfn.XLOOKUP(tabPostos[[#This Row],[Fonte de Recursos]]&amp;tabPostos[[#This Row],[Classificação]],tabLotacao[Lotacao]&amp;tabLotacao[Tipo],tabLotacao[Codigo Lote],"0")&amp;"."&amp;_xlfn.XLOOKUP(tabPostos[[#This Row],[Comarca]],tabComarca[COMARCA],tabComarca[Codigo Comarca],"000")&amp;"."&amp;_xlfn.XLOOKUP(tabPostos[[#This Row],[Função]],tabCargos[Cargo],tabCargos[Codigo Cargo],"00")</f>
        <v>2.267.06</v>
      </c>
      <c r="B95" s="200" t="s">
        <v>92</v>
      </c>
      <c r="C95" s="200" t="s">
        <v>1245</v>
      </c>
      <c r="D95" s="200" t="str" cm="1">
        <f t="array" ref="D95">IF(tabPostos[[#This Row],[Comarca]]="","",
_xlfn.LET(
_xlpm.MATRIZ_COMARCA, ","&amp;TRIM(UPPER(SUBSTITUTE(SUBSTITUTE(SUBSTITUTE(SUBSTITUTE(SUBSTITUTE(SUBSTITUTE(SUBSTITUTE(SUBSTITUTE(SUBSTITUTE(SUBSTITUTE(SUBSTITUTE(SUBSTITUTE(SUBSTITUTE(SUBSTITUTE(SUBSTITUTE(SUBSTITUTE(SUBSTITUTE(SUBSTITUTE(SUBSTITUTE(SUBSTITUTE(SUBSTITUTE(SUBSTITUTE(SUBSTITUTE(SUBSTITUTE(SUBSTITUTE(SUBSTITUTE(tabSindicatos[ABRANGÊNCIA],"á","a"),"ã","a"),"â","a"),"é","e"),"ê","e"),"í","i"),"ó","o"),"õ","o"),"ô","o"),"ú","u"),"ç","c"),"Á","a"),"Ã","a"),"Â","a"),"É","e"),"Ê","e"),"Í","i"),"Ó","o"),"Õ","o"),"Ô","o"),"Ú","u"),"Ç","c"),"/MG","")," e ",", ")," ",""),".","")))&amp;",",
_xlpm.MATRIZ_FUNCAO, ","&amp;TRIM(UPPER(SUBSTITUTE(SUBSTITUTE(SUBSTITUTE(SUBSTITUTE(SUBSTITUTE(SUBSTITUTE(SUBSTITUTE(SUBSTITUTE(SUBSTITUTE(SUBSTITUTE(SUBSTITUTE(SUBSTITUTE(SUBSTITUTE(SUBSTITUTE(SUBSTITUTE(SUBSTITUTE(SUBSTITUTE(SUBSTITUTE(SUBSTITUTE(SUBSTITUTE(SUBSTITUTE(SUBSTITUTE(SUBSTITUTE(SUBSTITUTE(SUBSTITUTE(tabSindicatos[FUNÇÕES],"á","a"),"ã","a"),"â","a"),"é","e"),"ê","e"),"í","i"),"ó","o"),"õ","o"),"ô","o"),"ú","u"),"ç","c"),"Á","a"),"Ã","a"),"Â","a"),"É","e"),"Ê","e"),"Í","i"),"Ó","o"),"Õ","o"),"Ô","o"),"Ú","u"),"Ç","c")," e ",", ")," ",""),".","")))&amp;",",
IFERROR(_xlfn._xlws.FILTER(tabSindicatos[SINDICATOS],
(ISNUMBER(SEARCH(","&amp;TRIM(UPPER(SUBSTITUTE(tabPostos[[#This Row],[Comarca]]," ","")))&amp;",",_xlpm.MATRIZ_COMARCA,1)))*
(ISNUMBER(SEARCH(","&amp;TRIM(SUBSTITUTE(SUBSTITUTE(SUBSTITUTE(UPPER(tabPostos[[#This Row],[Função]])," E ",", ")," ",""),".",""))&amp;",",_xlpm.MATRIZ_FUNCAO,1)))
),"")
))</f>
        <v>Sethac Norte de Minas</v>
      </c>
      <c r="E95" s="148" t="s">
        <v>9</v>
      </c>
      <c r="F95" s="148" t="s">
        <v>10</v>
      </c>
      <c r="G95" s="148">
        <v>1</v>
      </c>
      <c r="H95" s="148">
        <v>0</v>
      </c>
      <c r="I95" s="216">
        <f>1596.28</f>
        <v>1596.28</v>
      </c>
      <c r="J95" s="247">
        <f>VLOOKUP(tabPostos[[#This Row],[CCT DA CATEGORIA]],'RELAÇÃO SINDICATOS'!A:N,11,0)</f>
        <v>45658</v>
      </c>
      <c r="K95" s="148" t="str">
        <f>VLOOKUP(tabPostos[[#This Row],[CCT DA CATEGORIA]],'RELAÇÃO SINDICATOS'!A:N,12,0)</f>
        <v>-</v>
      </c>
      <c r="L95" s="148" t="str">
        <f>VLOOKUP(tabPostos[[#This Row],[CCT DA CATEGORIA]],'RELAÇÃO SINDICATOS'!A:N,13,0)</f>
        <v>-</v>
      </c>
      <c r="M95" s="148" t="str">
        <f>VLOOKUP(tabPostos[[#This Row],[CCT DA CATEGORIA]],'RELAÇÃO SINDICATOS'!A:N,14,0)</f>
        <v>MG000256/2025</v>
      </c>
    </row>
    <row r="96" spans="1:13" x14ac:dyDescent="0.25">
      <c r="A96" s="148" t="str" cm="1">
        <f t="array" ref="A96">_xlfn.XLOOKUP(tabPostos[[#This Row],[Fonte de Recursos]]&amp;tabPostos[[#This Row],[Classificação]],tabLotacao[Lotacao]&amp;tabLotacao[Tipo],tabLotacao[Codigo Lote],"0")&amp;"."&amp;_xlfn.XLOOKUP(tabPostos[[#This Row],[Comarca]],tabComarca[COMARCA],tabComarca[Codigo Comarca],"000")&amp;"."&amp;_xlfn.XLOOKUP(tabPostos[[#This Row],[Função]],tabCargos[Cargo],tabCargos[Codigo Cargo],"00")</f>
        <v>2.271.04</v>
      </c>
      <c r="B96" s="200" t="s">
        <v>93</v>
      </c>
      <c r="C96" s="200" t="s">
        <v>1244</v>
      </c>
      <c r="D96" s="200" t="str" cm="1">
        <f t="array" ref="D96">IF(tabPostos[[#This Row],[Comarca]]="","",
_xlfn.LET(
_xlpm.MATRIZ_COMARCA, ","&amp;TRIM(UPPER(SUBSTITUTE(SUBSTITUTE(SUBSTITUTE(SUBSTITUTE(SUBSTITUTE(SUBSTITUTE(SUBSTITUTE(SUBSTITUTE(SUBSTITUTE(SUBSTITUTE(SUBSTITUTE(SUBSTITUTE(SUBSTITUTE(SUBSTITUTE(SUBSTITUTE(SUBSTITUTE(SUBSTITUTE(SUBSTITUTE(SUBSTITUTE(SUBSTITUTE(SUBSTITUTE(SUBSTITUTE(SUBSTITUTE(SUBSTITUTE(SUBSTITUTE(SUBSTITUTE(tabSindicatos[ABRANGÊNCIA],"á","a"),"ã","a"),"â","a"),"é","e"),"ê","e"),"í","i"),"ó","o"),"õ","o"),"ô","o"),"ú","u"),"ç","c"),"Á","a"),"Ã","a"),"Â","a"),"É","e"),"Ê","e"),"Í","i"),"Ó","o"),"Õ","o"),"Ô","o"),"Ú","u"),"Ç","c"),"/MG","")," e ",", ")," ",""),".","")))&amp;",",
_xlpm.MATRIZ_FUNCAO, ","&amp;TRIM(UPPER(SUBSTITUTE(SUBSTITUTE(SUBSTITUTE(SUBSTITUTE(SUBSTITUTE(SUBSTITUTE(SUBSTITUTE(SUBSTITUTE(SUBSTITUTE(SUBSTITUTE(SUBSTITUTE(SUBSTITUTE(SUBSTITUTE(SUBSTITUTE(SUBSTITUTE(SUBSTITUTE(SUBSTITUTE(SUBSTITUTE(SUBSTITUTE(SUBSTITUTE(SUBSTITUTE(SUBSTITUTE(SUBSTITUTE(SUBSTITUTE(SUBSTITUTE(tabSindicatos[FUNÇÕES],"á","a"),"ã","a"),"â","a"),"é","e"),"ê","e"),"í","i"),"ó","o"),"õ","o"),"ô","o"),"ú","u"),"ç","c"),"Á","a"),"Ã","a"),"Â","a"),"É","e"),"Ê","e"),"Í","i"),"Ó","o"),"Õ","o"),"Ô","o"),"Ú","u"),"Ç","c")," e ",", ")," ",""),".","")))&amp;",",
IFERROR(_xlfn._xlws.FILTER(tabSindicatos[SINDICATOS],
(ISNUMBER(SEARCH(","&amp;TRIM(UPPER(SUBSTITUTE(tabPostos[[#This Row],[Comarca]]," ","")))&amp;",",_xlpm.MATRIZ_COMARCA,1)))*
(ISNUMBER(SEARCH(","&amp;TRIM(SUBSTITUTE(SUBSTITUTE(SUBSTITUTE(UPPER(tabPostos[[#This Row],[Função]])," E ",", ")," ",""),".",""))&amp;",",_xlpm.MATRIZ_FUNCAO,1)))
),"")
))</f>
        <v>Regiao Uberaba</v>
      </c>
      <c r="E96" s="148" t="s">
        <v>9</v>
      </c>
      <c r="F96" s="148" t="s">
        <v>10</v>
      </c>
      <c r="G96" s="148">
        <v>1</v>
      </c>
      <c r="H96" s="148">
        <v>0</v>
      </c>
      <c r="I96" s="216">
        <f>798.14</f>
        <v>798.14</v>
      </c>
      <c r="J96" s="247">
        <f>VLOOKUP(tabPostos[[#This Row],[CCT DA CATEGORIA]],'RELAÇÃO SINDICATOS'!A:N,11,0)</f>
        <v>45658</v>
      </c>
      <c r="K96" s="148" t="str">
        <f>VLOOKUP(tabPostos[[#This Row],[CCT DA CATEGORIA]],'RELAÇÃO SINDICATOS'!A:N,12,0)</f>
        <v>-</v>
      </c>
      <c r="L96" s="148" t="str">
        <f>VLOOKUP(tabPostos[[#This Row],[CCT DA CATEGORIA]],'RELAÇÃO SINDICATOS'!A:N,13,0)</f>
        <v>-</v>
      </c>
      <c r="M96" s="148" t="str">
        <f>VLOOKUP(tabPostos[[#This Row],[CCT DA CATEGORIA]],'RELAÇÃO SINDICATOS'!A:N,14,0)</f>
        <v>MG000478/2025</v>
      </c>
    </row>
    <row r="97" spans="1:13" x14ac:dyDescent="0.25">
      <c r="A97" s="148" t="str" cm="1">
        <f t="array" ref="A97">_xlfn.XLOOKUP(tabPostos[[#This Row],[Fonte de Recursos]]&amp;tabPostos[[#This Row],[Classificação]],tabLotacao[Lotacao]&amp;tabLotacao[Tipo],tabLotacao[Codigo Lote],"0")&amp;"."&amp;_xlfn.XLOOKUP(tabPostos[[#This Row],[Comarca]],tabComarca[COMARCA],tabComarca[Codigo Comarca],"000")&amp;"."&amp;_xlfn.XLOOKUP(tabPostos[[#This Row],[Função]],tabCargos[Cargo],tabCargos[Codigo Cargo],"00")</f>
        <v>2.271.06</v>
      </c>
      <c r="B97" s="200" t="s">
        <v>93</v>
      </c>
      <c r="C97" s="200" t="s">
        <v>1245</v>
      </c>
      <c r="D97" s="200" t="str" cm="1">
        <f t="array" ref="D97">IF(tabPostos[[#This Row],[Comarca]]="","",
_xlfn.LET(
_xlpm.MATRIZ_COMARCA, ","&amp;TRIM(UPPER(SUBSTITUTE(SUBSTITUTE(SUBSTITUTE(SUBSTITUTE(SUBSTITUTE(SUBSTITUTE(SUBSTITUTE(SUBSTITUTE(SUBSTITUTE(SUBSTITUTE(SUBSTITUTE(SUBSTITUTE(SUBSTITUTE(SUBSTITUTE(SUBSTITUTE(SUBSTITUTE(SUBSTITUTE(SUBSTITUTE(SUBSTITUTE(SUBSTITUTE(SUBSTITUTE(SUBSTITUTE(SUBSTITUTE(SUBSTITUTE(SUBSTITUTE(SUBSTITUTE(tabSindicatos[ABRANGÊNCIA],"á","a"),"ã","a"),"â","a"),"é","e"),"ê","e"),"í","i"),"ó","o"),"õ","o"),"ô","o"),"ú","u"),"ç","c"),"Á","a"),"Ã","a"),"Â","a"),"É","e"),"Ê","e"),"Í","i"),"Ó","o"),"Õ","o"),"Ô","o"),"Ú","u"),"Ç","c"),"/MG","")," e ",", ")," ",""),".","")))&amp;",",
_xlpm.MATRIZ_FUNCAO, ","&amp;TRIM(UPPER(SUBSTITUTE(SUBSTITUTE(SUBSTITUTE(SUBSTITUTE(SUBSTITUTE(SUBSTITUTE(SUBSTITUTE(SUBSTITUTE(SUBSTITUTE(SUBSTITUTE(SUBSTITUTE(SUBSTITUTE(SUBSTITUTE(SUBSTITUTE(SUBSTITUTE(SUBSTITUTE(SUBSTITUTE(SUBSTITUTE(SUBSTITUTE(SUBSTITUTE(SUBSTITUTE(SUBSTITUTE(SUBSTITUTE(SUBSTITUTE(SUBSTITUTE(tabSindicatos[FUNÇÕES],"á","a"),"ã","a"),"â","a"),"é","e"),"ê","e"),"í","i"),"ó","o"),"õ","o"),"ô","o"),"ú","u"),"ç","c"),"Á","a"),"Ã","a"),"Â","a"),"É","e"),"Ê","e"),"Í","i"),"Ó","o"),"Õ","o"),"Ô","o"),"Ú","u"),"Ç","c")," e ",", ")," ",""),".","")))&amp;",",
IFERROR(_xlfn._xlws.FILTER(tabSindicatos[SINDICATOS],
(ISNUMBER(SEARCH(","&amp;TRIM(UPPER(SUBSTITUTE(tabPostos[[#This Row],[Comarca]]," ","")))&amp;",",_xlpm.MATRIZ_COMARCA,1)))*
(ISNUMBER(SEARCH(","&amp;TRIM(SUBSTITUTE(SUBSTITUTE(SUBSTITUTE(UPPER(tabPostos[[#This Row],[Função]])," E ",", ")," ",""),".",""))&amp;",",_xlpm.MATRIZ_FUNCAO,1)))
),"")
))</f>
        <v>Regiao Uberaba</v>
      </c>
      <c r="E97" s="148" t="s">
        <v>9</v>
      </c>
      <c r="F97" s="148" t="s">
        <v>10</v>
      </c>
      <c r="G97" s="148">
        <v>1</v>
      </c>
      <c r="H97" s="148">
        <v>0</v>
      </c>
      <c r="I97" s="216">
        <f>1596.28</f>
        <v>1596.28</v>
      </c>
      <c r="J97" s="247">
        <f>VLOOKUP(tabPostos[[#This Row],[CCT DA CATEGORIA]],'RELAÇÃO SINDICATOS'!A:N,11,0)</f>
        <v>45658</v>
      </c>
      <c r="K97" s="148" t="str">
        <f>VLOOKUP(tabPostos[[#This Row],[CCT DA CATEGORIA]],'RELAÇÃO SINDICATOS'!A:N,12,0)</f>
        <v>-</v>
      </c>
      <c r="L97" s="148" t="str">
        <f>VLOOKUP(tabPostos[[#This Row],[CCT DA CATEGORIA]],'RELAÇÃO SINDICATOS'!A:N,13,0)</f>
        <v>-</v>
      </c>
      <c r="M97" s="148" t="str">
        <f>VLOOKUP(tabPostos[[#This Row],[CCT DA CATEGORIA]],'RELAÇÃO SINDICATOS'!A:N,14,0)</f>
        <v>MG000478/2025</v>
      </c>
    </row>
    <row r="98" spans="1:13" x14ac:dyDescent="0.25">
      <c r="A98" s="148" t="str" cm="1">
        <f t="array" ref="A98">_xlfn.XLOOKUP(tabPostos[[#This Row],[Fonte de Recursos]]&amp;tabPostos[[#This Row],[Classificação]],tabLotacao[Lotacao]&amp;tabLotacao[Tipo],tabLotacao[Codigo Lote],"0")&amp;"."&amp;_xlfn.XLOOKUP(tabPostos[[#This Row],[Comarca]],tabComarca[COMARCA],tabComarca[Codigo Comarca],"000")&amp;"."&amp;_xlfn.XLOOKUP(tabPostos[[#This Row],[Função]],tabCargos[Cargo],tabCargos[Codigo Cargo],"00")</f>
        <v>2.105.04</v>
      </c>
      <c r="B98" s="200" t="s">
        <v>94</v>
      </c>
      <c r="C98" s="200" t="s">
        <v>1244</v>
      </c>
      <c r="D98" s="200" t="str" cm="1">
        <f t="array" ref="D98">IF(tabPostos[[#This Row],[Comarca]]="","",
_xlfn.LET(
_xlpm.MATRIZ_COMARCA, ","&amp;TRIM(UPPER(SUBSTITUTE(SUBSTITUTE(SUBSTITUTE(SUBSTITUTE(SUBSTITUTE(SUBSTITUTE(SUBSTITUTE(SUBSTITUTE(SUBSTITUTE(SUBSTITUTE(SUBSTITUTE(SUBSTITUTE(SUBSTITUTE(SUBSTITUTE(SUBSTITUTE(SUBSTITUTE(SUBSTITUTE(SUBSTITUTE(SUBSTITUTE(SUBSTITUTE(SUBSTITUTE(SUBSTITUTE(SUBSTITUTE(SUBSTITUTE(SUBSTITUTE(SUBSTITUTE(tabSindicatos[ABRANGÊNCIA],"á","a"),"ã","a"),"â","a"),"é","e"),"ê","e"),"í","i"),"ó","o"),"õ","o"),"ô","o"),"ú","u"),"ç","c"),"Á","a"),"Ã","a"),"Â","a"),"É","e"),"Ê","e"),"Í","i"),"Ó","o"),"Õ","o"),"Ô","o"),"Ú","u"),"Ç","c"),"/MG","")," e ",", ")," ",""),".","")))&amp;",",
_xlpm.MATRIZ_FUNCAO, ","&amp;TRIM(UPPER(SUBSTITUTE(SUBSTITUTE(SUBSTITUTE(SUBSTITUTE(SUBSTITUTE(SUBSTITUTE(SUBSTITUTE(SUBSTITUTE(SUBSTITUTE(SUBSTITUTE(SUBSTITUTE(SUBSTITUTE(SUBSTITUTE(SUBSTITUTE(SUBSTITUTE(SUBSTITUTE(SUBSTITUTE(SUBSTITUTE(SUBSTITUTE(SUBSTITUTE(SUBSTITUTE(SUBSTITUTE(SUBSTITUTE(SUBSTITUTE(SUBSTITUTE(tabSindicatos[FUNÇÕES],"á","a"),"ã","a"),"â","a"),"é","e"),"ê","e"),"í","i"),"ó","o"),"õ","o"),"ô","o"),"ú","u"),"ç","c"),"Á","a"),"Ã","a"),"Â","a"),"É","e"),"Ê","e"),"Í","i"),"Ó","o"),"Õ","o"),"Ô","o"),"Ú","u"),"Ç","c")," e ",", ")," ",""),".","")))&amp;",",
IFERROR(_xlfn._xlws.FILTER(tabSindicatos[SINDICATOS],
(ISNUMBER(SEARCH(","&amp;TRIM(UPPER(SUBSTITUTE(tabPostos[[#This Row],[Comarca]]," ","")))&amp;",",_xlpm.MATRIZ_COMARCA,1)))*
(ISNUMBER(SEARCH(","&amp;TRIM(SUBSTITUTE(SUBSTITUTE(SUBSTITUTE(UPPER(tabPostos[[#This Row],[Função]])," E ",", ")," ",""),".",""))&amp;",",_xlpm.MATRIZ_FUNCAO,1)))
),"")
))</f>
        <v>Gov. Valadares</v>
      </c>
      <c r="E98" s="148" t="s">
        <v>9</v>
      </c>
      <c r="F98" s="148" t="s">
        <v>10</v>
      </c>
      <c r="G98" s="148">
        <v>1</v>
      </c>
      <c r="H98" s="148">
        <v>0</v>
      </c>
      <c r="I98" s="216">
        <f>824.56</f>
        <v>824.56</v>
      </c>
      <c r="J98" s="247">
        <f>VLOOKUP(tabPostos[[#This Row],[CCT DA CATEGORIA]],'RELAÇÃO SINDICATOS'!A:N,11,0)</f>
        <v>45658</v>
      </c>
      <c r="K98" s="148" t="str">
        <f>VLOOKUP(tabPostos[[#This Row],[CCT DA CATEGORIA]],'RELAÇÃO SINDICATOS'!A:N,12,0)</f>
        <v>-</v>
      </c>
      <c r="L98" s="148" t="str">
        <f>VLOOKUP(tabPostos[[#This Row],[CCT DA CATEGORIA]],'RELAÇÃO SINDICATOS'!A:N,13,0)</f>
        <v>-</v>
      </c>
      <c r="M98" s="148" t="str">
        <f>VLOOKUP(tabPostos[[#This Row],[CCT DA CATEGORIA]],'RELAÇÃO SINDICATOS'!A:N,14,0)</f>
        <v>MG002846/2025</v>
      </c>
    </row>
    <row r="99" spans="1:13" x14ac:dyDescent="0.25">
      <c r="A99" s="148" t="str" cm="1">
        <f t="array" ref="A99">_xlfn.XLOOKUP(tabPostos[[#This Row],[Fonte de Recursos]]&amp;tabPostos[[#This Row],[Classificação]],tabLotacao[Lotacao]&amp;tabLotacao[Tipo],tabLotacao[Codigo Lote],"0")&amp;"."&amp;_xlfn.XLOOKUP(tabPostos[[#This Row],[Comarca]],tabComarca[COMARCA],tabComarca[Codigo Comarca],"000")&amp;"."&amp;_xlfn.XLOOKUP(tabPostos[[#This Row],[Função]],tabCargos[Cargo],tabCargos[Codigo Cargo],"00")</f>
        <v>2.105.06</v>
      </c>
      <c r="B99" s="200" t="s">
        <v>94</v>
      </c>
      <c r="C99" s="200" t="s">
        <v>1245</v>
      </c>
      <c r="D99" s="200" t="str" cm="1">
        <f t="array" ref="D99">IF(tabPostos[[#This Row],[Comarca]]="","",
_xlfn.LET(
_xlpm.MATRIZ_COMARCA, ","&amp;TRIM(UPPER(SUBSTITUTE(SUBSTITUTE(SUBSTITUTE(SUBSTITUTE(SUBSTITUTE(SUBSTITUTE(SUBSTITUTE(SUBSTITUTE(SUBSTITUTE(SUBSTITUTE(SUBSTITUTE(SUBSTITUTE(SUBSTITUTE(SUBSTITUTE(SUBSTITUTE(SUBSTITUTE(SUBSTITUTE(SUBSTITUTE(SUBSTITUTE(SUBSTITUTE(SUBSTITUTE(SUBSTITUTE(SUBSTITUTE(SUBSTITUTE(SUBSTITUTE(SUBSTITUTE(tabSindicatos[ABRANGÊNCIA],"á","a"),"ã","a"),"â","a"),"é","e"),"ê","e"),"í","i"),"ó","o"),"õ","o"),"ô","o"),"ú","u"),"ç","c"),"Á","a"),"Ã","a"),"Â","a"),"É","e"),"Ê","e"),"Í","i"),"Ó","o"),"Õ","o"),"Ô","o"),"Ú","u"),"Ç","c"),"/MG","")," e ",", ")," ",""),".","")))&amp;",",
_xlpm.MATRIZ_FUNCAO, ","&amp;TRIM(UPPER(SUBSTITUTE(SUBSTITUTE(SUBSTITUTE(SUBSTITUTE(SUBSTITUTE(SUBSTITUTE(SUBSTITUTE(SUBSTITUTE(SUBSTITUTE(SUBSTITUTE(SUBSTITUTE(SUBSTITUTE(SUBSTITUTE(SUBSTITUTE(SUBSTITUTE(SUBSTITUTE(SUBSTITUTE(SUBSTITUTE(SUBSTITUTE(SUBSTITUTE(SUBSTITUTE(SUBSTITUTE(SUBSTITUTE(SUBSTITUTE(SUBSTITUTE(tabSindicatos[FUNÇÕES],"á","a"),"ã","a"),"â","a"),"é","e"),"ê","e"),"í","i"),"ó","o"),"õ","o"),"ô","o"),"ú","u"),"ç","c"),"Á","a"),"Ã","a"),"Â","a"),"É","e"),"Ê","e"),"Í","i"),"Ó","o"),"Õ","o"),"Ô","o"),"Ú","u"),"Ç","c")," e ",", ")," ",""),".","")))&amp;",",
IFERROR(_xlfn._xlws.FILTER(tabSindicatos[SINDICATOS],
(ISNUMBER(SEARCH(","&amp;TRIM(UPPER(SUBSTITUTE(tabPostos[[#This Row],[Comarca]]," ","")))&amp;",",_xlpm.MATRIZ_COMARCA,1)))*
(ISNUMBER(SEARCH(","&amp;TRIM(SUBSTITUTE(SUBSTITUTE(SUBSTITUTE(UPPER(tabPostos[[#This Row],[Função]])," E ",", ")," ",""),".",""))&amp;",",_xlpm.MATRIZ_FUNCAO,1)))
),"")
))</f>
        <v>Gov. Valadares</v>
      </c>
      <c r="E99" s="148" t="s">
        <v>9</v>
      </c>
      <c r="F99" s="148" t="s">
        <v>10</v>
      </c>
      <c r="G99" s="148">
        <v>8</v>
      </c>
      <c r="H99" s="148">
        <v>0</v>
      </c>
      <c r="I99" s="216">
        <f>1.07*1541.23</f>
        <v>1649.1161000000002</v>
      </c>
      <c r="J99" s="247">
        <f>VLOOKUP(tabPostos[[#This Row],[CCT DA CATEGORIA]],'RELAÇÃO SINDICATOS'!A:N,11,0)</f>
        <v>45658</v>
      </c>
      <c r="K99" s="148" t="str">
        <f>VLOOKUP(tabPostos[[#This Row],[CCT DA CATEGORIA]],'RELAÇÃO SINDICATOS'!A:N,12,0)</f>
        <v>-</v>
      </c>
      <c r="L99" s="148" t="str">
        <f>VLOOKUP(tabPostos[[#This Row],[CCT DA CATEGORIA]],'RELAÇÃO SINDICATOS'!A:N,13,0)</f>
        <v>-</v>
      </c>
      <c r="M99" s="148" t="str">
        <f>VLOOKUP(tabPostos[[#This Row],[CCT DA CATEGORIA]],'RELAÇÃO SINDICATOS'!A:N,14,0)</f>
        <v>MG002846/2025</v>
      </c>
    </row>
    <row r="100" spans="1:13" x14ac:dyDescent="0.25">
      <c r="A100" s="148" t="str" cm="1">
        <f t="array" ref="A100">_xlfn.XLOOKUP(tabPostos[[#This Row],[Fonte de Recursos]]&amp;tabPostos[[#This Row],[Classificação]],tabLotacao[Lotacao]&amp;tabLotacao[Tipo],tabLotacao[Codigo Lote],"0")&amp;"."&amp;_xlfn.XLOOKUP(tabPostos[[#This Row],[Comarca]],tabComarca[COMARCA],tabComarca[Codigo Comarca],"000")&amp;"."&amp;_xlfn.XLOOKUP(tabPostos[[#This Row],[Função]],tabCargos[Cargo],tabCargos[Codigo Cargo],"00")</f>
        <v>2.278.03</v>
      </c>
      <c r="B100" s="200" t="s">
        <v>95</v>
      </c>
      <c r="C100" s="200" t="s">
        <v>1247</v>
      </c>
      <c r="D100" s="200" t="str" cm="1">
        <f t="array" ref="D100">IF(tabPostos[[#This Row],[Comarca]]="","",
_xlfn.LET(
_xlpm.MATRIZ_COMARCA, ","&amp;TRIM(UPPER(SUBSTITUTE(SUBSTITUTE(SUBSTITUTE(SUBSTITUTE(SUBSTITUTE(SUBSTITUTE(SUBSTITUTE(SUBSTITUTE(SUBSTITUTE(SUBSTITUTE(SUBSTITUTE(SUBSTITUTE(SUBSTITUTE(SUBSTITUTE(SUBSTITUTE(SUBSTITUTE(SUBSTITUTE(SUBSTITUTE(SUBSTITUTE(SUBSTITUTE(SUBSTITUTE(SUBSTITUTE(SUBSTITUTE(SUBSTITUTE(SUBSTITUTE(SUBSTITUTE(tabSindicatos[ABRANGÊNCIA],"á","a"),"ã","a"),"â","a"),"é","e"),"ê","e"),"í","i"),"ó","o"),"õ","o"),"ô","o"),"ú","u"),"ç","c"),"Á","a"),"Ã","a"),"Â","a"),"É","e"),"Ê","e"),"Í","i"),"Ó","o"),"Õ","o"),"Ô","o"),"Ú","u"),"Ç","c"),"/MG","")," e ",", ")," ",""),".","")))&amp;",",
_xlpm.MATRIZ_FUNCAO, ","&amp;TRIM(UPPER(SUBSTITUTE(SUBSTITUTE(SUBSTITUTE(SUBSTITUTE(SUBSTITUTE(SUBSTITUTE(SUBSTITUTE(SUBSTITUTE(SUBSTITUTE(SUBSTITUTE(SUBSTITUTE(SUBSTITUTE(SUBSTITUTE(SUBSTITUTE(SUBSTITUTE(SUBSTITUTE(SUBSTITUTE(SUBSTITUTE(SUBSTITUTE(SUBSTITUTE(SUBSTITUTE(SUBSTITUTE(SUBSTITUTE(SUBSTITUTE(SUBSTITUTE(tabSindicatos[FUNÇÕES],"á","a"),"ã","a"),"â","a"),"é","e"),"ê","e"),"í","i"),"ó","o"),"õ","o"),"ô","o"),"ú","u"),"ç","c"),"Á","a"),"Ã","a"),"Â","a"),"É","e"),"Ê","e"),"Í","i"),"Ó","o"),"Õ","o"),"Ô","o"),"Ú","u"),"Ç","c")," e ",", ")," ",""),".","")))&amp;",",
IFERROR(_xlfn._xlws.FILTER(tabSindicatos[SINDICATOS],
(ISNUMBER(SEARCH(","&amp;TRIM(UPPER(SUBSTITUTE(tabPostos[[#This Row],[Comarca]]," ","")))&amp;",",_xlpm.MATRIZ_COMARCA,1)))*
(ISNUMBER(SEARCH(","&amp;TRIM(SUBSTITUTE(SUBSTITUTE(SUBSTITUTE(UPPER(tabPostos[[#This Row],[Função]])," E ",", ")," ",""),".",""))&amp;",",_xlpm.MATRIZ_FUNCAO,1)))
),"")
))</f>
        <v>Sethac Norte de Minas</v>
      </c>
      <c r="E100" s="148" t="s">
        <v>9</v>
      </c>
      <c r="F100" s="148" t="s">
        <v>10</v>
      </c>
      <c r="G100" s="148">
        <v>1</v>
      </c>
      <c r="H100" s="148">
        <v>0</v>
      </c>
      <c r="I100" s="216">
        <f>544.18</f>
        <v>544.17999999999995</v>
      </c>
      <c r="J100" s="247">
        <f>VLOOKUP(tabPostos[[#This Row],[CCT DA CATEGORIA]],'RELAÇÃO SINDICATOS'!A:N,11,0)</f>
        <v>45658</v>
      </c>
      <c r="K100" s="148" t="str">
        <f>VLOOKUP(tabPostos[[#This Row],[CCT DA CATEGORIA]],'RELAÇÃO SINDICATOS'!A:N,12,0)</f>
        <v>-</v>
      </c>
      <c r="L100" s="148" t="str">
        <f>VLOOKUP(tabPostos[[#This Row],[CCT DA CATEGORIA]],'RELAÇÃO SINDICATOS'!A:N,13,0)</f>
        <v>-</v>
      </c>
      <c r="M100" s="148" t="str">
        <f>VLOOKUP(tabPostos[[#This Row],[CCT DA CATEGORIA]],'RELAÇÃO SINDICATOS'!A:N,14,0)</f>
        <v>MG000256/2025</v>
      </c>
    </row>
    <row r="101" spans="1:13" x14ac:dyDescent="0.25">
      <c r="A101" s="148" t="str" cm="1">
        <f t="array" ref="A101">_xlfn.XLOOKUP(tabPostos[[#This Row],[Fonte de Recursos]]&amp;tabPostos[[#This Row],[Classificação]],tabLotacao[Lotacao]&amp;tabLotacao[Tipo],tabLotacao[Codigo Lote],"0")&amp;"."&amp;_xlfn.XLOOKUP(tabPostos[[#This Row],[Comarca]],tabComarca[COMARCA],tabComarca[Codigo Comarca],"000")&amp;"."&amp;_xlfn.XLOOKUP(tabPostos[[#This Row],[Função]],tabCargos[Cargo],tabCargos[Codigo Cargo],"00")</f>
        <v>2.280.05</v>
      </c>
      <c r="B101" s="200" t="s">
        <v>96</v>
      </c>
      <c r="C101" s="200" t="s">
        <v>1246</v>
      </c>
      <c r="D101" s="200" t="str" cm="1">
        <f t="array" ref="D101">IF(tabPostos[[#This Row],[Comarca]]="","",
_xlfn.LET(
_xlpm.MATRIZ_COMARCA, ","&amp;TRIM(UPPER(SUBSTITUTE(SUBSTITUTE(SUBSTITUTE(SUBSTITUTE(SUBSTITUTE(SUBSTITUTE(SUBSTITUTE(SUBSTITUTE(SUBSTITUTE(SUBSTITUTE(SUBSTITUTE(SUBSTITUTE(SUBSTITUTE(SUBSTITUTE(SUBSTITUTE(SUBSTITUTE(SUBSTITUTE(SUBSTITUTE(SUBSTITUTE(SUBSTITUTE(SUBSTITUTE(SUBSTITUTE(SUBSTITUTE(SUBSTITUTE(SUBSTITUTE(SUBSTITUTE(tabSindicatos[ABRANGÊNCIA],"á","a"),"ã","a"),"â","a"),"é","e"),"ê","e"),"í","i"),"ó","o"),"õ","o"),"ô","o"),"ú","u"),"ç","c"),"Á","a"),"Ã","a"),"Â","a"),"É","e"),"Ê","e"),"Í","i"),"Ó","o"),"Õ","o"),"Ô","o"),"Ú","u"),"Ç","c"),"/MG","")," e ",", ")," ",""),".","")))&amp;",",
_xlpm.MATRIZ_FUNCAO, ","&amp;TRIM(UPPER(SUBSTITUTE(SUBSTITUTE(SUBSTITUTE(SUBSTITUTE(SUBSTITUTE(SUBSTITUTE(SUBSTITUTE(SUBSTITUTE(SUBSTITUTE(SUBSTITUTE(SUBSTITUTE(SUBSTITUTE(SUBSTITUTE(SUBSTITUTE(SUBSTITUTE(SUBSTITUTE(SUBSTITUTE(SUBSTITUTE(SUBSTITUTE(SUBSTITUTE(SUBSTITUTE(SUBSTITUTE(SUBSTITUTE(SUBSTITUTE(SUBSTITUTE(tabSindicatos[FUNÇÕES],"á","a"),"ã","a"),"â","a"),"é","e"),"ê","e"),"í","i"),"ó","o"),"õ","o"),"ô","o"),"ú","u"),"ç","c"),"Á","a"),"Ã","a"),"Â","a"),"É","e"),"Ê","e"),"Í","i"),"Ó","o"),"Õ","o"),"Ô","o"),"Ú","u"),"Ç","c")," e ",", ")," ",""),".","")))&amp;",",
IFERROR(_xlfn._xlws.FILTER(tabSindicatos[SINDICATOS],
(ISNUMBER(SEARCH(","&amp;TRIM(UPPER(SUBSTITUTE(tabPostos[[#This Row],[Comarca]]," ","")))&amp;",",_xlpm.MATRIZ_COMARCA,1)))*
(ISNUMBER(SEARCH(","&amp;TRIM(SUBSTITUTE(SUBSTITUTE(SUBSTITUTE(UPPER(tabPostos[[#This Row],[Função]])," E ",", ")," ",""),".",""))&amp;",",_xlpm.MATRIZ_FUNCAO,1)))
),"")
))</f>
        <v>Seethur</v>
      </c>
      <c r="E101" s="148" t="s">
        <v>9</v>
      </c>
      <c r="F101" s="148" t="s">
        <v>10</v>
      </c>
      <c r="G101" s="148">
        <v>1</v>
      </c>
      <c r="H101" s="148">
        <v>0</v>
      </c>
      <c r="I101" s="216">
        <f>1088.37</f>
        <v>1088.3699999999999</v>
      </c>
      <c r="J101" s="247">
        <f>VLOOKUP(tabPostos[[#This Row],[CCT DA CATEGORIA]],'RELAÇÃO SINDICATOS'!A:N,11,0)</f>
        <v>45658</v>
      </c>
      <c r="K101" s="148" t="str">
        <f>VLOOKUP(tabPostos[[#This Row],[CCT DA CATEGORIA]],'RELAÇÃO SINDICATOS'!A:N,12,0)</f>
        <v>-</v>
      </c>
      <c r="L101" s="148" t="str">
        <f>VLOOKUP(tabPostos[[#This Row],[CCT DA CATEGORIA]],'RELAÇÃO SINDICATOS'!A:N,13,0)</f>
        <v>-</v>
      </c>
      <c r="M101" s="148" t="str">
        <f>VLOOKUP(tabPostos[[#This Row],[CCT DA CATEGORIA]],'RELAÇÃO SINDICATOS'!A:N,14,0)</f>
        <v>MG000493/2025</v>
      </c>
    </row>
    <row r="102" spans="1:13" x14ac:dyDescent="0.25">
      <c r="A102" s="148" t="str" cm="1">
        <f t="array" ref="A102">_xlfn.XLOOKUP(tabPostos[[#This Row],[Fonte de Recursos]]&amp;tabPostos[[#This Row],[Classificação]],tabLotacao[Lotacao]&amp;tabLotacao[Tipo],tabLotacao[Codigo Lote],"0")&amp;"."&amp;_xlfn.XLOOKUP(tabPostos[[#This Row],[Comarca]],tabComarca[COMARCA],tabComarca[Codigo Comarca],"000")&amp;"."&amp;_xlfn.XLOOKUP(tabPostos[[#This Row],[Função]],tabCargos[Cargo],tabCargos[Codigo Cargo],"00")</f>
        <v>2.283.04</v>
      </c>
      <c r="B102" s="200" t="s">
        <v>97</v>
      </c>
      <c r="C102" s="200" t="s">
        <v>1244</v>
      </c>
      <c r="D102" s="200" t="str" cm="1">
        <f t="array" ref="D102">IF(tabPostos[[#This Row],[Comarca]]="","",
_xlfn.LET(
_xlpm.MATRIZ_COMARCA, ","&amp;TRIM(UPPER(SUBSTITUTE(SUBSTITUTE(SUBSTITUTE(SUBSTITUTE(SUBSTITUTE(SUBSTITUTE(SUBSTITUTE(SUBSTITUTE(SUBSTITUTE(SUBSTITUTE(SUBSTITUTE(SUBSTITUTE(SUBSTITUTE(SUBSTITUTE(SUBSTITUTE(SUBSTITUTE(SUBSTITUTE(SUBSTITUTE(SUBSTITUTE(SUBSTITUTE(SUBSTITUTE(SUBSTITUTE(SUBSTITUTE(SUBSTITUTE(SUBSTITUTE(SUBSTITUTE(tabSindicatos[ABRANGÊNCIA],"á","a"),"ã","a"),"â","a"),"é","e"),"ê","e"),"í","i"),"ó","o"),"õ","o"),"ô","o"),"ú","u"),"ç","c"),"Á","a"),"Ã","a"),"Â","a"),"É","e"),"Ê","e"),"Í","i"),"Ó","o"),"Õ","o"),"Ô","o"),"Ú","u"),"Ç","c"),"/MG","")," e ",", ")," ",""),".","")))&amp;",",
_xlpm.MATRIZ_FUNCAO, ","&amp;TRIM(UPPER(SUBSTITUTE(SUBSTITUTE(SUBSTITUTE(SUBSTITUTE(SUBSTITUTE(SUBSTITUTE(SUBSTITUTE(SUBSTITUTE(SUBSTITUTE(SUBSTITUTE(SUBSTITUTE(SUBSTITUTE(SUBSTITUTE(SUBSTITUTE(SUBSTITUTE(SUBSTITUTE(SUBSTITUTE(SUBSTITUTE(SUBSTITUTE(SUBSTITUTE(SUBSTITUTE(SUBSTITUTE(SUBSTITUTE(SUBSTITUTE(SUBSTITUTE(tabSindicatos[FUNÇÕES],"á","a"),"ã","a"),"â","a"),"é","e"),"ê","e"),"í","i"),"ó","o"),"õ","o"),"ô","o"),"ú","u"),"ç","c"),"Á","a"),"Ã","a"),"Â","a"),"É","e"),"Ê","e"),"Í","i"),"Ó","o"),"Õ","o"),"Ô","o"),"Ú","u"),"Ç","c")," e ",", ")," ",""),".","")))&amp;",",
IFERROR(_xlfn._xlws.FILTER(tabSindicatos[SINDICATOS],
(ISNUMBER(SEARCH(","&amp;TRIM(UPPER(SUBSTITUTE(tabPostos[[#This Row],[Comarca]]," ","")))&amp;",",_xlpm.MATRIZ_COMARCA,1)))*
(ISNUMBER(SEARCH(","&amp;TRIM(SUBSTITUTE(SUBSTITUTE(SUBSTITUTE(UPPER(tabPostos[[#This Row],[Função]])," E ",", ")," ",""),".",""))&amp;",",_xlpm.MATRIZ_FUNCAO,1)))
),"")
))</f>
        <v>Regiao de Sao Lourenco</v>
      </c>
      <c r="E102" s="148" t="s">
        <v>9</v>
      </c>
      <c r="F102" s="148" t="s">
        <v>10</v>
      </c>
      <c r="G102" s="148">
        <v>1</v>
      </c>
      <c r="H102" s="148">
        <v>0</v>
      </c>
      <c r="I102" s="216">
        <f>798.14</f>
        <v>798.14</v>
      </c>
      <c r="J102" s="247">
        <f>VLOOKUP(tabPostos[[#This Row],[CCT DA CATEGORIA]],'RELAÇÃO SINDICATOS'!A:N,11,0)</f>
        <v>45658</v>
      </c>
      <c r="K102" s="148" t="str">
        <f>VLOOKUP(tabPostos[[#This Row],[CCT DA CATEGORIA]],'RELAÇÃO SINDICATOS'!A:N,12,0)</f>
        <v>-</v>
      </c>
      <c r="L102" s="148" t="str">
        <f>VLOOKUP(tabPostos[[#This Row],[CCT DA CATEGORIA]],'RELAÇÃO SINDICATOS'!A:N,13,0)</f>
        <v>-</v>
      </c>
      <c r="M102" s="148" t="str">
        <f>VLOOKUP(tabPostos[[#This Row],[CCT DA CATEGORIA]],'RELAÇÃO SINDICATOS'!A:N,14,0)</f>
        <v>MG000594/2025</v>
      </c>
    </row>
    <row r="103" spans="1:13" x14ac:dyDescent="0.25">
      <c r="A103" s="148" t="str" cm="1">
        <f t="array" ref="A103">_xlfn.XLOOKUP(tabPostos[[#This Row],[Fonte de Recursos]]&amp;tabPostos[[#This Row],[Classificação]],tabLotacao[Lotacao]&amp;tabLotacao[Tipo],tabLotacao[Codigo Lote],"0")&amp;"."&amp;_xlfn.XLOOKUP(tabPostos[[#This Row],[Comarca]],tabComarca[COMARCA],tabComarca[Codigo Comarca],"000")&amp;"."&amp;_xlfn.XLOOKUP(tabPostos[[#This Row],[Função]],tabCargos[Cargo],tabCargos[Codigo Cargo],"00")</f>
        <v>2.284.04</v>
      </c>
      <c r="B103" s="200" t="s">
        <v>1347</v>
      </c>
      <c r="C103" s="200" t="s">
        <v>1244</v>
      </c>
      <c r="D103" s="200" t="str" cm="1">
        <f t="array" ref="D103">IF(tabPostos[[#This Row],[Comarca]]="","",
_xlfn.LET(
_xlpm.MATRIZ_COMARCA, ","&amp;TRIM(UPPER(SUBSTITUTE(SUBSTITUTE(SUBSTITUTE(SUBSTITUTE(SUBSTITUTE(SUBSTITUTE(SUBSTITUTE(SUBSTITUTE(SUBSTITUTE(SUBSTITUTE(SUBSTITUTE(SUBSTITUTE(SUBSTITUTE(SUBSTITUTE(SUBSTITUTE(SUBSTITUTE(SUBSTITUTE(SUBSTITUTE(SUBSTITUTE(SUBSTITUTE(SUBSTITUTE(SUBSTITUTE(SUBSTITUTE(SUBSTITUTE(SUBSTITUTE(SUBSTITUTE(tabSindicatos[ABRANGÊNCIA],"á","a"),"ã","a"),"â","a"),"é","e"),"ê","e"),"í","i"),"ó","o"),"õ","o"),"ô","o"),"ú","u"),"ç","c"),"Á","a"),"Ã","a"),"Â","a"),"É","e"),"Ê","e"),"Í","i"),"Ó","o"),"Õ","o"),"Ô","o"),"Ú","u"),"Ç","c"),"/MG","")," e ",", ")," ",""),".","")))&amp;",",
_xlpm.MATRIZ_FUNCAO, ","&amp;TRIM(UPPER(SUBSTITUTE(SUBSTITUTE(SUBSTITUTE(SUBSTITUTE(SUBSTITUTE(SUBSTITUTE(SUBSTITUTE(SUBSTITUTE(SUBSTITUTE(SUBSTITUTE(SUBSTITUTE(SUBSTITUTE(SUBSTITUTE(SUBSTITUTE(SUBSTITUTE(SUBSTITUTE(SUBSTITUTE(SUBSTITUTE(SUBSTITUTE(SUBSTITUTE(SUBSTITUTE(SUBSTITUTE(SUBSTITUTE(SUBSTITUTE(SUBSTITUTE(tabSindicatos[FUNÇÕES],"á","a"),"ã","a"),"â","a"),"é","e"),"ê","e"),"í","i"),"ó","o"),"õ","o"),"ô","o"),"ú","u"),"ç","c"),"Á","a"),"Ã","a"),"Â","a"),"É","e"),"Ê","e"),"Í","i"),"Ó","o"),"Õ","o"),"Ô","o"),"Ú","u"),"Ç","c")," e ",", ")," ",""),".","")))&amp;",",
IFERROR(_xlfn._xlws.FILTER(tabSindicatos[SINDICATOS],
(ISNUMBER(SEARCH(","&amp;TRIM(UPPER(SUBSTITUTE(tabPostos[[#This Row],[Comarca]]," ","")))&amp;",",_xlpm.MATRIZ_COMARCA,1)))*
(ISNUMBER(SEARCH(","&amp;TRIM(SUBSTITUTE(SUBSTITUTE(SUBSTITUTE(UPPER(tabPostos[[#This Row],[Função]])," E ",", ")," ",""),".",""))&amp;",",_xlpm.MATRIZ_FUNCAO,1)))
),"")
))</f>
        <v>Regiao de Juiz de Fora</v>
      </c>
      <c r="E103" s="148" t="s">
        <v>9</v>
      </c>
      <c r="F103" s="148" t="s">
        <v>10</v>
      </c>
      <c r="G103" s="148">
        <v>1</v>
      </c>
      <c r="H103" s="148">
        <v>0</v>
      </c>
      <c r="I103" s="216">
        <f>798.14</f>
        <v>798.14</v>
      </c>
      <c r="J103" s="247">
        <f>VLOOKUP(tabPostos[[#This Row],[CCT DA CATEGORIA]],'RELAÇÃO SINDICATOS'!A:N,11,0)</f>
        <v>45658</v>
      </c>
      <c r="K103" s="148" t="str">
        <f>VLOOKUP(tabPostos[[#This Row],[CCT DA CATEGORIA]],'RELAÇÃO SINDICATOS'!A:N,12,0)</f>
        <v>-</v>
      </c>
      <c r="L103" s="148" t="str">
        <f>VLOOKUP(tabPostos[[#This Row],[CCT DA CATEGORIA]],'RELAÇÃO SINDICATOS'!A:N,13,0)</f>
        <v>-</v>
      </c>
      <c r="M103" s="148" t="str">
        <f>VLOOKUP(tabPostos[[#This Row],[CCT DA CATEGORIA]],'RELAÇÃO SINDICATOS'!A:N,14,0)</f>
        <v>MG000506/2025</v>
      </c>
    </row>
    <row r="104" spans="1:13" x14ac:dyDescent="0.25">
      <c r="A104" s="148" t="str" cm="1">
        <f t="array" ref="A104">_xlfn.XLOOKUP(tabPostos[[#This Row],[Fonte de Recursos]]&amp;tabPostos[[#This Row],[Classificação]],tabLotacao[Lotacao]&amp;tabLotacao[Tipo],tabLotacao[Codigo Lote],"0")&amp;"."&amp;_xlfn.XLOOKUP(tabPostos[[#This Row],[Comarca]],tabComarca[COMARCA],tabComarca[Codigo Comarca],"000")&amp;"."&amp;_xlfn.XLOOKUP(tabPostos[[#This Row],[Função]],tabCargos[Cargo],tabCargos[Codigo Cargo],"00")</f>
        <v>2.287.05</v>
      </c>
      <c r="B104" s="200" t="s">
        <v>98</v>
      </c>
      <c r="C104" s="200" t="s">
        <v>1246</v>
      </c>
      <c r="D104" s="200" t="str" cm="1">
        <f t="array" ref="D104">IF(tabPostos[[#This Row],[Comarca]]="","",
_xlfn.LET(
_xlpm.MATRIZ_COMARCA, ","&amp;TRIM(UPPER(SUBSTITUTE(SUBSTITUTE(SUBSTITUTE(SUBSTITUTE(SUBSTITUTE(SUBSTITUTE(SUBSTITUTE(SUBSTITUTE(SUBSTITUTE(SUBSTITUTE(SUBSTITUTE(SUBSTITUTE(SUBSTITUTE(SUBSTITUTE(SUBSTITUTE(SUBSTITUTE(SUBSTITUTE(SUBSTITUTE(SUBSTITUTE(SUBSTITUTE(SUBSTITUTE(SUBSTITUTE(SUBSTITUTE(SUBSTITUTE(SUBSTITUTE(SUBSTITUTE(tabSindicatos[ABRANGÊNCIA],"á","a"),"ã","a"),"â","a"),"é","e"),"ê","e"),"í","i"),"ó","o"),"õ","o"),"ô","o"),"ú","u"),"ç","c"),"Á","a"),"Ã","a"),"Â","a"),"É","e"),"Ê","e"),"Í","i"),"Ó","o"),"Õ","o"),"Ô","o"),"Ú","u"),"Ç","c"),"/MG","")," e ",", ")," ",""),".","")))&amp;",",
_xlpm.MATRIZ_FUNCAO, ","&amp;TRIM(UPPER(SUBSTITUTE(SUBSTITUTE(SUBSTITUTE(SUBSTITUTE(SUBSTITUTE(SUBSTITUTE(SUBSTITUTE(SUBSTITUTE(SUBSTITUTE(SUBSTITUTE(SUBSTITUTE(SUBSTITUTE(SUBSTITUTE(SUBSTITUTE(SUBSTITUTE(SUBSTITUTE(SUBSTITUTE(SUBSTITUTE(SUBSTITUTE(SUBSTITUTE(SUBSTITUTE(SUBSTITUTE(SUBSTITUTE(SUBSTITUTE(SUBSTITUTE(tabSindicatos[FUNÇÕES],"á","a"),"ã","a"),"â","a"),"é","e"),"ê","e"),"í","i"),"ó","o"),"õ","o"),"ô","o"),"ú","u"),"ç","c"),"Á","a"),"Ã","a"),"Â","a"),"É","e"),"Ê","e"),"Í","i"),"Ó","o"),"Õ","o"),"Ô","o"),"Ú","u"),"Ç","c")," e ",", ")," ",""),".","")))&amp;",",
IFERROR(_xlfn._xlws.FILTER(tabSindicatos[SINDICATOS],
(ISNUMBER(SEARCH(","&amp;TRIM(UPPER(SUBSTITUTE(tabPostos[[#This Row],[Comarca]]," ","")))&amp;",",_xlpm.MATRIZ_COMARCA,1)))*
(ISNUMBER(SEARCH(","&amp;TRIM(SUBSTITUTE(SUBSTITUTE(SUBSTITUTE(UPPER(tabPostos[[#This Row],[Função]])," E ",", ")," ",""),".",""))&amp;",",_xlpm.MATRIZ_FUNCAO,1)))
),"")
))</f>
        <v>Fethemg Interior</v>
      </c>
      <c r="E104" s="148" t="s">
        <v>9</v>
      </c>
      <c r="F104" s="148" t="s">
        <v>10</v>
      </c>
      <c r="G104" s="148">
        <v>1</v>
      </c>
      <c r="H104" s="148">
        <v>0</v>
      </c>
      <c r="I104" s="216">
        <f>1088.37</f>
        <v>1088.3699999999999</v>
      </c>
      <c r="J104" s="247">
        <f>VLOOKUP(tabPostos[[#This Row],[CCT DA CATEGORIA]],'RELAÇÃO SINDICATOS'!A:N,11,0)</f>
        <v>45658</v>
      </c>
      <c r="K104" s="148" t="str">
        <f>VLOOKUP(tabPostos[[#This Row],[CCT DA CATEGORIA]],'RELAÇÃO SINDICATOS'!A:N,12,0)</f>
        <v>-</v>
      </c>
      <c r="L104" s="148" t="str">
        <f>VLOOKUP(tabPostos[[#This Row],[CCT DA CATEGORIA]],'RELAÇÃO SINDICATOS'!A:N,13,0)</f>
        <v>-</v>
      </c>
      <c r="M104" s="148" t="str">
        <f>VLOOKUP(tabPostos[[#This Row],[CCT DA CATEGORIA]],'RELAÇÃO SINDICATOS'!A:N,14,0)</f>
        <v>MG004482/2024</v>
      </c>
    </row>
    <row r="105" spans="1:13" x14ac:dyDescent="0.25">
      <c r="A105" s="148" t="str" cm="1">
        <f t="array" ref="A105">_xlfn.XLOOKUP(tabPostos[[#This Row],[Fonte de Recursos]]&amp;tabPostos[[#This Row],[Classificação]],tabLotacao[Lotacao]&amp;tabLotacao[Tipo],tabLotacao[Codigo Lote],"0")&amp;"."&amp;_xlfn.XLOOKUP(tabPostos[[#This Row],[Comarca]],tabComarca[COMARCA],tabComarca[Codigo Comarca],"000")&amp;"."&amp;_xlfn.XLOOKUP(tabPostos[[#This Row],[Função]],tabCargos[Cargo],tabCargos[Codigo Cargo],"00")</f>
        <v>2.295.03</v>
      </c>
      <c r="B105" s="200" t="s">
        <v>99</v>
      </c>
      <c r="C105" s="200" t="s">
        <v>1247</v>
      </c>
      <c r="D105" s="200" t="str" cm="1">
        <f t="array" ref="D105">IF(tabPostos[[#This Row],[Comarca]]="","",
_xlfn.LET(
_xlpm.MATRIZ_COMARCA, ","&amp;TRIM(UPPER(SUBSTITUTE(SUBSTITUTE(SUBSTITUTE(SUBSTITUTE(SUBSTITUTE(SUBSTITUTE(SUBSTITUTE(SUBSTITUTE(SUBSTITUTE(SUBSTITUTE(SUBSTITUTE(SUBSTITUTE(SUBSTITUTE(SUBSTITUTE(SUBSTITUTE(SUBSTITUTE(SUBSTITUTE(SUBSTITUTE(SUBSTITUTE(SUBSTITUTE(SUBSTITUTE(SUBSTITUTE(SUBSTITUTE(SUBSTITUTE(SUBSTITUTE(SUBSTITUTE(tabSindicatos[ABRANGÊNCIA],"á","a"),"ã","a"),"â","a"),"é","e"),"ê","e"),"í","i"),"ó","o"),"õ","o"),"ô","o"),"ú","u"),"ç","c"),"Á","a"),"Ã","a"),"Â","a"),"É","e"),"Ê","e"),"Í","i"),"Ó","o"),"Õ","o"),"Ô","o"),"Ú","u"),"Ç","c"),"/MG","")," e ",", ")," ",""),".","")))&amp;",",
_xlpm.MATRIZ_FUNCAO, ","&amp;TRIM(UPPER(SUBSTITUTE(SUBSTITUTE(SUBSTITUTE(SUBSTITUTE(SUBSTITUTE(SUBSTITUTE(SUBSTITUTE(SUBSTITUTE(SUBSTITUTE(SUBSTITUTE(SUBSTITUTE(SUBSTITUTE(SUBSTITUTE(SUBSTITUTE(SUBSTITUTE(SUBSTITUTE(SUBSTITUTE(SUBSTITUTE(SUBSTITUTE(SUBSTITUTE(SUBSTITUTE(SUBSTITUTE(SUBSTITUTE(SUBSTITUTE(SUBSTITUTE(tabSindicatos[FUNÇÕES],"á","a"),"ã","a"),"â","a"),"é","e"),"ê","e"),"í","i"),"ó","o"),"õ","o"),"ô","o"),"ú","u"),"ç","c"),"Á","a"),"Ã","a"),"Â","a"),"É","e"),"Ê","e"),"Í","i"),"Ó","o"),"Õ","o"),"Ô","o"),"Ú","u"),"Ç","c")," e ",", ")," ",""),".","")))&amp;",",
IFERROR(_xlfn._xlws.FILTER(tabSindicatos[SINDICATOS],
(ISNUMBER(SEARCH(","&amp;TRIM(UPPER(SUBSTITUTE(tabPostos[[#This Row],[Comarca]]," ","")))&amp;",",_xlpm.MATRIZ_COMARCA,1)))*
(ISNUMBER(SEARCH(","&amp;TRIM(SUBSTITUTE(SUBSTITUTE(SUBSTITUTE(UPPER(tabPostos[[#This Row],[Função]])," E ",", ")," ",""),".",""))&amp;",",_xlpm.MATRIZ_FUNCAO,1)))
),"")
))</f>
        <v>Alto Paranaiba</v>
      </c>
      <c r="E105" s="148" t="s">
        <v>9</v>
      </c>
      <c r="F105" s="148" t="s">
        <v>10</v>
      </c>
      <c r="G105" s="148">
        <v>1</v>
      </c>
      <c r="H105" s="148">
        <v>0</v>
      </c>
      <c r="I105" s="216">
        <f>544.18</f>
        <v>544.17999999999995</v>
      </c>
      <c r="J105" s="247">
        <f>VLOOKUP(tabPostos[[#This Row],[CCT DA CATEGORIA]],'RELAÇÃO SINDICATOS'!A:N,11,0)</f>
        <v>45658</v>
      </c>
      <c r="K105" s="148" t="str">
        <f>VLOOKUP(tabPostos[[#This Row],[CCT DA CATEGORIA]],'RELAÇÃO SINDICATOS'!A:N,12,0)</f>
        <v>-</v>
      </c>
      <c r="L105" s="148" t="str">
        <f>VLOOKUP(tabPostos[[#This Row],[CCT DA CATEGORIA]],'RELAÇÃO SINDICATOS'!A:N,13,0)</f>
        <v>-</v>
      </c>
      <c r="M105" s="148" t="str">
        <f>VLOOKUP(tabPostos[[#This Row],[CCT DA CATEGORIA]],'RELAÇÃO SINDICATOS'!A:N,14,0)</f>
        <v>MG001106/2025</v>
      </c>
    </row>
    <row r="106" spans="1:13" x14ac:dyDescent="0.25">
      <c r="A106" s="148" t="str" cm="1">
        <f t="array" ref="A106">_xlfn.XLOOKUP(tabPostos[[#This Row],[Fonte de Recursos]]&amp;tabPostos[[#This Row],[Classificação]],tabLotacao[Lotacao]&amp;tabLotacao[Tipo],tabLotacao[Codigo Lote],"0")&amp;"."&amp;_xlfn.XLOOKUP(tabPostos[[#This Row],[Comarca]],tabComarca[COMARCA],tabComarca[Codigo Comarca],"000")&amp;"."&amp;_xlfn.XLOOKUP(tabPostos[[#This Row],[Função]],tabCargos[Cargo],tabCargos[Codigo Cargo],"00")</f>
        <v>2.297.03</v>
      </c>
      <c r="B106" s="200" t="s">
        <v>100</v>
      </c>
      <c r="C106" s="200" t="s">
        <v>1247</v>
      </c>
      <c r="D106" s="200" t="str" cm="1">
        <f t="array" ref="D106">IF(tabPostos[[#This Row],[Comarca]]="","",
_xlfn.LET(
_xlpm.MATRIZ_COMARCA, ","&amp;TRIM(UPPER(SUBSTITUTE(SUBSTITUTE(SUBSTITUTE(SUBSTITUTE(SUBSTITUTE(SUBSTITUTE(SUBSTITUTE(SUBSTITUTE(SUBSTITUTE(SUBSTITUTE(SUBSTITUTE(SUBSTITUTE(SUBSTITUTE(SUBSTITUTE(SUBSTITUTE(SUBSTITUTE(SUBSTITUTE(SUBSTITUTE(SUBSTITUTE(SUBSTITUTE(SUBSTITUTE(SUBSTITUTE(SUBSTITUTE(SUBSTITUTE(SUBSTITUTE(SUBSTITUTE(tabSindicatos[ABRANGÊNCIA],"á","a"),"ã","a"),"â","a"),"é","e"),"ê","e"),"í","i"),"ó","o"),"õ","o"),"ô","o"),"ú","u"),"ç","c"),"Á","a"),"Ã","a"),"Â","a"),"É","e"),"Ê","e"),"Í","i"),"Ó","o"),"Õ","o"),"Ô","o"),"Ú","u"),"Ç","c"),"/MG","")," e ",", ")," ",""),".","")))&amp;",",
_xlpm.MATRIZ_FUNCAO, ","&amp;TRIM(UPPER(SUBSTITUTE(SUBSTITUTE(SUBSTITUTE(SUBSTITUTE(SUBSTITUTE(SUBSTITUTE(SUBSTITUTE(SUBSTITUTE(SUBSTITUTE(SUBSTITUTE(SUBSTITUTE(SUBSTITUTE(SUBSTITUTE(SUBSTITUTE(SUBSTITUTE(SUBSTITUTE(SUBSTITUTE(SUBSTITUTE(SUBSTITUTE(SUBSTITUTE(SUBSTITUTE(SUBSTITUTE(SUBSTITUTE(SUBSTITUTE(SUBSTITUTE(tabSindicatos[FUNÇÕES],"á","a"),"ã","a"),"â","a"),"é","e"),"ê","e"),"í","i"),"ó","o"),"õ","o"),"ô","o"),"ú","u"),"ç","c"),"Á","a"),"Ã","a"),"Â","a"),"É","e"),"Ê","e"),"Í","i"),"Ó","o"),"Õ","o"),"Ô","o"),"Ú","u"),"Ç","c")," e ",", ")," ",""),".","")))&amp;",",
IFERROR(_xlfn._xlws.FILTER(tabSindicatos[SINDICATOS],
(ISNUMBER(SEARCH(","&amp;TRIM(UPPER(SUBSTITUTE(tabPostos[[#This Row],[Comarca]]," ","")))&amp;",",_xlpm.MATRIZ_COMARCA,1)))*
(ISNUMBER(SEARCH(","&amp;TRIM(SUBSTITUTE(SUBSTITUTE(SUBSTITUTE(UPPER(tabPostos[[#This Row],[Função]])," E ",", ")," ",""),".",""))&amp;",",_xlpm.MATRIZ_FUNCAO,1)))
),"")
))</f>
        <v>Fethemg Interior</v>
      </c>
      <c r="E106" s="148" t="s">
        <v>9</v>
      </c>
      <c r="F106" s="148" t="s">
        <v>10</v>
      </c>
      <c r="G106" s="148">
        <v>1</v>
      </c>
      <c r="H106" s="148">
        <v>0</v>
      </c>
      <c r="I106" s="216">
        <f>544.18</f>
        <v>544.17999999999995</v>
      </c>
      <c r="J106" s="247">
        <f>VLOOKUP(tabPostos[[#This Row],[CCT DA CATEGORIA]],'RELAÇÃO SINDICATOS'!A:N,11,0)</f>
        <v>45658</v>
      </c>
      <c r="K106" s="148" t="str">
        <f>VLOOKUP(tabPostos[[#This Row],[CCT DA CATEGORIA]],'RELAÇÃO SINDICATOS'!A:N,12,0)</f>
        <v>-</v>
      </c>
      <c r="L106" s="148" t="str">
        <f>VLOOKUP(tabPostos[[#This Row],[CCT DA CATEGORIA]],'RELAÇÃO SINDICATOS'!A:N,13,0)</f>
        <v>-</v>
      </c>
      <c r="M106" s="148" t="str">
        <f>VLOOKUP(tabPostos[[#This Row],[CCT DA CATEGORIA]],'RELAÇÃO SINDICATOS'!A:N,14,0)</f>
        <v>MG004482/2024</v>
      </c>
    </row>
    <row r="107" spans="1:13" x14ac:dyDescent="0.25">
      <c r="A107" s="148" t="str" cm="1">
        <f t="array" ref="A107">_xlfn.XLOOKUP(tabPostos[[#This Row],[Fonte de Recursos]]&amp;tabPostos[[#This Row],[Classificação]],tabLotacao[Lotacao]&amp;tabLotacao[Tipo],tabLotacao[Codigo Lote],"0")&amp;"."&amp;_xlfn.XLOOKUP(tabPostos[[#This Row],[Comarca]],tabComarca[COMARCA],tabComarca[Codigo Comarca],"000")&amp;"."&amp;_xlfn.XLOOKUP(tabPostos[[#This Row],[Função]],tabCargos[Cargo],tabCargos[Codigo Cargo],"00")</f>
        <v>2.114.06</v>
      </c>
      <c r="B107" s="200" t="s">
        <v>101</v>
      </c>
      <c r="C107" s="200" t="s">
        <v>1245</v>
      </c>
      <c r="D107" s="200" t="str" cm="1">
        <f t="array" ref="D107">IF(tabPostos[[#This Row],[Comarca]]="","",
_xlfn.LET(
_xlpm.MATRIZ_COMARCA, ","&amp;TRIM(UPPER(SUBSTITUTE(SUBSTITUTE(SUBSTITUTE(SUBSTITUTE(SUBSTITUTE(SUBSTITUTE(SUBSTITUTE(SUBSTITUTE(SUBSTITUTE(SUBSTITUTE(SUBSTITUTE(SUBSTITUTE(SUBSTITUTE(SUBSTITUTE(SUBSTITUTE(SUBSTITUTE(SUBSTITUTE(SUBSTITUTE(SUBSTITUTE(SUBSTITUTE(SUBSTITUTE(SUBSTITUTE(SUBSTITUTE(SUBSTITUTE(SUBSTITUTE(SUBSTITUTE(tabSindicatos[ABRANGÊNCIA],"á","a"),"ã","a"),"â","a"),"é","e"),"ê","e"),"í","i"),"ó","o"),"õ","o"),"ô","o"),"ú","u"),"ç","c"),"Á","a"),"Ã","a"),"Â","a"),"É","e"),"Ê","e"),"Í","i"),"Ó","o"),"Õ","o"),"Ô","o"),"Ú","u"),"Ç","c"),"/MG","")," e ",", ")," ",""),".","")))&amp;",",
_xlpm.MATRIZ_FUNCAO, ","&amp;TRIM(UPPER(SUBSTITUTE(SUBSTITUTE(SUBSTITUTE(SUBSTITUTE(SUBSTITUTE(SUBSTITUTE(SUBSTITUTE(SUBSTITUTE(SUBSTITUTE(SUBSTITUTE(SUBSTITUTE(SUBSTITUTE(SUBSTITUTE(SUBSTITUTE(SUBSTITUTE(SUBSTITUTE(SUBSTITUTE(SUBSTITUTE(SUBSTITUTE(SUBSTITUTE(SUBSTITUTE(SUBSTITUTE(SUBSTITUTE(SUBSTITUTE(SUBSTITUTE(tabSindicatos[FUNÇÕES],"á","a"),"ã","a"),"â","a"),"é","e"),"ê","e"),"í","i"),"ó","o"),"õ","o"),"ô","o"),"ú","u"),"ç","c"),"Á","a"),"Ã","a"),"Â","a"),"É","e"),"Ê","e"),"Í","i"),"Ó","o"),"Õ","o"),"Ô","o"),"Ú","u"),"Ç","c")," e ",", ")," ",""),".","")))&amp;",",
IFERROR(_xlfn._xlws.FILTER(tabSindicatos[SINDICATOS],
(ISNUMBER(SEARCH(","&amp;TRIM(UPPER(SUBSTITUTE(tabPostos[[#This Row],[Comarca]]," ","")))&amp;",",_xlpm.MATRIZ_COMARCA,1)))*
(ISNUMBER(SEARCH(","&amp;TRIM(SUBSTITUTE(SUBSTITUTE(SUBSTITUTE(UPPER(tabPostos[[#This Row],[Função]])," E ",", ")," ",""),".",""))&amp;",",_xlpm.MATRIZ_FUNCAO,1)))
),"")
))</f>
        <v>Sind - Asseio</v>
      </c>
      <c r="E107" s="148" t="s">
        <v>9</v>
      </c>
      <c r="F107" s="148" t="s">
        <v>10</v>
      </c>
      <c r="G107" s="148">
        <v>1</v>
      </c>
      <c r="H107" s="148">
        <v>0</v>
      </c>
      <c r="I107" s="216">
        <f>1649.12</f>
        <v>1649.12</v>
      </c>
      <c r="J107" s="247">
        <f>VLOOKUP(tabPostos[[#This Row],[CCT DA CATEGORIA]],'RELAÇÃO SINDICATOS'!A:N,11,0)</f>
        <v>45658</v>
      </c>
      <c r="K107" s="148" t="str">
        <f>VLOOKUP(tabPostos[[#This Row],[CCT DA CATEGORIA]],'RELAÇÃO SINDICATOS'!A:N,12,0)</f>
        <v>-</v>
      </c>
      <c r="L107" s="148" t="str">
        <f>VLOOKUP(tabPostos[[#This Row],[CCT DA CATEGORIA]],'RELAÇÃO SINDICATOS'!A:N,13,0)</f>
        <v>-</v>
      </c>
      <c r="M107" s="148" t="str">
        <f>VLOOKUP(tabPostos[[#This Row],[CCT DA CATEGORIA]],'RELAÇÃO SINDICATOS'!A:N,14,0)</f>
        <v>MG000016/2025</v>
      </c>
    </row>
    <row r="108" spans="1:13" x14ac:dyDescent="0.25">
      <c r="A108" s="148" t="str" cm="1">
        <f t="array" ref="A108">_xlfn.XLOOKUP(tabPostos[[#This Row],[Fonte de Recursos]]&amp;tabPostos[[#This Row],[Classificação]],tabLotacao[Lotacao]&amp;tabLotacao[Tipo],tabLotacao[Codigo Lote],"0")&amp;"."&amp;_xlfn.XLOOKUP(tabPostos[[#This Row],[Comarca]],tabComarca[COMARCA],tabComarca[Codigo Comarca],"000")&amp;"."&amp;_xlfn.XLOOKUP(tabPostos[[#This Row],[Função]],tabCargos[Cargo],tabCargos[Codigo Cargo],"00")</f>
        <v>2.301.05</v>
      </c>
      <c r="B108" s="200" t="s">
        <v>102</v>
      </c>
      <c r="C108" s="200" t="s">
        <v>1246</v>
      </c>
      <c r="D108" s="200" t="str" cm="1">
        <f t="array" ref="D108">IF(tabPostos[[#This Row],[Comarca]]="","",
_xlfn.LET(
_xlpm.MATRIZ_COMARCA, ","&amp;TRIM(UPPER(SUBSTITUTE(SUBSTITUTE(SUBSTITUTE(SUBSTITUTE(SUBSTITUTE(SUBSTITUTE(SUBSTITUTE(SUBSTITUTE(SUBSTITUTE(SUBSTITUTE(SUBSTITUTE(SUBSTITUTE(SUBSTITUTE(SUBSTITUTE(SUBSTITUTE(SUBSTITUTE(SUBSTITUTE(SUBSTITUTE(SUBSTITUTE(SUBSTITUTE(SUBSTITUTE(SUBSTITUTE(SUBSTITUTE(SUBSTITUTE(SUBSTITUTE(SUBSTITUTE(tabSindicatos[ABRANGÊNCIA],"á","a"),"ã","a"),"â","a"),"é","e"),"ê","e"),"í","i"),"ó","o"),"õ","o"),"ô","o"),"ú","u"),"ç","c"),"Á","a"),"Ã","a"),"Â","a"),"É","e"),"Ê","e"),"Í","i"),"Ó","o"),"Õ","o"),"Ô","o"),"Ú","u"),"Ç","c"),"/MG","")," e ",", ")," ",""),".","")))&amp;",",
_xlpm.MATRIZ_FUNCAO, ","&amp;TRIM(UPPER(SUBSTITUTE(SUBSTITUTE(SUBSTITUTE(SUBSTITUTE(SUBSTITUTE(SUBSTITUTE(SUBSTITUTE(SUBSTITUTE(SUBSTITUTE(SUBSTITUTE(SUBSTITUTE(SUBSTITUTE(SUBSTITUTE(SUBSTITUTE(SUBSTITUTE(SUBSTITUTE(SUBSTITUTE(SUBSTITUTE(SUBSTITUTE(SUBSTITUTE(SUBSTITUTE(SUBSTITUTE(SUBSTITUTE(SUBSTITUTE(SUBSTITUTE(tabSindicatos[FUNÇÕES],"á","a"),"ã","a"),"â","a"),"é","e"),"ê","e"),"í","i"),"ó","o"),"õ","o"),"ô","o"),"ú","u"),"ç","c"),"Á","a"),"Ã","a"),"Â","a"),"É","e"),"Ê","e"),"Í","i"),"Ó","o"),"Õ","o"),"Ô","o"),"Ú","u"),"Ç","c")," e ",", ")," ",""),".","")))&amp;",",
IFERROR(_xlfn._xlws.FILTER(tabSindicatos[SINDICATOS],
(ISNUMBER(SEARCH(","&amp;TRIM(UPPER(SUBSTITUTE(tabPostos[[#This Row],[Comarca]]," ","")))&amp;",",_xlpm.MATRIZ_COMARCA,1)))*
(ISNUMBER(SEARCH(","&amp;TRIM(SUBSTITUTE(SUBSTITUTE(SUBSTITUTE(UPPER(tabPostos[[#This Row],[Função]])," E ",", ")," ",""),".",""))&amp;",",_xlpm.MATRIZ_FUNCAO,1)))
),"")
))</f>
        <v>Fethemg RM</v>
      </c>
      <c r="E108" s="148" t="s">
        <v>9</v>
      </c>
      <c r="F108" s="148" t="s">
        <v>10</v>
      </c>
      <c r="G108" s="148">
        <v>1</v>
      </c>
      <c r="H108" s="148">
        <v>0</v>
      </c>
      <c r="I108" s="216">
        <f>1124.39</f>
        <v>1124.3900000000001</v>
      </c>
      <c r="J108" s="247">
        <f>VLOOKUP(tabPostos[[#This Row],[CCT DA CATEGORIA]],'RELAÇÃO SINDICATOS'!A:N,11,0)</f>
        <v>45658</v>
      </c>
      <c r="K108" s="148" t="str">
        <f>VLOOKUP(tabPostos[[#This Row],[CCT DA CATEGORIA]],'RELAÇÃO SINDICATOS'!A:N,12,0)</f>
        <v>-</v>
      </c>
      <c r="L108" s="148" t="str">
        <f>VLOOKUP(tabPostos[[#This Row],[CCT DA CATEGORIA]],'RELAÇÃO SINDICATOS'!A:N,13,0)</f>
        <v>-</v>
      </c>
      <c r="M108" s="148" t="str">
        <f>VLOOKUP(tabPostos[[#This Row],[CCT DA CATEGORIA]],'RELAÇÃO SINDICATOS'!A:N,14,0)</f>
        <v>MG004479/2024</v>
      </c>
    </row>
    <row r="109" spans="1:13" x14ac:dyDescent="0.25">
      <c r="A109" s="148" t="str" cm="1">
        <f t="array" ref="A109">_xlfn.XLOOKUP(tabPostos[[#This Row],[Fonte de Recursos]]&amp;tabPostos[[#This Row],[Classificação]],tabLotacao[Lotacao]&amp;tabLotacao[Tipo],tabLotacao[Codigo Lote],"0")&amp;"."&amp;_xlfn.XLOOKUP(tabPostos[[#This Row],[Comarca]],tabComarca[COMARCA],tabComarca[Codigo Comarca],"000")&amp;"."&amp;_xlfn.XLOOKUP(tabPostos[[#This Row],[Função]],tabCargos[Cargo],tabCargos[Codigo Cargo],"00")</f>
        <v>2.309.04</v>
      </c>
      <c r="B109" s="200" t="s">
        <v>103</v>
      </c>
      <c r="C109" s="200" t="s">
        <v>1244</v>
      </c>
      <c r="D109" s="200" t="str" cm="1">
        <f t="array" ref="D109">IF(tabPostos[[#This Row],[Comarca]]="","",
_xlfn.LET(
_xlpm.MATRIZ_COMARCA, ","&amp;TRIM(UPPER(SUBSTITUTE(SUBSTITUTE(SUBSTITUTE(SUBSTITUTE(SUBSTITUTE(SUBSTITUTE(SUBSTITUTE(SUBSTITUTE(SUBSTITUTE(SUBSTITUTE(SUBSTITUTE(SUBSTITUTE(SUBSTITUTE(SUBSTITUTE(SUBSTITUTE(SUBSTITUTE(SUBSTITUTE(SUBSTITUTE(SUBSTITUTE(SUBSTITUTE(SUBSTITUTE(SUBSTITUTE(SUBSTITUTE(SUBSTITUTE(SUBSTITUTE(SUBSTITUTE(tabSindicatos[ABRANGÊNCIA],"á","a"),"ã","a"),"â","a"),"é","e"),"ê","e"),"í","i"),"ó","o"),"õ","o"),"ô","o"),"ú","u"),"ç","c"),"Á","a"),"Ã","a"),"Â","a"),"É","e"),"Ê","e"),"Í","i"),"Ó","o"),"Õ","o"),"Ô","o"),"Ú","u"),"Ç","c"),"/MG","")," e ",", ")," ",""),".","")))&amp;",",
_xlpm.MATRIZ_FUNCAO, ","&amp;TRIM(UPPER(SUBSTITUTE(SUBSTITUTE(SUBSTITUTE(SUBSTITUTE(SUBSTITUTE(SUBSTITUTE(SUBSTITUTE(SUBSTITUTE(SUBSTITUTE(SUBSTITUTE(SUBSTITUTE(SUBSTITUTE(SUBSTITUTE(SUBSTITUTE(SUBSTITUTE(SUBSTITUTE(SUBSTITUTE(SUBSTITUTE(SUBSTITUTE(SUBSTITUTE(SUBSTITUTE(SUBSTITUTE(SUBSTITUTE(SUBSTITUTE(SUBSTITUTE(tabSindicatos[FUNÇÕES],"á","a"),"ã","a"),"â","a"),"é","e"),"ê","e"),"í","i"),"ó","o"),"õ","o"),"ô","o"),"ú","u"),"ç","c"),"Á","a"),"Ã","a"),"Â","a"),"É","e"),"Ê","e"),"Í","i"),"Ó","o"),"Õ","o"),"Ô","o"),"Ú","u"),"Ç","c")," e ",", ")," ",""),".","")))&amp;",",
IFERROR(_xlfn._xlws.FILTER(tabSindicatos[SINDICATOS],
(ISNUMBER(SEARCH(","&amp;TRIM(UPPER(SUBSTITUTE(tabPostos[[#This Row],[Comarca]]," ","")))&amp;",",_xlpm.MATRIZ_COMARCA,1)))*
(ISNUMBER(SEARCH(","&amp;TRIM(SUBSTITUTE(SUBSTITUTE(SUBSTITUTE(UPPER(tabPostos[[#This Row],[Função]])," E ",", ")," ",""),".",""))&amp;",",_xlpm.MATRIZ_FUNCAO,1)))
),"")
))</f>
        <v>Seethur</v>
      </c>
      <c r="E109" s="148" t="s">
        <v>9</v>
      </c>
      <c r="F109" s="148" t="s">
        <v>10</v>
      </c>
      <c r="G109" s="148">
        <v>1</v>
      </c>
      <c r="H109" s="148">
        <v>0</v>
      </c>
      <c r="I109" s="216">
        <f>798.14</f>
        <v>798.14</v>
      </c>
      <c r="J109" s="247">
        <f>VLOOKUP(tabPostos[[#This Row],[CCT DA CATEGORIA]],'RELAÇÃO SINDICATOS'!A:N,11,0)</f>
        <v>45658</v>
      </c>
      <c r="K109" s="148" t="str">
        <f>VLOOKUP(tabPostos[[#This Row],[CCT DA CATEGORIA]],'RELAÇÃO SINDICATOS'!A:N,12,0)</f>
        <v>-</v>
      </c>
      <c r="L109" s="148" t="str">
        <f>VLOOKUP(tabPostos[[#This Row],[CCT DA CATEGORIA]],'RELAÇÃO SINDICATOS'!A:N,13,0)</f>
        <v>-</v>
      </c>
      <c r="M109" s="148" t="str">
        <f>VLOOKUP(tabPostos[[#This Row],[CCT DA CATEGORIA]],'RELAÇÃO SINDICATOS'!A:N,14,0)</f>
        <v>MG000493/2025</v>
      </c>
    </row>
    <row r="110" spans="1:13" x14ac:dyDescent="0.25">
      <c r="A110" s="148" t="str" cm="1">
        <f t="array" ref="A110">_xlfn.XLOOKUP(tabPostos[[#This Row],[Fonte de Recursos]]&amp;tabPostos[[#This Row],[Classificação]],tabLotacao[Lotacao]&amp;tabLotacao[Tipo],tabLotacao[Codigo Lote],"0")&amp;"."&amp;_xlfn.XLOOKUP(tabPostos[[#This Row],[Comarca]],tabComarca[COMARCA],tabComarca[Codigo Comarca],"000")&amp;"."&amp;_xlfn.XLOOKUP(tabPostos[[#This Row],[Função]],tabCargos[Cargo],tabCargos[Codigo Cargo],"00")</f>
        <v>2.312.03</v>
      </c>
      <c r="B110" s="200" t="s">
        <v>104</v>
      </c>
      <c r="C110" s="200" t="s">
        <v>1247</v>
      </c>
      <c r="D110" s="200" t="str" cm="1">
        <f t="array" ref="D110">IF(tabPostos[[#This Row],[Comarca]]="","",
_xlfn.LET(
_xlpm.MATRIZ_COMARCA, ","&amp;TRIM(UPPER(SUBSTITUTE(SUBSTITUTE(SUBSTITUTE(SUBSTITUTE(SUBSTITUTE(SUBSTITUTE(SUBSTITUTE(SUBSTITUTE(SUBSTITUTE(SUBSTITUTE(SUBSTITUTE(SUBSTITUTE(SUBSTITUTE(SUBSTITUTE(SUBSTITUTE(SUBSTITUTE(SUBSTITUTE(SUBSTITUTE(SUBSTITUTE(SUBSTITUTE(SUBSTITUTE(SUBSTITUTE(SUBSTITUTE(SUBSTITUTE(SUBSTITUTE(SUBSTITUTE(tabSindicatos[ABRANGÊNCIA],"á","a"),"ã","a"),"â","a"),"é","e"),"ê","e"),"í","i"),"ó","o"),"õ","o"),"ô","o"),"ú","u"),"ç","c"),"Á","a"),"Ã","a"),"Â","a"),"É","e"),"Ê","e"),"Í","i"),"Ó","o"),"Õ","o"),"Ô","o"),"Ú","u"),"Ç","c"),"/MG","")," e ",", ")," ",""),".","")))&amp;",",
_xlpm.MATRIZ_FUNCAO, ","&amp;TRIM(UPPER(SUBSTITUTE(SUBSTITUTE(SUBSTITUTE(SUBSTITUTE(SUBSTITUTE(SUBSTITUTE(SUBSTITUTE(SUBSTITUTE(SUBSTITUTE(SUBSTITUTE(SUBSTITUTE(SUBSTITUTE(SUBSTITUTE(SUBSTITUTE(SUBSTITUTE(SUBSTITUTE(SUBSTITUTE(SUBSTITUTE(SUBSTITUTE(SUBSTITUTE(SUBSTITUTE(SUBSTITUTE(SUBSTITUTE(SUBSTITUTE(SUBSTITUTE(tabSindicatos[FUNÇÕES],"á","a"),"ã","a"),"â","a"),"é","e"),"ê","e"),"í","i"),"ó","o"),"õ","o"),"ô","o"),"ú","u"),"ç","c"),"Á","a"),"Ã","a"),"Â","a"),"É","e"),"Ê","e"),"Í","i"),"Ó","o"),"Õ","o"),"Ô","o"),"Ú","u"),"Ç","c")," e ",", ")," ",""),".","")))&amp;",",
IFERROR(_xlfn._xlws.FILTER(tabSindicatos[SINDICATOS],
(ISNUMBER(SEARCH(","&amp;TRIM(UPPER(SUBSTITUTE(tabPostos[[#This Row],[Comarca]]," ","")))&amp;",",_xlpm.MATRIZ_COMARCA,1)))*
(ISNUMBER(SEARCH(","&amp;TRIM(SUBSTITUTE(SUBSTITUTE(SUBSTITUTE(UPPER(tabPostos[[#This Row],[Função]])," E ",", ")," ",""),".",""))&amp;",",_xlpm.MATRIZ_FUNCAO,1)))
),"")
))</f>
        <v>Fethemg Interior</v>
      </c>
      <c r="E110" s="148" t="s">
        <v>9</v>
      </c>
      <c r="F110" s="148" t="s">
        <v>10</v>
      </c>
      <c r="G110" s="148">
        <v>1</v>
      </c>
      <c r="H110" s="148">
        <v>0</v>
      </c>
      <c r="I110" s="216">
        <f>544.18</f>
        <v>544.17999999999995</v>
      </c>
      <c r="J110" s="247">
        <f>VLOOKUP(tabPostos[[#This Row],[CCT DA CATEGORIA]],'RELAÇÃO SINDICATOS'!A:N,11,0)</f>
        <v>45658</v>
      </c>
      <c r="K110" s="148" t="str">
        <f>VLOOKUP(tabPostos[[#This Row],[CCT DA CATEGORIA]],'RELAÇÃO SINDICATOS'!A:N,12,0)</f>
        <v>-</v>
      </c>
      <c r="L110" s="148" t="str">
        <f>VLOOKUP(tabPostos[[#This Row],[CCT DA CATEGORIA]],'RELAÇÃO SINDICATOS'!A:N,13,0)</f>
        <v>-</v>
      </c>
      <c r="M110" s="148" t="str">
        <f>VLOOKUP(tabPostos[[#This Row],[CCT DA CATEGORIA]],'RELAÇÃO SINDICATOS'!A:N,14,0)</f>
        <v>MG004482/2024</v>
      </c>
    </row>
    <row r="111" spans="1:13" x14ac:dyDescent="0.25">
      <c r="A111" s="148" t="str" cm="1">
        <f t="array" ref="A111">_xlfn.XLOOKUP(tabPostos[[#This Row],[Fonte de Recursos]]&amp;tabPostos[[#This Row],[Classificação]],tabLotacao[Lotacao]&amp;tabLotacao[Tipo],tabLotacao[Codigo Lote],"0")&amp;"."&amp;_xlfn.XLOOKUP(tabPostos[[#This Row],[Comarca]],tabComarca[COMARCA],tabComarca[Codigo Comarca],"000")&amp;"."&amp;_xlfn.XLOOKUP(tabPostos[[#This Row],[Função]],tabCargos[Cargo],tabCargos[Codigo Cargo],"00")</f>
        <v>2.313.04</v>
      </c>
      <c r="B111" s="200" t="s">
        <v>105</v>
      </c>
      <c r="C111" s="200" t="s">
        <v>1244</v>
      </c>
      <c r="D111" s="200" t="str" cm="1">
        <f t="array" ref="D111">IF(tabPostos[[#This Row],[Comarca]]="","",
_xlfn.LET(
_xlpm.MATRIZ_COMARCA, ","&amp;TRIM(UPPER(SUBSTITUTE(SUBSTITUTE(SUBSTITUTE(SUBSTITUTE(SUBSTITUTE(SUBSTITUTE(SUBSTITUTE(SUBSTITUTE(SUBSTITUTE(SUBSTITUTE(SUBSTITUTE(SUBSTITUTE(SUBSTITUTE(SUBSTITUTE(SUBSTITUTE(SUBSTITUTE(SUBSTITUTE(SUBSTITUTE(SUBSTITUTE(SUBSTITUTE(SUBSTITUTE(SUBSTITUTE(SUBSTITUTE(SUBSTITUTE(SUBSTITUTE(SUBSTITUTE(tabSindicatos[ABRANGÊNCIA],"á","a"),"ã","a"),"â","a"),"é","e"),"ê","e"),"í","i"),"ó","o"),"õ","o"),"ô","o"),"ú","u"),"ç","c"),"Á","a"),"Ã","a"),"Â","a"),"É","e"),"Ê","e"),"Í","i"),"Ó","o"),"Õ","o"),"Ô","o"),"Ú","u"),"Ç","c"),"/MG","")," e ",", ")," ",""),".","")))&amp;",",
_xlpm.MATRIZ_FUNCAO, ","&amp;TRIM(UPPER(SUBSTITUTE(SUBSTITUTE(SUBSTITUTE(SUBSTITUTE(SUBSTITUTE(SUBSTITUTE(SUBSTITUTE(SUBSTITUTE(SUBSTITUTE(SUBSTITUTE(SUBSTITUTE(SUBSTITUTE(SUBSTITUTE(SUBSTITUTE(SUBSTITUTE(SUBSTITUTE(SUBSTITUTE(SUBSTITUTE(SUBSTITUTE(SUBSTITUTE(SUBSTITUTE(SUBSTITUTE(SUBSTITUTE(SUBSTITUTE(SUBSTITUTE(tabSindicatos[FUNÇÕES],"á","a"),"ã","a"),"â","a"),"é","e"),"ê","e"),"í","i"),"ó","o"),"õ","o"),"ô","o"),"ú","u"),"ç","c"),"Á","a"),"Ã","a"),"Â","a"),"É","e"),"Ê","e"),"Í","i"),"Ó","o"),"Õ","o"),"Ô","o"),"Ú","u"),"Ç","c")," e ",", ")," ",""),".","")))&amp;",",
IFERROR(_xlfn._xlws.FILTER(tabSindicatos[SINDICATOS],
(ISNUMBER(SEARCH(","&amp;TRIM(UPPER(SUBSTITUTE(tabPostos[[#This Row],[Comarca]]," ","")))&amp;",",_xlpm.MATRIZ_COMARCA,1)))*
(ISNUMBER(SEARCH(","&amp;TRIM(SUBSTITUTE(SUBSTITUTE(SUBSTITUTE(UPPER(tabPostos[[#This Row],[Função]])," E ",", ")," ",""),".",""))&amp;",",_xlpm.MATRIZ_FUNCAO,1)))
),"")
))</f>
        <v>SECI</v>
      </c>
      <c r="E111" s="148" t="s">
        <v>9</v>
      </c>
      <c r="F111" s="148" t="s">
        <v>10</v>
      </c>
      <c r="G111" s="148">
        <v>1</v>
      </c>
      <c r="H111" s="148">
        <v>0</v>
      </c>
      <c r="I111" s="216">
        <f>824.56</f>
        <v>824.56</v>
      </c>
      <c r="J111" s="247">
        <f>VLOOKUP(tabPostos[[#This Row],[CCT DA CATEGORIA]],'RELAÇÃO SINDICATOS'!A:N,11,0)</f>
        <v>45658</v>
      </c>
      <c r="K111" s="148" t="str">
        <f>VLOOKUP(tabPostos[[#This Row],[CCT DA CATEGORIA]],'RELAÇÃO SINDICATOS'!A:N,12,0)</f>
        <v>-</v>
      </c>
      <c r="L111" s="148" t="str">
        <f>VLOOKUP(tabPostos[[#This Row],[CCT DA CATEGORIA]],'RELAÇÃO SINDICATOS'!A:N,13,0)</f>
        <v>-</v>
      </c>
      <c r="M111" s="148" t="str">
        <f>VLOOKUP(tabPostos[[#This Row],[CCT DA CATEGORIA]],'RELAÇÃO SINDICATOS'!A:N,14,0)</f>
        <v>MG000736/2025</v>
      </c>
    </row>
    <row r="112" spans="1:13" x14ac:dyDescent="0.25">
      <c r="A112" s="148" t="str" cm="1">
        <f t="array" ref="A112">_xlfn.XLOOKUP(tabPostos[[#This Row],[Fonte de Recursos]]&amp;tabPostos[[#This Row],[Classificação]],tabLotacao[Lotacao]&amp;tabLotacao[Tipo],tabLotacao[Codigo Lote],"0")&amp;"."&amp;_xlfn.XLOOKUP(tabPostos[[#This Row],[Comarca]],tabComarca[COMARCA],tabComarca[Codigo Comarca],"000")&amp;"."&amp;_xlfn.XLOOKUP(tabPostos[[#This Row],[Função]],tabCargos[Cargo],tabCargos[Codigo Cargo],"00")</f>
        <v>2.313.05</v>
      </c>
      <c r="B112" s="200" t="s">
        <v>105</v>
      </c>
      <c r="C112" s="200" t="s">
        <v>1246</v>
      </c>
      <c r="D112" s="200" t="str" cm="1">
        <f t="array" ref="D112">IF(tabPostos[[#This Row],[Comarca]]="","",
_xlfn.LET(
_xlpm.MATRIZ_COMARCA, ","&amp;TRIM(UPPER(SUBSTITUTE(SUBSTITUTE(SUBSTITUTE(SUBSTITUTE(SUBSTITUTE(SUBSTITUTE(SUBSTITUTE(SUBSTITUTE(SUBSTITUTE(SUBSTITUTE(SUBSTITUTE(SUBSTITUTE(SUBSTITUTE(SUBSTITUTE(SUBSTITUTE(SUBSTITUTE(SUBSTITUTE(SUBSTITUTE(SUBSTITUTE(SUBSTITUTE(SUBSTITUTE(SUBSTITUTE(SUBSTITUTE(SUBSTITUTE(SUBSTITUTE(SUBSTITUTE(tabSindicatos[ABRANGÊNCIA],"á","a"),"ã","a"),"â","a"),"é","e"),"ê","e"),"í","i"),"ó","o"),"õ","o"),"ô","o"),"ú","u"),"ç","c"),"Á","a"),"Ã","a"),"Â","a"),"É","e"),"Ê","e"),"Í","i"),"Ó","o"),"Õ","o"),"Ô","o"),"Ú","u"),"Ç","c"),"/MG","")," e ",", ")," ",""),".","")))&amp;",",
_xlpm.MATRIZ_FUNCAO, ","&amp;TRIM(UPPER(SUBSTITUTE(SUBSTITUTE(SUBSTITUTE(SUBSTITUTE(SUBSTITUTE(SUBSTITUTE(SUBSTITUTE(SUBSTITUTE(SUBSTITUTE(SUBSTITUTE(SUBSTITUTE(SUBSTITUTE(SUBSTITUTE(SUBSTITUTE(SUBSTITUTE(SUBSTITUTE(SUBSTITUTE(SUBSTITUTE(SUBSTITUTE(SUBSTITUTE(SUBSTITUTE(SUBSTITUTE(SUBSTITUTE(SUBSTITUTE(SUBSTITUTE(tabSindicatos[FUNÇÕES],"á","a"),"ã","a"),"â","a"),"é","e"),"ê","e"),"í","i"),"ó","o"),"õ","o"),"ô","o"),"ú","u"),"ç","c"),"Á","a"),"Ã","a"),"Â","a"),"É","e"),"Ê","e"),"Í","i"),"Ó","o"),"Õ","o"),"Ô","o"),"Ú","u"),"Ç","c")," e ",", ")," ",""),".","")))&amp;",",
IFERROR(_xlfn._xlws.FILTER(tabSindicatos[SINDICATOS],
(ISNUMBER(SEARCH(","&amp;TRIM(UPPER(SUBSTITUTE(tabPostos[[#This Row],[Comarca]]," ","")))&amp;",",_xlpm.MATRIZ_COMARCA,1)))*
(ISNUMBER(SEARCH(","&amp;TRIM(SUBSTITUTE(SUBSTITUTE(SUBSTITUTE(UPPER(tabPostos[[#This Row],[Função]])," E ",", ")," ",""),".",""))&amp;",",_xlpm.MATRIZ_FUNCAO,1)))
),"")
))</f>
        <v>SECI</v>
      </c>
      <c r="E112" s="148" t="s">
        <v>9</v>
      </c>
      <c r="F112" s="148" t="s">
        <v>10</v>
      </c>
      <c r="G112" s="148">
        <v>1</v>
      </c>
      <c r="H112" s="148">
        <v>0</v>
      </c>
      <c r="I112" s="216">
        <f>1124.39</f>
        <v>1124.3900000000001</v>
      </c>
      <c r="J112" s="247">
        <f>VLOOKUP(tabPostos[[#This Row],[CCT DA CATEGORIA]],'RELAÇÃO SINDICATOS'!A:N,11,0)</f>
        <v>45658</v>
      </c>
      <c r="K112" s="148" t="str">
        <f>VLOOKUP(tabPostos[[#This Row],[CCT DA CATEGORIA]],'RELAÇÃO SINDICATOS'!A:N,12,0)</f>
        <v>-</v>
      </c>
      <c r="L112" s="148" t="str">
        <f>VLOOKUP(tabPostos[[#This Row],[CCT DA CATEGORIA]],'RELAÇÃO SINDICATOS'!A:N,13,0)</f>
        <v>-</v>
      </c>
      <c r="M112" s="148" t="str">
        <f>VLOOKUP(tabPostos[[#This Row],[CCT DA CATEGORIA]],'RELAÇÃO SINDICATOS'!A:N,14,0)</f>
        <v>MG000736/2025</v>
      </c>
    </row>
    <row r="113" spans="1:13" x14ac:dyDescent="0.25">
      <c r="A113" s="148" t="str" cm="1">
        <f t="array" ref="A113">_xlfn.XLOOKUP(tabPostos[[#This Row],[Fonte de Recursos]]&amp;tabPostos[[#This Row],[Classificação]],tabLotacao[Lotacao]&amp;tabLotacao[Tipo],tabLotacao[Codigo Lote],"0")&amp;"."&amp;_xlfn.XLOOKUP(tabPostos[[#This Row],[Comarca]],tabComarca[COMARCA],tabComarca[Codigo Comarca],"000")&amp;"."&amp;_xlfn.XLOOKUP(tabPostos[[#This Row],[Função]],tabCargos[Cargo],tabCargos[Codigo Cargo],"00")</f>
        <v>2.313.06</v>
      </c>
      <c r="B113" s="200" t="s">
        <v>105</v>
      </c>
      <c r="C113" s="200" t="s">
        <v>1245</v>
      </c>
      <c r="D113" s="200" t="str" cm="1">
        <f t="array" ref="D113">IF(tabPostos[[#This Row],[Comarca]]="","",
_xlfn.LET(
_xlpm.MATRIZ_COMARCA, ","&amp;TRIM(UPPER(SUBSTITUTE(SUBSTITUTE(SUBSTITUTE(SUBSTITUTE(SUBSTITUTE(SUBSTITUTE(SUBSTITUTE(SUBSTITUTE(SUBSTITUTE(SUBSTITUTE(SUBSTITUTE(SUBSTITUTE(SUBSTITUTE(SUBSTITUTE(SUBSTITUTE(SUBSTITUTE(SUBSTITUTE(SUBSTITUTE(SUBSTITUTE(SUBSTITUTE(SUBSTITUTE(SUBSTITUTE(SUBSTITUTE(SUBSTITUTE(SUBSTITUTE(SUBSTITUTE(tabSindicatos[ABRANGÊNCIA],"á","a"),"ã","a"),"â","a"),"é","e"),"ê","e"),"í","i"),"ó","o"),"õ","o"),"ô","o"),"ú","u"),"ç","c"),"Á","a"),"Ã","a"),"Â","a"),"É","e"),"Ê","e"),"Í","i"),"Ó","o"),"Õ","o"),"Ô","o"),"Ú","u"),"Ç","c"),"/MG","")," e ",", ")," ",""),".","")))&amp;",",
_xlpm.MATRIZ_FUNCAO, ","&amp;TRIM(UPPER(SUBSTITUTE(SUBSTITUTE(SUBSTITUTE(SUBSTITUTE(SUBSTITUTE(SUBSTITUTE(SUBSTITUTE(SUBSTITUTE(SUBSTITUTE(SUBSTITUTE(SUBSTITUTE(SUBSTITUTE(SUBSTITUTE(SUBSTITUTE(SUBSTITUTE(SUBSTITUTE(SUBSTITUTE(SUBSTITUTE(SUBSTITUTE(SUBSTITUTE(SUBSTITUTE(SUBSTITUTE(SUBSTITUTE(SUBSTITUTE(SUBSTITUTE(tabSindicatos[FUNÇÕES],"á","a"),"ã","a"),"â","a"),"é","e"),"ê","e"),"í","i"),"ó","o"),"õ","o"),"ô","o"),"ú","u"),"ç","c"),"Á","a"),"Ã","a"),"Â","a"),"É","e"),"Ê","e"),"Í","i"),"Ó","o"),"Õ","o"),"Ô","o"),"Ú","u"),"Ç","c")," e ",", ")," ",""),".","")))&amp;",",
IFERROR(_xlfn._xlws.FILTER(tabSindicatos[SINDICATOS],
(ISNUMBER(SEARCH(","&amp;TRIM(UPPER(SUBSTITUTE(tabPostos[[#This Row],[Comarca]]," ","")))&amp;",",_xlpm.MATRIZ_COMARCA,1)))*
(ISNUMBER(SEARCH(","&amp;TRIM(SUBSTITUTE(SUBSTITUTE(SUBSTITUTE(UPPER(tabPostos[[#This Row],[Função]])," E ",", ")," ",""),".",""))&amp;",",_xlpm.MATRIZ_FUNCAO,1)))
),"")
))</f>
        <v>SECI</v>
      </c>
      <c r="E113" s="148" t="s">
        <v>9</v>
      </c>
      <c r="F113" s="148" t="s">
        <v>10</v>
      </c>
      <c r="G113" s="148">
        <v>2</v>
      </c>
      <c r="H113" s="148">
        <v>0</v>
      </c>
      <c r="I113" s="216">
        <f>1649.12</f>
        <v>1649.12</v>
      </c>
      <c r="J113" s="247">
        <f>VLOOKUP(tabPostos[[#This Row],[CCT DA CATEGORIA]],'RELAÇÃO SINDICATOS'!A:N,11,0)</f>
        <v>45658</v>
      </c>
      <c r="K113" s="148" t="str">
        <f>VLOOKUP(tabPostos[[#This Row],[CCT DA CATEGORIA]],'RELAÇÃO SINDICATOS'!A:N,12,0)</f>
        <v>-</v>
      </c>
      <c r="L113" s="148" t="str">
        <f>VLOOKUP(tabPostos[[#This Row],[CCT DA CATEGORIA]],'RELAÇÃO SINDICATOS'!A:N,13,0)</f>
        <v>-</v>
      </c>
      <c r="M113" s="148" t="str">
        <f>VLOOKUP(tabPostos[[#This Row],[CCT DA CATEGORIA]],'RELAÇÃO SINDICATOS'!A:N,14,0)</f>
        <v>MG000736/2025</v>
      </c>
    </row>
    <row r="114" spans="1:13" x14ac:dyDescent="0.25">
      <c r="A114" s="148" t="str" cm="1">
        <f t="array" ref="A114">_xlfn.XLOOKUP(tabPostos[[#This Row],[Fonte de Recursos]]&amp;tabPostos[[#This Row],[Classificação]],tabLotacao[Lotacao]&amp;tabLotacao[Tipo],tabLotacao[Codigo Lote],"0")&amp;"."&amp;_xlfn.XLOOKUP(tabPostos[[#This Row],[Comarca]],tabComarca[COMARCA],tabComarca[Codigo Comarca],"000")&amp;"."&amp;_xlfn.XLOOKUP(tabPostos[[#This Row],[Função]],tabCargos[Cargo],tabCargos[Codigo Cargo],"00")</f>
        <v>2.317.05</v>
      </c>
      <c r="B114" s="200" t="s">
        <v>106</v>
      </c>
      <c r="C114" s="200" t="s">
        <v>1246</v>
      </c>
      <c r="D114" s="200" t="str" cm="1">
        <f t="array" ref="D114">IF(tabPostos[[#This Row],[Comarca]]="","",
_xlfn.LET(
_xlpm.MATRIZ_COMARCA, ","&amp;TRIM(UPPER(SUBSTITUTE(SUBSTITUTE(SUBSTITUTE(SUBSTITUTE(SUBSTITUTE(SUBSTITUTE(SUBSTITUTE(SUBSTITUTE(SUBSTITUTE(SUBSTITUTE(SUBSTITUTE(SUBSTITUTE(SUBSTITUTE(SUBSTITUTE(SUBSTITUTE(SUBSTITUTE(SUBSTITUTE(SUBSTITUTE(SUBSTITUTE(SUBSTITUTE(SUBSTITUTE(SUBSTITUTE(SUBSTITUTE(SUBSTITUTE(SUBSTITUTE(SUBSTITUTE(tabSindicatos[ABRANGÊNCIA],"á","a"),"ã","a"),"â","a"),"é","e"),"ê","e"),"í","i"),"ó","o"),"õ","o"),"ô","o"),"ú","u"),"ç","c"),"Á","a"),"Ã","a"),"Â","a"),"É","e"),"Ê","e"),"Í","i"),"Ó","o"),"Õ","o"),"Ô","o"),"Ú","u"),"Ç","c"),"/MG","")," e ",", ")," ",""),".","")))&amp;",",
_xlpm.MATRIZ_FUNCAO, ","&amp;TRIM(UPPER(SUBSTITUTE(SUBSTITUTE(SUBSTITUTE(SUBSTITUTE(SUBSTITUTE(SUBSTITUTE(SUBSTITUTE(SUBSTITUTE(SUBSTITUTE(SUBSTITUTE(SUBSTITUTE(SUBSTITUTE(SUBSTITUTE(SUBSTITUTE(SUBSTITUTE(SUBSTITUTE(SUBSTITUTE(SUBSTITUTE(SUBSTITUTE(SUBSTITUTE(SUBSTITUTE(SUBSTITUTE(SUBSTITUTE(SUBSTITUTE(SUBSTITUTE(tabSindicatos[FUNÇÕES],"á","a"),"ã","a"),"â","a"),"é","e"),"ê","e"),"í","i"),"ó","o"),"õ","o"),"ô","o"),"ú","u"),"ç","c"),"Á","a"),"Ã","a"),"Â","a"),"É","e"),"Ê","e"),"Í","i"),"Ó","o"),"Õ","o"),"Ô","o"),"Ú","u"),"Ç","c")," e ",", ")," ",""),".","")))&amp;",",
IFERROR(_xlfn._xlws.FILTER(tabSindicatos[SINDICATOS],
(ISNUMBER(SEARCH(","&amp;TRIM(UPPER(SUBSTITUTE(tabPostos[[#This Row],[Comarca]]," ","")))&amp;",",_xlpm.MATRIZ_COMARCA,1)))*
(ISNUMBER(SEARCH(","&amp;TRIM(SUBSTITUTE(SUBSTITUTE(SUBSTITUTE(UPPER(tabPostos[[#This Row],[Função]])," E ",", ")," ",""),".",""))&amp;",",_xlpm.MATRIZ_FUNCAO,1)))
),"")
))</f>
        <v>Itabira</v>
      </c>
      <c r="E114" s="148" t="s">
        <v>9</v>
      </c>
      <c r="F114" s="148" t="s">
        <v>10</v>
      </c>
      <c r="G114" s="148">
        <v>1</v>
      </c>
      <c r="H114" s="148">
        <v>0</v>
      </c>
      <c r="I114" s="216">
        <f>1124.39</f>
        <v>1124.3900000000001</v>
      </c>
      <c r="J114" s="247">
        <f>VLOOKUP(tabPostos[[#This Row],[CCT DA CATEGORIA]],'RELAÇÃO SINDICATOS'!A:N,11,0)</f>
        <v>45658</v>
      </c>
      <c r="K114" s="148" t="str">
        <f>VLOOKUP(tabPostos[[#This Row],[CCT DA CATEGORIA]],'RELAÇÃO SINDICATOS'!A:N,12,0)</f>
        <v>-</v>
      </c>
      <c r="L114" s="148" t="str">
        <f>VLOOKUP(tabPostos[[#This Row],[CCT DA CATEGORIA]],'RELAÇÃO SINDICATOS'!A:N,13,0)</f>
        <v>-</v>
      </c>
      <c r="M114" s="148" t="str">
        <f>VLOOKUP(tabPostos[[#This Row],[CCT DA CATEGORIA]],'RELAÇÃO SINDICATOS'!A:N,14,0)</f>
        <v>MG001187/2025</v>
      </c>
    </row>
    <row r="115" spans="1:13" x14ac:dyDescent="0.25">
      <c r="A115" s="148" t="str" cm="1">
        <f t="array" ref="A115">_xlfn.XLOOKUP(tabPostos[[#This Row],[Fonte de Recursos]]&amp;tabPostos[[#This Row],[Classificação]],tabLotacao[Lotacao]&amp;tabLotacao[Tipo],tabLotacao[Codigo Lote],"0")&amp;"."&amp;_xlfn.XLOOKUP(tabPostos[[#This Row],[Comarca]],tabComarca[COMARCA],tabComarca[Codigo Comarca],"000")&amp;"."&amp;_xlfn.XLOOKUP(tabPostos[[#This Row],[Função]],tabCargos[Cargo],tabCargos[Codigo Cargo],"00")</f>
        <v>2.319.06</v>
      </c>
      <c r="B115" s="200" t="s">
        <v>107</v>
      </c>
      <c r="C115" s="200" t="s">
        <v>1245</v>
      </c>
      <c r="D115" s="200" t="str" cm="1">
        <f t="array" ref="D115">IF(tabPostos[[#This Row],[Comarca]]="","",
_xlfn.LET(
_xlpm.MATRIZ_COMARCA, ","&amp;TRIM(UPPER(SUBSTITUTE(SUBSTITUTE(SUBSTITUTE(SUBSTITUTE(SUBSTITUTE(SUBSTITUTE(SUBSTITUTE(SUBSTITUTE(SUBSTITUTE(SUBSTITUTE(SUBSTITUTE(SUBSTITUTE(SUBSTITUTE(SUBSTITUTE(SUBSTITUTE(SUBSTITUTE(SUBSTITUTE(SUBSTITUTE(SUBSTITUTE(SUBSTITUTE(SUBSTITUTE(SUBSTITUTE(SUBSTITUTE(SUBSTITUTE(SUBSTITUTE(SUBSTITUTE(tabSindicatos[ABRANGÊNCIA],"á","a"),"ã","a"),"â","a"),"é","e"),"ê","e"),"í","i"),"ó","o"),"õ","o"),"ô","o"),"ú","u"),"ç","c"),"Á","a"),"Ã","a"),"Â","a"),"É","e"),"Ê","e"),"Í","i"),"Ó","o"),"Õ","o"),"Ô","o"),"Ú","u"),"Ç","c"),"/MG","")," e ",", ")," ",""),".","")))&amp;",",
_xlpm.MATRIZ_FUNCAO, ","&amp;TRIM(UPPER(SUBSTITUTE(SUBSTITUTE(SUBSTITUTE(SUBSTITUTE(SUBSTITUTE(SUBSTITUTE(SUBSTITUTE(SUBSTITUTE(SUBSTITUTE(SUBSTITUTE(SUBSTITUTE(SUBSTITUTE(SUBSTITUTE(SUBSTITUTE(SUBSTITUTE(SUBSTITUTE(SUBSTITUTE(SUBSTITUTE(SUBSTITUTE(SUBSTITUTE(SUBSTITUTE(SUBSTITUTE(SUBSTITUTE(SUBSTITUTE(SUBSTITUTE(tabSindicatos[FUNÇÕES],"á","a"),"ã","a"),"â","a"),"é","e"),"ê","e"),"í","i"),"ó","o"),"õ","o"),"ô","o"),"ú","u"),"ç","c"),"Á","a"),"Ã","a"),"Â","a"),"É","e"),"Ê","e"),"Í","i"),"Ó","o"),"Õ","o"),"Ô","o"),"Ú","u"),"Ç","c")," e ",", ")," ",""),".","")))&amp;",",
IFERROR(_xlfn._xlws.FILTER(tabSindicatos[SINDICATOS],
(ISNUMBER(SEARCH(","&amp;TRIM(UPPER(SUBSTITUTE(tabPostos[[#This Row],[Comarca]]," ","")))&amp;",",_xlpm.MATRIZ_COMARCA,1)))*
(ISNUMBER(SEARCH(","&amp;TRIM(SUBSTITUTE(SUBSTITUTE(SUBSTITUTE(UPPER(tabPostos[[#This Row],[Função]])," E ",", ")," ",""),".",""))&amp;",",_xlpm.MATRIZ_FUNCAO,1)))
),"")
))</f>
        <v>Fethemg Interior</v>
      </c>
      <c r="E115" s="148" t="s">
        <v>9</v>
      </c>
      <c r="F115" s="148" t="s">
        <v>10</v>
      </c>
      <c r="G115" s="148">
        <v>1</v>
      </c>
      <c r="H115" s="148">
        <v>0</v>
      </c>
      <c r="I115" s="216">
        <f>1596.28</f>
        <v>1596.28</v>
      </c>
      <c r="J115" s="247">
        <f>VLOOKUP(tabPostos[[#This Row],[CCT DA CATEGORIA]],'RELAÇÃO SINDICATOS'!A:N,11,0)</f>
        <v>45658</v>
      </c>
      <c r="K115" s="148" t="str">
        <f>VLOOKUP(tabPostos[[#This Row],[CCT DA CATEGORIA]],'RELAÇÃO SINDICATOS'!A:N,12,0)</f>
        <v>-</v>
      </c>
      <c r="L115" s="148" t="str">
        <f>VLOOKUP(tabPostos[[#This Row],[CCT DA CATEGORIA]],'RELAÇÃO SINDICATOS'!A:N,13,0)</f>
        <v>-</v>
      </c>
      <c r="M115" s="148" t="str">
        <f>VLOOKUP(tabPostos[[#This Row],[CCT DA CATEGORIA]],'RELAÇÃO SINDICATOS'!A:N,14,0)</f>
        <v>MG004482/2024</v>
      </c>
    </row>
    <row r="116" spans="1:13" x14ac:dyDescent="0.25">
      <c r="A116" s="148" t="str" cm="1">
        <f t="array" ref="A116">_xlfn.XLOOKUP(tabPostos[[#This Row],[Fonte de Recursos]]&amp;tabPostos[[#This Row],[Classificação]],tabLotacao[Lotacao]&amp;tabLotacao[Tipo],tabLotacao[Codigo Lote],"0")&amp;"."&amp;_xlfn.XLOOKUP(tabPostos[[#This Row],[Comarca]],tabComarca[COMARCA],tabComarca[Codigo Comarca],"000")&amp;"."&amp;_xlfn.XLOOKUP(tabPostos[[#This Row],[Função]],tabCargos[Cargo],tabCargos[Codigo Cargo],"00")</f>
        <v>2.322.03</v>
      </c>
      <c r="B116" s="200" t="s">
        <v>108</v>
      </c>
      <c r="C116" s="200" t="s">
        <v>1247</v>
      </c>
      <c r="D116" s="200" t="str" cm="1">
        <f t="array" ref="D116">IF(tabPostos[[#This Row],[Comarca]]="","",
_xlfn.LET(
_xlpm.MATRIZ_COMARCA, ","&amp;TRIM(UPPER(SUBSTITUTE(SUBSTITUTE(SUBSTITUTE(SUBSTITUTE(SUBSTITUTE(SUBSTITUTE(SUBSTITUTE(SUBSTITUTE(SUBSTITUTE(SUBSTITUTE(SUBSTITUTE(SUBSTITUTE(SUBSTITUTE(SUBSTITUTE(SUBSTITUTE(SUBSTITUTE(SUBSTITUTE(SUBSTITUTE(SUBSTITUTE(SUBSTITUTE(SUBSTITUTE(SUBSTITUTE(SUBSTITUTE(SUBSTITUTE(SUBSTITUTE(SUBSTITUTE(tabSindicatos[ABRANGÊNCIA],"á","a"),"ã","a"),"â","a"),"é","e"),"ê","e"),"í","i"),"ó","o"),"õ","o"),"ô","o"),"ú","u"),"ç","c"),"Á","a"),"Ã","a"),"Â","a"),"É","e"),"Ê","e"),"Í","i"),"Ó","o"),"Õ","o"),"Ô","o"),"Ú","u"),"Ç","c"),"/MG","")," e ",", ")," ",""),".","")))&amp;",",
_xlpm.MATRIZ_FUNCAO, ","&amp;TRIM(UPPER(SUBSTITUTE(SUBSTITUTE(SUBSTITUTE(SUBSTITUTE(SUBSTITUTE(SUBSTITUTE(SUBSTITUTE(SUBSTITUTE(SUBSTITUTE(SUBSTITUTE(SUBSTITUTE(SUBSTITUTE(SUBSTITUTE(SUBSTITUTE(SUBSTITUTE(SUBSTITUTE(SUBSTITUTE(SUBSTITUTE(SUBSTITUTE(SUBSTITUTE(SUBSTITUTE(SUBSTITUTE(SUBSTITUTE(SUBSTITUTE(SUBSTITUTE(tabSindicatos[FUNÇÕES],"á","a"),"ã","a"),"â","a"),"é","e"),"ê","e"),"í","i"),"ó","o"),"õ","o"),"ô","o"),"ú","u"),"ç","c"),"Á","a"),"Ã","a"),"Â","a"),"É","e"),"Ê","e"),"Í","i"),"Ó","o"),"Õ","o"),"Ô","o"),"Ú","u"),"Ç","c")," e ",", ")," ",""),".","")))&amp;",",
IFERROR(_xlfn._xlws.FILTER(tabSindicatos[SINDICATOS],
(ISNUMBER(SEARCH(","&amp;TRIM(UPPER(SUBSTITUTE(tabPostos[[#This Row],[Comarca]]," ","")))&amp;",",_xlpm.MATRIZ_COMARCA,1)))*
(ISNUMBER(SEARCH(","&amp;TRIM(SUBSTITUTE(SUBSTITUTE(SUBSTITUTE(UPPER(tabPostos[[#This Row],[Função]])," E ",", ")," ",""),".",""))&amp;",",_xlpm.MATRIZ_FUNCAO,1)))
),"")
))</f>
        <v>Fethemg Interior</v>
      </c>
      <c r="E116" s="148" t="s">
        <v>9</v>
      </c>
      <c r="F116" s="148" t="s">
        <v>10</v>
      </c>
      <c r="G116" s="148">
        <v>1</v>
      </c>
      <c r="H116" s="148">
        <v>0</v>
      </c>
      <c r="I116" s="216">
        <f>544.18</f>
        <v>544.17999999999995</v>
      </c>
      <c r="J116" s="247">
        <f>VLOOKUP(tabPostos[[#This Row],[CCT DA CATEGORIA]],'RELAÇÃO SINDICATOS'!A:N,11,0)</f>
        <v>45658</v>
      </c>
      <c r="K116" s="148" t="str">
        <f>VLOOKUP(tabPostos[[#This Row],[CCT DA CATEGORIA]],'RELAÇÃO SINDICATOS'!A:N,12,0)</f>
        <v>-</v>
      </c>
      <c r="L116" s="148" t="str">
        <f>VLOOKUP(tabPostos[[#This Row],[CCT DA CATEGORIA]],'RELAÇÃO SINDICATOS'!A:N,13,0)</f>
        <v>-</v>
      </c>
      <c r="M116" s="148" t="str">
        <f>VLOOKUP(tabPostos[[#This Row],[CCT DA CATEGORIA]],'RELAÇÃO SINDICATOS'!A:N,14,0)</f>
        <v>MG004482/2024</v>
      </c>
    </row>
    <row r="117" spans="1:13" x14ac:dyDescent="0.25">
      <c r="A117" s="148" t="str" cm="1">
        <f t="array" ref="A117">_xlfn.XLOOKUP(tabPostos[[#This Row],[Fonte de Recursos]]&amp;tabPostos[[#This Row],[Classificação]],tabLotacao[Lotacao]&amp;tabLotacao[Tipo],tabLotacao[Codigo Lote],"0")&amp;"."&amp;_xlfn.XLOOKUP(tabPostos[[#This Row],[Comarca]],tabComarca[COMARCA],tabComarca[Codigo Comarca],"000")&amp;"."&amp;_xlfn.XLOOKUP(tabPostos[[#This Row],[Função]],tabCargos[Cargo],tabCargos[Codigo Cargo],"00")</f>
        <v>2.324.04</v>
      </c>
      <c r="B117" s="200" t="s">
        <v>109</v>
      </c>
      <c r="C117" s="200" t="s">
        <v>1244</v>
      </c>
      <c r="D117" s="200" t="str" cm="1">
        <f t="array" ref="D117">IF(tabPostos[[#This Row],[Comarca]]="","",
_xlfn.LET(
_xlpm.MATRIZ_COMARCA, ","&amp;TRIM(UPPER(SUBSTITUTE(SUBSTITUTE(SUBSTITUTE(SUBSTITUTE(SUBSTITUTE(SUBSTITUTE(SUBSTITUTE(SUBSTITUTE(SUBSTITUTE(SUBSTITUTE(SUBSTITUTE(SUBSTITUTE(SUBSTITUTE(SUBSTITUTE(SUBSTITUTE(SUBSTITUTE(SUBSTITUTE(SUBSTITUTE(SUBSTITUTE(SUBSTITUTE(SUBSTITUTE(SUBSTITUTE(SUBSTITUTE(SUBSTITUTE(SUBSTITUTE(SUBSTITUTE(tabSindicatos[ABRANGÊNCIA],"á","a"),"ã","a"),"â","a"),"é","e"),"ê","e"),"í","i"),"ó","o"),"õ","o"),"ô","o"),"ú","u"),"ç","c"),"Á","a"),"Ã","a"),"Â","a"),"É","e"),"Ê","e"),"Í","i"),"Ó","o"),"Õ","o"),"Ô","o"),"Ú","u"),"Ç","c"),"/MG","")," e ",", ")," ",""),".","")))&amp;",",
_xlpm.MATRIZ_FUNCAO, ","&amp;TRIM(UPPER(SUBSTITUTE(SUBSTITUTE(SUBSTITUTE(SUBSTITUTE(SUBSTITUTE(SUBSTITUTE(SUBSTITUTE(SUBSTITUTE(SUBSTITUTE(SUBSTITUTE(SUBSTITUTE(SUBSTITUTE(SUBSTITUTE(SUBSTITUTE(SUBSTITUTE(SUBSTITUTE(SUBSTITUTE(SUBSTITUTE(SUBSTITUTE(SUBSTITUTE(SUBSTITUTE(SUBSTITUTE(SUBSTITUTE(SUBSTITUTE(SUBSTITUTE(tabSindicatos[FUNÇÕES],"á","a"),"ã","a"),"â","a"),"é","e"),"ê","e"),"í","i"),"ó","o"),"õ","o"),"ô","o"),"ú","u"),"ç","c"),"Á","a"),"Ã","a"),"Â","a"),"É","e"),"Ê","e"),"Í","i"),"Ó","o"),"Õ","o"),"Ô","o"),"Ú","u"),"Ç","c")," e ",", ")," ",""),".","")))&amp;",",
IFERROR(_xlfn._xlws.FILTER(tabSindicatos[SINDICATOS],
(ISNUMBER(SEARCH(","&amp;TRIM(UPPER(SUBSTITUTE(tabPostos[[#This Row],[Comarca]]," ","")))&amp;",",_xlpm.MATRIZ_COMARCA,1)))*
(ISNUMBER(SEARCH(","&amp;TRIM(SUBSTITUTE(SUBSTITUTE(SUBSTITUTE(UPPER(tabPostos[[#This Row],[Função]])," E ",", ")," ",""),".",""))&amp;",",_xlpm.MATRIZ_FUNCAO,1)))
),"")
))</f>
        <v>Regiao de Sao Lourenco</v>
      </c>
      <c r="E117" s="148" t="s">
        <v>9</v>
      </c>
      <c r="F117" s="148" t="s">
        <v>10</v>
      </c>
      <c r="G117" s="148">
        <v>1</v>
      </c>
      <c r="H117" s="148">
        <v>0</v>
      </c>
      <c r="I117" s="216">
        <f>798.14</f>
        <v>798.14</v>
      </c>
      <c r="J117" s="247">
        <f>VLOOKUP(tabPostos[[#This Row],[CCT DA CATEGORIA]],'RELAÇÃO SINDICATOS'!A:N,11,0)</f>
        <v>45658</v>
      </c>
      <c r="K117" s="148" t="str">
        <f>VLOOKUP(tabPostos[[#This Row],[CCT DA CATEGORIA]],'RELAÇÃO SINDICATOS'!A:N,12,0)</f>
        <v>-</v>
      </c>
      <c r="L117" s="148" t="str">
        <f>VLOOKUP(tabPostos[[#This Row],[CCT DA CATEGORIA]],'RELAÇÃO SINDICATOS'!A:N,13,0)</f>
        <v>-</v>
      </c>
      <c r="M117" s="148" t="str">
        <f>VLOOKUP(tabPostos[[#This Row],[CCT DA CATEGORIA]],'RELAÇÃO SINDICATOS'!A:N,14,0)</f>
        <v>MG000594/2025</v>
      </c>
    </row>
    <row r="118" spans="1:13" x14ac:dyDescent="0.25">
      <c r="A118" s="148" t="str" cm="1">
        <f t="array" ref="A118">_xlfn.XLOOKUP(tabPostos[[#This Row],[Fonte de Recursos]]&amp;tabPostos[[#This Row],[Classificação]],tabLotacao[Lotacao]&amp;tabLotacao[Tipo],tabLotacao[Codigo Lote],"0")&amp;"."&amp;_xlfn.XLOOKUP(tabPostos[[#This Row],[Comarca]],tabComarca[COMARCA],tabComarca[Codigo Comarca],"000")&amp;"."&amp;_xlfn.XLOOKUP(tabPostos[[#This Row],[Função]],tabCargos[Cargo],tabCargos[Codigo Cargo],"00")</f>
        <v>2.324.06</v>
      </c>
      <c r="B118" s="200" t="s">
        <v>109</v>
      </c>
      <c r="C118" s="200" t="s">
        <v>1245</v>
      </c>
      <c r="D118" s="200" t="str" cm="1">
        <f t="array" ref="D118">IF(tabPostos[[#This Row],[Comarca]]="","",
_xlfn.LET(
_xlpm.MATRIZ_COMARCA, ","&amp;TRIM(UPPER(SUBSTITUTE(SUBSTITUTE(SUBSTITUTE(SUBSTITUTE(SUBSTITUTE(SUBSTITUTE(SUBSTITUTE(SUBSTITUTE(SUBSTITUTE(SUBSTITUTE(SUBSTITUTE(SUBSTITUTE(SUBSTITUTE(SUBSTITUTE(SUBSTITUTE(SUBSTITUTE(SUBSTITUTE(SUBSTITUTE(SUBSTITUTE(SUBSTITUTE(SUBSTITUTE(SUBSTITUTE(SUBSTITUTE(SUBSTITUTE(SUBSTITUTE(SUBSTITUTE(tabSindicatos[ABRANGÊNCIA],"á","a"),"ã","a"),"â","a"),"é","e"),"ê","e"),"í","i"),"ó","o"),"õ","o"),"ô","o"),"ú","u"),"ç","c"),"Á","a"),"Ã","a"),"Â","a"),"É","e"),"Ê","e"),"Í","i"),"Ó","o"),"Õ","o"),"Ô","o"),"Ú","u"),"Ç","c"),"/MG","")," e ",", ")," ",""),".","")))&amp;",",
_xlpm.MATRIZ_FUNCAO, ","&amp;TRIM(UPPER(SUBSTITUTE(SUBSTITUTE(SUBSTITUTE(SUBSTITUTE(SUBSTITUTE(SUBSTITUTE(SUBSTITUTE(SUBSTITUTE(SUBSTITUTE(SUBSTITUTE(SUBSTITUTE(SUBSTITUTE(SUBSTITUTE(SUBSTITUTE(SUBSTITUTE(SUBSTITUTE(SUBSTITUTE(SUBSTITUTE(SUBSTITUTE(SUBSTITUTE(SUBSTITUTE(SUBSTITUTE(SUBSTITUTE(SUBSTITUTE(SUBSTITUTE(tabSindicatos[FUNÇÕES],"á","a"),"ã","a"),"â","a"),"é","e"),"ê","e"),"í","i"),"ó","o"),"õ","o"),"ô","o"),"ú","u"),"ç","c"),"Á","a"),"Ã","a"),"Â","a"),"É","e"),"Ê","e"),"Í","i"),"Ó","o"),"Õ","o"),"Ô","o"),"Ú","u"),"Ç","c")," e ",", ")," ",""),".","")))&amp;",",
IFERROR(_xlfn._xlws.FILTER(tabSindicatos[SINDICATOS],
(ISNUMBER(SEARCH(","&amp;TRIM(UPPER(SUBSTITUTE(tabPostos[[#This Row],[Comarca]]," ","")))&amp;",",_xlpm.MATRIZ_COMARCA,1)))*
(ISNUMBER(SEARCH(","&amp;TRIM(SUBSTITUTE(SUBSTITUTE(SUBSTITUTE(UPPER(tabPostos[[#This Row],[Função]])," E ",", ")," ",""),".",""))&amp;",",_xlpm.MATRIZ_FUNCAO,1)))
),"")
))</f>
        <v>Regiao de Sao Lourenco</v>
      </c>
      <c r="E118" s="148" t="s">
        <v>9</v>
      </c>
      <c r="F118" s="148" t="s">
        <v>10</v>
      </c>
      <c r="G118" s="148">
        <v>1</v>
      </c>
      <c r="H118" s="148">
        <v>0</v>
      </c>
      <c r="I118" s="216">
        <f>1596.28</f>
        <v>1596.28</v>
      </c>
      <c r="J118" s="247">
        <f>VLOOKUP(tabPostos[[#This Row],[CCT DA CATEGORIA]],'RELAÇÃO SINDICATOS'!A:N,11,0)</f>
        <v>45658</v>
      </c>
      <c r="K118" s="148" t="str">
        <f>VLOOKUP(tabPostos[[#This Row],[CCT DA CATEGORIA]],'RELAÇÃO SINDICATOS'!A:N,12,0)</f>
        <v>-</v>
      </c>
      <c r="L118" s="148" t="str">
        <f>VLOOKUP(tabPostos[[#This Row],[CCT DA CATEGORIA]],'RELAÇÃO SINDICATOS'!A:N,13,0)</f>
        <v>-</v>
      </c>
      <c r="M118" s="148" t="str">
        <f>VLOOKUP(tabPostos[[#This Row],[CCT DA CATEGORIA]],'RELAÇÃO SINDICATOS'!A:N,14,0)</f>
        <v>MG000594/2025</v>
      </c>
    </row>
    <row r="119" spans="1:13" x14ac:dyDescent="0.25">
      <c r="A119" s="148" t="str" cm="1">
        <f t="array" ref="A119">_xlfn.XLOOKUP(tabPostos[[#This Row],[Fonte de Recursos]]&amp;tabPostos[[#This Row],[Classificação]],tabLotacao[Lotacao]&amp;tabLotacao[Tipo],tabLotacao[Codigo Lote],"0")&amp;"."&amp;_xlfn.XLOOKUP(tabPostos[[#This Row],[Comarca]],tabComarca[COMARCA],tabComarca[Codigo Comarca],"000")&amp;"."&amp;_xlfn.XLOOKUP(tabPostos[[#This Row],[Função]],tabCargos[Cargo],tabCargos[Codigo Cargo],"00")</f>
        <v>2.325.03</v>
      </c>
      <c r="B119" s="200" t="s">
        <v>110</v>
      </c>
      <c r="C119" s="200" t="s">
        <v>1247</v>
      </c>
      <c r="D119" s="200" t="str" cm="1">
        <f t="array" ref="D119">IF(tabPostos[[#This Row],[Comarca]]="","",
_xlfn.LET(
_xlpm.MATRIZ_COMARCA, ","&amp;TRIM(UPPER(SUBSTITUTE(SUBSTITUTE(SUBSTITUTE(SUBSTITUTE(SUBSTITUTE(SUBSTITUTE(SUBSTITUTE(SUBSTITUTE(SUBSTITUTE(SUBSTITUTE(SUBSTITUTE(SUBSTITUTE(SUBSTITUTE(SUBSTITUTE(SUBSTITUTE(SUBSTITUTE(SUBSTITUTE(SUBSTITUTE(SUBSTITUTE(SUBSTITUTE(SUBSTITUTE(SUBSTITUTE(SUBSTITUTE(SUBSTITUTE(SUBSTITUTE(SUBSTITUTE(tabSindicatos[ABRANGÊNCIA],"á","a"),"ã","a"),"â","a"),"é","e"),"ê","e"),"í","i"),"ó","o"),"õ","o"),"ô","o"),"ú","u"),"ç","c"),"Á","a"),"Ã","a"),"Â","a"),"É","e"),"Ê","e"),"Í","i"),"Ó","o"),"Õ","o"),"Ô","o"),"Ú","u"),"Ç","c"),"/MG","")," e ",", ")," ",""),".","")))&amp;",",
_xlpm.MATRIZ_FUNCAO, ","&amp;TRIM(UPPER(SUBSTITUTE(SUBSTITUTE(SUBSTITUTE(SUBSTITUTE(SUBSTITUTE(SUBSTITUTE(SUBSTITUTE(SUBSTITUTE(SUBSTITUTE(SUBSTITUTE(SUBSTITUTE(SUBSTITUTE(SUBSTITUTE(SUBSTITUTE(SUBSTITUTE(SUBSTITUTE(SUBSTITUTE(SUBSTITUTE(SUBSTITUTE(SUBSTITUTE(SUBSTITUTE(SUBSTITUTE(SUBSTITUTE(SUBSTITUTE(SUBSTITUTE(tabSindicatos[FUNÇÕES],"á","a"),"ã","a"),"â","a"),"é","e"),"ê","e"),"í","i"),"ó","o"),"õ","o"),"ô","o"),"ú","u"),"ç","c"),"Á","a"),"Ã","a"),"Â","a"),"É","e"),"Ê","e"),"Í","i"),"Ó","o"),"Õ","o"),"Ô","o"),"Ú","u"),"Ç","c")," e ",", ")," ",""),".","")))&amp;",",
IFERROR(_xlfn._xlws.FILTER(tabSindicatos[SINDICATOS],
(ISNUMBER(SEARCH(","&amp;TRIM(UPPER(SUBSTITUTE(tabPostos[[#This Row],[Comarca]]," ","")))&amp;",",_xlpm.MATRIZ_COMARCA,1)))*
(ISNUMBER(SEARCH(","&amp;TRIM(SUBSTITUTE(SUBSTITUTE(SUBSTITUTE(UPPER(tabPostos[[#This Row],[Função]])," E ",", ")," ",""),".",""))&amp;",",_xlpm.MATRIZ_FUNCAO,1)))
),"")
))</f>
        <v>Fethemg Interior</v>
      </c>
      <c r="E119" s="148" t="s">
        <v>9</v>
      </c>
      <c r="F119" s="148" t="s">
        <v>10</v>
      </c>
      <c r="G119" s="148">
        <v>1</v>
      </c>
      <c r="H119" s="148">
        <v>0</v>
      </c>
      <c r="I119" s="216">
        <f>544.18</f>
        <v>544.17999999999995</v>
      </c>
      <c r="J119" s="247">
        <f>VLOOKUP(tabPostos[[#This Row],[CCT DA CATEGORIA]],'RELAÇÃO SINDICATOS'!A:N,11,0)</f>
        <v>45658</v>
      </c>
      <c r="K119" s="148" t="str">
        <f>VLOOKUP(tabPostos[[#This Row],[CCT DA CATEGORIA]],'RELAÇÃO SINDICATOS'!A:N,12,0)</f>
        <v>-</v>
      </c>
      <c r="L119" s="148" t="str">
        <f>VLOOKUP(tabPostos[[#This Row],[CCT DA CATEGORIA]],'RELAÇÃO SINDICATOS'!A:N,13,0)</f>
        <v>-</v>
      </c>
      <c r="M119" s="148" t="str">
        <f>VLOOKUP(tabPostos[[#This Row],[CCT DA CATEGORIA]],'RELAÇÃO SINDICATOS'!A:N,14,0)</f>
        <v>MG004482/2024</v>
      </c>
    </row>
    <row r="120" spans="1:13" x14ac:dyDescent="0.25">
      <c r="A120" s="148" t="str" cm="1">
        <f t="array" ref="A120">_xlfn.XLOOKUP(tabPostos[[#This Row],[Fonte de Recursos]]&amp;tabPostos[[#This Row],[Classificação]],tabLotacao[Lotacao]&amp;tabLotacao[Tipo],tabLotacao[Codigo Lote],"0")&amp;"."&amp;_xlfn.XLOOKUP(tabPostos[[#This Row],[Comarca]],tabComarca[COMARCA],tabComarca[Codigo Comarca],"000")&amp;"."&amp;_xlfn.XLOOKUP(tabPostos[[#This Row],[Função]],tabCargos[Cargo],tabCargos[Codigo Cargo],"00")</f>
        <v>2.327.03</v>
      </c>
      <c r="B120" s="200" t="s">
        <v>111</v>
      </c>
      <c r="C120" s="200" t="s">
        <v>1247</v>
      </c>
      <c r="D120" s="200" t="str" cm="1">
        <f t="array" ref="D120">IF(tabPostos[[#This Row],[Comarca]]="","",
_xlfn.LET(
_xlpm.MATRIZ_COMARCA, ","&amp;TRIM(UPPER(SUBSTITUTE(SUBSTITUTE(SUBSTITUTE(SUBSTITUTE(SUBSTITUTE(SUBSTITUTE(SUBSTITUTE(SUBSTITUTE(SUBSTITUTE(SUBSTITUTE(SUBSTITUTE(SUBSTITUTE(SUBSTITUTE(SUBSTITUTE(SUBSTITUTE(SUBSTITUTE(SUBSTITUTE(SUBSTITUTE(SUBSTITUTE(SUBSTITUTE(SUBSTITUTE(SUBSTITUTE(SUBSTITUTE(SUBSTITUTE(SUBSTITUTE(SUBSTITUTE(tabSindicatos[ABRANGÊNCIA],"á","a"),"ã","a"),"â","a"),"é","e"),"ê","e"),"í","i"),"ó","o"),"õ","o"),"ô","o"),"ú","u"),"ç","c"),"Á","a"),"Ã","a"),"Â","a"),"É","e"),"Ê","e"),"Í","i"),"Ó","o"),"Õ","o"),"Ô","o"),"Ú","u"),"Ç","c"),"/MG","")," e ",", ")," ",""),".","")))&amp;",",
_xlpm.MATRIZ_FUNCAO, ","&amp;TRIM(UPPER(SUBSTITUTE(SUBSTITUTE(SUBSTITUTE(SUBSTITUTE(SUBSTITUTE(SUBSTITUTE(SUBSTITUTE(SUBSTITUTE(SUBSTITUTE(SUBSTITUTE(SUBSTITUTE(SUBSTITUTE(SUBSTITUTE(SUBSTITUTE(SUBSTITUTE(SUBSTITUTE(SUBSTITUTE(SUBSTITUTE(SUBSTITUTE(SUBSTITUTE(SUBSTITUTE(SUBSTITUTE(SUBSTITUTE(SUBSTITUTE(SUBSTITUTE(tabSindicatos[FUNÇÕES],"á","a"),"ã","a"),"â","a"),"é","e"),"ê","e"),"í","i"),"ó","o"),"õ","o"),"ô","o"),"ú","u"),"ç","c"),"Á","a"),"Ã","a"),"Â","a"),"É","e"),"Ê","e"),"Í","i"),"Ó","o"),"Õ","o"),"Ô","o"),"Ú","u"),"Ç","c")," e ",", ")," ",""),".","")))&amp;",",
IFERROR(_xlfn._xlws.FILTER(tabSindicatos[SINDICATOS],
(ISNUMBER(SEARCH(","&amp;TRIM(UPPER(SUBSTITUTE(tabPostos[[#This Row],[Comarca]]," ","")))&amp;",",_xlpm.MATRIZ_COMARCA,1)))*
(ISNUMBER(SEARCH(","&amp;TRIM(SUBSTITUTE(SUBSTITUTE(SUBSTITUTE(UPPER(tabPostos[[#This Row],[Função]])," E ",", ")," ",""),".",""))&amp;",",_xlpm.MATRIZ_FUNCAO,1)))
),"")
))</f>
        <v>Regiao de Teofilo Otoni</v>
      </c>
      <c r="E120" s="148" t="s">
        <v>9</v>
      </c>
      <c r="F120" s="148" t="s">
        <v>10</v>
      </c>
      <c r="G120" s="148">
        <v>1</v>
      </c>
      <c r="H120" s="148">
        <v>0</v>
      </c>
      <c r="I120" s="216">
        <f>544.18</f>
        <v>544.17999999999995</v>
      </c>
      <c r="J120" s="247">
        <f>VLOOKUP(tabPostos[[#This Row],[CCT DA CATEGORIA]],'RELAÇÃO SINDICATOS'!A:N,11,0)</f>
        <v>45658</v>
      </c>
      <c r="K120" s="148" t="str">
        <f>VLOOKUP(tabPostos[[#This Row],[CCT DA CATEGORIA]],'RELAÇÃO SINDICATOS'!A:N,12,0)</f>
        <v>-</v>
      </c>
      <c r="L120" s="148" t="str">
        <f>VLOOKUP(tabPostos[[#This Row],[CCT DA CATEGORIA]],'RELAÇÃO SINDICATOS'!A:N,13,0)</f>
        <v>-</v>
      </c>
      <c r="M120" s="148" t="str">
        <f>VLOOKUP(tabPostos[[#This Row],[CCT DA CATEGORIA]],'RELAÇÃO SINDICATOS'!A:N,14,0)</f>
        <v>MG004488/2024</v>
      </c>
    </row>
    <row r="121" spans="1:13" x14ac:dyDescent="0.25">
      <c r="A121" s="148" t="str" cm="1">
        <f t="array" ref="A121">_xlfn.XLOOKUP(tabPostos[[#This Row],[Fonte de Recursos]]&amp;tabPostos[[#This Row],[Classificação]],tabLotacao[Lotacao]&amp;tabLotacao[Tipo],tabLotacao[Codigo Lote],"0")&amp;"."&amp;_xlfn.XLOOKUP(tabPostos[[#This Row],[Comarca]],tabComarca[COMARCA],tabComarca[Codigo Comarca],"000")&amp;"."&amp;_xlfn.XLOOKUP(tabPostos[[#This Row],[Função]],tabCargos[Cargo],tabCargos[Codigo Cargo],"00")</f>
        <v>2.330.03</v>
      </c>
      <c r="B121" s="200" t="s">
        <v>112</v>
      </c>
      <c r="C121" s="200" t="s">
        <v>1247</v>
      </c>
      <c r="D121" s="200" t="str" cm="1">
        <f t="array" ref="D121">IF(tabPostos[[#This Row],[Comarca]]="","",
_xlfn.LET(
_xlpm.MATRIZ_COMARCA, ","&amp;TRIM(UPPER(SUBSTITUTE(SUBSTITUTE(SUBSTITUTE(SUBSTITUTE(SUBSTITUTE(SUBSTITUTE(SUBSTITUTE(SUBSTITUTE(SUBSTITUTE(SUBSTITUTE(SUBSTITUTE(SUBSTITUTE(SUBSTITUTE(SUBSTITUTE(SUBSTITUTE(SUBSTITUTE(SUBSTITUTE(SUBSTITUTE(SUBSTITUTE(SUBSTITUTE(SUBSTITUTE(SUBSTITUTE(SUBSTITUTE(SUBSTITUTE(SUBSTITUTE(SUBSTITUTE(tabSindicatos[ABRANGÊNCIA],"á","a"),"ã","a"),"â","a"),"é","e"),"ê","e"),"í","i"),"ó","o"),"õ","o"),"ô","o"),"ú","u"),"ç","c"),"Á","a"),"Ã","a"),"Â","a"),"É","e"),"Ê","e"),"Í","i"),"Ó","o"),"Õ","o"),"Ô","o"),"Ú","u"),"Ç","c"),"/MG","")," e ",", ")," ",""),".","")))&amp;",",
_xlpm.MATRIZ_FUNCAO, ","&amp;TRIM(UPPER(SUBSTITUTE(SUBSTITUTE(SUBSTITUTE(SUBSTITUTE(SUBSTITUTE(SUBSTITUTE(SUBSTITUTE(SUBSTITUTE(SUBSTITUTE(SUBSTITUTE(SUBSTITUTE(SUBSTITUTE(SUBSTITUTE(SUBSTITUTE(SUBSTITUTE(SUBSTITUTE(SUBSTITUTE(SUBSTITUTE(SUBSTITUTE(SUBSTITUTE(SUBSTITUTE(SUBSTITUTE(SUBSTITUTE(SUBSTITUTE(SUBSTITUTE(tabSindicatos[FUNÇÕES],"á","a"),"ã","a"),"â","a"),"é","e"),"ê","e"),"í","i"),"ó","o"),"õ","o"),"ô","o"),"ú","u"),"ç","c"),"Á","a"),"Ã","a"),"Â","a"),"É","e"),"Ê","e"),"Í","i"),"Ó","o"),"Õ","o"),"Ô","o"),"Ú","u"),"Ç","c")," e ",", ")," ",""),".","")))&amp;",",
IFERROR(_xlfn._xlws.FILTER(tabSindicatos[SINDICATOS],
(ISNUMBER(SEARCH(","&amp;TRIM(UPPER(SUBSTITUTE(tabPostos[[#This Row],[Comarca]]," ","")))&amp;",",_xlpm.MATRIZ_COMARCA,1)))*
(ISNUMBER(SEARCH(","&amp;TRIM(SUBSTITUTE(SUBSTITUTE(SUBSTITUTE(UPPER(tabPostos[[#This Row],[Função]])," E ",", ")," ",""),".",""))&amp;",",_xlpm.MATRIZ_FUNCAO,1)))
),"")
))</f>
        <v>Regiao de Sao Lourenco</v>
      </c>
      <c r="E121" s="148" t="s">
        <v>9</v>
      </c>
      <c r="F121" s="148" t="s">
        <v>10</v>
      </c>
      <c r="G121" s="148">
        <v>1</v>
      </c>
      <c r="H121" s="148">
        <v>0</v>
      </c>
      <c r="I121" s="216">
        <f>544.18</f>
        <v>544.17999999999995</v>
      </c>
      <c r="J121" s="247">
        <f>VLOOKUP(tabPostos[[#This Row],[CCT DA CATEGORIA]],'RELAÇÃO SINDICATOS'!A:N,11,0)</f>
        <v>45658</v>
      </c>
      <c r="K121" s="148" t="str">
        <f>VLOOKUP(tabPostos[[#This Row],[CCT DA CATEGORIA]],'RELAÇÃO SINDICATOS'!A:N,12,0)</f>
        <v>-</v>
      </c>
      <c r="L121" s="148" t="str">
        <f>VLOOKUP(tabPostos[[#This Row],[CCT DA CATEGORIA]],'RELAÇÃO SINDICATOS'!A:N,13,0)</f>
        <v>-</v>
      </c>
      <c r="M121" s="148" t="str">
        <f>VLOOKUP(tabPostos[[#This Row],[CCT DA CATEGORIA]],'RELAÇÃO SINDICATOS'!A:N,14,0)</f>
        <v>MG000594/2025</v>
      </c>
    </row>
    <row r="122" spans="1:13" x14ac:dyDescent="0.25">
      <c r="A122" s="148" t="str" cm="1">
        <f t="array" ref="A122">_xlfn.XLOOKUP(tabPostos[[#This Row],[Fonte de Recursos]]&amp;tabPostos[[#This Row],[Classificação]],tabLotacao[Lotacao]&amp;tabLotacao[Tipo],tabLotacao[Codigo Lote],"0")&amp;"."&amp;_xlfn.XLOOKUP(tabPostos[[#This Row],[Comarca]],tabComarca[COMARCA],tabComarca[Codigo Comarca],"000")&amp;"."&amp;_xlfn.XLOOKUP(tabPostos[[#This Row],[Função]],tabCargos[Cargo],tabCargos[Codigo Cargo],"00")</f>
        <v>2.334.03</v>
      </c>
      <c r="B122" s="200" t="s">
        <v>113</v>
      </c>
      <c r="C122" s="200" t="s">
        <v>1247</v>
      </c>
      <c r="D122" s="200" t="str" cm="1">
        <f t="array" ref="D122">IF(tabPostos[[#This Row],[Comarca]]="","",
_xlfn.LET(
_xlpm.MATRIZ_COMARCA, ","&amp;TRIM(UPPER(SUBSTITUTE(SUBSTITUTE(SUBSTITUTE(SUBSTITUTE(SUBSTITUTE(SUBSTITUTE(SUBSTITUTE(SUBSTITUTE(SUBSTITUTE(SUBSTITUTE(SUBSTITUTE(SUBSTITUTE(SUBSTITUTE(SUBSTITUTE(SUBSTITUTE(SUBSTITUTE(SUBSTITUTE(SUBSTITUTE(SUBSTITUTE(SUBSTITUTE(SUBSTITUTE(SUBSTITUTE(SUBSTITUTE(SUBSTITUTE(SUBSTITUTE(SUBSTITUTE(tabSindicatos[ABRANGÊNCIA],"á","a"),"ã","a"),"â","a"),"é","e"),"ê","e"),"í","i"),"ó","o"),"õ","o"),"ô","o"),"ú","u"),"ç","c"),"Á","a"),"Ã","a"),"Â","a"),"É","e"),"Ê","e"),"Í","i"),"Ó","o"),"Õ","o"),"Ô","o"),"Ú","u"),"Ç","c"),"/MG","")," e ",", ")," ",""),".","")))&amp;",",
_xlpm.MATRIZ_FUNCAO, ","&amp;TRIM(UPPER(SUBSTITUTE(SUBSTITUTE(SUBSTITUTE(SUBSTITUTE(SUBSTITUTE(SUBSTITUTE(SUBSTITUTE(SUBSTITUTE(SUBSTITUTE(SUBSTITUTE(SUBSTITUTE(SUBSTITUTE(SUBSTITUTE(SUBSTITUTE(SUBSTITUTE(SUBSTITUTE(SUBSTITUTE(SUBSTITUTE(SUBSTITUTE(SUBSTITUTE(SUBSTITUTE(SUBSTITUTE(SUBSTITUTE(SUBSTITUTE(SUBSTITUTE(tabSindicatos[FUNÇÕES],"á","a"),"ã","a"),"â","a"),"é","e"),"ê","e"),"í","i"),"ó","o"),"õ","o"),"ô","o"),"ú","u"),"ç","c"),"Á","a"),"Ã","a"),"Â","a"),"É","e"),"Ê","e"),"Í","i"),"Ó","o"),"Õ","o"),"Ô","o"),"Ú","u"),"Ç","c")," e ",", ")," ",""),".","")))&amp;",",
IFERROR(_xlfn._xlws.FILTER(tabSindicatos[SINDICATOS],
(ISNUMBER(SEARCH(","&amp;TRIM(UPPER(SUBSTITUTE(tabPostos[[#This Row],[Comarca]]," ","")))&amp;",",_xlpm.MATRIZ_COMARCA,1)))*
(ISNUMBER(SEARCH(","&amp;TRIM(SUBSTITUTE(SUBSTITUTE(SUBSTITUTE(UPPER(tabPostos[[#This Row],[Função]])," E ",", ")," ",""),".",""))&amp;",",_xlpm.MATRIZ_FUNCAO,1)))
),"")
))</f>
        <v>Alto Paranaiba</v>
      </c>
      <c r="E122" s="148" t="s">
        <v>9</v>
      </c>
      <c r="F122" s="148" t="s">
        <v>10</v>
      </c>
      <c r="G122" s="148">
        <v>1</v>
      </c>
      <c r="H122" s="148">
        <v>0</v>
      </c>
      <c r="I122" s="216">
        <f>544.18</f>
        <v>544.17999999999995</v>
      </c>
      <c r="J122" s="247">
        <f>VLOOKUP(tabPostos[[#This Row],[CCT DA CATEGORIA]],'RELAÇÃO SINDICATOS'!A:N,11,0)</f>
        <v>45658</v>
      </c>
      <c r="K122" s="148" t="str">
        <f>VLOOKUP(tabPostos[[#This Row],[CCT DA CATEGORIA]],'RELAÇÃO SINDICATOS'!A:N,12,0)</f>
        <v>-</v>
      </c>
      <c r="L122" s="148" t="str">
        <f>VLOOKUP(tabPostos[[#This Row],[CCT DA CATEGORIA]],'RELAÇÃO SINDICATOS'!A:N,13,0)</f>
        <v>-</v>
      </c>
      <c r="M122" s="148" t="str">
        <f>VLOOKUP(tabPostos[[#This Row],[CCT DA CATEGORIA]],'RELAÇÃO SINDICATOS'!A:N,14,0)</f>
        <v>MG001106/2025</v>
      </c>
    </row>
    <row r="123" spans="1:13" x14ac:dyDescent="0.25">
      <c r="A123" s="148" t="str" cm="1">
        <f t="array" ref="A123">_xlfn.XLOOKUP(tabPostos[[#This Row],[Fonte de Recursos]]&amp;tabPostos[[#This Row],[Classificação]],tabLotacao[Lotacao]&amp;tabLotacao[Tipo],tabLotacao[Codigo Lote],"0")&amp;"."&amp;_xlfn.XLOOKUP(tabPostos[[#This Row],[Comarca]],tabComarca[COMARCA],tabComarca[Codigo Comarca],"000")&amp;"."&amp;_xlfn.XLOOKUP(tabPostos[[#This Row],[Função]],tabCargos[Cargo],tabCargos[Codigo Cargo],"00")</f>
        <v>2.334.04</v>
      </c>
      <c r="B123" s="200" t="s">
        <v>113</v>
      </c>
      <c r="C123" s="200" t="s">
        <v>1244</v>
      </c>
      <c r="D123" s="200" t="str" cm="1">
        <f t="array" ref="D123">IF(tabPostos[[#This Row],[Comarca]]="","",
_xlfn.LET(
_xlpm.MATRIZ_COMARCA, ","&amp;TRIM(UPPER(SUBSTITUTE(SUBSTITUTE(SUBSTITUTE(SUBSTITUTE(SUBSTITUTE(SUBSTITUTE(SUBSTITUTE(SUBSTITUTE(SUBSTITUTE(SUBSTITUTE(SUBSTITUTE(SUBSTITUTE(SUBSTITUTE(SUBSTITUTE(SUBSTITUTE(SUBSTITUTE(SUBSTITUTE(SUBSTITUTE(SUBSTITUTE(SUBSTITUTE(SUBSTITUTE(SUBSTITUTE(SUBSTITUTE(SUBSTITUTE(SUBSTITUTE(SUBSTITUTE(tabSindicatos[ABRANGÊNCIA],"á","a"),"ã","a"),"â","a"),"é","e"),"ê","e"),"í","i"),"ó","o"),"õ","o"),"ô","o"),"ú","u"),"ç","c"),"Á","a"),"Ã","a"),"Â","a"),"É","e"),"Ê","e"),"Í","i"),"Ó","o"),"Õ","o"),"Ô","o"),"Ú","u"),"Ç","c"),"/MG","")," e ",", ")," ",""),".","")))&amp;",",
_xlpm.MATRIZ_FUNCAO, ","&amp;TRIM(UPPER(SUBSTITUTE(SUBSTITUTE(SUBSTITUTE(SUBSTITUTE(SUBSTITUTE(SUBSTITUTE(SUBSTITUTE(SUBSTITUTE(SUBSTITUTE(SUBSTITUTE(SUBSTITUTE(SUBSTITUTE(SUBSTITUTE(SUBSTITUTE(SUBSTITUTE(SUBSTITUTE(SUBSTITUTE(SUBSTITUTE(SUBSTITUTE(SUBSTITUTE(SUBSTITUTE(SUBSTITUTE(SUBSTITUTE(SUBSTITUTE(SUBSTITUTE(tabSindicatos[FUNÇÕES],"á","a"),"ã","a"),"â","a"),"é","e"),"ê","e"),"í","i"),"ó","o"),"õ","o"),"ô","o"),"ú","u"),"ç","c"),"Á","a"),"Ã","a"),"Â","a"),"É","e"),"Ê","e"),"Í","i"),"Ó","o"),"Õ","o"),"Ô","o"),"Ú","u"),"Ç","c")," e ",", ")," ",""),".","")))&amp;",",
IFERROR(_xlfn._xlws.FILTER(tabSindicatos[SINDICATOS],
(ISNUMBER(SEARCH(","&amp;TRIM(UPPER(SUBSTITUTE(tabPostos[[#This Row],[Comarca]]," ","")))&amp;",",_xlpm.MATRIZ_COMARCA,1)))*
(ISNUMBER(SEARCH(","&amp;TRIM(SUBSTITUTE(SUBSTITUTE(SUBSTITUTE(UPPER(tabPostos[[#This Row],[Função]])," E ",", ")," ",""),".",""))&amp;",",_xlpm.MATRIZ_FUNCAO,1)))
),"")
))</f>
        <v>Alto Paranaiba</v>
      </c>
      <c r="E123" s="148" t="s">
        <v>9</v>
      </c>
      <c r="F123" s="148" t="s">
        <v>10</v>
      </c>
      <c r="G123" s="148">
        <v>1</v>
      </c>
      <c r="H123" s="148">
        <v>0</v>
      </c>
      <c r="I123" s="216">
        <f>798.14</f>
        <v>798.14</v>
      </c>
      <c r="J123" s="247">
        <f>VLOOKUP(tabPostos[[#This Row],[CCT DA CATEGORIA]],'RELAÇÃO SINDICATOS'!A:N,11,0)</f>
        <v>45658</v>
      </c>
      <c r="K123" s="148" t="str">
        <f>VLOOKUP(tabPostos[[#This Row],[CCT DA CATEGORIA]],'RELAÇÃO SINDICATOS'!A:N,12,0)</f>
        <v>-</v>
      </c>
      <c r="L123" s="148" t="str">
        <f>VLOOKUP(tabPostos[[#This Row],[CCT DA CATEGORIA]],'RELAÇÃO SINDICATOS'!A:N,13,0)</f>
        <v>-</v>
      </c>
      <c r="M123" s="148" t="str">
        <f>VLOOKUP(tabPostos[[#This Row],[CCT DA CATEGORIA]],'RELAÇÃO SINDICATOS'!A:N,14,0)</f>
        <v>MG001106/2025</v>
      </c>
    </row>
    <row r="124" spans="1:13" x14ac:dyDescent="0.25">
      <c r="A124" s="148" t="str" cm="1">
        <f t="array" ref="A124">_xlfn.XLOOKUP(tabPostos[[#This Row],[Fonte de Recursos]]&amp;tabPostos[[#This Row],[Classificação]],tabLotacao[Lotacao]&amp;tabLotacao[Tipo],tabLotacao[Codigo Lote],"0")&amp;"."&amp;_xlfn.XLOOKUP(tabPostos[[#This Row],[Comarca]],tabComarca[COMARCA],tabComarca[Codigo Comarca],"000")&amp;"."&amp;_xlfn.XLOOKUP(tabPostos[[#This Row],[Função]],tabCargos[Cargo],tabCargos[Codigo Cargo],"00")</f>
        <v>2.335.03</v>
      </c>
      <c r="B124" s="200" t="s">
        <v>114</v>
      </c>
      <c r="C124" s="200" t="s">
        <v>1247</v>
      </c>
      <c r="D124" s="200" t="str" cm="1">
        <f t="array" ref="D124">IF(tabPostos[[#This Row],[Comarca]]="","",
_xlfn.LET(
_xlpm.MATRIZ_COMARCA, ","&amp;TRIM(UPPER(SUBSTITUTE(SUBSTITUTE(SUBSTITUTE(SUBSTITUTE(SUBSTITUTE(SUBSTITUTE(SUBSTITUTE(SUBSTITUTE(SUBSTITUTE(SUBSTITUTE(SUBSTITUTE(SUBSTITUTE(SUBSTITUTE(SUBSTITUTE(SUBSTITUTE(SUBSTITUTE(SUBSTITUTE(SUBSTITUTE(SUBSTITUTE(SUBSTITUTE(SUBSTITUTE(SUBSTITUTE(SUBSTITUTE(SUBSTITUTE(SUBSTITUTE(SUBSTITUTE(tabSindicatos[ABRANGÊNCIA],"á","a"),"ã","a"),"â","a"),"é","e"),"ê","e"),"í","i"),"ó","o"),"õ","o"),"ô","o"),"ú","u"),"ç","c"),"Á","a"),"Ã","a"),"Â","a"),"É","e"),"Ê","e"),"Í","i"),"Ó","o"),"Õ","o"),"Ô","o"),"Ú","u"),"Ç","c"),"/MG","")," e ",", ")," ",""),".","")))&amp;",",
_xlpm.MATRIZ_FUNCAO, ","&amp;TRIM(UPPER(SUBSTITUTE(SUBSTITUTE(SUBSTITUTE(SUBSTITUTE(SUBSTITUTE(SUBSTITUTE(SUBSTITUTE(SUBSTITUTE(SUBSTITUTE(SUBSTITUTE(SUBSTITUTE(SUBSTITUTE(SUBSTITUTE(SUBSTITUTE(SUBSTITUTE(SUBSTITUTE(SUBSTITUTE(SUBSTITUTE(SUBSTITUTE(SUBSTITUTE(SUBSTITUTE(SUBSTITUTE(SUBSTITUTE(SUBSTITUTE(SUBSTITUTE(tabSindicatos[FUNÇÕES],"á","a"),"ã","a"),"â","a"),"é","e"),"ê","e"),"í","i"),"ó","o"),"õ","o"),"ô","o"),"ú","u"),"ç","c"),"Á","a"),"Ã","a"),"Â","a"),"É","e"),"Ê","e"),"Í","i"),"Ó","o"),"Õ","o"),"Ô","o"),"Ú","u"),"Ç","c")," e ",", ")," ",""),".","")))&amp;",",
IFERROR(_xlfn._xlws.FILTER(tabSindicatos[SINDICATOS],
(ISNUMBER(SEARCH(","&amp;TRIM(UPPER(SUBSTITUTE(tabPostos[[#This Row],[Comarca]]," ","")))&amp;",",_xlpm.MATRIZ_COMARCA,1)))*
(ISNUMBER(SEARCH(","&amp;TRIM(SUBSTITUTE(SUBSTITUTE(SUBSTITUTE(UPPER(tabPostos[[#This Row],[Função]])," E ",", ")," ",""),".",""))&amp;",",_xlpm.MATRIZ_FUNCAO,1)))
),"")
))</f>
        <v>Regiao de Divinopolis</v>
      </c>
      <c r="E124" s="148" t="s">
        <v>9</v>
      </c>
      <c r="F124" s="148" t="s">
        <v>10</v>
      </c>
      <c r="G124" s="148">
        <v>1</v>
      </c>
      <c r="H124" s="148">
        <v>0</v>
      </c>
      <c r="I124" s="216">
        <f>544.18</f>
        <v>544.17999999999995</v>
      </c>
      <c r="J124" s="247">
        <f>VLOOKUP(tabPostos[[#This Row],[CCT DA CATEGORIA]],'RELAÇÃO SINDICATOS'!A:N,11,0)</f>
        <v>45658</v>
      </c>
      <c r="K124" s="148" t="str">
        <f>VLOOKUP(tabPostos[[#This Row],[CCT DA CATEGORIA]],'RELAÇÃO SINDICATOS'!A:N,12,0)</f>
        <v>-</v>
      </c>
      <c r="L124" s="148" t="str">
        <f>VLOOKUP(tabPostos[[#This Row],[CCT DA CATEGORIA]],'RELAÇÃO SINDICATOS'!A:N,13,0)</f>
        <v>-</v>
      </c>
      <c r="M124" s="148" t="str">
        <f>VLOOKUP(tabPostos[[#This Row],[CCT DA CATEGORIA]],'RELAÇÃO SINDICATOS'!A:N,14,0)</f>
        <v>MG001011/2025</v>
      </c>
    </row>
    <row r="125" spans="1:13" x14ac:dyDescent="0.25">
      <c r="A125" s="148" t="str" cm="1">
        <f t="array" ref="A125">_xlfn.XLOOKUP(tabPostos[[#This Row],[Fonte de Recursos]]&amp;tabPostos[[#This Row],[Classificação]],tabLotacao[Lotacao]&amp;tabLotacao[Tipo],tabLotacao[Codigo Lote],"0")&amp;"."&amp;_xlfn.XLOOKUP(tabPostos[[#This Row],[Comarca]],tabComarca[COMARCA],tabComarca[Codigo Comarca],"000")&amp;"."&amp;_xlfn.XLOOKUP(tabPostos[[#This Row],[Função]],tabCargos[Cargo],tabCargos[Codigo Cargo],"00")</f>
        <v>2.338.06</v>
      </c>
      <c r="B125" s="200" t="s">
        <v>115</v>
      </c>
      <c r="C125" s="200" t="s">
        <v>1245</v>
      </c>
      <c r="D125" s="200" t="str" cm="1">
        <f t="array" ref="D125">IF(tabPostos[[#This Row],[Comarca]]="","",
_xlfn.LET(
_xlpm.MATRIZ_COMARCA, ","&amp;TRIM(UPPER(SUBSTITUTE(SUBSTITUTE(SUBSTITUTE(SUBSTITUTE(SUBSTITUTE(SUBSTITUTE(SUBSTITUTE(SUBSTITUTE(SUBSTITUTE(SUBSTITUTE(SUBSTITUTE(SUBSTITUTE(SUBSTITUTE(SUBSTITUTE(SUBSTITUTE(SUBSTITUTE(SUBSTITUTE(SUBSTITUTE(SUBSTITUTE(SUBSTITUTE(SUBSTITUTE(SUBSTITUTE(SUBSTITUTE(SUBSTITUTE(SUBSTITUTE(SUBSTITUTE(tabSindicatos[ABRANGÊNCIA],"á","a"),"ã","a"),"â","a"),"é","e"),"ê","e"),"í","i"),"ó","o"),"õ","o"),"ô","o"),"ú","u"),"ç","c"),"Á","a"),"Ã","a"),"Â","a"),"É","e"),"Ê","e"),"Í","i"),"Ó","o"),"Õ","o"),"Ô","o"),"Ú","u"),"Ç","c"),"/MG","")," e ",", ")," ",""),".","")))&amp;",",
_xlpm.MATRIZ_FUNCAO, ","&amp;TRIM(UPPER(SUBSTITUTE(SUBSTITUTE(SUBSTITUTE(SUBSTITUTE(SUBSTITUTE(SUBSTITUTE(SUBSTITUTE(SUBSTITUTE(SUBSTITUTE(SUBSTITUTE(SUBSTITUTE(SUBSTITUTE(SUBSTITUTE(SUBSTITUTE(SUBSTITUTE(SUBSTITUTE(SUBSTITUTE(SUBSTITUTE(SUBSTITUTE(SUBSTITUTE(SUBSTITUTE(SUBSTITUTE(SUBSTITUTE(SUBSTITUTE(SUBSTITUTE(tabSindicatos[FUNÇÕES],"á","a"),"ã","a"),"â","a"),"é","e"),"ê","e"),"í","i"),"ó","o"),"õ","o"),"ô","o"),"ú","u"),"ç","c"),"Á","a"),"Ã","a"),"Â","a"),"É","e"),"Ê","e"),"Í","i"),"Ó","o"),"Õ","o"),"Ô","o"),"Ú","u"),"Ç","c")," e ",", ")," ",""),".","")))&amp;",",
IFERROR(_xlfn._xlws.FILTER(tabSindicatos[SINDICATOS],
(ISNUMBER(SEARCH(","&amp;TRIM(UPPER(SUBSTITUTE(tabPostos[[#This Row],[Comarca]]," ","")))&amp;",",_xlpm.MATRIZ_COMARCA,1)))*
(ISNUMBER(SEARCH(","&amp;TRIM(SUBSTITUTE(SUBSTITUTE(SUBSTITUTE(UPPER(tabPostos[[#This Row],[Função]])," E ",", ")," ",""),".",""))&amp;",",_xlpm.MATRIZ_FUNCAO,1)))
),"")
))</f>
        <v>Fethemg Interior</v>
      </c>
      <c r="E125" s="148" t="s">
        <v>9</v>
      </c>
      <c r="F125" s="148" t="s">
        <v>10</v>
      </c>
      <c r="G125" s="148">
        <v>2</v>
      </c>
      <c r="H125" s="148">
        <v>0</v>
      </c>
      <c r="I125" s="216">
        <f>1596.28</f>
        <v>1596.28</v>
      </c>
      <c r="J125" s="247">
        <f>VLOOKUP(tabPostos[[#This Row],[CCT DA CATEGORIA]],'RELAÇÃO SINDICATOS'!A:N,11,0)</f>
        <v>45658</v>
      </c>
      <c r="K125" s="148" t="str">
        <f>VLOOKUP(tabPostos[[#This Row],[CCT DA CATEGORIA]],'RELAÇÃO SINDICATOS'!A:N,12,0)</f>
        <v>-</v>
      </c>
      <c r="L125" s="148" t="str">
        <f>VLOOKUP(tabPostos[[#This Row],[CCT DA CATEGORIA]],'RELAÇÃO SINDICATOS'!A:N,13,0)</f>
        <v>-</v>
      </c>
      <c r="M125" s="148" t="str">
        <f>VLOOKUP(tabPostos[[#This Row],[CCT DA CATEGORIA]],'RELAÇÃO SINDICATOS'!A:N,14,0)</f>
        <v>MG004482/2024</v>
      </c>
    </row>
    <row r="126" spans="1:13" x14ac:dyDescent="0.25">
      <c r="A126" s="148" t="str" cm="1">
        <f t="array" ref="A126">_xlfn.XLOOKUP(tabPostos[[#This Row],[Fonte de Recursos]]&amp;tabPostos[[#This Row],[Classificação]],tabLotacao[Lotacao]&amp;tabLotacao[Tipo],tabLotacao[Codigo Lote],"0")&amp;"."&amp;_xlfn.XLOOKUP(tabPostos[[#This Row],[Comarca]],tabComarca[COMARCA],tabComarca[Codigo Comarca],"000")&amp;"."&amp;_xlfn.XLOOKUP(tabPostos[[#This Row],[Função]],tabCargos[Cargo],tabCargos[Codigo Cargo],"00")</f>
        <v>2.342.05</v>
      </c>
      <c r="B126" s="200" t="s">
        <v>116</v>
      </c>
      <c r="C126" s="200" t="s">
        <v>1246</v>
      </c>
      <c r="D126" s="200" t="str" cm="1">
        <f t="array" ref="D126">IF(tabPostos[[#This Row],[Comarca]]="","",
_xlfn.LET(
_xlpm.MATRIZ_COMARCA, ","&amp;TRIM(UPPER(SUBSTITUTE(SUBSTITUTE(SUBSTITUTE(SUBSTITUTE(SUBSTITUTE(SUBSTITUTE(SUBSTITUTE(SUBSTITUTE(SUBSTITUTE(SUBSTITUTE(SUBSTITUTE(SUBSTITUTE(SUBSTITUTE(SUBSTITUTE(SUBSTITUTE(SUBSTITUTE(SUBSTITUTE(SUBSTITUTE(SUBSTITUTE(SUBSTITUTE(SUBSTITUTE(SUBSTITUTE(SUBSTITUTE(SUBSTITUTE(SUBSTITUTE(SUBSTITUTE(tabSindicatos[ABRANGÊNCIA],"á","a"),"ã","a"),"â","a"),"é","e"),"ê","e"),"í","i"),"ó","o"),"õ","o"),"ô","o"),"ú","u"),"ç","c"),"Á","a"),"Ã","a"),"Â","a"),"É","e"),"Ê","e"),"Í","i"),"Ó","o"),"Õ","o"),"Ô","o"),"Ú","u"),"Ç","c"),"/MG","")," e ",", ")," ",""),".","")))&amp;",",
_xlpm.MATRIZ_FUNCAO, ","&amp;TRIM(UPPER(SUBSTITUTE(SUBSTITUTE(SUBSTITUTE(SUBSTITUTE(SUBSTITUTE(SUBSTITUTE(SUBSTITUTE(SUBSTITUTE(SUBSTITUTE(SUBSTITUTE(SUBSTITUTE(SUBSTITUTE(SUBSTITUTE(SUBSTITUTE(SUBSTITUTE(SUBSTITUTE(SUBSTITUTE(SUBSTITUTE(SUBSTITUTE(SUBSTITUTE(SUBSTITUTE(SUBSTITUTE(SUBSTITUTE(SUBSTITUTE(SUBSTITUTE(tabSindicatos[FUNÇÕES],"á","a"),"ã","a"),"â","a"),"é","e"),"ê","e"),"í","i"),"ó","o"),"õ","o"),"ô","o"),"ú","u"),"ç","c"),"Á","a"),"Ã","a"),"Â","a"),"É","e"),"Ê","e"),"Í","i"),"Ó","o"),"Õ","o"),"Ô","o"),"Ú","u"),"Ç","c")," e ",", ")," ",""),".","")))&amp;",",
IFERROR(_xlfn._xlws.FILTER(tabSindicatos[SINDICATOS],
(ISNUMBER(SEARCH(","&amp;TRIM(UPPER(SUBSTITUTE(tabPostos[[#This Row],[Comarca]]," ","")))&amp;",",_xlpm.MATRIZ_COMARCA,1)))*
(ISNUMBER(SEARCH(","&amp;TRIM(SUBSTITUTE(SUBSTITUTE(SUBSTITUTE(UPPER(tabPostos[[#This Row],[Função]])," E ",", ")," ",""),".",""))&amp;",",_xlpm.MATRIZ_FUNCAO,1)))
),"")
))</f>
        <v>Alto Paranaiba</v>
      </c>
      <c r="E126" s="148" t="s">
        <v>9</v>
      </c>
      <c r="F126" s="148" t="s">
        <v>10</v>
      </c>
      <c r="G126" s="148">
        <v>1</v>
      </c>
      <c r="H126" s="148">
        <v>0</v>
      </c>
      <c r="I126" s="216">
        <f>1088.37</f>
        <v>1088.3699999999999</v>
      </c>
      <c r="J126" s="247">
        <f>VLOOKUP(tabPostos[[#This Row],[CCT DA CATEGORIA]],'RELAÇÃO SINDICATOS'!A:N,11,0)</f>
        <v>45658</v>
      </c>
      <c r="K126" s="148" t="str">
        <f>VLOOKUP(tabPostos[[#This Row],[CCT DA CATEGORIA]],'RELAÇÃO SINDICATOS'!A:N,12,0)</f>
        <v>-</v>
      </c>
      <c r="L126" s="148" t="str">
        <f>VLOOKUP(tabPostos[[#This Row],[CCT DA CATEGORIA]],'RELAÇÃO SINDICATOS'!A:N,13,0)</f>
        <v>-</v>
      </c>
      <c r="M126" s="148" t="str">
        <f>VLOOKUP(tabPostos[[#This Row],[CCT DA CATEGORIA]],'RELAÇÃO SINDICATOS'!A:N,14,0)</f>
        <v>MG001106/2025</v>
      </c>
    </row>
    <row r="127" spans="1:13" x14ac:dyDescent="0.25">
      <c r="A127" s="148" t="str" cm="1">
        <f t="array" ref="A127">_xlfn.XLOOKUP(tabPostos[[#This Row],[Fonte de Recursos]]&amp;tabPostos[[#This Row],[Classificação]],tabLotacao[Lotacao]&amp;tabLotacao[Tipo],tabLotacao[Codigo Lote],"0")&amp;"."&amp;_xlfn.XLOOKUP(tabPostos[[#This Row],[Comarca]],tabComarca[COMARCA],tabComarca[Codigo Comarca],"000")&amp;"."&amp;_xlfn.XLOOKUP(tabPostos[[#This Row],[Função]],tabCargos[Cargo],tabCargos[Codigo Cargo],"00")</f>
        <v>2.344.04</v>
      </c>
      <c r="B127" s="200" t="s">
        <v>117</v>
      </c>
      <c r="C127" s="200" t="s">
        <v>1244</v>
      </c>
      <c r="D127" s="200" t="str" cm="1">
        <f t="array" ref="D127">IF(tabPostos[[#This Row],[Comarca]]="","",
_xlfn.LET(
_xlpm.MATRIZ_COMARCA, ","&amp;TRIM(UPPER(SUBSTITUTE(SUBSTITUTE(SUBSTITUTE(SUBSTITUTE(SUBSTITUTE(SUBSTITUTE(SUBSTITUTE(SUBSTITUTE(SUBSTITUTE(SUBSTITUTE(SUBSTITUTE(SUBSTITUTE(SUBSTITUTE(SUBSTITUTE(SUBSTITUTE(SUBSTITUTE(SUBSTITUTE(SUBSTITUTE(SUBSTITUTE(SUBSTITUTE(SUBSTITUTE(SUBSTITUTE(SUBSTITUTE(SUBSTITUTE(SUBSTITUTE(SUBSTITUTE(tabSindicatos[ABRANGÊNCIA],"á","a"),"ã","a"),"â","a"),"é","e"),"ê","e"),"í","i"),"ó","o"),"õ","o"),"ô","o"),"ú","u"),"ç","c"),"Á","a"),"Ã","a"),"Â","a"),"É","e"),"Ê","e"),"Í","i"),"Ó","o"),"Õ","o"),"Ô","o"),"Ú","u"),"Ç","c"),"/MG","")," e ",", ")," ",""),".","")))&amp;",",
_xlpm.MATRIZ_FUNCAO, ","&amp;TRIM(UPPER(SUBSTITUTE(SUBSTITUTE(SUBSTITUTE(SUBSTITUTE(SUBSTITUTE(SUBSTITUTE(SUBSTITUTE(SUBSTITUTE(SUBSTITUTE(SUBSTITUTE(SUBSTITUTE(SUBSTITUTE(SUBSTITUTE(SUBSTITUTE(SUBSTITUTE(SUBSTITUTE(SUBSTITUTE(SUBSTITUTE(SUBSTITUTE(SUBSTITUTE(SUBSTITUTE(SUBSTITUTE(SUBSTITUTE(SUBSTITUTE(SUBSTITUTE(tabSindicatos[FUNÇÕES],"á","a"),"ã","a"),"â","a"),"é","e"),"ê","e"),"í","i"),"ó","o"),"õ","o"),"ô","o"),"ú","u"),"ç","c"),"Á","a"),"Ã","a"),"Â","a"),"É","e"),"Ê","e"),"Í","i"),"Ó","o"),"Õ","o"),"Ô","o"),"Ú","u"),"Ç","c")," e ",", ")," ",""),".","")))&amp;",",
IFERROR(_xlfn._xlws.FILTER(tabSindicatos[SINDICATOS],
(ISNUMBER(SEARCH(","&amp;TRIM(UPPER(SUBSTITUTE(tabPostos[[#This Row],[Comarca]]," ","")))&amp;",",_xlpm.MATRIZ_COMARCA,1)))*
(ISNUMBER(SEARCH(","&amp;TRIM(SUBSTITUTE(SUBSTITUTE(SUBSTITUTE(UPPER(tabPostos[[#This Row],[Função]])," E ",", ")," ",""),".",""))&amp;",",_xlpm.MATRIZ_FUNCAO,1)))
),"")
))</f>
        <v>Alto Paranaiba</v>
      </c>
      <c r="E127" s="148" t="s">
        <v>9</v>
      </c>
      <c r="F127" s="148" t="s">
        <v>10</v>
      </c>
      <c r="G127" s="148">
        <v>1</v>
      </c>
      <c r="H127" s="148">
        <v>0</v>
      </c>
      <c r="I127" s="216">
        <f>798.14</f>
        <v>798.14</v>
      </c>
      <c r="J127" s="247">
        <f>VLOOKUP(tabPostos[[#This Row],[CCT DA CATEGORIA]],'RELAÇÃO SINDICATOS'!A:N,11,0)</f>
        <v>45658</v>
      </c>
      <c r="K127" s="148" t="str">
        <f>VLOOKUP(tabPostos[[#This Row],[CCT DA CATEGORIA]],'RELAÇÃO SINDICATOS'!A:N,12,0)</f>
        <v>-</v>
      </c>
      <c r="L127" s="148" t="str">
        <f>VLOOKUP(tabPostos[[#This Row],[CCT DA CATEGORIA]],'RELAÇÃO SINDICATOS'!A:N,13,0)</f>
        <v>-</v>
      </c>
      <c r="M127" s="148" t="str">
        <f>VLOOKUP(tabPostos[[#This Row],[CCT DA CATEGORIA]],'RELAÇÃO SINDICATOS'!A:N,14,0)</f>
        <v>MG001106/2025</v>
      </c>
    </row>
    <row r="128" spans="1:13" x14ac:dyDescent="0.25">
      <c r="A128" s="148" t="str" cm="1">
        <f t="array" ref="A128">_xlfn.XLOOKUP(tabPostos[[#This Row],[Fonte de Recursos]]&amp;tabPostos[[#This Row],[Classificação]],tabLotacao[Lotacao]&amp;tabLotacao[Tipo],tabLotacao[Codigo Lote],"0")&amp;"."&amp;_xlfn.XLOOKUP(tabPostos[[#This Row],[Comarca]],tabComarca[COMARCA],tabComarca[Codigo Comarca],"000")&amp;"."&amp;_xlfn.XLOOKUP(tabPostos[[#This Row],[Função]],tabCargos[Cargo],tabCargos[Codigo Cargo],"00")</f>
        <v>2.346.03</v>
      </c>
      <c r="B128" s="200" t="s">
        <v>118</v>
      </c>
      <c r="C128" s="200" t="s">
        <v>1247</v>
      </c>
      <c r="D128" s="200" t="str" cm="1">
        <f t="array" ref="D128">IF(tabPostos[[#This Row],[Comarca]]="","",
_xlfn.LET(
_xlpm.MATRIZ_COMARCA, ","&amp;TRIM(UPPER(SUBSTITUTE(SUBSTITUTE(SUBSTITUTE(SUBSTITUTE(SUBSTITUTE(SUBSTITUTE(SUBSTITUTE(SUBSTITUTE(SUBSTITUTE(SUBSTITUTE(SUBSTITUTE(SUBSTITUTE(SUBSTITUTE(SUBSTITUTE(SUBSTITUTE(SUBSTITUTE(SUBSTITUTE(SUBSTITUTE(SUBSTITUTE(SUBSTITUTE(SUBSTITUTE(SUBSTITUTE(SUBSTITUTE(SUBSTITUTE(SUBSTITUTE(SUBSTITUTE(tabSindicatos[ABRANGÊNCIA],"á","a"),"ã","a"),"â","a"),"é","e"),"ê","e"),"í","i"),"ó","o"),"õ","o"),"ô","o"),"ú","u"),"ç","c"),"Á","a"),"Ã","a"),"Â","a"),"É","e"),"Ê","e"),"Í","i"),"Ó","o"),"Õ","o"),"Ô","o"),"Ú","u"),"Ç","c"),"/MG","")," e ",", ")," ",""),".","")))&amp;",",
_xlpm.MATRIZ_FUNCAO, ","&amp;TRIM(UPPER(SUBSTITUTE(SUBSTITUTE(SUBSTITUTE(SUBSTITUTE(SUBSTITUTE(SUBSTITUTE(SUBSTITUTE(SUBSTITUTE(SUBSTITUTE(SUBSTITUTE(SUBSTITUTE(SUBSTITUTE(SUBSTITUTE(SUBSTITUTE(SUBSTITUTE(SUBSTITUTE(SUBSTITUTE(SUBSTITUTE(SUBSTITUTE(SUBSTITUTE(SUBSTITUTE(SUBSTITUTE(SUBSTITUTE(SUBSTITUTE(SUBSTITUTE(tabSindicatos[FUNÇÕES],"á","a"),"ã","a"),"â","a"),"é","e"),"ê","e"),"í","i"),"ó","o"),"õ","o"),"ô","o"),"ú","u"),"ç","c"),"Á","a"),"Ã","a"),"Â","a"),"É","e"),"Ê","e"),"Í","i"),"Ó","o"),"Õ","o"),"Ô","o"),"Ú","u"),"Ç","c")," e ",", ")," ",""),".","")))&amp;",",
IFERROR(_xlfn._xlws.FILTER(tabSindicatos[SINDICATOS],
(ISNUMBER(SEARCH(","&amp;TRIM(UPPER(SUBSTITUTE(tabPostos[[#This Row],[Comarca]]," ","")))&amp;",",_xlpm.MATRIZ_COMARCA,1)))*
(ISNUMBER(SEARCH(","&amp;TRIM(SUBSTITUTE(SUBSTITUTE(SUBSTITUTE(UPPER(tabPostos[[#This Row],[Função]])," E ",", ")," ",""),".",""))&amp;",",_xlpm.MATRIZ_FUNCAO,1)))
),"")
))</f>
        <v>Fethemg Interior</v>
      </c>
      <c r="E128" s="148" t="s">
        <v>9</v>
      </c>
      <c r="F128" s="148" t="s">
        <v>10</v>
      </c>
      <c r="G128" s="148">
        <v>1</v>
      </c>
      <c r="H128" s="148">
        <v>0</v>
      </c>
      <c r="I128" s="216">
        <f>544.18</f>
        <v>544.17999999999995</v>
      </c>
      <c r="J128" s="247">
        <f>VLOOKUP(tabPostos[[#This Row],[CCT DA CATEGORIA]],'RELAÇÃO SINDICATOS'!A:N,11,0)</f>
        <v>45658</v>
      </c>
      <c r="K128" s="148" t="str">
        <f>VLOOKUP(tabPostos[[#This Row],[CCT DA CATEGORIA]],'RELAÇÃO SINDICATOS'!A:N,12,0)</f>
        <v>-</v>
      </c>
      <c r="L128" s="148" t="str">
        <f>VLOOKUP(tabPostos[[#This Row],[CCT DA CATEGORIA]],'RELAÇÃO SINDICATOS'!A:N,13,0)</f>
        <v>-</v>
      </c>
      <c r="M128" s="148" t="str">
        <f>VLOOKUP(tabPostos[[#This Row],[CCT DA CATEGORIA]],'RELAÇÃO SINDICATOS'!A:N,14,0)</f>
        <v>MG004482/2024</v>
      </c>
    </row>
    <row r="129" spans="1:13" x14ac:dyDescent="0.25">
      <c r="A129" s="148" t="str" cm="1">
        <f t="array" ref="A129">_xlfn.XLOOKUP(tabPostos[[#This Row],[Fonte de Recursos]]&amp;tabPostos[[#This Row],[Classificação]],tabLotacao[Lotacao]&amp;tabLotacao[Tipo],tabLotacao[Codigo Lote],"0")&amp;"."&amp;_xlfn.XLOOKUP(tabPostos[[#This Row],[Comarca]],tabComarca[COMARCA],tabComarca[Codigo Comarca],"000")&amp;"."&amp;_xlfn.XLOOKUP(tabPostos[[#This Row],[Função]],tabCargos[Cargo],tabCargos[Codigo Cargo],"00")</f>
        <v>2.347.03</v>
      </c>
      <c r="B129" s="200" t="s">
        <v>119</v>
      </c>
      <c r="C129" s="200" t="s">
        <v>1247</v>
      </c>
      <c r="D129" s="200" t="str" cm="1">
        <f t="array" ref="D129">IF(tabPostos[[#This Row],[Comarca]]="","",
_xlfn.LET(
_xlpm.MATRIZ_COMARCA, ","&amp;TRIM(UPPER(SUBSTITUTE(SUBSTITUTE(SUBSTITUTE(SUBSTITUTE(SUBSTITUTE(SUBSTITUTE(SUBSTITUTE(SUBSTITUTE(SUBSTITUTE(SUBSTITUTE(SUBSTITUTE(SUBSTITUTE(SUBSTITUTE(SUBSTITUTE(SUBSTITUTE(SUBSTITUTE(SUBSTITUTE(SUBSTITUTE(SUBSTITUTE(SUBSTITUTE(SUBSTITUTE(SUBSTITUTE(SUBSTITUTE(SUBSTITUTE(SUBSTITUTE(SUBSTITUTE(tabSindicatos[ABRANGÊNCIA],"á","a"),"ã","a"),"â","a"),"é","e"),"ê","e"),"í","i"),"ó","o"),"õ","o"),"ô","o"),"ú","u"),"ç","c"),"Á","a"),"Ã","a"),"Â","a"),"É","e"),"Ê","e"),"Í","i"),"Ó","o"),"Õ","o"),"Ô","o"),"Ú","u"),"Ç","c"),"/MG","")," e ",", ")," ",""),".","")))&amp;",",
_xlpm.MATRIZ_FUNCAO, ","&amp;TRIM(UPPER(SUBSTITUTE(SUBSTITUTE(SUBSTITUTE(SUBSTITUTE(SUBSTITUTE(SUBSTITUTE(SUBSTITUTE(SUBSTITUTE(SUBSTITUTE(SUBSTITUTE(SUBSTITUTE(SUBSTITUTE(SUBSTITUTE(SUBSTITUTE(SUBSTITUTE(SUBSTITUTE(SUBSTITUTE(SUBSTITUTE(SUBSTITUTE(SUBSTITUTE(SUBSTITUTE(SUBSTITUTE(SUBSTITUTE(SUBSTITUTE(SUBSTITUTE(tabSindicatos[FUNÇÕES],"á","a"),"ã","a"),"â","a"),"é","e"),"ê","e"),"í","i"),"ó","o"),"õ","o"),"ô","o"),"ú","u"),"ç","c"),"Á","a"),"Ã","a"),"Â","a"),"É","e"),"Ê","e"),"Í","i"),"Ó","o"),"Õ","o"),"Ô","o"),"Ú","u"),"Ç","c")," e ",", ")," ",""),".","")))&amp;",",
IFERROR(_xlfn._xlws.FILTER(tabSindicatos[SINDICATOS],
(ISNUMBER(SEARCH(","&amp;TRIM(UPPER(SUBSTITUTE(tabPostos[[#This Row],[Comarca]]," ","")))&amp;",",_xlpm.MATRIZ_COMARCA,1)))*
(ISNUMBER(SEARCH(","&amp;TRIM(SUBSTITUTE(SUBSTITUTE(SUBSTITUTE(UPPER(tabPostos[[#This Row],[Função]])," E ",", ")," ",""),".",""))&amp;",",_xlpm.MATRIZ_FUNCAO,1)))
),"")
))</f>
        <v>Fethemg Interior</v>
      </c>
      <c r="E129" s="148" t="s">
        <v>9</v>
      </c>
      <c r="F129" s="148" t="s">
        <v>10</v>
      </c>
      <c r="G129" s="148">
        <v>1</v>
      </c>
      <c r="H129" s="148">
        <v>0</v>
      </c>
      <c r="I129" s="216">
        <f>544.18</f>
        <v>544.17999999999995</v>
      </c>
      <c r="J129" s="247">
        <f>VLOOKUP(tabPostos[[#This Row],[CCT DA CATEGORIA]],'RELAÇÃO SINDICATOS'!A:N,11,0)</f>
        <v>45658</v>
      </c>
      <c r="K129" s="148" t="str">
        <f>VLOOKUP(tabPostos[[#This Row],[CCT DA CATEGORIA]],'RELAÇÃO SINDICATOS'!A:N,12,0)</f>
        <v>-</v>
      </c>
      <c r="L129" s="148" t="str">
        <f>VLOOKUP(tabPostos[[#This Row],[CCT DA CATEGORIA]],'RELAÇÃO SINDICATOS'!A:N,13,0)</f>
        <v>-</v>
      </c>
      <c r="M129" s="148" t="str">
        <f>VLOOKUP(tabPostos[[#This Row],[CCT DA CATEGORIA]],'RELAÇÃO SINDICATOS'!A:N,14,0)</f>
        <v>MG004482/2024</v>
      </c>
    </row>
    <row r="130" spans="1:13" x14ac:dyDescent="0.25">
      <c r="A130" s="148" t="str" cm="1">
        <f t="array" ref="A130">_xlfn.XLOOKUP(tabPostos[[#This Row],[Fonte de Recursos]]&amp;tabPostos[[#This Row],[Classificação]],tabLotacao[Lotacao]&amp;tabLotacao[Tipo],tabLotacao[Codigo Lote],"0")&amp;"."&amp;_xlfn.XLOOKUP(tabPostos[[#This Row],[Comarca]],tabComarca[COMARCA],tabComarca[Codigo Comarca],"000")&amp;"."&amp;_xlfn.XLOOKUP(tabPostos[[#This Row],[Função]],tabCargos[Cargo],tabCargos[Codigo Cargo],"00")</f>
        <v>2.351.06</v>
      </c>
      <c r="B130" s="200" t="s">
        <v>120</v>
      </c>
      <c r="C130" s="200" t="s">
        <v>1245</v>
      </c>
      <c r="D130" s="200" t="str" cm="1">
        <f t="array" ref="D130">IF(tabPostos[[#This Row],[Comarca]]="","",
_xlfn.LET(
_xlpm.MATRIZ_COMARCA, ","&amp;TRIM(UPPER(SUBSTITUTE(SUBSTITUTE(SUBSTITUTE(SUBSTITUTE(SUBSTITUTE(SUBSTITUTE(SUBSTITUTE(SUBSTITUTE(SUBSTITUTE(SUBSTITUTE(SUBSTITUTE(SUBSTITUTE(SUBSTITUTE(SUBSTITUTE(SUBSTITUTE(SUBSTITUTE(SUBSTITUTE(SUBSTITUTE(SUBSTITUTE(SUBSTITUTE(SUBSTITUTE(SUBSTITUTE(SUBSTITUTE(SUBSTITUTE(SUBSTITUTE(SUBSTITUTE(tabSindicatos[ABRANGÊNCIA],"á","a"),"ã","a"),"â","a"),"é","e"),"ê","e"),"í","i"),"ó","o"),"õ","o"),"ô","o"),"ú","u"),"ç","c"),"Á","a"),"Ã","a"),"Â","a"),"É","e"),"Ê","e"),"Í","i"),"Ó","o"),"Õ","o"),"Ô","o"),"Ú","u"),"Ç","c"),"/MG","")," e ",", ")," ",""),".","")))&amp;",",
_xlpm.MATRIZ_FUNCAO, ","&amp;TRIM(UPPER(SUBSTITUTE(SUBSTITUTE(SUBSTITUTE(SUBSTITUTE(SUBSTITUTE(SUBSTITUTE(SUBSTITUTE(SUBSTITUTE(SUBSTITUTE(SUBSTITUTE(SUBSTITUTE(SUBSTITUTE(SUBSTITUTE(SUBSTITUTE(SUBSTITUTE(SUBSTITUTE(SUBSTITUTE(SUBSTITUTE(SUBSTITUTE(SUBSTITUTE(SUBSTITUTE(SUBSTITUTE(SUBSTITUTE(SUBSTITUTE(SUBSTITUTE(tabSindicatos[FUNÇÕES],"á","a"),"ã","a"),"â","a"),"é","e"),"ê","e"),"í","i"),"ó","o"),"õ","o"),"ô","o"),"ú","u"),"ç","c"),"Á","a"),"Ã","a"),"Â","a"),"É","e"),"Ê","e"),"Í","i"),"Ó","o"),"Õ","o"),"Ô","o"),"Ú","u"),"Ç","c")," e ",", ")," ",""),".","")))&amp;",",
IFERROR(_xlfn._xlws.FILTER(tabSindicatos[SINDICATOS],
(ISNUMBER(SEARCH(","&amp;TRIM(UPPER(SUBSTITUTE(tabPostos[[#This Row],[Comarca]]," ","")))&amp;",",_xlpm.MATRIZ_COMARCA,1)))*
(ISNUMBER(SEARCH(","&amp;TRIM(SUBSTITUTE(SUBSTITUTE(SUBSTITUTE(UPPER(tabPostos[[#This Row],[Função]])," E ",", ")," ",""),".",""))&amp;",",_xlpm.MATRIZ_FUNCAO,1)))
),"")
))</f>
        <v>Sethac Norte de Minas</v>
      </c>
      <c r="E130" s="148" t="s">
        <v>9</v>
      </c>
      <c r="F130" s="148" t="s">
        <v>10</v>
      </c>
      <c r="G130" s="148">
        <v>1</v>
      </c>
      <c r="H130" s="148">
        <v>0</v>
      </c>
      <c r="I130" s="216">
        <f>1596.28</f>
        <v>1596.28</v>
      </c>
      <c r="J130" s="247">
        <f>VLOOKUP(tabPostos[[#This Row],[CCT DA CATEGORIA]],'RELAÇÃO SINDICATOS'!A:N,11,0)</f>
        <v>45658</v>
      </c>
      <c r="K130" s="148" t="str">
        <f>VLOOKUP(tabPostos[[#This Row],[CCT DA CATEGORIA]],'RELAÇÃO SINDICATOS'!A:N,12,0)</f>
        <v>-</v>
      </c>
      <c r="L130" s="148" t="str">
        <f>VLOOKUP(tabPostos[[#This Row],[CCT DA CATEGORIA]],'RELAÇÃO SINDICATOS'!A:N,13,0)</f>
        <v>-</v>
      </c>
      <c r="M130" s="148" t="str">
        <f>VLOOKUP(tabPostos[[#This Row],[CCT DA CATEGORIA]],'RELAÇÃO SINDICATOS'!A:N,14,0)</f>
        <v>MG000256/2025</v>
      </c>
    </row>
    <row r="131" spans="1:13" x14ac:dyDescent="0.25">
      <c r="A131" s="148" t="str" cm="1">
        <f t="array" ref="A131">_xlfn.XLOOKUP(tabPostos[[#This Row],[Fonte de Recursos]]&amp;tabPostos[[#This Row],[Classificação]],tabLotacao[Lotacao]&amp;tabLotacao[Tipo],tabLotacao[Codigo Lote],"0")&amp;"."&amp;_xlfn.XLOOKUP(tabPostos[[#This Row],[Comarca]],tabComarca[COMARCA],tabComarca[Codigo Comarca],"000")&amp;"."&amp;_xlfn.XLOOKUP(tabPostos[[#This Row],[Função]],tabCargos[Cargo],tabCargos[Codigo Cargo],"00")</f>
        <v>2.352.06</v>
      </c>
      <c r="B131" s="200" t="s">
        <v>121</v>
      </c>
      <c r="C131" s="200" t="s">
        <v>1245</v>
      </c>
      <c r="D131" s="200" t="str" cm="1">
        <f t="array" ref="D131">IF(tabPostos[[#This Row],[Comarca]]="","",
_xlfn.LET(
_xlpm.MATRIZ_COMARCA, ","&amp;TRIM(UPPER(SUBSTITUTE(SUBSTITUTE(SUBSTITUTE(SUBSTITUTE(SUBSTITUTE(SUBSTITUTE(SUBSTITUTE(SUBSTITUTE(SUBSTITUTE(SUBSTITUTE(SUBSTITUTE(SUBSTITUTE(SUBSTITUTE(SUBSTITUTE(SUBSTITUTE(SUBSTITUTE(SUBSTITUTE(SUBSTITUTE(SUBSTITUTE(SUBSTITUTE(SUBSTITUTE(SUBSTITUTE(SUBSTITUTE(SUBSTITUTE(SUBSTITUTE(SUBSTITUTE(tabSindicatos[ABRANGÊNCIA],"á","a"),"ã","a"),"â","a"),"é","e"),"ê","e"),"í","i"),"ó","o"),"õ","o"),"ô","o"),"ú","u"),"ç","c"),"Á","a"),"Ã","a"),"Â","a"),"É","e"),"Ê","e"),"Í","i"),"Ó","o"),"Õ","o"),"Ô","o"),"Ú","u"),"Ç","c"),"/MG","")," e ",", ")," ",""),".","")))&amp;",",
_xlpm.MATRIZ_FUNCAO, ","&amp;TRIM(UPPER(SUBSTITUTE(SUBSTITUTE(SUBSTITUTE(SUBSTITUTE(SUBSTITUTE(SUBSTITUTE(SUBSTITUTE(SUBSTITUTE(SUBSTITUTE(SUBSTITUTE(SUBSTITUTE(SUBSTITUTE(SUBSTITUTE(SUBSTITUTE(SUBSTITUTE(SUBSTITUTE(SUBSTITUTE(SUBSTITUTE(SUBSTITUTE(SUBSTITUTE(SUBSTITUTE(SUBSTITUTE(SUBSTITUTE(SUBSTITUTE(SUBSTITUTE(tabSindicatos[FUNÇÕES],"á","a"),"ã","a"),"â","a"),"é","e"),"ê","e"),"í","i"),"ó","o"),"õ","o"),"ô","o"),"ú","u"),"ç","c"),"Á","a"),"Ã","a"),"Â","a"),"É","e"),"Ê","e"),"Í","i"),"Ó","o"),"Õ","o"),"Ô","o"),"Ú","u"),"Ç","c")," e ",", ")," ",""),".","")))&amp;",",
IFERROR(_xlfn._xlws.FILTER(tabSindicatos[SINDICATOS],
(ISNUMBER(SEARCH(","&amp;TRIM(UPPER(SUBSTITUTE(tabPostos[[#This Row],[Comarca]]," ","")))&amp;",",_xlpm.MATRIZ_COMARCA,1)))*
(ISNUMBER(SEARCH(","&amp;TRIM(SUBSTITUTE(SUBSTITUTE(SUBSTITUTE(UPPER(tabPostos[[#This Row],[Função]])," E ",", ")," ",""),".",""))&amp;",",_xlpm.MATRIZ_FUNCAO,1)))
),"")
))</f>
        <v>Sethac Norte de Minas</v>
      </c>
      <c r="E131" s="148" t="s">
        <v>9</v>
      </c>
      <c r="F131" s="148" t="s">
        <v>10</v>
      </c>
      <c r="G131" s="148">
        <v>1</v>
      </c>
      <c r="H131" s="148">
        <v>0</v>
      </c>
      <c r="I131" s="216">
        <f>1596.28</f>
        <v>1596.28</v>
      </c>
      <c r="J131" s="247">
        <f>VLOOKUP(tabPostos[[#This Row],[CCT DA CATEGORIA]],'RELAÇÃO SINDICATOS'!A:N,11,0)</f>
        <v>45658</v>
      </c>
      <c r="K131" s="148" t="str">
        <f>VLOOKUP(tabPostos[[#This Row],[CCT DA CATEGORIA]],'RELAÇÃO SINDICATOS'!A:N,12,0)</f>
        <v>-</v>
      </c>
      <c r="L131" s="148" t="str">
        <f>VLOOKUP(tabPostos[[#This Row],[CCT DA CATEGORIA]],'RELAÇÃO SINDICATOS'!A:N,13,0)</f>
        <v>-</v>
      </c>
      <c r="M131" s="148" t="str">
        <f>VLOOKUP(tabPostos[[#This Row],[CCT DA CATEGORIA]],'RELAÇÃO SINDICATOS'!A:N,14,0)</f>
        <v>MG000256/2025</v>
      </c>
    </row>
    <row r="132" spans="1:13" x14ac:dyDescent="0.25">
      <c r="A132" s="148" t="str" cm="1">
        <f t="array" ref="A132">_xlfn.XLOOKUP(tabPostos[[#This Row],[Fonte de Recursos]]&amp;tabPostos[[#This Row],[Classificação]],tabLotacao[Lotacao]&amp;tabLotacao[Tipo],tabLotacao[Codigo Lote],"0")&amp;"."&amp;_xlfn.XLOOKUP(tabPostos[[#This Row],[Comarca]],tabComarca[COMARCA],tabComarca[Codigo Comarca],"000")&amp;"."&amp;_xlfn.XLOOKUP(tabPostos[[#This Row],[Função]],tabCargos[Cargo],tabCargos[Codigo Cargo],"00")</f>
        <v>2.358.03</v>
      </c>
      <c r="B132" s="200" t="s">
        <v>122</v>
      </c>
      <c r="C132" s="200" t="s">
        <v>1247</v>
      </c>
      <c r="D132" s="200" t="str" cm="1">
        <f t="array" ref="D132">IF(tabPostos[[#This Row],[Comarca]]="","",
_xlfn.LET(
_xlpm.MATRIZ_COMARCA, ","&amp;TRIM(UPPER(SUBSTITUTE(SUBSTITUTE(SUBSTITUTE(SUBSTITUTE(SUBSTITUTE(SUBSTITUTE(SUBSTITUTE(SUBSTITUTE(SUBSTITUTE(SUBSTITUTE(SUBSTITUTE(SUBSTITUTE(SUBSTITUTE(SUBSTITUTE(SUBSTITUTE(SUBSTITUTE(SUBSTITUTE(SUBSTITUTE(SUBSTITUTE(SUBSTITUTE(SUBSTITUTE(SUBSTITUTE(SUBSTITUTE(SUBSTITUTE(SUBSTITUTE(SUBSTITUTE(tabSindicatos[ABRANGÊNCIA],"á","a"),"ã","a"),"â","a"),"é","e"),"ê","e"),"í","i"),"ó","o"),"õ","o"),"ô","o"),"ú","u"),"ç","c"),"Á","a"),"Ã","a"),"Â","a"),"É","e"),"Ê","e"),"Í","i"),"Ó","o"),"Õ","o"),"Ô","o"),"Ú","u"),"Ç","c"),"/MG","")," e ",", ")," ",""),".","")))&amp;",",
_xlpm.MATRIZ_FUNCAO, ","&amp;TRIM(UPPER(SUBSTITUTE(SUBSTITUTE(SUBSTITUTE(SUBSTITUTE(SUBSTITUTE(SUBSTITUTE(SUBSTITUTE(SUBSTITUTE(SUBSTITUTE(SUBSTITUTE(SUBSTITUTE(SUBSTITUTE(SUBSTITUTE(SUBSTITUTE(SUBSTITUTE(SUBSTITUTE(SUBSTITUTE(SUBSTITUTE(SUBSTITUTE(SUBSTITUTE(SUBSTITUTE(SUBSTITUTE(SUBSTITUTE(SUBSTITUTE(SUBSTITUTE(tabSindicatos[FUNÇÕES],"á","a"),"ã","a"),"â","a"),"é","e"),"ê","e"),"í","i"),"ó","o"),"õ","o"),"ô","o"),"ú","u"),"ç","c"),"Á","a"),"Ã","a"),"Â","a"),"É","e"),"Ê","e"),"Í","i"),"Ó","o"),"Õ","o"),"Ô","o"),"Ú","u"),"Ç","c")," e ",", ")," ",""),".","")))&amp;",",
IFERROR(_xlfn._xlws.FILTER(tabSindicatos[SINDICATOS],
(ISNUMBER(SEARCH(","&amp;TRIM(UPPER(SUBSTITUTE(tabPostos[[#This Row],[Comarca]]," ","")))&amp;",",_xlpm.MATRIZ_COMARCA,1)))*
(ISNUMBER(SEARCH(","&amp;TRIM(SUBSTITUTE(SUBSTITUTE(SUBSTITUTE(UPPER(tabPostos[[#This Row],[Função]])," E ",", ")," ",""),".",""))&amp;",",_xlpm.MATRIZ_FUNCAO,1)))
),"")
))</f>
        <v>Regiao de Teofilo Otoni</v>
      </c>
      <c r="E132" s="148" t="s">
        <v>9</v>
      </c>
      <c r="F132" s="148" t="s">
        <v>10</v>
      </c>
      <c r="G132" s="148">
        <v>1</v>
      </c>
      <c r="H132" s="148">
        <v>0</v>
      </c>
      <c r="I132" s="216">
        <f>544.18</f>
        <v>544.17999999999995</v>
      </c>
      <c r="J132" s="247">
        <f>VLOOKUP(tabPostos[[#This Row],[CCT DA CATEGORIA]],'RELAÇÃO SINDICATOS'!A:N,11,0)</f>
        <v>45658</v>
      </c>
      <c r="K132" s="148" t="str">
        <f>VLOOKUP(tabPostos[[#This Row],[CCT DA CATEGORIA]],'RELAÇÃO SINDICATOS'!A:N,12,0)</f>
        <v>-</v>
      </c>
      <c r="L132" s="148" t="str">
        <f>VLOOKUP(tabPostos[[#This Row],[CCT DA CATEGORIA]],'RELAÇÃO SINDICATOS'!A:N,13,0)</f>
        <v>-</v>
      </c>
      <c r="M132" s="148" t="str">
        <f>VLOOKUP(tabPostos[[#This Row],[CCT DA CATEGORIA]],'RELAÇÃO SINDICATOS'!A:N,14,0)</f>
        <v>MG004488/2024</v>
      </c>
    </row>
    <row r="133" spans="1:13" x14ac:dyDescent="0.25">
      <c r="A133" s="148" t="str" cm="1">
        <f t="array" ref="A133">_xlfn.XLOOKUP(tabPostos[[#This Row],[Fonte de Recursos]]&amp;tabPostos[[#This Row],[Classificação]],tabLotacao[Lotacao]&amp;tabLotacao[Tipo],tabLotacao[Codigo Lote],"0")&amp;"."&amp;_xlfn.XLOOKUP(tabPostos[[#This Row],[Comarca]],tabComarca[COMARCA],tabComarca[Codigo Comarca],"000")&amp;"."&amp;_xlfn.XLOOKUP(tabPostos[[#This Row],[Função]],tabCargos[Cargo],tabCargos[Codigo Cargo],"00")</f>
        <v>2.362.03</v>
      </c>
      <c r="B133" s="200" t="s">
        <v>123</v>
      </c>
      <c r="C133" s="200" t="s">
        <v>1247</v>
      </c>
      <c r="D133" s="200" t="str" cm="1">
        <f t="array" ref="D133">IF(tabPostos[[#This Row],[Comarca]]="","",
_xlfn.LET(
_xlpm.MATRIZ_COMARCA, ","&amp;TRIM(UPPER(SUBSTITUTE(SUBSTITUTE(SUBSTITUTE(SUBSTITUTE(SUBSTITUTE(SUBSTITUTE(SUBSTITUTE(SUBSTITUTE(SUBSTITUTE(SUBSTITUTE(SUBSTITUTE(SUBSTITUTE(SUBSTITUTE(SUBSTITUTE(SUBSTITUTE(SUBSTITUTE(SUBSTITUTE(SUBSTITUTE(SUBSTITUTE(SUBSTITUTE(SUBSTITUTE(SUBSTITUTE(SUBSTITUTE(SUBSTITUTE(SUBSTITUTE(SUBSTITUTE(tabSindicatos[ABRANGÊNCIA],"á","a"),"ã","a"),"â","a"),"é","e"),"ê","e"),"í","i"),"ó","o"),"õ","o"),"ô","o"),"ú","u"),"ç","c"),"Á","a"),"Ã","a"),"Â","a"),"É","e"),"Ê","e"),"Í","i"),"Ó","o"),"Õ","o"),"Ô","o"),"Ú","u"),"Ç","c"),"/MG","")," e ",", ")," ",""),".","")))&amp;",",
_xlpm.MATRIZ_FUNCAO, ","&amp;TRIM(UPPER(SUBSTITUTE(SUBSTITUTE(SUBSTITUTE(SUBSTITUTE(SUBSTITUTE(SUBSTITUTE(SUBSTITUTE(SUBSTITUTE(SUBSTITUTE(SUBSTITUTE(SUBSTITUTE(SUBSTITUTE(SUBSTITUTE(SUBSTITUTE(SUBSTITUTE(SUBSTITUTE(SUBSTITUTE(SUBSTITUTE(SUBSTITUTE(SUBSTITUTE(SUBSTITUTE(SUBSTITUTE(SUBSTITUTE(SUBSTITUTE(SUBSTITUTE(tabSindicatos[FUNÇÕES],"á","a"),"ã","a"),"â","a"),"é","e"),"ê","e"),"í","i"),"ó","o"),"õ","o"),"ô","o"),"ú","u"),"ç","c"),"Á","a"),"Ã","a"),"Â","a"),"É","e"),"Ê","e"),"Í","i"),"Ó","o"),"Õ","o"),"Ô","o"),"Ú","u"),"Ç","c")," e ",", ")," ",""),".","")))&amp;",",
IFERROR(_xlfn._xlws.FILTER(tabSindicatos[SINDICATOS],
(ISNUMBER(SEARCH(","&amp;TRIM(UPPER(SUBSTITUTE(tabPostos[[#This Row],[Comarca]]," ","")))&amp;",",_xlpm.MATRIZ_COMARCA,1)))*
(ISNUMBER(SEARCH(","&amp;TRIM(SUBSTITUTE(SUBSTITUTE(SUBSTITUTE(UPPER(tabPostos[[#This Row],[Função]])," E ",", ")," ",""),".",""))&amp;",",_xlpm.MATRIZ_FUNCAO,1)))
),"")
))</f>
        <v>Joao Monlevade</v>
      </c>
      <c r="E133" s="148" t="s">
        <v>9</v>
      </c>
      <c r="F133" s="148" t="s">
        <v>10</v>
      </c>
      <c r="G133" s="148">
        <v>1</v>
      </c>
      <c r="H133" s="148">
        <v>0</v>
      </c>
      <c r="I133" s="216">
        <f>562.2</f>
        <v>562.20000000000005</v>
      </c>
      <c r="J133" s="247">
        <f>VLOOKUP(tabPostos[[#This Row],[CCT DA CATEGORIA]],'RELAÇÃO SINDICATOS'!A:N,11,0)</f>
        <v>45658</v>
      </c>
      <c r="K133" s="148" t="str">
        <f>VLOOKUP(tabPostos[[#This Row],[CCT DA CATEGORIA]],'RELAÇÃO SINDICATOS'!A:N,12,0)</f>
        <v>-</v>
      </c>
      <c r="L133" s="148" t="str">
        <f>VLOOKUP(tabPostos[[#This Row],[CCT DA CATEGORIA]],'RELAÇÃO SINDICATOS'!A:N,13,0)</f>
        <v>-</v>
      </c>
      <c r="M133" s="148" t="str">
        <f>VLOOKUP(tabPostos[[#This Row],[CCT DA CATEGORIA]],'RELAÇÃO SINDICATOS'!A:N,14,0)</f>
        <v>MG001342/2025</v>
      </c>
    </row>
    <row r="134" spans="1:13" x14ac:dyDescent="0.25">
      <c r="A134" s="148" t="str" cm="1">
        <f t="array" ref="A134">_xlfn.XLOOKUP(tabPostos[[#This Row],[Fonte de Recursos]]&amp;tabPostos[[#This Row],[Classificação]],tabLotacao[Lotacao]&amp;tabLotacao[Tipo],tabLotacao[Codigo Lote],"0")&amp;"."&amp;_xlfn.XLOOKUP(tabPostos[[#This Row],[Comarca]],tabComarca[COMARCA],tabComarca[Codigo Comarca],"000")&amp;"."&amp;_xlfn.XLOOKUP(tabPostos[[#This Row],[Função]],tabCargos[Cargo],tabCargos[Codigo Cargo],"00")</f>
        <v>2.362.06</v>
      </c>
      <c r="B134" s="200" t="s">
        <v>123</v>
      </c>
      <c r="C134" s="200" t="s">
        <v>1245</v>
      </c>
      <c r="D134" s="200" t="str" cm="1">
        <f t="array" ref="D134">IF(tabPostos[[#This Row],[Comarca]]="","",
_xlfn.LET(
_xlpm.MATRIZ_COMARCA, ","&amp;TRIM(UPPER(SUBSTITUTE(SUBSTITUTE(SUBSTITUTE(SUBSTITUTE(SUBSTITUTE(SUBSTITUTE(SUBSTITUTE(SUBSTITUTE(SUBSTITUTE(SUBSTITUTE(SUBSTITUTE(SUBSTITUTE(SUBSTITUTE(SUBSTITUTE(SUBSTITUTE(SUBSTITUTE(SUBSTITUTE(SUBSTITUTE(SUBSTITUTE(SUBSTITUTE(SUBSTITUTE(SUBSTITUTE(SUBSTITUTE(SUBSTITUTE(SUBSTITUTE(SUBSTITUTE(tabSindicatos[ABRANGÊNCIA],"á","a"),"ã","a"),"â","a"),"é","e"),"ê","e"),"í","i"),"ó","o"),"õ","o"),"ô","o"),"ú","u"),"ç","c"),"Á","a"),"Ã","a"),"Â","a"),"É","e"),"Ê","e"),"Í","i"),"Ó","o"),"Õ","o"),"Ô","o"),"Ú","u"),"Ç","c"),"/MG","")," e ",", ")," ",""),".","")))&amp;",",
_xlpm.MATRIZ_FUNCAO, ","&amp;TRIM(UPPER(SUBSTITUTE(SUBSTITUTE(SUBSTITUTE(SUBSTITUTE(SUBSTITUTE(SUBSTITUTE(SUBSTITUTE(SUBSTITUTE(SUBSTITUTE(SUBSTITUTE(SUBSTITUTE(SUBSTITUTE(SUBSTITUTE(SUBSTITUTE(SUBSTITUTE(SUBSTITUTE(SUBSTITUTE(SUBSTITUTE(SUBSTITUTE(SUBSTITUTE(SUBSTITUTE(SUBSTITUTE(SUBSTITUTE(SUBSTITUTE(SUBSTITUTE(tabSindicatos[FUNÇÕES],"á","a"),"ã","a"),"â","a"),"é","e"),"ê","e"),"í","i"),"ó","o"),"õ","o"),"ô","o"),"ú","u"),"ç","c"),"Á","a"),"Ã","a"),"Â","a"),"É","e"),"Ê","e"),"Í","i"),"Ó","o"),"Õ","o"),"Ô","o"),"Ú","u"),"Ç","c")," e ",", ")," ",""),".","")))&amp;",",
IFERROR(_xlfn._xlws.FILTER(tabSindicatos[SINDICATOS],
(ISNUMBER(SEARCH(","&amp;TRIM(UPPER(SUBSTITUTE(tabPostos[[#This Row],[Comarca]]," ","")))&amp;",",_xlpm.MATRIZ_COMARCA,1)))*
(ISNUMBER(SEARCH(","&amp;TRIM(SUBSTITUTE(SUBSTITUTE(SUBSTITUTE(UPPER(tabPostos[[#This Row],[Função]])," E ",", ")," ",""),".",""))&amp;",",_xlpm.MATRIZ_FUNCAO,1)))
),"")
))</f>
        <v>Joao Monlevade</v>
      </c>
      <c r="E134" s="148" t="s">
        <v>9</v>
      </c>
      <c r="F134" s="148" t="s">
        <v>10</v>
      </c>
      <c r="G134" s="148">
        <v>1</v>
      </c>
      <c r="H134" s="148">
        <v>0</v>
      </c>
      <c r="I134" s="216">
        <f>1649.12</f>
        <v>1649.12</v>
      </c>
      <c r="J134" s="247">
        <f>VLOOKUP(tabPostos[[#This Row],[CCT DA CATEGORIA]],'RELAÇÃO SINDICATOS'!A:N,11,0)</f>
        <v>45658</v>
      </c>
      <c r="K134" s="148" t="str">
        <f>VLOOKUP(tabPostos[[#This Row],[CCT DA CATEGORIA]],'RELAÇÃO SINDICATOS'!A:N,12,0)</f>
        <v>-</v>
      </c>
      <c r="L134" s="148" t="str">
        <f>VLOOKUP(tabPostos[[#This Row],[CCT DA CATEGORIA]],'RELAÇÃO SINDICATOS'!A:N,13,0)</f>
        <v>-</v>
      </c>
      <c r="M134" s="148" t="str">
        <f>VLOOKUP(tabPostos[[#This Row],[CCT DA CATEGORIA]],'RELAÇÃO SINDICATOS'!A:N,14,0)</f>
        <v>MG001342/2025</v>
      </c>
    </row>
    <row r="135" spans="1:13" x14ac:dyDescent="0.25">
      <c r="A135" s="148" t="str" cm="1">
        <f t="array" ref="A135">_xlfn.XLOOKUP(tabPostos[[#This Row],[Fonte de Recursos]]&amp;tabPostos[[#This Row],[Classificação]],tabLotacao[Lotacao]&amp;tabLotacao[Tipo],tabLotacao[Codigo Lote],"0")&amp;"."&amp;_xlfn.XLOOKUP(tabPostos[[#This Row],[Comarca]],tabComarca[COMARCA],tabComarca[Codigo Comarca],"000")&amp;"."&amp;_xlfn.XLOOKUP(tabPostos[[#This Row],[Função]],tabCargos[Cargo],tabCargos[Codigo Cargo],"00")</f>
        <v>2.363.06</v>
      </c>
      <c r="B135" s="200" t="s">
        <v>124</v>
      </c>
      <c r="C135" s="200" t="s">
        <v>1245</v>
      </c>
      <c r="D135" s="200" t="str" cm="1">
        <f t="array" ref="D135">IF(tabPostos[[#This Row],[Comarca]]="","",
_xlfn.LET(
_xlpm.MATRIZ_COMARCA, ","&amp;TRIM(UPPER(SUBSTITUTE(SUBSTITUTE(SUBSTITUTE(SUBSTITUTE(SUBSTITUTE(SUBSTITUTE(SUBSTITUTE(SUBSTITUTE(SUBSTITUTE(SUBSTITUTE(SUBSTITUTE(SUBSTITUTE(SUBSTITUTE(SUBSTITUTE(SUBSTITUTE(SUBSTITUTE(SUBSTITUTE(SUBSTITUTE(SUBSTITUTE(SUBSTITUTE(SUBSTITUTE(SUBSTITUTE(SUBSTITUTE(SUBSTITUTE(SUBSTITUTE(SUBSTITUTE(tabSindicatos[ABRANGÊNCIA],"á","a"),"ã","a"),"â","a"),"é","e"),"ê","e"),"í","i"),"ó","o"),"õ","o"),"ô","o"),"ú","u"),"ç","c"),"Á","a"),"Ã","a"),"Â","a"),"É","e"),"Ê","e"),"Í","i"),"Ó","o"),"Õ","o"),"Ô","o"),"Ú","u"),"Ç","c"),"/MG","")," e ",", ")," ",""),".","")))&amp;",",
_xlpm.MATRIZ_FUNCAO, ","&amp;TRIM(UPPER(SUBSTITUTE(SUBSTITUTE(SUBSTITUTE(SUBSTITUTE(SUBSTITUTE(SUBSTITUTE(SUBSTITUTE(SUBSTITUTE(SUBSTITUTE(SUBSTITUTE(SUBSTITUTE(SUBSTITUTE(SUBSTITUTE(SUBSTITUTE(SUBSTITUTE(SUBSTITUTE(SUBSTITUTE(SUBSTITUTE(SUBSTITUTE(SUBSTITUTE(SUBSTITUTE(SUBSTITUTE(SUBSTITUTE(SUBSTITUTE(SUBSTITUTE(tabSindicatos[FUNÇÕES],"á","a"),"ã","a"),"â","a"),"é","e"),"ê","e"),"í","i"),"ó","o"),"õ","o"),"ô","o"),"ú","u"),"ç","c"),"Á","a"),"Ã","a"),"Â","a"),"É","e"),"Ê","e"),"Í","i"),"Ó","o"),"Õ","o"),"Ô","o"),"Ú","u"),"Ç","c")," e ",", ")," ",""),".","")))&amp;",",
IFERROR(_xlfn._xlws.FILTER(tabSindicatos[SINDICATOS],
(ISNUMBER(SEARCH(","&amp;TRIM(UPPER(SUBSTITUTE(tabPostos[[#This Row],[Comarca]]," ","")))&amp;",",_xlpm.MATRIZ_COMARCA,1)))*
(ISNUMBER(SEARCH(","&amp;TRIM(SUBSTITUTE(SUBSTITUTE(SUBSTITUTE(UPPER(tabPostos[[#This Row],[Função]])," E ",", ")," ",""),".",""))&amp;",",_xlpm.MATRIZ_FUNCAO,1)))
),"")
))</f>
        <v>Fethemg Interior</v>
      </c>
      <c r="E135" s="148" t="s">
        <v>9</v>
      </c>
      <c r="F135" s="148" t="s">
        <v>10</v>
      </c>
      <c r="G135" s="148">
        <v>1</v>
      </c>
      <c r="H135" s="148">
        <v>0</v>
      </c>
      <c r="I135" s="216">
        <f>1596.28</f>
        <v>1596.28</v>
      </c>
      <c r="J135" s="247">
        <f>VLOOKUP(tabPostos[[#This Row],[CCT DA CATEGORIA]],'RELAÇÃO SINDICATOS'!A:N,11,0)</f>
        <v>45658</v>
      </c>
      <c r="K135" s="148" t="str">
        <f>VLOOKUP(tabPostos[[#This Row],[CCT DA CATEGORIA]],'RELAÇÃO SINDICATOS'!A:N,12,0)</f>
        <v>-</v>
      </c>
      <c r="L135" s="148" t="str">
        <f>VLOOKUP(tabPostos[[#This Row],[CCT DA CATEGORIA]],'RELAÇÃO SINDICATOS'!A:N,13,0)</f>
        <v>-</v>
      </c>
      <c r="M135" s="148" t="str">
        <f>VLOOKUP(tabPostos[[#This Row],[CCT DA CATEGORIA]],'RELAÇÃO SINDICATOS'!A:N,14,0)</f>
        <v>MG004482/2024</v>
      </c>
    </row>
    <row r="136" spans="1:13" x14ac:dyDescent="0.25">
      <c r="A136" s="148" t="str" cm="1">
        <f t="array" ref="A136">_xlfn.XLOOKUP(tabPostos[[#This Row],[Fonte de Recursos]]&amp;tabPostos[[#This Row],[Classificação]],tabLotacao[Lotacao]&amp;tabLotacao[Tipo],tabLotacao[Codigo Lote],"0")&amp;"."&amp;_xlfn.XLOOKUP(tabPostos[[#This Row],[Comarca]],tabComarca[COMARCA],tabComarca[Codigo Comarca],"000")&amp;"."&amp;_xlfn.XLOOKUP(tabPostos[[#This Row],[Função]],tabCargos[Cargo],tabCargos[Codigo Cargo],"00")</f>
        <v>2.145.04</v>
      </c>
      <c r="B136" s="200" t="s">
        <v>125</v>
      </c>
      <c r="C136" s="200" t="s">
        <v>1244</v>
      </c>
      <c r="D136" s="200" t="str" cm="1">
        <f t="array" ref="D136">IF(tabPostos[[#This Row],[Comarca]]="","",
_xlfn.LET(
_xlpm.MATRIZ_COMARCA, ","&amp;TRIM(UPPER(SUBSTITUTE(SUBSTITUTE(SUBSTITUTE(SUBSTITUTE(SUBSTITUTE(SUBSTITUTE(SUBSTITUTE(SUBSTITUTE(SUBSTITUTE(SUBSTITUTE(SUBSTITUTE(SUBSTITUTE(SUBSTITUTE(SUBSTITUTE(SUBSTITUTE(SUBSTITUTE(SUBSTITUTE(SUBSTITUTE(SUBSTITUTE(SUBSTITUTE(SUBSTITUTE(SUBSTITUTE(SUBSTITUTE(SUBSTITUTE(SUBSTITUTE(SUBSTITUTE(tabSindicatos[ABRANGÊNCIA],"á","a"),"ã","a"),"â","a"),"é","e"),"ê","e"),"í","i"),"ó","o"),"õ","o"),"ô","o"),"ú","u"),"ç","c"),"Á","a"),"Ã","a"),"Â","a"),"É","e"),"Ê","e"),"Í","i"),"Ó","o"),"Õ","o"),"Ô","o"),"Ú","u"),"Ç","c"),"/MG","")," e ",", ")," ",""),".","")))&amp;",",
_xlpm.MATRIZ_FUNCAO, ","&amp;TRIM(UPPER(SUBSTITUTE(SUBSTITUTE(SUBSTITUTE(SUBSTITUTE(SUBSTITUTE(SUBSTITUTE(SUBSTITUTE(SUBSTITUTE(SUBSTITUTE(SUBSTITUTE(SUBSTITUTE(SUBSTITUTE(SUBSTITUTE(SUBSTITUTE(SUBSTITUTE(SUBSTITUTE(SUBSTITUTE(SUBSTITUTE(SUBSTITUTE(SUBSTITUTE(SUBSTITUTE(SUBSTITUTE(SUBSTITUTE(SUBSTITUTE(SUBSTITUTE(tabSindicatos[FUNÇÕES],"á","a"),"ã","a"),"â","a"),"é","e"),"ê","e"),"í","i"),"ó","o"),"õ","o"),"ô","o"),"ú","u"),"ç","c"),"Á","a"),"Ã","a"),"Â","a"),"É","e"),"Ê","e"),"Í","i"),"Ó","o"),"Õ","o"),"Ô","o"),"Ú","u"),"Ç","c")," e ",", ")," ",""),".","")))&amp;",",
IFERROR(_xlfn._xlws.FILTER(tabSindicatos[SINDICATOS],
(ISNUMBER(SEARCH(","&amp;TRIM(UPPER(SUBSTITUTE(tabPostos[[#This Row],[Comarca]]," ","")))&amp;",",_xlpm.MATRIZ_COMARCA,1)))*
(ISNUMBER(SEARCH(","&amp;TRIM(SUBSTITUTE(SUBSTITUTE(SUBSTITUTE(UPPER(tabPostos[[#This Row],[Função]])," E ",", ")," ",""),".",""))&amp;",",_xlpm.MATRIZ_FUNCAO,1)))
),"")
))</f>
        <v>Juiz de Fora</v>
      </c>
      <c r="E136" s="148" t="s">
        <v>9</v>
      </c>
      <c r="F136" s="148" t="s">
        <v>10</v>
      </c>
      <c r="G136" s="148">
        <v>1</v>
      </c>
      <c r="H136" s="148">
        <v>0</v>
      </c>
      <c r="I136" s="216">
        <f>827.86</f>
        <v>827.86</v>
      </c>
      <c r="J136" s="247">
        <f>VLOOKUP(tabPostos[[#This Row],[CCT DA CATEGORIA]],'RELAÇÃO SINDICATOS'!A:N,11,0)</f>
        <v>45658</v>
      </c>
      <c r="K136" s="148" t="str">
        <f>VLOOKUP(tabPostos[[#This Row],[CCT DA CATEGORIA]],'RELAÇÃO SINDICATOS'!A:N,12,0)</f>
        <v>-</v>
      </c>
      <c r="L136" s="148" t="str">
        <f>VLOOKUP(tabPostos[[#This Row],[CCT DA CATEGORIA]],'RELAÇÃO SINDICATOS'!A:N,13,0)</f>
        <v>-</v>
      </c>
      <c r="M136" s="148" t="str">
        <f>VLOOKUP(tabPostos[[#This Row],[CCT DA CATEGORIA]],'RELAÇÃO SINDICATOS'!A:N,14,0)</f>
        <v>MG004343/2024</v>
      </c>
    </row>
    <row r="137" spans="1:13" x14ac:dyDescent="0.25">
      <c r="A137" s="148" t="str" cm="1">
        <f t="array" ref="A137">_xlfn.XLOOKUP(tabPostos[[#This Row],[Fonte de Recursos]]&amp;tabPostos[[#This Row],[Classificação]],tabLotacao[Lotacao]&amp;tabLotacao[Tipo],tabLotacao[Codigo Lote],"0")&amp;"."&amp;_xlfn.XLOOKUP(tabPostos[[#This Row],[Comarca]],tabComarca[COMARCA],tabComarca[Codigo Comarca],"000")&amp;"."&amp;_xlfn.XLOOKUP(tabPostos[[#This Row],[Função]],tabCargos[Cargo],tabCargos[Codigo Cargo],"00")</f>
        <v>2.145.06</v>
      </c>
      <c r="B137" s="200" t="s">
        <v>125</v>
      </c>
      <c r="C137" s="200" t="s">
        <v>1245</v>
      </c>
      <c r="D137" s="200" t="str" cm="1">
        <f t="array" ref="D137">IF(tabPostos[[#This Row],[Comarca]]="","",
_xlfn.LET(
_xlpm.MATRIZ_COMARCA, ","&amp;TRIM(UPPER(SUBSTITUTE(SUBSTITUTE(SUBSTITUTE(SUBSTITUTE(SUBSTITUTE(SUBSTITUTE(SUBSTITUTE(SUBSTITUTE(SUBSTITUTE(SUBSTITUTE(SUBSTITUTE(SUBSTITUTE(SUBSTITUTE(SUBSTITUTE(SUBSTITUTE(SUBSTITUTE(SUBSTITUTE(SUBSTITUTE(SUBSTITUTE(SUBSTITUTE(SUBSTITUTE(SUBSTITUTE(SUBSTITUTE(SUBSTITUTE(SUBSTITUTE(SUBSTITUTE(tabSindicatos[ABRANGÊNCIA],"á","a"),"ã","a"),"â","a"),"é","e"),"ê","e"),"í","i"),"ó","o"),"õ","o"),"ô","o"),"ú","u"),"ç","c"),"Á","a"),"Ã","a"),"Â","a"),"É","e"),"Ê","e"),"Í","i"),"Ó","o"),"Õ","o"),"Ô","o"),"Ú","u"),"Ç","c"),"/MG","")," e ",", ")," ",""),".","")))&amp;",",
_xlpm.MATRIZ_FUNCAO, ","&amp;TRIM(UPPER(SUBSTITUTE(SUBSTITUTE(SUBSTITUTE(SUBSTITUTE(SUBSTITUTE(SUBSTITUTE(SUBSTITUTE(SUBSTITUTE(SUBSTITUTE(SUBSTITUTE(SUBSTITUTE(SUBSTITUTE(SUBSTITUTE(SUBSTITUTE(SUBSTITUTE(SUBSTITUTE(SUBSTITUTE(SUBSTITUTE(SUBSTITUTE(SUBSTITUTE(SUBSTITUTE(SUBSTITUTE(SUBSTITUTE(SUBSTITUTE(SUBSTITUTE(tabSindicatos[FUNÇÕES],"á","a"),"ã","a"),"â","a"),"é","e"),"ê","e"),"í","i"),"ó","o"),"õ","o"),"ô","o"),"ú","u"),"ç","c"),"Á","a"),"Ã","a"),"Â","a"),"É","e"),"Ê","e"),"Í","i"),"Ó","o"),"Õ","o"),"Ô","o"),"Ú","u"),"Ç","c")," e ",", ")," ",""),".","")))&amp;",",
IFERROR(_xlfn._xlws.FILTER(tabSindicatos[SINDICATOS],
(ISNUMBER(SEARCH(","&amp;TRIM(UPPER(SUBSTITUTE(tabPostos[[#This Row],[Comarca]]," ","")))&amp;",",_xlpm.MATRIZ_COMARCA,1)))*
(ISNUMBER(SEARCH(","&amp;TRIM(SUBSTITUTE(SUBSTITUTE(SUBSTITUTE(UPPER(tabPostos[[#This Row],[Função]])," E ",", ")," ",""),".",""))&amp;",",_xlpm.MATRIZ_FUNCAO,1)))
),"")
))</f>
        <v>Juiz de Fora</v>
      </c>
      <c r="E137" s="148" t="s">
        <v>9</v>
      </c>
      <c r="F137" s="148" t="s">
        <v>10</v>
      </c>
      <c r="G137" s="148">
        <v>4</v>
      </c>
      <c r="H137" s="148">
        <v>0</v>
      </c>
      <c r="I137" s="216">
        <f>1655.72</f>
        <v>1655.72</v>
      </c>
      <c r="J137" s="247">
        <f>VLOOKUP(tabPostos[[#This Row],[CCT DA CATEGORIA]],'RELAÇÃO SINDICATOS'!A:N,11,0)</f>
        <v>45658</v>
      </c>
      <c r="K137" s="148" t="str">
        <f>VLOOKUP(tabPostos[[#This Row],[CCT DA CATEGORIA]],'RELAÇÃO SINDICATOS'!A:N,12,0)</f>
        <v>-</v>
      </c>
      <c r="L137" s="148" t="str">
        <f>VLOOKUP(tabPostos[[#This Row],[CCT DA CATEGORIA]],'RELAÇÃO SINDICATOS'!A:N,13,0)</f>
        <v>-</v>
      </c>
      <c r="M137" s="148" t="str">
        <f>VLOOKUP(tabPostos[[#This Row],[CCT DA CATEGORIA]],'RELAÇÃO SINDICATOS'!A:N,14,0)</f>
        <v>MG004343/2024</v>
      </c>
    </row>
    <row r="138" spans="1:13" x14ac:dyDescent="0.25">
      <c r="A138" s="148" t="str" cm="1">
        <f t="array" ref="A138">_xlfn.XLOOKUP(tabPostos[[#This Row],[Fonte de Recursos]]&amp;tabPostos[[#This Row],[Classificação]],tabLotacao[Lotacao]&amp;tabLotacao[Tipo],tabLotacao[Codigo Lote],"0")&amp;"."&amp;_xlfn.XLOOKUP(tabPostos[[#This Row],[Comarca]],tabComarca[COMARCA],tabComarca[Codigo Comarca],"000")&amp;"."&amp;_xlfn.XLOOKUP(tabPostos[[#This Row],[Função]],tabCargos[Cargo],tabCargos[Codigo Cargo],"00")</f>
        <v>2.372.05</v>
      </c>
      <c r="B138" s="200" t="s">
        <v>126</v>
      </c>
      <c r="C138" s="200" t="s">
        <v>1246</v>
      </c>
      <c r="D138" s="200" t="str" cm="1">
        <f t="array" ref="D138">IF(tabPostos[[#This Row],[Comarca]]="","",
_xlfn.LET(
_xlpm.MATRIZ_COMARCA, ","&amp;TRIM(UPPER(SUBSTITUTE(SUBSTITUTE(SUBSTITUTE(SUBSTITUTE(SUBSTITUTE(SUBSTITUTE(SUBSTITUTE(SUBSTITUTE(SUBSTITUTE(SUBSTITUTE(SUBSTITUTE(SUBSTITUTE(SUBSTITUTE(SUBSTITUTE(SUBSTITUTE(SUBSTITUTE(SUBSTITUTE(SUBSTITUTE(SUBSTITUTE(SUBSTITUTE(SUBSTITUTE(SUBSTITUTE(SUBSTITUTE(SUBSTITUTE(SUBSTITUTE(SUBSTITUTE(tabSindicatos[ABRANGÊNCIA],"á","a"),"ã","a"),"â","a"),"é","e"),"ê","e"),"í","i"),"ó","o"),"õ","o"),"ô","o"),"ú","u"),"ç","c"),"Á","a"),"Ã","a"),"Â","a"),"É","e"),"Ê","e"),"Í","i"),"Ó","o"),"Õ","o"),"Ô","o"),"Ú","u"),"Ç","c"),"/MG","")," e ",", ")," ",""),".","")))&amp;",",
_xlpm.MATRIZ_FUNCAO, ","&amp;TRIM(UPPER(SUBSTITUTE(SUBSTITUTE(SUBSTITUTE(SUBSTITUTE(SUBSTITUTE(SUBSTITUTE(SUBSTITUTE(SUBSTITUTE(SUBSTITUTE(SUBSTITUTE(SUBSTITUTE(SUBSTITUTE(SUBSTITUTE(SUBSTITUTE(SUBSTITUTE(SUBSTITUTE(SUBSTITUTE(SUBSTITUTE(SUBSTITUTE(SUBSTITUTE(SUBSTITUTE(SUBSTITUTE(SUBSTITUTE(SUBSTITUTE(SUBSTITUTE(tabSindicatos[FUNÇÕES],"á","a"),"ã","a"),"â","a"),"é","e"),"ê","e"),"í","i"),"ó","o"),"õ","o"),"ô","o"),"ú","u"),"ç","c"),"Á","a"),"Ã","a"),"Â","a"),"É","e"),"Ê","e"),"Í","i"),"Ó","o"),"Õ","o"),"Ô","o"),"Ú","u"),"Ç","c")," e ",", ")," ",""),".","")))&amp;",",
IFERROR(_xlfn._xlws.FILTER(tabSindicatos[SINDICATOS],
(ISNUMBER(SEARCH(","&amp;TRIM(UPPER(SUBSTITUTE(tabPostos[[#This Row],[Comarca]]," ","")))&amp;",",_xlpm.MATRIZ_COMARCA,1)))*
(ISNUMBER(SEARCH(","&amp;TRIM(SUBSTITUTE(SUBSTITUTE(SUBSTITUTE(UPPER(tabPostos[[#This Row],[Função]])," E ",", ")," ",""),".",""))&amp;",",_xlpm.MATRIZ_FUNCAO,1)))
),"")
))</f>
        <v>Regiao de Divinopolis</v>
      </c>
      <c r="E138" s="148" t="s">
        <v>9</v>
      </c>
      <c r="F138" s="148" t="s">
        <v>10</v>
      </c>
      <c r="G138" s="148">
        <v>1</v>
      </c>
      <c r="H138" s="148">
        <v>0</v>
      </c>
      <c r="I138" s="216">
        <f>1088.37</f>
        <v>1088.3699999999999</v>
      </c>
      <c r="J138" s="247">
        <f>VLOOKUP(tabPostos[[#This Row],[CCT DA CATEGORIA]],'RELAÇÃO SINDICATOS'!A:N,11,0)</f>
        <v>45658</v>
      </c>
      <c r="K138" s="148" t="str">
        <f>VLOOKUP(tabPostos[[#This Row],[CCT DA CATEGORIA]],'RELAÇÃO SINDICATOS'!A:N,12,0)</f>
        <v>-</v>
      </c>
      <c r="L138" s="148" t="str">
        <f>VLOOKUP(tabPostos[[#This Row],[CCT DA CATEGORIA]],'RELAÇÃO SINDICATOS'!A:N,13,0)</f>
        <v>-</v>
      </c>
      <c r="M138" s="148" t="str">
        <f>VLOOKUP(tabPostos[[#This Row],[CCT DA CATEGORIA]],'RELAÇÃO SINDICATOS'!A:N,14,0)</f>
        <v>MG001011/2025</v>
      </c>
    </row>
    <row r="139" spans="1:13" x14ac:dyDescent="0.25">
      <c r="A139" s="148" t="str" cm="1">
        <f t="array" ref="A139">_xlfn.XLOOKUP(tabPostos[[#This Row],[Fonte de Recursos]]&amp;tabPostos[[#This Row],[Classificação]],tabLotacao[Lotacao]&amp;tabLotacao[Tipo],tabLotacao[Codigo Lote],"0")&amp;"."&amp;_xlfn.XLOOKUP(tabPostos[[#This Row],[Comarca]],tabComarca[COMARCA],tabComarca[Codigo Comarca],"000")&amp;"."&amp;_xlfn.XLOOKUP(tabPostos[[#This Row],[Função]],tabCargos[Cargo],tabCargos[Codigo Cargo],"00")</f>
        <v>2.148.06</v>
      </c>
      <c r="B139" s="200" t="s">
        <v>127</v>
      </c>
      <c r="C139" s="200" t="s">
        <v>1245</v>
      </c>
      <c r="D139" s="200" t="str" cm="1">
        <f t="array" ref="D139">IF(tabPostos[[#This Row],[Comarca]]="","",
_xlfn.LET(
_xlpm.MATRIZ_COMARCA, ","&amp;TRIM(UPPER(SUBSTITUTE(SUBSTITUTE(SUBSTITUTE(SUBSTITUTE(SUBSTITUTE(SUBSTITUTE(SUBSTITUTE(SUBSTITUTE(SUBSTITUTE(SUBSTITUTE(SUBSTITUTE(SUBSTITUTE(SUBSTITUTE(SUBSTITUTE(SUBSTITUTE(SUBSTITUTE(SUBSTITUTE(SUBSTITUTE(SUBSTITUTE(SUBSTITUTE(SUBSTITUTE(SUBSTITUTE(SUBSTITUTE(SUBSTITUTE(SUBSTITUTE(SUBSTITUTE(tabSindicatos[ABRANGÊNCIA],"á","a"),"ã","a"),"â","a"),"é","e"),"ê","e"),"í","i"),"ó","o"),"õ","o"),"ô","o"),"ú","u"),"ç","c"),"Á","a"),"Ã","a"),"Â","a"),"É","e"),"Ê","e"),"Í","i"),"Ó","o"),"Õ","o"),"Ô","o"),"Ú","u"),"Ç","c"),"/MG","")," e ",", ")," ",""),".","")))&amp;",",
_xlpm.MATRIZ_FUNCAO, ","&amp;TRIM(UPPER(SUBSTITUTE(SUBSTITUTE(SUBSTITUTE(SUBSTITUTE(SUBSTITUTE(SUBSTITUTE(SUBSTITUTE(SUBSTITUTE(SUBSTITUTE(SUBSTITUTE(SUBSTITUTE(SUBSTITUTE(SUBSTITUTE(SUBSTITUTE(SUBSTITUTE(SUBSTITUTE(SUBSTITUTE(SUBSTITUTE(SUBSTITUTE(SUBSTITUTE(SUBSTITUTE(SUBSTITUTE(SUBSTITUTE(SUBSTITUTE(SUBSTITUTE(tabSindicatos[FUNÇÕES],"á","a"),"ã","a"),"â","a"),"é","e"),"ê","e"),"í","i"),"ó","o"),"õ","o"),"ô","o"),"ú","u"),"ç","c"),"Á","a"),"Ã","a"),"Â","a"),"É","e"),"Ê","e"),"Í","i"),"Ó","o"),"Õ","o"),"Ô","o"),"Ú","u"),"Ç","c")," e ",", ")," ",""),".","")))&amp;",",
IFERROR(_xlfn._xlws.FILTER(tabSindicatos[SINDICATOS],
(ISNUMBER(SEARCH(","&amp;TRIM(UPPER(SUBSTITUTE(tabPostos[[#This Row],[Comarca]]," ","")))&amp;",",_xlpm.MATRIZ_COMARCA,1)))*
(ISNUMBER(SEARCH(","&amp;TRIM(SUBSTITUTE(SUBSTITUTE(SUBSTITUTE(UPPER(tabPostos[[#This Row],[Função]])," E ",", ")," ",""),".",""))&amp;",",_xlpm.MATRIZ_FUNCAO,1)))
),"")
))</f>
        <v>Sind - Asseio</v>
      </c>
      <c r="E139" s="148" t="s">
        <v>9</v>
      </c>
      <c r="F139" s="148" t="s">
        <v>10</v>
      </c>
      <c r="G139" s="148">
        <v>1</v>
      </c>
      <c r="H139" s="148">
        <v>0</v>
      </c>
      <c r="I139" s="216">
        <f>1649.12</f>
        <v>1649.12</v>
      </c>
      <c r="J139" s="247">
        <f>VLOOKUP(tabPostos[[#This Row],[CCT DA CATEGORIA]],'RELAÇÃO SINDICATOS'!A:N,11,0)</f>
        <v>45658</v>
      </c>
      <c r="K139" s="148" t="str">
        <f>VLOOKUP(tabPostos[[#This Row],[CCT DA CATEGORIA]],'RELAÇÃO SINDICATOS'!A:N,12,0)</f>
        <v>-</v>
      </c>
      <c r="L139" s="148" t="str">
        <f>VLOOKUP(tabPostos[[#This Row],[CCT DA CATEGORIA]],'RELAÇÃO SINDICATOS'!A:N,13,0)</f>
        <v>-</v>
      </c>
      <c r="M139" s="148" t="str">
        <f>VLOOKUP(tabPostos[[#This Row],[CCT DA CATEGORIA]],'RELAÇÃO SINDICATOS'!A:N,14,0)</f>
        <v>MG000016/2025</v>
      </c>
    </row>
    <row r="140" spans="1:13" x14ac:dyDescent="0.25">
      <c r="A140" s="148" t="str" cm="1">
        <f t="array" ref="A140">_xlfn.XLOOKUP(tabPostos[[#This Row],[Fonte de Recursos]]&amp;tabPostos[[#This Row],[Classificação]],tabLotacao[Lotacao]&amp;tabLotacao[Tipo],tabLotacao[Codigo Lote],"0")&amp;"."&amp;_xlfn.XLOOKUP(tabPostos[[#This Row],[Comarca]],tabComarca[COMARCA],tabComarca[Codigo Comarca],"000")&amp;"."&amp;_xlfn.XLOOKUP(tabPostos[[#This Row],[Função]],tabCargos[Cargo],tabCargos[Codigo Cargo],"00")</f>
        <v>2.378.03</v>
      </c>
      <c r="B140" s="200" t="s">
        <v>128</v>
      </c>
      <c r="C140" s="200" t="s">
        <v>1247</v>
      </c>
      <c r="D140" s="200" t="str" cm="1">
        <f t="array" ref="D140">IF(tabPostos[[#This Row],[Comarca]]="","",
_xlfn.LET(
_xlpm.MATRIZ_COMARCA, ","&amp;TRIM(UPPER(SUBSTITUTE(SUBSTITUTE(SUBSTITUTE(SUBSTITUTE(SUBSTITUTE(SUBSTITUTE(SUBSTITUTE(SUBSTITUTE(SUBSTITUTE(SUBSTITUTE(SUBSTITUTE(SUBSTITUTE(SUBSTITUTE(SUBSTITUTE(SUBSTITUTE(SUBSTITUTE(SUBSTITUTE(SUBSTITUTE(SUBSTITUTE(SUBSTITUTE(SUBSTITUTE(SUBSTITUTE(SUBSTITUTE(SUBSTITUTE(SUBSTITUTE(SUBSTITUTE(tabSindicatos[ABRANGÊNCIA],"á","a"),"ã","a"),"â","a"),"é","e"),"ê","e"),"í","i"),"ó","o"),"õ","o"),"ô","o"),"ú","u"),"ç","c"),"Á","a"),"Ã","a"),"Â","a"),"É","e"),"Ê","e"),"Í","i"),"Ó","o"),"Õ","o"),"Ô","o"),"Ú","u"),"Ç","c"),"/MG","")," e ",", ")," ",""),".","")))&amp;",",
_xlpm.MATRIZ_FUNCAO, ","&amp;TRIM(UPPER(SUBSTITUTE(SUBSTITUTE(SUBSTITUTE(SUBSTITUTE(SUBSTITUTE(SUBSTITUTE(SUBSTITUTE(SUBSTITUTE(SUBSTITUTE(SUBSTITUTE(SUBSTITUTE(SUBSTITUTE(SUBSTITUTE(SUBSTITUTE(SUBSTITUTE(SUBSTITUTE(SUBSTITUTE(SUBSTITUTE(SUBSTITUTE(SUBSTITUTE(SUBSTITUTE(SUBSTITUTE(SUBSTITUTE(SUBSTITUTE(SUBSTITUTE(tabSindicatos[FUNÇÕES],"á","a"),"ã","a"),"â","a"),"é","e"),"ê","e"),"í","i"),"ó","o"),"õ","o"),"ô","o"),"ú","u"),"ç","c"),"Á","a"),"Ã","a"),"Â","a"),"É","e"),"Ê","e"),"Í","i"),"Ó","o"),"Õ","o"),"Ô","o"),"Ú","u"),"Ç","c")," e ",", ")," ",""),".","")))&amp;",",
IFERROR(_xlfn._xlws.FILTER(tabSindicatos[SINDICATOS],
(ISNUMBER(SEARCH(","&amp;TRIM(UPPER(SUBSTITUTE(tabPostos[[#This Row],[Comarca]]," ","")))&amp;",",_xlpm.MATRIZ_COMARCA,1)))*
(ISNUMBER(SEARCH(","&amp;TRIM(SUBSTITUTE(SUBSTITUTE(SUBSTITUTE(UPPER(tabPostos[[#This Row],[Função]])," E ",", ")," ",""),".",""))&amp;",",_xlpm.MATRIZ_FUNCAO,1)))
),"")
))</f>
        <v>Regiao de Sao Lourenco</v>
      </c>
      <c r="E140" s="148" t="s">
        <v>9</v>
      </c>
      <c r="F140" s="148" t="s">
        <v>10</v>
      </c>
      <c r="G140" s="148">
        <v>1</v>
      </c>
      <c r="H140" s="148">
        <v>0</v>
      </c>
      <c r="I140" s="216">
        <f>544.18</f>
        <v>544.17999999999995</v>
      </c>
      <c r="J140" s="247">
        <f>VLOOKUP(tabPostos[[#This Row],[CCT DA CATEGORIA]],'RELAÇÃO SINDICATOS'!A:N,11,0)</f>
        <v>45658</v>
      </c>
      <c r="K140" s="148" t="str">
        <f>VLOOKUP(tabPostos[[#This Row],[CCT DA CATEGORIA]],'RELAÇÃO SINDICATOS'!A:N,12,0)</f>
        <v>-</v>
      </c>
      <c r="L140" s="148" t="str">
        <f>VLOOKUP(tabPostos[[#This Row],[CCT DA CATEGORIA]],'RELAÇÃO SINDICATOS'!A:N,13,0)</f>
        <v>-</v>
      </c>
      <c r="M140" s="148" t="str">
        <f>VLOOKUP(tabPostos[[#This Row],[CCT DA CATEGORIA]],'RELAÇÃO SINDICATOS'!A:N,14,0)</f>
        <v>MG000594/2025</v>
      </c>
    </row>
    <row r="141" spans="1:13" x14ac:dyDescent="0.25">
      <c r="A141" s="148" t="str" cm="1">
        <f t="array" ref="A141">_xlfn.XLOOKUP(tabPostos[[#This Row],[Fonte de Recursos]]&amp;tabPostos[[#This Row],[Classificação]],tabLotacao[Lotacao]&amp;tabLotacao[Tipo],tabLotacao[Codigo Lote],"0")&amp;"."&amp;_xlfn.XLOOKUP(tabPostos[[#This Row],[Comarca]],tabComarca[COMARCA],tabComarca[Codigo Comarca],"000")&amp;"."&amp;_xlfn.XLOOKUP(tabPostos[[#This Row],[Função]],tabCargos[Cargo],tabCargos[Codigo Cargo],"00")</f>
        <v>2.382.04</v>
      </c>
      <c r="B141" s="200" t="s">
        <v>129</v>
      </c>
      <c r="C141" s="200" t="s">
        <v>1244</v>
      </c>
      <c r="D141" s="200" t="str" cm="1">
        <f t="array" ref="D141">IF(tabPostos[[#This Row],[Comarca]]="","",
_xlfn.LET(
_xlpm.MATRIZ_COMARCA, ","&amp;TRIM(UPPER(SUBSTITUTE(SUBSTITUTE(SUBSTITUTE(SUBSTITUTE(SUBSTITUTE(SUBSTITUTE(SUBSTITUTE(SUBSTITUTE(SUBSTITUTE(SUBSTITUTE(SUBSTITUTE(SUBSTITUTE(SUBSTITUTE(SUBSTITUTE(SUBSTITUTE(SUBSTITUTE(SUBSTITUTE(SUBSTITUTE(SUBSTITUTE(SUBSTITUTE(SUBSTITUTE(SUBSTITUTE(SUBSTITUTE(SUBSTITUTE(SUBSTITUTE(SUBSTITUTE(tabSindicatos[ABRANGÊNCIA],"á","a"),"ã","a"),"â","a"),"é","e"),"ê","e"),"í","i"),"ó","o"),"õ","o"),"ô","o"),"ú","u"),"ç","c"),"Á","a"),"Ã","a"),"Â","a"),"É","e"),"Ê","e"),"Í","i"),"Ó","o"),"Õ","o"),"Ô","o"),"Ú","u"),"Ç","c"),"/MG","")," e ",", ")," ",""),".","")))&amp;",",
_xlpm.MATRIZ_FUNCAO, ","&amp;TRIM(UPPER(SUBSTITUTE(SUBSTITUTE(SUBSTITUTE(SUBSTITUTE(SUBSTITUTE(SUBSTITUTE(SUBSTITUTE(SUBSTITUTE(SUBSTITUTE(SUBSTITUTE(SUBSTITUTE(SUBSTITUTE(SUBSTITUTE(SUBSTITUTE(SUBSTITUTE(SUBSTITUTE(SUBSTITUTE(SUBSTITUTE(SUBSTITUTE(SUBSTITUTE(SUBSTITUTE(SUBSTITUTE(SUBSTITUTE(SUBSTITUTE(SUBSTITUTE(tabSindicatos[FUNÇÕES],"á","a"),"ã","a"),"â","a"),"é","e"),"ê","e"),"í","i"),"ó","o"),"õ","o"),"ô","o"),"ú","u"),"ç","c"),"Á","a"),"Ã","a"),"Â","a"),"É","e"),"Ê","e"),"Í","i"),"Ó","o"),"Õ","o"),"Ô","o"),"Ú","u"),"Ç","c")," e ",", ")," ",""),".","")))&amp;",",
IFERROR(_xlfn._xlws.FILTER(tabSindicatos[SINDICATOS],
(ISNUMBER(SEARCH(","&amp;TRIM(UPPER(SUBSTITUTE(tabPostos[[#This Row],[Comarca]]," ","")))&amp;",",_xlpm.MATRIZ_COMARCA,1)))*
(ISNUMBER(SEARCH(","&amp;TRIM(SUBSTITUTE(SUBSTITUTE(SUBSTITUTE(UPPER(tabPostos[[#This Row],[Função]])," E ",", ")," ",""),".",""))&amp;",",_xlpm.MATRIZ_FUNCAO,1)))
),"")
))</f>
        <v>Regiao de Sao Lourenco</v>
      </c>
      <c r="E141" s="148" t="s">
        <v>9</v>
      </c>
      <c r="F141" s="148" t="s">
        <v>10</v>
      </c>
      <c r="G141" s="148">
        <v>1</v>
      </c>
      <c r="H141" s="148">
        <v>0</v>
      </c>
      <c r="I141" s="216">
        <f>798.14</f>
        <v>798.14</v>
      </c>
      <c r="J141" s="247">
        <f>VLOOKUP(tabPostos[[#This Row],[CCT DA CATEGORIA]],'RELAÇÃO SINDICATOS'!A:N,11,0)</f>
        <v>45658</v>
      </c>
      <c r="K141" s="148" t="str">
        <f>VLOOKUP(tabPostos[[#This Row],[CCT DA CATEGORIA]],'RELAÇÃO SINDICATOS'!A:N,12,0)</f>
        <v>-</v>
      </c>
      <c r="L141" s="148" t="str">
        <f>VLOOKUP(tabPostos[[#This Row],[CCT DA CATEGORIA]],'RELAÇÃO SINDICATOS'!A:N,13,0)</f>
        <v>-</v>
      </c>
      <c r="M141" s="148" t="str">
        <f>VLOOKUP(tabPostos[[#This Row],[CCT DA CATEGORIA]],'RELAÇÃO SINDICATOS'!A:N,14,0)</f>
        <v>MG000594/2025</v>
      </c>
    </row>
    <row r="142" spans="1:13" x14ac:dyDescent="0.25">
      <c r="A142" s="148" t="str" cm="1">
        <f t="array" ref="A142">_xlfn.XLOOKUP(tabPostos[[#This Row],[Fonte de Recursos]]&amp;tabPostos[[#This Row],[Classificação]],tabLotacao[Lotacao]&amp;tabLotacao[Tipo],tabLotacao[Codigo Lote],"0")&amp;"."&amp;_xlfn.XLOOKUP(tabPostos[[#This Row],[Comarca]],tabComarca[COMARCA],tabComarca[Codigo Comarca],"000")&amp;"."&amp;_xlfn.XLOOKUP(tabPostos[[#This Row],[Função]],tabCargos[Cargo],tabCargos[Codigo Cargo],"00")</f>
        <v>2.382.06</v>
      </c>
      <c r="B142" s="200" t="s">
        <v>129</v>
      </c>
      <c r="C142" s="200" t="s">
        <v>1245</v>
      </c>
      <c r="D142" s="200" t="str" cm="1">
        <f t="array" ref="D142">IF(tabPostos[[#This Row],[Comarca]]="","",
_xlfn.LET(
_xlpm.MATRIZ_COMARCA, ","&amp;TRIM(UPPER(SUBSTITUTE(SUBSTITUTE(SUBSTITUTE(SUBSTITUTE(SUBSTITUTE(SUBSTITUTE(SUBSTITUTE(SUBSTITUTE(SUBSTITUTE(SUBSTITUTE(SUBSTITUTE(SUBSTITUTE(SUBSTITUTE(SUBSTITUTE(SUBSTITUTE(SUBSTITUTE(SUBSTITUTE(SUBSTITUTE(SUBSTITUTE(SUBSTITUTE(SUBSTITUTE(SUBSTITUTE(SUBSTITUTE(SUBSTITUTE(SUBSTITUTE(SUBSTITUTE(tabSindicatos[ABRANGÊNCIA],"á","a"),"ã","a"),"â","a"),"é","e"),"ê","e"),"í","i"),"ó","o"),"õ","o"),"ô","o"),"ú","u"),"ç","c"),"Á","a"),"Ã","a"),"Â","a"),"É","e"),"Ê","e"),"Í","i"),"Ó","o"),"Õ","o"),"Ô","o"),"Ú","u"),"Ç","c"),"/MG","")," e ",", ")," ",""),".","")))&amp;",",
_xlpm.MATRIZ_FUNCAO, ","&amp;TRIM(UPPER(SUBSTITUTE(SUBSTITUTE(SUBSTITUTE(SUBSTITUTE(SUBSTITUTE(SUBSTITUTE(SUBSTITUTE(SUBSTITUTE(SUBSTITUTE(SUBSTITUTE(SUBSTITUTE(SUBSTITUTE(SUBSTITUTE(SUBSTITUTE(SUBSTITUTE(SUBSTITUTE(SUBSTITUTE(SUBSTITUTE(SUBSTITUTE(SUBSTITUTE(SUBSTITUTE(SUBSTITUTE(SUBSTITUTE(SUBSTITUTE(SUBSTITUTE(tabSindicatos[FUNÇÕES],"á","a"),"ã","a"),"â","a"),"é","e"),"ê","e"),"í","i"),"ó","o"),"õ","o"),"ô","o"),"ú","u"),"ç","c"),"Á","a"),"Ã","a"),"Â","a"),"É","e"),"Ê","e"),"Í","i"),"Ó","o"),"Õ","o"),"Ô","o"),"Ú","u"),"Ç","c")," e ",", ")," ",""),".","")))&amp;",",
IFERROR(_xlfn._xlws.FILTER(tabSindicatos[SINDICATOS],
(ISNUMBER(SEARCH(","&amp;TRIM(UPPER(SUBSTITUTE(tabPostos[[#This Row],[Comarca]]," ","")))&amp;",",_xlpm.MATRIZ_COMARCA,1)))*
(ISNUMBER(SEARCH(","&amp;TRIM(SUBSTITUTE(SUBSTITUTE(SUBSTITUTE(UPPER(tabPostos[[#This Row],[Função]])," E ",", ")," ",""),".",""))&amp;",",_xlpm.MATRIZ_FUNCAO,1)))
),"")
))</f>
        <v>Regiao de Sao Lourenco</v>
      </c>
      <c r="E142" s="148" t="s">
        <v>9</v>
      </c>
      <c r="F142" s="148" t="s">
        <v>10</v>
      </c>
      <c r="G142" s="148">
        <v>2</v>
      </c>
      <c r="H142" s="148">
        <v>0</v>
      </c>
      <c r="I142" s="216">
        <f>1596.28</f>
        <v>1596.28</v>
      </c>
      <c r="J142" s="247">
        <f>VLOOKUP(tabPostos[[#This Row],[CCT DA CATEGORIA]],'RELAÇÃO SINDICATOS'!A:N,11,0)</f>
        <v>45658</v>
      </c>
      <c r="K142" s="148" t="str">
        <f>VLOOKUP(tabPostos[[#This Row],[CCT DA CATEGORIA]],'RELAÇÃO SINDICATOS'!A:N,12,0)</f>
        <v>-</v>
      </c>
      <c r="L142" s="148" t="str">
        <f>VLOOKUP(tabPostos[[#This Row],[CCT DA CATEGORIA]],'RELAÇÃO SINDICATOS'!A:N,13,0)</f>
        <v>-</v>
      </c>
      <c r="M142" s="148" t="str">
        <f>VLOOKUP(tabPostos[[#This Row],[CCT DA CATEGORIA]],'RELAÇÃO SINDICATOS'!A:N,14,0)</f>
        <v>MG000594/2025</v>
      </c>
    </row>
    <row r="143" spans="1:13" x14ac:dyDescent="0.25">
      <c r="A143" s="148" t="str" cm="1">
        <f t="array" ref="A143">_xlfn.XLOOKUP(tabPostos[[#This Row],[Fonte de Recursos]]&amp;tabPostos[[#This Row],[Classificação]],tabLotacao[Lotacao]&amp;tabLotacao[Tipo],tabLotacao[Codigo Lote],"0")&amp;"."&amp;_xlfn.XLOOKUP(tabPostos[[#This Row],[Comarca]],tabComarca[COMARCA],tabComarca[Codigo Comarca],"000")&amp;"."&amp;_xlfn.XLOOKUP(tabPostos[[#This Row],[Função]],tabCargos[Cargo],tabCargos[Codigo Cargo],"00")</f>
        <v>2.388.03</v>
      </c>
      <c r="B143" s="200" t="s">
        <v>130</v>
      </c>
      <c r="C143" s="200" t="s">
        <v>1247</v>
      </c>
      <c r="D143" s="200" t="str" cm="1">
        <f t="array" ref="D143">IF(tabPostos[[#This Row],[Comarca]]="","",
_xlfn.LET(
_xlpm.MATRIZ_COMARCA, ","&amp;TRIM(UPPER(SUBSTITUTE(SUBSTITUTE(SUBSTITUTE(SUBSTITUTE(SUBSTITUTE(SUBSTITUTE(SUBSTITUTE(SUBSTITUTE(SUBSTITUTE(SUBSTITUTE(SUBSTITUTE(SUBSTITUTE(SUBSTITUTE(SUBSTITUTE(SUBSTITUTE(SUBSTITUTE(SUBSTITUTE(SUBSTITUTE(SUBSTITUTE(SUBSTITUTE(SUBSTITUTE(SUBSTITUTE(SUBSTITUTE(SUBSTITUTE(SUBSTITUTE(SUBSTITUTE(tabSindicatos[ABRANGÊNCIA],"á","a"),"ã","a"),"â","a"),"é","e"),"ê","e"),"í","i"),"ó","o"),"õ","o"),"ô","o"),"ú","u"),"ç","c"),"Á","a"),"Ã","a"),"Â","a"),"É","e"),"Ê","e"),"Í","i"),"Ó","o"),"Õ","o"),"Ô","o"),"Ú","u"),"Ç","c"),"/MG","")," e ",", ")," ",""),".","")))&amp;",",
_xlpm.MATRIZ_FUNCAO, ","&amp;TRIM(UPPER(SUBSTITUTE(SUBSTITUTE(SUBSTITUTE(SUBSTITUTE(SUBSTITUTE(SUBSTITUTE(SUBSTITUTE(SUBSTITUTE(SUBSTITUTE(SUBSTITUTE(SUBSTITUTE(SUBSTITUTE(SUBSTITUTE(SUBSTITUTE(SUBSTITUTE(SUBSTITUTE(SUBSTITUTE(SUBSTITUTE(SUBSTITUTE(SUBSTITUTE(SUBSTITUTE(SUBSTITUTE(SUBSTITUTE(SUBSTITUTE(SUBSTITUTE(tabSindicatos[FUNÇÕES],"á","a"),"ã","a"),"â","a"),"é","e"),"ê","e"),"í","i"),"ó","o"),"õ","o"),"ô","o"),"ú","u"),"ç","c"),"Á","a"),"Ã","a"),"Â","a"),"É","e"),"Ê","e"),"Í","i"),"Ó","o"),"Õ","o"),"Ô","o"),"Ú","u"),"Ç","c")," e ",", ")," ",""),".","")))&amp;",",
IFERROR(_xlfn._xlws.FILTER(tabSindicatos[SINDICATOS],
(ISNUMBER(SEARCH(","&amp;TRIM(UPPER(SUBSTITUTE(tabPostos[[#This Row],[Comarca]]," ","")))&amp;",",_xlpm.MATRIZ_COMARCA,1)))*
(ISNUMBER(SEARCH(","&amp;TRIM(SUBSTITUTE(SUBSTITUTE(SUBSTITUTE(UPPER(tabPostos[[#This Row],[Função]])," E ",", ")," ",""),".",""))&amp;",",_xlpm.MATRIZ_FUNCAO,1)))
),"")
))</f>
        <v>Regiao de Divinopolis</v>
      </c>
      <c r="E143" s="148" t="s">
        <v>9</v>
      </c>
      <c r="F143" s="148" t="s">
        <v>10</v>
      </c>
      <c r="G143" s="148">
        <v>1</v>
      </c>
      <c r="H143" s="148">
        <v>0</v>
      </c>
      <c r="I143" s="216">
        <f>544.18</f>
        <v>544.17999999999995</v>
      </c>
      <c r="J143" s="247">
        <f>VLOOKUP(tabPostos[[#This Row],[CCT DA CATEGORIA]],'RELAÇÃO SINDICATOS'!A:N,11,0)</f>
        <v>45658</v>
      </c>
      <c r="K143" s="148" t="str">
        <f>VLOOKUP(tabPostos[[#This Row],[CCT DA CATEGORIA]],'RELAÇÃO SINDICATOS'!A:N,12,0)</f>
        <v>-</v>
      </c>
      <c r="L143" s="148" t="str">
        <f>VLOOKUP(tabPostos[[#This Row],[CCT DA CATEGORIA]],'RELAÇÃO SINDICATOS'!A:N,13,0)</f>
        <v>-</v>
      </c>
      <c r="M143" s="148" t="str">
        <f>VLOOKUP(tabPostos[[#This Row],[CCT DA CATEGORIA]],'RELAÇÃO SINDICATOS'!A:N,14,0)</f>
        <v>MG001011/2025</v>
      </c>
    </row>
    <row r="144" spans="1:13" x14ac:dyDescent="0.25">
      <c r="A144" s="148" t="str" cm="1">
        <f t="array" ref="A144">_xlfn.XLOOKUP(tabPostos[[#This Row],[Fonte de Recursos]]&amp;tabPostos[[#This Row],[Classificação]],tabLotacao[Lotacao]&amp;tabLotacao[Tipo],tabLotacao[Codigo Lote],"0")&amp;"."&amp;_xlfn.XLOOKUP(tabPostos[[#This Row],[Comarca]],tabComarca[COMARCA],tabComarca[Codigo Comarca],"000")&amp;"."&amp;_xlfn.XLOOKUP(tabPostos[[#This Row],[Função]],tabCargos[Cargo],tabCargos[Codigo Cargo],"00")</f>
        <v>2.390.06</v>
      </c>
      <c r="B144" s="200" t="s">
        <v>131</v>
      </c>
      <c r="C144" s="200" t="s">
        <v>1245</v>
      </c>
      <c r="D144" s="200" t="str" cm="1">
        <f t="array" ref="D144">IF(tabPostos[[#This Row],[Comarca]]="","",
_xlfn.LET(
_xlpm.MATRIZ_COMARCA, ","&amp;TRIM(UPPER(SUBSTITUTE(SUBSTITUTE(SUBSTITUTE(SUBSTITUTE(SUBSTITUTE(SUBSTITUTE(SUBSTITUTE(SUBSTITUTE(SUBSTITUTE(SUBSTITUTE(SUBSTITUTE(SUBSTITUTE(SUBSTITUTE(SUBSTITUTE(SUBSTITUTE(SUBSTITUTE(SUBSTITUTE(SUBSTITUTE(SUBSTITUTE(SUBSTITUTE(SUBSTITUTE(SUBSTITUTE(SUBSTITUTE(SUBSTITUTE(SUBSTITUTE(SUBSTITUTE(tabSindicatos[ABRANGÊNCIA],"á","a"),"ã","a"),"â","a"),"é","e"),"ê","e"),"í","i"),"ó","o"),"õ","o"),"ô","o"),"ú","u"),"ç","c"),"Á","a"),"Ã","a"),"Â","a"),"É","e"),"Ê","e"),"Í","i"),"Ó","o"),"Õ","o"),"Ô","o"),"Ú","u"),"Ç","c"),"/MG","")," e ",", ")," ",""),".","")))&amp;",",
_xlpm.MATRIZ_FUNCAO, ","&amp;TRIM(UPPER(SUBSTITUTE(SUBSTITUTE(SUBSTITUTE(SUBSTITUTE(SUBSTITUTE(SUBSTITUTE(SUBSTITUTE(SUBSTITUTE(SUBSTITUTE(SUBSTITUTE(SUBSTITUTE(SUBSTITUTE(SUBSTITUTE(SUBSTITUTE(SUBSTITUTE(SUBSTITUTE(SUBSTITUTE(SUBSTITUTE(SUBSTITUTE(SUBSTITUTE(SUBSTITUTE(SUBSTITUTE(SUBSTITUTE(SUBSTITUTE(SUBSTITUTE(tabSindicatos[FUNÇÕES],"á","a"),"ã","a"),"â","a"),"é","e"),"ê","e"),"í","i"),"ó","o"),"õ","o"),"ô","o"),"ú","u"),"ç","c"),"Á","a"),"Ã","a"),"Â","a"),"É","e"),"Ê","e"),"Í","i"),"Ó","o"),"Õ","o"),"Ô","o"),"Ú","u"),"Ç","c")," e ",", ")," ",""),".","")))&amp;",",
IFERROR(_xlfn._xlws.FILTER(tabSindicatos[SINDICATOS],
(ISNUMBER(SEARCH(","&amp;TRIM(UPPER(SUBSTITUTE(tabPostos[[#This Row],[Comarca]]," ","")))&amp;",",_xlpm.MATRIZ_COMARCA,1)))*
(ISNUMBER(SEARCH(","&amp;TRIM(SUBSTITUTE(SUBSTITUTE(SUBSTITUTE(UPPER(tabPostos[[#This Row],[Função]])," E ",", ")," ",""),".",""))&amp;",",_xlpm.MATRIZ_FUNCAO,1)))
),"")
))</f>
        <v>Regiao de Sao Lourenco</v>
      </c>
      <c r="E144" s="148" t="s">
        <v>9</v>
      </c>
      <c r="F144" s="148" t="s">
        <v>10</v>
      </c>
      <c r="G144" s="148">
        <v>1</v>
      </c>
      <c r="H144" s="148">
        <v>0</v>
      </c>
      <c r="I144" s="216">
        <f>1596.28</f>
        <v>1596.28</v>
      </c>
      <c r="J144" s="247">
        <f>VLOOKUP(tabPostos[[#This Row],[CCT DA CATEGORIA]],'RELAÇÃO SINDICATOS'!A:N,11,0)</f>
        <v>45658</v>
      </c>
      <c r="K144" s="148" t="str">
        <f>VLOOKUP(tabPostos[[#This Row],[CCT DA CATEGORIA]],'RELAÇÃO SINDICATOS'!A:N,12,0)</f>
        <v>-</v>
      </c>
      <c r="L144" s="148" t="str">
        <f>VLOOKUP(tabPostos[[#This Row],[CCT DA CATEGORIA]],'RELAÇÃO SINDICATOS'!A:N,13,0)</f>
        <v>-</v>
      </c>
      <c r="M144" s="148" t="str">
        <f>VLOOKUP(tabPostos[[#This Row],[CCT DA CATEGORIA]],'RELAÇÃO SINDICATOS'!A:N,14,0)</f>
        <v>MG000594/2025</v>
      </c>
    </row>
    <row r="145" spans="1:13" x14ac:dyDescent="0.25">
      <c r="A145" s="148" t="str" cm="1">
        <f t="array" ref="A145">_xlfn.XLOOKUP(tabPostos[[#This Row],[Fonte de Recursos]]&amp;tabPostos[[#This Row],[Classificação]],tabLotacao[Lotacao]&amp;tabLotacao[Tipo],tabLotacao[Codigo Lote],"0")&amp;"."&amp;_xlfn.XLOOKUP(tabPostos[[#This Row],[Comarca]],tabComarca[COMARCA],tabComarca[Codigo Comarca],"000")&amp;"."&amp;_xlfn.XLOOKUP(tabPostos[[#This Row],[Função]],tabCargos[Cargo],tabCargos[Codigo Cargo],"00")</f>
        <v>2.392.03</v>
      </c>
      <c r="B145" s="200" t="s">
        <v>132</v>
      </c>
      <c r="C145" s="200" t="s">
        <v>1247</v>
      </c>
      <c r="D145" s="200" t="str" cm="1">
        <f t="array" ref="D145">IF(tabPostos[[#This Row],[Comarca]]="","",
_xlfn.LET(
_xlpm.MATRIZ_COMARCA, ","&amp;TRIM(UPPER(SUBSTITUTE(SUBSTITUTE(SUBSTITUTE(SUBSTITUTE(SUBSTITUTE(SUBSTITUTE(SUBSTITUTE(SUBSTITUTE(SUBSTITUTE(SUBSTITUTE(SUBSTITUTE(SUBSTITUTE(SUBSTITUTE(SUBSTITUTE(SUBSTITUTE(SUBSTITUTE(SUBSTITUTE(SUBSTITUTE(SUBSTITUTE(SUBSTITUTE(SUBSTITUTE(SUBSTITUTE(SUBSTITUTE(SUBSTITUTE(SUBSTITUTE(SUBSTITUTE(tabSindicatos[ABRANGÊNCIA],"á","a"),"ã","a"),"â","a"),"é","e"),"ê","e"),"í","i"),"ó","o"),"õ","o"),"ô","o"),"ú","u"),"ç","c"),"Á","a"),"Ã","a"),"Â","a"),"É","e"),"Ê","e"),"Í","i"),"Ó","o"),"Õ","o"),"Ô","o"),"Ú","u"),"Ç","c"),"/MG","")," e ",", ")," ",""),".","")))&amp;",",
_xlpm.MATRIZ_FUNCAO, ","&amp;TRIM(UPPER(SUBSTITUTE(SUBSTITUTE(SUBSTITUTE(SUBSTITUTE(SUBSTITUTE(SUBSTITUTE(SUBSTITUTE(SUBSTITUTE(SUBSTITUTE(SUBSTITUTE(SUBSTITUTE(SUBSTITUTE(SUBSTITUTE(SUBSTITUTE(SUBSTITUTE(SUBSTITUTE(SUBSTITUTE(SUBSTITUTE(SUBSTITUTE(SUBSTITUTE(SUBSTITUTE(SUBSTITUTE(SUBSTITUTE(SUBSTITUTE(SUBSTITUTE(tabSindicatos[FUNÇÕES],"á","a"),"ã","a"),"â","a"),"é","e"),"ê","e"),"í","i"),"ó","o"),"õ","o"),"ô","o"),"ú","u"),"ç","c"),"Á","a"),"Ã","a"),"Â","a"),"É","e"),"Ê","e"),"Í","i"),"Ó","o"),"Õ","o"),"Ô","o"),"Ú","u"),"Ç","c")," e ",", ")," ",""),".","")))&amp;",",
IFERROR(_xlfn._xlws.FILTER(tabSindicatos[SINDICATOS],
(ISNUMBER(SEARCH(","&amp;TRIM(UPPER(SUBSTITUTE(tabPostos[[#This Row],[Comarca]]," ","")))&amp;",",_xlpm.MATRIZ_COMARCA,1)))*
(ISNUMBER(SEARCH(","&amp;TRIM(SUBSTITUTE(SUBSTITUTE(SUBSTITUTE(UPPER(tabPostos[[#This Row],[Função]])," E ",", ")," ",""),".",""))&amp;",",_xlpm.MATRIZ_FUNCAO,1)))
),"")
))</f>
        <v>Regiao de Teofilo Otoni</v>
      </c>
      <c r="E145" s="148" t="s">
        <v>9</v>
      </c>
      <c r="F145" s="148" t="s">
        <v>10</v>
      </c>
      <c r="G145" s="148">
        <v>1</v>
      </c>
      <c r="H145" s="148">
        <v>0</v>
      </c>
      <c r="I145" s="216">
        <f>544.18</f>
        <v>544.17999999999995</v>
      </c>
      <c r="J145" s="247">
        <f>VLOOKUP(tabPostos[[#This Row],[CCT DA CATEGORIA]],'RELAÇÃO SINDICATOS'!A:N,11,0)</f>
        <v>45658</v>
      </c>
      <c r="K145" s="148" t="str">
        <f>VLOOKUP(tabPostos[[#This Row],[CCT DA CATEGORIA]],'RELAÇÃO SINDICATOS'!A:N,12,0)</f>
        <v>-</v>
      </c>
      <c r="L145" s="148" t="str">
        <f>VLOOKUP(tabPostos[[#This Row],[CCT DA CATEGORIA]],'RELAÇÃO SINDICATOS'!A:N,13,0)</f>
        <v>-</v>
      </c>
      <c r="M145" s="148" t="str">
        <f>VLOOKUP(tabPostos[[#This Row],[CCT DA CATEGORIA]],'RELAÇÃO SINDICATOS'!A:N,14,0)</f>
        <v>MG004488/2024</v>
      </c>
    </row>
    <row r="146" spans="1:13" x14ac:dyDescent="0.25">
      <c r="A146" s="148" t="str" cm="1">
        <f t="array" ref="A146">_xlfn.XLOOKUP(tabPostos[[#This Row],[Fonte de Recursos]]&amp;tabPostos[[#This Row],[Classificação]],tabLotacao[Lotacao]&amp;tabLotacao[Tipo],tabLotacao[Codigo Lote],"0")&amp;"."&amp;_xlfn.XLOOKUP(tabPostos[[#This Row],[Comarca]],tabComarca[COMARCA],tabComarca[Codigo Comarca],"000")&amp;"."&amp;_xlfn.XLOOKUP(tabPostos[[#This Row],[Função]],tabCargos[Cargo],tabCargos[Codigo Cargo],"00")</f>
        <v>2.393.06</v>
      </c>
      <c r="B146" s="200" t="s">
        <v>133</v>
      </c>
      <c r="C146" s="200" t="s">
        <v>1245</v>
      </c>
      <c r="D146" s="200" t="str" cm="1">
        <f t="array" ref="D146">IF(tabPostos[[#This Row],[Comarca]]="","",
_xlfn.LET(
_xlpm.MATRIZ_COMARCA, ","&amp;TRIM(UPPER(SUBSTITUTE(SUBSTITUTE(SUBSTITUTE(SUBSTITUTE(SUBSTITUTE(SUBSTITUTE(SUBSTITUTE(SUBSTITUTE(SUBSTITUTE(SUBSTITUTE(SUBSTITUTE(SUBSTITUTE(SUBSTITUTE(SUBSTITUTE(SUBSTITUTE(SUBSTITUTE(SUBSTITUTE(SUBSTITUTE(SUBSTITUTE(SUBSTITUTE(SUBSTITUTE(SUBSTITUTE(SUBSTITUTE(SUBSTITUTE(SUBSTITUTE(SUBSTITUTE(tabSindicatos[ABRANGÊNCIA],"á","a"),"ã","a"),"â","a"),"é","e"),"ê","e"),"í","i"),"ó","o"),"õ","o"),"ô","o"),"ú","u"),"ç","c"),"Á","a"),"Ã","a"),"Â","a"),"É","e"),"Ê","e"),"Í","i"),"Ó","o"),"Õ","o"),"Ô","o"),"Ú","u"),"Ç","c"),"/MG","")," e ",", ")," ",""),".","")))&amp;",",
_xlpm.MATRIZ_FUNCAO, ","&amp;TRIM(UPPER(SUBSTITUTE(SUBSTITUTE(SUBSTITUTE(SUBSTITUTE(SUBSTITUTE(SUBSTITUTE(SUBSTITUTE(SUBSTITUTE(SUBSTITUTE(SUBSTITUTE(SUBSTITUTE(SUBSTITUTE(SUBSTITUTE(SUBSTITUTE(SUBSTITUTE(SUBSTITUTE(SUBSTITUTE(SUBSTITUTE(SUBSTITUTE(SUBSTITUTE(SUBSTITUTE(SUBSTITUTE(SUBSTITUTE(SUBSTITUTE(SUBSTITUTE(tabSindicatos[FUNÇÕES],"á","a"),"ã","a"),"â","a"),"é","e"),"ê","e"),"í","i"),"ó","o"),"õ","o"),"ô","o"),"ú","u"),"ç","c"),"Á","a"),"Ã","a"),"Â","a"),"É","e"),"Ê","e"),"Í","i"),"Ó","o"),"Õ","o"),"Ô","o"),"Ú","u"),"Ç","c")," e ",", ")," ",""),".","")))&amp;",",
IFERROR(_xlfn._xlws.FILTER(tabSindicatos[SINDICATOS],
(ISNUMBER(SEARCH(","&amp;TRIM(UPPER(SUBSTITUTE(tabPostos[[#This Row],[Comarca]]," ","")))&amp;",",_xlpm.MATRIZ_COMARCA,1)))*
(ISNUMBER(SEARCH(","&amp;TRIM(SUBSTITUTE(SUBSTITUTE(SUBSTITUTE(UPPER(tabPostos[[#This Row],[Função]])," E ",", ")," ",""),".",""))&amp;",",_xlpm.MATRIZ_FUNCAO,1)))
),"")
))</f>
        <v>Sethac Norte de Minas</v>
      </c>
      <c r="E146" s="148" t="s">
        <v>9</v>
      </c>
      <c r="F146" s="148" t="s">
        <v>10</v>
      </c>
      <c r="G146" s="148">
        <v>1</v>
      </c>
      <c r="H146" s="148">
        <v>0</v>
      </c>
      <c r="I146" s="216">
        <f>1596.28</f>
        <v>1596.28</v>
      </c>
      <c r="J146" s="247">
        <f>VLOOKUP(tabPostos[[#This Row],[CCT DA CATEGORIA]],'RELAÇÃO SINDICATOS'!A:N,11,0)</f>
        <v>45658</v>
      </c>
      <c r="K146" s="148" t="str">
        <f>VLOOKUP(tabPostos[[#This Row],[CCT DA CATEGORIA]],'RELAÇÃO SINDICATOS'!A:N,12,0)</f>
        <v>-</v>
      </c>
      <c r="L146" s="148" t="str">
        <f>VLOOKUP(tabPostos[[#This Row],[CCT DA CATEGORIA]],'RELAÇÃO SINDICATOS'!A:N,13,0)</f>
        <v>-</v>
      </c>
      <c r="M146" s="148" t="str">
        <f>VLOOKUP(tabPostos[[#This Row],[CCT DA CATEGORIA]],'RELAÇÃO SINDICATOS'!A:N,14,0)</f>
        <v>MG000256/2025</v>
      </c>
    </row>
    <row r="147" spans="1:13" x14ac:dyDescent="0.25">
      <c r="A147" s="148" t="str" cm="1">
        <f t="array" ref="A147">_xlfn.XLOOKUP(tabPostos[[#This Row],[Fonte de Recursos]]&amp;tabPostos[[#This Row],[Classificação]],tabLotacao[Lotacao]&amp;tabLotacao[Tipo],tabLotacao[Codigo Lote],"0")&amp;"."&amp;_xlfn.XLOOKUP(tabPostos[[#This Row],[Comarca]],tabComarca[COMARCA],tabComarca[Codigo Comarca],"000")&amp;"."&amp;_xlfn.XLOOKUP(tabPostos[[#This Row],[Função]],tabCargos[Cargo],tabCargos[Codigo Cargo],"00")</f>
        <v>2.394.06</v>
      </c>
      <c r="B147" s="200" t="s">
        <v>134</v>
      </c>
      <c r="C147" s="200" t="s">
        <v>1245</v>
      </c>
      <c r="D147" s="200" t="str" cm="1">
        <f t="array" ref="D147">IF(tabPostos[[#This Row],[Comarca]]="","",
_xlfn.LET(
_xlpm.MATRIZ_COMARCA, ","&amp;TRIM(UPPER(SUBSTITUTE(SUBSTITUTE(SUBSTITUTE(SUBSTITUTE(SUBSTITUTE(SUBSTITUTE(SUBSTITUTE(SUBSTITUTE(SUBSTITUTE(SUBSTITUTE(SUBSTITUTE(SUBSTITUTE(SUBSTITUTE(SUBSTITUTE(SUBSTITUTE(SUBSTITUTE(SUBSTITUTE(SUBSTITUTE(SUBSTITUTE(SUBSTITUTE(SUBSTITUTE(SUBSTITUTE(SUBSTITUTE(SUBSTITUTE(SUBSTITUTE(SUBSTITUTE(tabSindicatos[ABRANGÊNCIA],"á","a"),"ã","a"),"â","a"),"é","e"),"ê","e"),"í","i"),"ó","o"),"õ","o"),"ô","o"),"ú","u"),"ç","c"),"Á","a"),"Ã","a"),"Â","a"),"É","e"),"Ê","e"),"Í","i"),"Ó","o"),"Õ","o"),"Ô","o"),"Ú","u"),"Ç","c"),"/MG","")," e ",", ")," ",""),".","")))&amp;",",
_xlpm.MATRIZ_FUNCAO, ","&amp;TRIM(UPPER(SUBSTITUTE(SUBSTITUTE(SUBSTITUTE(SUBSTITUTE(SUBSTITUTE(SUBSTITUTE(SUBSTITUTE(SUBSTITUTE(SUBSTITUTE(SUBSTITUTE(SUBSTITUTE(SUBSTITUTE(SUBSTITUTE(SUBSTITUTE(SUBSTITUTE(SUBSTITUTE(SUBSTITUTE(SUBSTITUTE(SUBSTITUTE(SUBSTITUTE(SUBSTITUTE(SUBSTITUTE(SUBSTITUTE(SUBSTITUTE(SUBSTITUTE(tabSindicatos[FUNÇÕES],"á","a"),"ã","a"),"â","a"),"é","e"),"ê","e"),"í","i"),"ó","o"),"õ","o"),"ô","o"),"ú","u"),"ç","c"),"Á","a"),"Ã","a"),"Â","a"),"É","e"),"Ê","e"),"Í","i"),"Ó","o"),"Õ","o"),"Ô","o"),"Ú","u"),"Ç","c")," e ",", ")," ",""),".","")))&amp;",",
IFERROR(_xlfn._xlws.FILTER(tabSindicatos[SINDICATOS],
(ISNUMBER(SEARCH(","&amp;TRIM(UPPER(SUBSTITUTE(tabPostos[[#This Row],[Comarca]]," ","")))&amp;",",_xlpm.MATRIZ_COMARCA,1)))*
(ISNUMBER(SEARCH(","&amp;TRIM(SUBSTITUTE(SUBSTITUTE(SUBSTITUTE(UPPER(tabPostos[[#This Row],[Função]])," E ",", ")," ",""),".",""))&amp;",",_xlpm.MATRIZ_FUNCAO,1)))
),"")
))</f>
        <v>Regiao de Juiz de Fora</v>
      </c>
      <c r="E147" s="148" t="s">
        <v>9</v>
      </c>
      <c r="F147" s="148" t="s">
        <v>10</v>
      </c>
      <c r="G147" s="148">
        <v>1</v>
      </c>
      <c r="H147" s="148">
        <v>0</v>
      </c>
      <c r="I147" s="216">
        <f>1596.28</f>
        <v>1596.28</v>
      </c>
      <c r="J147" s="247">
        <f>VLOOKUP(tabPostos[[#This Row],[CCT DA CATEGORIA]],'RELAÇÃO SINDICATOS'!A:N,11,0)</f>
        <v>45658</v>
      </c>
      <c r="K147" s="148" t="str">
        <f>VLOOKUP(tabPostos[[#This Row],[CCT DA CATEGORIA]],'RELAÇÃO SINDICATOS'!A:N,12,0)</f>
        <v>-</v>
      </c>
      <c r="L147" s="148" t="str">
        <f>VLOOKUP(tabPostos[[#This Row],[CCT DA CATEGORIA]],'RELAÇÃO SINDICATOS'!A:N,13,0)</f>
        <v>-</v>
      </c>
      <c r="M147" s="148" t="str">
        <f>VLOOKUP(tabPostos[[#This Row],[CCT DA CATEGORIA]],'RELAÇÃO SINDICATOS'!A:N,14,0)</f>
        <v>MG000506/2025</v>
      </c>
    </row>
    <row r="148" spans="1:13" x14ac:dyDescent="0.25">
      <c r="A148" s="148" t="str" cm="1">
        <f t="array" ref="A148">_xlfn.XLOOKUP(tabPostos[[#This Row],[Fonte de Recursos]]&amp;tabPostos[[#This Row],[Classificação]],tabLotacao[Lotacao]&amp;tabLotacao[Tipo],tabLotacao[Codigo Lote],"0")&amp;"."&amp;_xlfn.XLOOKUP(tabPostos[[#This Row],[Comarca]],tabComarca[COMARCA],tabComarca[Codigo Comarca],"000")&amp;"."&amp;_xlfn.XLOOKUP(tabPostos[[#This Row],[Função]],tabCargos[Cargo],tabCargos[Codigo Cargo],"00")</f>
        <v>2.395.04</v>
      </c>
      <c r="B148" s="200" t="s">
        <v>135</v>
      </c>
      <c r="C148" s="200" t="s">
        <v>1244</v>
      </c>
      <c r="D148" s="200" t="str" cm="1">
        <f t="array" ref="D148">IF(tabPostos[[#This Row],[Comarca]]="","",
_xlfn.LET(
_xlpm.MATRIZ_COMARCA, ","&amp;TRIM(UPPER(SUBSTITUTE(SUBSTITUTE(SUBSTITUTE(SUBSTITUTE(SUBSTITUTE(SUBSTITUTE(SUBSTITUTE(SUBSTITUTE(SUBSTITUTE(SUBSTITUTE(SUBSTITUTE(SUBSTITUTE(SUBSTITUTE(SUBSTITUTE(SUBSTITUTE(SUBSTITUTE(SUBSTITUTE(SUBSTITUTE(SUBSTITUTE(SUBSTITUTE(SUBSTITUTE(SUBSTITUTE(SUBSTITUTE(SUBSTITUTE(SUBSTITUTE(SUBSTITUTE(tabSindicatos[ABRANGÊNCIA],"á","a"),"ã","a"),"â","a"),"é","e"),"ê","e"),"í","i"),"ó","o"),"õ","o"),"ô","o"),"ú","u"),"ç","c"),"Á","a"),"Ã","a"),"Â","a"),"É","e"),"Ê","e"),"Í","i"),"Ó","o"),"Õ","o"),"Ô","o"),"Ú","u"),"Ç","c"),"/MG","")," e ",", ")," ",""),".","")))&amp;",",
_xlpm.MATRIZ_FUNCAO, ","&amp;TRIM(UPPER(SUBSTITUTE(SUBSTITUTE(SUBSTITUTE(SUBSTITUTE(SUBSTITUTE(SUBSTITUTE(SUBSTITUTE(SUBSTITUTE(SUBSTITUTE(SUBSTITUTE(SUBSTITUTE(SUBSTITUTE(SUBSTITUTE(SUBSTITUTE(SUBSTITUTE(SUBSTITUTE(SUBSTITUTE(SUBSTITUTE(SUBSTITUTE(SUBSTITUTE(SUBSTITUTE(SUBSTITUTE(SUBSTITUTE(SUBSTITUTE(SUBSTITUTE(tabSindicatos[FUNÇÕES],"á","a"),"ã","a"),"â","a"),"é","e"),"ê","e"),"í","i"),"ó","o"),"õ","o"),"ô","o"),"ú","u"),"ç","c"),"Á","a"),"Ã","a"),"Â","a"),"É","e"),"Ê","e"),"Í","i"),"Ó","o"),"Õ","o"),"Ô","o"),"Ú","u"),"Ç","c")," e ",", ")," ",""),".","")))&amp;",",
IFERROR(_xlfn._xlws.FILTER(tabSindicatos[SINDICATOS],
(ISNUMBER(SEARCH(","&amp;TRIM(UPPER(SUBSTITUTE(tabPostos[[#This Row],[Comarca]]," ","")))&amp;",",_xlpm.MATRIZ_COMARCA,1)))*
(ISNUMBER(SEARCH(","&amp;TRIM(SUBSTITUTE(SUBSTITUTE(SUBSTITUTE(UPPER(tabPostos[[#This Row],[Função]])," E ",", ")," ",""),".",""))&amp;",",_xlpm.MATRIZ_FUNCAO,1)))
),"")
))</f>
        <v>Regiao de Ouro Preto</v>
      </c>
      <c r="E148" s="148" t="s">
        <v>9</v>
      </c>
      <c r="F148" s="148" t="s">
        <v>10</v>
      </c>
      <c r="G148" s="148">
        <v>1</v>
      </c>
      <c r="H148" s="148">
        <v>0</v>
      </c>
      <c r="I148" s="216">
        <f>798.14</f>
        <v>798.14</v>
      </c>
      <c r="J148" s="247">
        <f>VLOOKUP(tabPostos[[#This Row],[CCT DA CATEGORIA]],'RELAÇÃO SINDICATOS'!A:N,11,0)</f>
        <v>45658</v>
      </c>
      <c r="K148" s="148" t="str">
        <f>VLOOKUP(tabPostos[[#This Row],[CCT DA CATEGORIA]],'RELAÇÃO SINDICATOS'!A:N,12,0)</f>
        <v>-</v>
      </c>
      <c r="L148" s="148" t="str">
        <f>VLOOKUP(tabPostos[[#This Row],[CCT DA CATEGORIA]],'RELAÇÃO SINDICATOS'!A:N,13,0)</f>
        <v>-</v>
      </c>
      <c r="M148" s="148" t="str">
        <f>VLOOKUP(tabPostos[[#This Row],[CCT DA CATEGORIA]],'RELAÇÃO SINDICATOS'!A:N,14,0)</f>
        <v>MG000212/2025</v>
      </c>
    </row>
    <row r="149" spans="1:13" x14ac:dyDescent="0.25">
      <c r="A149" s="148" t="str" cm="1">
        <f t="array" ref="A149">_xlfn.XLOOKUP(tabPostos[[#This Row],[Fonte de Recursos]]&amp;tabPostos[[#This Row],[Classificação]],tabLotacao[Lotacao]&amp;tabLotacao[Tipo],tabLotacao[Codigo Lote],"0")&amp;"."&amp;_xlfn.XLOOKUP(tabPostos[[#This Row],[Comarca]],tabComarca[COMARCA],tabComarca[Codigo Comarca],"000")&amp;"."&amp;_xlfn.XLOOKUP(tabPostos[[#This Row],[Função]],tabCargos[Cargo],tabCargos[Codigo Cargo],"00")</f>
        <v>2.396.03</v>
      </c>
      <c r="B149" s="200" t="s">
        <v>136</v>
      </c>
      <c r="C149" s="200" t="s">
        <v>1247</v>
      </c>
      <c r="D149" s="200" t="str" cm="1">
        <f t="array" ref="D149">IF(tabPostos[[#This Row],[Comarca]]="","",
_xlfn.LET(
_xlpm.MATRIZ_COMARCA, ","&amp;TRIM(UPPER(SUBSTITUTE(SUBSTITUTE(SUBSTITUTE(SUBSTITUTE(SUBSTITUTE(SUBSTITUTE(SUBSTITUTE(SUBSTITUTE(SUBSTITUTE(SUBSTITUTE(SUBSTITUTE(SUBSTITUTE(SUBSTITUTE(SUBSTITUTE(SUBSTITUTE(SUBSTITUTE(SUBSTITUTE(SUBSTITUTE(SUBSTITUTE(SUBSTITUTE(SUBSTITUTE(SUBSTITUTE(SUBSTITUTE(SUBSTITUTE(SUBSTITUTE(SUBSTITUTE(tabSindicatos[ABRANGÊNCIA],"á","a"),"ã","a"),"â","a"),"é","e"),"ê","e"),"í","i"),"ó","o"),"õ","o"),"ô","o"),"ú","u"),"ç","c"),"Á","a"),"Ã","a"),"Â","a"),"É","e"),"Ê","e"),"Í","i"),"Ó","o"),"Õ","o"),"Ô","o"),"Ú","u"),"Ç","c"),"/MG","")," e ",", ")," ",""),".","")))&amp;",",
_xlpm.MATRIZ_FUNCAO, ","&amp;TRIM(UPPER(SUBSTITUTE(SUBSTITUTE(SUBSTITUTE(SUBSTITUTE(SUBSTITUTE(SUBSTITUTE(SUBSTITUTE(SUBSTITUTE(SUBSTITUTE(SUBSTITUTE(SUBSTITUTE(SUBSTITUTE(SUBSTITUTE(SUBSTITUTE(SUBSTITUTE(SUBSTITUTE(SUBSTITUTE(SUBSTITUTE(SUBSTITUTE(SUBSTITUTE(SUBSTITUTE(SUBSTITUTE(SUBSTITUTE(SUBSTITUTE(SUBSTITUTE(tabSindicatos[FUNÇÕES],"á","a"),"ã","a"),"â","a"),"é","e"),"ê","e"),"í","i"),"ó","o"),"õ","o"),"ô","o"),"ú","u"),"ç","c"),"Á","a"),"Ã","a"),"Â","a"),"É","e"),"Ê","e"),"Í","i"),"Ó","o"),"Õ","o"),"Ô","o"),"Ú","u"),"Ç","c")," e ",", ")," ",""),".","")))&amp;",",
IFERROR(_xlfn._xlws.FILTER(tabSindicatos[SINDICATOS],
(ISNUMBER(SEARCH(","&amp;TRIM(UPPER(SUBSTITUTE(tabPostos[[#This Row],[Comarca]]," ","")))&amp;",",_xlpm.MATRIZ_COMARCA,1)))*
(ISNUMBER(SEARCH(","&amp;TRIM(SUBSTITUTE(SUBSTITUTE(SUBSTITUTE(UPPER(tabPostos[[#This Row],[Função]])," E ",", ")," ",""),".",""))&amp;",",_xlpm.MATRIZ_FUNCAO,1)))
),"")
))</f>
        <v>Fethemg Interior</v>
      </c>
      <c r="E149" s="148" t="s">
        <v>9</v>
      </c>
      <c r="F149" s="148" t="s">
        <v>10</v>
      </c>
      <c r="G149" s="148">
        <v>1</v>
      </c>
      <c r="H149" s="148">
        <v>0</v>
      </c>
      <c r="I149" s="216">
        <f>544.18</f>
        <v>544.17999999999995</v>
      </c>
      <c r="J149" s="247">
        <f>VLOOKUP(tabPostos[[#This Row],[CCT DA CATEGORIA]],'RELAÇÃO SINDICATOS'!A:N,11,0)</f>
        <v>45658</v>
      </c>
      <c r="K149" s="148" t="str">
        <f>VLOOKUP(tabPostos[[#This Row],[CCT DA CATEGORIA]],'RELAÇÃO SINDICATOS'!A:N,12,0)</f>
        <v>-</v>
      </c>
      <c r="L149" s="148" t="str">
        <f>VLOOKUP(tabPostos[[#This Row],[CCT DA CATEGORIA]],'RELAÇÃO SINDICATOS'!A:N,13,0)</f>
        <v>-</v>
      </c>
      <c r="M149" s="148" t="str">
        <f>VLOOKUP(tabPostos[[#This Row],[CCT DA CATEGORIA]],'RELAÇÃO SINDICATOS'!A:N,14,0)</f>
        <v>MG004482/2024</v>
      </c>
    </row>
    <row r="150" spans="1:13" x14ac:dyDescent="0.25">
      <c r="A150" s="148" t="str" cm="1">
        <f t="array" ref="A150">_xlfn.XLOOKUP(tabPostos[[#This Row],[Fonte de Recursos]]&amp;tabPostos[[#This Row],[Classificação]],tabLotacao[Lotacao]&amp;tabLotacao[Tipo],tabLotacao[Codigo Lote],"0")&amp;"."&amp;_xlfn.XLOOKUP(tabPostos[[#This Row],[Comarca]],tabComarca[COMARCA],tabComarca[Codigo Comarca],"000")&amp;"."&amp;_xlfn.XLOOKUP(tabPostos[[#This Row],[Função]],tabCargos[Cargo],tabCargos[Codigo Cargo],"00")</f>
        <v>2.400.04</v>
      </c>
      <c r="B150" s="200" t="s">
        <v>137</v>
      </c>
      <c r="C150" s="200" t="s">
        <v>1244</v>
      </c>
      <c r="D150" s="200" t="str" cm="1">
        <f t="array" ref="D150">IF(tabPostos[[#This Row],[Comarca]]="","",
_xlfn.LET(
_xlpm.MATRIZ_COMARCA, ","&amp;TRIM(UPPER(SUBSTITUTE(SUBSTITUTE(SUBSTITUTE(SUBSTITUTE(SUBSTITUTE(SUBSTITUTE(SUBSTITUTE(SUBSTITUTE(SUBSTITUTE(SUBSTITUTE(SUBSTITUTE(SUBSTITUTE(SUBSTITUTE(SUBSTITUTE(SUBSTITUTE(SUBSTITUTE(SUBSTITUTE(SUBSTITUTE(SUBSTITUTE(SUBSTITUTE(SUBSTITUTE(SUBSTITUTE(SUBSTITUTE(SUBSTITUTE(SUBSTITUTE(SUBSTITUTE(tabSindicatos[ABRANGÊNCIA],"á","a"),"ã","a"),"â","a"),"é","e"),"ê","e"),"í","i"),"ó","o"),"õ","o"),"ô","o"),"ú","u"),"ç","c"),"Á","a"),"Ã","a"),"Â","a"),"É","e"),"Ê","e"),"Í","i"),"Ó","o"),"Õ","o"),"Ô","o"),"Ú","u"),"Ç","c"),"/MG","")," e ",", ")," ",""),".","")))&amp;",",
_xlpm.MATRIZ_FUNCAO, ","&amp;TRIM(UPPER(SUBSTITUTE(SUBSTITUTE(SUBSTITUTE(SUBSTITUTE(SUBSTITUTE(SUBSTITUTE(SUBSTITUTE(SUBSTITUTE(SUBSTITUTE(SUBSTITUTE(SUBSTITUTE(SUBSTITUTE(SUBSTITUTE(SUBSTITUTE(SUBSTITUTE(SUBSTITUTE(SUBSTITUTE(SUBSTITUTE(SUBSTITUTE(SUBSTITUTE(SUBSTITUTE(SUBSTITUTE(SUBSTITUTE(SUBSTITUTE(SUBSTITUTE(tabSindicatos[FUNÇÕES],"á","a"),"ã","a"),"â","a"),"é","e"),"ê","e"),"í","i"),"ó","o"),"õ","o"),"ô","o"),"ú","u"),"ç","c"),"Á","a"),"Ã","a"),"Â","a"),"É","e"),"Ê","e"),"Í","i"),"Ó","o"),"Õ","o"),"Ô","o"),"Ú","u"),"Ç","c")," e ",", ")," ",""),".","")))&amp;",",
IFERROR(_xlfn._xlws.FILTER(tabSindicatos[SINDICATOS],
(ISNUMBER(SEARCH(","&amp;TRIM(UPPER(SUBSTITUTE(tabPostos[[#This Row],[Comarca]]," ","")))&amp;",",_xlpm.MATRIZ_COMARCA,1)))*
(ISNUMBER(SEARCH(","&amp;TRIM(SUBSTITUTE(SUBSTITUTE(SUBSTITUTE(UPPER(tabPostos[[#This Row],[Função]])," E ",", ")," ",""),".",""))&amp;",",_xlpm.MATRIZ_FUNCAO,1)))
),"")
))</f>
        <v>Regiao de Ouro Preto</v>
      </c>
      <c r="E150" s="148" t="s">
        <v>9</v>
      </c>
      <c r="F150" s="148" t="s">
        <v>10</v>
      </c>
      <c r="G150" s="148">
        <v>1</v>
      </c>
      <c r="H150" s="148">
        <v>0</v>
      </c>
      <c r="I150" s="216">
        <f>798.14</f>
        <v>798.14</v>
      </c>
      <c r="J150" s="247">
        <f>VLOOKUP(tabPostos[[#This Row],[CCT DA CATEGORIA]],'RELAÇÃO SINDICATOS'!A:N,11,0)</f>
        <v>45658</v>
      </c>
      <c r="K150" s="148" t="str">
        <f>VLOOKUP(tabPostos[[#This Row],[CCT DA CATEGORIA]],'RELAÇÃO SINDICATOS'!A:N,12,0)</f>
        <v>-</v>
      </c>
      <c r="L150" s="148" t="str">
        <f>VLOOKUP(tabPostos[[#This Row],[CCT DA CATEGORIA]],'RELAÇÃO SINDICATOS'!A:N,13,0)</f>
        <v>-</v>
      </c>
      <c r="M150" s="148" t="str">
        <f>VLOOKUP(tabPostos[[#This Row],[CCT DA CATEGORIA]],'RELAÇÃO SINDICATOS'!A:N,14,0)</f>
        <v>MG000212/2025</v>
      </c>
    </row>
    <row r="151" spans="1:13" x14ac:dyDescent="0.25">
      <c r="A151" s="148" t="str" cm="1">
        <f t="array" ref="A151">_xlfn.XLOOKUP(tabPostos[[#This Row],[Fonte de Recursos]]&amp;tabPostos[[#This Row],[Classificação]],tabLotacao[Lotacao]&amp;tabLotacao[Tipo],tabLotacao[Codigo Lote],"0")&amp;"."&amp;_xlfn.XLOOKUP(tabPostos[[#This Row],[Comarca]],tabComarca[COMARCA],tabComarca[Codigo Comarca],"000")&amp;"."&amp;_xlfn.XLOOKUP(tabPostos[[#This Row],[Função]],tabCargos[Cargo],tabCargos[Codigo Cargo],"00")</f>
        <v>2.405.03</v>
      </c>
      <c r="B151" s="200" t="s">
        <v>138</v>
      </c>
      <c r="C151" s="200" t="s">
        <v>1247</v>
      </c>
      <c r="D151" s="200" t="str" cm="1">
        <f t="array" ref="D151">IF(tabPostos[[#This Row],[Comarca]]="","",
_xlfn.LET(
_xlpm.MATRIZ_COMARCA, ","&amp;TRIM(UPPER(SUBSTITUTE(SUBSTITUTE(SUBSTITUTE(SUBSTITUTE(SUBSTITUTE(SUBSTITUTE(SUBSTITUTE(SUBSTITUTE(SUBSTITUTE(SUBSTITUTE(SUBSTITUTE(SUBSTITUTE(SUBSTITUTE(SUBSTITUTE(SUBSTITUTE(SUBSTITUTE(SUBSTITUTE(SUBSTITUTE(SUBSTITUTE(SUBSTITUTE(SUBSTITUTE(SUBSTITUTE(SUBSTITUTE(SUBSTITUTE(SUBSTITUTE(SUBSTITUTE(tabSindicatos[ABRANGÊNCIA],"á","a"),"ã","a"),"â","a"),"é","e"),"ê","e"),"í","i"),"ó","o"),"õ","o"),"ô","o"),"ú","u"),"ç","c"),"Á","a"),"Ã","a"),"Â","a"),"É","e"),"Ê","e"),"Í","i"),"Ó","o"),"Õ","o"),"Ô","o"),"Ú","u"),"Ç","c"),"/MG","")," e ",", ")," ",""),".","")))&amp;",",
_xlpm.MATRIZ_FUNCAO, ","&amp;TRIM(UPPER(SUBSTITUTE(SUBSTITUTE(SUBSTITUTE(SUBSTITUTE(SUBSTITUTE(SUBSTITUTE(SUBSTITUTE(SUBSTITUTE(SUBSTITUTE(SUBSTITUTE(SUBSTITUTE(SUBSTITUTE(SUBSTITUTE(SUBSTITUTE(SUBSTITUTE(SUBSTITUTE(SUBSTITUTE(SUBSTITUTE(SUBSTITUTE(SUBSTITUTE(SUBSTITUTE(SUBSTITUTE(SUBSTITUTE(SUBSTITUTE(SUBSTITUTE(tabSindicatos[FUNÇÕES],"á","a"),"ã","a"),"â","a"),"é","e"),"ê","e"),"í","i"),"ó","o"),"õ","o"),"ô","o"),"ú","u"),"ç","c"),"Á","a"),"Ã","a"),"Â","a"),"É","e"),"Ê","e"),"Í","i"),"Ó","o"),"Õ","o"),"Ô","o"),"Ú","u"),"Ç","c")," e ",", ")," ",""),".","")))&amp;",",
IFERROR(_xlfn._xlws.FILTER(tabSindicatos[SINDICATOS],
(ISNUMBER(SEARCH(","&amp;TRIM(UPPER(SUBSTITUTE(tabPostos[[#This Row],[Comarca]]," ","")))&amp;",",_xlpm.MATRIZ_COMARCA,1)))*
(ISNUMBER(SEARCH(","&amp;TRIM(SUBSTITUTE(SUBSTITUTE(SUBSTITUTE(UPPER(tabPostos[[#This Row],[Função]])," E ",", ")," ",""),".",""))&amp;",",_xlpm.MATRIZ_FUNCAO,1)))
),"")
))</f>
        <v>Regiao de Divinopolis</v>
      </c>
      <c r="E151" s="148" t="s">
        <v>9</v>
      </c>
      <c r="F151" s="148" t="s">
        <v>10</v>
      </c>
      <c r="G151" s="148">
        <v>1</v>
      </c>
      <c r="H151" s="148">
        <v>0</v>
      </c>
      <c r="I151" s="216">
        <f>544.18</f>
        <v>544.17999999999995</v>
      </c>
      <c r="J151" s="247">
        <f>VLOOKUP(tabPostos[[#This Row],[CCT DA CATEGORIA]],'RELAÇÃO SINDICATOS'!A:N,11,0)</f>
        <v>45658</v>
      </c>
      <c r="K151" s="148" t="str">
        <f>VLOOKUP(tabPostos[[#This Row],[CCT DA CATEGORIA]],'RELAÇÃO SINDICATOS'!A:N,12,0)</f>
        <v>-</v>
      </c>
      <c r="L151" s="148" t="str">
        <f>VLOOKUP(tabPostos[[#This Row],[CCT DA CATEGORIA]],'RELAÇÃO SINDICATOS'!A:N,13,0)</f>
        <v>-</v>
      </c>
      <c r="M151" s="148" t="str">
        <f>VLOOKUP(tabPostos[[#This Row],[CCT DA CATEGORIA]],'RELAÇÃO SINDICATOS'!A:N,14,0)</f>
        <v>MG001011/2025</v>
      </c>
    </row>
    <row r="152" spans="1:13" x14ac:dyDescent="0.25">
      <c r="A152" s="148" t="str" cm="1">
        <f t="array" ref="A152">_xlfn.XLOOKUP(tabPostos[[#This Row],[Fonte de Recursos]]&amp;tabPostos[[#This Row],[Classificação]],tabLotacao[Lotacao]&amp;tabLotacao[Tipo],tabLotacao[Codigo Lote],"0")&amp;"."&amp;_xlfn.XLOOKUP(tabPostos[[#This Row],[Comarca]],tabComarca[COMARCA],tabComarca[Codigo Comarca],"000")&amp;"."&amp;_xlfn.XLOOKUP(tabPostos[[#This Row],[Função]],tabCargos[Cargo],tabCargos[Codigo Cargo],"00")</f>
        <v>2.407.04</v>
      </c>
      <c r="B152" s="200" t="s">
        <v>139</v>
      </c>
      <c r="C152" s="200" t="s">
        <v>1244</v>
      </c>
      <c r="D152" s="200" t="str" cm="1">
        <f t="array" ref="D152">IF(tabPostos[[#This Row],[Comarca]]="","",
_xlfn.LET(
_xlpm.MATRIZ_COMARCA, ","&amp;TRIM(UPPER(SUBSTITUTE(SUBSTITUTE(SUBSTITUTE(SUBSTITUTE(SUBSTITUTE(SUBSTITUTE(SUBSTITUTE(SUBSTITUTE(SUBSTITUTE(SUBSTITUTE(SUBSTITUTE(SUBSTITUTE(SUBSTITUTE(SUBSTITUTE(SUBSTITUTE(SUBSTITUTE(SUBSTITUTE(SUBSTITUTE(SUBSTITUTE(SUBSTITUTE(SUBSTITUTE(SUBSTITUTE(SUBSTITUTE(SUBSTITUTE(SUBSTITUTE(SUBSTITUTE(tabSindicatos[ABRANGÊNCIA],"á","a"),"ã","a"),"â","a"),"é","e"),"ê","e"),"í","i"),"ó","o"),"õ","o"),"ô","o"),"ú","u"),"ç","c"),"Á","a"),"Ã","a"),"Â","a"),"É","e"),"Ê","e"),"Í","i"),"Ó","o"),"Õ","o"),"Ô","o"),"Ú","u"),"Ç","c"),"/MG","")," e ",", ")," ",""),".","")))&amp;",",
_xlpm.MATRIZ_FUNCAO, ","&amp;TRIM(UPPER(SUBSTITUTE(SUBSTITUTE(SUBSTITUTE(SUBSTITUTE(SUBSTITUTE(SUBSTITUTE(SUBSTITUTE(SUBSTITUTE(SUBSTITUTE(SUBSTITUTE(SUBSTITUTE(SUBSTITUTE(SUBSTITUTE(SUBSTITUTE(SUBSTITUTE(SUBSTITUTE(SUBSTITUTE(SUBSTITUTE(SUBSTITUTE(SUBSTITUTE(SUBSTITUTE(SUBSTITUTE(SUBSTITUTE(SUBSTITUTE(SUBSTITUTE(tabSindicatos[FUNÇÕES],"á","a"),"ã","a"),"â","a"),"é","e"),"ê","e"),"í","i"),"ó","o"),"õ","o"),"ô","o"),"ú","u"),"ç","c"),"Á","a"),"Ã","a"),"Â","a"),"É","e"),"Ê","e"),"Í","i"),"Ó","o"),"Õ","o"),"Ô","o"),"Ú","u"),"Ç","c")," e ",", ")," ",""),".","")))&amp;",",
IFERROR(_xlfn._xlws.FILTER(tabSindicatos[SINDICATOS],
(ISNUMBER(SEARCH(","&amp;TRIM(UPPER(SUBSTITUTE(tabPostos[[#This Row],[Comarca]]," ","")))&amp;",",_xlpm.MATRIZ_COMARCA,1)))*
(ISNUMBER(SEARCH(","&amp;TRIM(SUBSTITUTE(SUBSTITUTE(SUBSTITUTE(UPPER(tabPostos[[#This Row],[Função]])," E ",", ")," ",""),".",""))&amp;",",_xlpm.MATRIZ_FUNCAO,1)))
),"")
))</f>
        <v>Sind - Asseio</v>
      </c>
      <c r="E152" s="148" t="s">
        <v>9</v>
      </c>
      <c r="F152" s="148" t="s">
        <v>10</v>
      </c>
      <c r="G152" s="148">
        <v>1</v>
      </c>
      <c r="H152" s="148">
        <v>0</v>
      </c>
      <c r="I152" s="216">
        <f>824.56</f>
        <v>824.56</v>
      </c>
      <c r="J152" s="247">
        <f>VLOOKUP(tabPostos[[#This Row],[CCT DA CATEGORIA]],'RELAÇÃO SINDICATOS'!A:N,11,0)</f>
        <v>45658</v>
      </c>
      <c r="K152" s="148" t="str">
        <f>VLOOKUP(tabPostos[[#This Row],[CCT DA CATEGORIA]],'RELAÇÃO SINDICATOS'!A:N,12,0)</f>
        <v>-</v>
      </c>
      <c r="L152" s="148" t="str">
        <f>VLOOKUP(tabPostos[[#This Row],[CCT DA CATEGORIA]],'RELAÇÃO SINDICATOS'!A:N,13,0)</f>
        <v>-</v>
      </c>
      <c r="M152" s="148" t="str">
        <f>VLOOKUP(tabPostos[[#This Row],[CCT DA CATEGORIA]],'RELAÇÃO SINDICATOS'!A:N,14,0)</f>
        <v>MG000016/2025</v>
      </c>
    </row>
    <row r="153" spans="1:13" x14ac:dyDescent="0.25">
      <c r="A153" s="148" t="str" cm="1">
        <f t="array" ref="A153">_xlfn.XLOOKUP(tabPostos[[#This Row],[Fonte de Recursos]]&amp;tabPostos[[#This Row],[Classificação]],tabLotacao[Lotacao]&amp;tabLotacao[Tipo],tabLotacao[Codigo Lote],"0")&amp;"."&amp;_xlfn.XLOOKUP(tabPostos[[#This Row],[Comarca]],tabComarca[COMARCA],tabComarca[Codigo Comarca],"000")&amp;"."&amp;_xlfn.XLOOKUP(tabPostos[[#This Row],[Função]],tabCargos[Cargo],tabCargos[Codigo Cargo],"00")</f>
        <v>2.408.03</v>
      </c>
      <c r="B153" s="200" t="s">
        <v>140</v>
      </c>
      <c r="C153" s="200" t="s">
        <v>1247</v>
      </c>
      <c r="D153" s="200" t="str" cm="1">
        <f t="array" ref="D153">IF(tabPostos[[#This Row],[Comarca]]="","",
_xlfn.LET(
_xlpm.MATRIZ_COMARCA, ","&amp;TRIM(UPPER(SUBSTITUTE(SUBSTITUTE(SUBSTITUTE(SUBSTITUTE(SUBSTITUTE(SUBSTITUTE(SUBSTITUTE(SUBSTITUTE(SUBSTITUTE(SUBSTITUTE(SUBSTITUTE(SUBSTITUTE(SUBSTITUTE(SUBSTITUTE(SUBSTITUTE(SUBSTITUTE(SUBSTITUTE(SUBSTITUTE(SUBSTITUTE(SUBSTITUTE(SUBSTITUTE(SUBSTITUTE(SUBSTITUTE(SUBSTITUTE(SUBSTITUTE(SUBSTITUTE(tabSindicatos[ABRANGÊNCIA],"á","a"),"ã","a"),"â","a"),"é","e"),"ê","e"),"í","i"),"ó","o"),"õ","o"),"ô","o"),"ú","u"),"ç","c"),"Á","a"),"Ã","a"),"Â","a"),"É","e"),"Ê","e"),"Í","i"),"Ó","o"),"Õ","o"),"Ô","o"),"Ú","u"),"Ç","c"),"/MG","")," e ",", ")," ",""),".","")))&amp;",",
_xlpm.MATRIZ_FUNCAO, ","&amp;TRIM(UPPER(SUBSTITUTE(SUBSTITUTE(SUBSTITUTE(SUBSTITUTE(SUBSTITUTE(SUBSTITUTE(SUBSTITUTE(SUBSTITUTE(SUBSTITUTE(SUBSTITUTE(SUBSTITUTE(SUBSTITUTE(SUBSTITUTE(SUBSTITUTE(SUBSTITUTE(SUBSTITUTE(SUBSTITUTE(SUBSTITUTE(SUBSTITUTE(SUBSTITUTE(SUBSTITUTE(SUBSTITUTE(SUBSTITUTE(SUBSTITUTE(SUBSTITUTE(tabSindicatos[FUNÇÕES],"á","a"),"ã","a"),"â","a"),"é","e"),"ê","e"),"í","i"),"ó","o"),"õ","o"),"ô","o"),"ú","u"),"ç","c"),"Á","a"),"Ã","a"),"Â","a"),"É","e"),"Ê","e"),"Í","i"),"Ó","o"),"Õ","o"),"Ô","o"),"Ú","u"),"Ç","c")," e ",", ")," ",""),".","")))&amp;",",
IFERROR(_xlfn._xlws.FILTER(tabSindicatos[SINDICATOS],
(ISNUMBER(SEARCH(","&amp;TRIM(UPPER(SUBSTITUTE(tabPostos[[#This Row],[Comarca]]," ","")))&amp;",",_xlpm.MATRIZ_COMARCA,1)))*
(ISNUMBER(SEARCH(","&amp;TRIM(SUBSTITUTE(SUBSTITUTE(SUBSTITUTE(UPPER(tabPostos[[#This Row],[Função]])," E ",", ")," ",""),".",""))&amp;",",_xlpm.MATRIZ_FUNCAO,1)))
),"")
))</f>
        <v>Regiao de Juiz de Fora</v>
      </c>
      <c r="E153" s="148" t="s">
        <v>9</v>
      </c>
      <c r="F153" s="148" t="s">
        <v>10</v>
      </c>
      <c r="G153" s="148">
        <v>1</v>
      </c>
      <c r="H153" s="148">
        <v>0</v>
      </c>
      <c r="I153" s="216">
        <f>544.18</f>
        <v>544.17999999999995</v>
      </c>
      <c r="J153" s="247">
        <f>VLOOKUP(tabPostos[[#This Row],[CCT DA CATEGORIA]],'RELAÇÃO SINDICATOS'!A:N,11,0)</f>
        <v>45658</v>
      </c>
      <c r="K153" s="148" t="str">
        <f>VLOOKUP(tabPostos[[#This Row],[CCT DA CATEGORIA]],'RELAÇÃO SINDICATOS'!A:N,12,0)</f>
        <v>-</v>
      </c>
      <c r="L153" s="148" t="str">
        <f>VLOOKUP(tabPostos[[#This Row],[CCT DA CATEGORIA]],'RELAÇÃO SINDICATOS'!A:N,13,0)</f>
        <v>-</v>
      </c>
      <c r="M153" s="148" t="str">
        <f>VLOOKUP(tabPostos[[#This Row],[CCT DA CATEGORIA]],'RELAÇÃO SINDICATOS'!A:N,14,0)</f>
        <v>MG000506/2025</v>
      </c>
    </row>
    <row r="154" spans="1:13" x14ac:dyDescent="0.25">
      <c r="A154" s="148" t="str" cm="1">
        <f t="array" ref="A154">_xlfn.XLOOKUP(tabPostos[[#This Row],[Fonte de Recursos]]&amp;tabPostos[[#This Row],[Classificação]],tabLotacao[Lotacao]&amp;tabLotacao[Tipo],tabLotacao[Codigo Lote],"0")&amp;"."&amp;_xlfn.XLOOKUP(tabPostos[[#This Row],[Comarca]],tabComarca[COMARCA],tabComarca[Codigo Comarca],"000")&amp;"."&amp;_xlfn.XLOOKUP(tabPostos[[#This Row],[Função]],tabCargos[Cargo],tabCargos[Codigo Cargo],"00")</f>
        <v>2.411.06</v>
      </c>
      <c r="B154" s="200" t="s">
        <v>141</v>
      </c>
      <c r="C154" s="200" t="s">
        <v>1245</v>
      </c>
      <c r="D154" s="200" t="str" cm="1">
        <f t="array" ref="D154">IF(tabPostos[[#This Row],[Comarca]]="","",
_xlfn.LET(
_xlpm.MATRIZ_COMARCA, ","&amp;TRIM(UPPER(SUBSTITUTE(SUBSTITUTE(SUBSTITUTE(SUBSTITUTE(SUBSTITUTE(SUBSTITUTE(SUBSTITUTE(SUBSTITUTE(SUBSTITUTE(SUBSTITUTE(SUBSTITUTE(SUBSTITUTE(SUBSTITUTE(SUBSTITUTE(SUBSTITUTE(SUBSTITUTE(SUBSTITUTE(SUBSTITUTE(SUBSTITUTE(SUBSTITUTE(SUBSTITUTE(SUBSTITUTE(SUBSTITUTE(SUBSTITUTE(SUBSTITUTE(SUBSTITUTE(tabSindicatos[ABRANGÊNCIA],"á","a"),"ã","a"),"â","a"),"é","e"),"ê","e"),"í","i"),"ó","o"),"õ","o"),"ô","o"),"ú","u"),"ç","c"),"Á","a"),"Ã","a"),"Â","a"),"É","e"),"Ê","e"),"Í","i"),"Ó","o"),"Õ","o"),"Ô","o"),"Ú","u"),"Ç","c"),"/MG","")," e ",", ")," ",""),".","")))&amp;",",
_xlpm.MATRIZ_FUNCAO, ","&amp;TRIM(UPPER(SUBSTITUTE(SUBSTITUTE(SUBSTITUTE(SUBSTITUTE(SUBSTITUTE(SUBSTITUTE(SUBSTITUTE(SUBSTITUTE(SUBSTITUTE(SUBSTITUTE(SUBSTITUTE(SUBSTITUTE(SUBSTITUTE(SUBSTITUTE(SUBSTITUTE(SUBSTITUTE(SUBSTITUTE(SUBSTITUTE(SUBSTITUTE(SUBSTITUTE(SUBSTITUTE(SUBSTITUTE(SUBSTITUTE(SUBSTITUTE(SUBSTITUTE(tabSindicatos[FUNÇÕES],"á","a"),"ã","a"),"â","a"),"é","e"),"ê","e"),"í","i"),"ó","o"),"õ","o"),"ô","o"),"ú","u"),"ç","c"),"Á","a"),"Ã","a"),"Â","a"),"É","e"),"Ê","e"),"Í","i"),"Ó","o"),"Õ","o"),"Ô","o"),"Ú","u"),"Ç","c")," e ",", ")," ",""),".","")))&amp;",",
IFERROR(_xlfn._xlws.FILTER(tabSindicatos[SINDICATOS],
(ISNUMBER(SEARCH(","&amp;TRIM(UPPER(SUBSTITUTE(tabPostos[[#This Row],[Comarca]]," ","")))&amp;",",_xlpm.MATRIZ_COMARCA,1)))*
(ISNUMBER(SEARCH(","&amp;TRIM(SUBSTITUTE(SUBSTITUTE(SUBSTITUTE(UPPER(tabPostos[[#This Row],[Função]])," E ",", ")," ",""),".",""))&amp;",",_xlpm.MATRIZ_FUNCAO,1)))
),"")
))</f>
        <v>Sind - Asseio</v>
      </c>
      <c r="E154" s="148" t="s">
        <v>9</v>
      </c>
      <c r="F154" s="148" t="s">
        <v>10</v>
      </c>
      <c r="G154" s="148">
        <v>1</v>
      </c>
      <c r="H154" s="148">
        <v>0</v>
      </c>
      <c r="I154" s="216">
        <f>1649.12</f>
        <v>1649.12</v>
      </c>
      <c r="J154" s="247">
        <f>VLOOKUP(tabPostos[[#This Row],[CCT DA CATEGORIA]],'RELAÇÃO SINDICATOS'!A:N,11,0)</f>
        <v>45658</v>
      </c>
      <c r="K154" s="148" t="str">
        <f>VLOOKUP(tabPostos[[#This Row],[CCT DA CATEGORIA]],'RELAÇÃO SINDICATOS'!A:N,12,0)</f>
        <v>-</v>
      </c>
      <c r="L154" s="148" t="str">
        <f>VLOOKUP(tabPostos[[#This Row],[CCT DA CATEGORIA]],'RELAÇÃO SINDICATOS'!A:N,13,0)</f>
        <v>-</v>
      </c>
      <c r="M154" s="148" t="str">
        <f>VLOOKUP(tabPostos[[#This Row],[CCT DA CATEGORIA]],'RELAÇÃO SINDICATOS'!A:N,14,0)</f>
        <v>MG000016/2025</v>
      </c>
    </row>
    <row r="155" spans="1:13" x14ac:dyDescent="0.25">
      <c r="A155" s="148" t="str" cm="1">
        <f t="array" ref="A155">_xlfn.XLOOKUP(tabPostos[[#This Row],[Fonte de Recursos]]&amp;tabPostos[[#This Row],[Classificação]],tabLotacao[Lotacao]&amp;tabLotacao[Tipo],tabLotacao[Codigo Lote],"0")&amp;"."&amp;_xlfn.XLOOKUP(tabPostos[[#This Row],[Comarca]],tabComarca[COMARCA],tabComarca[Codigo Comarca],"000")&amp;"."&amp;_xlfn.XLOOKUP(tabPostos[[#This Row],[Função]],tabCargos[Cargo],tabCargos[Codigo Cargo],"00")</f>
        <v>2.418.03</v>
      </c>
      <c r="B155" s="200" t="s">
        <v>142</v>
      </c>
      <c r="C155" s="200" t="s">
        <v>1247</v>
      </c>
      <c r="D155" s="200" t="str" cm="1">
        <f t="array" ref="D155">IF(tabPostos[[#This Row],[Comarca]]="","",
_xlfn.LET(
_xlpm.MATRIZ_COMARCA, ","&amp;TRIM(UPPER(SUBSTITUTE(SUBSTITUTE(SUBSTITUTE(SUBSTITUTE(SUBSTITUTE(SUBSTITUTE(SUBSTITUTE(SUBSTITUTE(SUBSTITUTE(SUBSTITUTE(SUBSTITUTE(SUBSTITUTE(SUBSTITUTE(SUBSTITUTE(SUBSTITUTE(SUBSTITUTE(SUBSTITUTE(SUBSTITUTE(SUBSTITUTE(SUBSTITUTE(SUBSTITUTE(SUBSTITUTE(SUBSTITUTE(SUBSTITUTE(SUBSTITUTE(SUBSTITUTE(tabSindicatos[ABRANGÊNCIA],"á","a"),"ã","a"),"â","a"),"é","e"),"ê","e"),"í","i"),"ó","o"),"õ","o"),"ô","o"),"ú","u"),"ç","c"),"Á","a"),"Ã","a"),"Â","a"),"É","e"),"Ê","e"),"Í","i"),"Ó","o"),"Õ","o"),"Ô","o"),"Ú","u"),"Ç","c"),"/MG","")," e ",", ")," ",""),".","")))&amp;",",
_xlpm.MATRIZ_FUNCAO, ","&amp;TRIM(UPPER(SUBSTITUTE(SUBSTITUTE(SUBSTITUTE(SUBSTITUTE(SUBSTITUTE(SUBSTITUTE(SUBSTITUTE(SUBSTITUTE(SUBSTITUTE(SUBSTITUTE(SUBSTITUTE(SUBSTITUTE(SUBSTITUTE(SUBSTITUTE(SUBSTITUTE(SUBSTITUTE(SUBSTITUTE(SUBSTITUTE(SUBSTITUTE(SUBSTITUTE(SUBSTITUTE(SUBSTITUTE(SUBSTITUTE(SUBSTITUTE(SUBSTITUTE(tabSindicatos[FUNÇÕES],"á","a"),"ã","a"),"â","a"),"é","e"),"ê","e"),"í","i"),"ó","o"),"õ","o"),"ô","o"),"ú","u"),"ç","c"),"Á","a"),"Ã","a"),"Â","a"),"É","e"),"Ê","e"),"Í","i"),"Ó","o"),"Õ","o"),"Ô","o"),"Ú","u"),"Ç","c")," e ",", ")," ",""),".","")))&amp;",",
IFERROR(_xlfn._xlws.FILTER(tabSindicatos[SINDICATOS],
(ISNUMBER(SEARCH(","&amp;TRIM(UPPER(SUBSTITUTE(tabPostos[[#This Row],[Comarca]]," ","")))&amp;",",_xlpm.MATRIZ_COMARCA,1)))*
(ISNUMBER(SEARCH(","&amp;TRIM(SUBSTITUTE(SUBSTITUTE(SUBSTITUTE(UPPER(tabPostos[[#This Row],[Função]])," E ",", ")," ",""),".",""))&amp;",",_xlpm.MATRIZ_FUNCAO,1)))
),"")
))</f>
        <v>Fethemg Interior</v>
      </c>
      <c r="E155" s="148" t="s">
        <v>9</v>
      </c>
      <c r="F155" s="148" t="s">
        <v>10</v>
      </c>
      <c r="G155" s="148">
        <v>1</v>
      </c>
      <c r="H155" s="148">
        <v>0</v>
      </c>
      <c r="I155" s="216">
        <f>544.18</f>
        <v>544.17999999999995</v>
      </c>
      <c r="J155" s="247">
        <f>VLOOKUP(tabPostos[[#This Row],[CCT DA CATEGORIA]],'RELAÇÃO SINDICATOS'!A:N,11,0)</f>
        <v>45658</v>
      </c>
      <c r="K155" s="148" t="str">
        <f>VLOOKUP(tabPostos[[#This Row],[CCT DA CATEGORIA]],'RELAÇÃO SINDICATOS'!A:N,12,0)</f>
        <v>-</v>
      </c>
      <c r="L155" s="148" t="str">
        <f>VLOOKUP(tabPostos[[#This Row],[CCT DA CATEGORIA]],'RELAÇÃO SINDICATOS'!A:N,13,0)</f>
        <v>-</v>
      </c>
      <c r="M155" s="148" t="str">
        <f>VLOOKUP(tabPostos[[#This Row],[CCT DA CATEGORIA]],'RELAÇÃO SINDICATOS'!A:N,14,0)</f>
        <v>MG004482/2024</v>
      </c>
    </row>
    <row r="156" spans="1:13" x14ac:dyDescent="0.25">
      <c r="A156" s="148" t="str" cm="1">
        <f t="array" ref="A156">_xlfn.XLOOKUP(tabPostos[[#This Row],[Fonte de Recursos]]&amp;tabPostos[[#This Row],[Classificação]],tabLotacao[Lotacao]&amp;tabLotacao[Tipo],tabLotacao[Codigo Lote],"0")&amp;"."&amp;_xlfn.XLOOKUP(tabPostos[[#This Row],[Comarca]],tabComarca[COMARCA],tabComarca[Codigo Comarca],"000")&amp;"."&amp;_xlfn.XLOOKUP(tabPostos[[#This Row],[Função]],tabCargos[Cargo],tabCargos[Codigo Cargo],"00")</f>
        <v>2.421.03</v>
      </c>
      <c r="B156" s="200" t="s">
        <v>143</v>
      </c>
      <c r="C156" s="200" t="s">
        <v>1247</v>
      </c>
      <c r="D156" s="200" t="str" cm="1">
        <f t="array" ref="D156">IF(tabPostos[[#This Row],[Comarca]]="","",
_xlfn.LET(
_xlpm.MATRIZ_COMARCA, ","&amp;TRIM(UPPER(SUBSTITUTE(SUBSTITUTE(SUBSTITUTE(SUBSTITUTE(SUBSTITUTE(SUBSTITUTE(SUBSTITUTE(SUBSTITUTE(SUBSTITUTE(SUBSTITUTE(SUBSTITUTE(SUBSTITUTE(SUBSTITUTE(SUBSTITUTE(SUBSTITUTE(SUBSTITUTE(SUBSTITUTE(SUBSTITUTE(SUBSTITUTE(SUBSTITUTE(SUBSTITUTE(SUBSTITUTE(SUBSTITUTE(SUBSTITUTE(SUBSTITUTE(SUBSTITUTE(tabSindicatos[ABRANGÊNCIA],"á","a"),"ã","a"),"â","a"),"é","e"),"ê","e"),"í","i"),"ó","o"),"õ","o"),"ô","o"),"ú","u"),"ç","c"),"Á","a"),"Ã","a"),"Â","a"),"É","e"),"Ê","e"),"Í","i"),"Ó","o"),"Õ","o"),"Ô","o"),"Ú","u"),"Ç","c"),"/MG","")," e ",", ")," ",""),".","")))&amp;",",
_xlpm.MATRIZ_FUNCAO, ","&amp;TRIM(UPPER(SUBSTITUTE(SUBSTITUTE(SUBSTITUTE(SUBSTITUTE(SUBSTITUTE(SUBSTITUTE(SUBSTITUTE(SUBSTITUTE(SUBSTITUTE(SUBSTITUTE(SUBSTITUTE(SUBSTITUTE(SUBSTITUTE(SUBSTITUTE(SUBSTITUTE(SUBSTITUTE(SUBSTITUTE(SUBSTITUTE(SUBSTITUTE(SUBSTITUTE(SUBSTITUTE(SUBSTITUTE(SUBSTITUTE(SUBSTITUTE(SUBSTITUTE(tabSindicatos[FUNÇÕES],"á","a"),"ã","a"),"â","a"),"é","e"),"ê","e"),"í","i"),"ó","o"),"õ","o"),"ô","o"),"ú","u"),"ç","c"),"Á","a"),"Ã","a"),"Â","a"),"É","e"),"Ê","e"),"Í","i"),"Ó","o"),"Õ","o"),"Ô","o"),"Ú","u"),"Ç","c")," e ",", ")," ",""),".","")))&amp;",",
IFERROR(_xlfn._xlws.FILTER(tabSindicatos[SINDICATOS],
(ISNUMBER(SEARCH(","&amp;TRIM(UPPER(SUBSTITUTE(tabPostos[[#This Row],[Comarca]]," ","")))&amp;",",_xlpm.MATRIZ_COMARCA,1)))*
(ISNUMBER(SEARCH(","&amp;TRIM(SUBSTITUTE(SUBSTITUTE(SUBSTITUTE(UPPER(tabPostos[[#This Row],[Função]])," E ",", ")," ",""),".",""))&amp;",",_xlpm.MATRIZ_FUNCAO,1)))
),"")
))</f>
        <v>Regiao de Juiz de Fora</v>
      </c>
      <c r="E156" s="148" t="s">
        <v>9</v>
      </c>
      <c r="F156" s="148" t="s">
        <v>10</v>
      </c>
      <c r="G156" s="148">
        <v>1</v>
      </c>
      <c r="H156" s="148">
        <v>0</v>
      </c>
      <c r="I156" s="216">
        <f>544.18</f>
        <v>544.17999999999995</v>
      </c>
      <c r="J156" s="247">
        <f>VLOOKUP(tabPostos[[#This Row],[CCT DA CATEGORIA]],'RELAÇÃO SINDICATOS'!A:N,11,0)</f>
        <v>45658</v>
      </c>
      <c r="K156" s="148" t="str">
        <f>VLOOKUP(tabPostos[[#This Row],[CCT DA CATEGORIA]],'RELAÇÃO SINDICATOS'!A:N,12,0)</f>
        <v>-</v>
      </c>
      <c r="L156" s="148" t="str">
        <f>VLOOKUP(tabPostos[[#This Row],[CCT DA CATEGORIA]],'RELAÇÃO SINDICATOS'!A:N,13,0)</f>
        <v>-</v>
      </c>
      <c r="M156" s="148" t="str">
        <f>VLOOKUP(tabPostos[[#This Row],[CCT DA CATEGORIA]],'RELAÇÃO SINDICATOS'!A:N,14,0)</f>
        <v>MG000506/2025</v>
      </c>
    </row>
    <row r="157" spans="1:13" x14ac:dyDescent="0.25">
      <c r="A157" s="148" t="str" cm="1">
        <f t="array" ref="A157">_xlfn.XLOOKUP(tabPostos[[#This Row],[Fonte de Recursos]]&amp;tabPostos[[#This Row],[Classificação]],tabLotacao[Lotacao]&amp;tabLotacao[Tipo],tabLotacao[Codigo Lote],"0")&amp;"."&amp;_xlfn.XLOOKUP(tabPostos[[#This Row],[Comarca]],tabComarca[COMARCA],tabComarca[Codigo Comarca],"000")&amp;"."&amp;_xlfn.XLOOKUP(tabPostos[[#This Row],[Função]],tabCargos[Cargo],tabCargos[Codigo Cargo],"00")</f>
        <v>2.422.03</v>
      </c>
      <c r="B157" s="200" t="s">
        <v>144</v>
      </c>
      <c r="C157" s="200" t="s">
        <v>1247</v>
      </c>
      <c r="D157" s="200" t="str" cm="1">
        <f t="array" ref="D157">IF(tabPostos[[#This Row],[Comarca]]="","",
_xlfn.LET(
_xlpm.MATRIZ_COMARCA, ","&amp;TRIM(UPPER(SUBSTITUTE(SUBSTITUTE(SUBSTITUTE(SUBSTITUTE(SUBSTITUTE(SUBSTITUTE(SUBSTITUTE(SUBSTITUTE(SUBSTITUTE(SUBSTITUTE(SUBSTITUTE(SUBSTITUTE(SUBSTITUTE(SUBSTITUTE(SUBSTITUTE(SUBSTITUTE(SUBSTITUTE(SUBSTITUTE(SUBSTITUTE(SUBSTITUTE(SUBSTITUTE(SUBSTITUTE(SUBSTITUTE(SUBSTITUTE(SUBSTITUTE(SUBSTITUTE(tabSindicatos[ABRANGÊNCIA],"á","a"),"ã","a"),"â","a"),"é","e"),"ê","e"),"í","i"),"ó","o"),"õ","o"),"ô","o"),"ú","u"),"ç","c"),"Á","a"),"Ã","a"),"Â","a"),"É","e"),"Ê","e"),"Í","i"),"Ó","o"),"Õ","o"),"Ô","o"),"Ú","u"),"Ç","c"),"/MG","")," e ",", ")," ",""),".","")))&amp;",",
_xlpm.MATRIZ_FUNCAO, ","&amp;TRIM(UPPER(SUBSTITUTE(SUBSTITUTE(SUBSTITUTE(SUBSTITUTE(SUBSTITUTE(SUBSTITUTE(SUBSTITUTE(SUBSTITUTE(SUBSTITUTE(SUBSTITUTE(SUBSTITUTE(SUBSTITUTE(SUBSTITUTE(SUBSTITUTE(SUBSTITUTE(SUBSTITUTE(SUBSTITUTE(SUBSTITUTE(SUBSTITUTE(SUBSTITUTE(SUBSTITUTE(SUBSTITUTE(SUBSTITUTE(SUBSTITUTE(SUBSTITUTE(tabSindicatos[FUNÇÕES],"á","a"),"ã","a"),"â","a"),"é","e"),"ê","e"),"í","i"),"ó","o"),"õ","o"),"ô","o"),"ú","u"),"ç","c"),"Á","a"),"Ã","a"),"Â","a"),"É","e"),"Ê","e"),"Í","i"),"Ó","o"),"Õ","o"),"Ô","o"),"Ú","u"),"Ç","c")," e ",", ")," ",""),".","")))&amp;",",
IFERROR(_xlfn._xlws.FILTER(tabSindicatos[SINDICATOS],
(ISNUMBER(SEARCH(","&amp;TRIM(UPPER(SUBSTITUTE(tabPostos[[#This Row],[Comarca]]," ","")))&amp;",",_xlpm.MATRIZ_COMARCA,1)))*
(ISNUMBER(SEARCH(","&amp;TRIM(SUBSTITUTE(SUBSTITUTE(SUBSTITUTE(UPPER(tabPostos[[#This Row],[Função]])," E ",", ")," ",""),".",""))&amp;",",_xlpm.MATRIZ_FUNCAO,1)))
),"")
))</f>
        <v>Regiao de Juiz de Fora</v>
      </c>
      <c r="E157" s="148" t="s">
        <v>9</v>
      </c>
      <c r="F157" s="148" t="s">
        <v>10</v>
      </c>
      <c r="G157" s="148">
        <v>1</v>
      </c>
      <c r="H157" s="148">
        <v>0</v>
      </c>
      <c r="I157" s="216">
        <f>544.18</f>
        <v>544.17999999999995</v>
      </c>
      <c r="J157" s="247">
        <f>VLOOKUP(tabPostos[[#This Row],[CCT DA CATEGORIA]],'RELAÇÃO SINDICATOS'!A:N,11,0)</f>
        <v>45658</v>
      </c>
      <c r="K157" s="148" t="str">
        <f>VLOOKUP(tabPostos[[#This Row],[CCT DA CATEGORIA]],'RELAÇÃO SINDICATOS'!A:N,12,0)</f>
        <v>-</v>
      </c>
      <c r="L157" s="148" t="str">
        <f>VLOOKUP(tabPostos[[#This Row],[CCT DA CATEGORIA]],'RELAÇÃO SINDICATOS'!A:N,13,0)</f>
        <v>-</v>
      </c>
      <c r="M157" s="148" t="str">
        <f>VLOOKUP(tabPostos[[#This Row],[CCT DA CATEGORIA]],'RELAÇÃO SINDICATOS'!A:N,14,0)</f>
        <v>MG000506/2025</v>
      </c>
    </row>
    <row r="158" spans="1:13" x14ac:dyDescent="0.25">
      <c r="A158" s="148" t="str" cm="1">
        <f t="array" ref="A158">_xlfn.XLOOKUP(tabPostos[[#This Row],[Fonte de Recursos]]&amp;tabPostos[[#This Row],[Classificação]],tabLotacao[Lotacao]&amp;tabLotacao[Tipo],tabLotacao[Codigo Lote],"0")&amp;"."&amp;_xlfn.XLOOKUP(tabPostos[[#This Row],[Comarca]],tabComarca[COMARCA],tabComarca[Codigo Comarca],"000")&amp;"."&amp;_xlfn.XLOOKUP(tabPostos[[#This Row],[Função]],tabCargos[Cargo],tabCargos[Codigo Cargo],"00")</f>
        <v>2.429.03</v>
      </c>
      <c r="B158" s="200" t="s">
        <v>145</v>
      </c>
      <c r="C158" s="200" t="s">
        <v>1247</v>
      </c>
      <c r="D158" s="200" t="str" cm="1">
        <f t="array" ref="D158">IF(tabPostos[[#This Row],[Comarca]]="","",
_xlfn.LET(
_xlpm.MATRIZ_COMARCA, ","&amp;TRIM(UPPER(SUBSTITUTE(SUBSTITUTE(SUBSTITUTE(SUBSTITUTE(SUBSTITUTE(SUBSTITUTE(SUBSTITUTE(SUBSTITUTE(SUBSTITUTE(SUBSTITUTE(SUBSTITUTE(SUBSTITUTE(SUBSTITUTE(SUBSTITUTE(SUBSTITUTE(SUBSTITUTE(SUBSTITUTE(SUBSTITUTE(SUBSTITUTE(SUBSTITUTE(SUBSTITUTE(SUBSTITUTE(SUBSTITUTE(SUBSTITUTE(SUBSTITUTE(SUBSTITUTE(tabSindicatos[ABRANGÊNCIA],"á","a"),"ã","a"),"â","a"),"é","e"),"ê","e"),"í","i"),"ó","o"),"õ","o"),"ô","o"),"ú","u"),"ç","c"),"Á","a"),"Ã","a"),"Â","a"),"É","e"),"Ê","e"),"Í","i"),"Ó","o"),"Õ","o"),"Ô","o"),"Ú","u"),"Ç","c"),"/MG","")," e ",", ")," ",""),".","")))&amp;",",
_xlpm.MATRIZ_FUNCAO, ","&amp;TRIM(UPPER(SUBSTITUTE(SUBSTITUTE(SUBSTITUTE(SUBSTITUTE(SUBSTITUTE(SUBSTITUTE(SUBSTITUTE(SUBSTITUTE(SUBSTITUTE(SUBSTITUTE(SUBSTITUTE(SUBSTITUTE(SUBSTITUTE(SUBSTITUTE(SUBSTITUTE(SUBSTITUTE(SUBSTITUTE(SUBSTITUTE(SUBSTITUTE(SUBSTITUTE(SUBSTITUTE(SUBSTITUTE(SUBSTITUTE(SUBSTITUTE(SUBSTITUTE(tabSindicatos[FUNÇÕES],"á","a"),"ã","a"),"â","a"),"é","e"),"ê","e"),"í","i"),"ó","o"),"õ","o"),"ô","o"),"ú","u"),"ç","c"),"Á","a"),"Ã","a"),"Â","a"),"É","e"),"Ê","e"),"Í","i"),"Ó","o"),"Õ","o"),"Ô","o"),"Ú","u"),"Ç","c")," e ",", ")," ",""),".","")))&amp;",",
IFERROR(_xlfn._xlws.FILTER(tabSindicatos[SINDICATOS],
(ISNUMBER(SEARCH(","&amp;TRIM(UPPER(SUBSTITUTE(tabPostos[[#This Row],[Comarca]]," ","")))&amp;",",_xlpm.MATRIZ_COMARCA,1)))*
(ISNUMBER(SEARCH(","&amp;TRIM(SUBSTITUTE(SUBSTITUTE(SUBSTITUTE(UPPER(tabPostos[[#This Row],[Função]])," E ",", ")," ",""),".",""))&amp;",",_xlpm.MATRIZ_FUNCAO,1)))
),"")
))</f>
        <v>Sethac Norte de Minas</v>
      </c>
      <c r="E158" s="148" t="s">
        <v>9</v>
      </c>
      <c r="F158" s="148" t="s">
        <v>10</v>
      </c>
      <c r="G158" s="148">
        <v>1</v>
      </c>
      <c r="H158" s="148">
        <v>0</v>
      </c>
      <c r="I158" s="216">
        <f>544.18</f>
        <v>544.17999999999995</v>
      </c>
      <c r="J158" s="247">
        <f>VLOOKUP(tabPostos[[#This Row],[CCT DA CATEGORIA]],'RELAÇÃO SINDICATOS'!A:N,11,0)</f>
        <v>45658</v>
      </c>
      <c r="K158" s="148" t="str">
        <f>VLOOKUP(tabPostos[[#This Row],[CCT DA CATEGORIA]],'RELAÇÃO SINDICATOS'!A:N,12,0)</f>
        <v>-</v>
      </c>
      <c r="L158" s="148" t="str">
        <f>VLOOKUP(tabPostos[[#This Row],[CCT DA CATEGORIA]],'RELAÇÃO SINDICATOS'!A:N,13,0)</f>
        <v>-</v>
      </c>
      <c r="M158" s="148" t="str">
        <f>VLOOKUP(tabPostos[[#This Row],[CCT DA CATEGORIA]],'RELAÇÃO SINDICATOS'!A:N,14,0)</f>
        <v>MG000256/2025</v>
      </c>
    </row>
    <row r="159" spans="1:13" x14ac:dyDescent="0.25">
      <c r="A159" s="148" t="str" cm="1">
        <f t="array" ref="A159">_xlfn.XLOOKUP(tabPostos[[#This Row],[Fonte de Recursos]]&amp;tabPostos[[#This Row],[Classificação]],tabLotacao[Lotacao]&amp;tabLotacao[Tipo],tabLotacao[Codigo Lote],"0")&amp;"."&amp;_xlfn.XLOOKUP(tabPostos[[#This Row],[Comarca]],tabComarca[COMARCA],tabComarca[Codigo Comarca],"000")&amp;"."&amp;_xlfn.XLOOKUP(tabPostos[[#This Row],[Função]],tabCargos[Cargo],tabCargos[Codigo Cargo],"00")</f>
        <v>2.430.04</v>
      </c>
      <c r="B159" s="200" t="s">
        <v>146</v>
      </c>
      <c r="C159" s="200" t="s">
        <v>1244</v>
      </c>
      <c r="D159" s="200" t="str" cm="1">
        <f t="array" ref="D159">IF(tabPostos[[#This Row],[Comarca]]="","",
_xlfn.LET(
_xlpm.MATRIZ_COMARCA, ","&amp;TRIM(UPPER(SUBSTITUTE(SUBSTITUTE(SUBSTITUTE(SUBSTITUTE(SUBSTITUTE(SUBSTITUTE(SUBSTITUTE(SUBSTITUTE(SUBSTITUTE(SUBSTITUTE(SUBSTITUTE(SUBSTITUTE(SUBSTITUTE(SUBSTITUTE(SUBSTITUTE(SUBSTITUTE(SUBSTITUTE(SUBSTITUTE(SUBSTITUTE(SUBSTITUTE(SUBSTITUTE(SUBSTITUTE(SUBSTITUTE(SUBSTITUTE(SUBSTITUTE(SUBSTITUTE(tabSindicatos[ABRANGÊNCIA],"á","a"),"ã","a"),"â","a"),"é","e"),"ê","e"),"í","i"),"ó","o"),"õ","o"),"ô","o"),"ú","u"),"ç","c"),"Á","a"),"Ã","a"),"Â","a"),"É","e"),"Ê","e"),"Í","i"),"Ó","o"),"Õ","o"),"Ô","o"),"Ú","u"),"Ç","c"),"/MG","")," e ",", ")," ",""),".","")))&amp;",",
_xlpm.MATRIZ_FUNCAO, ","&amp;TRIM(UPPER(SUBSTITUTE(SUBSTITUTE(SUBSTITUTE(SUBSTITUTE(SUBSTITUTE(SUBSTITUTE(SUBSTITUTE(SUBSTITUTE(SUBSTITUTE(SUBSTITUTE(SUBSTITUTE(SUBSTITUTE(SUBSTITUTE(SUBSTITUTE(SUBSTITUTE(SUBSTITUTE(SUBSTITUTE(SUBSTITUTE(SUBSTITUTE(SUBSTITUTE(SUBSTITUTE(SUBSTITUTE(SUBSTITUTE(SUBSTITUTE(SUBSTITUTE(tabSindicatos[FUNÇÕES],"á","a"),"ã","a"),"â","a"),"é","e"),"ê","e"),"í","i"),"ó","o"),"õ","o"),"ô","o"),"ú","u"),"ç","c"),"Á","a"),"Ã","a"),"Â","a"),"É","e"),"Ê","e"),"Í","i"),"Ó","o"),"Õ","o"),"Ô","o"),"Ú","u"),"Ç","c")," e ",", ")," ",""),".","")))&amp;",",
IFERROR(_xlfn._xlws.FILTER(tabSindicatos[SINDICATOS],
(ISNUMBER(SEARCH(","&amp;TRIM(UPPER(SUBSTITUTE(tabPostos[[#This Row],[Comarca]]," ","")))&amp;",",_xlpm.MATRIZ_COMARCA,1)))*
(ISNUMBER(SEARCH(","&amp;TRIM(SUBSTITUTE(SUBSTITUTE(SUBSTITUTE(UPPER(tabPostos[[#This Row],[Função]])," E ",", ")," ",""),".",""))&amp;",",_xlpm.MATRIZ_FUNCAO,1)))
),"")
))</f>
        <v>Regiao de Sao Lourenco</v>
      </c>
      <c r="E159" s="148" t="s">
        <v>9</v>
      </c>
      <c r="F159" s="148" t="s">
        <v>10</v>
      </c>
      <c r="G159" s="148">
        <v>1</v>
      </c>
      <c r="H159" s="148">
        <v>0</v>
      </c>
      <c r="I159" s="216">
        <f>798.14</f>
        <v>798.14</v>
      </c>
      <c r="J159" s="247">
        <f>VLOOKUP(tabPostos[[#This Row],[CCT DA CATEGORIA]],'RELAÇÃO SINDICATOS'!A:N,11,0)</f>
        <v>45658</v>
      </c>
      <c r="K159" s="148" t="str">
        <f>VLOOKUP(tabPostos[[#This Row],[CCT DA CATEGORIA]],'RELAÇÃO SINDICATOS'!A:N,12,0)</f>
        <v>-</v>
      </c>
      <c r="L159" s="148" t="str">
        <f>VLOOKUP(tabPostos[[#This Row],[CCT DA CATEGORIA]],'RELAÇÃO SINDICATOS'!A:N,13,0)</f>
        <v>-</v>
      </c>
      <c r="M159" s="148" t="str">
        <f>VLOOKUP(tabPostos[[#This Row],[CCT DA CATEGORIA]],'RELAÇÃO SINDICATOS'!A:N,14,0)</f>
        <v>MG000594/2025</v>
      </c>
    </row>
    <row r="160" spans="1:13" x14ac:dyDescent="0.25">
      <c r="A160" s="148" t="str" cm="1">
        <f t="array" ref="A160">_xlfn.XLOOKUP(tabPostos[[#This Row],[Fonte de Recursos]]&amp;tabPostos[[#This Row],[Classificação]],tabLotacao[Lotacao]&amp;tabLotacao[Tipo],tabLotacao[Codigo Lote],"0")&amp;"."&amp;_xlfn.XLOOKUP(tabPostos[[#This Row],[Comarca]],tabComarca[COMARCA],tabComarca[Codigo Comarca],"000")&amp;"."&amp;_xlfn.XLOOKUP(tabPostos[[#This Row],[Função]],tabCargos[Cargo],tabCargos[Codigo Cargo],"00")</f>
        <v>2.431.04</v>
      </c>
      <c r="B160" s="200" t="s">
        <v>147</v>
      </c>
      <c r="C160" s="200" t="s">
        <v>1244</v>
      </c>
      <c r="D160" s="200" t="str" cm="1">
        <f t="array" ref="D160">IF(tabPostos[[#This Row],[Comarca]]="","",
_xlfn.LET(
_xlpm.MATRIZ_COMARCA, ","&amp;TRIM(UPPER(SUBSTITUTE(SUBSTITUTE(SUBSTITUTE(SUBSTITUTE(SUBSTITUTE(SUBSTITUTE(SUBSTITUTE(SUBSTITUTE(SUBSTITUTE(SUBSTITUTE(SUBSTITUTE(SUBSTITUTE(SUBSTITUTE(SUBSTITUTE(SUBSTITUTE(SUBSTITUTE(SUBSTITUTE(SUBSTITUTE(SUBSTITUTE(SUBSTITUTE(SUBSTITUTE(SUBSTITUTE(SUBSTITUTE(SUBSTITUTE(SUBSTITUTE(SUBSTITUTE(tabSindicatos[ABRANGÊNCIA],"á","a"),"ã","a"),"â","a"),"é","e"),"ê","e"),"í","i"),"ó","o"),"õ","o"),"ô","o"),"ú","u"),"ç","c"),"Á","a"),"Ã","a"),"Â","a"),"É","e"),"Ê","e"),"Í","i"),"Ó","o"),"Õ","o"),"Ô","o"),"Ú","u"),"Ç","c"),"/MG","")," e ",", ")," ",""),".","")))&amp;",",
_xlpm.MATRIZ_FUNCAO, ","&amp;TRIM(UPPER(SUBSTITUTE(SUBSTITUTE(SUBSTITUTE(SUBSTITUTE(SUBSTITUTE(SUBSTITUTE(SUBSTITUTE(SUBSTITUTE(SUBSTITUTE(SUBSTITUTE(SUBSTITUTE(SUBSTITUTE(SUBSTITUTE(SUBSTITUTE(SUBSTITUTE(SUBSTITUTE(SUBSTITUTE(SUBSTITUTE(SUBSTITUTE(SUBSTITUTE(SUBSTITUTE(SUBSTITUTE(SUBSTITUTE(SUBSTITUTE(SUBSTITUTE(tabSindicatos[FUNÇÕES],"á","a"),"ã","a"),"â","a"),"é","e"),"ê","e"),"í","i"),"ó","o"),"õ","o"),"ô","o"),"ú","u"),"ç","c"),"Á","a"),"Ã","a"),"Â","a"),"É","e"),"Ê","e"),"Í","i"),"Ó","o"),"Õ","o"),"Ô","o"),"Ú","u"),"Ç","c")," e ",", ")," ",""),".","")))&amp;",",
IFERROR(_xlfn._xlws.FILTER(tabSindicatos[SINDICATOS],
(ISNUMBER(SEARCH(","&amp;TRIM(UPPER(SUBSTITUTE(tabPostos[[#This Row],[Comarca]]," ","")))&amp;",",_xlpm.MATRIZ_COMARCA,1)))*
(ISNUMBER(SEARCH(","&amp;TRIM(SUBSTITUTE(SUBSTITUTE(SUBSTITUTE(UPPER(tabPostos[[#This Row],[Função]])," E ",", ")," ",""),".",""))&amp;",",_xlpm.MATRIZ_FUNCAO,1)))
),"")
))</f>
        <v>Alto Paranaiba</v>
      </c>
      <c r="E160" s="148" t="s">
        <v>9</v>
      </c>
      <c r="F160" s="148" t="s">
        <v>10</v>
      </c>
      <c r="G160" s="148">
        <v>1</v>
      </c>
      <c r="H160" s="148">
        <v>0</v>
      </c>
      <c r="I160" s="216">
        <f>798.14</f>
        <v>798.14</v>
      </c>
      <c r="J160" s="247">
        <f>VLOOKUP(tabPostos[[#This Row],[CCT DA CATEGORIA]],'RELAÇÃO SINDICATOS'!A:N,11,0)</f>
        <v>45658</v>
      </c>
      <c r="K160" s="148" t="str">
        <f>VLOOKUP(tabPostos[[#This Row],[CCT DA CATEGORIA]],'RELAÇÃO SINDICATOS'!A:N,12,0)</f>
        <v>-</v>
      </c>
      <c r="L160" s="148" t="str">
        <f>VLOOKUP(tabPostos[[#This Row],[CCT DA CATEGORIA]],'RELAÇÃO SINDICATOS'!A:N,13,0)</f>
        <v>-</v>
      </c>
      <c r="M160" s="148" t="str">
        <f>VLOOKUP(tabPostos[[#This Row],[CCT DA CATEGORIA]],'RELAÇÃO SINDICATOS'!A:N,14,0)</f>
        <v>MG001106/2025</v>
      </c>
    </row>
    <row r="161" spans="1:13" x14ac:dyDescent="0.25">
      <c r="A161" s="148" t="str" cm="1">
        <f t="array" ref="A161">_xlfn.XLOOKUP(tabPostos[[#This Row],[Fonte de Recursos]]&amp;tabPostos[[#This Row],[Classificação]],tabLotacao[Lotacao]&amp;tabLotacao[Tipo],tabLotacao[Codigo Lote],"0")&amp;"."&amp;_xlfn.XLOOKUP(tabPostos[[#This Row],[Comarca]],tabComarca[COMARCA],tabComarca[Codigo Comarca],"000")&amp;"."&amp;_xlfn.XLOOKUP(tabPostos[[#This Row],[Função]],tabCargos[Cargo],tabCargos[Codigo Cargo],"00")</f>
        <v>2.433.04</v>
      </c>
      <c r="B161" s="200" t="s">
        <v>148</v>
      </c>
      <c r="C161" s="200" t="s">
        <v>1244</v>
      </c>
      <c r="D161" s="200" t="str" cm="1">
        <f t="array" ref="D161">IF(tabPostos[[#This Row],[Comarca]]="","",
_xlfn.LET(
_xlpm.MATRIZ_COMARCA, ","&amp;TRIM(UPPER(SUBSTITUTE(SUBSTITUTE(SUBSTITUTE(SUBSTITUTE(SUBSTITUTE(SUBSTITUTE(SUBSTITUTE(SUBSTITUTE(SUBSTITUTE(SUBSTITUTE(SUBSTITUTE(SUBSTITUTE(SUBSTITUTE(SUBSTITUTE(SUBSTITUTE(SUBSTITUTE(SUBSTITUTE(SUBSTITUTE(SUBSTITUTE(SUBSTITUTE(SUBSTITUTE(SUBSTITUTE(SUBSTITUTE(SUBSTITUTE(SUBSTITUTE(SUBSTITUTE(tabSindicatos[ABRANGÊNCIA],"á","a"),"ã","a"),"â","a"),"é","e"),"ê","e"),"í","i"),"ó","o"),"õ","o"),"ô","o"),"ú","u"),"ç","c"),"Á","a"),"Ã","a"),"Â","a"),"É","e"),"Ê","e"),"Í","i"),"Ó","o"),"Õ","o"),"Ô","o"),"Ú","u"),"Ç","c"),"/MG","")," e ",", ")," ",""),".","")))&amp;",",
_xlpm.MATRIZ_FUNCAO, ","&amp;TRIM(UPPER(SUBSTITUTE(SUBSTITUTE(SUBSTITUTE(SUBSTITUTE(SUBSTITUTE(SUBSTITUTE(SUBSTITUTE(SUBSTITUTE(SUBSTITUTE(SUBSTITUTE(SUBSTITUTE(SUBSTITUTE(SUBSTITUTE(SUBSTITUTE(SUBSTITUTE(SUBSTITUTE(SUBSTITUTE(SUBSTITUTE(SUBSTITUTE(SUBSTITUTE(SUBSTITUTE(SUBSTITUTE(SUBSTITUTE(SUBSTITUTE(SUBSTITUTE(tabSindicatos[FUNÇÕES],"á","a"),"ã","a"),"â","a"),"é","e"),"ê","e"),"í","i"),"ó","o"),"õ","o"),"ô","o"),"ú","u"),"ç","c"),"Á","a"),"Ã","a"),"Â","a"),"É","e"),"Ê","e"),"Í","i"),"Ó","o"),"Õ","o"),"Ô","o"),"Ú","u"),"Ç","c")," e ",", ")," ",""),".","")))&amp;",",
IFERROR(_xlfn._xlws.FILTER(tabSindicatos[SINDICATOS],
(ISNUMBER(SEARCH(","&amp;TRIM(UPPER(SUBSTITUTE(tabPostos[[#This Row],[Comarca]]," ","")))&amp;",",_xlpm.MATRIZ_COMARCA,1)))*
(ISNUMBER(SEARCH(","&amp;TRIM(SUBSTITUTE(SUBSTITUTE(SUBSTITUTE(UPPER(tabPostos[[#This Row],[Função]])," E ",", ")," ",""),".",""))&amp;",",_xlpm.MATRIZ_FUNCAO,1)))
),"")
))</f>
        <v>Montes Claros</v>
      </c>
      <c r="E161" s="148" t="s">
        <v>9</v>
      </c>
      <c r="F161" s="148" t="s">
        <v>10</v>
      </c>
      <c r="G161" s="148">
        <v>1</v>
      </c>
      <c r="H161" s="148">
        <v>0</v>
      </c>
      <c r="I161" s="216">
        <f>824.56</f>
        <v>824.56</v>
      </c>
      <c r="J161" s="247">
        <f>VLOOKUP(tabPostos[[#This Row],[CCT DA CATEGORIA]],'RELAÇÃO SINDICATOS'!A:N,11,0)</f>
        <v>45658</v>
      </c>
      <c r="K161" s="148" t="str">
        <f>VLOOKUP(tabPostos[[#This Row],[CCT DA CATEGORIA]],'RELAÇÃO SINDICATOS'!A:N,12,0)</f>
        <v>-</v>
      </c>
      <c r="L161" s="148" t="str">
        <f>VLOOKUP(tabPostos[[#This Row],[CCT DA CATEGORIA]],'RELAÇÃO SINDICATOS'!A:N,13,0)</f>
        <v>-</v>
      </c>
      <c r="M161" s="148" t="str">
        <f>VLOOKUP(tabPostos[[#This Row],[CCT DA CATEGORIA]],'RELAÇÃO SINDICATOS'!A:N,14,0)</f>
        <v>MG000255/2025</v>
      </c>
    </row>
    <row r="162" spans="1:13" x14ac:dyDescent="0.25">
      <c r="A162" s="148" t="str" cm="1">
        <f t="array" ref="A162">_xlfn.XLOOKUP(tabPostos[[#This Row],[Fonte de Recursos]]&amp;tabPostos[[#This Row],[Classificação]],tabLotacao[Lotacao]&amp;tabLotacao[Tipo],tabLotacao[Codigo Lote],"0")&amp;"."&amp;_xlfn.XLOOKUP(tabPostos[[#This Row],[Comarca]],tabComarca[COMARCA],tabComarca[Codigo Comarca],"000")&amp;"."&amp;_xlfn.XLOOKUP(tabPostos[[#This Row],[Função]],tabCargos[Cargo],tabCargos[Codigo Cargo],"00")</f>
        <v>2.433.06</v>
      </c>
      <c r="B162" s="200" t="s">
        <v>148</v>
      </c>
      <c r="C162" s="200" t="s">
        <v>1245</v>
      </c>
      <c r="D162" s="200" t="str" cm="1">
        <f t="array" ref="D162">IF(tabPostos[[#This Row],[Comarca]]="","",
_xlfn.LET(
_xlpm.MATRIZ_COMARCA, ","&amp;TRIM(UPPER(SUBSTITUTE(SUBSTITUTE(SUBSTITUTE(SUBSTITUTE(SUBSTITUTE(SUBSTITUTE(SUBSTITUTE(SUBSTITUTE(SUBSTITUTE(SUBSTITUTE(SUBSTITUTE(SUBSTITUTE(SUBSTITUTE(SUBSTITUTE(SUBSTITUTE(SUBSTITUTE(SUBSTITUTE(SUBSTITUTE(SUBSTITUTE(SUBSTITUTE(SUBSTITUTE(SUBSTITUTE(SUBSTITUTE(SUBSTITUTE(SUBSTITUTE(SUBSTITUTE(tabSindicatos[ABRANGÊNCIA],"á","a"),"ã","a"),"â","a"),"é","e"),"ê","e"),"í","i"),"ó","o"),"õ","o"),"ô","o"),"ú","u"),"ç","c"),"Á","a"),"Ã","a"),"Â","a"),"É","e"),"Ê","e"),"Í","i"),"Ó","o"),"Õ","o"),"Ô","o"),"Ú","u"),"Ç","c"),"/MG","")," e ",", ")," ",""),".","")))&amp;",",
_xlpm.MATRIZ_FUNCAO, ","&amp;TRIM(UPPER(SUBSTITUTE(SUBSTITUTE(SUBSTITUTE(SUBSTITUTE(SUBSTITUTE(SUBSTITUTE(SUBSTITUTE(SUBSTITUTE(SUBSTITUTE(SUBSTITUTE(SUBSTITUTE(SUBSTITUTE(SUBSTITUTE(SUBSTITUTE(SUBSTITUTE(SUBSTITUTE(SUBSTITUTE(SUBSTITUTE(SUBSTITUTE(SUBSTITUTE(SUBSTITUTE(SUBSTITUTE(SUBSTITUTE(SUBSTITUTE(SUBSTITUTE(tabSindicatos[FUNÇÕES],"á","a"),"ã","a"),"â","a"),"é","e"),"ê","e"),"í","i"),"ó","o"),"õ","o"),"ô","o"),"ú","u"),"ç","c"),"Á","a"),"Ã","a"),"Â","a"),"É","e"),"Ê","e"),"Í","i"),"Ó","o"),"Õ","o"),"Ô","o"),"Ú","u"),"Ç","c")," e ",", ")," ",""),".","")))&amp;",",
IFERROR(_xlfn._xlws.FILTER(tabSindicatos[SINDICATOS],
(ISNUMBER(SEARCH(","&amp;TRIM(UPPER(SUBSTITUTE(tabPostos[[#This Row],[Comarca]]," ","")))&amp;",",_xlpm.MATRIZ_COMARCA,1)))*
(ISNUMBER(SEARCH(","&amp;TRIM(SUBSTITUTE(SUBSTITUTE(SUBSTITUTE(UPPER(tabPostos[[#This Row],[Função]])," E ",", ")," ",""),".",""))&amp;",",_xlpm.MATRIZ_FUNCAO,1)))
),"")
))</f>
        <v>Montes Claros</v>
      </c>
      <c r="E162" s="148" t="s">
        <v>9</v>
      </c>
      <c r="F162" s="148" t="s">
        <v>10</v>
      </c>
      <c r="G162" s="148">
        <v>7</v>
      </c>
      <c r="H162" s="148">
        <v>0</v>
      </c>
      <c r="I162" s="216">
        <f>1649.12</f>
        <v>1649.12</v>
      </c>
      <c r="J162" s="247">
        <f>VLOOKUP(tabPostos[[#This Row],[CCT DA CATEGORIA]],'RELAÇÃO SINDICATOS'!A:N,11,0)</f>
        <v>45658</v>
      </c>
      <c r="K162" s="148" t="str">
        <f>VLOOKUP(tabPostos[[#This Row],[CCT DA CATEGORIA]],'RELAÇÃO SINDICATOS'!A:N,12,0)</f>
        <v>-</v>
      </c>
      <c r="L162" s="148" t="str">
        <f>VLOOKUP(tabPostos[[#This Row],[CCT DA CATEGORIA]],'RELAÇÃO SINDICATOS'!A:N,13,0)</f>
        <v>-</v>
      </c>
      <c r="M162" s="148" t="str">
        <f>VLOOKUP(tabPostos[[#This Row],[CCT DA CATEGORIA]],'RELAÇÃO SINDICATOS'!A:N,14,0)</f>
        <v>MG000255/2025</v>
      </c>
    </row>
    <row r="163" spans="1:13" x14ac:dyDescent="0.25">
      <c r="A163" s="148" t="str" cm="1">
        <f t="array" ref="A163">_xlfn.XLOOKUP(tabPostos[[#This Row],[Fonte de Recursos]]&amp;tabPostos[[#This Row],[Classificação]],tabLotacao[Lotacao]&amp;tabLotacao[Tipo],tabLotacao[Codigo Lote],"0")&amp;"."&amp;_xlfn.XLOOKUP(tabPostos[[#This Row],[Comarca]],tabComarca[COMARCA],tabComarca[Codigo Comarca],"000")&amp;"."&amp;_xlfn.XLOOKUP(tabPostos[[#This Row],[Função]],tabCargos[Cargo],tabCargos[Codigo Cargo],"00")</f>
        <v>2.439.06</v>
      </c>
      <c r="B163" s="200" t="s">
        <v>149</v>
      </c>
      <c r="C163" s="200" t="s">
        <v>1245</v>
      </c>
      <c r="D163" s="200" t="str" cm="1">
        <f t="array" ref="D163">IF(tabPostos[[#This Row],[Comarca]]="","",
_xlfn.LET(
_xlpm.MATRIZ_COMARCA, ","&amp;TRIM(UPPER(SUBSTITUTE(SUBSTITUTE(SUBSTITUTE(SUBSTITUTE(SUBSTITUTE(SUBSTITUTE(SUBSTITUTE(SUBSTITUTE(SUBSTITUTE(SUBSTITUTE(SUBSTITUTE(SUBSTITUTE(SUBSTITUTE(SUBSTITUTE(SUBSTITUTE(SUBSTITUTE(SUBSTITUTE(SUBSTITUTE(SUBSTITUTE(SUBSTITUTE(SUBSTITUTE(SUBSTITUTE(SUBSTITUTE(SUBSTITUTE(SUBSTITUTE(SUBSTITUTE(tabSindicatos[ABRANGÊNCIA],"á","a"),"ã","a"),"â","a"),"é","e"),"ê","e"),"í","i"),"ó","o"),"õ","o"),"ô","o"),"ú","u"),"ç","c"),"Á","a"),"Ã","a"),"Â","a"),"É","e"),"Ê","e"),"Í","i"),"Ó","o"),"Õ","o"),"Ô","o"),"Ú","u"),"Ç","c"),"/MG","")," e ",", ")," ",""),".","")))&amp;",",
_xlpm.MATRIZ_FUNCAO, ","&amp;TRIM(UPPER(SUBSTITUTE(SUBSTITUTE(SUBSTITUTE(SUBSTITUTE(SUBSTITUTE(SUBSTITUTE(SUBSTITUTE(SUBSTITUTE(SUBSTITUTE(SUBSTITUTE(SUBSTITUTE(SUBSTITUTE(SUBSTITUTE(SUBSTITUTE(SUBSTITUTE(SUBSTITUTE(SUBSTITUTE(SUBSTITUTE(SUBSTITUTE(SUBSTITUTE(SUBSTITUTE(SUBSTITUTE(SUBSTITUTE(SUBSTITUTE(SUBSTITUTE(tabSindicatos[FUNÇÕES],"á","a"),"ã","a"),"â","a"),"é","e"),"ê","e"),"í","i"),"ó","o"),"õ","o"),"ô","o"),"ú","u"),"ç","c"),"Á","a"),"Ã","a"),"Â","a"),"É","e"),"Ê","e"),"Í","i"),"Ó","o"),"Õ","o"),"Ô","o"),"Ú","u"),"Ç","c")," e ",", ")," ",""),".","")))&amp;",",
IFERROR(_xlfn._xlws.FILTER(tabSindicatos[SINDICATOS],
(ISNUMBER(SEARCH(","&amp;TRIM(UPPER(SUBSTITUTE(tabPostos[[#This Row],[Comarca]]," ","")))&amp;",",_xlpm.MATRIZ_COMARCA,1)))*
(ISNUMBER(SEARCH(","&amp;TRIM(SUBSTITUTE(SUBSTITUTE(SUBSTITUTE(UPPER(tabPostos[[#This Row],[Função]])," E ",", ")," ",""),".",""))&amp;",",_xlpm.MATRIZ_FUNCAO,1)))
),"")
))</f>
        <v>Cataguases</v>
      </c>
      <c r="E163" s="148" t="s">
        <v>9</v>
      </c>
      <c r="F163" s="148" t="s">
        <v>10</v>
      </c>
      <c r="G163" s="148">
        <v>1</v>
      </c>
      <c r="H163" s="148">
        <v>0</v>
      </c>
      <c r="I163" s="216">
        <f>1596.28</f>
        <v>1596.28</v>
      </c>
      <c r="J163" s="247">
        <f>VLOOKUP(tabPostos[[#This Row],[CCT DA CATEGORIA]],'RELAÇÃO SINDICATOS'!A:N,11,0)</f>
        <v>45658</v>
      </c>
      <c r="K163" s="148" t="str">
        <f>VLOOKUP(tabPostos[[#This Row],[CCT DA CATEGORIA]],'RELAÇÃO SINDICATOS'!A:N,12,0)</f>
        <v>-</v>
      </c>
      <c r="L163" s="148" t="str">
        <f>VLOOKUP(tabPostos[[#This Row],[CCT DA CATEGORIA]],'RELAÇÃO SINDICATOS'!A:N,13,0)</f>
        <v>-</v>
      </c>
      <c r="M163" s="148" t="str">
        <f>VLOOKUP(tabPostos[[#This Row],[CCT DA CATEGORIA]],'RELAÇÃO SINDICATOS'!A:N,14,0)</f>
        <v>MG000299/2025</v>
      </c>
    </row>
    <row r="164" spans="1:13" x14ac:dyDescent="0.25">
      <c r="A164" s="148" t="str" cm="1">
        <f t="array" ref="A164">_xlfn.XLOOKUP(tabPostos[[#This Row],[Fonte de Recursos]]&amp;tabPostos[[#This Row],[Classificação]],tabLotacao[Lotacao]&amp;tabLotacao[Tipo],tabLotacao[Codigo Lote],"0")&amp;"."&amp;_xlfn.XLOOKUP(tabPostos[[#This Row],[Comarca]],tabComarca[COMARCA],tabComarca[Codigo Comarca],"000")&amp;"."&amp;_xlfn.XLOOKUP(tabPostos[[#This Row],[Função]],tabCargos[Cargo],tabCargos[Codigo Cargo],"00")</f>
        <v>2.440.03</v>
      </c>
      <c r="B164" s="200" t="s">
        <v>150</v>
      </c>
      <c r="C164" s="200" t="s">
        <v>1247</v>
      </c>
      <c r="D164" s="200" t="str" cm="1">
        <f t="array" ref="D164">IF(tabPostos[[#This Row],[Comarca]]="","",
_xlfn.LET(
_xlpm.MATRIZ_COMARCA, ","&amp;TRIM(UPPER(SUBSTITUTE(SUBSTITUTE(SUBSTITUTE(SUBSTITUTE(SUBSTITUTE(SUBSTITUTE(SUBSTITUTE(SUBSTITUTE(SUBSTITUTE(SUBSTITUTE(SUBSTITUTE(SUBSTITUTE(SUBSTITUTE(SUBSTITUTE(SUBSTITUTE(SUBSTITUTE(SUBSTITUTE(SUBSTITUTE(SUBSTITUTE(SUBSTITUTE(SUBSTITUTE(SUBSTITUTE(SUBSTITUTE(SUBSTITUTE(SUBSTITUTE(SUBSTITUTE(tabSindicatos[ABRANGÊNCIA],"á","a"),"ã","a"),"â","a"),"é","e"),"ê","e"),"í","i"),"ó","o"),"õ","o"),"ô","o"),"ú","u"),"ç","c"),"Á","a"),"Ã","a"),"Â","a"),"É","e"),"Ê","e"),"Í","i"),"Ó","o"),"Õ","o"),"Ô","o"),"Ú","u"),"Ç","c"),"/MG","")," e ",", ")," ",""),".","")))&amp;",",
_xlpm.MATRIZ_FUNCAO, ","&amp;TRIM(UPPER(SUBSTITUTE(SUBSTITUTE(SUBSTITUTE(SUBSTITUTE(SUBSTITUTE(SUBSTITUTE(SUBSTITUTE(SUBSTITUTE(SUBSTITUTE(SUBSTITUTE(SUBSTITUTE(SUBSTITUTE(SUBSTITUTE(SUBSTITUTE(SUBSTITUTE(SUBSTITUTE(SUBSTITUTE(SUBSTITUTE(SUBSTITUTE(SUBSTITUTE(SUBSTITUTE(SUBSTITUTE(SUBSTITUTE(SUBSTITUTE(SUBSTITUTE(tabSindicatos[FUNÇÕES],"á","a"),"ã","a"),"â","a"),"é","e"),"ê","e"),"í","i"),"ó","o"),"õ","o"),"ô","o"),"ú","u"),"ç","c"),"Á","a"),"Ã","a"),"Â","a"),"É","e"),"Ê","e"),"Í","i"),"Ó","o"),"Õ","o"),"Ô","o"),"Ú","u"),"Ç","c")," e ",", ")," ",""),".","")))&amp;",",
IFERROR(_xlfn._xlws.FILTER(tabSindicatos[SINDICATOS],
(ISNUMBER(SEARCH(","&amp;TRIM(UPPER(SUBSTITUTE(tabPostos[[#This Row],[Comarca]]," ","")))&amp;",",_xlpm.MATRIZ_COMARCA,1)))*
(ISNUMBER(SEARCH(","&amp;TRIM(SUBSTITUTE(SUBSTITUTE(SUBSTITUTE(UPPER(tabPostos[[#This Row],[Função]])," E ",", ")," ",""),".",""))&amp;",",_xlpm.MATRIZ_FUNCAO,1)))
),"")
))</f>
        <v>Fethemg Interior</v>
      </c>
      <c r="E164" s="148" t="s">
        <v>9</v>
      </c>
      <c r="F164" s="148" t="s">
        <v>10</v>
      </c>
      <c r="G164" s="148">
        <v>1</v>
      </c>
      <c r="H164" s="148">
        <v>0</v>
      </c>
      <c r="I164" s="216">
        <f>544.18</f>
        <v>544.17999999999995</v>
      </c>
      <c r="J164" s="247">
        <f>VLOOKUP(tabPostos[[#This Row],[CCT DA CATEGORIA]],'RELAÇÃO SINDICATOS'!A:N,11,0)</f>
        <v>45658</v>
      </c>
      <c r="K164" s="148" t="str">
        <f>VLOOKUP(tabPostos[[#This Row],[CCT DA CATEGORIA]],'RELAÇÃO SINDICATOS'!A:N,12,0)</f>
        <v>-</v>
      </c>
      <c r="L164" s="148" t="str">
        <f>VLOOKUP(tabPostos[[#This Row],[CCT DA CATEGORIA]],'RELAÇÃO SINDICATOS'!A:N,13,0)</f>
        <v>-</v>
      </c>
      <c r="M164" s="148" t="str">
        <f>VLOOKUP(tabPostos[[#This Row],[CCT DA CATEGORIA]],'RELAÇÃO SINDICATOS'!A:N,14,0)</f>
        <v>MG004482/2024</v>
      </c>
    </row>
    <row r="165" spans="1:13" x14ac:dyDescent="0.25">
      <c r="A165" s="148" t="str" cm="1">
        <f t="array" ref="A165">_xlfn.XLOOKUP(tabPostos[[#This Row],[Fonte de Recursos]]&amp;tabPostos[[#This Row],[Classificação]],tabLotacao[Lotacao]&amp;tabLotacao[Tipo],tabLotacao[Codigo Lote],"0")&amp;"."&amp;_xlfn.XLOOKUP(tabPostos[[#This Row],[Comarca]],tabComarca[COMARCA],tabComarca[Codigo Comarca],"000")&amp;"."&amp;_xlfn.XLOOKUP(tabPostos[[#This Row],[Função]],tabCargos[Cargo],tabCargos[Codigo Cargo],"00")</f>
        <v>2.441.04</v>
      </c>
      <c r="B165" s="200" t="s">
        <v>151</v>
      </c>
      <c r="C165" s="200" t="s">
        <v>1244</v>
      </c>
      <c r="D165" s="200" t="str" cm="1">
        <f t="array" ref="D165">IF(tabPostos[[#This Row],[Comarca]]="","",
_xlfn.LET(
_xlpm.MATRIZ_COMARCA, ","&amp;TRIM(UPPER(SUBSTITUTE(SUBSTITUTE(SUBSTITUTE(SUBSTITUTE(SUBSTITUTE(SUBSTITUTE(SUBSTITUTE(SUBSTITUTE(SUBSTITUTE(SUBSTITUTE(SUBSTITUTE(SUBSTITUTE(SUBSTITUTE(SUBSTITUTE(SUBSTITUTE(SUBSTITUTE(SUBSTITUTE(SUBSTITUTE(SUBSTITUTE(SUBSTITUTE(SUBSTITUTE(SUBSTITUTE(SUBSTITUTE(SUBSTITUTE(SUBSTITUTE(SUBSTITUTE(tabSindicatos[ABRANGÊNCIA],"á","a"),"ã","a"),"â","a"),"é","e"),"ê","e"),"í","i"),"ó","o"),"õ","o"),"ô","o"),"ú","u"),"ç","c"),"Á","a"),"Ã","a"),"Â","a"),"É","e"),"Ê","e"),"Í","i"),"Ó","o"),"Õ","o"),"Ô","o"),"Ú","u"),"Ç","c"),"/MG","")," e ",", ")," ",""),".","")))&amp;",",
_xlpm.MATRIZ_FUNCAO, ","&amp;TRIM(UPPER(SUBSTITUTE(SUBSTITUTE(SUBSTITUTE(SUBSTITUTE(SUBSTITUTE(SUBSTITUTE(SUBSTITUTE(SUBSTITUTE(SUBSTITUTE(SUBSTITUTE(SUBSTITUTE(SUBSTITUTE(SUBSTITUTE(SUBSTITUTE(SUBSTITUTE(SUBSTITUTE(SUBSTITUTE(SUBSTITUTE(SUBSTITUTE(SUBSTITUTE(SUBSTITUTE(SUBSTITUTE(SUBSTITUTE(SUBSTITUTE(SUBSTITUTE(tabSindicatos[FUNÇÕES],"á","a"),"ã","a"),"â","a"),"é","e"),"ê","e"),"í","i"),"ó","o"),"õ","o"),"ô","o"),"ú","u"),"ç","c"),"Á","a"),"Ã","a"),"Â","a"),"É","e"),"Ê","e"),"Í","i"),"Ó","o"),"Õ","o"),"Ô","o"),"Ú","u"),"Ç","c")," e ",", ")," ",""),".","")))&amp;",",
IFERROR(_xlfn._xlws.FILTER(tabSindicatos[SINDICATOS],
(ISNUMBER(SEARCH(","&amp;TRIM(UPPER(SUBSTITUTE(tabPostos[[#This Row],[Comarca]]," ","")))&amp;",",_xlpm.MATRIZ_COMARCA,1)))*
(ISNUMBER(SEARCH(","&amp;TRIM(SUBSTITUTE(SUBSTITUTE(SUBSTITUTE(UPPER(tabPostos[[#This Row],[Função]])," E ",", ")," ",""),".",""))&amp;",",_xlpm.MATRIZ_FUNCAO,1)))
),"")
))</f>
        <v>Fethemg Interior</v>
      </c>
      <c r="E165" s="148" t="s">
        <v>9</v>
      </c>
      <c r="F165" s="148" t="s">
        <v>10</v>
      </c>
      <c r="G165" s="148">
        <v>1</v>
      </c>
      <c r="H165" s="148">
        <v>0</v>
      </c>
      <c r="I165" s="216">
        <f>798.14</f>
        <v>798.14</v>
      </c>
      <c r="J165" s="247">
        <f>VLOOKUP(tabPostos[[#This Row],[CCT DA CATEGORIA]],'RELAÇÃO SINDICATOS'!A:N,11,0)</f>
        <v>45658</v>
      </c>
      <c r="K165" s="148" t="str">
        <f>VLOOKUP(tabPostos[[#This Row],[CCT DA CATEGORIA]],'RELAÇÃO SINDICATOS'!A:N,12,0)</f>
        <v>-</v>
      </c>
      <c r="L165" s="148" t="str">
        <f>VLOOKUP(tabPostos[[#This Row],[CCT DA CATEGORIA]],'RELAÇÃO SINDICATOS'!A:N,13,0)</f>
        <v>-</v>
      </c>
      <c r="M165" s="148" t="str">
        <f>VLOOKUP(tabPostos[[#This Row],[CCT DA CATEGORIA]],'RELAÇÃO SINDICATOS'!A:N,14,0)</f>
        <v>MG004482/2024</v>
      </c>
    </row>
    <row r="166" spans="1:13" x14ac:dyDescent="0.25">
      <c r="A166" s="148" t="str" cm="1">
        <f t="array" ref="A166">_xlfn.XLOOKUP(tabPostos[[#This Row],[Fonte de Recursos]]&amp;tabPostos[[#This Row],[Classificação]],tabLotacao[Lotacao]&amp;tabLotacao[Tipo],tabLotacao[Codigo Lote],"0")&amp;"."&amp;_xlfn.XLOOKUP(tabPostos[[#This Row],[Comarca]],tabComarca[COMARCA],tabComarca[Codigo Comarca],"000")&amp;"."&amp;_xlfn.XLOOKUP(tabPostos[[#This Row],[Função]],tabCargos[Cargo],tabCargos[Codigo Cargo],"00")</f>
        <v>2.443.04</v>
      </c>
      <c r="B166" s="200" t="s">
        <v>152</v>
      </c>
      <c r="C166" s="200" t="s">
        <v>1244</v>
      </c>
      <c r="D166" s="200" t="str" cm="1">
        <f t="array" ref="D166">IF(tabPostos[[#This Row],[Comarca]]="","",
_xlfn.LET(
_xlpm.MATRIZ_COMARCA, ","&amp;TRIM(UPPER(SUBSTITUTE(SUBSTITUTE(SUBSTITUTE(SUBSTITUTE(SUBSTITUTE(SUBSTITUTE(SUBSTITUTE(SUBSTITUTE(SUBSTITUTE(SUBSTITUTE(SUBSTITUTE(SUBSTITUTE(SUBSTITUTE(SUBSTITUTE(SUBSTITUTE(SUBSTITUTE(SUBSTITUTE(SUBSTITUTE(SUBSTITUTE(SUBSTITUTE(SUBSTITUTE(SUBSTITUTE(SUBSTITUTE(SUBSTITUTE(SUBSTITUTE(SUBSTITUTE(tabSindicatos[ABRANGÊNCIA],"á","a"),"ã","a"),"â","a"),"é","e"),"ê","e"),"í","i"),"ó","o"),"õ","o"),"ô","o"),"ú","u"),"ç","c"),"Á","a"),"Ã","a"),"Â","a"),"É","e"),"Ê","e"),"Í","i"),"Ó","o"),"Õ","o"),"Ô","o"),"Ú","u"),"Ç","c"),"/MG","")," e ",", ")," ",""),".","")))&amp;",",
_xlpm.MATRIZ_FUNCAO, ","&amp;TRIM(UPPER(SUBSTITUTE(SUBSTITUTE(SUBSTITUTE(SUBSTITUTE(SUBSTITUTE(SUBSTITUTE(SUBSTITUTE(SUBSTITUTE(SUBSTITUTE(SUBSTITUTE(SUBSTITUTE(SUBSTITUTE(SUBSTITUTE(SUBSTITUTE(SUBSTITUTE(SUBSTITUTE(SUBSTITUTE(SUBSTITUTE(SUBSTITUTE(SUBSTITUTE(SUBSTITUTE(SUBSTITUTE(SUBSTITUTE(SUBSTITUTE(SUBSTITUTE(tabSindicatos[FUNÇÕES],"á","a"),"ã","a"),"â","a"),"é","e"),"ê","e"),"í","i"),"ó","o"),"õ","o"),"ô","o"),"ú","u"),"ç","c"),"Á","a"),"Ã","a"),"Â","a"),"É","e"),"Ê","e"),"Í","i"),"Ó","o"),"Õ","o"),"Ô","o"),"Ú","u"),"Ç","c")," e ",", ")," ",""),".","")))&amp;",",
IFERROR(_xlfn._xlws.FILTER(tabSindicatos[SINDICATOS],
(ISNUMBER(SEARCH(","&amp;TRIM(UPPER(SUBSTITUTE(tabPostos[[#This Row],[Comarca]]," ","")))&amp;",",_xlpm.MATRIZ_COMARCA,1)))*
(ISNUMBER(SEARCH(","&amp;TRIM(SUBSTITUTE(SUBSTITUTE(SUBSTITUTE(UPPER(tabPostos[[#This Row],[Função]])," E ",", ")," ",""),".",""))&amp;",",_xlpm.MATRIZ_FUNCAO,1)))
),"")
))</f>
        <v>Regiao de Teofilo Otoni</v>
      </c>
      <c r="E166" s="148" t="s">
        <v>9</v>
      </c>
      <c r="F166" s="148" t="s">
        <v>10</v>
      </c>
      <c r="G166" s="148">
        <v>1</v>
      </c>
      <c r="H166" s="148">
        <v>0</v>
      </c>
      <c r="I166" s="216">
        <f>798.14</f>
        <v>798.14</v>
      </c>
      <c r="J166" s="247">
        <f>VLOOKUP(tabPostos[[#This Row],[CCT DA CATEGORIA]],'RELAÇÃO SINDICATOS'!A:N,11,0)</f>
        <v>45658</v>
      </c>
      <c r="K166" s="148" t="str">
        <f>VLOOKUP(tabPostos[[#This Row],[CCT DA CATEGORIA]],'RELAÇÃO SINDICATOS'!A:N,12,0)</f>
        <v>-</v>
      </c>
      <c r="L166" s="148" t="str">
        <f>VLOOKUP(tabPostos[[#This Row],[CCT DA CATEGORIA]],'RELAÇÃO SINDICATOS'!A:N,13,0)</f>
        <v>-</v>
      </c>
      <c r="M166" s="148" t="str">
        <f>VLOOKUP(tabPostos[[#This Row],[CCT DA CATEGORIA]],'RELAÇÃO SINDICATOS'!A:N,14,0)</f>
        <v>MG004488/2024</v>
      </c>
    </row>
    <row r="167" spans="1:13" x14ac:dyDescent="0.25">
      <c r="A167" s="148" t="str" cm="1">
        <f t="array" ref="A167">_xlfn.XLOOKUP(tabPostos[[#This Row],[Fonte de Recursos]]&amp;tabPostos[[#This Row],[Classificação]],tabLotacao[Lotacao]&amp;tabLotacao[Tipo],tabLotacao[Codigo Lote],"0")&amp;"."&amp;_xlfn.XLOOKUP(tabPostos[[#This Row],[Comarca]],tabComarca[COMARCA],tabComarca[Codigo Comarca],"000")&amp;"."&amp;_xlfn.XLOOKUP(tabPostos[[#This Row],[Função]],tabCargos[Cargo],tabCargos[Codigo Cargo],"00")</f>
        <v>2.444.03</v>
      </c>
      <c r="B167" s="200" t="s">
        <v>153</v>
      </c>
      <c r="C167" s="200" t="s">
        <v>1247</v>
      </c>
      <c r="D167" s="200" t="str" cm="1">
        <f t="array" ref="D167">IF(tabPostos[[#This Row],[Comarca]]="","",
_xlfn.LET(
_xlpm.MATRIZ_COMARCA, ","&amp;TRIM(UPPER(SUBSTITUTE(SUBSTITUTE(SUBSTITUTE(SUBSTITUTE(SUBSTITUTE(SUBSTITUTE(SUBSTITUTE(SUBSTITUTE(SUBSTITUTE(SUBSTITUTE(SUBSTITUTE(SUBSTITUTE(SUBSTITUTE(SUBSTITUTE(SUBSTITUTE(SUBSTITUTE(SUBSTITUTE(SUBSTITUTE(SUBSTITUTE(SUBSTITUTE(SUBSTITUTE(SUBSTITUTE(SUBSTITUTE(SUBSTITUTE(SUBSTITUTE(SUBSTITUTE(tabSindicatos[ABRANGÊNCIA],"á","a"),"ã","a"),"â","a"),"é","e"),"ê","e"),"í","i"),"ó","o"),"õ","o"),"ô","o"),"ú","u"),"ç","c"),"Á","a"),"Ã","a"),"Â","a"),"É","e"),"Ê","e"),"Í","i"),"Ó","o"),"Õ","o"),"Ô","o"),"Ú","u"),"Ç","c"),"/MG","")," e ",", ")," ",""),".","")))&amp;",",
_xlpm.MATRIZ_FUNCAO, ","&amp;TRIM(UPPER(SUBSTITUTE(SUBSTITUTE(SUBSTITUTE(SUBSTITUTE(SUBSTITUTE(SUBSTITUTE(SUBSTITUTE(SUBSTITUTE(SUBSTITUTE(SUBSTITUTE(SUBSTITUTE(SUBSTITUTE(SUBSTITUTE(SUBSTITUTE(SUBSTITUTE(SUBSTITUTE(SUBSTITUTE(SUBSTITUTE(SUBSTITUTE(SUBSTITUTE(SUBSTITUTE(SUBSTITUTE(SUBSTITUTE(SUBSTITUTE(SUBSTITUTE(tabSindicatos[FUNÇÕES],"á","a"),"ã","a"),"â","a"),"é","e"),"ê","e"),"í","i"),"ó","o"),"õ","o"),"ô","o"),"ú","u"),"ç","c"),"Á","a"),"Ã","a"),"Â","a"),"É","e"),"Ê","e"),"Í","i"),"Ó","o"),"Õ","o"),"Ô","o"),"Ú","u"),"Ç","c")," e ",", ")," ",""),".","")))&amp;",",
IFERROR(_xlfn._xlws.FILTER(tabSindicatos[SINDICATOS],
(ISNUMBER(SEARCH(","&amp;TRIM(UPPER(SUBSTITUTE(tabPostos[[#This Row],[Comarca]]," ","")))&amp;",",_xlpm.MATRIZ_COMARCA,1)))*
(ISNUMBER(SEARCH(","&amp;TRIM(SUBSTITUTE(SUBSTITUTE(SUBSTITUTE(UPPER(tabPostos[[#This Row],[Função]])," E ",", ")," ",""),".",""))&amp;",",_xlpm.MATRIZ_FUNCAO,1)))
),"")
))</f>
        <v>Regiao de Sao Lourenco</v>
      </c>
      <c r="E167" s="148" t="s">
        <v>9</v>
      </c>
      <c r="F167" s="148" t="s">
        <v>10</v>
      </c>
      <c r="G167" s="148">
        <v>1</v>
      </c>
      <c r="H167" s="148">
        <v>0</v>
      </c>
      <c r="I167" s="216">
        <f>544.18</f>
        <v>544.17999999999995</v>
      </c>
      <c r="J167" s="247">
        <f>VLOOKUP(tabPostos[[#This Row],[CCT DA CATEGORIA]],'RELAÇÃO SINDICATOS'!A:N,11,0)</f>
        <v>45658</v>
      </c>
      <c r="K167" s="148" t="str">
        <f>VLOOKUP(tabPostos[[#This Row],[CCT DA CATEGORIA]],'RELAÇÃO SINDICATOS'!A:N,12,0)</f>
        <v>-</v>
      </c>
      <c r="L167" s="148" t="str">
        <f>VLOOKUP(tabPostos[[#This Row],[CCT DA CATEGORIA]],'RELAÇÃO SINDICATOS'!A:N,13,0)</f>
        <v>-</v>
      </c>
      <c r="M167" s="148" t="str">
        <f>VLOOKUP(tabPostos[[#This Row],[CCT DA CATEGORIA]],'RELAÇÃO SINDICATOS'!A:N,14,0)</f>
        <v>MG000594/2025</v>
      </c>
    </row>
    <row r="168" spans="1:13" x14ac:dyDescent="0.25">
      <c r="A168" s="148" t="str" cm="1">
        <f t="array" ref="A168">_xlfn.XLOOKUP(tabPostos[[#This Row],[Fonte de Recursos]]&amp;tabPostos[[#This Row],[Classificação]],tabLotacao[Lotacao]&amp;tabLotacao[Tipo],tabLotacao[Codigo Lote],"0")&amp;"."&amp;_xlfn.XLOOKUP(tabPostos[[#This Row],[Comarca]],tabComarca[COMARCA],tabComarca[Codigo Comarca],"000")&amp;"."&amp;_xlfn.XLOOKUP(tabPostos[[#This Row],[Função]],tabCargos[Cargo],tabCargos[Codigo Cargo],"00")</f>
        <v>2.188.06</v>
      </c>
      <c r="B168" s="200" t="s">
        <v>154</v>
      </c>
      <c r="C168" s="200" t="s">
        <v>1245</v>
      </c>
      <c r="D168" s="200" t="str" cm="1">
        <f t="array" ref="D168">IF(tabPostos[[#This Row],[Comarca]]="","",
_xlfn.LET(
_xlpm.MATRIZ_COMARCA, ","&amp;TRIM(UPPER(SUBSTITUTE(SUBSTITUTE(SUBSTITUTE(SUBSTITUTE(SUBSTITUTE(SUBSTITUTE(SUBSTITUTE(SUBSTITUTE(SUBSTITUTE(SUBSTITUTE(SUBSTITUTE(SUBSTITUTE(SUBSTITUTE(SUBSTITUTE(SUBSTITUTE(SUBSTITUTE(SUBSTITUTE(SUBSTITUTE(SUBSTITUTE(SUBSTITUTE(SUBSTITUTE(SUBSTITUTE(SUBSTITUTE(SUBSTITUTE(SUBSTITUTE(SUBSTITUTE(tabSindicatos[ABRANGÊNCIA],"á","a"),"ã","a"),"â","a"),"é","e"),"ê","e"),"í","i"),"ó","o"),"õ","o"),"ô","o"),"ú","u"),"ç","c"),"Á","a"),"Ã","a"),"Â","a"),"É","e"),"Ê","e"),"Í","i"),"Ó","o"),"Õ","o"),"Ô","o"),"Ú","u"),"Ç","c"),"/MG","")," e ",", ")," ",""),".","")))&amp;",",
_xlpm.MATRIZ_FUNCAO, ","&amp;TRIM(UPPER(SUBSTITUTE(SUBSTITUTE(SUBSTITUTE(SUBSTITUTE(SUBSTITUTE(SUBSTITUTE(SUBSTITUTE(SUBSTITUTE(SUBSTITUTE(SUBSTITUTE(SUBSTITUTE(SUBSTITUTE(SUBSTITUTE(SUBSTITUTE(SUBSTITUTE(SUBSTITUTE(SUBSTITUTE(SUBSTITUTE(SUBSTITUTE(SUBSTITUTE(SUBSTITUTE(SUBSTITUTE(SUBSTITUTE(SUBSTITUTE(SUBSTITUTE(tabSindicatos[FUNÇÕES],"á","a"),"ã","a"),"â","a"),"é","e"),"ê","e"),"í","i"),"ó","o"),"õ","o"),"ô","o"),"ú","u"),"ç","c"),"Á","a"),"Ã","a"),"Â","a"),"É","e"),"Ê","e"),"Í","i"),"Ó","o"),"Õ","o"),"Ô","o"),"Ú","u"),"Ç","c")," e ",", ")," ",""),".","")))&amp;",",
IFERROR(_xlfn._xlws.FILTER(tabSindicatos[SINDICATOS],
(ISNUMBER(SEARCH(","&amp;TRIM(UPPER(SUBSTITUTE(tabPostos[[#This Row],[Comarca]]," ","")))&amp;",",_xlpm.MATRIZ_COMARCA,1)))*
(ISNUMBER(SEARCH(","&amp;TRIM(SUBSTITUTE(SUBSTITUTE(SUBSTITUTE(UPPER(tabPostos[[#This Row],[Função]])," E ",", ")," ",""),".",""))&amp;",",_xlpm.MATRIZ_FUNCAO,1)))
),"")
))</f>
        <v>Sind - Asseio</v>
      </c>
      <c r="E168" s="148" t="s">
        <v>9</v>
      </c>
      <c r="F168" s="148" t="s">
        <v>10</v>
      </c>
      <c r="G168" s="148">
        <v>2</v>
      </c>
      <c r="H168" s="148">
        <v>0</v>
      </c>
      <c r="I168" s="216">
        <f>1649.12</f>
        <v>1649.12</v>
      </c>
      <c r="J168" s="247">
        <f>VLOOKUP(tabPostos[[#This Row],[CCT DA CATEGORIA]],'RELAÇÃO SINDICATOS'!A:N,11,0)</f>
        <v>45658</v>
      </c>
      <c r="K168" s="148" t="str">
        <f>VLOOKUP(tabPostos[[#This Row],[CCT DA CATEGORIA]],'RELAÇÃO SINDICATOS'!A:N,12,0)</f>
        <v>-</v>
      </c>
      <c r="L168" s="148" t="str">
        <f>VLOOKUP(tabPostos[[#This Row],[CCT DA CATEGORIA]],'RELAÇÃO SINDICATOS'!A:N,13,0)</f>
        <v>-</v>
      </c>
      <c r="M168" s="148" t="str">
        <f>VLOOKUP(tabPostos[[#This Row],[CCT DA CATEGORIA]],'RELAÇÃO SINDICATOS'!A:N,14,0)</f>
        <v>MG000016/2025</v>
      </c>
    </row>
    <row r="169" spans="1:13" x14ac:dyDescent="0.25">
      <c r="A169" s="148" t="str" cm="1">
        <f t="array" ref="A169">_xlfn.XLOOKUP(tabPostos[[#This Row],[Fonte de Recursos]]&amp;tabPostos[[#This Row],[Classificação]],tabLotacao[Lotacao]&amp;tabLotacao[Tipo],tabLotacao[Codigo Lote],"0")&amp;"."&amp;_xlfn.XLOOKUP(tabPostos[[#This Row],[Comarca]],tabComarca[COMARCA],tabComarca[Codigo Comarca],"000")&amp;"."&amp;_xlfn.XLOOKUP(tabPostos[[#This Row],[Função]],tabCargos[Cargo],tabCargos[Codigo Cargo],"00")</f>
        <v>2.450.06</v>
      </c>
      <c r="B169" s="200" t="s">
        <v>155</v>
      </c>
      <c r="C169" s="200" t="s">
        <v>1245</v>
      </c>
      <c r="D169" s="200" t="str" cm="1">
        <f t="array" ref="D169">IF(tabPostos[[#This Row],[Comarca]]="","",
_xlfn.LET(
_xlpm.MATRIZ_COMARCA, ","&amp;TRIM(UPPER(SUBSTITUTE(SUBSTITUTE(SUBSTITUTE(SUBSTITUTE(SUBSTITUTE(SUBSTITUTE(SUBSTITUTE(SUBSTITUTE(SUBSTITUTE(SUBSTITUTE(SUBSTITUTE(SUBSTITUTE(SUBSTITUTE(SUBSTITUTE(SUBSTITUTE(SUBSTITUTE(SUBSTITUTE(SUBSTITUTE(SUBSTITUTE(SUBSTITUTE(SUBSTITUTE(SUBSTITUTE(SUBSTITUTE(SUBSTITUTE(SUBSTITUTE(SUBSTITUTE(tabSindicatos[ABRANGÊNCIA],"á","a"),"ã","a"),"â","a"),"é","e"),"ê","e"),"í","i"),"ó","o"),"õ","o"),"ô","o"),"ú","u"),"ç","c"),"Á","a"),"Ã","a"),"Â","a"),"É","e"),"Ê","e"),"Í","i"),"Ó","o"),"Õ","o"),"Ô","o"),"Ú","u"),"Ç","c"),"/MG","")," e ",", ")," ",""),".","")))&amp;",",
_xlpm.MATRIZ_FUNCAO, ","&amp;TRIM(UPPER(SUBSTITUTE(SUBSTITUTE(SUBSTITUTE(SUBSTITUTE(SUBSTITUTE(SUBSTITUTE(SUBSTITUTE(SUBSTITUTE(SUBSTITUTE(SUBSTITUTE(SUBSTITUTE(SUBSTITUTE(SUBSTITUTE(SUBSTITUTE(SUBSTITUTE(SUBSTITUTE(SUBSTITUTE(SUBSTITUTE(SUBSTITUTE(SUBSTITUTE(SUBSTITUTE(SUBSTITUTE(SUBSTITUTE(SUBSTITUTE(SUBSTITUTE(tabSindicatos[FUNÇÕES],"á","a"),"ã","a"),"â","a"),"é","e"),"ê","e"),"í","i"),"ó","o"),"õ","o"),"ô","o"),"ú","u"),"ç","c"),"Á","a"),"Ã","a"),"Â","a"),"É","e"),"Ê","e"),"Í","i"),"Ó","o"),"Õ","o"),"Ô","o"),"Ú","u"),"Ç","c")," e ",", ")," ",""),".","")))&amp;",",
IFERROR(_xlfn._xlws.FILTER(tabSindicatos[SINDICATOS],
(ISNUMBER(SEARCH(","&amp;TRIM(UPPER(SUBSTITUTE(tabPostos[[#This Row],[Comarca]]," ","")))&amp;",",_xlpm.MATRIZ_COMARCA,1)))*
(ISNUMBER(SEARCH(","&amp;TRIM(SUBSTITUTE(SUBSTITUTE(SUBSTITUTE(UPPER(tabPostos[[#This Row],[Função]])," E ",", ")," ",""),".",""))&amp;",",_xlpm.MATRIZ_FUNCAO,1)))
),"")
))</f>
        <v>Alto Paranaiba</v>
      </c>
      <c r="E169" s="148" t="s">
        <v>9</v>
      </c>
      <c r="F169" s="148" t="s">
        <v>10</v>
      </c>
      <c r="G169" s="148">
        <v>1</v>
      </c>
      <c r="H169" s="148">
        <v>0</v>
      </c>
      <c r="I169" s="216">
        <f>1596.28</f>
        <v>1596.28</v>
      </c>
      <c r="J169" s="247">
        <f>VLOOKUP(tabPostos[[#This Row],[CCT DA CATEGORIA]],'RELAÇÃO SINDICATOS'!A:N,11,0)</f>
        <v>45658</v>
      </c>
      <c r="K169" s="148" t="str">
        <f>VLOOKUP(tabPostos[[#This Row],[CCT DA CATEGORIA]],'RELAÇÃO SINDICATOS'!A:N,12,0)</f>
        <v>-</v>
      </c>
      <c r="L169" s="148" t="str">
        <f>VLOOKUP(tabPostos[[#This Row],[CCT DA CATEGORIA]],'RELAÇÃO SINDICATOS'!A:N,13,0)</f>
        <v>-</v>
      </c>
      <c r="M169" s="148" t="str">
        <f>VLOOKUP(tabPostos[[#This Row],[CCT DA CATEGORIA]],'RELAÇÃO SINDICATOS'!A:N,14,0)</f>
        <v>MG001106/2025</v>
      </c>
    </row>
    <row r="170" spans="1:13" x14ac:dyDescent="0.25">
      <c r="A170" s="148" t="str" cm="1">
        <f t="array" ref="A170">_xlfn.XLOOKUP(tabPostos[[#This Row],[Fonte de Recursos]]&amp;tabPostos[[#This Row],[Classificação]],tabLotacao[Lotacao]&amp;tabLotacao[Tipo],tabLotacao[Codigo Lote],"0")&amp;"."&amp;_xlfn.XLOOKUP(tabPostos[[#This Row],[Comarca]],tabComarca[COMARCA],tabComarca[Codigo Comarca],"000")&amp;"."&amp;_xlfn.XLOOKUP(tabPostos[[#This Row],[Função]],tabCargos[Cargo],tabCargos[Codigo Cargo],"00")</f>
        <v>2.452.05</v>
      </c>
      <c r="B170" s="200" t="s">
        <v>156</v>
      </c>
      <c r="C170" s="200" t="s">
        <v>1246</v>
      </c>
      <c r="D170" s="200" t="str" cm="1">
        <f t="array" ref="D170">IF(tabPostos[[#This Row],[Comarca]]="","",
_xlfn.LET(
_xlpm.MATRIZ_COMARCA, ","&amp;TRIM(UPPER(SUBSTITUTE(SUBSTITUTE(SUBSTITUTE(SUBSTITUTE(SUBSTITUTE(SUBSTITUTE(SUBSTITUTE(SUBSTITUTE(SUBSTITUTE(SUBSTITUTE(SUBSTITUTE(SUBSTITUTE(SUBSTITUTE(SUBSTITUTE(SUBSTITUTE(SUBSTITUTE(SUBSTITUTE(SUBSTITUTE(SUBSTITUTE(SUBSTITUTE(SUBSTITUTE(SUBSTITUTE(SUBSTITUTE(SUBSTITUTE(SUBSTITUTE(SUBSTITUTE(tabSindicatos[ABRANGÊNCIA],"á","a"),"ã","a"),"â","a"),"é","e"),"ê","e"),"í","i"),"ó","o"),"õ","o"),"ô","o"),"ú","u"),"ç","c"),"Á","a"),"Ã","a"),"Â","a"),"É","e"),"Ê","e"),"Í","i"),"Ó","o"),"Õ","o"),"Ô","o"),"Ú","u"),"Ç","c"),"/MG","")," e ",", ")," ",""),".","")))&amp;",",
_xlpm.MATRIZ_FUNCAO, ","&amp;TRIM(UPPER(SUBSTITUTE(SUBSTITUTE(SUBSTITUTE(SUBSTITUTE(SUBSTITUTE(SUBSTITUTE(SUBSTITUTE(SUBSTITUTE(SUBSTITUTE(SUBSTITUTE(SUBSTITUTE(SUBSTITUTE(SUBSTITUTE(SUBSTITUTE(SUBSTITUTE(SUBSTITUTE(SUBSTITUTE(SUBSTITUTE(SUBSTITUTE(SUBSTITUTE(SUBSTITUTE(SUBSTITUTE(SUBSTITUTE(SUBSTITUTE(SUBSTITUTE(tabSindicatos[FUNÇÕES],"á","a"),"ã","a"),"â","a"),"é","e"),"ê","e"),"í","i"),"ó","o"),"õ","o"),"ô","o"),"ú","u"),"ç","c"),"Á","a"),"Ã","a"),"Â","a"),"É","e"),"Ê","e"),"Í","i"),"Ó","o"),"Õ","o"),"Ô","o"),"Ú","u"),"Ç","c")," e ",", ")," ",""),".","")))&amp;",",
IFERROR(_xlfn._xlws.FILTER(tabSindicatos[SINDICATOS],
(ISNUMBER(SEARCH(","&amp;TRIM(UPPER(SUBSTITUTE(tabPostos[[#This Row],[Comarca]]," ","")))&amp;",",_xlpm.MATRIZ_COMARCA,1)))*
(ISNUMBER(SEARCH(","&amp;TRIM(SUBSTITUTE(SUBSTITUTE(SUBSTITUTE(UPPER(tabPostos[[#This Row],[Função]])," E ",", ")," ",""),".",""))&amp;",",_xlpm.MATRIZ_FUNCAO,1)))
),"")
))</f>
        <v>Regiao de Divinopolis</v>
      </c>
      <c r="E170" s="148" t="s">
        <v>9</v>
      </c>
      <c r="F170" s="148" t="s">
        <v>10</v>
      </c>
      <c r="G170" s="148">
        <v>1</v>
      </c>
      <c r="H170" s="148">
        <v>0</v>
      </c>
      <c r="I170" s="216">
        <f>1088.37</f>
        <v>1088.3699999999999</v>
      </c>
      <c r="J170" s="247">
        <f>VLOOKUP(tabPostos[[#This Row],[CCT DA CATEGORIA]],'RELAÇÃO SINDICATOS'!A:N,11,0)</f>
        <v>45658</v>
      </c>
      <c r="K170" s="148" t="str">
        <f>VLOOKUP(tabPostos[[#This Row],[CCT DA CATEGORIA]],'RELAÇÃO SINDICATOS'!A:N,12,0)</f>
        <v>-</v>
      </c>
      <c r="L170" s="148" t="str">
        <f>VLOOKUP(tabPostos[[#This Row],[CCT DA CATEGORIA]],'RELAÇÃO SINDICATOS'!A:N,13,0)</f>
        <v>-</v>
      </c>
      <c r="M170" s="148" t="str">
        <f>VLOOKUP(tabPostos[[#This Row],[CCT DA CATEGORIA]],'RELAÇÃO SINDICATOS'!A:N,14,0)</f>
        <v>MG001011/2025</v>
      </c>
    </row>
    <row r="171" spans="1:13" x14ac:dyDescent="0.25">
      <c r="A171" s="148" t="str" cm="1">
        <f t="array" ref="A171">_xlfn.XLOOKUP(tabPostos[[#This Row],[Fonte de Recursos]]&amp;tabPostos[[#This Row],[Classificação]],tabLotacao[Lotacao]&amp;tabLotacao[Tipo],tabLotacao[Codigo Lote],"0")&amp;"."&amp;_xlfn.XLOOKUP(tabPostos[[#This Row],[Comarca]],tabComarca[COMARCA],tabComarca[Codigo Comarca],"000")&amp;"."&amp;_xlfn.XLOOKUP(tabPostos[[#This Row],[Função]],tabCargos[Cargo],tabCargos[Codigo Cargo],"00")</f>
        <v>2.453.03</v>
      </c>
      <c r="B171" s="200" t="s">
        <v>157</v>
      </c>
      <c r="C171" s="200" t="s">
        <v>1247</v>
      </c>
      <c r="D171" s="200" t="str" cm="1">
        <f t="array" ref="D171">IF(tabPostos[[#This Row],[Comarca]]="","",
_xlfn.LET(
_xlpm.MATRIZ_COMARCA, ","&amp;TRIM(UPPER(SUBSTITUTE(SUBSTITUTE(SUBSTITUTE(SUBSTITUTE(SUBSTITUTE(SUBSTITUTE(SUBSTITUTE(SUBSTITUTE(SUBSTITUTE(SUBSTITUTE(SUBSTITUTE(SUBSTITUTE(SUBSTITUTE(SUBSTITUTE(SUBSTITUTE(SUBSTITUTE(SUBSTITUTE(SUBSTITUTE(SUBSTITUTE(SUBSTITUTE(SUBSTITUTE(SUBSTITUTE(SUBSTITUTE(SUBSTITUTE(SUBSTITUTE(SUBSTITUTE(tabSindicatos[ABRANGÊNCIA],"á","a"),"ã","a"),"â","a"),"é","e"),"ê","e"),"í","i"),"ó","o"),"õ","o"),"ô","o"),"ú","u"),"ç","c"),"Á","a"),"Ã","a"),"Â","a"),"É","e"),"Ê","e"),"Í","i"),"Ó","o"),"Õ","o"),"Ô","o"),"Ú","u"),"Ç","c"),"/MG","")," e ",", ")," ",""),".","")))&amp;",",
_xlpm.MATRIZ_FUNCAO, ","&amp;TRIM(UPPER(SUBSTITUTE(SUBSTITUTE(SUBSTITUTE(SUBSTITUTE(SUBSTITUTE(SUBSTITUTE(SUBSTITUTE(SUBSTITUTE(SUBSTITUTE(SUBSTITUTE(SUBSTITUTE(SUBSTITUTE(SUBSTITUTE(SUBSTITUTE(SUBSTITUTE(SUBSTITUTE(SUBSTITUTE(SUBSTITUTE(SUBSTITUTE(SUBSTITUTE(SUBSTITUTE(SUBSTITUTE(SUBSTITUTE(SUBSTITUTE(SUBSTITUTE(tabSindicatos[FUNÇÕES],"á","a"),"ã","a"),"â","a"),"é","e"),"ê","e"),"í","i"),"ó","o"),"õ","o"),"ô","o"),"ú","u"),"ç","c"),"Á","a"),"Ã","a"),"Â","a"),"É","e"),"Ê","e"),"Í","i"),"Ó","o"),"Õ","o"),"Ô","o"),"Ú","u"),"Ç","c")," e ",", ")," ",""),".","")))&amp;",",
IFERROR(_xlfn._xlws.FILTER(tabSindicatos[SINDICATOS],
(ISNUMBER(SEARCH(","&amp;TRIM(UPPER(SUBSTITUTE(tabPostos[[#This Row],[Comarca]]," ","")))&amp;",",_xlpm.MATRIZ_COMARCA,1)))*
(ISNUMBER(SEARCH(","&amp;TRIM(SUBSTITUTE(SUBSTITUTE(SUBSTITUTE(UPPER(tabPostos[[#This Row],[Função]])," E ",", ")," ",""),".",""))&amp;",",_xlpm.MATRIZ_FUNCAO,1)))
),"")
))</f>
        <v>Regiao de Teofilo Otoni</v>
      </c>
      <c r="E171" s="148" t="s">
        <v>9</v>
      </c>
      <c r="F171" s="148" t="s">
        <v>10</v>
      </c>
      <c r="G171" s="148">
        <v>1</v>
      </c>
      <c r="H171" s="148">
        <v>0</v>
      </c>
      <c r="I171" s="216">
        <f>544.18</f>
        <v>544.17999999999995</v>
      </c>
      <c r="J171" s="247">
        <f>VLOOKUP(tabPostos[[#This Row],[CCT DA CATEGORIA]],'RELAÇÃO SINDICATOS'!A:N,11,0)</f>
        <v>45658</v>
      </c>
      <c r="K171" s="148" t="str">
        <f>VLOOKUP(tabPostos[[#This Row],[CCT DA CATEGORIA]],'RELAÇÃO SINDICATOS'!A:N,12,0)</f>
        <v>-</v>
      </c>
      <c r="L171" s="148" t="str">
        <f>VLOOKUP(tabPostos[[#This Row],[CCT DA CATEGORIA]],'RELAÇÃO SINDICATOS'!A:N,13,0)</f>
        <v>-</v>
      </c>
      <c r="M171" s="148" t="str">
        <f>VLOOKUP(tabPostos[[#This Row],[CCT DA CATEGORIA]],'RELAÇÃO SINDICATOS'!A:N,14,0)</f>
        <v>MG004488/2024</v>
      </c>
    </row>
    <row r="172" spans="1:13" x14ac:dyDescent="0.25">
      <c r="A172" s="148" t="str" cm="1">
        <f t="array" ref="A172">_xlfn.XLOOKUP(tabPostos[[#This Row],[Fonte de Recursos]]&amp;tabPostos[[#This Row],[Classificação]],tabLotacao[Lotacao]&amp;tabLotacao[Tipo],tabLotacao[Codigo Lote],"0")&amp;"."&amp;_xlfn.XLOOKUP(tabPostos[[#This Row],[Comarca]],tabComarca[COMARCA],tabComarca[Codigo Comarca],"000")&amp;"."&amp;_xlfn.XLOOKUP(tabPostos[[#This Row],[Função]],tabCargos[Cargo],tabCargos[Codigo Cargo],"00")</f>
        <v>2.456.06</v>
      </c>
      <c r="B172" s="200" t="s">
        <v>158</v>
      </c>
      <c r="C172" s="200" t="s">
        <v>1245</v>
      </c>
      <c r="D172" s="200" t="str" cm="1">
        <f t="array" ref="D172">IF(tabPostos[[#This Row],[Comarca]]="","",
_xlfn.LET(
_xlpm.MATRIZ_COMARCA, ","&amp;TRIM(UPPER(SUBSTITUTE(SUBSTITUTE(SUBSTITUTE(SUBSTITUTE(SUBSTITUTE(SUBSTITUTE(SUBSTITUTE(SUBSTITUTE(SUBSTITUTE(SUBSTITUTE(SUBSTITUTE(SUBSTITUTE(SUBSTITUTE(SUBSTITUTE(SUBSTITUTE(SUBSTITUTE(SUBSTITUTE(SUBSTITUTE(SUBSTITUTE(SUBSTITUTE(SUBSTITUTE(SUBSTITUTE(SUBSTITUTE(SUBSTITUTE(SUBSTITUTE(SUBSTITUTE(tabSindicatos[ABRANGÊNCIA],"á","a"),"ã","a"),"â","a"),"é","e"),"ê","e"),"í","i"),"ó","o"),"õ","o"),"ô","o"),"ú","u"),"ç","c"),"Á","a"),"Ã","a"),"Â","a"),"É","e"),"Ê","e"),"Í","i"),"Ó","o"),"Õ","o"),"Ô","o"),"Ú","u"),"Ç","c"),"/MG","")," e ",", ")," ",""),".","")))&amp;",",
_xlpm.MATRIZ_FUNCAO, ","&amp;TRIM(UPPER(SUBSTITUTE(SUBSTITUTE(SUBSTITUTE(SUBSTITUTE(SUBSTITUTE(SUBSTITUTE(SUBSTITUTE(SUBSTITUTE(SUBSTITUTE(SUBSTITUTE(SUBSTITUTE(SUBSTITUTE(SUBSTITUTE(SUBSTITUTE(SUBSTITUTE(SUBSTITUTE(SUBSTITUTE(SUBSTITUTE(SUBSTITUTE(SUBSTITUTE(SUBSTITUTE(SUBSTITUTE(SUBSTITUTE(SUBSTITUTE(SUBSTITUTE(tabSindicatos[FUNÇÕES],"á","a"),"ã","a"),"â","a"),"é","e"),"ê","e"),"í","i"),"ó","o"),"õ","o"),"ô","o"),"ú","u"),"ç","c"),"Á","a"),"Ã","a"),"Â","a"),"É","e"),"Ê","e"),"Í","i"),"Ó","o"),"Õ","o"),"Ô","o"),"Ú","u"),"Ç","c")," e ",", ")," ",""),".","")))&amp;",",
IFERROR(_xlfn._xlws.FILTER(tabSindicatos[SINDICATOS],
(ISNUMBER(SEARCH(","&amp;TRIM(UPPER(SUBSTITUTE(tabPostos[[#This Row],[Comarca]]," ","")))&amp;",",_xlpm.MATRIZ_COMARCA,1)))*
(ISNUMBER(SEARCH(","&amp;TRIM(SUBSTITUTE(SUBSTITUTE(SUBSTITUTE(UPPER(tabPostos[[#This Row],[Função]])," E ",", ")," ",""),".",""))&amp;",",_xlpm.MATRIZ_FUNCAO,1)))
),"")
))</f>
        <v>Regiao de Divinopolis</v>
      </c>
      <c r="E172" s="148" t="s">
        <v>9</v>
      </c>
      <c r="F172" s="148" t="s">
        <v>10</v>
      </c>
      <c r="G172" s="148">
        <v>1</v>
      </c>
      <c r="H172" s="148">
        <v>0</v>
      </c>
      <c r="I172" s="216">
        <f>1596.28</f>
        <v>1596.28</v>
      </c>
      <c r="J172" s="247">
        <f>VLOOKUP(tabPostos[[#This Row],[CCT DA CATEGORIA]],'RELAÇÃO SINDICATOS'!A:N,11,0)</f>
        <v>45658</v>
      </c>
      <c r="K172" s="148" t="str">
        <f>VLOOKUP(tabPostos[[#This Row],[CCT DA CATEGORIA]],'RELAÇÃO SINDICATOS'!A:N,12,0)</f>
        <v>-</v>
      </c>
      <c r="L172" s="148" t="str">
        <f>VLOOKUP(tabPostos[[#This Row],[CCT DA CATEGORIA]],'RELAÇÃO SINDICATOS'!A:N,13,0)</f>
        <v>-</v>
      </c>
      <c r="M172" s="148" t="str">
        <f>VLOOKUP(tabPostos[[#This Row],[CCT DA CATEGORIA]],'RELAÇÃO SINDICATOS'!A:N,14,0)</f>
        <v>MG001011/2025</v>
      </c>
    </row>
    <row r="173" spans="1:13" x14ac:dyDescent="0.25">
      <c r="A173" s="148" t="str" cm="1">
        <f t="array" ref="A173">_xlfn.XLOOKUP(tabPostos[[#This Row],[Fonte de Recursos]]&amp;tabPostos[[#This Row],[Classificação]],tabLotacao[Lotacao]&amp;tabLotacao[Tipo],tabLotacao[Codigo Lote],"0")&amp;"."&amp;_xlfn.XLOOKUP(tabPostos[[#This Row],[Comarca]],tabComarca[COMARCA],tabComarca[Codigo Comarca],"000")&amp;"."&amp;_xlfn.XLOOKUP(tabPostos[[#This Row],[Função]],tabCargos[Cargo],tabCargos[Codigo Cargo],"00")</f>
        <v>2.460.03</v>
      </c>
      <c r="B173" s="200" t="s">
        <v>159</v>
      </c>
      <c r="C173" s="200" t="s">
        <v>1247</v>
      </c>
      <c r="D173" s="200" t="str" cm="1">
        <f t="array" ref="D173">IF(tabPostos[[#This Row],[Comarca]]="","",
_xlfn.LET(
_xlpm.MATRIZ_COMARCA, ","&amp;TRIM(UPPER(SUBSTITUTE(SUBSTITUTE(SUBSTITUTE(SUBSTITUTE(SUBSTITUTE(SUBSTITUTE(SUBSTITUTE(SUBSTITUTE(SUBSTITUTE(SUBSTITUTE(SUBSTITUTE(SUBSTITUTE(SUBSTITUTE(SUBSTITUTE(SUBSTITUTE(SUBSTITUTE(SUBSTITUTE(SUBSTITUTE(SUBSTITUTE(SUBSTITUTE(SUBSTITUTE(SUBSTITUTE(SUBSTITUTE(SUBSTITUTE(SUBSTITUTE(SUBSTITUTE(tabSindicatos[ABRANGÊNCIA],"á","a"),"ã","a"),"â","a"),"é","e"),"ê","e"),"í","i"),"ó","o"),"õ","o"),"ô","o"),"ú","u"),"ç","c"),"Á","a"),"Ã","a"),"Â","a"),"É","e"),"Ê","e"),"Í","i"),"Ó","o"),"Õ","o"),"Ô","o"),"Ú","u"),"Ç","c"),"/MG","")," e ",", ")," ",""),".","")))&amp;",",
_xlpm.MATRIZ_FUNCAO, ","&amp;TRIM(UPPER(SUBSTITUTE(SUBSTITUTE(SUBSTITUTE(SUBSTITUTE(SUBSTITUTE(SUBSTITUTE(SUBSTITUTE(SUBSTITUTE(SUBSTITUTE(SUBSTITUTE(SUBSTITUTE(SUBSTITUTE(SUBSTITUTE(SUBSTITUTE(SUBSTITUTE(SUBSTITUTE(SUBSTITUTE(SUBSTITUTE(SUBSTITUTE(SUBSTITUTE(SUBSTITUTE(SUBSTITUTE(SUBSTITUTE(SUBSTITUTE(SUBSTITUTE(tabSindicatos[FUNÇÕES],"á","a"),"ã","a"),"â","a"),"é","e"),"ê","e"),"í","i"),"ó","o"),"õ","o"),"ô","o"),"ú","u"),"ç","c"),"Á","a"),"Ã","a"),"Â","a"),"É","e"),"Ê","e"),"Í","i"),"Ó","o"),"Õ","o"),"Ô","o"),"Ú","u"),"Ç","c")," e ",", ")," ",""),".","")))&amp;",",
IFERROR(_xlfn._xlws.FILTER(tabSindicatos[SINDICATOS],
(ISNUMBER(SEARCH(","&amp;TRIM(UPPER(SUBSTITUTE(tabPostos[[#This Row],[Comarca]]," ","")))&amp;",",_xlpm.MATRIZ_COMARCA,1)))*
(ISNUMBER(SEARCH(","&amp;TRIM(SUBSTITUTE(SUBSTITUTE(SUBSTITUTE(UPPER(tabPostos[[#This Row],[Função]])," E ",", ")," ",""),".",""))&amp;",",_xlpm.MATRIZ_FUNCAO,1)))
),"")
))</f>
        <v>Regiao de Sao Lourenco</v>
      </c>
      <c r="E173" s="148" t="s">
        <v>9</v>
      </c>
      <c r="F173" s="148" t="s">
        <v>10</v>
      </c>
      <c r="G173" s="148">
        <v>1</v>
      </c>
      <c r="H173" s="148">
        <v>0</v>
      </c>
      <c r="I173" s="216">
        <f>544.18</f>
        <v>544.17999999999995</v>
      </c>
      <c r="J173" s="247">
        <f>VLOOKUP(tabPostos[[#This Row],[CCT DA CATEGORIA]],'RELAÇÃO SINDICATOS'!A:N,11,0)</f>
        <v>45658</v>
      </c>
      <c r="K173" s="148" t="str">
        <f>VLOOKUP(tabPostos[[#This Row],[CCT DA CATEGORIA]],'RELAÇÃO SINDICATOS'!A:N,12,0)</f>
        <v>-</v>
      </c>
      <c r="L173" s="148" t="str">
        <f>VLOOKUP(tabPostos[[#This Row],[CCT DA CATEGORIA]],'RELAÇÃO SINDICATOS'!A:N,13,0)</f>
        <v>-</v>
      </c>
      <c r="M173" s="148" t="str">
        <f>VLOOKUP(tabPostos[[#This Row],[CCT DA CATEGORIA]],'RELAÇÃO SINDICATOS'!A:N,14,0)</f>
        <v>MG000594/2025</v>
      </c>
    </row>
    <row r="174" spans="1:13" x14ac:dyDescent="0.25">
      <c r="A174" s="148" t="str" cm="1">
        <f t="array" ref="A174">_xlfn.XLOOKUP(tabPostos[[#This Row],[Fonte de Recursos]]&amp;tabPostos[[#This Row],[Classificação]],tabLotacao[Lotacao]&amp;tabLotacao[Tipo],tabLotacao[Codigo Lote],"0")&amp;"."&amp;_xlfn.XLOOKUP(tabPostos[[#This Row],[Comarca]],tabComarca[COMARCA],tabComarca[Codigo Comarca],"000")&amp;"."&amp;_xlfn.XLOOKUP(tabPostos[[#This Row],[Função]],tabCargos[Cargo],tabCargos[Codigo Cargo],"00")</f>
        <v>2.461.06</v>
      </c>
      <c r="B174" s="200" t="s">
        <v>160</v>
      </c>
      <c r="C174" s="200" t="s">
        <v>1245</v>
      </c>
      <c r="D174" s="200" t="str" cm="1">
        <f t="array" ref="D174">IF(tabPostos[[#This Row],[Comarca]]="","",
_xlfn.LET(
_xlpm.MATRIZ_COMARCA, ","&amp;TRIM(UPPER(SUBSTITUTE(SUBSTITUTE(SUBSTITUTE(SUBSTITUTE(SUBSTITUTE(SUBSTITUTE(SUBSTITUTE(SUBSTITUTE(SUBSTITUTE(SUBSTITUTE(SUBSTITUTE(SUBSTITUTE(SUBSTITUTE(SUBSTITUTE(SUBSTITUTE(SUBSTITUTE(SUBSTITUTE(SUBSTITUTE(SUBSTITUTE(SUBSTITUTE(SUBSTITUTE(SUBSTITUTE(SUBSTITUTE(SUBSTITUTE(SUBSTITUTE(SUBSTITUTE(tabSindicatos[ABRANGÊNCIA],"á","a"),"ã","a"),"â","a"),"é","e"),"ê","e"),"í","i"),"ó","o"),"õ","o"),"ô","o"),"ú","u"),"ç","c"),"Á","a"),"Ã","a"),"Â","a"),"É","e"),"Ê","e"),"Í","i"),"Ó","o"),"Õ","o"),"Ô","o"),"Ú","u"),"Ç","c"),"/MG","")," e ",", ")," ",""),".","")))&amp;",",
_xlpm.MATRIZ_FUNCAO, ","&amp;TRIM(UPPER(SUBSTITUTE(SUBSTITUTE(SUBSTITUTE(SUBSTITUTE(SUBSTITUTE(SUBSTITUTE(SUBSTITUTE(SUBSTITUTE(SUBSTITUTE(SUBSTITUTE(SUBSTITUTE(SUBSTITUTE(SUBSTITUTE(SUBSTITUTE(SUBSTITUTE(SUBSTITUTE(SUBSTITUTE(SUBSTITUTE(SUBSTITUTE(SUBSTITUTE(SUBSTITUTE(SUBSTITUTE(SUBSTITUTE(SUBSTITUTE(SUBSTITUTE(tabSindicatos[FUNÇÕES],"á","a"),"ã","a"),"â","a"),"é","e"),"ê","e"),"í","i"),"ó","o"),"õ","o"),"ô","o"),"ú","u"),"ç","c"),"Á","a"),"Ã","a"),"Â","a"),"É","e"),"Ê","e"),"Í","i"),"Ó","o"),"Õ","o"),"Ô","o"),"Ú","u"),"Ç","c")," e ",", ")," ",""),".","")))&amp;",",
IFERROR(_xlfn._xlws.FILTER(tabSindicatos[SINDICATOS],
(ISNUMBER(SEARCH(","&amp;TRIM(UPPER(SUBSTITUTE(tabPostos[[#This Row],[Comarca]]," ","")))&amp;",",_xlpm.MATRIZ_COMARCA,1)))*
(ISNUMBER(SEARCH(","&amp;TRIM(SUBSTITUTE(SUBSTITUTE(SUBSTITUTE(UPPER(tabPostos[[#This Row],[Função]])," E ",", ")," ",""),".",""))&amp;",",_xlpm.MATRIZ_FUNCAO,1)))
),"")
))</f>
        <v>Regiao de Ouro Preto</v>
      </c>
      <c r="E174" s="148" t="s">
        <v>9</v>
      </c>
      <c r="F174" s="148" t="s">
        <v>10</v>
      </c>
      <c r="G174" s="148">
        <v>1</v>
      </c>
      <c r="H174" s="148">
        <v>0</v>
      </c>
      <c r="I174" s="216">
        <f>1596.28</f>
        <v>1596.28</v>
      </c>
      <c r="J174" s="247">
        <f>VLOOKUP(tabPostos[[#This Row],[CCT DA CATEGORIA]],'RELAÇÃO SINDICATOS'!A:N,11,0)</f>
        <v>45658</v>
      </c>
      <c r="K174" s="148" t="str">
        <f>VLOOKUP(tabPostos[[#This Row],[CCT DA CATEGORIA]],'RELAÇÃO SINDICATOS'!A:N,12,0)</f>
        <v>-</v>
      </c>
      <c r="L174" s="148" t="str">
        <f>VLOOKUP(tabPostos[[#This Row],[CCT DA CATEGORIA]],'RELAÇÃO SINDICATOS'!A:N,13,0)</f>
        <v>-</v>
      </c>
      <c r="M174" s="148" t="str">
        <f>VLOOKUP(tabPostos[[#This Row],[CCT DA CATEGORIA]],'RELAÇÃO SINDICATOS'!A:N,14,0)</f>
        <v>MG000212/2025</v>
      </c>
    </row>
    <row r="175" spans="1:13" x14ac:dyDescent="0.25">
      <c r="A175" s="148" t="str" cm="1">
        <f t="array" ref="A175">_xlfn.XLOOKUP(tabPostos[[#This Row],[Fonte de Recursos]]&amp;tabPostos[[#This Row],[Classificação]],tabLotacao[Lotacao]&amp;tabLotacao[Tipo],tabLotacao[Codigo Lote],"0")&amp;"."&amp;_xlfn.XLOOKUP(tabPostos[[#This Row],[Comarca]],tabComarca[COMARCA],tabComarca[Codigo Comarca],"000")&amp;"."&amp;_xlfn.XLOOKUP(tabPostos[[#This Row],[Função]],tabCargos[Cargo],tabCargos[Codigo Cargo],"00")</f>
        <v>2.467.06</v>
      </c>
      <c r="B175" s="200" t="s">
        <v>1239</v>
      </c>
      <c r="C175" s="200" t="s">
        <v>1245</v>
      </c>
      <c r="D175" s="200" t="str" cm="1">
        <f t="array" ref="D175">IF(tabPostos[[#This Row],[Comarca]]="","",
_xlfn.LET(
_xlpm.MATRIZ_COMARCA, ","&amp;TRIM(UPPER(SUBSTITUTE(SUBSTITUTE(SUBSTITUTE(SUBSTITUTE(SUBSTITUTE(SUBSTITUTE(SUBSTITUTE(SUBSTITUTE(SUBSTITUTE(SUBSTITUTE(SUBSTITUTE(SUBSTITUTE(SUBSTITUTE(SUBSTITUTE(SUBSTITUTE(SUBSTITUTE(SUBSTITUTE(SUBSTITUTE(SUBSTITUTE(SUBSTITUTE(SUBSTITUTE(SUBSTITUTE(SUBSTITUTE(SUBSTITUTE(SUBSTITUTE(SUBSTITUTE(tabSindicatos[ABRANGÊNCIA],"á","a"),"ã","a"),"â","a"),"é","e"),"ê","e"),"í","i"),"ó","o"),"õ","o"),"ô","o"),"ú","u"),"ç","c"),"Á","a"),"Ã","a"),"Â","a"),"É","e"),"Ê","e"),"Í","i"),"Ó","o"),"Õ","o"),"Ô","o"),"Ú","u"),"Ç","c"),"/MG","")," e ",", ")," ",""),".","")))&amp;",",
_xlpm.MATRIZ_FUNCAO, ","&amp;TRIM(UPPER(SUBSTITUTE(SUBSTITUTE(SUBSTITUTE(SUBSTITUTE(SUBSTITUTE(SUBSTITUTE(SUBSTITUTE(SUBSTITUTE(SUBSTITUTE(SUBSTITUTE(SUBSTITUTE(SUBSTITUTE(SUBSTITUTE(SUBSTITUTE(SUBSTITUTE(SUBSTITUTE(SUBSTITUTE(SUBSTITUTE(SUBSTITUTE(SUBSTITUTE(SUBSTITUTE(SUBSTITUTE(SUBSTITUTE(SUBSTITUTE(SUBSTITUTE(tabSindicatos[FUNÇÕES],"á","a"),"ã","a"),"â","a"),"é","e"),"ê","e"),"í","i"),"ó","o"),"õ","o"),"ô","o"),"ú","u"),"ç","c"),"Á","a"),"Ã","a"),"Â","a"),"É","e"),"Ê","e"),"Í","i"),"Ó","o"),"Õ","o"),"Ô","o"),"Ú","u"),"Ç","c")," e ",", ")," ",""),".","")))&amp;",",
IFERROR(_xlfn._xlws.FILTER(tabSindicatos[SINDICATOS],
(ISNUMBER(SEARCH(","&amp;TRIM(UPPER(SUBSTITUTE(tabPostos[[#This Row],[Comarca]]," ","")))&amp;",",_xlpm.MATRIZ_COMARCA,1)))*
(ISNUMBER(SEARCH(","&amp;TRIM(SUBSTITUTE(SUBSTITUTE(SUBSTITUTE(UPPER(tabPostos[[#This Row],[Função]])," E ",", ")," ",""),".",""))&amp;",",_xlpm.MATRIZ_FUNCAO,1)))
),"")
))</f>
        <v>Regiao de Juiz de Fora</v>
      </c>
      <c r="E175" s="148" t="s">
        <v>9</v>
      </c>
      <c r="F175" s="148" t="s">
        <v>10</v>
      </c>
      <c r="G175" s="148">
        <v>1</v>
      </c>
      <c r="H175" s="148">
        <v>0</v>
      </c>
      <c r="I175" s="216">
        <f>1596.28</f>
        <v>1596.28</v>
      </c>
      <c r="J175" s="247">
        <f>VLOOKUP(tabPostos[[#This Row],[CCT DA CATEGORIA]],'RELAÇÃO SINDICATOS'!A:N,11,0)</f>
        <v>45658</v>
      </c>
      <c r="K175" s="148" t="str">
        <f>VLOOKUP(tabPostos[[#This Row],[CCT DA CATEGORIA]],'RELAÇÃO SINDICATOS'!A:N,12,0)</f>
        <v>-</v>
      </c>
      <c r="L175" s="148" t="str">
        <f>VLOOKUP(tabPostos[[#This Row],[CCT DA CATEGORIA]],'RELAÇÃO SINDICATOS'!A:N,13,0)</f>
        <v>-</v>
      </c>
      <c r="M175" s="148" t="str">
        <f>VLOOKUP(tabPostos[[#This Row],[CCT DA CATEGORIA]],'RELAÇÃO SINDICATOS'!A:N,14,0)</f>
        <v>MG000506/2025</v>
      </c>
    </row>
    <row r="176" spans="1:13" x14ac:dyDescent="0.25">
      <c r="A176" s="148" t="str" cm="1">
        <f t="array" ref="A176">_xlfn.XLOOKUP(tabPostos[[#This Row],[Fonte de Recursos]]&amp;tabPostos[[#This Row],[Classificação]],tabLotacao[Lotacao]&amp;tabLotacao[Tipo],tabLotacao[Codigo Lote],"0")&amp;"."&amp;_xlfn.XLOOKUP(tabPostos[[#This Row],[Comarca]],tabComarca[COMARCA],tabComarca[Codigo Comarca],"000")&amp;"."&amp;_xlfn.XLOOKUP(tabPostos[[#This Row],[Função]],tabCargos[Cargo],tabCargos[Codigo Cargo],"00")</f>
        <v>2.471.04</v>
      </c>
      <c r="B176" s="200" t="s">
        <v>161</v>
      </c>
      <c r="C176" s="200" t="s">
        <v>1244</v>
      </c>
      <c r="D176" s="200" t="str" cm="1">
        <f t="array" ref="D176">IF(tabPostos[[#This Row],[Comarca]]="","",
_xlfn.LET(
_xlpm.MATRIZ_COMARCA, ","&amp;TRIM(UPPER(SUBSTITUTE(SUBSTITUTE(SUBSTITUTE(SUBSTITUTE(SUBSTITUTE(SUBSTITUTE(SUBSTITUTE(SUBSTITUTE(SUBSTITUTE(SUBSTITUTE(SUBSTITUTE(SUBSTITUTE(SUBSTITUTE(SUBSTITUTE(SUBSTITUTE(SUBSTITUTE(SUBSTITUTE(SUBSTITUTE(SUBSTITUTE(SUBSTITUTE(SUBSTITUTE(SUBSTITUTE(SUBSTITUTE(SUBSTITUTE(SUBSTITUTE(SUBSTITUTE(tabSindicatos[ABRANGÊNCIA],"á","a"),"ã","a"),"â","a"),"é","e"),"ê","e"),"í","i"),"ó","o"),"õ","o"),"ô","o"),"ú","u"),"ç","c"),"Á","a"),"Ã","a"),"Â","a"),"É","e"),"Ê","e"),"Í","i"),"Ó","o"),"Õ","o"),"Ô","o"),"Ú","u"),"Ç","c"),"/MG","")," e ",", ")," ",""),".","")))&amp;",",
_xlpm.MATRIZ_FUNCAO, ","&amp;TRIM(UPPER(SUBSTITUTE(SUBSTITUTE(SUBSTITUTE(SUBSTITUTE(SUBSTITUTE(SUBSTITUTE(SUBSTITUTE(SUBSTITUTE(SUBSTITUTE(SUBSTITUTE(SUBSTITUTE(SUBSTITUTE(SUBSTITUTE(SUBSTITUTE(SUBSTITUTE(SUBSTITUTE(SUBSTITUTE(SUBSTITUTE(SUBSTITUTE(SUBSTITUTE(SUBSTITUTE(SUBSTITUTE(SUBSTITUTE(SUBSTITUTE(SUBSTITUTE(tabSindicatos[FUNÇÕES],"á","a"),"ã","a"),"â","a"),"é","e"),"ê","e"),"í","i"),"ó","o"),"õ","o"),"ô","o"),"ú","u"),"ç","c"),"Á","a"),"Ã","a"),"Â","a"),"É","e"),"Ê","e"),"Í","i"),"Ó","o"),"Õ","o"),"Ô","o"),"Ú","u"),"Ç","c")," e ",", ")," ",""),".","")))&amp;",",
IFERROR(_xlfn._xlws.FILTER(tabSindicatos[SINDICATOS],
(ISNUMBER(SEARCH(","&amp;TRIM(UPPER(SUBSTITUTE(tabPostos[[#This Row],[Comarca]]," ","")))&amp;",",_xlpm.MATRIZ_COMARCA,1)))*
(ISNUMBER(SEARCH(","&amp;TRIM(SUBSTITUTE(SUBSTITUTE(SUBSTITUTE(UPPER(tabPostos[[#This Row],[Função]])," E ",", ")," ",""),".",""))&amp;",",_xlpm.MATRIZ_FUNCAO,1)))
),"")
))</f>
        <v>Fethemg Interior</v>
      </c>
      <c r="E176" s="148" t="s">
        <v>9</v>
      </c>
      <c r="F176" s="148" t="s">
        <v>10</v>
      </c>
      <c r="G176" s="148">
        <v>1</v>
      </c>
      <c r="H176" s="148">
        <v>0</v>
      </c>
      <c r="I176" s="216">
        <f>798.14</f>
        <v>798.14</v>
      </c>
      <c r="J176" s="247">
        <f>VLOOKUP(tabPostos[[#This Row],[CCT DA CATEGORIA]],'RELAÇÃO SINDICATOS'!A:N,11,0)</f>
        <v>45658</v>
      </c>
      <c r="K176" s="148" t="str">
        <f>VLOOKUP(tabPostos[[#This Row],[CCT DA CATEGORIA]],'RELAÇÃO SINDICATOS'!A:N,12,0)</f>
        <v>-</v>
      </c>
      <c r="L176" s="148" t="str">
        <f>VLOOKUP(tabPostos[[#This Row],[CCT DA CATEGORIA]],'RELAÇÃO SINDICATOS'!A:N,13,0)</f>
        <v>-</v>
      </c>
      <c r="M176" s="148" t="str">
        <f>VLOOKUP(tabPostos[[#This Row],[CCT DA CATEGORIA]],'RELAÇÃO SINDICATOS'!A:N,14,0)</f>
        <v>MG004482/2024</v>
      </c>
    </row>
    <row r="177" spans="1:13" x14ac:dyDescent="0.25">
      <c r="A177" s="148" t="str" cm="1">
        <f t="array" ref="A177">_xlfn.XLOOKUP(tabPostos[[#This Row],[Fonte de Recursos]]&amp;tabPostos[[#This Row],[Classificação]],tabLotacao[Lotacao]&amp;tabLotacao[Tipo],tabLotacao[Codigo Lote],"0")&amp;"."&amp;_xlfn.XLOOKUP(tabPostos[[#This Row],[Comarca]],tabComarca[COMARCA],tabComarca[Codigo Comarca],"000")&amp;"."&amp;_xlfn.XLOOKUP(tabPostos[[#This Row],[Função]],tabCargos[Cargo],tabCargos[Codigo Cargo],"00")</f>
        <v>2.470.03</v>
      </c>
      <c r="B177" s="200" t="s">
        <v>162</v>
      </c>
      <c r="C177" s="200" t="s">
        <v>1247</v>
      </c>
      <c r="D177" s="200" t="str" cm="1">
        <f t="array" ref="D177">IF(tabPostos[[#This Row],[Comarca]]="","",
_xlfn.LET(
_xlpm.MATRIZ_COMARCA, ","&amp;TRIM(UPPER(SUBSTITUTE(SUBSTITUTE(SUBSTITUTE(SUBSTITUTE(SUBSTITUTE(SUBSTITUTE(SUBSTITUTE(SUBSTITUTE(SUBSTITUTE(SUBSTITUTE(SUBSTITUTE(SUBSTITUTE(SUBSTITUTE(SUBSTITUTE(SUBSTITUTE(SUBSTITUTE(SUBSTITUTE(SUBSTITUTE(SUBSTITUTE(SUBSTITUTE(SUBSTITUTE(SUBSTITUTE(SUBSTITUTE(SUBSTITUTE(SUBSTITUTE(SUBSTITUTE(tabSindicatos[ABRANGÊNCIA],"á","a"),"ã","a"),"â","a"),"é","e"),"ê","e"),"í","i"),"ó","o"),"õ","o"),"ô","o"),"ú","u"),"ç","c"),"Á","a"),"Ã","a"),"Â","a"),"É","e"),"Ê","e"),"Í","i"),"Ó","o"),"Õ","o"),"Ô","o"),"Ú","u"),"Ç","c"),"/MG","")," e ",", ")," ",""),".","")))&amp;",",
_xlpm.MATRIZ_FUNCAO, ","&amp;TRIM(UPPER(SUBSTITUTE(SUBSTITUTE(SUBSTITUTE(SUBSTITUTE(SUBSTITUTE(SUBSTITUTE(SUBSTITUTE(SUBSTITUTE(SUBSTITUTE(SUBSTITUTE(SUBSTITUTE(SUBSTITUTE(SUBSTITUTE(SUBSTITUTE(SUBSTITUTE(SUBSTITUTE(SUBSTITUTE(SUBSTITUTE(SUBSTITUTE(SUBSTITUTE(SUBSTITUTE(SUBSTITUTE(SUBSTITUTE(SUBSTITUTE(SUBSTITUTE(tabSindicatos[FUNÇÕES],"á","a"),"ã","a"),"â","a"),"é","e"),"ê","e"),"í","i"),"ó","o"),"õ","o"),"ô","o"),"ú","u"),"ç","c"),"Á","a"),"Ã","a"),"Â","a"),"É","e"),"Ê","e"),"Í","i"),"Ó","o"),"Õ","o"),"Ô","o"),"Ú","u"),"Ç","c")," e ",", ")," ",""),".","")))&amp;",",
IFERROR(_xlfn._xlws.FILTER(tabSindicatos[SINDICATOS],
(ISNUMBER(SEARCH(","&amp;TRIM(UPPER(SUBSTITUTE(tabPostos[[#This Row],[Comarca]]," ","")))&amp;",",_xlpm.MATRIZ_COMARCA,1)))*
(ISNUMBER(SEARCH(","&amp;TRIM(SUBSTITUTE(SUBSTITUTE(SUBSTITUTE(UPPER(tabPostos[[#This Row],[Função]])," E ",", ")," ",""),".",""))&amp;",",_xlpm.MATRIZ_FUNCAO,1)))
),"")
))</f>
        <v>Fethemg Interior</v>
      </c>
      <c r="E177" s="148" t="s">
        <v>9</v>
      </c>
      <c r="F177" s="148" t="s">
        <v>10</v>
      </c>
      <c r="G177" s="148">
        <v>2</v>
      </c>
      <c r="H177" s="148">
        <v>0</v>
      </c>
      <c r="I177" s="216">
        <f>544.18</f>
        <v>544.17999999999995</v>
      </c>
      <c r="J177" s="247">
        <f>VLOOKUP(tabPostos[[#This Row],[CCT DA CATEGORIA]],'RELAÇÃO SINDICATOS'!A:N,11,0)</f>
        <v>45658</v>
      </c>
      <c r="K177" s="148" t="str">
        <f>VLOOKUP(tabPostos[[#This Row],[CCT DA CATEGORIA]],'RELAÇÃO SINDICATOS'!A:N,12,0)</f>
        <v>-</v>
      </c>
      <c r="L177" s="148" t="str">
        <f>VLOOKUP(tabPostos[[#This Row],[CCT DA CATEGORIA]],'RELAÇÃO SINDICATOS'!A:N,13,0)</f>
        <v>-</v>
      </c>
      <c r="M177" s="148" t="str">
        <f>VLOOKUP(tabPostos[[#This Row],[CCT DA CATEGORIA]],'RELAÇÃO SINDICATOS'!A:N,14,0)</f>
        <v>MG004482/2024</v>
      </c>
    </row>
    <row r="178" spans="1:13" x14ac:dyDescent="0.25">
      <c r="A178" s="148" t="str" cm="1">
        <f t="array" ref="A178">_xlfn.XLOOKUP(tabPostos[[#This Row],[Fonte de Recursos]]&amp;tabPostos[[#This Row],[Classificação]],tabLotacao[Lotacao]&amp;tabLotacao[Tipo],tabLotacao[Codigo Lote],"0")&amp;"."&amp;_xlfn.XLOOKUP(tabPostos[[#This Row],[Comarca]],tabComarca[COMARCA],tabComarca[Codigo Comarca],"000")&amp;"."&amp;_xlfn.XLOOKUP(tabPostos[[#This Row],[Função]],tabCargos[Cargo],tabCargos[Codigo Cargo],"00")</f>
        <v>2.470.05</v>
      </c>
      <c r="B178" s="200" t="s">
        <v>162</v>
      </c>
      <c r="C178" s="200" t="s">
        <v>1246</v>
      </c>
      <c r="D178" s="200" t="str" cm="1">
        <f t="array" ref="D178">IF(tabPostos[[#This Row],[Comarca]]="","",
_xlfn.LET(
_xlpm.MATRIZ_COMARCA, ","&amp;TRIM(UPPER(SUBSTITUTE(SUBSTITUTE(SUBSTITUTE(SUBSTITUTE(SUBSTITUTE(SUBSTITUTE(SUBSTITUTE(SUBSTITUTE(SUBSTITUTE(SUBSTITUTE(SUBSTITUTE(SUBSTITUTE(SUBSTITUTE(SUBSTITUTE(SUBSTITUTE(SUBSTITUTE(SUBSTITUTE(SUBSTITUTE(SUBSTITUTE(SUBSTITUTE(SUBSTITUTE(SUBSTITUTE(SUBSTITUTE(SUBSTITUTE(SUBSTITUTE(SUBSTITUTE(tabSindicatos[ABRANGÊNCIA],"á","a"),"ã","a"),"â","a"),"é","e"),"ê","e"),"í","i"),"ó","o"),"õ","o"),"ô","o"),"ú","u"),"ç","c"),"Á","a"),"Ã","a"),"Â","a"),"É","e"),"Ê","e"),"Í","i"),"Ó","o"),"Õ","o"),"Ô","o"),"Ú","u"),"Ç","c"),"/MG","")," e ",", ")," ",""),".","")))&amp;",",
_xlpm.MATRIZ_FUNCAO, ","&amp;TRIM(UPPER(SUBSTITUTE(SUBSTITUTE(SUBSTITUTE(SUBSTITUTE(SUBSTITUTE(SUBSTITUTE(SUBSTITUTE(SUBSTITUTE(SUBSTITUTE(SUBSTITUTE(SUBSTITUTE(SUBSTITUTE(SUBSTITUTE(SUBSTITUTE(SUBSTITUTE(SUBSTITUTE(SUBSTITUTE(SUBSTITUTE(SUBSTITUTE(SUBSTITUTE(SUBSTITUTE(SUBSTITUTE(SUBSTITUTE(SUBSTITUTE(SUBSTITUTE(tabSindicatos[FUNÇÕES],"á","a"),"ã","a"),"â","a"),"é","e"),"ê","e"),"í","i"),"ó","o"),"õ","o"),"ô","o"),"ú","u"),"ç","c"),"Á","a"),"Ã","a"),"Â","a"),"É","e"),"Ê","e"),"Í","i"),"Ó","o"),"Õ","o"),"Ô","o"),"Ú","u"),"Ç","c")," e ",", ")," ",""),".","")))&amp;",",
IFERROR(_xlfn._xlws.FILTER(tabSindicatos[SINDICATOS],
(ISNUMBER(SEARCH(","&amp;TRIM(UPPER(SUBSTITUTE(tabPostos[[#This Row],[Comarca]]," ","")))&amp;",",_xlpm.MATRIZ_COMARCA,1)))*
(ISNUMBER(SEARCH(","&amp;TRIM(SUBSTITUTE(SUBSTITUTE(SUBSTITUTE(UPPER(tabPostos[[#This Row],[Função]])," E ",", ")," ",""),".",""))&amp;",",_xlpm.MATRIZ_FUNCAO,1)))
),"")
))</f>
        <v>Fethemg Interior</v>
      </c>
      <c r="E178" s="148" t="s">
        <v>9</v>
      </c>
      <c r="F178" s="148" t="s">
        <v>10</v>
      </c>
      <c r="G178" s="148">
        <v>1</v>
      </c>
      <c r="H178" s="148">
        <v>0</v>
      </c>
      <c r="I178" s="216">
        <f>1088.37</f>
        <v>1088.3699999999999</v>
      </c>
      <c r="J178" s="247">
        <f>VLOOKUP(tabPostos[[#This Row],[CCT DA CATEGORIA]],'RELAÇÃO SINDICATOS'!A:N,11,0)</f>
        <v>45658</v>
      </c>
      <c r="K178" s="148" t="str">
        <f>VLOOKUP(tabPostos[[#This Row],[CCT DA CATEGORIA]],'RELAÇÃO SINDICATOS'!A:N,12,0)</f>
        <v>-</v>
      </c>
      <c r="L178" s="148" t="str">
        <f>VLOOKUP(tabPostos[[#This Row],[CCT DA CATEGORIA]],'RELAÇÃO SINDICATOS'!A:N,13,0)</f>
        <v>-</v>
      </c>
      <c r="M178" s="148" t="str">
        <f>VLOOKUP(tabPostos[[#This Row],[CCT DA CATEGORIA]],'RELAÇÃO SINDICATOS'!A:N,14,0)</f>
        <v>MG004482/2024</v>
      </c>
    </row>
    <row r="179" spans="1:13" x14ac:dyDescent="0.25">
      <c r="A179" s="148" t="str" cm="1">
        <f t="array" ref="A179">_xlfn.XLOOKUP(tabPostos[[#This Row],[Fonte de Recursos]]&amp;tabPostos[[#This Row],[Classificação]],tabLotacao[Lotacao]&amp;tabLotacao[Tipo],tabLotacao[Codigo Lote],"0")&amp;"."&amp;_xlfn.XLOOKUP(tabPostos[[#This Row],[Comarca]],tabComarca[COMARCA],tabComarca[Codigo Comarca],"000")&amp;"."&amp;_xlfn.XLOOKUP(tabPostos[[#This Row],[Função]],tabCargos[Cargo],tabCargos[Codigo Cargo],"00")</f>
        <v>2.472.04</v>
      </c>
      <c r="B179" s="200" t="s">
        <v>163</v>
      </c>
      <c r="C179" s="200" t="s">
        <v>1244</v>
      </c>
      <c r="D179" s="200" t="str" cm="1">
        <f t="array" ref="D179">IF(tabPostos[[#This Row],[Comarca]]="","",
_xlfn.LET(
_xlpm.MATRIZ_COMARCA, ","&amp;TRIM(UPPER(SUBSTITUTE(SUBSTITUTE(SUBSTITUTE(SUBSTITUTE(SUBSTITUTE(SUBSTITUTE(SUBSTITUTE(SUBSTITUTE(SUBSTITUTE(SUBSTITUTE(SUBSTITUTE(SUBSTITUTE(SUBSTITUTE(SUBSTITUTE(SUBSTITUTE(SUBSTITUTE(SUBSTITUTE(SUBSTITUTE(SUBSTITUTE(SUBSTITUTE(SUBSTITUTE(SUBSTITUTE(SUBSTITUTE(SUBSTITUTE(SUBSTITUTE(SUBSTITUTE(tabSindicatos[ABRANGÊNCIA],"á","a"),"ã","a"),"â","a"),"é","e"),"ê","e"),"í","i"),"ó","o"),"õ","o"),"ô","o"),"ú","u"),"ç","c"),"Á","a"),"Ã","a"),"Â","a"),"É","e"),"Ê","e"),"Í","i"),"Ó","o"),"Õ","o"),"Ô","o"),"Ú","u"),"Ç","c"),"/MG","")," e ",", ")," ",""),".","")))&amp;",",
_xlpm.MATRIZ_FUNCAO, ","&amp;TRIM(UPPER(SUBSTITUTE(SUBSTITUTE(SUBSTITUTE(SUBSTITUTE(SUBSTITUTE(SUBSTITUTE(SUBSTITUTE(SUBSTITUTE(SUBSTITUTE(SUBSTITUTE(SUBSTITUTE(SUBSTITUTE(SUBSTITUTE(SUBSTITUTE(SUBSTITUTE(SUBSTITUTE(SUBSTITUTE(SUBSTITUTE(SUBSTITUTE(SUBSTITUTE(SUBSTITUTE(SUBSTITUTE(SUBSTITUTE(SUBSTITUTE(SUBSTITUTE(tabSindicatos[FUNÇÕES],"á","a"),"ã","a"),"â","a"),"é","e"),"ê","e"),"í","i"),"ó","o"),"õ","o"),"ô","o"),"ú","u"),"ç","c"),"Á","a"),"Ã","a"),"Â","a"),"É","e"),"Ê","e"),"Í","i"),"Ó","o"),"Õ","o"),"Ô","o"),"Ú","u"),"Ç","c")," e ",", ")," ",""),".","")))&amp;",",
IFERROR(_xlfn._xlws.FILTER(tabSindicatos[SINDICATOS],
(ISNUMBER(SEARCH(","&amp;TRIM(UPPER(SUBSTITUTE(tabPostos[[#This Row],[Comarca]]," ","")))&amp;",",_xlpm.MATRIZ_COMARCA,1)))*
(ISNUMBER(SEARCH(","&amp;TRIM(SUBSTITUTE(SUBSTITUTE(SUBSTITUTE(UPPER(tabPostos[[#This Row],[Função]])," E ",", ")," ",""),".",""))&amp;",",_xlpm.MATRIZ_FUNCAO,1)))
),"")
))</f>
        <v>Regiao de Sao Lourenco</v>
      </c>
      <c r="E179" s="148" t="s">
        <v>9</v>
      </c>
      <c r="F179" s="148" t="s">
        <v>10</v>
      </c>
      <c r="G179" s="148">
        <v>1</v>
      </c>
      <c r="H179" s="148">
        <v>0</v>
      </c>
      <c r="I179" s="216">
        <f>798.14</f>
        <v>798.14</v>
      </c>
      <c r="J179" s="247">
        <f>VLOOKUP(tabPostos[[#This Row],[CCT DA CATEGORIA]],'RELAÇÃO SINDICATOS'!A:N,11,0)</f>
        <v>45658</v>
      </c>
      <c r="K179" s="148" t="str">
        <f>VLOOKUP(tabPostos[[#This Row],[CCT DA CATEGORIA]],'RELAÇÃO SINDICATOS'!A:N,12,0)</f>
        <v>-</v>
      </c>
      <c r="L179" s="148" t="str">
        <f>VLOOKUP(tabPostos[[#This Row],[CCT DA CATEGORIA]],'RELAÇÃO SINDICATOS'!A:N,13,0)</f>
        <v>-</v>
      </c>
      <c r="M179" s="148" t="str">
        <f>VLOOKUP(tabPostos[[#This Row],[CCT DA CATEGORIA]],'RELAÇÃO SINDICATOS'!A:N,14,0)</f>
        <v>MG000594/2025</v>
      </c>
    </row>
    <row r="180" spans="1:13" x14ac:dyDescent="0.25">
      <c r="A180" s="148" t="str" cm="1">
        <f t="array" ref="A180">_xlfn.XLOOKUP(tabPostos[[#This Row],[Fonte de Recursos]]&amp;tabPostos[[#This Row],[Classificação]],tabLotacao[Lotacao]&amp;tabLotacao[Tipo],tabLotacao[Codigo Lote],"0")&amp;"."&amp;_xlfn.XLOOKUP(tabPostos[[#This Row],[Comarca]],tabComarca[COMARCA],tabComarca[Codigo Comarca],"000")&amp;"."&amp;_xlfn.XLOOKUP(tabPostos[[#This Row],[Função]],tabCargos[Cargo],tabCargos[Codigo Cargo],"00")</f>
        <v>2.474.04</v>
      </c>
      <c r="B180" s="200" t="s">
        <v>164</v>
      </c>
      <c r="C180" s="200" t="s">
        <v>1244</v>
      </c>
      <c r="D180" s="200" t="str" cm="1">
        <f t="array" ref="D180">IF(tabPostos[[#This Row],[Comarca]]="","",
_xlfn.LET(
_xlpm.MATRIZ_COMARCA, ","&amp;TRIM(UPPER(SUBSTITUTE(SUBSTITUTE(SUBSTITUTE(SUBSTITUTE(SUBSTITUTE(SUBSTITUTE(SUBSTITUTE(SUBSTITUTE(SUBSTITUTE(SUBSTITUTE(SUBSTITUTE(SUBSTITUTE(SUBSTITUTE(SUBSTITUTE(SUBSTITUTE(SUBSTITUTE(SUBSTITUTE(SUBSTITUTE(SUBSTITUTE(SUBSTITUTE(SUBSTITUTE(SUBSTITUTE(SUBSTITUTE(SUBSTITUTE(SUBSTITUTE(SUBSTITUTE(tabSindicatos[ABRANGÊNCIA],"á","a"),"ã","a"),"â","a"),"é","e"),"ê","e"),"í","i"),"ó","o"),"õ","o"),"ô","o"),"ú","u"),"ç","c"),"Á","a"),"Ã","a"),"Â","a"),"É","e"),"Ê","e"),"Í","i"),"Ó","o"),"Õ","o"),"Ô","o"),"Ú","u"),"Ç","c"),"/MG","")," e ",", ")," ",""),".","")))&amp;",",
_xlpm.MATRIZ_FUNCAO, ","&amp;TRIM(UPPER(SUBSTITUTE(SUBSTITUTE(SUBSTITUTE(SUBSTITUTE(SUBSTITUTE(SUBSTITUTE(SUBSTITUTE(SUBSTITUTE(SUBSTITUTE(SUBSTITUTE(SUBSTITUTE(SUBSTITUTE(SUBSTITUTE(SUBSTITUTE(SUBSTITUTE(SUBSTITUTE(SUBSTITUTE(SUBSTITUTE(SUBSTITUTE(SUBSTITUTE(SUBSTITUTE(SUBSTITUTE(SUBSTITUTE(SUBSTITUTE(SUBSTITUTE(tabSindicatos[FUNÇÕES],"á","a"),"ã","a"),"â","a"),"é","e"),"ê","e"),"í","i"),"ó","o"),"õ","o"),"ô","o"),"ú","u"),"ç","c"),"Á","a"),"Ã","a"),"Â","a"),"É","e"),"Ê","e"),"Í","i"),"Ó","o"),"Õ","o"),"Ô","o"),"Ú","u"),"Ç","c")," e ",", ")," ",""),".","")))&amp;",",
IFERROR(_xlfn._xlws.FILTER(tabSindicatos[SINDICATOS],
(ISNUMBER(SEARCH(","&amp;TRIM(UPPER(SUBSTITUTE(tabPostos[[#This Row],[Comarca]]," ","")))&amp;",",_xlpm.MATRIZ_COMARCA,1)))*
(ISNUMBER(SEARCH(","&amp;TRIM(SUBSTITUTE(SUBSTITUTE(SUBSTITUTE(UPPER(tabPostos[[#This Row],[Função]])," E ",", ")," ",""),".",""))&amp;",",_xlpm.MATRIZ_FUNCAO,1)))
),"")
))</f>
        <v>Sete Lagoas</v>
      </c>
      <c r="E180" s="148" t="s">
        <v>9</v>
      </c>
      <c r="F180" s="148" t="s">
        <v>10</v>
      </c>
      <c r="G180" s="148">
        <v>1</v>
      </c>
      <c r="H180" s="148">
        <v>0</v>
      </c>
      <c r="I180" s="216">
        <f>824.56</f>
        <v>824.56</v>
      </c>
      <c r="J180" s="247">
        <f>VLOOKUP(tabPostos[[#This Row],[CCT DA CATEGORIA]],'RELAÇÃO SINDICATOS'!A:N,11,0)</f>
        <v>45658</v>
      </c>
      <c r="K180" s="148" t="str">
        <f>VLOOKUP(tabPostos[[#This Row],[CCT DA CATEGORIA]],'RELAÇÃO SINDICATOS'!A:N,12,0)</f>
        <v>-</v>
      </c>
      <c r="L180" s="148" t="str">
        <f>VLOOKUP(tabPostos[[#This Row],[CCT DA CATEGORIA]],'RELAÇÃO SINDICATOS'!A:N,13,0)</f>
        <v>-</v>
      </c>
      <c r="M180" s="148" t="str">
        <f>VLOOKUP(tabPostos[[#This Row],[CCT DA CATEGORIA]],'RELAÇÃO SINDICATOS'!A:N,14,0)</f>
        <v>MG000435/2025</v>
      </c>
    </row>
    <row r="181" spans="1:13" x14ac:dyDescent="0.25">
      <c r="A181" s="148" t="str" cm="1">
        <f t="array" ref="A181">_xlfn.XLOOKUP(tabPostos[[#This Row],[Fonte de Recursos]]&amp;tabPostos[[#This Row],[Classificação]],tabLotacao[Lotacao]&amp;tabLotacao[Tipo],tabLotacao[Codigo Lote],"0")&amp;"."&amp;_xlfn.XLOOKUP(tabPostos[[#This Row],[Comarca]],tabComarca[COMARCA],tabComarca[Codigo Comarca],"000")&amp;"."&amp;_xlfn.XLOOKUP(tabPostos[[#This Row],[Função]],tabCargos[Cargo],tabCargos[Codigo Cargo],"00")</f>
        <v>2.479.06</v>
      </c>
      <c r="B181" s="200" t="s">
        <v>165</v>
      </c>
      <c r="C181" s="200" t="s">
        <v>1245</v>
      </c>
      <c r="D181" s="200" t="str" cm="1">
        <f t="array" ref="D181">IF(tabPostos[[#This Row],[Comarca]]="","",
_xlfn.LET(
_xlpm.MATRIZ_COMARCA, ","&amp;TRIM(UPPER(SUBSTITUTE(SUBSTITUTE(SUBSTITUTE(SUBSTITUTE(SUBSTITUTE(SUBSTITUTE(SUBSTITUTE(SUBSTITUTE(SUBSTITUTE(SUBSTITUTE(SUBSTITUTE(SUBSTITUTE(SUBSTITUTE(SUBSTITUTE(SUBSTITUTE(SUBSTITUTE(SUBSTITUTE(SUBSTITUTE(SUBSTITUTE(SUBSTITUTE(SUBSTITUTE(SUBSTITUTE(SUBSTITUTE(SUBSTITUTE(SUBSTITUTE(SUBSTITUTE(tabSindicatos[ABRANGÊNCIA],"á","a"),"ã","a"),"â","a"),"é","e"),"ê","e"),"í","i"),"ó","o"),"õ","o"),"ô","o"),"ú","u"),"ç","c"),"Á","a"),"Ã","a"),"Â","a"),"É","e"),"Ê","e"),"Í","i"),"Ó","o"),"Õ","o"),"Ô","o"),"Ú","u"),"Ç","c"),"/MG","")," e ",", ")," ",""),".","")))&amp;",",
_xlpm.MATRIZ_FUNCAO, ","&amp;TRIM(UPPER(SUBSTITUTE(SUBSTITUTE(SUBSTITUTE(SUBSTITUTE(SUBSTITUTE(SUBSTITUTE(SUBSTITUTE(SUBSTITUTE(SUBSTITUTE(SUBSTITUTE(SUBSTITUTE(SUBSTITUTE(SUBSTITUTE(SUBSTITUTE(SUBSTITUTE(SUBSTITUTE(SUBSTITUTE(SUBSTITUTE(SUBSTITUTE(SUBSTITUTE(SUBSTITUTE(SUBSTITUTE(SUBSTITUTE(SUBSTITUTE(SUBSTITUTE(tabSindicatos[FUNÇÕES],"á","a"),"ã","a"),"â","a"),"é","e"),"ê","e"),"í","i"),"ó","o"),"õ","o"),"ô","o"),"ú","u"),"ç","c"),"Á","a"),"Ã","a"),"Â","a"),"É","e"),"Ê","e"),"Í","i"),"Ó","o"),"Õ","o"),"Ô","o"),"Ú","u"),"Ç","c")," e ",", ")," ",""),".","")))&amp;",",
IFERROR(_xlfn._xlws.FILTER(tabSindicatos[SINDICATOS],
(ISNUMBER(SEARCH(","&amp;TRIM(UPPER(SUBSTITUTE(tabPostos[[#This Row],[Comarca]]," ","")))&amp;",",_xlpm.MATRIZ_COMARCA,1)))*
(ISNUMBER(SEARCH(","&amp;TRIM(SUBSTITUTE(SUBSTITUTE(SUBSTITUTE(UPPER(tabPostos[[#This Row],[Função]])," E ",", ")," ",""),".",""))&amp;",",_xlpm.MATRIZ_FUNCAO,1)))
),"")
))</f>
        <v>Regiao de Sao Lourenco</v>
      </c>
      <c r="E181" s="148" t="s">
        <v>9</v>
      </c>
      <c r="F181" s="148" t="s">
        <v>10</v>
      </c>
      <c r="G181" s="148">
        <v>2</v>
      </c>
      <c r="H181" s="148">
        <v>0</v>
      </c>
      <c r="I181" s="216">
        <f>1596.28</f>
        <v>1596.28</v>
      </c>
      <c r="J181" s="247">
        <f>VLOOKUP(tabPostos[[#This Row],[CCT DA CATEGORIA]],'RELAÇÃO SINDICATOS'!A:N,11,0)</f>
        <v>45658</v>
      </c>
      <c r="K181" s="148" t="str">
        <f>VLOOKUP(tabPostos[[#This Row],[CCT DA CATEGORIA]],'RELAÇÃO SINDICATOS'!A:N,12,0)</f>
        <v>-</v>
      </c>
      <c r="L181" s="148" t="str">
        <f>VLOOKUP(tabPostos[[#This Row],[CCT DA CATEGORIA]],'RELAÇÃO SINDICATOS'!A:N,13,0)</f>
        <v>-</v>
      </c>
      <c r="M181" s="148" t="str">
        <f>VLOOKUP(tabPostos[[#This Row],[CCT DA CATEGORIA]],'RELAÇÃO SINDICATOS'!A:N,14,0)</f>
        <v>MG000594/2025</v>
      </c>
    </row>
    <row r="182" spans="1:13" x14ac:dyDescent="0.25">
      <c r="A182" s="148" t="str" cm="1">
        <f t="array" ref="A182">_xlfn.XLOOKUP(tabPostos[[#This Row],[Fonte de Recursos]]&amp;tabPostos[[#This Row],[Classificação]],tabLotacao[Lotacao]&amp;tabLotacao[Tipo],tabLotacao[Codigo Lote],"0")&amp;"."&amp;_xlfn.XLOOKUP(tabPostos[[#This Row],[Comarca]],tabComarca[COMARCA],tabComarca[Codigo Comarca],"000")&amp;"."&amp;_xlfn.XLOOKUP(tabPostos[[#This Row],[Função]],tabCargos[Cargo],tabCargos[Codigo Cargo],"00")</f>
        <v>2.480.06</v>
      </c>
      <c r="B182" s="200" t="s">
        <v>166</v>
      </c>
      <c r="C182" s="200" t="s">
        <v>1245</v>
      </c>
      <c r="D182" s="200" t="str" cm="1">
        <f t="array" ref="D182">IF(tabPostos[[#This Row],[Comarca]]="","",
_xlfn.LET(
_xlpm.MATRIZ_COMARCA, ","&amp;TRIM(UPPER(SUBSTITUTE(SUBSTITUTE(SUBSTITUTE(SUBSTITUTE(SUBSTITUTE(SUBSTITUTE(SUBSTITUTE(SUBSTITUTE(SUBSTITUTE(SUBSTITUTE(SUBSTITUTE(SUBSTITUTE(SUBSTITUTE(SUBSTITUTE(SUBSTITUTE(SUBSTITUTE(SUBSTITUTE(SUBSTITUTE(SUBSTITUTE(SUBSTITUTE(SUBSTITUTE(SUBSTITUTE(SUBSTITUTE(SUBSTITUTE(SUBSTITUTE(SUBSTITUTE(tabSindicatos[ABRANGÊNCIA],"á","a"),"ã","a"),"â","a"),"é","e"),"ê","e"),"í","i"),"ó","o"),"õ","o"),"ô","o"),"ú","u"),"ç","c"),"Á","a"),"Ã","a"),"Â","a"),"É","e"),"Ê","e"),"Í","i"),"Ó","o"),"Õ","o"),"Ô","o"),"Ú","u"),"Ç","c"),"/MG","")," e ",", ")," ",""),".","")))&amp;",",
_xlpm.MATRIZ_FUNCAO, ","&amp;TRIM(UPPER(SUBSTITUTE(SUBSTITUTE(SUBSTITUTE(SUBSTITUTE(SUBSTITUTE(SUBSTITUTE(SUBSTITUTE(SUBSTITUTE(SUBSTITUTE(SUBSTITUTE(SUBSTITUTE(SUBSTITUTE(SUBSTITUTE(SUBSTITUTE(SUBSTITUTE(SUBSTITUTE(SUBSTITUTE(SUBSTITUTE(SUBSTITUTE(SUBSTITUTE(SUBSTITUTE(SUBSTITUTE(SUBSTITUTE(SUBSTITUTE(SUBSTITUTE(tabSindicatos[FUNÇÕES],"á","a"),"ã","a"),"â","a"),"é","e"),"ê","e"),"í","i"),"ó","o"),"õ","o"),"ô","o"),"ú","u"),"ç","c"),"Á","a"),"Ã","a"),"Â","a"),"É","e"),"Ê","e"),"Í","i"),"Ó","o"),"Õ","o"),"Ô","o"),"Ú","u"),"Ç","c")," e ",", ")," ",""),".","")))&amp;",",
IFERROR(_xlfn._xlws.FILTER(tabSindicatos[SINDICATOS],
(ISNUMBER(SEARCH(","&amp;TRIM(UPPER(SUBSTITUTE(tabPostos[[#This Row],[Comarca]]," ","")))&amp;",",_xlpm.MATRIZ_COMARCA,1)))*
(ISNUMBER(SEARCH(","&amp;TRIM(SUBSTITUTE(SUBSTITUTE(SUBSTITUTE(UPPER(tabPostos[[#This Row],[Função]])," E ",", ")," ",""),".",""))&amp;",",_xlpm.MATRIZ_FUNCAO,1)))
),"")
))</f>
        <v>Regiao Uberaba</v>
      </c>
      <c r="E182" s="148" t="s">
        <v>9</v>
      </c>
      <c r="F182" s="148" t="s">
        <v>10</v>
      </c>
      <c r="G182" s="148">
        <v>5</v>
      </c>
      <c r="H182" s="148">
        <v>0</v>
      </c>
      <c r="I182" s="216">
        <f>1596.28</f>
        <v>1596.28</v>
      </c>
      <c r="J182" s="247">
        <f>VLOOKUP(tabPostos[[#This Row],[CCT DA CATEGORIA]],'RELAÇÃO SINDICATOS'!A:N,11,0)</f>
        <v>45658</v>
      </c>
      <c r="K182" s="148" t="str">
        <f>VLOOKUP(tabPostos[[#This Row],[CCT DA CATEGORIA]],'RELAÇÃO SINDICATOS'!A:N,12,0)</f>
        <v>-</v>
      </c>
      <c r="L182" s="148" t="str">
        <f>VLOOKUP(tabPostos[[#This Row],[CCT DA CATEGORIA]],'RELAÇÃO SINDICATOS'!A:N,13,0)</f>
        <v>-</v>
      </c>
      <c r="M182" s="148" t="str">
        <f>VLOOKUP(tabPostos[[#This Row],[CCT DA CATEGORIA]],'RELAÇÃO SINDICATOS'!A:N,14,0)</f>
        <v>MG000478/2025</v>
      </c>
    </row>
    <row r="183" spans="1:13" x14ac:dyDescent="0.25">
      <c r="A183" s="148" t="str" cm="1">
        <f t="array" ref="A183">_xlfn.XLOOKUP(tabPostos[[#This Row],[Fonte de Recursos]]&amp;tabPostos[[#This Row],[Classificação]],tabLotacao[Lotacao]&amp;tabLotacao[Tipo],tabLotacao[Codigo Lote],"0")&amp;"."&amp;_xlfn.XLOOKUP(tabPostos[[#This Row],[Comarca]],tabComarca[COMARCA],tabComarca[Codigo Comarca],"000")&amp;"."&amp;_xlfn.XLOOKUP(tabPostos[[#This Row],[Função]],tabCargos[Cargo],tabCargos[Codigo Cargo],"00")</f>
        <v>2.486.05</v>
      </c>
      <c r="B183" s="200" t="s">
        <v>167</v>
      </c>
      <c r="C183" s="200" t="s">
        <v>1246</v>
      </c>
      <c r="D183" s="200" t="str" cm="1">
        <f t="array" ref="D183">IF(tabPostos[[#This Row],[Comarca]]="","",
_xlfn.LET(
_xlpm.MATRIZ_COMARCA, ","&amp;TRIM(UPPER(SUBSTITUTE(SUBSTITUTE(SUBSTITUTE(SUBSTITUTE(SUBSTITUTE(SUBSTITUTE(SUBSTITUTE(SUBSTITUTE(SUBSTITUTE(SUBSTITUTE(SUBSTITUTE(SUBSTITUTE(SUBSTITUTE(SUBSTITUTE(SUBSTITUTE(SUBSTITUTE(SUBSTITUTE(SUBSTITUTE(SUBSTITUTE(SUBSTITUTE(SUBSTITUTE(SUBSTITUTE(SUBSTITUTE(SUBSTITUTE(SUBSTITUTE(SUBSTITUTE(tabSindicatos[ABRANGÊNCIA],"á","a"),"ã","a"),"â","a"),"é","e"),"ê","e"),"í","i"),"ó","o"),"õ","o"),"ô","o"),"ú","u"),"ç","c"),"Á","a"),"Ã","a"),"Â","a"),"É","e"),"Ê","e"),"Í","i"),"Ó","o"),"Õ","o"),"Ô","o"),"Ú","u"),"Ç","c"),"/MG","")," e ",", ")," ",""),".","")))&amp;",",
_xlpm.MATRIZ_FUNCAO, ","&amp;TRIM(UPPER(SUBSTITUTE(SUBSTITUTE(SUBSTITUTE(SUBSTITUTE(SUBSTITUTE(SUBSTITUTE(SUBSTITUTE(SUBSTITUTE(SUBSTITUTE(SUBSTITUTE(SUBSTITUTE(SUBSTITUTE(SUBSTITUTE(SUBSTITUTE(SUBSTITUTE(SUBSTITUTE(SUBSTITUTE(SUBSTITUTE(SUBSTITUTE(SUBSTITUTE(SUBSTITUTE(SUBSTITUTE(SUBSTITUTE(SUBSTITUTE(SUBSTITUTE(tabSindicatos[FUNÇÕES],"á","a"),"ã","a"),"â","a"),"é","e"),"ê","e"),"í","i"),"ó","o"),"õ","o"),"ô","o"),"ú","u"),"ç","c"),"Á","a"),"Ã","a"),"Â","a"),"É","e"),"Ê","e"),"Í","i"),"Ó","o"),"Õ","o"),"Ô","o"),"Ú","u"),"Ç","c")," e ",", ")," ",""),".","")))&amp;",",
IFERROR(_xlfn._xlws.FILTER(tabSindicatos[SINDICATOS],
(ISNUMBER(SEARCH(","&amp;TRIM(UPPER(SUBSTITUTE(tabPostos[[#This Row],[Comarca]]," ","")))&amp;",",_xlpm.MATRIZ_COMARCA,1)))*
(ISNUMBER(SEARCH(","&amp;TRIM(SUBSTITUTE(SUBSTITUTE(SUBSTITUTE(UPPER(tabPostos[[#This Row],[Função]])," E ",", ")," ",""),".",""))&amp;",",_xlpm.MATRIZ_FUNCAO,1)))
),"")
))</f>
        <v>Fethemg Interior</v>
      </c>
      <c r="E183" s="148" t="s">
        <v>9</v>
      </c>
      <c r="F183" s="148" t="s">
        <v>10</v>
      </c>
      <c r="G183" s="148">
        <v>1</v>
      </c>
      <c r="H183" s="148">
        <v>0</v>
      </c>
      <c r="I183" s="216">
        <f>1088.37</f>
        <v>1088.3699999999999</v>
      </c>
      <c r="J183" s="247">
        <f>VLOOKUP(tabPostos[[#This Row],[CCT DA CATEGORIA]],'RELAÇÃO SINDICATOS'!A:N,11,0)</f>
        <v>45658</v>
      </c>
      <c r="K183" s="148" t="str">
        <f>VLOOKUP(tabPostos[[#This Row],[CCT DA CATEGORIA]],'RELAÇÃO SINDICATOS'!A:N,12,0)</f>
        <v>-</v>
      </c>
      <c r="L183" s="148" t="str">
        <f>VLOOKUP(tabPostos[[#This Row],[CCT DA CATEGORIA]],'RELAÇÃO SINDICATOS'!A:N,13,0)</f>
        <v>-</v>
      </c>
      <c r="M183" s="148" t="str">
        <f>VLOOKUP(tabPostos[[#This Row],[CCT DA CATEGORIA]],'RELAÇÃO SINDICATOS'!A:N,14,0)</f>
        <v>MG004482/2024</v>
      </c>
    </row>
    <row r="184" spans="1:13" x14ac:dyDescent="0.25">
      <c r="A184" s="148" t="str" cm="1">
        <f t="array" ref="A184">_xlfn.XLOOKUP(tabPostos[[#This Row],[Fonte de Recursos]]&amp;tabPostos[[#This Row],[Classificação]],tabLotacao[Lotacao]&amp;tabLotacao[Tipo],tabLotacao[Codigo Lote],"0")&amp;"."&amp;_xlfn.XLOOKUP(tabPostos[[#This Row],[Comarca]],tabComarca[COMARCA],tabComarca[Codigo Comarca],"000")&amp;"."&amp;_xlfn.XLOOKUP(tabPostos[[#This Row],[Função]],tabCargos[Cargo],tabCargos[Codigo Cargo],"00")</f>
        <v>2.487.04</v>
      </c>
      <c r="B184" s="200" t="s">
        <v>168</v>
      </c>
      <c r="C184" s="200" t="s">
        <v>1244</v>
      </c>
      <c r="D184" s="200" t="str" cm="1">
        <f t="array" ref="D184">IF(tabPostos[[#This Row],[Comarca]]="","",
_xlfn.LET(
_xlpm.MATRIZ_COMARCA, ","&amp;TRIM(UPPER(SUBSTITUTE(SUBSTITUTE(SUBSTITUTE(SUBSTITUTE(SUBSTITUTE(SUBSTITUTE(SUBSTITUTE(SUBSTITUTE(SUBSTITUTE(SUBSTITUTE(SUBSTITUTE(SUBSTITUTE(SUBSTITUTE(SUBSTITUTE(SUBSTITUTE(SUBSTITUTE(SUBSTITUTE(SUBSTITUTE(SUBSTITUTE(SUBSTITUTE(SUBSTITUTE(SUBSTITUTE(SUBSTITUTE(SUBSTITUTE(SUBSTITUTE(SUBSTITUTE(tabSindicatos[ABRANGÊNCIA],"á","a"),"ã","a"),"â","a"),"é","e"),"ê","e"),"í","i"),"ó","o"),"õ","o"),"ô","o"),"ú","u"),"ç","c"),"Á","a"),"Ã","a"),"Â","a"),"É","e"),"Ê","e"),"Í","i"),"Ó","o"),"Õ","o"),"Ô","o"),"Ú","u"),"Ç","c"),"/MG","")," e ",", ")," ",""),".","")))&amp;",",
_xlpm.MATRIZ_FUNCAO, ","&amp;TRIM(UPPER(SUBSTITUTE(SUBSTITUTE(SUBSTITUTE(SUBSTITUTE(SUBSTITUTE(SUBSTITUTE(SUBSTITUTE(SUBSTITUTE(SUBSTITUTE(SUBSTITUTE(SUBSTITUTE(SUBSTITUTE(SUBSTITUTE(SUBSTITUTE(SUBSTITUTE(SUBSTITUTE(SUBSTITUTE(SUBSTITUTE(SUBSTITUTE(SUBSTITUTE(SUBSTITUTE(SUBSTITUTE(SUBSTITUTE(SUBSTITUTE(SUBSTITUTE(tabSindicatos[FUNÇÕES],"á","a"),"ã","a"),"â","a"),"é","e"),"ê","e"),"í","i"),"ó","o"),"õ","o"),"ô","o"),"ú","u"),"ç","c"),"Á","a"),"Ã","a"),"Â","a"),"É","e"),"Ê","e"),"Í","i"),"Ó","o"),"Õ","o"),"Ô","o"),"Ú","u"),"Ç","c")," e ",", ")," ",""),".","")))&amp;",",
IFERROR(_xlfn._xlws.FILTER(tabSindicatos[SINDICATOS],
(ISNUMBER(SEARCH(","&amp;TRIM(UPPER(SUBSTITUTE(tabPostos[[#This Row],[Comarca]]," ","")))&amp;",",_xlpm.MATRIZ_COMARCA,1)))*
(ISNUMBER(SEARCH(","&amp;TRIM(SUBSTITUTE(SUBSTITUTE(SUBSTITUTE(UPPER(tabPostos[[#This Row],[Função]])," E ",", ")," ",""),".",""))&amp;",",_xlpm.MATRIZ_FUNCAO,1)))
),"")
))</f>
        <v>Regiao de Teofilo Otoni</v>
      </c>
      <c r="E184" s="148" t="s">
        <v>9</v>
      </c>
      <c r="F184" s="148" t="s">
        <v>10</v>
      </c>
      <c r="G184" s="148">
        <v>1</v>
      </c>
      <c r="H184" s="148">
        <v>0</v>
      </c>
      <c r="I184" s="216">
        <f>798.14</f>
        <v>798.14</v>
      </c>
      <c r="J184" s="247">
        <f>VLOOKUP(tabPostos[[#This Row],[CCT DA CATEGORIA]],'RELAÇÃO SINDICATOS'!A:N,11,0)</f>
        <v>45658</v>
      </c>
      <c r="K184" s="148" t="str">
        <f>VLOOKUP(tabPostos[[#This Row],[CCT DA CATEGORIA]],'RELAÇÃO SINDICATOS'!A:N,12,0)</f>
        <v>-</v>
      </c>
      <c r="L184" s="148" t="str">
        <f>VLOOKUP(tabPostos[[#This Row],[CCT DA CATEGORIA]],'RELAÇÃO SINDICATOS'!A:N,13,0)</f>
        <v>-</v>
      </c>
      <c r="M184" s="148" t="str">
        <f>VLOOKUP(tabPostos[[#This Row],[CCT DA CATEGORIA]],'RELAÇÃO SINDICATOS'!A:N,14,0)</f>
        <v>MG004488/2024</v>
      </c>
    </row>
    <row r="185" spans="1:13" x14ac:dyDescent="0.25">
      <c r="A185" s="148" t="str" cm="1">
        <f t="array" ref="A185">_xlfn.XLOOKUP(tabPostos[[#This Row],[Fonte de Recursos]]&amp;tabPostos[[#This Row],[Classificação]],tabLotacao[Lotacao]&amp;tabLotacao[Tipo],tabLotacao[Codigo Lote],"0")&amp;"."&amp;_xlfn.XLOOKUP(tabPostos[[#This Row],[Comarca]],tabComarca[COMARCA],tabComarca[Codigo Comarca],"000")&amp;"."&amp;_xlfn.XLOOKUP(tabPostos[[#This Row],[Função]],tabCargos[Cargo],tabCargos[Codigo Cargo],"00")</f>
        <v>2.210.06</v>
      </c>
      <c r="B185" s="200" t="s">
        <v>169</v>
      </c>
      <c r="C185" s="200" t="s">
        <v>1245</v>
      </c>
      <c r="D185" s="200" t="str" cm="1">
        <f t="array" ref="D185">IF(tabPostos[[#This Row],[Comarca]]="","",
_xlfn.LET(
_xlpm.MATRIZ_COMARCA, ","&amp;TRIM(UPPER(SUBSTITUTE(SUBSTITUTE(SUBSTITUTE(SUBSTITUTE(SUBSTITUTE(SUBSTITUTE(SUBSTITUTE(SUBSTITUTE(SUBSTITUTE(SUBSTITUTE(SUBSTITUTE(SUBSTITUTE(SUBSTITUTE(SUBSTITUTE(SUBSTITUTE(SUBSTITUTE(SUBSTITUTE(SUBSTITUTE(SUBSTITUTE(SUBSTITUTE(SUBSTITUTE(SUBSTITUTE(SUBSTITUTE(SUBSTITUTE(SUBSTITUTE(SUBSTITUTE(tabSindicatos[ABRANGÊNCIA],"á","a"),"ã","a"),"â","a"),"é","e"),"ê","e"),"í","i"),"ó","o"),"õ","o"),"ô","o"),"ú","u"),"ç","c"),"Á","a"),"Ã","a"),"Â","a"),"É","e"),"Ê","e"),"Í","i"),"Ó","o"),"Õ","o"),"Ô","o"),"Ú","u"),"Ç","c"),"/MG","")," e ",", ")," ",""),".","")))&amp;",",
_xlpm.MATRIZ_FUNCAO, ","&amp;TRIM(UPPER(SUBSTITUTE(SUBSTITUTE(SUBSTITUTE(SUBSTITUTE(SUBSTITUTE(SUBSTITUTE(SUBSTITUTE(SUBSTITUTE(SUBSTITUTE(SUBSTITUTE(SUBSTITUTE(SUBSTITUTE(SUBSTITUTE(SUBSTITUTE(SUBSTITUTE(SUBSTITUTE(SUBSTITUTE(SUBSTITUTE(SUBSTITUTE(SUBSTITUTE(SUBSTITUTE(SUBSTITUTE(SUBSTITUTE(SUBSTITUTE(SUBSTITUTE(tabSindicatos[FUNÇÕES],"á","a"),"ã","a"),"â","a"),"é","e"),"ê","e"),"í","i"),"ó","o"),"õ","o"),"ô","o"),"ú","u"),"ç","c"),"Á","a"),"Ã","a"),"Â","a"),"É","e"),"Ê","e"),"Í","i"),"Ó","o"),"Õ","o"),"Ô","o"),"Ú","u"),"Ç","c")," e ",", ")," ",""),".","")))&amp;",",
IFERROR(_xlfn._xlws.FILTER(tabSindicatos[SINDICATOS],
(ISNUMBER(SEARCH(","&amp;TRIM(UPPER(SUBSTITUTE(tabPostos[[#This Row],[Comarca]]," ","")))&amp;",",_xlpm.MATRIZ_COMARCA,1)))*
(ISNUMBER(SEARCH(","&amp;TRIM(SUBSTITUTE(SUBSTITUTE(SUBSTITUTE(UPPER(tabPostos[[#This Row],[Função]])," E ",", ")," ",""),".",""))&amp;",",_xlpm.MATRIZ_FUNCAO,1)))
),"")
))</f>
        <v>Fethemg RM</v>
      </c>
      <c r="E185" s="148" t="s">
        <v>9</v>
      </c>
      <c r="F185" s="148" t="s">
        <v>10</v>
      </c>
      <c r="G185" s="148">
        <v>1</v>
      </c>
      <c r="H185" s="148">
        <v>0</v>
      </c>
      <c r="I185" s="216">
        <f>1649.12</f>
        <v>1649.12</v>
      </c>
      <c r="J185" s="247">
        <f>VLOOKUP(tabPostos[[#This Row],[CCT DA CATEGORIA]],'RELAÇÃO SINDICATOS'!A:N,11,0)</f>
        <v>45658</v>
      </c>
      <c r="K185" s="148" t="str">
        <f>VLOOKUP(tabPostos[[#This Row],[CCT DA CATEGORIA]],'RELAÇÃO SINDICATOS'!A:N,12,0)</f>
        <v>-</v>
      </c>
      <c r="L185" s="148" t="str">
        <f>VLOOKUP(tabPostos[[#This Row],[CCT DA CATEGORIA]],'RELAÇÃO SINDICATOS'!A:N,13,0)</f>
        <v>-</v>
      </c>
      <c r="M185" s="148" t="str">
        <f>VLOOKUP(tabPostos[[#This Row],[CCT DA CATEGORIA]],'RELAÇÃO SINDICATOS'!A:N,14,0)</f>
        <v>MG004479/2024</v>
      </c>
    </row>
    <row r="186" spans="1:13" x14ac:dyDescent="0.25">
      <c r="A186" s="148" t="str" cm="1">
        <f t="array" ref="A186">_xlfn.XLOOKUP(tabPostos[[#This Row],[Fonte de Recursos]]&amp;tabPostos[[#This Row],[Classificação]],tabLotacao[Lotacao]&amp;tabLotacao[Tipo],tabLotacao[Codigo Lote],"0")&amp;"."&amp;_xlfn.XLOOKUP(tabPostos[[#This Row],[Comarca]],tabComarca[COMARCA],tabComarca[Codigo Comarca],"000")&amp;"."&amp;_xlfn.XLOOKUP(tabPostos[[#This Row],[Função]],tabCargos[Cargo],tabCargos[Codigo Cargo],"00")</f>
        <v>2.498.04</v>
      </c>
      <c r="B186" s="200" t="s">
        <v>170</v>
      </c>
      <c r="C186" s="200" t="s">
        <v>1244</v>
      </c>
      <c r="D186" s="200" t="str" cm="1">
        <f t="array" ref="D186">IF(tabPostos[[#This Row],[Comarca]]="","",
_xlfn.LET(
_xlpm.MATRIZ_COMARCA, ","&amp;TRIM(UPPER(SUBSTITUTE(SUBSTITUTE(SUBSTITUTE(SUBSTITUTE(SUBSTITUTE(SUBSTITUTE(SUBSTITUTE(SUBSTITUTE(SUBSTITUTE(SUBSTITUTE(SUBSTITUTE(SUBSTITUTE(SUBSTITUTE(SUBSTITUTE(SUBSTITUTE(SUBSTITUTE(SUBSTITUTE(SUBSTITUTE(SUBSTITUTE(SUBSTITUTE(SUBSTITUTE(SUBSTITUTE(SUBSTITUTE(SUBSTITUTE(SUBSTITUTE(SUBSTITUTE(tabSindicatos[ABRANGÊNCIA],"á","a"),"ã","a"),"â","a"),"é","e"),"ê","e"),"í","i"),"ó","o"),"õ","o"),"ô","o"),"ú","u"),"ç","c"),"Á","a"),"Ã","a"),"Â","a"),"É","e"),"Ê","e"),"Í","i"),"Ó","o"),"Õ","o"),"Ô","o"),"Ú","u"),"Ç","c"),"/MG","")," e ",", ")," ",""),".","")))&amp;",",
_xlpm.MATRIZ_FUNCAO, ","&amp;TRIM(UPPER(SUBSTITUTE(SUBSTITUTE(SUBSTITUTE(SUBSTITUTE(SUBSTITUTE(SUBSTITUTE(SUBSTITUTE(SUBSTITUTE(SUBSTITUTE(SUBSTITUTE(SUBSTITUTE(SUBSTITUTE(SUBSTITUTE(SUBSTITUTE(SUBSTITUTE(SUBSTITUTE(SUBSTITUTE(SUBSTITUTE(SUBSTITUTE(SUBSTITUTE(SUBSTITUTE(SUBSTITUTE(SUBSTITUTE(SUBSTITUTE(SUBSTITUTE(tabSindicatos[FUNÇÕES],"á","a"),"ã","a"),"â","a"),"é","e"),"ê","e"),"í","i"),"ó","o"),"õ","o"),"ô","o"),"ú","u"),"ç","c"),"Á","a"),"Ã","a"),"Â","a"),"É","e"),"Ê","e"),"Í","i"),"Ó","o"),"Õ","o"),"Ô","o"),"Ú","u"),"Ç","c")," e ",", ")," ",""),".","")))&amp;",",
IFERROR(_xlfn._xlws.FILTER(tabSindicatos[SINDICATOS],
(ISNUMBER(SEARCH(","&amp;TRIM(UPPER(SUBSTITUTE(tabPostos[[#This Row],[Comarca]]," ","")))&amp;",",_xlpm.MATRIZ_COMARCA,1)))*
(ISNUMBER(SEARCH(","&amp;TRIM(SUBSTITUTE(SUBSTITUTE(SUBSTITUTE(UPPER(tabPostos[[#This Row],[Função]])," E ",", ")," ",""),".",""))&amp;",",_xlpm.MATRIZ_FUNCAO,1)))
),"")
))</f>
        <v>Alto Paranaiba</v>
      </c>
      <c r="E186" s="148" t="s">
        <v>9</v>
      </c>
      <c r="F186" s="148" t="s">
        <v>10</v>
      </c>
      <c r="G186" s="148">
        <v>1</v>
      </c>
      <c r="H186" s="148">
        <v>0</v>
      </c>
      <c r="I186" s="216">
        <f>798.14</f>
        <v>798.14</v>
      </c>
      <c r="J186" s="247">
        <f>VLOOKUP(tabPostos[[#This Row],[CCT DA CATEGORIA]],'RELAÇÃO SINDICATOS'!A:N,11,0)</f>
        <v>45658</v>
      </c>
      <c r="K186" s="148" t="str">
        <f>VLOOKUP(tabPostos[[#This Row],[CCT DA CATEGORIA]],'RELAÇÃO SINDICATOS'!A:N,12,0)</f>
        <v>-</v>
      </c>
      <c r="L186" s="148" t="str">
        <f>VLOOKUP(tabPostos[[#This Row],[CCT DA CATEGORIA]],'RELAÇÃO SINDICATOS'!A:N,13,0)</f>
        <v>-</v>
      </c>
      <c r="M186" s="148" t="str">
        <f>VLOOKUP(tabPostos[[#This Row],[CCT DA CATEGORIA]],'RELAÇÃO SINDICATOS'!A:N,14,0)</f>
        <v>MG001106/2025</v>
      </c>
    </row>
    <row r="187" spans="1:13" x14ac:dyDescent="0.25">
      <c r="A187" s="148" t="str" cm="1">
        <f t="array" ref="A187">_xlfn.XLOOKUP(tabPostos[[#This Row],[Fonte de Recursos]]&amp;tabPostos[[#This Row],[Classificação]],tabLotacao[Lotacao]&amp;tabLotacao[Tipo],tabLotacao[Codigo Lote],"0")&amp;"."&amp;_xlfn.XLOOKUP(tabPostos[[#This Row],[Comarca]],tabComarca[COMARCA],tabComarca[Codigo Comarca],"000")&amp;"."&amp;_xlfn.XLOOKUP(tabPostos[[#This Row],[Função]],tabCargos[Cargo],tabCargos[Codigo Cargo],"00")</f>
        <v>2.508.04</v>
      </c>
      <c r="B187" s="200" t="s">
        <v>171</v>
      </c>
      <c r="C187" s="200" t="s">
        <v>1244</v>
      </c>
      <c r="D187" s="200" t="str" cm="1">
        <f t="array" ref="D187">IF(tabPostos[[#This Row],[Comarca]]="","",
_xlfn.LET(
_xlpm.MATRIZ_COMARCA, ","&amp;TRIM(UPPER(SUBSTITUTE(SUBSTITUTE(SUBSTITUTE(SUBSTITUTE(SUBSTITUTE(SUBSTITUTE(SUBSTITUTE(SUBSTITUTE(SUBSTITUTE(SUBSTITUTE(SUBSTITUTE(SUBSTITUTE(SUBSTITUTE(SUBSTITUTE(SUBSTITUTE(SUBSTITUTE(SUBSTITUTE(SUBSTITUTE(SUBSTITUTE(SUBSTITUTE(SUBSTITUTE(SUBSTITUTE(SUBSTITUTE(SUBSTITUTE(SUBSTITUTE(SUBSTITUTE(tabSindicatos[ABRANGÊNCIA],"á","a"),"ã","a"),"â","a"),"é","e"),"ê","e"),"í","i"),"ó","o"),"õ","o"),"ô","o"),"ú","u"),"ç","c"),"Á","a"),"Ã","a"),"Â","a"),"É","e"),"Ê","e"),"Í","i"),"Ó","o"),"Õ","o"),"Ô","o"),"Ú","u"),"Ç","c"),"/MG","")," e ",", ")," ",""),".","")))&amp;",",
_xlpm.MATRIZ_FUNCAO, ","&amp;TRIM(UPPER(SUBSTITUTE(SUBSTITUTE(SUBSTITUTE(SUBSTITUTE(SUBSTITUTE(SUBSTITUTE(SUBSTITUTE(SUBSTITUTE(SUBSTITUTE(SUBSTITUTE(SUBSTITUTE(SUBSTITUTE(SUBSTITUTE(SUBSTITUTE(SUBSTITUTE(SUBSTITUTE(SUBSTITUTE(SUBSTITUTE(SUBSTITUTE(SUBSTITUTE(SUBSTITUTE(SUBSTITUTE(SUBSTITUTE(SUBSTITUTE(SUBSTITUTE(tabSindicatos[FUNÇÕES],"á","a"),"ã","a"),"â","a"),"é","e"),"ê","e"),"í","i"),"ó","o"),"õ","o"),"ô","o"),"ú","u"),"ç","c"),"Á","a"),"Ã","a"),"Â","a"),"É","e"),"Ê","e"),"Í","i"),"Ó","o"),"Õ","o"),"Ô","o"),"Ú","u"),"Ç","c")," e ",", ")," ",""),".","")))&amp;",",
IFERROR(_xlfn._xlws.FILTER(tabSindicatos[SINDICATOS],
(ISNUMBER(SEARCH(","&amp;TRIM(UPPER(SUBSTITUTE(tabPostos[[#This Row],[Comarca]]," ","")))&amp;",",_xlpm.MATRIZ_COMARCA,1)))*
(ISNUMBER(SEARCH(","&amp;TRIM(SUBSTITUTE(SUBSTITUTE(SUBSTITUTE(UPPER(tabPostos[[#This Row],[Função]])," E ",", ")," ",""),".",""))&amp;",",_xlpm.MATRIZ_FUNCAO,1)))
),"")
))</f>
        <v>Regiao de Ouro Preto</v>
      </c>
      <c r="E187" s="148" t="s">
        <v>9</v>
      </c>
      <c r="F187" s="148" t="s">
        <v>10</v>
      </c>
      <c r="G187" s="148">
        <v>1</v>
      </c>
      <c r="H187" s="148">
        <v>0</v>
      </c>
      <c r="I187" s="216">
        <f>798.14</f>
        <v>798.14</v>
      </c>
      <c r="J187" s="247">
        <f>VLOOKUP(tabPostos[[#This Row],[CCT DA CATEGORIA]],'RELAÇÃO SINDICATOS'!A:N,11,0)</f>
        <v>45658</v>
      </c>
      <c r="K187" s="148" t="str">
        <f>VLOOKUP(tabPostos[[#This Row],[CCT DA CATEGORIA]],'RELAÇÃO SINDICATOS'!A:N,12,0)</f>
        <v>-</v>
      </c>
      <c r="L187" s="148" t="str">
        <f>VLOOKUP(tabPostos[[#This Row],[CCT DA CATEGORIA]],'RELAÇÃO SINDICATOS'!A:N,13,0)</f>
        <v>-</v>
      </c>
      <c r="M187" s="148" t="str">
        <f>VLOOKUP(tabPostos[[#This Row],[CCT DA CATEGORIA]],'RELAÇÃO SINDICATOS'!A:N,14,0)</f>
        <v>MG000212/2025</v>
      </c>
    </row>
    <row r="188" spans="1:13" x14ac:dyDescent="0.25">
      <c r="A188" s="148" t="str" cm="1">
        <f t="array" ref="A188">_xlfn.XLOOKUP(tabPostos[[#This Row],[Fonte de Recursos]]&amp;tabPostos[[#This Row],[Classificação]],tabLotacao[Lotacao]&amp;tabLotacao[Tipo],tabLotacao[Codigo Lote],"0")&amp;"."&amp;_xlfn.XLOOKUP(tabPostos[[#This Row],[Comarca]],tabComarca[COMARCA],tabComarca[Codigo Comarca],"000")&amp;"."&amp;_xlfn.XLOOKUP(tabPostos[[#This Row],[Função]],tabCargos[Cargo],tabCargos[Codigo Cargo],"00")</f>
        <v>2.512.05</v>
      </c>
      <c r="B188" s="200" t="s">
        <v>172</v>
      </c>
      <c r="C188" s="200" t="s">
        <v>1246</v>
      </c>
      <c r="D188" s="200" t="str" cm="1">
        <f t="array" ref="D188">IF(tabPostos[[#This Row],[Comarca]]="","",
_xlfn.LET(
_xlpm.MATRIZ_COMARCA, ","&amp;TRIM(UPPER(SUBSTITUTE(SUBSTITUTE(SUBSTITUTE(SUBSTITUTE(SUBSTITUTE(SUBSTITUTE(SUBSTITUTE(SUBSTITUTE(SUBSTITUTE(SUBSTITUTE(SUBSTITUTE(SUBSTITUTE(SUBSTITUTE(SUBSTITUTE(SUBSTITUTE(SUBSTITUTE(SUBSTITUTE(SUBSTITUTE(SUBSTITUTE(SUBSTITUTE(SUBSTITUTE(SUBSTITUTE(SUBSTITUTE(SUBSTITUTE(SUBSTITUTE(SUBSTITUTE(tabSindicatos[ABRANGÊNCIA],"á","a"),"ã","a"),"â","a"),"é","e"),"ê","e"),"í","i"),"ó","o"),"õ","o"),"ô","o"),"ú","u"),"ç","c"),"Á","a"),"Ã","a"),"Â","a"),"É","e"),"Ê","e"),"Í","i"),"Ó","o"),"Õ","o"),"Ô","o"),"Ú","u"),"Ç","c"),"/MG","")," e ",", ")," ",""),".","")))&amp;",",
_xlpm.MATRIZ_FUNCAO, ","&amp;TRIM(UPPER(SUBSTITUTE(SUBSTITUTE(SUBSTITUTE(SUBSTITUTE(SUBSTITUTE(SUBSTITUTE(SUBSTITUTE(SUBSTITUTE(SUBSTITUTE(SUBSTITUTE(SUBSTITUTE(SUBSTITUTE(SUBSTITUTE(SUBSTITUTE(SUBSTITUTE(SUBSTITUTE(SUBSTITUTE(SUBSTITUTE(SUBSTITUTE(SUBSTITUTE(SUBSTITUTE(SUBSTITUTE(SUBSTITUTE(SUBSTITUTE(SUBSTITUTE(tabSindicatos[FUNÇÕES],"á","a"),"ã","a"),"â","a"),"é","e"),"ê","e"),"í","i"),"ó","o"),"õ","o"),"ô","o"),"ú","u"),"ç","c"),"Á","a"),"Ã","a"),"Â","a"),"É","e"),"Ê","e"),"Í","i"),"Ó","o"),"Õ","o"),"Ô","o"),"Ú","u"),"Ç","c")," e ",", ")," ",""),".","")))&amp;",",
IFERROR(_xlfn._xlws.FILTER(tabSindicatos[SINDICATOS],
(ISNUMBER(SEARCH(","&amp;TRIM(UPPER(SUBSTITUTE(tabPostos[[#This Row],[Comarca]]," ","")))&amp;",",_xlpm.MATRIZ_COMARCA,1)))*
(ISNUMBER(SEARCH(","&amp;TRIM(SUBSTITUTE(SUBSTITUTE(SUBSTITUTE(UPPER(tabPostos[[#This Row],[Função]])," E ",", ")," ",""),".",""))&amp;",",_xlpm.MATRIZ_FUNCAO,1)))
),"")
))</f>
        <v>Sethac Norte de Minas</v>
      </c>
      <c r="E188" s="148" t="s">
        <v>9</v>
      </c>
      <c r="F188" s="148" t="s">
        <v>10</v>
      </c>
      <c r="G188" s="148">
        <v>1</v>
      </c>
      <c r="H188" s="148">
        <v>0</v>
      </c>
      <c r="I188" s="216">
        <f>1088.37</f>
        <v>1088.3699999999999</v>
      </c>
      <c r="J188" s="247">
        <f>VLOOKUP(tabPostos[[#This Row],[CCT DA CATEGORIA]],'RELAÇÃO SINDICATOS'!A:N,11,0)</f>
        <v>45658</v>
      </c>
      <c r="K188" s="148" t="str">
        <f>VLOOKUP(tabPostos[[#This Row],[CCT DA CATEGORIA]],'RELAÇÃO SINDICATOS'!A:N,12,0)</f>
        <v>-</v>
      </c>
      <c r="L188" s="148" t="str">
        <f>VLOOKUP(tabPostos[[#This Row],[CCT DA CATEGORIA]],'RELAÇÃO SINDICATOS'!A:N,13,0)</f>
        <v>-</v>
      </c>
      <c r="M188" s="148" t="str">
        <f>VLOOKUP(tabPostos[[#This Row],[CCT DA CATEGORIA]],'RELAÇÃO SINDICATOS'!A:N,14,0)</f>
        <v>MG000256/2025</v>
      </c>
    </row>
    <row r="189" spans="1:13" x14ac:dyDescent="0.25">
      <c r="A189" s="148" t="str" cm="1">
        <f t="array" ref="A189">_xlfn.XLOOKUP(tabPostos[[#This Row],[Fonte de Recursos]]&amp;tabPostos[[#This Row],[Classificação]],tabLotacao[Lotacao]&amp;tabLotacao[Tipo],tabLotacao[Codigo Lote],"0")&amp;"."&amp;_xlfn.XLOOKUP(tabPostos[[#This Row],[Comarca]],tabComarca[COMARCA],tabComarca[Codigo Comarca],"000")&amp;"."&amp;_xlfn.XLOOKUP(tabPostos[[#This Row],[Função]],tabCargos[Cargo],tabCargos[Codigo Cargo],"00")</f>
        <v>2.514.04</v>
      </c>
      <c r="B189" s="200" t="s">
        <v>173</v>
      </c>
      <c r="C189" s="200" t="s">
        <v>1244</v>
      </c>
      <c r="D189" s="200" t="str" cm="1">
        <f t="array" ref="D189">IF(tabPostos[[#This Row],[Comarca]]="","",
_xlfn.LET(
_xlpm.MATRIZ_COMARCA, ","&amp;TRIM(UPPER(SUBSTITUTE(SUBSTITUTE(SUBSTITUTE(SUBSTITUTE(SUBSTITUTE(SUBSTITUTE(SUBSTITUTE(SUBSTITUTE(SUBSTITUTE(SUBSTITUTE(SUBSTITUTE(SUBSTITUTE(SUBSTITUTE(SUBSTITUTE(SUBSTITUTE(SUBSTITUTE(SUBSTITUTE(SUBSTITUTE(SUBSTITUTE(SUBSTITUTE(SUBSTITUTE(SUBSTITUTE(SUBSTITUTE(SUBSTITUTE(SUBSTITUTE(SUBSTITUTE(tabSindicatos[ABRANGÊNCIA],"á","a"),"ã","a"),"â","a"),"é","e"),"ê","e"),"í","i"),"ó","o"),"õ","o"),"ô","o"),"ú","u"),"ç","c"),"Á","a"),"Ã","a"),"Â","a"),"É","e"),"Ê","e"),"Í","i"),"Ó","o"),"Õ","o"),"Ô","o"),"Ú","u"),"Ç","c"),"/MG","")," e ",", ")," ",""),".","")))&amp;",",
_xlpm.MATRIZ_FUNCAO, ","&amp;TRIM(UPPER(SUBSTITUTE(SUBSTITUTE(SUBSTITUTE(SUBSTITUTE(SUBSTITUTE(SUBSTITUTE(SUBSTITUTE(SUBSTITUTE(SUBSTITUTE(SUBSTITUTE(SUBSTITUTE(SUBSTITUTE(SUBSTITUTE(SUBSTITUTE(SUBSTITUTE(SUBSTITUTE(SUBSTITUTE(SUBSTITUTE(SUBSTITUTE(SUBSTITUTE(SUBSTITUTE(SUBSTITUTE(SUBSTITUTE(SUBSTITUTE(SUBSTITUTE(tabSindicatos[FUNÇÕES],"á","a"),"ã","a"),"â","a"),"é","e"),"ê","e"),"í","i"),"ó","o"),"õ","o"),"ô","o"),"ú","u"),"ç","c"),"Á","a"),"Ã","a"),"Â","a"),"É","e"),"Ê","e"),"Í","i"),"Ó","o"),"Õ","o"),"Ô","o"),"Ú","u"),"Ç","c")," e ",", ")," ",""),".","")))&amp;",",
IFERROR(_xlfn._xlws.FILTER(tabSindicatos[SINDICATOS],
(ISNUMBER(SEARCH(","&amp;TRIM(UPPER(SUBSTITUTE(tabPostos[[#This Row],[Comarca]]," ","")))&amp;",",_xlpm.MATRIZ_COMARCA,1)))*
(ISNUMBER(SEARCH(","&amp;TRIM(SUBSTITUTE(SUBSTITUTE(SUBSTITUTE(UPPER(tabPostos[[#This Row],[Função]])," E ",", ")," ",""),".",""))&amp;",",_xlpm.MATRIZ_FUNCAO,1)))
),"")
))</f>
        <v>Regiao de Divinopolis</v>
      </c>
      <c r="E189" s="148" t="s">
        <v>9</v>
      </c>
      <c r="F189" s="148" t="s">
        <v>10</v>
      </c>
      <c r="G189" s="148">
        <v>1</v>
      </c>
      <c r="H189" s="148">
        <v>0</v>
      </c>
      <c r="I189" s="216">
        <f>798.14</f>
        <v>798.14</v>
      </c>
      <c r="J189" s="247">
        <f>VLOOKUP(tabPostos[[#This Row],[CCT DA CATEGORIA]],'RELAÇÃO SINDICATOS'!A:N,11,0)</f>
        <v>45658</v>
      </c>
      <c r="K189" s="148" t="str">
        <f>VLOOKUP(tabPostos[[#This Row],[CCT DA CATEGORIA]],'RELAÇÃO SINDICATOS'!A:N,12,0)</f>
        <v>-</v>
      </c>
      <c r="L189" s="148" t="str">
        <f>VLOOKUP(tabPostos[[#This Row],[CCT DA CATEGORIA]],'RELAÇÃO SINDICATOS'!A:N,13,0)</f>
        <v>-</v>
      </c>
      <c r="M189" s="148" t="str">
        <f>VLOOKUP(tabPostos[[#This Row],[CCT DA CATEGORIA]],'RELAÇÃO SINDICATOS'!A:N,14,0)</f>
        <v>MG001011/2025</v>
      </c>
    </row>
    <row r="190" spans="1:13" x14ac:dyDescent="0.25">
      <c r="A190" s="148" t="str" cm="1">
        <f t="array" ref="A190">_xlfn.XLOOKUP(tabPostos[[#This Row],[Fonte de Recursos]]&amp;tabPostos[[#This Row],[Classificação]],tabLotacao[Lotacao]&amp;tabLotacao[Tipo],tabLotacao[Codigo Lote],"0")&amp;"."&amp;_xlfn.XLOOKUP(tabPostos[[#This Row],[Comarca]],tabComarca[COMARCA],tabComarca[Codigo Comarca],"000")&amp;"."&amp;_xlfn.XLOOKUP(tabPostos[[#This Row],[Função]],tabCargos[Cargo],tabCargos[Codigo Cargo],"00")</f>
        <v>2.515.04</v>
      </c>
      <c r="B190" s="200" t="s">
        <v>174</v>
      </c>
      <c r="C190" s="200" t="s">
        <v>1244</v>
      </c>
      <c r="D190" s="200" t="str" cm="1">
        <f t="array" ref="D190">IF(tabPostos[[#This Row],[Comarca]]="","",
_xlfn.LET(
_xlpm.MATRIZ_COMARCA, ","&amp;TRIM(UPPER(SUBSTITUTE(SUBSTITUTE(SUBSTITUTE(SUBSTITUTE(SUBSTITUTE(SUBSTITUTE(SUBSTITUTE(SUBSTITUTE(SUBSTITUTE(SUBSTITUTE(SUBSTITUTE(SUBSTITUTE(SUBSTITUTE(SUBSTITUTE(SUBSTITUTE(SUBSTITUTE(SUBSTITUTE(SUBSTITUTE(SUBSTITUTE(SUBSTITUTE(SUBSTITUTE(SUBSTITUTE(SUBSTITUTE(SUBSTITUTE(SUBSTITUTE(SUBSTITUTE(tabSindicatos[ABRANGÊNCIA],"á","a"),"ã","a"),"â","a"),"é","e"),"ê","e"),"í","i"),"ó","o"),"õ","o"),"ô","o"),"ú","u"),"ç","c"),"Á","a"),"Ã","a"),"Â","a"),"É","e"),"Ê","e"),"Í","i"),"Ó","o"),"Õ","o"),"Ô","o"),"Ú","u"),"Ç","c"),"/MG","")," e ",", ")," ",""),".","")))&amp;",",
_xlpm.MATRIZ_FUNCAO, ","&amp;TRIM(UPPER(SUBSTITUTE(SUBSTITUTE(SUBSTITUTE(SUBSTITUTE(SUBSTITUTE(SUBSTITUTE(SUBSTITUTE(SUBSTITUTE(SUBSTITUTE(SUBSTITUTE(SUBSTITUTE(SUBSTITUTE(SUBSTITUTE(SUBSTITUTE(SUBSTITUTE(SUBSTITUTE(SUBSTITUTE(SUBSTITUTE(SUBSTITUTE(SUBSTITUTE(SUBSTITUTE(SUBSTITUTE(SUBSTITUTE(SUBSTITUTE(SUBSTITUTE(tabSindicatos[FUNÇÕES],"á","a"),"ã","a"),"â","a"),"é","e"),"ê","e"),"í","i"),"ó","o"),"õ","o"),"ô","o"),"ú","u"),"ç","c"),"Á","a"),"Ã","a"),"Â","a"),"É","e"),"Ê","e"),"Í","i"),"Ó","o"),"Õ","o"),"Ô","o"),"Ú","u"),"Ç","c")," e ",", ")," ",""),".","")))&amp;",",
IFERROR(_xlfn._xlws.FILTER(tabSindicatos[SINDICATOS],
(ISNUMBER(SEARCH(","&amp;TRIM(UPPER(SUBSTITUTE(tabPostos[[#This Row],[Comarca]]," ","")))&amp;",",_xlpm.MATRIZ_COMARCA,1)))*
(ISNUMBER(SEARCH(","&amp;TRIM(SUBSTITUTE(SUBSTITUTE(SUBSTITUTE(UPPER(tabPostos[[#This Row],[Função]])," E ",", ")," ",""),".",""))&amp;",",_xlpm.MATRIZ_FUNCAO,1)))
),"")
))</f>
        <v>Regiao de Sao Lourenco</v>
      </c>
      <c r="E190" s="148" t="s">
        <v>9</v>
      </c>
      <c r="F190" s="148" t="s">
        <v>10</v>
      </c>
      <c r="G190" s="148">
        <v>1</v>
      </c>
      <c r="H190" s="148">
        <v>0</v>
      </c>
      <c r="I190" s="216">
        <f>798.14</f>
        <v>798.14</v>
      </c>
      <c r="J190" s="247">
        <f>VLOOKUP(tabPostos[[#This Row],[CCT DA CATEGORIA]],'RELAÇÃO SINDICATOS'!A:N,11,0)</f>
        <v>45658</v>
      </c>
      <c r="K190" s="148" t="str">
        <f>VLOOKUP(tabPostos[[#This Row],[CCT DA CATEGORIA]],'RELAÇÃO SINDICATOS'!A:N,12,0)</f>
        <v>-</v>
      </c>
      <c r="L190" s="148" t="str">
        <f>VLOOKUP(tabPostos[[#This Row],[CCT DA CATEGORIA]],'RELAÇÃO SINDICATOS'!A:N,13,0)</f>
        <v>-</v>
      </c>
      <c r="M190" s="148" t="str">
        <f>VLOOKUP(tabPostos[[#This Row],[CCT DA CATEGORIA]],'RELAÇÃO SINDICATOS'!A:N,14,0)</f>
        <v>MG000594/2025</v>
      </c>
    </row>
    <row r="191" spans="1:13" x14ac:dyDescent="0.25">
      <c r="A191" s="148" t="str" cm="1">
        <f t="array" ref="A191">_xlfn.XLOOKUP(tabPostos[[#This Row],[Fonte de Recursos]]&amp;tabPostos[[#This Row],[Classificação]],tabLotacao[Lotacao]&amp;tabLotacao[Tipo],tabLotacao[Codigo Lote],"0")&amp;"."&amp;_xlfn.XLOOKUP(tabPostos[[#This Row],[Comarca]],tabComarca[COMARCA],tabComarca[Codigo Comarca],"000")&amp;"."&amp;_xlfn.XLOOKUP(tabPostos[[#This Row],[Função]],tabCargos[Cargo],tabCargos[Codigo Cargo],"00")</f>
        <v>2.517.06</v>
      </c>
      <c r="B191" s="200" t="s">
        <v>175</v>
      </c>
      <c r="C191" s="200" t="s">
        <v>1245</v>
      </c>
      <c r="D191" s="200" t="str" cm="1">
        <f t="array" ref="D191">IF(tabPostos[[#This Row],[Comarca]]="","",
_xlfn.LET(
_xlpm.MATRIZ_COMARCA, ","&amp;TRIM(UPPER(SUBSTITUTE(SUBSTITUTE(SUBSTITUTE(SUBSTITUTE(SUBSTITUTE(SUBSTITUTE(SUBSTITUTE(SUBSTITUTE(SUBSTITUTE(SUBSTITUTE(SUBSTITUTE(SUBSTITUTE(SUBSTITUTE(SUBSTITUTE(SUBSTITUTE(SUBSTITUTE(SUBSTITUTE(SUBSTITUTE(SUBSTITUTE(SUBSTITUTE(SUBSTITUTE(SUBSTITUTE(SUBSTITUTE(SUBSTITUTE(SUBSTITUTE(SUBSTITUTE(tabSindicatos[ABRANGÊNCIA],"á","a"),"ã","a"),"â","a"),"é","e"),"ê","e"),"í","i"),"ó","o"),"õ","o"),"ô","o"),"ú","u"),"ç","c"),"Á","a"),"Ã","a"),"Â","a"),"É","e"),"Ê","e"),"Í","i"),"Ó","o"),"Õ","o"),"Ô","o"),"Ú","u"),"Ç","c"),"/MG","")," e ",", ")," ",""),".","")))&amp;",",
_xlpm.MATRIZ_FUNCAO, ","&amp;TRIM(UPPER(SUBSTITUTE(SUBSTITUTE(SUBSTITUTE(SUBSTITUTE(SUBSTITUTE(SUBSTITUTE(SUBSTITUTE(SUBSTITUTE(SUBSTITUTE(SUBSTITUTE(SUBSTITUTE(SUBSTITUTE(SUBSTITUTE(SUBSTITUTE(SUBSTITUTE(SUBSTITUTE(SUBSTITUTE(SUBSTITUTE(SUBSTITUTE(SUBSTITUTE(SUBSTITUTE(SUBSTITUTE(SUBSTITUTE(SUBSTITUTE(SUBSTITUTE(tabSindicatos[FUNÇÕES],"á","a"),"ã","a"),"â","a"),"é","e"),"ê","e"),"í","i"),"ó","o"),"õ","o"),"ô","o"),"ú","u"),"ç","c"),"Á","a"),"Ã","a"),"Â","a"),"É","e"),"Ê","e"),"Í","i"),"Ó","o"),"Õ","o"),"Ô","o"),"Ú","u"),"Ç","c")," e ",", ")," ",""),".","")))&amp;",",
IFERROR(_xlfn._xlws.FILTER(tabSindicatos[SINDICATOS],
(ISNUMBER(SEARCH(","&amp;TRIM(UPPER(SUBSTITUTE(tabPostos[[#This Row],[Comarca]]," ","")))&amp;",",_xlpm.MATRIZ_COMARCA,1)))*
(ISNUMBER(SEARCH(","&amp;TRIM(SUBSTITUTE(SUBSTITUTE(SUBSTITUTE(UPPER(tabPostos[[#This Row],[Função]])," E ",", ")," ",""),".",""))&amp;",",_xlpm.MATRIZ_FUNCAO,1)))
),"")
))</f>
        <v>Regiao de Sao Lourenco</v>
      </c>
      <c r="E191" s="148" t="s">
        <v>9</v>
      </c>
      <c r="F191" s="148" t="s">
        <v>10</v>
      </c>
      <c r="G191" s="148">
        <v>1</v>
      </c>
      <c r="H191" s="148">
        <v>0</v>
      </c>
      <c r="I191" s="216">
        <f>1596.28</f>
        <v>1596.28</v>
      </c>
      <c r="J191" s="247">
        <f>VLOOKUP(tabPostos[[#This Row],[CCT DA CATEGORIA]],'RELAÇÃO SINDICATOS'!A:N,11,0)</f>
        <v>45658</v>
      </c>
      <c r="K191" s="148" t="str">
        <f>VLOOKUP(tabPostos[[#This Row],[CCT DA CATEGORIA]],'RELAÇÃO SINDICATOS'!A:N,12,0)</f>
        <v>-</v>
      </c>
      <c r="L191" s="148" t="str">
        <f>VLOOKUP(tabPostos[[#This Row],[CCT DA CATEGORIA]],'RELAÇÃO SINDICATOS'!A:N,13,0)</f>
        <v>-</v>
      </c>
      <c r="M191" s="148" t="str">
        <f>VLOOKUP(tabPostos[[#This Row],[CCT DA CATEGORIA]],'RELAÇÃO SINDICATOS'!A:N,14,0)</f>
        <v>MG000594/2025</v>
      </c>
    </row>
    <row r="192" spans="1:13" x14ac:dyDescent="0.25">
      <c r="A192" s="148" t="str" cm="1">
        <f t="array" ref="A192">_xlfn.XLOOKUP(tabPostos[[#This Row],[Fonte de Recursos]]&amp;tabPostos[[#This Row],[Classificação]],tabLotacao[Lotacao]&amp;tabLotacao[Tipo],tabLotacao[Codigo Lote],"0")&amp;"."&amp;_xlfn.XLOOKUP(tabPostos[[#This Row],[Comarca]],tabComarca[COMARCA],tabComarca[Codigo Comarca],"000")&amp;"."&amp;_xlfn.XLOOKUP(tabPostos[[#This Row],[Função]],tabCargos[Cargo],tabCargos[Codigo Cargo],"00")</f>
        <v>2.518.06</v>
      </c>
      <c r="B192" s="200" t="s">
        <v>176</v>
      </c>
      <c r="C192" s="200" t="s">
        <v>1245</v>
      </c>
      <c r="D192" s="200" t="str" cm="1">
        <f t="array" ref="D192">IF(tabPostos[[#This Row],[Comarca]]="","",
_xlfn.LET(
_xlpm.MATRIZ_COMARCA, ","&amp;TRIM(UPPER(SUBSTITUTE(SUBSTITUTE(SUBSTITUTE(SUBSTITUTE(SUBSTITUTE(SUBSTITUTE(SUBSTITUTE(SUBSTITUTE(SUBSTITUTE(SUBSTITUTE(SUBSTITUTE(SUBSTITUTE(SUBSTITUTE(SUBSTITUTE(SUBSTITUTE(SUBSTITUTE(SUBSTITUTE(SUBSTITUTE(SUBSTITUTE(SUBSTITUTE(SUBSTITUTE(SUBSTITUTE(SUBSTITUTE(SUBSTITUTE(SUBSTITUTE(SUBSTITUTE(tabSindicatos[ABRANGÊNCIA],"á","a"),"ã","a"),"â","a"),"é","e"),"ê","e"),"í","i"),"ó","o"),"õ","o"),"ô","o"),"ú","u"),"ç","c"),"Á","a"),"Ã","a"),"Â","a"),"É","e"),"Ê","e"),"Í","i"),"Ó","o"),"Õ","o"),"Ô","o"),"Ú","u"),"Ç","c"),"/MG","")," e ",", ")," ",""),".","")))&amp;",",
_xlpm.MATRIZ_FUNCAO, ","&amp;TRIM(UPPER(SUBSTITUTE(SUBSTITUTE(SUBSTITUTE(SUBSTITUTE(SUBSTITUTE(SUBSTITUTE(SUBSTITUTE(SUBSTITUTE(SUBSTITUTE(SUBSTITUTE(SUBSTITUTE(SUBSTITUTE(SUBSTITUTE(SUBSTITUTE(SUBSTITUTE(SUBSTITUTE(SUBSTITUTE(SUBSTITUTE(SUBSTITUTE(SUBSTITUTE(SUBSTITUTE(SUBSTITUTE(SUBSTITUTE(SUBSTITUTE(SUBSTITUTE(tabSindicatos[FUNÇÕES],"á","a"),"ã","a"),"â","a"),"é","e"),"ê","e"),"í","i"),"ó","o"),"õ","o"),"ô","o"),"ú","u"),"ç","c"),"Á","a"),"Ã","a"),"Â","a"),"É","e"),"Ê","e"),"Í","i"),"Ó","o"),"Õ","o"),"Ô","o"),"Ú","u"),"Ç","c")," e ",", ")," ",""),".","")))&amp;",",
IFERROR(_xlfn._xlws.FILTER(tabSindicatos[SINDICATOS],
(ISNUMBER(SEARCH(","&amp;TRIM(UPPER(SUBSTITUTE(tabPostos[[#This Row],[Comarca]]," ","")))&amp;",",_xlpm.MATRIZ_COMARCA,1)))*
(ISNUMBER(SEARCH(","&amp;TRIM(SUBSTITUTE(SUBSTITUTE(SUBSTITUTE(UPPER(tabPostos[[#This Row],[Função]])," E ",", ")," ",""),".",""))&amp;",",_xlpm.MATRIZ_FUNCAO,1)))
),"")
))</f>
        <v>SETHPC - Pocos de Caldas</v>
      </c>
      <c r="E192" s="148" t="s">
        <v>9</v>
      </c>
      <c r="F192" s="148" t="s">
        <v>10</v>
      </c>
      <c r="G192" s="148">
        <v>1</v>
      </c>
      <c r="H192" s="148">
        <v>0</v>
      </c>
      <c r="I192" s="216">
        <f>1596.28</f>
        <v>1596.28</v>
      </c>
      <c r="J192" s="247">
        <f>VLOOKUP(tabPostos[[#This Row],[CCT DA CATEGORIA]],'RELAÇÃO SINDICATOS'!A:N,11,0)</f>
        <v>45658</v>
      </c>
      <c r="K192" s="148" t="str">
        <f>VLOOKUP(tabPostos[[#This Row],[CCT DA CATEGORIA]],'RELAÇÃO SINDICATOS'!A:N,12,0)</f>
        <v>-</v>
      </c>
      <c r="L192" s="148" t="str">
        <f>VLOOKUP(tabPostos[[#This Row],[CCT DA CATEGORIA]],'RELAÇÃO SINDICATOS'!A:N,13,0)</f>
        <v>-</v>
      </c>
      <c r="M192" s="148" t="str">
        <f>VLOOKUP(tabPostos[[#This Row],[CCT DA CATEGORIA]],'RELAÇÃO SINDICATOS'!A:N,14,0)</f>
        <v>MG000165/2025</v>
      </c>
    </row>
    <row r="193" spans="1:13" x14ac:dyDescent="0.25">
      <c r="A193" s="148" t="str" cm="1">
        <f t="array" ref="A193">_xlfn.XLOOKUP(tabPostos[[#This Row],[Fonte de Recursos]]&amp;tabPostos[[#This Row],[Classificação]],tabLotacao[Lotacao]&amp;tabLotacao[Tipo],tabLotacao[Codigo Lote],"0")&amp;"."&amp;_xlfn.XLOOKUP(tabPostos[[#This Row],[Comarca]],tabComarca[COMARCA],tabComarca[Codigo Comarca],"000")&amp;"."&amp;_xlfn.XLOOKUP(tabPostos[[#This Row],[Função]],tabCargos[Cargo],tabCargos[Codigo Cargo],"00")</f>
        <v>2.520.03</v>
      </c>
      <c r="B193" s="200" t="s">
        <v>177</v>
      </c>
      <c r="C193" s="200" t="s">
        <v>1247</v>
      </c>
      <c r="D193" s="200" t="str" cm="1">
        <f t="array" ref="D193">IF(tabPostos[[#This Row],[Comarca]]="","",
_xlfn.LET(
_xlpm.MATRIZ_COMARCA, ","&amp;TRIM(UPPER(SUBSTITUTE(SUBSTITUTE(SUBSTITUTE(SUBSTITUTE(SUBSTITUTE(SUBSTITUTE(SUBSTITUTE(SUBSTITUTE(SUBSTITUTE(SUBSTITUTE(SUBSTITUTE(SUBSTITUTE(SUBSTITUTE(SUBSTITUTE(SUBSTITUTE(SUBSTITUTE(SUBSTITUTE(SUBSTITUTE(SUBSTITUTE(SUBSTITUTE(SUBSTITUTE(SUBSTITUTE(SUBSTITUTE(SUBSTITUTE(SUBSTITUTE(SUBSTITUTE(tabSindicatos[ABRANGÊNCIA],"á","a"),"ã","a"),"â","a"),"é","e"),"ê","e"),"í","i"),"ó","o"),"õ","o"),"ô","o"),"ú","u"),"ç","c"),"Á","a"),"Ã","a"),"Â","a"),"É","e"),"Ê","e"),"Í","i"),"Ó","o"),"Õ","o"),"Ô","o"),"Ú","u"),"Ç","c"),"/MG","")," e ",", ")," ",""),".","")))&amp;",",
_xlpm.MATRIZ_FUNCAO, ","&amp;TRIM(UPPER(SUBSTITUTE(SUBSTITUTE(SUBSTITUTE(SUBSTITUTE(SUBSTITUTE(SUBSTITUTE(SUBSTITUTE(SUBSTITUTE(SUBSTITUTE(SUBSTITUTE(SUBSTITUTE(SUBSTITUTE(SUBSTITUTE(SUBSTITUTE(SUBSTITUTE(SUBSTITUTE(SUBSTITUTE(SUBSTITUTE(SUBSTITUTE(SUBSTITUTE(SUBSTITUTE(SUBSTITUTE(SUBSTITUTE(SUBSTITUTE(SUBSTITUTE(tabSindicatos[FUNÇÕES],"á","a"),"ã","a"),"â","a"),"é","e"),"ê","e"),"í","i"),"ó","o"),"õ","o"),"ô","o"),"ú","u"),"ç","c"),"Á","a"),"Ã","a"),"Â","a"),"É","e"),"Ê","e"),"Í","i"),"Ó","o"),"Õ","o"),"Ô","o"),"Ú","u"),"Ç","c")," e ",", ")," ",""),".","")))&amp;",",
IFERROR(_xlfn._xlws.FILTER(tabSindicatos[SINDICATOS],
(ISNUMBER(SEARCH(","&amp;TRIM(UPPER(SUBSTITUTE(tabPostos[[#This Row],[Comarca]]," ","")))&amp;",",_xlpm.MATRIZ_COMARCA,1)))*
(ISNUMBER(SEARCH(","&amp;TRIM(SUBSTITUTE(SUBSTITUTE(SUBSTITUTE(UPPER(tabPostos[[#This Row],[Função]])," E ",", ")," ",""),".",""))&amp;",",_xlpm.MATRIZ_FUNCAO,1)))
),"")
))</f>
        <v>Curvelo</v>
      </c>
      <c r="E193" s="148" t="s">
        <v>9</v>
      </c>
      <c r="F193" s="148" t="s">
        <v>10</v>
      </c>
      <c r="G193" s="148">
        <v>1</v>
      </c>
      <c r="H193" s="148">
        <v>0</v>
      </c>
      <c r="I193" s="216">
        <f>544.18</f>
        <v>544.17999999999995</v>
      </c>
      <c r="J193" s="247">
        <f>VLOOKUP(tabPostos[[#This Row],[CCT DA CATEGORIA]],'RELAÇÃO SINDICATOS'!A:N,11,0)</f>
        <v>45658</v>
      </c>
      <c r="K193" s="148" t="str">
        <f>VLOOKUP(tabPostos[[#This Row],[CCT DA CATEGORIA]],'RELAÇÃO SINDICATOS'!A:N,12,0)</f>
        <v>-</v>
      </c>
      <c r="L193" s="148" t="str">
        <f>VLOOKUP(tabPostos[[#This Row],[CCT DA CATEGORIA]],'RELAÇÃO SINDICATOS'!A:N,13,0)</f>
        <v>-</v>
      </c>
      <c r="M193" s="148" t="str">
        <f>VLOOKUP(tabPostos[[#This Row],[CCT DA CATEGORIA]],'RELAÇÃO SINDICATOS'!A:N,14,0)</f>
        <v>MG0000423/2025</v>
      </c>
    </row>
    <row r="194" spans="1:13" x14ac:dyDescent="0.25">
      <c r="A194" s="148" t="str" cm="1">
        <f t="array" ref="A194">_xlfn.XLOOKUP(tabPostos[[#This Row],[Fonte de Recursos]]&amp;tabPostos[[#This Row],[Classificação]],tabLotacao[Lotacao]&amp;tabLotacao[Tipo],tabLotacao[Codigo Lote],"0")&amp;"."&amp;_xlfn.XLOOKUP(tabPostos[[#This Row],[Comarca]],tabComarca[COMARCA],tabComarca[Codigo Comarca],"000")&amp;"."&amp;_xlfn.XLOOKUP(tabPostos[[#This Row],[Função]],tabCargos[Cargo],tabCargos[Codigo Cargo],"00")</f>
        <v>2.520.04</v>
      </c>
      <c r="B194" s="200" t="s">
        <v>177</v>
      </c>
      <c r="C194" s="200" t="s">
        <v>1244</v>
      </c>
      <c r="D194" s="200" t="str" cm="1">
        <f t="array" ref="D194">IF(tabPostos[[#This Row],[Comarca]]="","",
_xlfn.LET(
_xlpm.MATRIZ_COMARCA, ","&amp;TRIM(UPPER(SUBSTITUTE(SUBSTITUTE(SUBSTITUTE(SUBSTITUTE(SUBSTITUTE(SUBSTITUTE(SUBSTITUTE(SUBSTITUTE(SUBSTITUTE(SUBSTITUTE(SUBSTITUTE(SUBSTITUTE(SUBSTITUTE(SUBSTITUTE(SUBSTITUTE(SUBSTITUTE(SUBSTITUTE(SUBSTITUTE(SUBSTITUTE(SUBSTITUTE(SUBSTITUTE(SUBSTITUTE(SUBSTITUTE(SUBSTITUTE(SUBSTITUTE(SUBSTITUTE(tabSindicatos[ABRANGÊNCIA],"á","a"),"ã","a"),"â","a"),"é","e"),"ê","e"),"í","i"),"ó","o"),"õ","o"),"ô","o"),"ú","u"),"ç","c"),"Á","a"),"Ã","a"),"Â","a"),"É","e"),"Ê","e"),"Í","i"),"Ó","o"),"Õ","o"),"Ô","o"),"Ú","u"),"Ç","c"),"/MG","")," e ",", ")," ",""),".","")))&amp;",",
_xlpm.MATRIZ_FUNCAO, ","&amp;TRIM(UPPER(SUBSTITUTE(SUBSTITUTE(SUBSTITUTE(SUBSTITUTE(SUBSTITUTE(SUBSTITUTE(SUBSTITUTE(SUBSTITUTE(SUBSTITUTE(SUBSTITUTE(SUBSTITUTE(SUBSTITUTE(SUBSTITUTE(SUBSTITUTE(SUBSTITUTE(SUBSTITUTE(SUBSTITUTE(SUBSTITUTE(SUBSTITUTE(SUBSTITUTE(SUBSTITUTE(SUBSTITUTE(SUBSTITUTE(SUBSTITUTE(SUBSTITUTE(tabSindicatos[FUNÇÕES],"á","a"),"ã","a"),"â","a"),"é","e"),"ê","e"),"í","i"),"ó","o"),"õ","o"),"ô","o"),"ú","u"),"ç","c"),"Á","a"),"Ã","a"),"Â","a"),"É","e"),"Ê","e"),"Í","i"),"Ó","o"),"Õ","o"),"Ô","o"),"Ú","u"),"Ç","c")," e ",", ")," ",""),".","")))&amp;",",
IFERROR(_xlfn._xlws.FILTER(tabSindicatos[SINDICATOS],
(ISNUMBER(SEARCH(","&amp;TRIM(UPPER(SUBSTITUTE(tabPostos[[#This Row],[Comarca]]," ","")))&amp;",",_xlpm.MATRIZ_COMARCA,1)))*
(ISNUMBER(SEARCH(","&amp;TRIM(SUBSTITUTE(SUBSTITUTE(SUBSTITUTE(UPPER(tabPostos[[#This Row],[Função]])," E ",", ")," ",""),".",""))&amp;",",_xlpm.MATRIZ_FUNCAO,1)))
),"")
))</f>
        <v>Curvelo</v>
      </c>
      <c r="E194" s="148" t="s">
        <v>9</v>
      </c>
      <c r="F194" s="148" t="s">
        <v>10</v>
      </c>
      <c r="G194" s="148">
        <v>1</v>
      </c>
      <c r="H194" s="148">
        <v>0</v>
      </c>
      <c r="I194" s="216">
        <f>798.14</f>
        <v>798.14</v>
      </c>
      <c r="J194" s="247">
        <f>VLOOKUP(tabPostos[[#This Row],[CCT DA CATEGORIA]],'RELAÇÃO SINDICATOS'!A:N,11,0)</f>
        <v>45658</v>
      </c>
      <c r="K194" s="148" t="str">
        <f>VLOOKUP(tabPostos[[#This Row],[CCT DA CATEGORIA]],'RELAÇÃO SINDICATOS'!A:N,12,0)</f>
        <v>-</v>
      </c>
      <c r="L194" s="148" t="str">
        <f>VLOOKUP(tabPostos[[#This Row],[CCT DA CATEGORIA]],'RELAÇÃO SINDICATOS'!A:N,13,0)</f>
        <v>-</v>
      </c>
      <c r="M194" s="148" t="str">
        <f>VLOOKUP(tabPostos[[#This Row],[CCT DA CATEGORIA]],'RELAÇÃO SINDICATOS'!A:N,14,0)</f>
        <v>MG0000423/2025</v>
      </c>
    </row>
    <row r="195" spans="1:13" x14ac:dyDescent="0.25">
      <c r="A195" s="148" t="str" cm="1">
        <f t="array" ref="A195">_xlfn.XLOOKUP(tabPostos[[#This Row],[Fonte de Recursos]]&amp;tabPostos[[#This Row],[Classificação]],tabLotacao[Lotacao]&amp;tabLotacao[Tipo],tabLotacao[Codigo Lote],"0")&amp;"."&amp;_xlfn.XLOOKUP(tabPostos[[#This Row],[Comarca]],tabComarca[COMARCA],tabComarca[Codigo Comarca],"000")&amp;"."&amp;_xlfn.XLOOKUP(tabPostos[[#This Row],[Função]],tabCargos[Cargo],tabCargos[Codigo Cargo],"00")</f>
        <v>2.521.06</v>
      </c>
      <c r="B195" s="200" t="s">
        <v>178</v>
      </c>
      <c r="C195" s="200" t="s">
        <v>1245</v>
      </c>
      <c r="D195" s="200" t="str" cm="1">
        <f t="array" ref="D195">IF(tabPostos[[#This Row],[Comarca]]="","",
_xlfn.LET(
_xlpm.MATRIZ_COMARCA, ","&amp;TRIM(UPPER(SUBSTITUTE(SUBSTITUTE(SUBSTITUTE(SUBSTITUTE(SUBSTITUTE(SUBSTITUTE(SUBSTITUTE(SUBSTITUTE(SUBSTITUTE(SUBSTITUTE(SUBSTITUTE(SUBSTITUTE(SUBSTITUTE(SUBSTITUTE(SUBSTITUTE(SUBSTITUTE(SUBSTITUTE(SUBSTITUTE(SUBSTITUTE(SUBSTITUTE(SUBSTITUTE(SUBSTITUTE(SUBSTITUTE(SUBSTITUTE(SUBSTITUTE(SUBSTITUTE(tabSindicatos[ABRANGÊNCIA],"á","a"),"ã","a"),"â","a"),"é","e"),"ê","e"),"í","i"),"ó","o"),"õ","o"),"ô","o"),"ú","u"),"ç","c"),"Á","a"),"Ã","a"),"Â","a"),"É","e"),"Ê","e"),"Í","i"),"Ó","o"),"Õ","o"),"Ô","o"),"Ú","u"),"Ç","c"),"/MG","")," e ",", ")," ",""),".","")))&amp;",",
_xlpm.MATRIZ_FUNCAO, ","&amp;TRIM(UPPER(SUBSTITUTE(SUBSTITUTE(SUBSTITUTE(SUBSTITUTE(SUBSTITUTE(SUBSTITUTE(SUBSTITUTE(SUBSTITUTE(SUBSTITUTE(SUBSTITUTE(SUBSTITUTE(SUBSTITUTE(SUBSTITUTE(SUBSTITUTE(SUBSTITUTE(SUBSTITUTE(SUBSTITUTE(SUBSTITUTE(SUBSTITUTE(SUBSTITUTE(SUBSTITUTE(SUBSTITUTE(SUBSTITUTE(SUBSTITUTE(SUBSTITUTE(tabSindicatos[FUNÇÕES],"á","a"),"ã","a"),"â","a"),"é","e"),"ê","e"),"í","i"),"ó","o"),"õ","o"),"ô","o"),"ú","u"),"ç","c"),"Á","a"),"Ã","a"),"Â","a"),"É","e"),"Ê","e"),"Í","i"),"Ó","o"),"Õ","o"),"Ô","o"),"Ú","u"),"Ç","c")," e ",", ")," ",""),".","")))&amp;",",
IFERROR(_xlfn._xlws.FILTER(tabSindicatos[SINDICATOS],
(ISNUMBER(SEARCH(","&amp;TRIM(UPPER(SUBSTITUTE(tabPostos[[#This Row],[Comarca]]," ","")))&amp;",",_xlpm.MATRIZ_COMARCA,1)))*
(ISNUMBER(SEARCH(","&amp;TRIM(SUBSTITUTE(SUBSTITUTE(SUBSTITUTE(UPPER(tabPostos[[#This Row],[Função]])," E ",", ")," ",""),".",""))&amp;",",_xlpm.MATRIZ_FUNCAO,1)))
),"")
))</f>
        <v>Regiao de Ouro Preto</v>
      </c>
      <c r="E195" s="148" t="s">
        <v>9</v>
      </c>
      <c r="F195" s="148" t="s">
        <v>10</v>
      </c>
      <c r="G195" s="148">
        <v>2</v>
      </c>
      <c r="H195" s="148">
        <v>0</v>
      </c>
      <c r="I195" s="216">
        <f>1596.28</f>
        <v>1596.28</v>
      </c>
      <c r="J195" s="247">
        <f>VLOOKUP(tabPostos[[#This Row],[CCT DA CATEGORIA]],'RELAÇÃO SINDICATOS'!A:N,11,0)</f>
        <v>45658</v>
      </c>
      <c r="K195" s="148" t="str">
        <f>VLOOKUP(tabPostos[[#This Row],[CCT DA CATEGORIA]],'RELAÇÃO SINDICATOS'!A:N,12,0)</f>
        <v>-</v>
      </c>
      <c r="L195" s="148" t="str">
        <f>VLOOKUP(tabPostos[[#This Row],[CCT DA CATEGORIA]],'RELAÇÃO SINDICATOS'!A:N,13,0)</f>
        <v>-</v>
      </c>
      <c r="M195" s="148" t="str">
        <f>VLOOKUP(tabPostos[[#This Row],[CCT DA CATEGORIA]],'RELAÇÃO SINDICATOS'!A:N,14,0)</f>
        <v>MG000212/2025</v>
      </c>
    </row>
    <row r="196" spans="1:13" x14ac:dyDescent="0.25">
      <c r="A196" s="148" t="str" cm="1">
        <f t="array" ref="A196">_xlfn.XLOOKUP(tabPostos[[#This Row],[Fonte de Recursos]]&amp;tabPostos[[#This Row],[Classificação]],tabLotacao[Lotacao]&amp;tabLotacao[Tipo],tabLotacao[Codigo Lote],"0")&amp;"."&amp;_xlfn.XLOOKUP(tabPostos[[#This Row],[Comarca]],tabComarca[COMARCA],tabComarca[Codigo Comarca],"000")&amp;"."&amp;_xlfn.XLOOKUP(tabPostos[[#This Row],[Função]],tabCargos[Cargo],tabCargos[Codigo Cargo],"00")</f>
        <v>2.522.04</v>
      </c>
      <c r="B196" s="200" t="s">
        <v>179</v>
      </c>
      <c r="C196" s="200" t="s">
        <v>1244</v>
      </c>
      <c r="D196" s="200" t="str" cm="1">
        <f t="array" ref="D196">IF(tabPostos[[#This Row],[Comarca]]="","",
_xlfn.LET(
_xlpm.MATRIZ_COMARCA, ","&amp;TRIM(UPPER(SUBSTITUTE(SUBSTITUTE(SUBSTITUTE(SUBSTITUTE(SUBSTITUTE(SUBSTITUTE(SUBSTITUTE(SUBSTITUTE(SUBSTITUTE(SUBSTITUTE(SUBSTITUTE(SUBSTITUTE(SUBSTITUTE(SUBSTITUTE(SUBSTITUTE(SUBSTITUTE(SUBSTITUTE(SUBSTITUTE(SUBSTITUTE(SUBSTITUTE(SUBSTITUTE(SUBSTITUTE(SUBSTITUTE(SUBSTITUTE(SUBSTITUTE(SUBSTITUTE(tabSindicatos[ABRANGÊNCIA],"á","a"),"ã","a"),"â","a"),"é","e"),"ê","e"),"í","i"),"ó","o"),"õ","o"),"ô","o"),"ú","u"),"ç","c"),"Á","a"),"Ã","a"),"Â","a"),"É","e"),"Ê","e"),"Í","i"),"Ó","o"),"Õ","o"),"Ô","o"),"Ú","u"),"Ç","c"),"/MG","")," e ",", ")," ",""),".","")))&amp;",",
_xlpm.MATRIZ_FUNCAO, ","&amp;TRIM(UPPER(SUBSTITUTE(SUBSTITUTE(SUBSTITUTE(SUBSTITUTE(SUBSTITUTE(SUBSTITUTE(SUBSTITUTE(SUBSTITUTE(SUBSTITUTE(SUBSTITUTE(SUBSTITUTE(SUBSTITUTE(SUBSTITUTE(SUBSTITUTE(SUBSTITUTE(SUBSTITUTE(SUBSTITUTE(SUBSTITUTE(SUBSTITUTE(SUBSTITUTE(SUBSTITUTE(SUBSTITUTE(SUBSTITUTE(SUBSTITUTE(SUBSTITUTE(tabSindicatos[FUNÇÕES],"á","a"),"ã","a"),"â","a"),"é","e"),"ê","e"),"í","i"),"ó","o"),"õ","o"),"ô","o"),"ú","u"),"ç","c"),"Á","a"),"Ã","a"),"Â","a"),"É","e"),"Ê","e"),"Í","i"),"Ó","o"),"Õ","o"),"Ô","o"),"Ú","u"),"Ç","c")," e ",", ")," ",""),".","")))&amp;",",
IFERROR(_xlfn._xlws.FILTER(tabSindicatos[SINDICATOS],
(ISNUMBER(SEARCH(","&amp;TRIM(UPPER(SUBSTITUTE(tabPostos[[#This Row],[Comarca]]," ","")))&amp;",",_xlpm.MATRIZ_COMARCA,1)))*
(ISNUMBER(SEARCH(","&amp;TRIM(SUBSTITUTE(SUBSTITUTE(SUBSTITUTE(UPPER(tabPostos[[#This Row],[Função]])," E ",", ")," ",""),".",""))&amp;",",_xlpm.MATRIZ_FUNCAO,1)))
),"")
))</f>
        <v>Sethac Norte de Minas</v>
      </c>
      <c r="E196" s="148" t="s">
        <v>9</v>
      </c>
      <c r="F196" s="148" t="s">
        <v>10</v>
      </c>
      <c r="G196" s="148">
        <v>1</v>
      </c>
      <c r="H196" s="148">
        <v>0</v>
      </c>
      <c r="I196" s="216">
        <f>798.14</f>
        <v>798.14</v>
      </c>
      <c r="J196" s="247">
        <f>VLOOKUP(tabPostos[[#This Row],[CCT DA CATEGORIA]],'RELAÇÃO SINDICATOS'!A:N,11,0)</f>
        <v>45658</v>
      </c>
      <c r="K196" s="148" t="str">
        <f>VLOOKUP(tabPostos[[#This Row],[CCT DA CATEGORIA]],'RELAÇÃO SINDICATOS'!A:N,12,0)</f>
        <v>-</v>
      </c>
      <c r="L196" s="148" t="str">
        <f>VLOOKUP(tabPostos[[#This Row],[CCT DA CATEGORIA]],'RELAÇÃO SINDICATOS'!A:N,13,0)</f>
        <v>-</v>
      </c>
      <c r="M196" s="148" t="str">
        <f>VLOOKUP(tabPostos[[#This Row],[CCT DA CATEGORIA]],'RELAÇÃO SINDICATOS'!A:N,14,0)</f>
        <v>MG000256/2025</v>
      </c>
    </row>
    <row r="197" spans="1:13" x14ac:dyDescent="0.25">
      <c r="A197" s="148" t="str" cm="1">
        <f t="array" ref="A197">_xlfn.XLOOKUP(tabPostos[[#This Row],[Fonte de Recursos]]&amp;tabPostos[[#This Row],[Classificação]],tabLotacao[Lotacao]&amp;tabLotacao[Tipo],tabLotacao[Codigo Lote],"0")&amp;"."&amp;_xlfn.XLOOKUP(tabPostos[[#This Row],[Comarca]],tabComarca[COMARCA],tabComarca[Codigo Comarca],"000")&amp;"."&amp;_xlfn.XLOOKUP(tabPostos[[#This Row],[Função]],tabCargos[Cargo],tabCargos[Codigo Cargo],"00")</f>
        <v>2.525.06</v>
      </c>
      <c r="B197" s="200" t="s">
        <v>180</v>
      </c>
      <c r="C197" s="200" t="s">
        <v>1245</v>
      </c>
      <c r="D197" s="200" t="str" cm="1">
        <f t="array" ref="D197">IF(tabPostos[[#This Row],[Comarca]]="","",
_xlfn.LET(
_xlpm.MATRIZ_COMARCA, ","&amp;TRIM(UPPER(SUBSTITUTE(SUBSTITUTE(SUBSTITUTE(SUBSTITUTE(SUBSTITUTE(SUBSTITUTE(SUBSTITUTE(SUBSTITUTE(SUBSTITUTE(SUBSTITUTE(SUBSTITUTE(SUBSTITUTE(SUBSTITUTE(SUBSTITUTE(SUBSTITUTE(SUBSTITUTE(SUBSTITUTE(SUBSTITUTE(SUBSTITUTE(SUBSTITUTE(SUBSTITUTE(SUBSTITUTE(SUBSTITUTE(SUBSTITUTE(SUBSTITUTE(SUBSTITUTE(tabSindicatos[ABRANGÊNCIA],"á","a"),"ã","a"),"â","a"),"é","e"),"ê","e"),"í","i"),"ó","o"),"õ","o"),"ô","o"),"ú","u"),"ç","c"),"Á","a"),"Ã","a"),"Â","a"),"É","e"),"Ê","e"),"Í","i"),"Ó","o"),"Õ","o"),"Ô","o"),"Ú","u"),"Ç","c"),"/MG","")," e ",", ")," ",""),".","")))&amp;",",
_xlpm.MATRIZ_FUNCAO, ","&amp;TRIM(UPPER(SUBSTITUTE(SUBSTITUTE(SUBSTITUTE(SUBSTITUTE(SUBSTITUTE(SUBSTITUTE(SUBSTITUTE(SUBSTITUTE(SUBSTITUTE(SUBSTITUTE(SUBSTITUTE(SUBSTITUTE(SUBSTITUTE(SUBSTITUTE(SUBSTITUTE(SUBSTITUTE(SUBSTITUTE(SUBSTITUTE(SUBSTITUTE(SUBSTITUTE(SUBSTITUTE(SUBSTITUTE(SUBSTITUTE(SUBSTITUTE(SUBSTITUTE(tabSindicatos[FUNÇÕES],"á","a"),"ã","a"),"â","a"),"é","e"),"ê","e"),"í","i"),"ó","o"),"õ","o"),"ô","o"),"ú","u"),"ç","c"),"Á","a"),"Ã","a"),"Â","a"),"É","e"),"Ê","e"),"Í","i"),"Ó","o"),"Õ","o"),"Ô","o"),"Ú","u"),"Ç","c")," e ",", ")," ",""),".","")))&amp;",",
IFERROR(_xlfn._xlws.FILTER(tabSindicatos[SINDICATOS],
(ISNUMBER(SEARCH(","&amp;TRIM(UPPER(SUBSTITUTE(tabPostos[[#This Row],[Comarca]]," ","")))&amp;",",_xlpm.MATRIZ_COMARCA,1)))*
(ISNUMBER(SEARCH(","&amp;TRIM(SUBSTITUTE(SUBSTITUTE(SUBSTITUTE(UPPER(tabPostos[[#This Row],[Função]])," E ",", ")," ",""),".",""))&amp;",",_xlpm.MATRIZ_FUNCAO,1)))
),"")
))</f>
        <v>Regiao de Sao Lourenco</v>
      </c>
      <c r="E197" s="148" t="s">
        <v>9</v>
      </c>
      <c r="F197" s="148" t="s">
        <v>10</v>
      </c>
      <c r="G197" s="148">
        <v>3</v>
      </c>
      <c r="H197" s="148">
        <v>0</v>
      </c>
      <c r="I197" s="216">
        <f>1596.28</f>
        <v>1596.28</v>
      </c>
      <c r="J197" s="247">
        <f>VLOOKUP(tabPostos[[#This Row],[CCT DA CATEGORIA]],'RELAÇÃO SINDICATOS'!A:N,11,0)</f>
        <v>45658</v>
      </c>
      <c r="K197" s="148" t="str">
        <f>VLOOKUP(tabPostos[[#This Row],[CCT DA CATEGORIA]],'RELAÇÃO SINDICATOS'!A:N,12,0)</f>
        <v>-</v>
      </c>
      <c r="L197" s="148" t="str">
        <f>VLOOKUP(tabPostos[[#This Row],[CCT DA CATEGORIA]],'RELAÇÃO SINDICATOS'!A:N,13,0)</f>
        <v>-</v>
      </c>
      <c r="M197" s="148" t="str">
        <f>VLOOKUP(tabPostos[[#This Row],[CCT DA CATEGORIA]],'RELAÇÃO SINDICATOS'!A:N,14,0)</f>
        <v>MG000594/2025</v>
      </c>
    </row>
    <row r="198" spans="1:13" x14ac:dyDescent="0.25">
      <c r="A198" s="148" t="str" cm="1">
        <f t="array" ref="A198">_xlfn.XLOOKUP(tabPostos[[#This Row],[Fonte de Recursos]]&amp;tabPostos[[#This Row],[Classificação]],tabLotacao[Lotacao]&amp;tabLotacao[Tipo],tabLotacao[Codigo Lote],"0")&amp;"."&amp;_xlfn.XLOOKUP(tabPostos[[#This Row],[Comarca]],tabComarca[COMARCA],tabComarca[Codigo Comarca],"000")&amp;"."&amp;_xlfn.XLOOKUP(tabPostos[[#This Row],[Função]],tabCargos[Cargo],tabCargos[Codigo Cargo],"00")</f>
        <v>2.527.03</v>
      </c>
      <c r="B198" s="200" t="s">
        <v>181</v>
      </c>
      <c r="C198" s="200" t="s">
        <v>1247</v>
      </c>
      <c r="D198" s="200" t="str" cm="1">
        <f t="array" ref="D198">IF(tabPostos[[#This Row],[Comarca]]="","",
_xlfn.LET(
_xlpm.MATRIZ_COMARCA, ","&amp;TRIM(UPPER(SUBSTITUTE(SUBSTITUTE(SUBSTITUTE(SUBSTITUTE(SUBSTITUTE(SUBSTITUTE(SUBSTITUTE(SUBSTITUTE(SUBSTITUTE(SUBSTITUTE(SUBSTITUTE(SUBSTITUTE(SUBSTITUTE(SUBSTITUTE(SUBSTITUTE(SUBSTITUTE(SUBSTITUTE(SUBSTITUTE(SUBSTITUTE(SUBSTITUTE(SUBSTITUTE(SUBSTITUTE(SUBSTITUTE(SUBSTITUTE(SUBSTITUTE(SUBSTITUTE(tabSindicatos[ABRANGÊNCIA],"á","a"),"ã","a"),"â","a"),"é","e"),"ê","e"),"í","i"),"ó","o"),"õ","o"),"ô","o"),"ú","u"),"ç","c"),"Á","a"),"Ã","a"),"Â","a"),"É","e"),"Ê","e"),"Í","i"),"Ó","o"),"Õ","o"),"Ô","o"),"Ú","u"),"Ç","c"),"/MG","")," e ",", ")," ",""),".","")))&amp;",",
_xlpm.MATRIZ_FUNCAO, ","&amp;TRIM(UPPER(SUBSTITUTE(SUBSTITUTE(SUBSTITUTE(SUBSTITUTE(SUBSTITUTE(SUBSTITUTE(SUBSTITUTE(SUBSTITUTE(SUBSTITUTE(SUBSTITUTE(SUBSTITUTE(SUBSTITUTE(SUBSTITUTE(SUBSTITUTE(SUBSTITUTE(SUBSTITUTE(SUBSTITUTE(SUBSTITUTE(SUBSTITUTE(SUBSTITUTE(SUBSTITUTE(SUBSTITUTE(SUBSTITUTE(SUBSTITUTE(SUBSTITUTE(tabSindicatos[FUNÇÕES],"á","a"),"ã","a"),"â","a"),"é","e"),"ê","e"),"í","i"),"ó","o"),"õ","o"),"ô","o"),"ú","u"),"ç","c"),"Á","a"),"Ã","a"),"Â","a"),"É","e"),"Ê","e"),"Í","i"),"Ó","o"),"Õ","o"),"Ô","o"),"Ú","u"),"Ç","c")," e ",", ")," ",""),".","")))&amp;",",
IFERROR(_xlfn._xlws.FILTER(tabSindicatos[SINDICATOS],
(ISNUMBER(SEARCH(","&amp;TRIM(UPPER(SUBSTITUTE(tabPostos[[#This Row],[Comarca]]," ","")))&amp;",",_xlpm.MATRIZ_COMARCA,1)))*
(ISNUMBER(SEARCH(","&amp;TRIM(SUBSTITUTE(SUBSTITUTE(SUBSTITUTE(UPPER(tabPostos[[#This Row],[Função]])," E ",", ")," ",""),".",""))&amp;",",_xlpm.MATRIZ_FUNCAO,1)))
),"")
))</f>
        <v>Regiao de Juiz de Fora</v>
      </c>
      <c r="E198" s="148" t="s">
        <v>9</v>
      </c>
      <c r="F198" s="148" t="s">
        <v>10</v>
      </c>
      <c r="G198" s="148">
        <v>1</v>
      </c>
      <c r="H198" s="148">
        <v>0</v>
      </c>
      <c r="I198" s="216">
        <f>544.18</f>
        <v>544.17999999999995</v>
      </c>
      <c r="J198" s="247">
        <f>VLOOKUP(tabPostos[[#This Row],[CCT DA CATEGORIA]],'RELAÇÃO SINDICATOS'!A:N,11,0)</f>
        <v>45658</v>
      </c>
      <c r="K198" s="148" t="str">
        <f>VLOOKUP(tabPostos[[#This Row],[CCT DA CATEGORIA]],'RELAÇÃO SINDICATOS'!A:N,12,0)</f>
        <v>-</v>
      </c>
      <c r="L198" s="148" t="str">
        <f>VLOOKUP(tabPostos[[#This Row],[CCT DA CATEGORIA]],'RELAÇÃO SINDICATOS'!A:N,13,0)</f>
        <v>-</v>
      </c>
      <c r="M198" s="148" t="str">
        <f>VLOOKUP(tabPostos[[#This Row],[CCT DA CATEGORIA]],'RELAÇÃO SINDICATOS'!A:N,14,0)</f>
        <v>MG000506/2025</v>
      </c>
    </row>
    <row r="199" spans="1:13" x14ac:dyDescent="0.25">
      <c r="A199" s="148" t="str" cm="1">
        <f t="array" ref="A199">_xlfn.XLOOKUP(tabPostos[[#This Row],[Fonte de Recursos]]&amp;tabPostos[[#This Row],[Classificação]],tabLotacao[Lotacao]&amp;tabLotacao[Tipo],tabLotacao[Codigo Lote],"0")&amp;"."&amp;_xlfn.XLOOKUP(tabPostos[[#This Row],[Comarca]],tabComarca[COMARCA],tabComarca[Codigo Comarca],"000")&amp;"."&amp;_xlfn.XLOOKUP(tabPostos[[#This Row],[Função]],tabCargos[Cargo],tabCargos[Codigo Cargo],"00")</f>
        <v>2.534.03</v>
      </c>
      <c r="B199" s="200" t="s">
        <v>182</v>
      </c>
      <c r="C199" s="200" t="s">
        <v>1247</v>
      </c>
      <c r="D199" s="200" t="str" cm="1">
        <f t="array" ref="D199">IF(tabPostos[[#This Row],[Comarca]]="","",
_xlfn.LET(
_xlpm.MATRIZ_COMARCA, ","&amp;TRIM(UPPER(SUBSTITUTE(SUBSTITUTE(SUBSTITUTE(SUBSTITUTE(SUBSTITUTE(SUBSTITUTE(SUBSTITUTE(SUBSTITUTE(SUBSTITUTE(SUBSTITUTE(SUBSTITUTE(SUBSTITUTE(SUBSTITUTE(SUBSTITUTE(SUBSTITUTE(SUBSTITUTE(SUBSTITUTE(SUBSTITUTE(SUBSTITUTE(SUBSTITUTE(SUBSTITUTE(SUBSTITUTE(SUBSTITUTE(SUBSTITUTE(SUBSTITUTE(SUBSTITUTE(tabSindicatos[ABRANGÊNCIA],"á","a"),"ã","a"),"â","a"),"é","e"),"ê","e"),"í","i"),"ó","o"),"õ","o"),"ô","o"),"ú","u"),"ç","c"),"Á","a"),"Ã","a"),"Â","a"),"É","e"),"Ê","e"),"Í","i"),"Ó","o"),"Õ","o"),"Ô","o"),"Ú","u"),"Ç","c"),"/MG","")," e ",", ")," ",""),".","")))&amp;",",
_xlpm.MATRIZ_FUNCAO, ","&amp;TRIM(UPPER(SUBSTITUTE(SUBSTITUTE(SUBSTITUTE(SUBSTITUTE(SUBSTITUTE(SUBSTITUTE(SUBSTITUTE(SUBSTITUTE(SUBSTITUTE(SUBSTITUTE(SUBSTITUTE(SUBSTITUTE(SUBSTITUTE(SUBSTITUTE(SUBSTITUTE(SUBSTITUTE(SUBSTITUTE(SUBSTITUTE(SUBSTITUTE(SUBSTITUTE(SUBSTITUTE(SUBSTITUTE(SUBSTITUTE(SUBSTITUTE(SUBSTITUTE(tabSindicatos[FUNÇÕES],"á","a"),"ã","a"),"â","a"),"é","e"),"ê","e"),"í","i"),"ó","o"),"õ","o"),"ô","o"),"ú","u"),"ç","c"),"Á","a"),"Ã","a"),"Â","a"),"É","e"),"Ê","e"),"Í","i"),"Ó","o"),"Õ","o"),"Ô","o"),"Ú","u"),"Ç","c")," e ",", ")," ",""),".","")))&amp;",",
IFERROR(_xlfn._xlws.FILTER(tabSindicatos[SINDICATOS],
(ISNUMBER(SEARCH(","&amp;TRIM(UPPER(SUBSTITUTE(tabPostos[[#This Row],[Comarca]]," ","")))&amp;",",_xlpm.MATRIZ_COMARCA,1)))*
(ISNUMBER(SEARCH(","&amp;TRIM(SUBSTITUTE(SUBSTITUTE(SUBSTITUTE(UPPER(tabPostos[[#This Row],[Função]])," E ",", ")," ",""),".",""))&amp;",",_xlpm.MATRIZ_FUNCAO,1)))
),"")
))</f>
        <v>Alto Paranaiba</v>
      </c>
      <c r="E199" s="148" t="s">
        <v>9</v>
      </c>
      <c r="F199" s="148" t="s">
        <v>10</v>
      </c>
      <c r="G199" s="148">
        <v>1</v>
      </c>
      <c r="H199" s="148">
        <v>0</v>
      </c>
      <c r="I199" s="216">
        <f>544.18</f>
        <v>544.17999999999995</v>
      </c>
      <c r="J199" s="247">
        <f>VLOOKUP(tabPostos[[#This Row],[CCT DA CATEGORIA]],'RELAÇÃO SINDICATOS'!A:N,11,0)</f>
        <v>45658</v>
      </c>
      <c r="K199" s="148" t="str">
        <f>VLOOKUP(tabPostos[[#This Row],[CCT DA CATEGORIA]],'RELAÇÃO SINDICATOS'!A:N,12,0)</f>
        <v>-</v>
      </c>
      <c r="L199" s="148" t="str">
        <f>VLOOKUP(tabPostos[[#This Row],[CCT DA CATEGORIA]],'RELAÇÃO SINDICATOS'!A:N,13,0)</f>
        <v>-</v>
      </c>
      <c r="M199" s="148" t="str">
        <f>VLOOKUP(tabPostos[[#This Row],[CCT DA CATEGORIA]],'RELAÇÃO SINDICATOS'!A:N,14,0)</f>
        <v>MG001106/2025</v>
      </c>
    </row>
    <row r="200" spans="1:13" x14ac:dyDescent="0.25">
      <c r="A200" s="148" t="str" cm="1">
        <f t="array" ref="A200">_xlfn.XLOOKUP(tabPostos[[#This Row],[Fonte de Recursos]]&amp;tabPostos[[#This Row],[Classificação]],tabLotacao[Lotacao]&amp;tabLotacao[Tipo],tabLotacao[Codigo Lote],"0")&amp;"."&amp;_xlfn.XLOOKUP(tabPostos[[#This Row],[Comarca]],tabComarca[COMARCA],tabComarca[Codigo Comarca],"000")&amp;"."&amp;_xlfn.XLOOKUP(tabPostos[[#This Row],[Função]],tabCargos[Cargo],tabCargos[Codigo Cargo],"00")</f>
        <v>2.540.03</v>
      </c>
      <c r="B200" s="200" t="s">
        <v>183</v>
      </c>
      <c r="C200" s="200" t="s">
        <v>1247</v>
      </c>
      <c r="D200" s="200" t="str" cm="1">
        <f t="array" ref="D200">IF(tabPostos[[#This Row],[Comarca]]="","",
_xlfn.LET(
_xlpm.MATRIZ_COMARCA, ","&amp;TRIM(UPPER(SUBSTITUTE(SUBSTITUTE(SUBSTITUTE(SUBSTITUTE(SUBSTITUTE(SUBSTITUTE(SUBSTITUTE(SUBSTITUTE(SUBSTITUTE(SUBSTITUTE(SUBSTITUTE(SUBSTITUTE(SUBSTITUTE(SUBSTITUTE(SUBSTITUTE(SUBSTITUTE(SUBSTITUTE(SUBSTITUTE(SUBSTITUTE(SUBSTITUTE(SUBSTITUTE(SUBSTITUTE(SUBSTITUTE(SUBSTITUTE(SUBSTITUTE(SUBSTITUTE(tabSindicatos[ABRANGÊNCIA],"á","a"),"ã","a"),"â","a"),"é","e"),"ê","e"),"í","i"),"ó","o"),"õ","o"),"ô","o"),"ú","u"),"ç","c"),"Á","a"),"Ã","a"),"Â","a"),"É","e"),"Ê","e"),"Í","i"),"Ó","o"),"Õ","o"),"Ô","o"),"Ú","u"),"Ç","c"),"/MG","")," e ",", ")," ",""),".","")))&amp;",",
_xlpm.MATRIZ_FUNCAO, ","&amp;TRIM(UPPER(SUBSTITUTE(SUBSTITUTE(SUBSTITUTE(SUBSTITUTE(SUBSTITUTE(SUBSTITUTE(SUBSTITUTE(SUBSTITUTE(SUBSTITUTE(SUBSTITUTE(SUBSTITUTE(SUBSTITUTE(SUBSTITUTE(SUBSTITUTE(SUBSTITUTE(SUBSTITUTE(SUBSTITUTE(SUBSTITUTE(SUBSTITUTE(SUBSTITUTE(SUBSTITUTE(SUBSTITUTE(SUBSTITUTE(SUBSTITUTE(SUBSTITUTE(tabSindicatos[FUNÇÕES],"á","a"),"ã","a"),"â","a"),"é","e"),"ê","e"),"í","i"),"ó","o"),"õ","o"),"ô","o"),"ú","u"),"ç","c"),"Á","a"),"Ã","a"),"Â","a"),"É","e"),"Ê","e"),"Í","i"),"Ó","o"),"Õ","o"),"Ô","o"),"Ú","u"),"Ç","c")," e ",", ")," ",""),".","")))&amp;",",
IFERROR(_xlfn._xlws.FILTER(tabSindicatos[SINDICATOS],
(ISNUMBER(SEARCH(","&amp;TRIM(UPPER(SUBSTITUTE(tabPostos[[#This Row],[Comarca]]," ","")))&amp;",",_xlpm.MATRIZ_COMARCA,1)))*
(ISNUMBER(SEARCH(","&amp;TRIM(SUBSTITUTE(SUBSTITUTE(SUBSTITUTE(UPPER(tabPostos[[#This Row],[Função]])," E ",", ")," ",""),".",""))&amp;",",_xlpm.MATRIZ_FUNCAO,1)))
),"")
))</f>
        <v>Vicosa e Regiao</v>
      </c>
      <c r="E200" s="148" t="s">
        <v>9</v>
      </c>
      <c r="F200" s="148" t="s">
        <v>10</v>
      </c>
      <c r="G200" s="148">
        <v>1</v>
      </c>
      <c r="H200" s="148">
        <v>0</v>
      </c>
      <c r="I200" s="216">
        <f>544.18</f>
        <v>544.17999999999995</v>
      </c>
      <c r="J200" s="247">
        <f>VLOOKUP(tabPostos[[#This Row],[CCT DA CATEGORIA]],'RELAÇÃO SINDICATOS'!A:N,11,0)</f>
        <v>45658</v>
      </c>
      <c r="K200" s="148" t="str">
        <f>VLOOKUP(tabPostos[[#This Row],[CCT DA CATEGORIA]],'RELAÇÃO SINDICATOS'!A:N,12,0)</f>
        <v>-</v>
      </c>
      <c r="L200" s="148" t="str">
        <f>VLOOKUP(tabPostos[[#This Row],[CCT DA CATEGORIA]],'RELAÇÃO SINDICATOS'!A:N,13,0)</f>
        <v>-</v>
      </c>
      <c r="M200" s="148" t="str">
        <f>VLOOKUP(tabPostos[[#This Row],[CCT DA CATEGORIA]],'RELAÇÃO SINDICATOS'!A:N,14,0)</f>
        <v>MG001208/2025</v>
      </c>
    </row>
    <row r="201" spans="1:13" x14ac:dyDescent="0.25">
      <c r="A201" s="148" t="str" cm="1">
        <f t="array" ref="A201">_xlfn.XLOOKUP(tabPostos[[#This Row],[Fonte de Recursos]]&amp;tabPostos[[#This Row],[Classificação]],tabLotacao[Lotacao]&amp;tabLotacao[Tipo],tabLotacao[Codigo Lote],"0")&amp;"."&amp;_xlfn.XLOOKUP(tabPostos[[#This Row],[Comarca]],tabComarca[COMARCA],tabComarca[Codigo Comarca],"000")&amp;"."&amp;_xlfn.XLOOKUP(tabPostos[[#This Row],[Função]],tabCargos[Cargo],tabCargos[Codigo Cargo],"00")</f>
        <v>2.543.03</v>
      </c>
      <c r="B201" s="200" t="s">
        <v>184</v>
      </c>
      <c r="C201" s="200" t="s">
        <v>1247</v>
      </c>
      <c r="D201" s="200" t="str" cm="1">
        <f t="array" ref="D201">IF(tabPostos[[#This Row],[Comarca]]="","",
_xlfn.LET(
_xlpm.MATRIZ_COMARCA, ","&amp;TRIM(UPPER(SUBSTITUTE(SUBSTITUTE(SUBSTITUTE(SUBSTITUTE(SUBSTITUTE(SUBSTITUTE(SUBSTITUTE(SUBSTITUTE(SUBSTITUTE(SUBSTITUTE(SUBSTITUTE(SUBSTITUTE(SUBSTITUTE(SUBSTITUTE(SUBSTITUTE(SUBSTITUTE(SUBSTITUTE(SUBSTITUTE(SUBSTITUTE(SUBSTITUTE(SUBSTITUTE(SUBSTITUTE(SUBSTITUTE(SUBSTITUTE(SUBSTITUTE(SUBSTITUTE(tabSindicatos[ABRANGÊNCIA],"á","a"),"ã","a"),"â","a"),"é","e"),"ê","e"),"í","i"),"ó","o"),"õ","o"),"ô","o"),"ú","u"),"ç","c"),"Á","a"),"Ã","a"),"Â","a"),"É","e"),"Ê","e"),"Í","i"),"Ó","o"),"Õ","o"),"Ô","o"),"Ú","u"),"Ç","c"),"/MG","")," e ",", ")," ",""),".","")))&amp;",",
_xlpm.MATRIZ_FUNCAO, ","&amp;TRIM(UPPER(SUBSTITUTE(SUBSTITUTE(SUBSTITUTE(SUBSTITUTE(SUBSTITUTE(SUBSTITUTE(SUBSTITUTE(SUBSTITUTE(SUBSTITUTE(SUBSTITUTE(SUBSTITUTE(SUBSTITUTE(SUBSTITUTE(SUBSTITUTE(SUBSTITUTE(SUBSTITUTE(SUBSTITUTE(SUBSTITUTE(SUBSTITUTE(SUBSTITUTE(SUBSTITUTE(SUBSTITUTE(SUBSTITUTE(SUBSTITUTE(SUBSTITUTE(tabSindicatos[FUNÇÕES],"á","a"),"ã","a"),"â","a"),"é","e"),"ê","e"),"í","i"),"ó","o"),"õ","o"),"ô","o"),"ú","u"),"ç","c"),"Á","a"),"Ã","a"),"Â","a"),"É","e"),"Ê","e"),"Í","i"),"Ó","o"),"Õ","o"),"Ô","o"),"Ú","u"),"Ç","c")," e ",", ")," ",""),".","")))&amp;",",
IFERROR(_xlfn._xlws.FILTER(tabSindicatos[SINDICATOS],
(ISNUMBER(SEARCH(","&amp;TRIM(UPPER(SUBSTITUTE(tabPostos[[#This Row],[Comarca]]," ","")))&amp;",",_xlpm.MATRIZ_COMARCA,1)))*
(ISNUMBER(SEARCH(","&amp;TRIM(SUBSTITUTE(SUBSTITUTE(SUBSTITUTE(UPPER(tabPostos[[#This Row],[Função]])," E ",", ")," ",""),".",""))&amp;",",_xlpm.MATRIZ_FUNCAO,1)))
),"")
))</f>
        <v>Fethemg Interior</v>
      </c>
      <c r="E201" s="148" t="s">
        <v>9</v>
      </c>
      <c r="F201" s="148" t="s">
        <v>10</v>
      </c>
      <c r="G201" s="148">
        <v>1</v>
      </c>
      <c r="H201" s="148">
        <v>0</v>
      </c>
      <c r="I201" s="216">
        <f>544.18</f>
        <v>544.17999999999995</v>
      </c>
      <c r="J201" s="247">
        <f>VLOOKUP(tabPostos[[#This Row],[CCT DA CATEGORIA]],'RELAÇÃO SINDICATOS'!A:N,11,0)</f>
        <v>45658</v>
      </c>
      <c r="K201" s="148" t="str">
        <f>VLOOKUP(tabPostos[[#This Row],[CCT DA CATEGORIA]],'RELAÇÃO SINDICATOS'!A:N,12,0)</f>
        <v>-</v>
      </c>
      <c r="L201" s="148" t="str">
        <f>VLOOKUP(tabPostos[[#This Row],[CCT DA CATEGORIA]],'RELAÇÃO SINDICATOS'!A:N,13,0)</f>
        <v>-</v>
      </c>
      <c r="M201" s="148" t="str">
        <f>VLOOKUP(tabPostos[[#This Row],[CCT DA CATEGORIA]],'RELAÇÃO SINDICATOS'!A:N,14,0)</f>
        <v>MG004482/2024</v>
      </c>
    </row>
    <row r="202" spans="1:13" x14ac:dyDescent="0.25">
      <c r="A202" s="148" t="str" cm="1">
        <f t="array" ref="A202">_xlfn.XLOOKUP(tabPostos[[#This Row],[Fonte de Recursos]]&amp;tabPostos[[#This Row],[Classificação]],tabLotacao[Lotacao]&amp;tabLotacao[Tipo],tabLotacao[Codigo Lote],"0")&amp;"."&amp;_xlfn.XLOOKUP(tabPostos[[#This Row],[Comarca]],tabComarca[COMARCA],tabComarca[Codigo Comarca],"000")&amp;"."&amp;_xlfn.XLOOKUP(tabPostos[[#This Row],[Função]],tabCargos[Cargo],tabCargos[Codigo Cargo],"00")</f>
        <v>2.231.04</v>
      </c>
      <c r="B202" s="200" t="s">
        <v>185</v>
      </c>
      <c r="C202" s="200" t="s">
        <v>1244</v>
      </c>
      <c r="D202" s="200" t="str" cm="1">
        <f t="array" ref="D202">IF(tabPostos[[#This Row],[Comarca]]="","",
_xlfn.LET(
_xlpm.MATRIZ_COMARCA, ","&amp;TRIM(UPPER(SUBSTITUTE(SUBSTITUTE(SUBSTITUTE(SUBSTITUTE(SUBSTITUTE(SUBSTITUTE(SUBSTITUTE(SUBSTITUTE(SUBSTITUTE(SUBSTITUTE(SUBSTITUTE(SUBSTITUTE(SUBSTITUTE(SUBSTITUTE(SUBSTITUTE(SUBSTITUTE(SUBSTITUTE(SUBSTITUTE(SUBSTITUTE(SUBSTITUTE(SUBSTITUTE(SUBSTITUTE(SUBSTITUTE(SUBSTITUTE(SUBSTITUTE(SUBSTITUTE(tabSindicatos[ABRANGÊNCIA],"á","a"),"ã","a"),"â","a"),"é","e"),"ê","e"),"í","i"),"ó","o"),"õ","o"),"ô","o"),"ú","u"),"ç","c"),"Á","a"),"Ã","a"),"Â","a"),"É","e"),"Ê","e"),"Í","i"),"Ó","o"),"Õ","o"),"Ô","o"),"Ú","u"),"Ç","c"),"/MG","")," e ",", ")," ",""),".","")))&amp;",",
_xlpm.MATRIZ_FUNCAO, ","&amp;TRIM(UPPER(SUBSTITUTE(SUBSTITUTE(SUBSTITUTE(SUBSTITUTE(SUBSTITUTE(SUBSTITUTE(SUBSTITUTE(SUBSTITUTE(SUBSTITUTE(SUBSTITUTE(SUBSTITUTE(SUBSTITUTE(SUBSTITUTE(SUBSTITUTE(SUBSTITUTE(SUBSTITUTE(SUBSTITUTE(SUBSTITUTE(SUBSTITUTE(SUBSTITUTE(SUBSTITUTE(SUBSTITUTE(SUBSTITUTE(SUBSTITUTE(SUBSTITUTE(tabSindicatos[FUNÇÕES],"á","a"),"ã","a"),"â","a"),"é","e"),"ê","e"),"í","i"),"ó","o"),"õ","o"),"ô","o"),"ú","u"),"ç","c"),"Á","a"),"Ã","a"),"Â","a"),"É","e"),"Ê","e"),"Í","i"),"Ó","o"),"Õ","o"),"Ô","o"),"Ú","u"),"Ç","c")," e ",", ")," ",""),".","")))&amp;",",
IFERROR(_xlfn._xlws.FILTER(tabSindicatos[SINDICATOS],
(ISNUMBER(SEARCH(","&amp;TRIM(UPPER(SUBSTITUTE(tabPostos[[#This Row],[Comarca]]," ","")))&amp;",",_xlpm.MATRIZ_COMARCA,1)))*
(ISNUMBER(SEARCH(","&amp;TRIM(SUBSTITUTE(SUBSTITUTE(SUBSTITUTE(UPPER(tabPostos[[#This Row],[Função]])," E ",", ")," ",""),".",""))&amp;",",_xlpm.MATRIZ_FUNCAO,1)))
),"")
))</f>
        <v>Sind - Asseio</v>
      </c>
      <c r="E202" s="148" t="s">
        <v>9</v>
      </c>
      <c r="F202" s="148" t="s">
        <v>10</v>
      </c>
      <c r="G202" s="148">
        <v>1</v>
      </c>
      <c r="H202" s="148">
        <v>0</v>
      </c>
      <c r="I202" s="216">
        <f>824.56</f>
        <v>824.56</v>
      </c>
      <c r="J202" s="247">
        <f>VLOOKUP(tabPostos[[#This Row],[CCT DA CATEGORIA]],'RELAÇÃO SINDICATOS'!A:N,11,0)</f>
        <v>45658</v>
      </c>
      <c r="K202" s="148" t="str">
        <f>VLOOKUP(tabPostos[[#This Row],[CCT DA CATEGORIA]],'RELAÇÃO SINDICATOS'!A:N,12,0)</f>
        <v>-</v>
      </c>
      <c r="L202" s="148" t="str">
        <f>VLOOKUP(tabPostos[[#This Row],[CCT DA CATEGORIA]],'RELAÇÃO SINDICATOS'!A:N,13,0)</f>
        <v>-</v>
      </c>
      <c r="M202" s="148" t="str">
        <f>VLOOKUP(tabPostos[[#This Row],[CCT DA CATEGORIA]],'RELAÇÃO SINDICATOS'!A:N,14,0)</f>
        <v>MG000016/2025</v>
      </c>
    </row>
    <row r="203" spans="1:13" x14ac:dyDescent="0.25">
      <c r="A203" s="148" t="str" cm="1">
        <f t="array" ref="A203">_xlfn.XLOOKUP(tabPostos[[#This Row],[Fonte de Recursos]]&amp;tabPostos[[#This Row],[Classificação]],tabLotacao[Lotacao]&amp;tabLotacao[Tipo],tabLotacao[Codigo Lote],"0")&amp;"."&amp;_xlfn.XLOOKUP(tabPostos[[#This Row],[Comarca]],tabComarca[COMARCA],tabComarca[Codigo Comarca],"000")&amp;"."&amp;_xlfn.XLOOKUP(tabPostos[[#This Row],[Função]],tabCargos[Cargo],tabCargos[Codigo Cargo],"00")</f>
        <v>2.231.06</v>
      </c>
      <c r="B203" s="200" t="s">
        <v>185</v>
      </c>
      <c r="C203" s="200" t="s">
        <v>1245</v>
      </c>
      <c r="D203" s="200" t="str" cm="1">
        <f t="array" ref="D203">IF(tabPostos[[#This Row],[Comarca]]="","",
_xlfn.LET(
_xlpm.MATRIZ_COMARCA, ","&amp;TRIM(UPPER(SUBSTITUTE(SUBSTITUTE(SUBSTITUTE(SUBSTITUTE(SUBSTITUTE(SUBSTITUTE(SUBSTITUTE(SUBSTITUTE(SUBSTITUTE(SUBSTITUTE(SUBSTITUTE(SUBSTITUTE(SUBSTITUTE(SUBSTITUTE(SUBSTITUTE(SUBSTITUTE(SUBSTITUTE(SUBSTITUTE(SUBSTITUTE(SUBSTITUTE(SUBSTITUTE(SUBSTITUTE(SUBSTITUTE(SUBSTITUTE(SUBSTITUTE(SUBSTITUTE(tabSindicatos[ABRANGÊNCIA],"á","a"),"ã","a"),"â","a"),"é","e"),"ê","e"),"í","i"),"ó","o"),"õ","o"),"ô","o"),"ú","u"),"ç","c"),"Á","a"),"Ã","a"),"Â","a"),"É","e"),"Ê","e"),"Í","i"),"Ó","o"),"Õ","o"),"Ô","o"),"Ú","u"),"Ç","c"),"/MG","")," e ",", ")," ",""),".","")))&amp;",",
_xlpm.MATRIZ_FUNCAO, ","&amp;TRIM(UPPER(SUBSTITUTE(SUBSTITUTE(SUBSTITUTE(SUBSTITUTE(SUBSTITUTE(SUBSTITUTE(SUBSTITUTE(SUBSTITUTE(SUBSTITUTE(SUBSTITUTE(SUBSTITUTE(SUBSTITUTE(SUBSTITUTE(SUBSTITUTE(SUBSTITUTE(SUBSTITUTE(SUBSTITUTE(SUBSTITUTE(SUBSTITUTE(SUBSTITUTE(SUBSTITUTE(SUBSTITUTE(SUBSTITUTE(SUBSTITUTE(SUBSTITUTE(tabSindicatos[FUNÇÕES],"á","a"),"ã","a"),"â","a"),"é","e"),"ê","e"),"í","i"),"ó","o"),"õ","o"),"ô","o"),"ú","u"),"ç","c"),"Á","a"),"Ã","a"),"Â","a"),"É","e"),"Ê","e"),"Í","i"),"Ó","o"),"Õ","o"),"Ô","o"),"Ú","u"),"Ç","c")," e ",", ")," ",""),".","")))&amp;",",
IFERROR(_xlfn._xlws.FILTER(tabSindicatos[SINDICATOS],
(ISNUMBER(SEARCH(","&amp;TRIM(UPPER(SUBSTITUTE(tabPostos[[#This Row],[Comarca]]," ","")))&amp;",",_xlpm.MATRIZ_COMARCA,1)))*
(ISNUMBER(SEARCH(","&amp;TRIM(SUBSTITUTE(SUBSTITUTE(SUBSTITUTE(UPPER(tabPostos[[#This Row],[Função]])," E ",", ")," ",""),".",""))&amp;",",_xlpm.MATRIZ_FUNCAO,1)))
),"")
))</f>
        <v>Sind - Asseio</v>
      </c>
      <c r="E203" s="148" t="s">
        <v>9</v>
      </c>
      <c r="F203" s="148" t="s">
        <v>10</v>
      </c>
      <c r="G203" s="148">
        <f>2+1</f>
        <v>3</v>
      </c>
      <c r="H203" s="148">
        <v>0</v>
      </c>
      <c r="I203" s="216">
        <f>1649.12</f>
        <v>1649.12</v>
      </c>
      <c r="J203" s="247">
        <f>VLOOKUP(tabPostos[[#This Row],[CCT DA CATEGORIA]],'RELAÇÃO SINDICATOS'!A:N,11,0)</f>
        <v>45658</v>
      </c>
      <c r="K203" s="148" t="str">
        <f>VLOOKUP(tabPostos[[#This Row],[CCT DA CATEGORIA]],'RELAÇÃO SINDICATOS'!A:N,12,0)</f>
        <v>-</v>
      </c>
      <c r="L203" s="148" t="str">
        <f>VLOOKUP(tabPostos[[#This Row],[CCT DA CATEGORIA]],'RELAÇÃO SINDICATOS'!A:N,13,0)</f>
        <v>-</v>
      </c>
      <c r="M203" s="148" t="str">
        <f>VLOOKUP(tabPostos[[#This Row],[CCT DA CATEGORIA]],'RELAÇÃO SINDICATOS'!A:N,14,0)</f>
        <v>MG000016/2025</v>
      </c>
    </row>
    <row r="204" spans="1:13" x14ac:dyDescent="0.25">
      <c r="A204" s="148" t="str" cm="1">
        <f t="array" ref="A204">_xlfn.XLOOKUP(tabPostos[[#This Row],[Fonte de Recursos]]&amp;tabPostos[[#This Row],[Classificação]],tabLotacao[Lotacao]&amp;tabLotacao[Tipo],tabLotacao[Codigo Lote],"0")&amp;"."&amp;_xlfn.XLOOKUP(tabPostos[[#This Row],[Comarca]],tabComarca[COMARCA],tabComarca[Codigo Comarca],"000")&amp;"."&amp;_xlfn.XLOOKUP(tabPostos[[#This Row],[Função]],tabCargos[Cargo],tabCargos[Codigo Cargo],"00")</f>
        <v>2.549.03</v>
      </c>
      <c r="B204" s="200" t="s">
        <v>186</v>
      </c>
      <c r="C204" s="200" t="s">
        <v>1247</v>
      </c>
      <c r="D204" s="200" t="str" cm="1">
        <f t="array" ref="D204">IF(tabPostos[[#This Row],[Comarca]]="","",
_xlfn.LET(
_xlpm.MATRIZ_COMARCA, ","&amp;TRIM(UPPER(SUBSTITUTE(SUBSTITUTE(SUBSTITUTE(SUBSTITUTE(SUBSTITUTE(SUBSTITUTE(SUBSTITUTE(SUBSTITUTE(SUBSTITUTE(SUBSTITUTE(SUBSTITUTE(SUBSTITUTE(SUBSTITUTE(SUBSTITUTE(SUBSTITUTE(SUBSTITUTE(SUBSTITUTE(SUBSTITUTE(SUBSTITUTE(SUBSTITUTE(SUBSTITUTE(SUBSTITUTE(SUBSTITUTE(SUBSTITUTE(SUBSTITUTE(SUBSTITUTE(tabSindicatos[ABRANGÊNCIA],"á","a"),"ã","a"),"â","a"),"é","e"),"ê","e"),"í","i"),"ó","o"),"õ","o"),"ô","o"),"ú","u"),"ç","c"),"Á","a"),"Ã","a"),"Â","a"),"É","e"),"Ê","e"),"Í","i"),"Ó","o"),"Õ","o"),"Ô","o"),"Ú","u"),"Ç","c"),"/MG","")," e ",", ")," ",""),".","")))&amp;",",
_xlpm.MATRIZ_FUNCAO, ","&amp;TRIM(UPPER(SUBSTITUTE(SUBSTITUTE(SUBSTITUTE(SUBSTITUTE(SUBSTITUTE(SUBSTITUTE(SUBSTITUTE(SUBSTITUTE(SUBSTITUTE(SUBSTITUTE(SUBSTITUTE(SUBSTITUTE(SUBSTITUTE(SUBSTITUTE(SUBSTITUTE(SUBSTITUTE(SUBSTITUTE(SUBSTITUTE(SUBSTITUTE(SUBSTITUTE(SUBSTITUTE(SUBSTITUTE(SUBSTITUTE(SUBSTITUTE(SUBSTITUTE(tabSindicatos[FUNÇÕES],"á","a"),"ã","a"),"â","a"),"é","e"),"ê","e"),"í","i"),"ó","o"),"õ","o"),"ô","o"),"ú","u"),"ç","c"),"Á","a"),"Ã","a"),"Â","a"),"É","e"),"Ê","e"),"Í","i"),"Ó","o"),"Õ","o"),"Ô","o"),"Ú","u"),"Ç","c")," e ",", ")," ",""),".","")))&amp;",",
IFERROR(_xlfn._xlws.FILTER(tabSindicatos[SINDICATOS],
(ISNUMBER(SEARCH(","&amp;TRIM(UPPER(SUBSTITUTE(tabPostos[[#This Row],[Comarca]]," ","")))&amp;",",_xlpm.MATRIZ_COMARCA,1)))*
(ISNUMBER(SEARCH(","&amp;TRIM(SUBSTITUTE(SUBSTITUTE(SUBSTITUTE(UPPER(tabPostos[[#This Row],[Função]])," E ",", ")," ",""),".",""))&amp;",",_xlpm.MATRIZ_FUNCAO,1)))
),"")
))</f>
        <v>Regiao de Ouro Preto</v>
      </c>
      <c r="E204" s="148" t="s">
        <v>9</v>
      </c>
      <c r="F204" s="148" t="s">
        <v>10</v>
      </c>
      <c r="G204" s="148">
        <v>1</v>
      </c>
      <c r="H204" s="148">
        <v>0</v>
      </c>
      <c r="I204" s="216">
        <f>544.18</f>
        <v>544.17999999999995</v>
      </c>
      <c r="J204" s="247">
        <f>VLOOKUP(tabPostos[[#This Row],[CCT DA CATEGORIA]],'RELAÇÃO SINDICATOS'!A:N,11,0)</f>
        <v>45658</v>
      </c>
      <c r="K204" s="148" t="str">
        <f>VLOOKUP(tabPostos[[#This Row],[CCT DA CATEGORIA]],'RELAÇÃO SINDICATOS'!A:N,12,0)</f>
        <v>-</v>
      </c>
      <c r="L204" s="148" t="str">
        <f>VLOOKUP(tabPostos[[#This Row],[CCT DA CATEGORIA]],'RELAÇÃO SINDICATOS'!A:N,13,0)</f>
        <v>-</v>
      </c>
      <c r="M204" s="148" t="str">
        <f>VLOOKUP(tabPostos[[#This Row],[CCT DA CATEGORIA]],'RELAÇÃO SINDICATOS'!A:N,14,0)</f>
        <v>MG000212/2025</v>
      </c>
    </row>
    <row r="205" spans="1:13" x14ac:dyDescent="0.25">
      <c r="A205" s="148" t="str" cm="1">
        <f t="array" ref="A205">_xlfn.XLOOKUP(tabPostos[[#This Row],[Fonte de Recursos]]&amp;tabPostos[[#This Row],[Classificação]],tabLotacao[Lotacao]&amp;tabLotacao[Tipo],tabLotacao[Codigo Lote],"0")&amp;"."&amp;_xlfn.XLOOKUP(tabPostos[[#This Row],[Comarca]],tabComarca[COMARCA],tabComarca[Codigo Comarca],"000")&amp;"."&amp;_xlfn.XLOOKUP(tabPostos[[#This Row],[Função]],tabCargos[Cargo],tabCargos[Codigo Cargo],"00")</f>
        <v>2.555.04</v>
      </c>
      <c r="B205" s="200" t="s">
        <v>187</v>
      </c>
      <c r="C205" s="200" t="s">
        <v>1244</v>
      </c>
      <c r="D205" s="200" t="str" cm="1">
        <f t="array" ref="D205">IF(tabPostos[[#This Row],[Comarca]]="","",
_xlfn.LET(
_xlpm.MATRIZ_COMARCA, ","&amp;TRIM(UPPER(SUBSTITUTE(SUBSTITUTE(SUBSTITUTE(SUBSTITUTE(SUBSTITUTE(SUBSTITUTE(SUBSTITUTE(SUBSTITUTE(SUBSTITUTE(SUBSTITUTE(SUBSTITUTE(SUBSTITUTE(SUBSTITUTE(SUBSTITUTE(SUBSTITUTE(SUBSTITUTE(SUBSTITUTE(SUBSTITUTE(SUBSTITUTE(SUBSTITUTE(SUBSTITUTE(SUBSTITUTE(SUBSTITUTE(SUBSTITUTE(SUBSTITUTE(SUBSTITUTE(tabSindicatos[ABRANGÊNCIA],"á","a"),"ã","a"),"â","a"),"é","e"),"ê","e"),"í","i"),"ó","o"),"õ","o"),"ô","o"),"ú","u"),"ç","c"),"Á","a"),"Ã","a"),"Â","a"),"É","e"),"Ê","e"),"Í","i"),"Ó","o"),"Õ","o"),"Ô","o"),"Ú","u"),"Ç","c"),"/MG","")," e ",", ")," ",""),".","")))&amp;",",
_xlpm.MATRIZ_FUNCAO, ","&amp;TRIM(UPPER(SUBSTITUTE(SUBSTITUTE(SUBSTITUTE(SUBSTITUTE(SUBSTITUTE(SUBSTITUTE(SUBSTITUTE(SUBSTITUTE(SUBSTITUTE(SUBSTITUTE(SUBSTITUTE(SUBSTITUTE(SUBSTITUTE(SUBSTITUTE(SUBSTITUTE(SUBSTITUTE(SUBSTITUTE(SUBSTITUTE(SUBSTITUTE(SUBSTITUTE(SUBSTITUTE(SUBSTITUTE(SUBSTITUTE(SUBSTITUTE(SUBSTITUTE(tabSindicatos[FUNÇÕES],"á","a"),"ã","a"),"â","a"),"é","e"),"ê","e"),"í","i"),"ó","o"),"õ","o"),"ô","o"),"ú","u"),"ç","c"),"Á","a"),"Ã","a"),"Â","a"),"É","e"),"Ê","e"),"Í","i"),"Ó","o"),"Õ","o"),"Ô","o"),"Ú","u"),"Ç","c")," e ",", ")," ",""),".","")))&amp;",",
IFERROR(_xlfn._xlws.FILTER(tabSindicatos[SINDICATOS],
(ISNUMBER(SEARCH(","&amp;TRIM(UPPER(SUBSTITUTE(tabPostos[[#This Row],[Comarca]]," ","")))&amp;",",_xlpm.MATRIZ_COMARCA,1)))*
(ISNUMBER(SEARCH(","&amp;TRIM(SUBSTITUTE(SUBSTITUTE(SUBSTITUTE(UPPER(tabPostos[[#This Row],[Função]])," E ",", ")," ",""),".",""))&amp;",",_xlpm.MATRIZ_FUNCAO,1)))
),"")
))</f>
        <v>Alto Paranaiba</v>
      </c>
      <c r="E205" s="148" t="s">
        <v>9</v>
      </c>
      <c r="F205" s="148" t="s">
        <v>10</v>
      </c>
      <c r="G205" s="148">
        <v>1</v>
      </c>
      <c r="H205" s="148">
        <v>0</v>
      </c>
      <c r="I205" s="216">
        <f>798.14</f>
        <v>798.14</v>
      </c>
      <c r="J205" s="247">
        <f>VLOOKUP(tabPostos[[#This Row],[CCT DA CATEGORIA]],'RELAÇÃO SINDICATOS'!A:N,11,0)</f>
        <v>45658</v>
      </c>
      <c r="K205" s="148" t="str">
        <f>VLOOKUP(tabPostos[[#This Row],[CCT DA CATEGORIA]],'RELAÇÃO SINDICATOS'!A:N,12,0)</f>
        <v>-</v>
      </c>
      <c r="L205" s="148" t="str">
        <f>VLOOKUP(tabPostos[[#This Row],[CCT DA CATEGORIA]],'RELAÇÃO SINDICATOS'!A:N,13,0)</f>
        <v>-</v>
      </c>
      <c r="M205" s="148" t="str">
        <f>VLOOKUP(tabPostos[[#This Row],[CCT DA CATEGORIA]],'RELAÇÃO SINDICATOS'!A:N,14,0)</f>
        <v>MG001106/2025</v>
      </c>
    </row>
    <row r="206" spans="1:13" x14ac:dyDescent="0.25">
      <c r="A206" s="148" t="str" cm="1">
        <f t="array" ref="A206">_xlfn.XLOOKUP(tabPostos[[#This Row],[Fonte de Recursos]]&amp;tabPostos[[#This Row],[Classificação]],tabLotacao[Lotacao]&amp;tabLotacao[Tipo],tabLotacao[Codigo Lote],"0")&amp;"."&amp;_xlfn.XLOOKUP(tabPostos[[#This Row],[Comarca]],tabComarca[COMARCA],tabComarca[Codigo Comarca],"000")&amp;"."&amp;_xlfn.XLOOKUP(tabPostos[[#This Row],[Função]],tabCargos[Cargo],tabCargos[Codigo Cargo],"00")</f>
        <v>2.558.03</v>
      </c>
      <c r="B206" s="200" t="s">
        <v>188</v>
      </c>
      <c r="C206" s="200" t="s">
        <v>1247</v>
      </c>
      <c r="D206" s="200" t="str" cm="1">
        <f t="array" ref="D206">IF(tabPostos[[#This Row],[Comarca]]="","",
_xlfn.LET(
_xlpm.MATRIZ_COMARCA, ","&amp;TRIM(UPPER(SUBSTITUTE(SUBSTITUTE(SUBSTITUTE(SUBSTITUTE(SUBSTITUTE(SUBSTITUTE(SUBSTITUTE(SUBSTITUTE(SUBSTITUTE(SUBSTITUTE(SUBSTITUTE(SUBSTITUTE(SUBSTITUTE(SUBSTITUTE(SUBSTITUTE(SUBSTITUTE(SUBSTITUTE(SUBSTITUTE(SUBSTITUTE(SUBSTITUTE(SUBSTITUTE(SUBSTITUTE(SUBSTITUTE(SUBSTITUTE(SUBSTITUTE(SUBSTITUTE(tabSindicatos[ABRANGÊNCIA],"á","a"),"ã","a"),"â","a"),"é","e"),"ê","e"),"í","i"),"ó","o"),"õ","o"),"ô","o"),"ú","u"),"ç","c"),"Á","a"),"Ã","a"),"Â","a"),"É","e"),"Ê","e"),"Í","i"),"Ó","o"),"Õ","o"),"Ô","o"),"Ú","u"),"Ç","c"),"/MG","")," e ",", ")," ",""),".","")))&amp;",",
_xlpm.MATRIZ_FUNCAO, ","&amp;TRIM(UPPER(SUBSTITUTE(SUBSTITUTE(SUBSTITUTE(SUBSTITUTE(SUBSTITUTE(SUBSTITUTE(SUBSTITUTE(SUBSTITUTE(SUBSTITUTE(SUBSTITUTE(SUBSTITUTE(SUBSTITUTE(SUBSTITUTE(SUBSTITUTE(SUBSTITUTE(SUBSTITUTE(SUBSTITUTE(SUBSTITUTE(SUBSTITUTE(SUBSTITUTE(SUBSTITUTE(SUBSTITUTE(SUBSTITUTE(SUBSTITUTE(SUBSTITUTE(tabSindicatos[FUNÇÕES],"á","a"),"ã","a"),"â","a"),"é","e"),"ê","e"),"í","i"),"ó","o"),"õ","o"),"ô","o"),"ú","u"),"ç","c"),"Á","a"),"Ã","a"),"Â","a"),"É","e"),"Ê","e"),"Í","i"),"Ó","o"),"Õ","o"),"Ô","o"),"Ú","u"),"Ç","c")," e ",", ")," ",""),".","")))&amp;",",
IFERROR(_xlfn._xlws.FILTER(tabSindicatos[SINDICATOS],
(ISNUMBER(SEARCH(","&amp;TRIM(UPPER(SUBSTITUTE(tabPostos[[#This Row],[Comarca]]," ","")))&amp;",",_xlpm.MATRIZ_COMARCA,1)))*
(ISNUMBER(SEARCH(","&amp;TRIM(SUBSTITUTE(SUBSTITUTE(SUBSTITUTE(UPPER(tabPostos[[#This Row],[Função]])," E ",", ")," ",""),".",""))&amp;",",_xlpm.MATRIZ_FUNCAO,1)))
),"")
))</f>
        <v>Regiao de Juiz de Fora</v>
      </c>
      <c r="E206" s="148" t="s">
        <v>9</v>
      </c>
      <c r="F206" s="148" t="s">
        <v>10</v>
      </c>
      <c r="G206" s="148">
        <v>1</v>
      </c>
      <c r="H206" s="148">
        <v>0</v>
      </c>
      <c r="I206" s="216">
        <f>544.18</f>
        <v>544.17999999999995</v>
      </c>
      <c r="J206" s="247">
        <f>VLOOKUP(tabPostos[[#This Row],[CCT DA CATEGORIA]],'RELAÇÃO SINDICATOS'!A:N,11,0)</f>
        <v>45658</v>
      </c>
      <c r="K206" s="148" t="str">
        <f>VLOOKUP(tabPostos[[#This Row],[CCT DA CATEGORIA]],'RELAÇÃO SINDICATOS'!A:N,12,0)</f>
        <v>-</v>
      </c>
      <c r="L206" s="148" t="str">
        <f>VLOOKUP(tabPostos[[#This Row],[CCT DA CATEGORIA]],'RELAÇÃO SINDICATOS'!A:N,13,0)</f>
        <v>-</v>
      </c>
      <c r="M206" s="148" t="str">
        <f>VLOOKUP(tabPostos[[#This Row],[CCT DA CATEGORIA]],'RELAÇÃO SINDICATOS'!A:N,14,0)</f>
        <v>MG000506/2025</v>
      </c>
    </row>
    <row r="207" spans="1:13" x14ac:dyDescent="0.25">
      <c r="A207" s="148" t="str" cm="1">
        <f t="array" ref="A207">_xlfn.XLOOKUP(tabPostos[[#This Row],[Fonte de Recursos]]&amp;tabPostos[[#This Row],[Classificação]],tabLotacao[Lotacao]&amp;tabLotacao[Tipo],tabLotacao[Codigo Lote],"0")&amp;"."&amp;_xlfn.XLOOKUP(tabPostos[[#This Row],[Comarca]],tabComarca[COMARCA],tabComarca[Codigo Comarca],"000")&amp;"."&amp;_xlfn.XLOOKUP(tabPostos[[#This Row],[Função]],tabCargos[Cargo],tabCargos[Codigo Cargo],"00")</f>
        <v>2.560.04</v>
      </c>
      <c r="B207" s="200" t="s">
        <v>189</v>
      </c>
      <c r="C207" s="200" t="s">
        <v>1244</v>
      </c>
      <c r="D207" s="200" t="str" cm="1">
        <f t="array" ref="D207">IF(tabPostos[[#This Row],[Comarca]]="","",
_xlfn.LET(
_xlpm.MATRIZ_COMARCA, ","&amp;TRIM(UPPER(SUBSTITUTE(SUBSTITUTE(SUBSTITUTE(SUBSTITUTE(SUBSTITUTE(SUBSTITUTE(SUBSTITUTE(SUBSTITUTE(SUBSTITUTE(SUBSTITUTE(SUBSTITUTE(SUBSTITUTE(SUBSTITUTE(SUBSTITUTE(SUBSTITUTE(SUBSTITUTE(SUBSTITUTE(SUBSTITUTE(SUBSTITUTE(SUBSTITUTE(SUBSTITUTE(SUBSTITUTE(SUBSTITUTE(SUBSTITUTE(SUBSTITUTE(SUBSTITUTE(tabSindicatos[ABRANGÊNCIA],"á","a"),"ã","a"),"â","a"),"é","e"),"ê","e"),"í","i"),"ó","o"),"õ","o"),"ô","o"),"ú","u"),"ç","c"),"Á","a"),"Ã","a"),"Â","a"),"É","e"),"Ê","e"),"Í","i"),"Ó","o"),"Õ","o"),"Ô","o"),"Ú","u"),"Ç","c"),"/MG","")," e ",", ")," ",""),".","")))&amp;",",
_xlpm.MATRIZ_FUNCAO, ","&amp;TRIM(UPPER(SUBSTITUTE(SUBSTITUTE(SUBSTITUTE(SUBSTITUTE(SUBSTITUTE(SUBSTITUTE(SUBSTITUTE(SUBSTITUTE(SUBSTITUTE(SUBSTITUTE(SUBSTITUTE(SUBSTITUTE(SUBSTITUTE(SUBSTITUTE(SUBSTITUTE(SUBSTITUTE(SUBSTITUTE(SUBSTITUTE(SUBSTITUTE(SUBSTITUTE(SUBSTITUTE(SUBSTITUTE(SUBSTITUTE(SUBSTITUTE(SUBSTITUTE(tabSindicatos[FUNÇÕES],"á","a"),"ã","a"),"â","a"),"é","e"),"ê","e"),"í","i"),"ó","o"),"õ","o"),"ô","o"),"ú","u"),"ç","c"),"Á","a"),"Ã","a"),"Â","a"),"É","e"),"Ê","e"),"Í","i"),"Ó","o"),"Õ","o"),"Ô","o"),"Ú","u"),"Ç","c")," e ",", ")," ",""),".","")))&amp;",",
IFERROR(_xlfn._xlws.FILTER(tabSindicatos[SINDICATOS],
(ISNUMBER(SEARCH(","&amp;TRIM(UPPER(SUBSTITUTE(tabPostos[[#This Row],[Comarca]]," ","")))&amp;",",_xlpm.MATRIZ_COMARCA,1)))*
(ISNUMBER(SEARCH(","&amp;TRIM(SUBSTITUTE(SUBSTITUTE(SUBSTITUTE(UPPER(tabPostos[[#This Row],[Função]])," E ",", ")," ",""),".",""))&amp;",",_xlpm.MATRIZ_FUNCAO,1)))
),"")
))</f>
        <v>Fethemg Interior</v>
      </c>
      <c r="E207" s="148" t="s">
        <v>9</v>
      </c>
      <c r="F207" s="148" t="s">
        <v>10</v>
      </c>
      <c r="G207" s="148">
        <v>1</v>
      </c>
      <c r="H207" s="148">
        <v>0</v>
      </c>
      <c r="I207" s="216">
        <f>798.14</f>
        <v>798.14</v>
      </c>
      <c r="J207" s="247">
        <f>VLOOKUP(tabPostos[[#This Row],[CCT DA CATEGORIA]],'RELAÇÃO SINDICATOS'!A:N,11,0)</f>
        <v>45658</v>
      </c>
      <c r="K207" s="148" t="str">
        <f>VLOOKUP(tabPostos[[#This Row],[CCT DA CATEGORIA]],'RELAÇÃO SINDICATOS'!A:N,12,0)</f>
        <v>-</v>
      </c>
      <c r="L207" s="148" t="str">
        <f>VLOOKUP(tabPostos[[#This Row],[CCT DA CATEGORIA]],'RELAÇÃO SINDICATOS'!A:N,13,0)</f>
        <v>-</v>
      </c>
      <c r="M207" s="148" t="str">
        <f>VLOOKUP(tabPostos[[#This Row],[CCT DA CATEGORIA]],'RELAÇÃO SINDICATOS'!A:N,14,0)</f>
        <v>MG004482/2024</v>
      </c>
    </row>
    <row r="208" spans="1:13" x14ac:dyDescent="0.25">
      <c r="A208" s="148" t="str" cm="1">
        <f t="array" ref="A208">_xlfn.XLOOKUP(tabPostos[[#This Row],[Fonte de Recursos]]&amp;tabPostos[[#This Row],[Classificação]],tabLotacao[Lotacao]&amp;tabLotacao[Tipo],tabLotacao[Codigo Lote],"0")&amp;"."&amp;_xlfn.XLOOKUP(tabPostos[[#This Row],[Comarca]],tabComarca[COMARCA],tabComarca[Codigo Comarca],"000")&amp;"."&amp;_xlfn.XLOOKUP(tabPostos[[#This Row],[Função]],tabCargos[Cargo],tabCargos[Codigo Cargo],"00")</f>
        <v>2.567.05</v>
      </c>
      <c r="B208" s="200" t="s">
        <v>190</v>
      </c>
      <c r="C208" s="200" t="s">
        <v>1246</v>
      </c>
      <c r="D208" s="200" t="str" cm="1">
        <f t="array" ref="D208">IF(tabPostos[[#This Row],[Comarca]]="","",
_xlfn.LET(
_xlpm.MATRIZ_COMARCA, ","&amp;TRIM(UPPER(SUBSTITUTE(SUBSTITUTE(SUBSTITUTE(SUBSTITUTE(SUBSTITUTE(SUBSTITUTE(SUBSTITUTE(SUBSTITUTE(SUBSTITUTE(SUBSTITUTE(SUBSTITUTE(SUBSTITUTE(SUBSTITUTE(SUBSTITUTE(SUBSTITUTE(SUBSTITUTE(SUBSTITUTE(SUBSTITUTE(SUBSTITUTE(SUBSTITUTE(SUBSTITUTE(SUBSTITUTE(SUBSTITUTE(SUBSTITUTE(SUBSTITUTE(SUBSTITUTE(tabSindicatos[ABRANGÊNCIA],"á","a"),"ã","a"),"â","a"),"é","e"),"ê","e"),"í","i"),"ó","o"),"õ","o"),"ô","o"),"ú","u"),"ç","c"),"Á","a"),"Ã","a"),"Â","a"),"É","e"),"Ê","e"),"Í","i"),"Ó","o"),"Õ","o"),"Ô","o"),"Ú","u"),"Ç","c"),"/MG","")," e ",", ")," ",""),".","")))&amp;",",
_xlpm.MATRIZ_FUNCAO, ","&amp;TRIM(UPPER(SUBSTITUTE(SUBSTITUTE(SUBSTITUTE(SUBSTITUTE(SUBSTITUTE(SUBSTITUTE(SUBSTITUTE(SUBSTITUTE(SUBSTITUTE(SUBSTITUTE(SUBSTITUTE(SUBSTITUTE(SUBSTITUTE(SUBSTITUTE(SUBSTITUTE(SUBSTITUTE(SUBSTITUTE(SUBSTITUTE(SUBSTITUTE(SUBSTITUTE(SUBSTITUTE(SUBSTITUTE(SUBSTITUTE(SUBSTITUTE(SUBSTITUTE(tabSindicatos[FUNÇÕES],"á","a"),"ã","a"),"â","a"),"é","e"),"ê","e"),"í","i"),"ó","o"),"õ","o"),"ô","o"),"ú","u"),"ç","c"),"Á","a"),"Ã","a"),"Â","a"),"É","e"),"Ê","e"),"Í","i"),"Ó","o"),"Õ","o"),"Ô","o"),"Ú","u"),"Ç","c")," e ",", ")," ",""),".","")))&amp;",",
IFERROR(_xlfn._xlws.FILTER(tabSindicatos[SINDICATOS],
(ISNUMBER(SEARCH(","&amp;TRIM(UPPER(SUBSTITUTE(tabPostos[[#This Row],[Comarca]]," ","")))&amp;",",_xlpm.MATRIZ_COMARCA,1)))*
(ISNUMBER(SEARCH(","&amp;TRIM(SUBSTITUTE(SUBSTITUTE(SUBSTITUTE(UPPER(tabPostos[[#This Row],[Função]])," E ",", ")," ",""),".",""))&amp;",",_xlpm.MATRIZ_FUNCAO,1)))
),"")
))</f>
        <v>Sind - Asseio</v>
      </c>
      <c r="E208" s="148" t="s">
        <v>9</v>
      </c>
      <c r="F208" s="148" t="s">
        <v>10</v>
      </c>
      <c r="G208" s="148">
        <v>1</v>
      </c>
      <c r="H208" s="148">
        <v>0</v>
      </c>
      <c r="I208" s="216">
        <f>1124.39</f>
        <v>1124.3900000000001</v>
      </c>
      <c r="J208" s="247">
        <f>VLOOKUP(tabPostos[[#This Row],[CCT DA CATEGORIA]],'RELAÇÃO SINDICATOS'!A:N,11,0)</f>
        <v>45658</v>
      </c>
      <c r="K208" s="148" t="str">
        <f>VLOOKUP(tabPostos[[#This Row],[CCT DA CATEGORIA]],'RELAÇÃO SINDICATOS'!A:N,12,0)</f>
        <v>-</v>
      </c>
      <c r="L208" s="148" t="str">
        <f>VLOOKUP(tabPostos[[#This Row],[CCT DA CATEGORIA]],'RELAÇÃO SINDICATOS'!A:N,13,0)</f>
        <v>-</v>
      </c>
      <c r="M208" s="148" t="str">
        <f>VLOOKUP(tabPostos[[#This Row],[CCT DA CATEGORIA]],'RELAÇÃO SINDICATOS'!A:N,14,0)</f>
        <v>MG000016/2025</v>
      </c>
    </row>
    <row r="209" spans="1:13" x14ac:dyDescent="0.25">
      <c r="A209" s="148" t="str" cm="1">
        <f t="array" ref="A209">_xlfn.XLOOKUP(tabPostos[[#This Row],[Fonte de Recursos]]&amp;tabPostos[[#This Row],[Classificação]],tabLotacao[Lotacao]&amp;tabLotacao[Tipo],tabLotacao[Codigo Lote],"0")&amp;"."&amp;_xlfn.XLOOKUP(tabPostos[[#This Row],[Comarca]],tabComarca[COMARCA],tabComarca[Codigo Comarca],"000")&amp;"."&amp;_xlfn.XLOOKUP(tabPostos[[#This Row],[Função]],tabCargos[Cargo],tabCargos[Codigo Cargo],"00")</f>
        <v>2.568.03</v>
      </c>
      <c r="B209" s="200" t="s">
        <v>191</v>
      </c>
      <c r="C209" s="200" t="s">
        <v>1247</v>
      </c>
      <c r="D209" s="200" t="str" cm="1">
        <f t="array" ref="D209">IF(tabPostos[[#This Row],[Comarca]]="","",
_xlfn.LET(
_xlpm.MATRIZ_COMARCA, ","&amp;TRIM(UPPER(SUBSTITUTE(SUBSTITUTE(SUBSTITUTE(SUBSTITUTE(SUBSTITUTE(SUBSTITUTE(SUBSTITUTE(SUBSTITUTE(SUBSTITUTE(SUBSTITUTE(SUBSTITUTE(SUBSTITUTE(SUBSTITUTE(SUBSTITUTE(SUBSTITUTE(SUBSTITUTE(SUBSTITUTE(SUBSTITUTE(SUBSTITUTE(SUBSTITUTE(SUBSTITUTE(SUBSTITUTE(SUBSTITUTE(SUBSTITUTE(SUBSTITUTE(SUBSTITUTE(tabSindicatos[ABRANGÊNCIA],"á","a"),"ã","a"),"â","a"),"é","e"),"ê","e"),"í","i"),"ó","o"),"õ","o"),"ô","o"),"ú","u"),"ç","c"),"Á","a"),"Ã","a"),"Â","a"),"É","e"),"Ê","e"),"Í","i"),"Ó","o"),"Õ","o"),"Ô","o"),"Ú","u"),"Ç","c"),"/MG","")," e ",", ")," ",""),".","")))&amp;",",
_xlpm.MATRIZ_FUNCAO, ","&amp;TRIM(UPPER(SUBSTITUTE(SUBSTITUTE(SUBSTITUTE(SUBSTITUTE(SUBSTITUTE(SUBSTITUTE(SUBSTITUTE(SUBSTITUTE(SUBSTITUTE(SUBSTITUTE(SUBSTITUTE(SUBSTITUTE(SUBSTITUTE(SUBSTITUTE(SUBSTITUTE(SUBSTITUTE(SUBSTITUTE(SUBSTITUTE(SUBSTITUTE(SUBSTITUTE(SUBSTITUTE(SUBSTITUTE(SUBSTITUTE(SUBSTITUTE(SUBSTITUTE(tabSindicatos[FUNÇÕES],"á","a"),"ã","a"),"â","a"),"é","e"),"ê","e"),"í","i"),"ó","o"),"õ","o"),"ô","o"),"ú","u"),"ç","c"),"Á","a"),"Ã","a"),"Â","a"),"É","e"),"Ê","e"),"Í","i"),"Ó","o"),"Õ","o"),"Ô","o"),"Ú","u"),"Ç","c")," e ",", ")," ",""),".","")))&amp;",",
IFERROR(_xlfn._xlws.FILTER(tabSindicatos[SINDICATOS],
(ISNUMBER(SEARCH(","&amp;TRIM(UPPER(SUBSTITUTE(tabPostos[[#This Row],[Comarca]]," ","")))&amp;",",_xlpm.MATRIZ_COMARCA,1)))*
(ISNUMBER(SEARCH(","&amp;TRIM(SUBSTITUTE(SUBSTITUTE(SUBSTITUTE(UPPER(tabPostos[[#This Row],[Função]])," E ",", ")," ",""),".",""))&amp;",",_xlpm.MATRIZ_FUNCAO,1)))
),"")
))</f>
        <v>Fethemg Interior</v>
      </c>
      <c r="E209" s="148" t="s">
        <v>9</v>
      </c>
      <c r="F209" s="148" t="s">
        <v>10</v>
      </c>
      <c r="G209" s="148">
        <v>1</v>
      </c>
      <c r="H209" s="148">
        <v>0</v>
      </c>
      <c r="I209" s="216">
        <f>544.18</f>
        <v>544.17999999999995</v>
      </c>
      <c r="J209" s="247">
        <f>VLOOKUP(tabPostos[[#This Row],[CCT DA CATEGORIA]],'RELAÇÃO SINDICATOS'!A:N,11,0)</f>
        <v>45658</v>
      </c>
      <c r="K209" s="148" t="str">
        <f>VLOOKUP(tabPostos[[#This Row],[CCT DA CATEGORIA]],'RELAÇÃO SINDICATOS'!A:N,12,0)</f>
        <v>-</v>
      </c>
      <c r="L209" s="148" t="str">
        <f>VLOOKUP(tabPostos[[#This Row],[CCT DA CATEGORIA]],'RELAÇÃO SINDICATOS'!A:N,13,0)</f>
        <v>-</v>
      </c>
      <c r="M209" s="148" t="str">
        <f>VLOOKUP(tabPostos[[#This Row],[CCT DA CATEGORIA]],'RELAÇÃO SINDICATOS'!A:N,14,0)</f>
        <v>MG004482/2024</v>
      </c>
    </row>
    <row r="210" spans="1:13" x14ac:dyDescent="0.25">
      <c r="A210" s="148" t="str" cm="1">
        <f t="array" ref="A210">_xlfn.XLOOKUP(tabPostos[[#This Row],[Fonte de Recursos]]&amp;tabPostos[[#This Row],[Classificação]],tabLotacao[Lotacao]&amp;tabLotacao[Tipo],tabLotacao[Codigo Lote],"0")&amp;"."&amp;_xlfn.XLOOKUP(tabPostos[[#This Row],[Comarca]],tabComarca[COMARCA],tabComarca[Codigo Comarca],"000")&amp;"."&amp;_xlfn.XLOOKUP(tabPostos[[#This Row],[Função]],tabCargos[Cargo],tabCargos[Codigo Cargo],"00")</f>
        <v>2.569.04</v>
      </c>
      <c r="B210" s="200" t="s">
        <v>192</v>
      </c>
      <c r="C210" s="200" t="s">
        <v>1244</v>
      </c>
      <c r="D210" s="200" t="str" cm="1">
        <f t="array" ref="D210">IF(tabPostos[[#This Row],[Comarca]]="","",
_xlfn.LET(
_xlpm.MATRIZ_COMARCA, ","&amp;TRIM(UPPER(SUBSTITUTE(SUBSTITUTE(SUBSTITUTE(SUBSTITUTE(SUBSTITUTE(SUBSTITUTE(SUBSTITUTE(SUBSTITUTE(SUBSTITUTE(SUBSTITUTE(SUBSTITUTE(SUBSTITUTE(SUBSTITUTE(SUBSTITUTE(SUBSTITUTE(SUBSTITUTE(SUBSTITUTE(SUBSTITUTE(SUBSTITUTE(SUBSTITUTE(SUBSTITUTE(SUBSTITUTE(SUBSTITUTE(SUBSTITUTE(SUBSTITUTE(SUBSTITUTE(tabSindicatos[ABRANGÊNCIA],"á","a"),"ã","a"),"â","a"),"é","e"),"ê","e"),"í","i"),"ó","o"),"õ","o"),"ô","o"),"ú","u"),"ç","c"),"Á","a"),"Ã","a"),"Â","a"),"É","e"),"Ê","e"),"Í","i"),"Ó","o"),"Õ","o"),"Ô","o"),"Ú","u"),"Ç","c"),"/MG","")," e ",", ")," ",""),".","")))&amp;",",
_xlpm.MATRIZ_FUNCAO, ","&amp;TRIM(UPPER(SUBSTITUTE(SUBSTITUTE(SUBSTITUTE(SUBSTITUTE(SUBSTITUTE(SUBSTITUTE(SUBSTITUTE(SUBSTITUTE(SUBSTITUTE(SUBSTITUTE(SUBSTITUTE(SUBSTITUTE(SUBSTITUTE(SUBSTITUTE(SUBSTITUTE(SUBSTITUTE(SUBSTITUTE(SUBSTITUTE(SUBSTITUTE(SUBSTITUTE(SUBSTITUTE(SUBSTITUTE(SUBSTITUTE(SUBSTITUTE(SUBSTITUTE(tabSindicatos[FUNÇÕES],"á","a"),"ã","a"),"â","a"),"é","e"),"ê","e"),"í","i"),"ó","o"),"õ","o"),"ô","o"),"ú","u"),"ç","c"),"Á","a"),"Ã","a"),"Â","a"),"É","e"),"Ê","e"),"Í","i"),"Ó","o"),"Õ","o"),"Ô","o"),"Ú","u"),"Ç","c")," e ",", ")," ",""),".","")))&amp;",",
IFERROR(_xlfn._xlws.FILTER(tabSindicatos[SINDICATOS],
(ISNUMBER(SEARCH(","&amp;TRIM(UPPER(SUBSTITUTE(tabPostos[[#This Row],[Comarca]]," ","")))&amp;",",_xlpm.MATRIZ_COMARCA,1)))*
(ISNUMBER(SEARCH(","&amp;TRIM(SUBSTITUTE(SUBSTITUTE(SUBSTITUTE(UPPER(tabPostos[[#This Row],[Função]])," E ",", ")," ",""),".",""))&amp;",",_xlpm.MATRIZ_FUNCAO,1)))
),"")
))</f>
        <v>Regiao Uberaba</v>
      </c>
      <c r="E210" s="148" t="s">
        <v>9</v>
      </c>
      <c r="F210" s="148" t="s">
        <v>10</v>
      </c>
      <c r="G210" s="148">
        <v>1</v>
      </c>
      <c r="H210" s="148">
        <v>0</v>
      </c>
      <c r="I210" s="216">
        <f>798.14</f>
        <v>798.14</v>
      </c>
      <c r="J210" s="247">
        <f>VLOOKUP(tabPostos[[#This Row],[CCT DA CATEGORIA]],'RELAÇÃO SINDICATOS'!A:N,11,0)</f>
        <v>45658</v>
      </c>
      <c r="K210" s="148" t="str">
        <f>VLOOKUP(tabPostos[[#This Row],[CCT DA CATEGORIA]],'RELAÇÃO SINDICATOS'!A:N,12,0)</f>
        <v>-</v>
      </c>
      <c r="L210" s="148" t="str">
        <f>VLOOKUP(tabPostos[[#This Row],[CCT DA CATEGORIA]],'RELAÇÃO SINDICATOS'!A:N,13,0)</f>
        <v>-</v>
      </c>
      <c r="M210" s="148" t="str">
        <f>VLOOKUP(tabPostos[[#This Row],[CCT DA CATEGORIA]],'RELAÇÃO SINDICATOS'!A:N,14,0)</f>
        <v>MG000478/2025</v>
      </c>
    </row>
    <row r="211" spans="1:13" x14ac:dyDescent="0.25">
      <c r="A211" s="148" t="str" cm="1">
        <f t="array" ref="A211">_xlfn.XLOOKUP(tabPostos[[#This Row],[Fonte de Recursos]]&amp;tabPostos[[#This Row],[Classificação]],tabLotacao[Lotacao]&amp;tabLotacao[Tipo],tabLotacao[Codigo Lote],"0")&amp;"."&amp;_xlfn.XLOOKUP(tabPostos[[#This Row],[Comarca]],tabComarca[COMARCA],tabComarca[Codigo Comarca],"000")&amp;"."&amp;_xlfn.XLOOKUP(tabPostos[[#This Row],[Função]],tabCargos[Cargo],tabCargos[Codigo Cargo],"00")</f>
        <v>2.570.03</v>
      </c>
      <c r="B211" s="200" t="s">
        <v>193</v>
      </c>
      <c r="C211" s="200" t="s">
        <v>1247</v>
      </c>
      <c r="D211" s="200" t="str" cm="1">
        <f t="array" ref="D211">IF(tabPostos[[#This Row],[Comarca]]="","",
_xlfn.LET(
_xlpm.MATRIZ_COMARCA, ","&amp;TRIM(UPPER(SUBSTITUTE(SUBSTITUTE(SUBSTITUTE(SUBSTITUTE(SUBSTITUTE(SUBSTITUTE(SUBSTITUTE(SUBSTITUTE(SUBSTITUTE(SUBSTITUTE(SUBSTITUTE(SUBSTITUTE(SUBSTITUTE(SUBSTITUTE(SUBSTITUTE(SUBSTITUTE(SUBSTITUTE(SUBSTITUTE(SUBSTITUTE(SUBSTITUTE(SUBSTITUTE(SUBSTITUTE(SUBSTITUTE(SUBSTITUTE(SUBSTITUTE(SUBSTITUTE(tabSindicatos[ABRANGÊNCIA],"á","a"),"ã","a"),"â","a"),"é","e"),"ê","e"),"í","i"),"ó","o"),"õ","o"),"ô","o"),"ú","u"),"ç","c"),"Á","a"),"Ã","a"),"Â","a"),"É","e"),"Ê","e"),"Í","i"),"Ó","o"),"Õ","o"),"Ô","o"),"Ú","u"),"Ç","c"),"/MG","")," e ",", ")," ",""),".","")))&amp;",",
_xlpm.MATRIZ_FUNCAO, ","&amp;TRIM(UPPER(SUBSTITUTE(SUBSTITUTE(SUBSTITUTE(SUBSTITUTE(SUBSTITUTE(SUBSTITUTE(SUBSTITUTE(SUBSTITUTE(SUBSTITUTE(SUBSTITUTE(SUBSTITUTE(SUBSTITUTE(SUBSTITUTE(SUBSTITUTE(SUBSTITUTE(SUBSTITUTE(SUBSTITUTE(SUBSTITUTE(SUBSTITUTE(SUBSTITUTE(SUBSTITUTE(SUBSTITUTE(SUBSTITUTE(SUBSTITUTE(SUBSTITUTE(tabSindicatos[FUNÇÕES],"á","a"),"ã","a"),"â","a"),"é","e"),"ê","e"),"í","i"),"ó","o"),"õ","o"),"ô","o"),"ú","u"),"ç","c"),"Á","a"),"Ã","a"),"Â","a"),"É","e"),"Ê","e"),"Í","i"),"Ó","o"),"Õ","o"),"Ô","o"),"Ú","u"),"Ç","c")," e ",", ")," ",""),".","")))&amp;",",
IFERROR(_xlfn._xlws.FILTER(tabSindicatos[SINDICATOS],
(ISNUMBER(SEARCH(","&amp;TRIM(UPPER(SUBSTITUTE(tabPostos[[#This Row],[Comarca]]," ","")))&amp;",",_xlpm.MATRIZ_COMARCA,1)))*
(ISNUMBER(SEARCH(","&amp;TRIM(SUBSTITUTE(SUBSTITUTE(SUBSTITUTE(UPPER(tabPostos[[#This Row],[Função]])," E ",", ")," ",""),".",""))&amp;",",_xlpm.MATRIZ_FUNCAO,1)))
),"")
))</f>
        <v>Sethac Norte de Minas</v>
      </c>
      <c r="E211" s="148" t="s">
        <v>9</v>
      </c>
      <c r="F211" s="148" t="s">
        <v>10</v>
      </c>
      <c r="G211" s="148">
        <v>1</v>
      </c>
      <c r="H211" s="148">
        <v>0</v>
      </c>
      <c r="I211" s="216">
        <f>544.18</f>
        <v>544.17999999999995</v>
      </c>
      <c r="J211" s="247">
        <f>VLOOKUP(tabPostos[[#This Row],[CCT DA CATEGORIA]],'RELAÇÃO SINDICATOS'!A:N,11,0)</f>
        <v>45658</v>
      </c>
      <c r="K211" s="148" t="str">
        <f>VLOOKUP(tabPostos[[#This Row],[CCT DA CATEGORIA]],'RELAÇÃO SINDICATOS'!A:N,12,0)</f>
        <v>-</v>
      </c>
      <c r="L211" s="148" t="str">
        <f>VLOOKUP(tabPostos[[#This Row],[CCT DA CATEGORIA]],'RELAÇÃO SINDICATOS'!A:N,13,0)</f>
        <v>-</v>
      </c>
      <c r="M211" s="148" t="str">
        <f>VLOOKUP(tabPostos[[#This Row],[CCT DA CATEGORIA]],'RELAÇÃO SINDICATOS'!A:N,14,0)</f>
        <v>MG000256/2025</v>
      </c>
    </row>
    <row r="212" spans="1:13" x14ac:dyDescent="0.25">
      <c r="A212" s="148" t="str" cm="1">
        <f t="array" ref="A212">_xlfn.XLOOKUP(tabPostos[[#This Row],[Fonte de Recursos]]&amp;tabPostos[[#This Row],[Classificação]],tabLotacao[Lotacao]&amp;tabLotacao[Tipo],tabLotacao[Codigo Lote],"0")&amp;"."&amp;_xlfn.XLOOKUP(tabPostos[[#This Row],[Comarca]],tabComarca[COMARCA],tabComarca[Codigo Comarca],"000")&amp;"."&amp;_xlfn.XLOOKUP(tabPostos[[#This Row],[Função]],tabCargos[Cargo],tabCargos[Codigo Cargo],"00")</f>
        <v>2.572.04</v>
      </c>
      <c r="B212" s="200" t="s">
        <v>194</v>
      </c>
      <c r="C212" s="200" t="s">
        <v>1244</v>
      </c>
      <c r="D212" s="200" t="str" cm="1">
        <f t="array" ref="D212">IF(tabPostos[[#This Row],[Comarca]]="","",
_xlfn.LET(
_xlpm.MATRIZ_COMARCA, ","&amp;TRIM(UPPER(SUBSTITUTE(SUBSTITUTE(SUBSTITUTE(SUBSTITUTE(SUBSTITUTE(SUBSTITUTE(SUBSTITUTE(SUBSTITUTE(SUBSTITUTE(SUBSTITUTE(SUBSTITUTE(SUBSTITUTE(SUBSTITUTE(SUBSTITUTE(SUBSTITUTE(SUBSTITUTE(SUBSTITUTE(SUBSTITUTE(SUBSTITUTE(SUBSTITUTE(SUBSTITUTE(SUBSTITUTE(SUBSTITUTE(SUBSTITUTE(SUBSTITUTE(SUBSTITUTE(tabSindicatos[ABRANGÊNCIA],"á","a"),"ã","a"),"â","a"),"é","e"),"ê","e"),"í","i"),"ó","o"),"õ","o"),"ô","o"),"ú","u"),"ç","c"),"Á","a"),"Ã","a"),"Â","a"),"É","e"),"Ê","e"),"Í","i"),"Ó","o"),"Õ","o"),"Ô","o"),"Ú","u"),"Ç","c"),"/MG","")," e ",", ")," ",""),".","")))&amp;",",
_xlpm.MATRIZ_FUNCAO, ","&amp;TRIM(UPPER(SUBSTITUTE(SUBSTITUTE(SUBSTITUTE(SUBSTITUTE(SUBSTITUTE(SUBSTITUTE(SUBSTITUTE(SUBSTITUTE(SUBSTITUTE(SUBSTITUTE(SUBSTITUTE(SUBSTITUTE(SUBSTITUTE(SUBSTITUTE(SUBSTITUTE(SUBSTITUTE(SUBSTITUTE(SUBSTITUTE(SUBSTITUTE(SUBSTITUTE(SUBSTITUTE(SUBSTITUTE(SUBSTITUTE(SUBSTITUTE(SUBSTITUTE(tabSindicatos[FUNÇÕES],"á","a"),"ã","a"),"â","a"),"é","e"),"ê","e"),"í","i"),"ó","o"),"õ","o"),"ô","o"),"ú","u"),"ç","c"),"Á","a"),"Ã","a"),"Â","a"),"É","e"),"Ê","e"),"Í","i"),"Ó","o"),"Õ","o"),"Ô","o"),"Ú","u"),"Ç","c")," e ",", ")," ",""),".","")))&amp;",",
IFERROR(_xlfn._xlws.FILTER(tabSindicatos[SINDICATOS],
(ISNUMBER(SEARCH(","&amp;TRIM(UPPER(SUBSTITUTE(tabPostos[[#This Row],[Comarca]]," ","")))&amp;",",_xlpm.MATRIZ_COMARCA,1)))*
(ISNUMBER(SEARCH(","&amp;TRIM(SUBSTITUTE(SUBSTITUTE(SUBSTITUTE(UPPER(tabPostos[[#This Row],[Função]])," E ",", ")," ",""),".",""))&amp;",",_xlpm.MATRIZ_FUNCAO,1)))
),"")
))</f>
        <v>Regiao de Joao Monlevade</v>
      </c>
      <c r="E212" s="148" t="s">
        <v>9</v>
      </c>
      <c r="F212" s="148" t="s">
        <v>10</v>
      </c>
      <c r="G212" s="148">
        <v>1</v>
      </c>
      <c r="H212" s="148">
        <v>0</v>
      </c>
      <c r="I212" s="216">
        <f>798.14</f>
        <v>798.14</v>
      </c>
      <c r="J212" s="247">
        <f>VLOOKUP(tabPostos[[#This Row],[CCT DA CATEGORIA]],'RELAÇÃO SINDICATOS'!A:N,11,0)</f>
        <v>45658</v>
      </c>
      <c r="K212" s="148" t="str">
        <f>VLOOKUP(tabPostos[[#This Row],[CCT DA CATEGORIA]],'RELAÇÃO SINDICATOS'!A:N,12,0)</f>
        <v>-</v>
      </c>
      <c r="L212" s="148" t="str">
        <f>VLOOKUP(tabPostos[[#This Row],[CCT DA CATEGORIA]],'RELAÇÃO SINDICATOS'!A:N,13,0)</f>
        <v>-</v>
      </c>
      <c r="M212" s="148" t="str">
        <f>VLOOKUP(tabPostos[[#This Row],[CCT DA CATEGORIA]],'RELAÇÃO SINDICATOS'!A:N,14,0)</f>
        <v>MG001172/2025</v>
      </c>
    </row>
    <row r="213" spans="1:13" x14ac:dyDescent="0.25">
      <c r="A213" s="148" t="str" cm="1">
        <f t="array" ref="A213">_xlfn.XLOOKUP(tabPostos[[#This Row],[Fonte de Recursos]]&amp;tabPostos[[#This Row],[Classificação]],tabLotacao[Lotacao]&amp;tabLotacao[Tipo],tabLotacao[Codigo Lote],"0")&amp;"."&amp;_xlfn.XLOOKUP(tabPostos[[#This Row],[Comarca]],tabComarca[COMARCA],tabComarca[Codigo Comarca],"000")&amp;"."&amp;_xlfn.XLOOKUP(tabPostos[[#This Row],[Função]],tabCargos[Cargo],tabCargos[Codigo Cargo],"00")</f>
        <v>2.245.06</v>
      </c>
      <c r="B213" s="200" t="s">
        <v>195</v>
      </c>
      <c r="C213" s="200" t="s">
        <v>1245</v>
      </c>
      <c r="D213" s="200" t="str" cm="1">
        <f t="array" ref="D213">IF(tabPostos[[#This Row],[Comarca]]="","",
_xlfn.LET(
_xlpm.MATRIZ_COMARCA, ","&amp;TRIM(UPPER(SUBSTITUTE(SUBSTITUTE(SUBSTITUTE(SUBSTITUTE(SUBSTITUTE(SUBSTITUTE(SUBSTITUTE(SUBSTITUTE(SUBSTITUTE(SUBSTITUTE(SUBSTITUTE(SUBSTITUTE(SUBSTITUTE(SUBSTITUTE(SUBSTITUTE(SUBSTITUTE(SUBSTITUTE(SUBSTITUTE(SUBSTITUTE(SUBSTITUTE(SUBSTITUTE(SUBSTITUTE(SUBSTITUTE(SUBSTITUTE(SUBSTITUTE(SUBSTITUTE(tabSindicatos[ABRANGÊNCIA],"á","a"),"ã","a"),"â","a"),"é","e"),"ê","e"),"í","i"),"ó","o"),"õ","o"),"ô","o"),"ú","u"),"ç","c"),"Á","a"),"Ã","a"),"Â","a"),"É","e"),"Ê","e"),"Í","i"),"Ó","o"),"Õ","o"),"Ô","o"),"Ú","u"),"Ç","c"),"/MG","")," e ",", ")," ",""),".","")))&amp;",",
_xlpm.MATRIZ_FUNCAO, ","&amp;TRIM(UPPER(SUBSTITUTE(SUBSTITUTE(SUBSTITUTE(SUBSTITUTE(SUBSTITUTE(SUBSTITUTE(SUBSTITUTE(SUBSTITUTE(SUBSTITUTE(SUBSTITUTE(SUBSTITUTE(SUBSTITUTE(SUBSTITUTE(SUBSTITUTE(SUBSTITUTE(SUBSTITUTE(SUBSTITUTE(SUBSTITUTE(SUBSTITUTE(SUBSTITUTE(SUBSTITUTE(SUBSTITUTE(SUBSTITUTE(SUBSTITUTE(SUBSTITUTE(tabSindicatos[FUNÇÕES],"á","a"),"ã","a"),"â","a"),"é","e"),"ê","e"),"í","i"),"ó","o"),"õ","o"),"ô","o"),"ú","u"),"ç","c"),"Á","a"),"Ã","a"),"Â","a"),"É","e"),"Ê","e"),"Í","i"),"Ó","o"),"Õ","o"),"Ô","o"),"Ú","u"),"Ç","c")," e ",", ")," ",""),".","")))&amp;",",
IFERROR(_xlfn._xlws.FILTER(tabSindicatos[SINDICATOS],
(ISNUMBER(SEARCH(","&amp;TRIM(UPPER(SUBSTITUTE(tabPostos[[#This Row],[Comarca]]," ","")))&amp;",",_xlpm.MATRIZ_COMARCA,1)))*
(ISNUMBER(SEARCH(","&amp;TRIM(SUBSTITUTE(SUBSTITUTE(SUBSTITUTE(UPPER(tabPostos[[#This Row],[Função]])," E ",", ")," ",""),".",""))&amp;",",_xlpm.MATRIZ_FUNCAO,1)))
),"")
))</f>
        <v>Sind - Asseio</v>
      </c>
      <c r="E213" s="148" t="s">
        <v>9</v>
      </c>
      <c r="F213" s="148" t="s">
        <v>10</v>
      </c>
      <c r="G213" s="148">
        <v>2</v>
      </c>
      <c r="H213" s="148">
        <v>0</v>
      </c>
      <c r="I213" s="216">
        <f>1649.12</f>
        <v>1649.12</v>
      </c>
      <c r="J213" s="247">
        <f>VLOOKUP(tabPostos[[#This Row],[CCT DA CATEGORIA]],'RELAÇÃO SINDICATOS'!A:N,11,0)</f>
        <v>45658</v>
      </c>
      <c r="K213" s="148" t="str">
        <f>VLOOKUP(tabPostos[[#This Row],[CCT DA CATEGORIA]],'RELAÇÃO SINDICATOS'!A:N,12,0)</f>
        <v>-</v>
      </c>
      <c r="L213" s="148" t="str">
        <f>VLOOKUP(tabPostos[[#This Row],[CCT DA CATEGORIA]],'RELAÇÃO SINDICATOS'!A:N,13,0)</f>
        <v>-</v>
      </c>
      <c r="M213" s="148" t="str">
        <f>VLOOKUP(tabPostos[[#This Row],[CCT DA CATEGORIA]],'RELAÇÃO SINDICATOS'!A:N,14,0)</f>
        <v>MG000016/2025</v>
      </c>
    </row>
    <row r="214" spans="1:13" x14ac:dyDescent="0.25">
      <c r="A214" s="148" t="str" cm="1">
        <f t="array" ref="A214">_xlfn.XLOOKUP(tabPostos[[#This Row],[Fonte de Recursos]]&amp;tabPostos[[#This Row],[Classificação]],tabLotacao[Lotacao]&amp;tabLotacao[Tipo],tabLotacao[Codigo Lote],"0")&amp;"."&amp;_xlfn.XLOOKUP(tabPostos[[#This Row],[Comarca]],tabComarca[COMARCA],tabComarca[Codigo Comarca],"000")&amp;"."&amp;_xlfn.XLOOKUP(tabPostos[[#This Row],[Função]],tabCargos[Cargo],tabCargos[Codigo Cargo],"00")</f>
        <v>2.582.04</v>
      </c>
      <c r="B214" s="200" t="s">
        <v>196</v>
      </c>
      <c r="C214" s="200" t="s">
        <v>1244</v>
      </c>
      <c r="D214" s="200" t="str" cm="1">
        <f t="array" ref="D214">IF(tabPostos[[#This Row],[Comarca]]="","",
_xlfn.LET(
_xlpm.MATRIZ_COMARCA, ","&amp;TRIM(UPPER(SUBSTITUTE(SUBSTITUTE(SUBSTITUTE(SUBSTITUTE(SUBSTITUTE(SUBSTITUTE(SUBSTITUTE(SUBSTITUTE(SUBSTITUTE(SUBSTITUTE(SUBSTITUTE(SUBSTITUTE(SUBSTITUTE(SUBSTITUTE(SUBSTITUTE(SUBSTITUTE(SUBSTITUTE(SUBSTITUTE(SUBSTITUTE(SUBSTITUTE(SUBSTITUTE(SUBSTITUTE(SUBSTITUTE(SUBSTITUTE(SUBSTITUTE(SUBSTITUTE(tabSindicatos[ABRANGÊNCIA],"á","a"),"ã","a"),"â","a"),"é","e"),"ê","e"),"í","i"),"ó","o"),"õ","o"),"ô","o"),"ú","u"),"ç","c"),"Á","a"),"Ã","a"),"Â","a"),"É","e"),"Ê","e"),"Í","i"),"Ó","o"),"Õ","o"),"Ô","o"),"Ú","u"),"Ç","c"),"/MG","")," e ",", ")," ",""),".","")))&amp;",",
_xlpm.MATRIZ_FUNCAO, ","&amp;TRIM(UPPER(SUBSTITUTE(SUBSTITUTE(SUBSTITUTE(SUBSTITUTE(SUBSTITUTE(SUBSTITUTE(SUBSTITUTE(SUBSTITUTE(SUBSTITUTE(SUBSTITUTE(SUBSTITUTE(SUBSTITUTE(SUBSTITUTE(SUBSTITUTE(SUBSTITUTE(SUBSTITUTE(SUBSTITUTE(SUBSTITUTE(SUBSTITUTE(SUBSTITUTE(SUBSTITUTE(SUBSTITUTE(SUBSTITUTE(SUBSTITUTE(SUBSTITUTE(tabSindicatos[FUNÇÕES],"á","a"),"ã","a"),"â","a"),"é","e"),"ê","e"),"í","i"),"ó","o"),"õ","o"),"ô","o"),"ú","u"),"ç","c"),"Á","a"),"Ã","a"),"Â","a"),"É","e"),"Ê","e"),"Í","i"),"Ó","o"),"Õ","o"),"Ô","o"),"Ú","u"),"Ç","c")," e ",", ")," ",""),".","")))&amp;",",
IFERROR(_xlfn._xlws.FILTER(tabSindicatos[SINDICATOS],
(ISNUMBER(SEARCH(","&amp;TRIM(UPPER(SUBSTITUTE(tabPostos[[#This Row],[Comarca]]," ","")))&amp;",",_xlpm.MATRIZ_COMARCA,1)))*
(ISNUMBER(SEARCH(","&amp;TRIM(SUBSTITUTE(SUBSTITUTE(SUBSTITUTE(UPPER(tabPostos[[#This Row],[Função]])," E ",", ")," ",""),".",""))&amp;",",_xlpm.MATRIZ_FUNCAO,1)))
),"")
))</f>
        <v>Fethemg Interior</v>
      </c>
      <c r="E214" s="148" t="s">
        <v>9</v>
      </c>
      <c r="F214" s="148" t="s">
        <v>10</v>
      </c>
      <c r="G214" s="148">
        <v>1</v>
      </c>
      <c r="H214" s="148">
        <v>0</v>
      </c>
      <c r="I214" s="216">
        <f>798.14</f>
        <v>798.14</v>
      </c>
      <c r="J214" s="247">
        <f>VLOOKUP(tabPostos[[#This Row],[CCT DA CATEGORIA]],'RELAÇÃO SINDICATOS'!A:N,11,0)</f>
        <v>45658</v>
      </c>
      <c r="K214" s="148" t="str">
        <f>VLOOKUP(tabPostos[[#This Row],[CCT DA CATEGORIA]],'RELAÇÃO SINDICATOS'!A:N,12,0)</f>
        <v>-</v>
      </c>
      <c r="L214" s="148" t="str">
        <f>VLOOKUP(tabPostos[[#This Row],[CCT DA CATEGORIA]],'RELAÇÃO SINDICATOS'!A:N,13,0)</f>
        <v>-</v>
      </c>
      <c r="M214" s="148" t="str">
        <f>VLOOKUP(tabPostos[[#This Row],[CCT DA CATEGORIA]],'RELAÇÃO SINDICATOS'!A:N,14,0)</f>
        <v>MG004482/2024</v>
      </c>
    </row>
    <row r="215" spans="1:13" x14ac:dyDescent="0.25">
      <c r="A215" s="148" t="str" cm="1">
        <f t="array" ref="A215">_xlfn.XLOOKUP(tabPostos[[#This Row],[Fonte de Recursos]]&amp;tabPostos[[#This Row],[Classificação]],tabLotacao[Lotacao]&amp;tabLotacao[Tipo],tabLotacao[Codigo Lote],"0")&amp;"."&amp;_xlfn.XLOOKUP(tabPostos[[#This Row],[Comarca]],tabComarca[COMARCA],tabComarca[Codigo Comarca],"000")&amp;"."&amp;_xlfn.XLOOKUP(tabPostos[[#This Row],[Função]],tabCargos[Cargo],tabCargos[Codigo Cargo],"00")</f>
        <v>2.592.05</v>
      </c>
      <c r="B215" s="200" t="s">
        <v>197</v>
      </c>
      <c r="C215" s="200" t="s">
        <v>1246</v>
      </c>
      <c r="D215" s="200" t="str" cm="1">
        <f t="array" ref="D215">IF(tabPostos[[#This Row],[Comarca]]="","",
_xlfn.LET(
_xlpm.MATRIZ_COMARCA, ","&amp;TRIM(UPPER(SUBSTITUTE(SUBSTITUTE(SUBSTITUTE(SUBSTITUTE(SUBSTITUTE(SUBSTITUTE(SUBSTITUTE(SUBSTITUTE(SUBSTITUTE(SUBSTITUTE(SUBSTITUTE(SUBSTITUTE(SUBSTITUTE(SUBSTITUTE(SUBSTITUTE(SUBSTITUTE(SUBSTITUTE(SUBSTITUTE(SUBSTITUTE(SUBSTITUTE(SUBSTITUTE(SUBSTITUTE(SUBSTITUTE(SUBSTITUTE(SUBSTITUTE(SUBSTITUTE(tabSindicatos[ABRANGÊNCIA],"á","a"),"ã","a"),"â","a"),"é","e"),"ê","e"),"í","i"),"ó","o"),"õ","o"),"ô","o"),"ú","u"),"ç","c"),"Á","a"),"Ã","a"),"Â","a"),"É","e"),"Ê","e"),"Í","i"),"Ó","o"),"Õ","o"),"Ô","o"),"Ú","u"),"Ç","c"),"/MG","")," e ",", ")," ",""),".","")))&amp;",",
_xlpm.MATRIZ_FUNCAO, ","&amp;TRIM(UPPER(SUBSTITUTE(SUBSTITUTE(SUBSTITUTE(SUBSTITUTE(SUBSTITUTE(SUBSTITUTE(SUBSTITUTE(SUBSTITUTE(SUBSTITUTE(SUBSTITUTE(SUBSTITUTE(SUBSTITUTE(SUBSTITUTE(SUBSTITUTE(SUBSTITUTE(SUBSTITUTE(SUBSTITUTE(SUBSTITUTE(SUBSTITUTE(SUBSTITUTE(SUBSTITUTE(SUBSTITUTE(SUBSTITUTE(SUBSTITUTE(SUBSTITUTE(tabSindicatos[FUNÇÕES],"á","a"),"ã","a"),"â","a"),"é","e"),"ê","e"),"í","i"),"ó","o"),"õ","o"),"ô","o"),"ú","u"),"ç","c"),"Á","a"),"Ã","a"),"Â","a"),"É","e"),"Ê","e"),"Í","i"),"Ó","o"),"Õ","o"),"Ô","o"),"Ú","u"),"Ç","c")," e ",", ")," ",""),".","")))&amp;",",
IFERROR(_xlfn._xlws.FILTER(tabSindicatos[SINDICATOS],
(ISNUMBER(SEARCH(","&amp;TRIM(UPPER(SUBSTITUTE(tabPostos[[#This Row],[Comarca]]," ","")))&amp;",",_xlpm.MATRIZ_COMARCA,1)))*
(ISNUMBER(SEARCH(","&amp;TRIM(SUBSTITUTE(SUBSTITUTE(SUBSTITUTE(UPPER(tabPostos[[#This Row],[Função]])," E ",", ")," ",""),".",""))&amp;",",_xlpm.MATRIZ_FUNCAO,1)))
),"")
))</f>
        <v>Regiao de Sao Lourenco</v>
      </c>
      <c r="E215" s="148" t="s">
        <v>9</v>
      </c>
      <c r="F215" s="148" t="s">
        <v>10</v>
      </c>
      <c r="G215" s="148">
        <v>1</v>
      </c>
      <c r="H215" s="148">
        <v>0</v>
      </c>
      <c r="I215" s="216">
        <f>1088.37</f>
        <v>1088.3699999999999</v>
      </c>
      <c r="J215" s="247">
        <f>VLOOKUP(tabPostos[[#This Row],[CCT DA CATEGORIA]],'RELAÇÃO SINDICATOS'!A:N,11,0)</f>
        <v>45658</v>
      </c>
      <c r="K215" s="148" t="str">
        <f>VLOOKUP(tabPostos[[#This Row],[CCT DA CATEGORIA]],'RELAÇÃO SINDICATOS'!A:N,12,0)</f>
        <v>-</v>
      </c>
      <c r="L215" s="148" t="str">
        <f>VLOOKUP(tabPostos[[#This Row],[CCT DA CATEGORIA]],'RELAÇÃO SINDICATOS'!A:N,13,0)</f>
        <v>-</v>
      </c>
      <c r="M215" s="148" t="str">
        <f>VLOOKUP(tabPostos[[#This Row],[CCT DA CATEGORIA]],'RELAÇÃO SINDICATOS'!A:N,14,0)</f>
        <v>MG000594/2025</v>
      </c>
    </row>
    <row r="216" spans="1:13" x14ac:dyDescent="0.25">
      <c r="A216" s="148" t="str" cm="1">
        <f t="array" ref="A216">_xlfn.XLOOKUP(tabPostos[[#This Row],[Fonte de Recursos]]&amp;tabPostos[[#This Row],[Classificação]],tabLotacao[Lotacao]&amp;tabLotacao[Tipo],tabLotacao[Codigo Lote],"0")&amp;"."&amp;_xlfn.XLOOKUP(tabPostos[[#This Row],[Comarca]],tabComarca[COMARCA],tabComarca[Codigo Comarca],"000")&amp;"."&amp;_xlfn.XLOOKUP(tabPostos[[#This Row],[Função]],tabCargos[Cargo],tabCargos[Codigo Cargo],"00")</f>
        <v>2.596.04</v>
      </c>
      <c r="B216" s="200" t="s">
        <v>198</v>
      </c>
      <c r="C216" s="200" t="s">
        <v>1244</v>
      </c>
      <c r="D216" s="200" t="str" cm="1">
        <f t="array" ref="D216">IF(tabPostos[[#This Row],[Comarca]]="","",
_xlfn.LET(
_xlpm.MATRIZ_COMARCA, ","&amp;TRIM(UPPER(SUBSTITUTE(SUBSTITUTE(SUBSTITUTE(SUBSTITUTE(SUBSTITUTE(SUBSTITUTE(SUBSTITUTE(SUBSTITUTE(SUBSTITUTE(SUBSTITUTE(SUBSTITUTE(SUBSTITUTE(SUBSTITUTE(SUBSTITUTE(SUBSTITUTE(SUBSTITUTE(SUBSTITUTE(SUBSTITUTE(SUBSTITUTE(SUBSTITUTE(SUBSTITUTE(SUBSTITUTE(SUBSTITUTE(SUBSTITUTE(SUBSTITUTE(SUBSTITUTE(tabSindicatos[ABRANGÊNCIA],"á","a"),"ã","a"),"â","a"),"é","e"),"ê","e"),"í","i"),"ó","o"),"õ","o"),"ô","o"),"ú","u"),"ç","c"),"Á","a"),"Ã","a"),"Â","a"),"É","e"),"Ê","e"),"Í","i"),"Ó","o"),"Õ","o"),"Ô","o"),"Ú","u"),"Ç","c"),"/MG","")," e ",", ")," ",""),".","")))&amp;",",
_xlpm.MATRIZ_FUNCAO, ","&amp;TRIM(UPPER(SUBSTITUTE(SUBSTITUTE(SUBSTITUTE(SUBSTITUTE(SUBSTITUTE(SUBSTITUTE(SUBSTITUTE(SUBSTITUTE(SUBSTITUTE(SUBSTITUTE(SUBSTITUTE(SUBSTITUTE(SUBSTITUTE(SUBSTITUTE(SUBSTITUTE(SUBSTITUTE(SUBSTITUTE(SUBSTITUTE(SUBSTITUTE(SUBSTITUTE(SUBSTITUTE(SUBSTITUTE(SUBSTITUTE(SUBSTITUTE(SUBSTITUTE(tabSindicatos[FUNÇÕES],"á","a"),"ã","a"),"â","a"),"é","e"),"ê","e"),"í","i"),"ó","o"),"õ","o"),"ô","o"),"ú","u"),"ç","c"),"Á","a"),"Ã","a"),"Â","a"),"É","e"),"Ê","e"),"Í","i"),"Ó","o"),"Õ","o"),"Ô","o"),"Ú","u"),"Ç","c")," e ",", ")," ",""),".","")))&amp;",",
IFERROR(_xlfn._xlws.FILTER(tabSindicatos[SINDICATOS],
(ISNUMBER(SEARCH(","&amp;TRIM(UPPER(SUBSTITUTE(tabPostos[[#This Row],[Comarca]]," ","")))&amp;",",_xlpm.MATRIZ_COMARCA,1)))*
(ISNUMBER(SEARCH(","&amp;TRIM(SUBSTITUTE(SUBSTITUTE(SUBSTITUTE(UPPER(tabPostos[[#This Row],[Função]])," E ",", ")," ",""),".",""))&amp;",",_xlpm.MATRIZ_FUNCAO,1)))
),"")
))</f>
        <v>Regiao de Sao Lourenco</v>
      </c>
      <c r="E216" s="148" t="s">
        <v>9</v>
      </c>
      <c r="F216" s="148" t="s">
        <v>10</v>
      </c>
      <c r="G216" s="148">
        <v>1</v>
      </c>
      <c r="H216" s="148">
        <v>0</v>
      </c>
      <c r="I216" s="216">
        <f>824.56</f>
        <v>824.56</v>
      </c>
      <c r="J216" s="247">
        <f>VLOOKUP(tabPostos[[#This Row],[CCT DA CATEGORIA]],'RELAÇÃO SINDICATOS'!A:N,11,0)</f>
        <v>45658</v>
      </c>
      <c r="K216" s="148" t="str">
        <f>VLOOKUP(tabPostos[[#This Row],[CCT DA CATEGORIA]],'RELAÇÃO SINDICATOS'!A:N,12,0)</f>
        <v>-</v>
      </c>
      <c r="L216" s="148" t="str">
        <f>VLOOKUP(tabPostos[[#This Row],[CCT DA CATEGORIA]],'RELAÇÃO SINDICATOS'!A:N,13,0)</f>
        <v>-</v>
      </c>
      <c r="M216" s="148" t="str">
        <f>VLOOKUP(tabPostos[[#This Row],[CCT DA CATEGORIA]],'RELAÇÃO SINDICATOS'!A:N,14,0)</f>
        <v>MG000594/2025</v>
      </c>
    </row>
    <row r="217" spans="1:13" x14ac:dyDescent="0.25">
      <c r="A217" s="148" t="str" cm="1">
        <f t="array" ref="A217">_xlfn.XLOOKUP(tabPostos[[#This Row],[Fonte de Recursos]]&amp;tabPostos[[#This Row],[Classificação]],tabLotacao[Lotacao]&amp;tabLotacao[Tipo],tabLotacao[Codigo Lote],"0")&amp;"."&amp;_xlfn.XLOOKUP(tabPostos[[#This Row],[Comarca]],tabComarca[COMARCA],tabComarca[Codigo Comarca],"000")&amp;"."&amp;_xlfn.XLOOKUP(tabPostos[[#This Row],[Função]],tabCargos[Cargo],tabCargos[Codigo Cargo],"00")</f>
        <v>2.598.03</v>
      </c>
      <c r="B217" s="200" t="s">
        <v>199</v>
      </c>
      <c r="C217" s="200" t="s">
        <v>1247</v>
      </c>
      <c r="D217" s="200" t="str" cm="1">
        <f t="array" ref="D217">IF(tabPostos[[#This Row],[Comarca]]="","",
_xlfn.LET(
_xlpm.MATRIZ_COMARCA, ","&amp;TRIM(UPPER(SUBSTITUTE(SUBSTITUTE(SUBSTITUTE(SUBSTITUTE(SUBSTITUTE(SUBSTITUTE(SUBSTITUTE(SUBSTITUTE(SUBSTITUTE(SUBSTITUTE(SUBSTITUTE(SUBSTITUTE(SUBSTITUTE(SUBSTITUTE(SUBSTITUTE(SUBSTITUTE(SUBSTITUTE(SUBSTITUTE(SUBSTITUTE(SUBSTITUTE(SUBSTITUTE(SUBSTITUTE(SUBSTITUTE(SUBSTITUTE(SUBSTITUTE(SUBSTITUTE(tabSindicatos[ABRANGÊNCIA],"á","a"),"ã","a"),"â","a"),"é","e"),"ê","e"),"í","i"),"ó","o"),"õ","o"),"ô","o"),"ú","u"),"ç","c"),"Á","a"),"Ã","a"),"Â","a"),"É","e"),"Ê","e"),"Í","i"),"Ó","o"),"Õ","o"),"Ô","o"),"Ú","u"),"Ç","c"),"/MG","")," e ",", ")," ",""),".","")))&amp;",",
_xlpm.MATRIZ_FUNCAO, ","&amp;TRIM(UPPER(SUBSTITUTE(SUBSTITUTE(SUBSTITUTE(SUBSTITUTE(SUBSTITUTE(SUBSTITUTE(SUBSTITUTE(SUBSTITUTE(SUBSTITUTE(SUBSTITUTE(SUBSTITUTE(SUBSTITUTE(SUBSTITUTE(SUBSTITUTE(SUBSTITUTE(SUBSTITUTE(SUBSTITUTE(SUBSTITUTE(SUBSTITUTE(SUBSTITUTE(SUBSTITUTE(SUBSTITUTE(SUBSTITUTE(SUBSTITUTE(SUBSTITUTE(tabSindicatos[FUNÇÕES],"á","a"),"ã","a"),"â","a"),"é","e"),"ê","e"),"í","i"),"ó","o"),"õ","o"),"ô","o"),"ú","u"),"ç","c"),"Á","a"),"Ã","a"),"Â","a"),"É","e"),"Ê","e"),"Í","i"),"Ó","o"),"Õ","o"),"Ô","o"),"Ú","u"),"Ç","c")," e ",", ")," ",""),".","")))&amp;",",
IFERROR(_xlfn._xlws.FILTER(tabSindicatos[SINDICATOS],
(ISNUMBER(SEARCH(","&amp;TRIM(UPPER(SUBSTITUTE(tabPostos[[#This Row],[Comarca]]," ","")))&amp;",",_xlpm.MATRIZ_COMARCA,1)))*
(ISNUMBER(SEARCH(","&amp;TRIM(SUBSTITUTE(SUBSTITUTE(SUBSTITUTE(UPPER(tabPostos[[#This Row],[Função]])," E ",", ")," ",""),".",""))&amp;",",_xlpm.MATRIZ_FUNCAO,1)))
),"")
))</f>
        <v>Alto Paranaiba</v>
      </c>
      <c r="E217" s="148" t="s">
        <v>9</v>
      </c>
      <c r="F217" s="148" t="s">
        <v>10</v>
      </c>
      <c r="G217" s="148">
        <v>1</v>
      </c>
      <c r="H217" s="148">
        <v>0</v>
      </c>
      <c r="I217" s="216">
        <f>544.18</f>
        <v>544.17999999999995</v>
      </c>
      <c r="J217" s="247">
        <f>VLOOKUP(tabPostos[[#This Row],[CCT DA CATEGORIA]],'RELAÇÃO SINDICATOS'!A:N,11,0)</f>
        <v>45658</v>
      </c>
      <c r="K217" s="148" t="str">
        <f>VLOOKUP(tabPostos[[#This Row],[CCT DA CATEGORIA]],'RELAÇÃO SINDICATOS'!A:N,12,0)</f>
        <v>-</v>
      </c>
      <c r="L217" s="148" t="str">
        <f>VLOOKUP(tabPostos[[#This Row],[CCT DA CATEGORIA]],'RELAÇÃO SINDICATOS'!A:N,13,0)</f>
        <v>-</v>
      </c>
      <c r="M217" s="148" t="str">
        <f>VLOOKUP(tabPostos[[#This Row],[CCT DA CATEGORIA]],'RELAÇÃO SINDICATOS'!A:N,14,0)</f>
        <v>MG001106/2025</v>
      </c>
    </row>
    <row r="218" spans="1:13" x14ac:dyDescent="0.25">
      <c r="A218" s="148" t="str" cm="1">
        <f t="array" ref="A218">_xlfn.XLOOKUP(tabPostos[[#This Row],[Fonte de Recursos]]&amp;tabPostos[[#This Row],[Classificação]],tabLotacao[Lotacao]&amp;tabLotacao[Tipo],tabLotacao[Codigo Lote],"0")&amp;"."&amp;_xlfn.XLOOKUP(tabPostos[[#This Row],[Comarca]],tabComarca[COMARCA],tabComarca[Codigo Comarca],"000")&amp;"."&amp;_xlfn.XLOOKUP(tabPostos[[#This Row],[Função]],tabCargos[Cargo],tabCargos[Codigo Cargo],"00")</f>
        <v>2.604.06</v>
      </c>
      <c r="B218" s="200" t="s">
        <v>200</v>
      </c>
      <c r="C218" s="200" t="s">
        <v>1245</v>
      </c>
      <c r="D218" s="200" t="str" cm="1">
        <f t="array" ref="D218">IF(tabPostos[[#This Row],[Comarca]]="","",
_xlfn.LET(
_xlpm.MATRIZ_COMARCA, ","&amp;TRIM(UPPER(SUBSTITUTE(SUBSTITUTE(SUBSTITUTE(SUBSTITUTE(SUBSTITUTE(SUBSTITUTE(SUBSTITUTE(SUBSTITUTE(SUBSTITUTE(SUBSTITUTE(SUBSTITUTE(SUBSTITUTE(SUBSTITUTE(SUBSTITUTE(SUBSTITUTE(SUBSTITUTE(SUBSTITUTE(SUBSTITUTE(SUBSTITUTE(SUBSTITUTE(SUBSTITUTE(SUBSTITUTE(SUBSTITUTE(SUBSTITUTE(SUBSTITUTE(SUBSTITUTE(tabSindicatos[ABRANGÊNCIA],"á","a"),"ã","a"),"â","a"),"é","e"),"ê","e"),"í","i"),"ó","o"),"õ","o"),"ô","o"),"ú","u"),"ç","c"),"Á","a"),"Ã","a"),"Â","a"),"É","e"),"Ê","e"),"Í","i"),"Ó","o"),"Õ","o"),"Ô","o"),"Ú","u"),"Ç","c"),"/MG","")," e ",", ")," ",""),".","")))&amp;",",
_xlpm.MATRIZ_FUNCAO, ","&amp;TRIM(UPPER(SUBSTITUTE(SUBSTITUTE(SUBSTITUTE(SUBSTITUTE(SUBSTITUTE(SUBSTITUTE(SUBSTITUTE(SUBSTITUTE(SUBSTITUTE(SUBSTITUTE(SUBSTITUTE(SUBSTITUTE(SUBSTITUTE(SUBSTITUTE(SUBSTITUTE(SUBSTITUTE(SUBSTITUTE(SUBSTITUTE(SUBSTITUTE(SUBSTITUTE(SUBSTITUTE(SUBSTITUTE(SUBSTITUTE(SUBSTITUTE(SUBSTITUTE(tabSindicatos[FUNÇÕES],"á","a"),"ã","a"),"â","a"),"é","e"),"ê","e"),"í","i"),"ó","o"),"õ","o"),"ô","o"),"ú","u"),"ç","c"),"Á","a"),"Ã","a"),"Â","a"),"É","e"),"Ê","e"),"Í","i"),"Ó","o"),"Õ","o"),"Ô","o"),"Ú","u"),"Ç","c")," e ",", ")," ",""),".","")))&amp;",",
IFERROR(_xlfn._xlws.FILTER(tabSindicatos[SINDICATOS],
(ISNUMBER(SEARCH(","&amp;TRIM(UPPER(SUBSTITUTE(tabPostos[[#This Row],[Comarca]]," ","")))&amp;",",_xlpm.MATRIZ_COMARCA,1)))*
(ISNUMBER(SEARCH(","&amp;TRIM(SUBSTITUTE(SUBSTITUTE(SUBSTITUTE(UPPER(tabPostos[[#This Row],[Função]])," E ",", ")," ",""),".",""))&amp;",",_xlpm.MATRIZ_FUNCAO,1)))
),"")
))</f>
        <v>Regiao de Divinopolis</v>
      </c>
      <c r="E218" s="148" t="s">
        <v>9</v>
      </c>
      <c r="F218" s="148" t="s">
        <v>10</v>
      </c>
      <c r="G218" s="148">
        <v>1</v>
      </c>
      <c r="H218" s="148">
        <v>0</v>
      </c>
      <c r="I218" s="216">
        <f>1596.28</f>
        <v>1596.28</v>
      </c>
      <c r="J218" s="247">
        <f>VLOOKUP(tabPostos[[#This Row],[CCT DA CATEGORIA]],'RELAÇÃO SINDICATOS'!A:N,11,0)</f>
        <v>45658</v>
      </c>
      <c r="K218" s="148" t="str">
        <f>VLOOKUP(tabPostos[[#This Row],[CCT DA CATEGORIA]],'RELAÇÃO SINDICATOS'!A:N,12,0)</f>
        <v>-</v>
      </c>
      <c r="L218" s="148" t="str">
        <f>VLOOKUP(tabPostos[[#This Row],[CCT DA CATEGORIA]],'RELAÇÃO SINDICATOS'!A:N,13,0)</f>
        <v>-</v>
      </c>
      <c r="M218" s="148" t="str">
        <f>VLOOKUP(tabPostos[[#This Row],[CCT DA CATEGORIA]],'RELAÇÃO SINDICATOS'!A:N,14,0)</f>
        <v>MG001011/2025</v>
      </c>
    </row>
    <row r="219" spans="1:13" x14ac:dyDescent="0.25">
      <c r="A219" s="148" t="str" cm="1">
        <f t="array" ref="A219">_xlfn.XLOOKUP(tabPostos[[#This Row],[Fonte de Recursos]]&amp;tabPostos[[#This Row],[Classificação]],tabLotacao[Lotacao]&amp;tabLotacao[Tipo],tabLotacao[Codigo Lote],"0")&amp;"."&amp;_xlfn.XLOOKUP(tabPostos[[#This Row],[Comarca]],tabComarca[COMARCA],tabComarca[Codigo Comarca],"000")&amp;"."&amp;_xlfn.XLOOKUP(tabPostos[[#This Row],[Função]],tabCargos[Cargo],tabCargos[Codigo Cargo],"00")</f>
        <v>2.611.06</v>
      </c>
      <c r="B219" s="200" t="s">
        <v>201</v>
      </c>
      <c r="C219" s="200" t="s">
        <v>1245</v>
      </c>
      <c r="D219" s="200" t="str" cm="1">
        <f t="array" ref="D219">IF(tabPostos[[#This Row],[Comarca]]="","",
_xlfn.LET(
_xlpm.MATRIZ_COMARCA, ","&amp;TRIM(UPPER(SUBSTITUTE(SUBSTITUTE(SUBSTITUTE(SUBSTITUTE(SUBSTITUTE(SUBSTITUTE(SUBSTITUTE(SUBSTITUTE(SUBSTITUTE(SUBSTITUTE(SUBSTITUTE(SUBSTITUTE(SUBSTITUTE(SUBSTITUTE(SUBSTITUTE(SUBSTITUTE(SUBSTITUTE(SUBSTITUTE(SUBSTITUTE(SUBSTITUTE(SUBSTITUTE(SUBSTITUTE(SUBSTITUTE(SUBSTITUTE(SUBSTITUTE(SUBSTITUTE(tabSindicatos[ABRANGÊNCIA],"á","a"),"ã","a"),"â","a"),"é","e"),"ê","e"),"í","i"),"ó","o"),"õ","o"),"ô","o"),"ú","u"),"ç","c"),"Á","a"),"Ã","a"),"Â","a"),"É","e"),"Ê","e"),"Í","i"),"Ó","o"),"Õ","o"),"Ô","o"),"Ú","u"),"Ç","c"),"/MG","")," e ",", ")," ",""),".","")))&amp;",",
_xlpm.MATRIZ_FUNCAO, ","&amp;TRIM(UPPER(SUBSTITUTE(SUBSTITUTE(SUBSTITUTE(SUBSTITUTE(SUBSTITUTE(SUBSTITUTE(SUBSTITUTE(SUBSTITUTE(SUBSTITUTE(SUBSTITUTE(SUBSTITUTE(SUBSTITUTE(SUBSTITUTE(SUBSTITUTE(SUBSTITUTE(SUBSTITUTE(SUBSTITUTE(SUBSTITUTE(SUBSTITUTE(SUBSTITUTE(SUBSTITUTE(SUBSTITUTE(SUBSTITUTE(SUBSTITUTE(SUBSTITUTE(tabSindicatos[FUNÇÕES],"á","a"),"ã","a"),"â","a"),"é","e"),"ê","e"),"í","i"),"ó","o"),"õ","o"),"ô","o"),"ú","u"),"ç","c"),"Á","a"),"Ã","a"),"Â","a"),"É","e"),"Ê","e"),"Í","i"),"Ó","o"),"Õ","o"),"Ô","o"),"Ú","u"),"Ç","c")," e ",", ")," ",""),".","")))&amp;",",
IFERROR(_xlfn._xlws.FILTER(tabSindicatos[SINDICATOS],
(ISNUMBER(SEARCH(","&amp;TRIM(UPPER(SUBSTITUTE(tabPostos[[#This Row],[Comarca]]," ","")))&amp;",",_xlpm.MATRIZ_COMARCA,1)))*
(ISNUMBER(SEARCH(","&amp;TRIM(SUBSTITUTE(SUBSTITUTE(SUBSTITUTE(UPPER(tabPostos[[#This Row],[Função]])," E ",", ")," ",""),".",""))&amp;",",_xlpm.MATRIZ_FUNCAO,1)))
),"")
))</f>
        <v>Sethac Norte de Minas</v>
      </c>
      <c r="E219" s="148" t="s">
        <v>9</v>
      </c>
      <c r="F219" s="148" t="s">
        <v>10</v>
      </c>
      <c r="G219" s="148">
        <v>1</v>
      </c>
      <c r="H219" s="148">
        <v>0</v>
      </c>
      <c r="I219" s="216">
        <f>1596.28</f>
        <v>1596.28</v>
      </c>
      <c r="J219" s="247">
        <f>VLOOKUP(tabPostos[[#This Row],[CCT DA CATEGORIA]],'RELAÇÃO SINDICATOS'!A:N,11,0)</f>
        <v>45658</v>
      </c>
      <c r="K219" s="148" t="str">
        <f>VLOOKUP(tabPostos[[#This Row],[CCT DA CATEGORIA]],'RELAÇÃO SINDICATOS'!A:N,12,0)</f>
        <v>-</v>
      </c>
      <c r="L219" s="148" t="str">
        <f>VLOOKUP(tabPostos[[#This Row],[CCT DA CATEGORIA]],'RELAÇÃO SINDICATOS'!A:N,13,0)</f>
        <v>-</v>
      </c>
      <c r="M219" s="148" t="str">
        <f>VLOOKUP(tabPostos[[#This Row],[CCT DA CATEGORIA]],'RELAÇÃO SINDICATOS'!A:N,14,0)</f>
        <v>MG000256/2025</v>
      </c>
    </row>
    <row r="220" spans="1:13" x14ac:dyDescent="0.25">
      <c r="A220" s="148" t="str" cm="1">
        <f t="array" ref="A220">_xlfn.XLOOKUP(tabPostos[[#This Row],[Fonte de Recursos]]&amp;tabPostos[[#This Row],[Classificação]],tabLotacao[Lotacao]&amp;tabLotacao[Tipo],tabLotacao[Codigo Lote],"0")&amp;"."&amp;_xlfn.XLOOKUP(tabPostos[[#This Row],[Comarca]],tabComarca[COMARCA],tabComarca[Codigo Comarca],"000")&amp;"."&amp;_xlfn.XLOOKUP(tabPostos[[#This Row],[Função]],tabCargos[Cargo],tabCargos[Codigo Cargo],"00")</f>
        <v>2.620.03</v>
      </c>
      <c r="B220" s="200" t="s">
        <v>202</v>
      </c>
      <c r="C220" s="200" t="s">
        <v>1247</v>
      </c>
      <c r="D220" s="200" t="str" cm="1">
        <f t="array" ref="D220">IF(tabPostos[[#This Row],[Comarca]]="","",
_xlfn.LET(
_xlpm.MATRIZ_COMARCA, ","&amp;TRIM(UPPER(SUBSTITUTE(SUBSTITUTE(SUBSTITUTE(SUBSTITUTE(SUBSTITUTE(SUBSTITUTE(SUBSTITUTE(SUBSTITUTE(SUBSTITUTE(SUBSTITUTE(SUBSTITUTE(SUBSTITUTE(SUBSTITUTE(SUBSTITUTE(SUBSTITUTE(SUBSTITUTE(SUBSTITUTE(SUBSTITUTE(SUBSTITUTE(SUBSTITUTE(SUBSTITUTE(SUBSTITUTE(SUBSTITUTE(SUBSTITUTE(SUBSTITUTE(SUBSTITUTE(tabSindicatos[ABRANGÊNCIA],"á","a"),"ã","a"),"â","a"),"é","e"),"ê","e"),"í","i"),"ó","o"),"õ","o"),"ô","o"),"ú","u"),"ç","c"),"Á","a"),"Ã","a"),"Â","a"),"É","e"),"Ê","e"),"Í","i"),"Ó","o"),"Õ","o"),"Ô","o"),"Ú","u"),"Ç","c"),"/MG","")," e ",", ")," ",""),".","")))&amp;",",
_xlpm.MATRIZ_FUNCAO, ","&amp;TRIM(UPPER(SUBSTITUTE(SUBSTITUTE(SUBSTITUTE(SUBSTITUTE(SUBSTITUTE(SUBSTITUTE(SUBSTITUTE(SUBSTITUTE(SUBSTITUTE(SUBSTITUTE(SUBSTITUTE(SUBSTITUTE(SUBSTITUTE(SUBSTITUTE(SUBSTITUTE(SUBSTITUTE(SUBSTITUTE(SUBSTITUTE(SUBSTITUTE(SUBSTITUTE(SUBSTITUTE(SUBSTITUTE(SUBSTITUTE(SUBSTITUTE(SUBSTITUTE(tabSindicatos[FUNÇÕES],"á","a"),"ã","a"),"â","a"),"é","e"),"ê","e"),"í","i"),"ó","o"),"õ","o"),"ô","o"),"ú","u"),"ç","c"),"Á","a"),"Ã","a"),"Â","a"),"É","e"),"Ê","e"),"Í","i"),"Ó","o"),"Õ","o"),"Ô","o"),"Ú","u"),"Ç","c")," e ",", ")," ",""),".","")))&amp;",",
IFERROR(_xlfn._xlws.FILTER(tabSindicatos[SINDICATOS],
(ISNUMBER(SEARCH(","&amp;TRIM(UPPER(SUBSTITUTE(tabPostos[[#This Row],[Comarca]]," ","")))&amp;",",_xlpm.MATRIZ_COMARCA,1)))*
(ISNUMBER(SEARCH(","&amp;TRIM(SUBSTITUTE(SUBSTITUTE(SUBSTITUTE(UPPER(tabPostos[[#This Row],[Função]])," E ",", ")," ",""),".",""))&amp;",",_xlpm.MATRIZ_FUNCAO,1)))
),"")
))</f>
        <v>Regiao de Sao Lourenco</v>
      </c>
      <c r="E220" s="148" t="s">
        <v>9</v>
      </c>
      <c r="F220" s="148" t="s">
        <v>10</v>
      </c>
      <c r="G220" s="148">
        <v>1</v>
      </c>
      <c r="H220" s="148">
        <v>0</v>
      </c>
      <c r="I220" s="216">
        <f>544.18</f>
        <v>544.17999999999995</v>
      </c>
      <c r="J220" s="247">
        <f>VLOOKUP(tabPostos[[#This Row],[CCT DA CATEGORIA]],'RELAÇÃO SINDICATOS'!A:N,11,0)</f>
        <v>45658</v>
      </c>
      <c r="K220" s="148" t="str">
        <f>VLOOKUP(tabPostos[[#This Row],[CCT DA CATEGORIA]],'RELAÇÃO SINDICATOS'!A:N,12,0)</f>
        <v>-</v>
      </c>
      <c r="L220" s="148" t="str">
        <f>VLOOKUP(tabPostos[[#This Row],[CCT DA CATEGORIA]],'RELAÇÃO SINDICATOS'!A:N,13,0)</f>
        <v>-</v>
      </c>
      <c r="M220" s="148" t="str">
        <f>VLOOKUP(tabPostos[[#This Row],[CCT DA CATEGORIA]],'RELAÇÃO SINDICATOS'!A:N,14,0)</f>
        <v>MG000594/2025</v>
      </c>
    </row>
    <row r="221" spans="1:13" x14ac:dyDescent="0.25">
      <c r="A221" s="148" t="str" cm="1">
        <f t="array" ref="A221">_xlfn.XLOOKUP(tabPostos[[#This Row],[Fonte de Recursos]]&amp;tabPostos[[#This Row],[Classificação]],tabLotacao[Lotacao]&amp;tabLotacao[Tipo],tabLotacao[Codigo Lote],"0")&amp;"."&amp;_xlfn.XLOOKUP(tabPostos[[#This Row],[Comarca]],tabComarca[COMARCA],tabComarca[Codigo Comarca],"000")&amp;"."&amp;_xlfn.XLOOKUP(tabPostos[[#This Row],[Função]],tabCargos[Cargo],tabCargos[Codigo Cargo],"00")</f>
        <v>2.621.05</v>
      </c>
      <c r="B221" s="200" t="s">
        <v>203</v>
      </c>
      <c r="C221" s="200" t="s">
        <v>1246</v>
      </c>
      <c r="D221" s="200" t="str" cm="1">
        <f t="array" ref="D221">IF(tabPostos[[#This Row],[Comarca]]="","",
_xlfn.LET(
_xlpm.MATRIZ_COMARCA, ","&amp;TRIM(UPPER(SUBSTITUTE(SUBSTITUTE(SUBSTITUTE(SUBSTITUTE(SUBSTITUTE(SUBSTITUTE(SUBSTITUTE(SUBSTITUTE(SUBSTITUTE(SUBSTITUTE(SUBSTITUTE(SUBSTITUTE(SUBSTITUTE(SUBSTITUTE(SUBSTITUTE(SUBSTITUTE(SUBSTITUTE(SUBSTITUTE(SUBSTITUTE(SUBSTITUTE(SUBSTITUTE(SUBSTITUTE(SUBSTITUTE(SUBSTITUTE(SUBSTITUTE(SUBSTITUTE(tabSindicatos[ABRANGÊNCIA],"á","a"),"ã","a"),"â","a"),"é","e"),"ê","e"),"í","i"),"ó","o"),"õ","o"),"ô","o"),"ú","u"),"ç","c"),"Á","a"),"Ã","a"),"Â","a"),"É","e"),"Ê","e"),"Í","i"),"Ó","o"),"Õ","o"),"Ô","o"),"Ú","u"),"Ç","c"),"/MG","")," e ",", ")," ",""),".","")))&amp;",",
_xlpm.MATRIZ_FUNCAO, ","&amp;TRIM(UPPER(SUBSTITUTE(SUBSTITUTE(SUBSTITUTE(SUBSTITUTE(SUBSTITUTE(SUBSTITUTE(SUBSTITUTE(SUBSTITUTE(SUBSTITUTE(SUBSTITUTE(SUBSTITUTE(SUBSTITUTE(SUBSTITUTE(SUBSTITUTE(SUBSTITUTE(SUBSTITUTE(SUBSTITUTE(SUBSTITUTE(SUBSTITUTE(SUBSTITUTE(SUBSTITUTE(SUBSTITUTE(SUBSTITUTE(SUBSTITUTE(SUBSTITUTE(tabSindicatos[FUNÇÕES],"á","a"),"ã","a"),"â","a"),"é","e"),"ê","e"),"í","i"),"ó","o"),"õ","o"),"ô","o"),"ú","u"),"ç","c"),"Á","a"),"Ã","a"),"Â","a"),"É","e"),"Ê","e"),"Í","i"),"Ó","o"),"Õ","o"),"Ô","o"),"Ú","u"),"Ç","c")," e ",", ")," ",""),".","")))&amp;",",
IFERROR(_xlfn._xlws.FILTER(tabSindicatos[SINDICATOS],
(ISNUMBER(SEARCH(","&amp;TRIM(UPPER(SUBSTITUTE(tabPostos[[#This Row],[Comarca]]," ","")))&amp;",",_xlpm.MATRIZ_COMARCA,1)))*
(ISNUMBER(SEARCH(","&amp;TRIM(SUBSTITUTE(SUBSTITUTE(SUBSTITUTE(UPPER(tabPostos[[#This Row],[Função]])," E ",", ")," ",""),".",""))&amp;",",_xlpm.MATRIZ_FUNCAO,1)))
),"")
))</f>
        <v>Alto Paranaiba</v>
      </c>
      <c r="E221" s="148" t="s">
        <v>9</v>
      </c>
      <c r="F221" s="148" t="s">
        <v>10</v>
      </c>
      <c r="G221" s="148">
        <v>1</v>
      </c>
      <c r="H221" s="148">
        <v>0</v>
      </c>
      <c r="I221" s="216">
        <f>1088.37</f>
        <v>1088.3699999999999</v>
      </c>
      <c r="J221" s="247">
        <f>VLOOKUP(tabPostos[[#This Row],[CCT DA CATEGORIA]],'RELAÇÃO SINDICATOS'!A:N,11,0)</f>
        <v>45658</v>
      </c>
      <c r="K221" s="148" t="str">
        <f>VLOOKUP(tabPostos[[#This Row],[CCT DA CATEGORIA]],'RELAÇÃO SINDICATOS'!A:N,12,0)</f>
        <v>-</v>
      </c>
      <c r="L221" s="148" t="str">
        <f>VLOOKUP(tabPostos[[#This Row],[CCT DA CATEGORIA]],'RELAÇÃO SINDICATOS'!A:N,13,0)</f>
        <v>-</v>
      </c>
      <c r="M221" s="148" t="str">
        <f>VLOOKUP(tabPostos[[#This Row],[CCT DA CATEGORIA]],'RELAÇÃO SINDICATOS'!A:N,14,0)</f>
        <v>MG001106/2025</v>
      </c>
    </row>
    <row r="222" spans="1:13" x14ac:dyDescent="0.25">
      <c r="A222" s="148" t="str" cm="1">
        <f t="array" ref="A222">_xlfn.XLOOKUP(tabPostos[[#This Row],[Fonte de Recursos]]&amp;tabPostos[[#This Row],[Classificação]],tabLotacao[Lotacao]&amp;tabLotacao[Tipo],tabLotacao[Codigo Lote],"0")&amp;"."&amp;_xlfn.XLOOKUP(tabPostos[[#This Row],[Comarca]],tabComarca[COMARCA],tabComarca[Codigo Comarca],"000")&amp;"."&amp;_xlfn.XLOOKUP(tabPostos[[#This Row],[Função]],tabCargos[Cargo],tabCargos[Codigo Cargo],"00")</f>
        <v>2.624.03</v>
      </c>
      <c r="B222" s="200" t="s">
        <v>204</v>
      </c>
      <c r="C222" s="200" t="s">
        <v>1247</v>
      </c>
      <c r="D222" s="200" t="str" cm="1">
        <f t="array" ref="D222">IF(tabPostos[[#This Row],[Comarca]]="","",
_xlfn.LET(
_xlpm.MATRIZ_COMARCA, ","&amp;TRIM(UPPER(SUBSTITUTE(SUBSTITUTE(SUBSTITUTE(SUBSTITUTE(SUBSTITUTE(SUBSTITUTE(SUBSTITUTE(SUBSTITUTE(SUBSTITUTE(SUBSTITUTE(SUBSTITUTE(SUBSTITUTE(SUBSTITUTE(SUBSTITUTE(SUBSTITUTE(SUBSTITUTE(SUBSTITUTE(SUBSTITUTE(SUBSTITUTE(SUBSTITUTE(SUBSTITUTE(SUBSTITUTE(SUBSTITUTE(SUBSTITUTE(SUBSTITUTE(SUBSTITUTE(tabSindicatos[ABRANGÊNCIA],"á","a"),"ã","a"),"â","a"),"é","e"),"ê","e"),"í","i"),"ó","o"),"õ","o"),"ô","o"),"ú","u"),"ç","c"),"Á","a"),"Ã","a"),"Â","a"),"É","e"),"Ê","e"),"Í","i"),"Ó","o"),"Õ","o"),"Ô","o"),"Ú","u"),"Ç","c"),"/MG","")," e ",", ")," ",""),".","")))&amp;",",
_xlpm.MATRIZ_FUNCAO, ","&amp;TRIM(UPPER(SUBSTITUTE(SUBSTITUTE(SUBSTITUTE(SUBSTITUTE(SUBSTITUTE(SUBSTITUTE(SUBSTITUTE(SUBSTITUTE(SUBSTITUTE(SUBSTITUTE(SUBSTITUTE(SUBSTITUTE(SUBSTITUTE(SUBSTITUTE(SUBSTITUTE(SUBSTITUTE(SUBSTITUTE(SUBSTITUTE(SUBSTITUTE(SUBSTITUTE(SUBSTITUTE(SUBSTITUTE(SUBSTITUTE(SUBSTITUTE(SUBSTITUTE(tabSindicatos[FUNÇÕES],"á","a"),"ã","a"),"â","a"),"é","e"),"ê","e"),"í","i"),"ó","o"),"õ","o"),"ô","o"),"ú","u"),"ç","c"),"Á","a"),"Ã","a"),"Â","a"),"É","e"),"Ê","e"),"Í","i"),"Ó","o"),"Õ","o"),"Ô","o"),"Ú","u"),"Ç","c")," e ",", ")," ",""),".","")))&amp;",",
IFERROR(_xlfn._xlws.FILTER(tabSindicatos[SINDICATOS],
(ISNUMBER(SEARCH(","&amp;TRIM(UPPER(SUBSTITUTE(tabPostos[[#This Row],[Comarca]]," ","")))&amp;",",_xlpm.MATRIZ_COMARCA,1)))*
(ISNUMBER(SEARCH(","&amp;TRIM(SUBSTITUTE(SUBSTITUTE(SUBSTITUTE(UPPER(tabPostos[[#This Row],[Função]])," E ",", ")," ",""),".",""))&amp;",",_xlpm.MATRIZ_FUNCAO,1)))
),"")
))</f>
        <v>Sethac Norte de Minas</v>
      </c>
      <c r="E222" s="148" t="s">
        <v>9</v>
      </c>
      <c r="F222" s="148" t="s">
        <v>10</v>
      </c>
      <c r="G222" s="148">
        <v>1</v>
      </c>
      <c r="H222" s="148">
        <v>0</v>
      </c>
      <c r="I222" s="216">
        <f>544.18</f>
        <v>544.17999999999995</v>
      </c>
      <c r="J222" s="247">
        <f>VLOOKUP(tabPostos[[#This Row],[CCT DA CATEGORIA]],'RELAÇÃO SINDICATOS'!A:N,11,0)</f>
        <v>45658</v>
      </c>
      <c r="K222" s="148" t="str">
        <f>VLOOKUP(tabPostos[[#This Row],[CCT DA CATEGORIA]],'RELAÇÃO SINDICATOS'!A:N,12,0)</f>
        <v>-</v>
      </c>
      <c r="L222" s="148" t="str">
        <f>VLOOKUP(tabPostos[[#This Row],[CCT DA CATEGORIA]],'RELAÇÃO SINDICATOS'!A:N,13,0)</f>
        <v>-</v>
      </c>
      <c r="M222" s="148" t="str">
        <f>VLOOKUP(tabPostos[[#This Row],[CCT DA CATEGORIA]],'RELAÇÃO SINDICATOS'!A:N,14,0)</f>
        <v>MG000256/2025</v>
      </c>
    </row>
    <row r="223" spans="1:13" x14ac:dyDescent="0.25">
      <c r="A223" s="148" t="str" cm="1">
        <f t="array" ref="A223">_xlfn.XLOOKUP(tabPostos[[#This Row],[Fonte de Recursos]]&amp;tabPostos[[#This Row],[Classificação]],tabLotacao[Lotacao]&amp;tabLotacao[Tipo],tabLotacao[Codigo Lote],"0")&amp;"."&amp;_xlfn.XLOOKUP(tabPostos[[#This Row],[Comarca]],tabComarca[COMARCA],tabComarca[Codigo Comarca],"000")&amp;"."&amp;_xlfn.XLOOKUP(tabPostos[[#This Row],[Função]],tabCargos[Cargo],tabCargos[Codigo Cargo],"00")</f>
        <v>2.625.06</v>
      </c>
      <c r="B223" s="200" t="s">
        <v>205</v>
      </c>
      <c r="C223" s="200" t="s">
        <v>1245</v>
      </c>
      <c r="D223" s="200" t="str" cm="1">
        <f t="array" ref="D223">IF(tabPostos[[#This Row],[Comarca]]="","",
_xlfn.LET(
_xlpm.MATRIZ_COMARCA, ","&amp;TRIM(UPPER(SUBSTITUTE(SUBSTITUTE(SUBSTITUTE(SUBSTITUTE(SUBSTITUTE(SUBSTITUTE(SUBSTITUTE(SUBSTITUTE(SUBSTITUTE(SUBSTITUTE(SUBSTITUTE(SUBSTITUTE(SUBSTITUTE(SUBSTITUTE(SUBSTITUTE(SUBSTITUTE(SUBSTITUTE(SUBSTITUTE(SUBSTITUTE(SUBSTITUTE(SUBSTITUTE(SUBSTITUTE(SUBSTITUTE(SUBSTITUTE(SUBSTITUTE(SUBSTITUTE(tabSindicatos[ABRANGÊNCIA],"á","a"),"ã","a"),"â","a"),"é","e"),"ê","e"),"í","i"),"ó","o"),"õ","o"),"ô","o"),"ú","u"),"ç","c"),"Á","a"),"Ã","a"),"Â","a"),"É","e"),"Ê","e"),"Í","i"),"Ó","o"),"Õ","o"),"Ô","o"),"Ú","u"),"Ç","c"),"/MG","")," e ",", ")," ",""),".","")))&amp;",",
_xlpm.MATRIZ_FUNCAO, ","&amp;TRIM(UPPER(SUBSTITUTE(SUBSTITUTE(SUBSTITUTE(SUBSTITUTE(SUBSTITUTE(SUBSTITUTE(SUBSTITUTE(SUBSTITUTE(SUBSTITUTE(SUBSTITUTE(SUBSTITUTE(SUBSTITUTE(SUBSTITUTE(SUBSTITUTE(SUBSTITUTE(SUBSTITUTE(SUBSTITUTE(SUBSTITUTE(SUBSTITUTE(SUBSTITUTE(SUBSTITUTE(SUBSTITUTE(SUBSTITUTE(SUBSTITUTE(SUBSTITUTE(tabSindicatos[FUNÇÕES],"á","a"),"ã","a"),"â","a"),"é","e"),"ê","e"),"í","i"),"ó","o"),"õ","o"),"ô","o"),"ú","u"),"ç","c"),"Á","a"),"Ã","a"),"Â","a"),"É","e"),"Ê","e"),"Í","i"),"Ó","o"),"Õ","o"),"Ô","o"),"Ú","u"),"Ç","c")," e ",", ")," ",""),".","")))&amp;",",
IFERROR(_xlfn._xlws.FILTER(tabSindicatos[SINDICATOS],
(ISNUMBER(SEARCH(","&amp;TRIM(UPPER(SUBSTITUTE(tabPostos[[#This Row],[Comarca]]," ","")))&amp;",",_xlpm.MATRIZ_COMARCA,1)))*
(ISNUMBER(SEARCH(","&amp;TRIM(SUBSTITUTE(SUBSTITUTE(SUBSTITUTE(UPPER(tabPostos[[#This Row],[Função]])," E ",", ")," ",""),".",""))&amp;",",_xlpm.MATRIZ_FUNCAO,1)))
),"")
))</f>
        <v>Regiao de Juiz de Fora</v>
      </c>
      <c r="E223" s="148" t="s">
        <v>9</v>
      </c>
      <c r="F223" s="148" t="s">
        <v>10</v>
      </c>
      <c r="G223" s="148">
        <v>2</v>
      </c>
      <c r="H223" s="148">
        <v>0</v>
      </c>
      <c r="I223" s="216">
        <f>1596.28</f>
        <v>1596.28</v>
      </c>
      <c r="J223" s="247">
        <f>VLOOKUP(tabPostos[[#This Row],[CCT DA CATEGORIA]],'RELAÇÃO SINDICATOS'!A:N,11,0)</f>
        <v>45658</v>
      </c>
      <c r="K223" s="148" t="str">
        <f>VLOOKUP(tabPostos[[#This Row],[CCT DA CATEGORIA]],'RELAÇÃO SINDICATOS'!A:N,12,0)</f>
        <v>-</v>
      </c>
      <c r="L223" s="148" t="str">
        <f>VLOOKUP(tabPostos[[#This Row],[CCT DA CATEGORIA]],'RELAÇÃO SINDICATOS'!A:N,13,0)</f>
        <v>-</v>
      </c>
      <c r="M223" s="148" t="str">
        <f>VLOOKUP(tabPostos[[#This Row],[CCT DA CATEGORIA]],'RELAÇÃO SINDICATOS'!A:N,14,0)</f>
        <v>MG000506/2025</v>
      </c>
    </row>
    <row r="224" spans="1:13" x14ac:dyDescent="0.25">
      <c r="A224" s="148" t="str" cm="1">
        <f t="array" ref="A224">_xlfn.XLOOKUP(tabPostos[[#This Row],[Fonte de Recursos]]&amp;tabPostos[[#This Row],[Classificação]],tabLotacao[Lotacao]&amp;tabLotacao[Tipo],tabLotacao[Codigo Lote],"0")&amp;"."&amp;_xlfn.XLOOKUP(tabPostos[[#This Row],[Comarca]],tabComarca[COMARCA],tabComarca[Codigo Comarca],"000")&amp;"."&amp;_xlfn.XLOOKUP(tabPostos[[#This Row],[Função]],tabCargos[Cargo],tabCargos[Codigo Cargo],"00")</f>
        <v>2.629.03</v>
      </c>
      <c r="B224" s="200" t="s">
        <v>206</v>
      </c>
      <c r="C224" s="200" t="s">
        <v>1247</v>
      </c>
      <c r="D224" s="200" t="str" cm="1">
        <f t="array" ref="D224">IF(tabPostos[[#This Row],[Comarca]]="","",
_xlfn.LET(
_xlpm.MATRIZ_COMARCA, ","&amp;TRIM(UPPER(SUBSTITUTE(SUBSTITUTE(SUBSTITUTE(SUBSTITUTE(SUBSTITUTE(SUBSTITUTE(SUBSTITUTE(SUBSTITUTE(SUBSTITUTE(SUBSTITUTE(SUBSTITUTE(SUBSTITUTE(SUBSTITUTE(SUBSTITUTE(SUBSTITUTE(SUBSTITUTE(SUBSTITUTE(SUBSTITUTE(SUBSTITUTE(SUBSTITUTE(SUBSTITUTE(SUBSTITUTE(SUBSTITUTE(SUBSTITUTE(SUBSTITUTE(SUBSTITUTE(tabSindicatos[ABRANGÊNCIA],"á","a"),"ã","a"),"â","a"),"é","e"),"ê","e"),"í","i"),"ó","o"),"õ","o"),"ô","o"),"ú","u"),"ç","c"),"Á","a"),"Ã","a"),"Â","a"),"É","e"),"Ê","e"),"Í","i"),"Ó","o"),"Õ","o"),"Ô","o"),"Ú","u"),"Ç","c"),"/MG","")," e ",", ")," ",""),".","")))&amp;",",
_xlpm.MATRIZ_FUNCAO, ","&amp;TRIM(UPPER(SUBSTITUTE(SUBSTITUTE(SUBSTITUTE(SUBSTITUTE(SUBSTITUTE(SUBSTITUTE(SUBSTITUTE(SUBSTITUTE(SUBSTITUTE(SUBSTITUTE(SUBSTITUTE(SUBSTITUTE(SUBSTITUTE(SUBSTITUTE(SUBSTITUTE(SUBSTITUTE(SUBSTITUTE(SUBSTITUTE(SUBSTITUTE(SUBSTITUTE(SUBSTITUTE(SUBSTITUTE(SUBSTITUTE(SUBSTITUTE(SUBSTITUTE(tabSindicatos[FUNÇÕES],"á","a"),"ã","a"),"â","a"),"é","e"),"ê","e"),"í","i"),"ó","o"),"õ","o"),"ô","o"),"ú","u"),"ç","c"),"Á","a"),"Ã","a"),"Â","a"),"É","e"),"Ê","e"),"Í","i"),"Ó","o"),"Õ","o"),"Ô","o"),"Ú","u"),"Ç","c")," e ",", ")," ",""),".","")))&amp;",",
IFERROR(_xlfn._xlws.FILTER(tabSindicatos[SINDICATOS],
(ISNUMBER(SEARCH(","&amp;TRIM(UPPER(SUBSTITUTE(tabPostos[[#This Row],[Comarca]]," ","")))&amp;",",_xlpm.MATRIZ_COMARCA,1)))*
(ISNUMBER(SEARCH(","&amp;TRIM(SUBSTITUTE(SUBSTITUTE(SUBSTITUTE(UPPER(tabPostos[[#This Row],[Função]])," E ",", ")," ",""),".",""))&amp;",",_xlpm.MATRIZ_FUNCAO,1)))
),"")
))</f>
        <v>Regiao de Juiz de Fora</v>
      </c>
      <c r="E224" s="148" t="s">
        <v>9</v>
      </c>
      <c r="F224" s="148" t="s">
        <v>10</v>
      </c>
      <c r="G224" s="148">
        <v>1</v>
      </c>
      <c r="H224" s="148">
        <v>0</v>
      </c>
      <c r="I224" s="216">
        <f>544.18</f>
        <v>544.17999999999995</v>
      </c>
      <c r="J224" s="247">
        <f>VLOOKUP(tabPostos[[#This Row],[CCT DA CATEGORIA]],'RELAÇÃO SINDICATOS'!A:N,11,0)</f>
        <v>45658</v>
      </c>
      <c r="K224" s="148" t="str">
        <f>VLOOKUP(tabPostos[[#This Row],[CCT DA CATEGORIA]],'RELAÇÃO SINDICATOS'!A:N,12,0)</f>
        <v>-</v>
      </c>
      <c r="L224" s="148" t="str">
        <f>VLOOKUP(tabPostos[[#This Row],[CCT DA CATEGORIA]],'RELAÇÃO SINDICATOS'!A:N,13,0)</f>
        <v>-</v>
      </c>
      <c r="M224" s="148" t="str">
        <f>VLOOKUP(tabPostos[[#This Row],[CCT DA CATEGORIA]],'RELAÇÃO SINDICATOS'!A:N,14,0)</f>
        <v>MG000506/2025</v>
      </c>
    </row>
    <row r="225" spans="1:13" x14ac:dyDescent="0.25">
      <c r="A225" s="148" t="str" cm="1">
        <f t="array" ref="A225">_xlfn.XLOOKUP(tabPostos[[#This Row],[Fonte de Recursos]]&amp;tabPostos[[#This Row],[Classificação]],tabLotacao[Lotacao]&amp;tabLotacao[Tipo],tabLotacao[Codigo Lote],"0")&amp;"."&amp;_xlfn.XLOOKUP(tabPostos[[#This Row],[Comarca]],tabComarca[COMARCA],tabComarca[Codigo Comarca],"000")&amp;"."&amp;_xlfn.XLOOKUP(tabPostos[[#This Row],[Função]],tabCargos[Cargo],tabCargos[Codigo Cargo],"00")</f>
        <v>2.637.06</v>
      </c>
      <c r="B225" s="200" t="s">
        <v>207</v>
      </c>
      <c r="C225" s="200" t="s">
        <v>1245</v>
      </c>
      <c r="D225" s="200" t="str" cm="1">
        <f t="array" ref="D225">IF(tabPostos[[#This Row],[Comarca]]="","",
_xlfn.LET(
_xlpm.MATRIZ_COMARCA, ","&amp;TRIM(UPPER(SUBSTITUTE(SUBSTITUTE(SUBSTITUTE(SUBSTITUTE(SUBSTITUTE(SUBSTITUTE(SUBSTITUTE(SUBSTITUTE(SUBSTITUTE(SUBSTITUTE(SUBSTITUTE(SUBSTITUTE(SUBSTITUTE(SUBSTITUTE(SUBSTITUTE(SUBSTITUTE(SUBSTITUTE(SUBSTITUTE(SUBSTITUTE(SUBSTITUTE(SUBSTITUTE(SUBSTITUTE(SUBSTITUTE(SUBSTITUTE(SUBSTITUTE(SUBSTITUTE(tabSindicatos[ABRANGÊNCIA],"á","a"),"ã","a"),"â","a"),"é","e"),"ê","e"),"í","i"),"ó","o"),"õ","o"),"ô","o"),"ú","u"),"ç","c"),"Á","a"),"Ã","a"),"Â","a"),"É","e"),"Ê","e"),"Í","i"),"Ó","o"),"Õ","o"),"Ô","o"),"Ú","u"),"Ç","c"),"/MG","")," e ",", ")," ",""),".","")))&amp;",",
_xlpm.MATRIZ_FUNCAO, ","&amp;TRIM(UPPER(SUBSTITUTE(SUBSTITUTE(SUBSTITUTE(SUBSTITUTE(SUBSTITUTE(SUBSTITUTE(SUBSTITUTE(SUBSTITUTE(SUBSTITUTE(SUBSTITUTE(SUBSTITUTE(SUBSTITUTE(SUBSTITUTE(SUBSTITUTE(SUBSTITUTE(SUBSTITUTE(SUBSTITUTE(SUBSTITUTE(SUBSTITUTE(SUBSTITUTE(SUBSTITUTE(SUBSTITUTE(SUBSTITUTE(SUBSTITUTE(SUBSTITUTE(tabSindicatos[FUNÇÕES],"á","a"),"ã","a"),"â","a"),"é","e"),"ê","e"),"í","i"),"ó","o"),"õ","o"),"ô","o"),"ú","u"),"ç","c"),"Á","a"),"Ã","a"),"Â","a"),"É","e"),"Ê","e"),"Í","i"),"Ó","o"),"Õ","o"),"Ô","o"),"Ú","u"),"Ç","c")," e ",", ")," ",""),".","")))&amp;",",
IFERROR(_xlfn._xlws.FILTER(tabSindicatos[SINDICATOS],
(ISNUMBER(SEARCH(","&amp;TRIM(UPPER(SUBSTITUTE(tabPostos[[#This Row],[Comarca]]," ","")))&amp;",",_xlpm.MATRIZ_COMARCA,1)))*
(ISNUMBER(SEARCH(","&amp;TRIM(SUBSTITUTE(SUBSTITUTE(SUBSTITUTE(UPPER(tabPostos[[#This Row],[Função]])," E ",", ")," ",""),".",""))&amp;",",_xlpm.MATRIZ_FUNCAO,1)))
),"")
))</f>
        <v>Sao Lourenco</v>
      </c>
      <c r="E225" s="148" t="s">
        <v>9</v>
      </c>
      <c r="F225" s="148" t="s">
        <v>10</v>
      </c>
      <c r="G225" s="148">
        <v>2</v>
      </c>
      <c r="H225" s="148">
        <v>0</v>
      </c>
      <c r="I225" s="216">
        <f>1649.12</f>
        <v>1649.12</v>
      </c>
      <c r="J225" s="247">
        <f>VLOOKUP(tabPostos[[#This Row],[CCT DA CATEGORIA]],'RELAÇÃO SINDICATOS'!A:N,11,0)</f>
        <v>45658</v>
      </c>
      <c r="K225" s="148" t="str">
        <f>VLOOKUP(tabPostos[[#This Row],[CCT DA CATEGORIA]],'RELAÇÃO SINDICATOS'!A:N,12,0)</f>
        <v>-</v>
      </c>
      <c r="L225" s="148" t="str">
        <f>VLOOKUP(tabPostos[[#This Row],[CCT DA CATEGORIA]],'RELAÇÃO SINDICATOS'!A:N,13,0)</f>
        <v>-</v>
      </c>
      <c r="M225" s="148" t="str">
        <f>VLOOKUP(tabPostos[[#This Row],[CCT DA CATEGORIA]],'RELAÇÃO SINDICATOS'!A:N,14,0)</f>
        <v>MG000592/2025</v>
      </c>
    </row>
    <row r="226" spans="1:13" x14ac:dyDescent="0.25">
      <c r="A226" s="148" t="str" cm="1">
        <f t="array" ref="A226">_xlfn.XLOOKUP(tabPostos[[#This Row],[Fonte de Recursos]]&amp;tabPostos[[#This Row],[Classificação]],tabLotacao[Lotacao]&amp;tabLotacao[Tipo],tabLotacao[Codigo Lote],"0")&amp;"."&amp;_xlfn.XLOOKUP(tabPostos[[#This Row],[Comarca]],tabComarca[COMARCA],tabComarca[Codigo Comarca],"000")&amp;"."&amp;_xlfn.XLOOKUP(tabPostos[[#This Row],[Função]],tabCargos[Cargo],tabCargos[Codigo Cargo],"00")</f>
        <v>2.642.04</v>
      </c>
      <c r="B226" s="200" t="s">
        <v>208</v>
      </c>
      <c r="C226" s="200" t="s">
        <v>1244</v>
      </c>
      <c r="D226" s="200" t="str" cm="1">
        <f t="array" ref="D226">IF(tabPostos[[#This Row],[Comarca]]="","",
_xlfn.LET(
_xlpm.MATRIZ_COMARCA, ","&amp;TRIM(UPPER(SUBSTITUTE(SUBSTITUTE(SUBSTITUTE(SUBSTITUTE(SUBSTITUTE(SUBSTITUTE(SUBSTITUTE(SUBSTITUTE(SUBSTITUTE(SUBSTITUTE(SUBSTITUTE(SUBSTITUTE(SUBSTITUTE(SUBSTITUTE(SUBSTITUTE(SUBSTITUTE(SUBSTITUTE(SUBSTITUTE(SUBSTITUTE(SUBSTITUTE(SUBSTITUTE(SUBSTITUTE(SUBSTITUTE(SUBSTITUTE(SUBSTITUTE(SUBSTITUTE(tabSindicatos[ABRANGÊNCIA],"á","a"),"ã","a"),"â","a"),"é","e"),"ê","e"),"í","i"),"ó","o"),"õ","o"),"ô","o"),"ú","u"),"ç","c"),"Á","a"),"Ã","a"),"Â","a"),"É","e"),"Ê","e"),"Í","i"),"Ó","o"),"Õ","o"),"Ô","o"),"Ú","u"),"Ç","c"),"/MG","")," e ",", ")," ",""),".","")))&amp;",",
_xlpm.MATRIZ_FUNCAO, ","&amp;TRIM(UPPER(SUBSTITUTE(SUBSTITUTE(SUBSTITUTE(SUBSTITUTE(SUBSTITUTE(SUBSTITUTE(SUBSTITUTE(SUBSTITUTE(SUBSTITUTE(SUBSTITUTE(SUBSTITUTE(SUBSTITUTE(SUBSTITUTE(SUBSTITUTE(SUBSTITUTE(SUBSTITUTE(SUBSTITUTE(SUBSTITUTE(SUBSTITUTE(SUBSTITUTE(SUBSTITUTE(SUBSTITUTE(SUBSTITUTE(SUBSTITUTE(SUBSTITUTE(tabSindicatos[FUNÇÕES],"á","a"),"ã","a"),"â","a"),"é","e"),"ê","e"),"í","i"),"ó","o"),"õ","o"),"ô","o"),"ú","u"),"ç","c"),"Á","a"),"Ã","a"),"Â","a"),"É","e"),"Ê","e"),"Í","i"),"Ó","o"),"Õ","o"),"Ô","o"),"Ú","u"),"Ç","c")," e ",", ")," ",""),".","")))&amp;",",
IFERROR(_xlfn._xlws.FILTER(tabSindicatos[SINDICATOS],
(ISNUMBER(SEARCH(","&amp;TRIM(UPPER(SUBSTITUTE(tabPostos[[#This Row],[Comarca]]," ","")))&amp;",",_xlpm.MATRIZ_COMARCA,1)))*
(ISNUMBER(SEARCH(","&amp;TRIM(SUBSTITUTE(SUBSTITUTE(SUBSTITUTE(UPPER(tabPostos[[#This Row],[Função]])," E ",", ")," ",""),".",""))&amp;",",_xlpm.MATRIZ_FUNCAO,1)))
),"")
))</f>
        <v>Sethac Norte de Minas</v>
      </c>
      <c r="E226" s="148" t="s">
        <v>9</v>
      </c>
      <c r="F226" s="148" t="s">
        <v>10</v>
      </c>
      <c r="G226" s="148">
        <v>1</v>
      </c>
      <c r="H226" s="148">
        <v>0</v>
      </c>
      <c r="I226" s="216">
        <f>798.14</f>
        <v>798.14</v>
      </c>
      <c r="J226" s="247">
        <f>VLOOKUP(tabPostos[[#This Row],[CCT DA CATEGORIA]],'RELAÇÃO SINDICATOS'!A:N,11,0)</f>
        <v>45658</v>
      </c>
      <c r="K226" s="148" t="str">
        <f>VLOOKUP(tabPostos[[#This Row],[CCT DA CATEGORIA]],'RELAÇÃO SINDICATOS'!A:N,12,0)</f>
        <v>-</v>
      </c>
      <c r="L226" s="148" t="str">
        <f>VLOOKUP(tabPostos[[#This Row],[CCT DA CATEGORIA]],'RELAÇÃO SINDICATOS'!A:N,13,0)</f>
        <v>-</v>
      </c>
      <c r="M226" s="148" t="str">
        <f>VLOOKUP(tabPostos[[#This Row],[CCT DA CATEGORIA]],'RELAÇÃO SINDICATOS'!A:N,14,0)</f>
        <v>MG000256/2025</v>
      </c>
    </row>
    <row r="227" spans="1:13" x14ac:dyDescent="0.25">
      <c r="A227" s="148" t="str" cm="1">
        <f t="array" ref="A227">_xlfn.XLOOKUP(tabPostos[[#This Row],[Fonte de Recursos]]&amp;tabPostos[[#This Row],[Classificação]],tabLotacao[Lotacao]&amp;tabLotacao[Tipo],tabLotacao[Codigo Lote],"0")&amp;"."&amp;_xlfn.XLOOKUP(tabPostos[[#This Row],[Comarca]],tabComarca[COMARCA],tabComarca[Codigo Comarca],"000")&amp;"."&amp;_xlfn.XLOOKUP(tabPostos[[#This Row],[Função]],tabCargos[Cargo],tabCargos[Codigo Cargo],"00")</f>
        <v>2.642.06</v>
      </c>
      <c r="B227" s="200" t="s">
        <v>208</v>
      </c>
      <c r="C227" s="200" t="s">
        <v>1245</v>
      </c>
      <c r="D227" s="200" t="str" cm="1">
        <f t="array" ref="D227">IF(tabPostos[[#This Row],[Comarca]]="","",
_xlfn.LET(
_xlpm.MATRIZ_COMARCA, ","&amp;TRIM(UPPER(SUBSTITUTE(SUBSTITUTE(SUBSTITUTE(SUBSTITUTE(SUBSTITUTE(SUBSTITUTE(SUBSTITUTE(SUBSTITUTE(SUBSTITUTE(SUBSTITUTE(SUBSTITUTE(SUBSTITUTE(SUBSTITUTE(SUBSTITUTE(SUBSTITUTE(SUBSTITUTE(SUBSTITUTE(SUBSTITUTE(SUBSTITUTE(SUBSTITUTE(SUBSTITUTE(SUBSTITUTE(SUBSTITUTE(SUBSTITUTE(SUBSTITUTE(SUBSTITUTE(tabSindicatos[ABRANGÊNCIA],"á","a"),"ã","a"),"â","a"),"é","e"),"ê","e"),"í","i"),"ó","o"),"õ","o"),"ô","o"),"ú","u"),"ç","c"),"Á","a"),"Ã","a"),"Â","a"),"É","e"),"Ê","e"),"Í","i"),"Ó","o"),"Õ","o"),"Ô","o"),"Ú","u"),"Ç","c"),"/MG","")," e ",", ")," ",""),".","")))&amp;",",
_xlpm.MATRIZ_FUNCAO, ","&amp;TRIM(UPPER(SUBSTITUTE(SUBSTITUTE(SUBSTITUTE(SUBSTITUTE(SUBSTITUTE(SUBSTITUTE(SUBSTITUTE(SUBSTITUTE(SUBSTITUTE(SUBSTITUTE(SUBSTITUTE(SUBSTITUTE(SUBSTITUTE(SUBSTITUTE(SUBSTITUTE(SUBSTITUTE(SUBSTITUTE(SUBSTITUTE(SUBSTITUTE(SUBSTITUTE(SUBSTITUTE(SUBSTITUTE(SUBSTITUTE(SUBSTITUTE(SUBSTITUTE(tabSindicatos[FUNÇÕES],"á","a"),"ã","a"),"â","a"),"é","e"),"ê","e"),"í","i"),"ó","o"),"õ","o"),"ô","o"),"ú","u"),"ç","c"),"Á","a"),"Ã","a"),"Â","a"),"É","e"),"Ê","e"),"Í","i"),"Ó","o"),"Õ","o"),"Ô","o"),"Ú","u"),"Ç","c")," e ",", ")," ",""),".","")))&amp;",",
IFERROR(_xlfn._xlws.FILTER(tabSindicatos[SINDICATOS],
(ISNUMBER(SEARCH(","&amp;TRIM(UPPER(SUBSTITUTE(tabPostos[[#This Row],[Comarca]]," ","")))&amp;",",_xlpm.MATRIZ_COMARCA,1)))*
(ISNUMBER(SEARCH(","&amp;TRIM(SUBSTITUTE(SUBSTITUTE(SUBSTITUTE(UPPER(tabPostos[[#This Row],[Função]])," E ",", ")," ",""),".",""))&amp;",",_xlpm.MATRIZ_FUNCAO,1)))
),"")
))</f>
        <v>Sethac Norte de Minas</v>
      </c>
      <c r="E227" s="148" t="s">
        <v>9</v>
      </c>
      <c r="F227" s="148" t="s">
        <v>10</v>
      </c>
      <c r="G227" s="148">
        <v>1</v>
      </c>
      <c r="H227" s="148">
        <v>0</v>
      </c>
      <c r="I227" s="216">
        <f>1596.28</f>
        <v>1596.28</v>
      </c>
      <c r="J227" s="247">
        <f>VLOOKUP(tabPostos[[#This Row],[CCT DA CATEGORIA]],'RELAÇÃO SINDICATOS'!A:N,11,0)</f>
        <v>45658</v>
      </c>
      <c r="K227" s="148" t="str">
        <f>VLOOKUP(tabPostos[[#This Row],[CCT DA CATEGORIA]],'RELAÇÃO SINDICATOS'!A:N,12,0)</f>
        <v>-</v>
      </c>
      <c r="L227" s="148" t="str">
        <f>VLOOKUP(tabPostos[[#This Row],[CCT DA CATEGORIA]],'RELAÇÃO SINDICATOS'!A:N,13,0)</f>
        <v>-</v>
      </c>
      <c r="M227" s="148" t="str">
        <f>VLOOKUP(tabPostos[[#This Row],[CCT DA CATEGORIA]],'RELAÇÃO SINDICATOS'!A:N,14,0)</f>
        <v>MG000256/2025</v>
      </c>
    </row>
    <row r="228" spans="1:13" x14ac:dyDescent="0.25">
      <c r="A228" s="148" t="str" cm="1">
        <f t="array" ref="A228">_xlfn.XLOOKUP(tabPostos[[#This Row],[Fonte de Recursos]]&amp;tabPostos[[#This Row],[Classificação]],tabLotacao[Lotacao]&amp;tabLotacao[Tipo],tabLotacao[Codigo Lote],"0")&amp;"."&amp;_xlfn.XLOOKUP(tabPostos[[#This Row],[Comarca]],tabComarca[COMARCA],tabComarca[Codigo Comarca],"000")&amp;"."&amp;_xlfn.XLOOKUP(tabPostos[[#This Row],[Função]],tabCargos[Cargo],tabCargos[Codigo Cargo],"00")</f>
        <v>2.647.06</v>
      </c>
      <c r="B228" s="200" t="s">
        <v>209</v>
      </c>
      <c r="C228" s="200" t="s">
        <v>1245</v>
      </c>
      <c r="D228" s="200" t="str" cm="1">
        <f t="array" ref="D228">IF(tabPostos[[#This Row],[Comarca]]="","",
_xlfn.LET(
_xlpm.MATRIZ_COMARCA, ","&amp;TRIM(UPPER(SUBSTITUTE(SUBSTITUTE(SUBSTITUTE(SUBSTITUTE(SUBSTITUTE(SUBSTITUTE(SUBSTITUTE(SUBSTITUTE(SUBSTITUTE(SUBSTITUTE(SUBSTITUTE(SUBSTITUTE(SUBSTITUTE(SUBSTITUTE(SUBSTITUTE(SUBSTITUTE(SUBSTITUTE(SUBSTITUTE(SUBSTITUTE(SUBSTITUTE(SUBSTITUTE(SUBSTITUTE(SUBSTITUTE(SUBSTITUTE(SUBSTITUTE(SUBSTITUTE(tabSindicatos[ABRANGÊNCIA],"á","a"),"ã","a"),"â","a"),"é","e"),"ê","e"),"í","i"),"ó","o"),"õ","o"),"ô","o"),"ú","u"),"ç","c"),"Á","a"),"Ã","a"),"Â","a"),"É","e"),"Ê","e"),"Í","i"),"Ó","o"),"Õ","o"),"Ô","o"),"Ú","u"),"Ç","c"),"/MG","")," e ",", ")," ",""),".","")))&amp;",",
_xlpm.MATRIZ_FUNCAO, ","&amp;TRIM(UPPER(SUBSTITUTE(SUBSTITUTE(SUBSTITUTE(SUBSTITUTE(SUBSTITUTE(SUBSTITUTE(SUBSTITUTE(SUBSTITUTE(SUBSTITUTE(SUBSTITUTE(SUBSTITUTE(SUBSTITUTE(SUBSTITUTE(SUBSTITUTE(SUBSTITUTE(SUBSTITUTE(SUBSTITUTE(SUBSTITUTE(SUBSTITUTE(SUBSTITUTE(SUBSTITUTE(SUBSTITUTE(SUBSTITUTE(SUBSTITUTE(SUBSTITUTE(tabSindicatos[FUNÇÕES],"á","a"),"ã","a"),"â","a"),"é","e"),"ê","e"),"í","i"),"ó","o"),"õ","o"),"ô","o"),"ú","u"),"ç","c"),"Á","a"),"Ã","a"),"Â","a"),"É","e"),"Ê","e"),"Í","i"),"Ó","o"),"Õ","o"),"Ô","o"),"Ú","u"),"Ç","c")," e ",", ")," ",""),".","")))&amp;",",
IFERROR(_xlfn._xlws.FILTER(tabSindicatos[SINDICATOS],
(ISNUMBER(SEARCH(","&amp;TRIM(UPPER(SUBSTITUTE(tabPostos[[#This Row],[Comarca]]," ","")))&amp;",",_xlpm.MATRIZ_COMARCA,1)))*
(ISNUMBER(SEARCH(","&amp;TRIM(SUBSTITUTE(SUBSTITUTE(SUBSTITUTE(UPPER(tabPostos[[#This Row],[Função]])," E ",", ")," ",""),".",""))&amp;",",_xlpm.MATRIZ_FUNCAO,1)))
),"")
))</f>
        <v>Regiao de Sao Lourenco</v>
      </c>
      <c r="E228" s="148" t="s">
        <v>9</v>
      </c>
      <c r="F228" s="148" t="s">
        <v>10</v>
      </c>
      <c r="G228" s="148">
        <v>3</v>
      </c>
      <c r="H228" s="148">
        <v>0</v>
      </c>
      <c r="I228" s="216">
        <f>1596.28</f>
        <v>1596.28</v>
      </c>
      <c r="J228" s="247">
        <f>VLOOKUP(tabPostos[[#This Row],[CCT DA CATEGORIA]],'RELAÇÃO SINDICATOS'!A:N,11,0)</f>
        <v>45658</v>
      </c>
      <c r="K228" s="148" t="str">
        <f>VLOOKUP(tabPostos[[#This Row],[CCT DA CATEGORIA]],'RELAÇÃO SINDICATOS'!A:N,12,0)</f>
        <v>-</v>
      </c>
      <c r="L228" s="148" t="str">
        <f>VLOOKUP(tabPostos[[#This Row],[CCT DA CATEGORIA]],'RELAÇÃO SINDICATOS'!A:N,13,0)</f>
        <v>-</v>
      </c>
      <c r="M228" s="148" t="str">
        <f>VLOOKUP(tabPostos[[#This Row],[CCT DA CATEGORIA]],'RELAÇÃO SINDICATOS'!A:N,14,0)</f>
        <v>MG000594/2025</v>
      </c>
    </row>
    <row r="229" spans="1:13" x14ac:dyDescent="0.25">
      <c r="A229" s="148" t="str" cm="1">
        <f t="array" ref="A229">_xlfn.XLOOKUP(tabPostos[[#This Row],[Fonte de Recursos]]&amp;tabPostos[[#This Row],[Classificação]],tabLotacao[Lotacao]&amp;tabLotacao[Tipo],tabLotacao[Codigo Lote],"0")&amp;"."&amp;_xlfn.XLOOKUP(tabPostos[[#This Row],[Comarca]],tabComarca[COMARCA],tabComarca[Codigo Comarca],"000")&amp;"."&amp;_xlfn.XLOOKUP(tabPostos[[#This Row],[Função]],tabCargos[Cargo],tabCargos[Codigo Cargo],"00")</f>
        <v>2.671.04</v>
      </c>
      <c r="B229" s="200" t="s">
        <v>210</v>
      </c>
      <c r="C229" s="200" t="s">
        <v>1244</v>
      </c>
      <c r="D229" s="200" t="str" cm="1">
        <f t="array" ref="D229">IF(tabPostos[[#This Row],[Comarca]]="","",
_xlfn.LET(
_xlpm.MATRIZ_COMARCA, ","&amp;TRIM(UPPER(SUBSTITUTE(SUBSTITUTE(SUBSTITUTE(SUBSTITUTE(SUBSTITUTE(SUBSTITUTE(SUBSTITUTE(SUBSTITUTE(SUBSTITUTE(SUBSTITUTE(SUBSTITUTE(SUBSTITUTE(SUBSTITUTE(SUBSTITUTE(SUBSTITUTE(SUBSTITUTE(SUBSTITUTE(SUBSTITUTE(SUBSTITUTE(SUBSTITUTE(SUBSTITUTE(SUBSTITUTE(SUBSTITUTE(SUBSTITUTE(SUBSTITUTE(SUBSTITUTE(tabSindicatos[ABRANGÊNCIA],"á","a"),"ã","a"),"â","a"),"é","e"),"ê","e"),"í","i"),"ó","o"),"õ","o"),"ô","o"),"ú","u"),"ç","c"),"Á","a"),"Ã","a"),"Â","a"),"É","e"),"Ê","e"),"Í","i"),"Ó","o"),"Õ","o"),"Ô","o"),"Ú","u"),"Ç","c"),"/MG","")," e ",", ")," ",""),".","")))&amp;",",
_xlpm.MATRIZ_FUNCAO, ","&amp;TRIM(UPPER(SUBSTITUTE(SUBSTITUTE(SUBSTITUTE(SUBSTITUTE(SUBSTITUTE(SUBSTITUTE(SUBSTITUTE(SUBSTITUTE(SUBSTITUTE(SUBSTITUTE(SUBSTITUTE(SUBSTITUTE(SUBSTITUTE(SUBSTITUTE(SUBSTITUTE(SUBSTITUTE(SUBSTITUTE(SUBSTITUTE(SUBSTITUTE(SUBSTITUTE(SUBSTITUTE(SUBSTITUTE(SUBSTITUTE(SUBSTITUTE(SUBSTITUTE(tabSindicatos[FUNÇÕES],"á","a"),"ã","a"),"â","a"),"é","e"),"ê","e"),"í","i"),"ó","o"),"õ","o"),"ô","o"),"ú","u"),"ç","c"),"Á","a"),"Ã","a"),"Â","a"),"É","e"),"Ê","e"),"Í","i"),"Ó","o"),"Õ","o"),"Ô","o"),"Ú","u"),"Ç","c")," e ",", ")," ",""),".","")))&amp;",",
IFERROR(_xlfn._xlws.FILTER(tabSindicatos[SINDICATOS],
(ISNUMBER(SEARCH(","&amp;TRIM(UPPER(SUBSTITUTE(tabPostos[[#This Row],[Comarca]]," ","")))&amp;",",_xlpm.MATRIZ_COMARCA,1)))*
(ISNUMBER(SEARCH(","&amp;TRIM(SUBSTITUTE(SUBSTITUTE(SUBSTITUTE(UPPER(tabPostos[[#This Row],[Função]])," E ",", ")," ",""),".",""))&amp;",",_xlpm.MATRIZ_FUNCAO,1)))
),"")
))</f>
        <v>Curvelo</v>
      </c>
      <c r="E229" s="148" t="s">
        <v>9</v>
      </c>
      <c r="F229" s="148" t="s">
        <v>10</v>
      </c>
      <c r="G229" s="148">
        <v>1</v>
      </c>
      <c r="H229" s="148">
        <v>0</v>
      </c>
      <c r="I229" s="216">
        <f>798.14</f>
        <v>798.14</v>
      </c>
      <c r="J229" s="247">
        <f>VLOOKUP(tabPostos[[#This Row],[CCT DA CATEGORIA]],'RELAÇÃO SINDICATOS'!A:N,11,0)</f>
        <v>45658</v>
      </c>
      <c r="K229" s="148" t="str">
        <f>VLOOKUP(tabPostos[[#This Row],[CCT DA CATEGORIA]],'RELAÇÃO SINDICATOS'!A:N,12,0)</f>
        <v>-</v>
      </c>
      <c r="L229" s="148" t="str">
        <f>VLOOKUP(tabPostos[[#This Row],[CCT DA CATEGORIA]],'RELAÇÃO SINDICATOS'!A:N,13,0)</f>
        <v>-</v>
      </c>
      <c r="M229" s="148" t="str">
        <f>VLOOKUP(tabPostos[[#This Row],[CCT DA CATEGORIA]],'RELAÇÃO SINDICATOS'!A:N,14,0)</f>
        <v>MG0000423/2025</v>
      </c>
    </row>
    <row r="230" spans="1:13" x14ac:dyDescent="0.25">
      <c r="A230" s="148" t="str" cm="1">
        <f t="array" ref="A230">_xlfn.XLOOKUP(tabPostos[[#This Row],[Fonte de Recursos]]&amp;tabPostos[[#This Row],[Classificação]],tabLotacao[Lotacao]&amp;tabLotacao[Tipo],tabLotacao[Codigo Lote],"0")&amp;"."&amp;_xlfn.XLOOKUP(tabPostos[[#This Row],[Comarca]],tabComarca[COMARCA],tabComarca[Codigo Comarca],"000")&amp;"."&amp;_xlfn.XLOOKUP(tabPostos[[#This Row],[Função]],tabCargos[Cargo],tabCargos[Codigo Cargo],"00")</f>
        <v>2.672.06</v>
      </c>
      <c r="B230" s="200" t="s">
        <v>211</v>
      </c>
      <c r="C230" s="200" t="s">
        <v>1245</v>
      </c>
      <c r="D230" s="200" t="str" cm="1">
        <f t="array" ref="D230">IF(tabPostos[[#This Row],[Comarca]]="","",
_xlfn.LET(
_xlpm.MATRIZ_COMARCA, ","&amp;TRIM(UPPER(SUBSTITUTE(SUBSTITUTE(SUBSTITUTE(SUBSTITUTE(SUBSTITUTE(SUBSTITUTE(SUBSTITUTE(SUBSTITUTE(SUBSTITUTE(SUBSTITUTE(SUBSTITUTE(SUBSTITUTE(SUBSTITUTE(SUBSTITUTE(SUBSTITUTE(SUBSTITUTE(SUBSTITUTE(SUBSTITUTE(SUBSTITUTE(SUBSTITUTE(SUBSTITUTE(SUBSTITUTE(SUBSTITUTE(SUBSTITUTE(SUBSTITUTE(SUBSTITUTE(tabSindicatos[ABRANGÊNCIA],"á","a"),"ã","a"),"â","a"),"é","e"),"ê","e"),"í","i"),"ó","o"),"õ","o"),"ô","o"),"ú","u"),"ç","c"),"Á","a"),"Ã","a"),"Â","a"),"É","e"),"Ê","e"),"Í","i"),"Ó","o"),"Õ","o"),"Ô","o"),"Ú","u"),"Ç","c"),"/MG","")," e ",", ")," ",""),".","")))&amp;",",
_xlpm.MATRIZ_FUNCAO, ","&amp;TRIM(UPPER(SUBSTITUTE(SUBSTITUTE(SUBSTITUTE(SUBSTITUTE(SUBSTITUTE(SUBSTITUTE(SUBSTITUTE(SUBSTITUTE(SUBSTITUTE(SUBSTITUTE(SUBSTITUTE(SUBSTITUTE(SUBSTITUTE(SUBSTITUTE(SUBSTITUTE(SUBSTITUTE(SUBSTITUTE(SUBSTITUTE(SUBSTITUTE(SUBSTITUTE(SUBSTITUTE(SUBSTITUTE(SUBSTITUTE(SUBSTITUTE(SUBSTITUTE(tabSindicatos[FUNÇÕES],"á","a"),"ã","a"),"â","a"),"é","e"),"ê","e"),"í","i"),"ó","o"),"õ","o"),"ô","o"),"ú","u"),"ç","c"),"Á","a"),"Ã","a"),"Â","a"),"É","e"),"Ê","e"),"Í","i"),"Ó","o"),"Õ","o"),"Ô","o"),"Ú","u"),"Ç","c")," e ",", ")," ",""),".","")))&amp;",",
IFERROR(_xlfn._xlws.FILTER(tabSindicatos[SINDICATOS],
(ISNUMBER(SEARCH(","&amp;TRIM(UPPER(SUBSTITUTE(tabPostos[[#This Row],[Comarca]]," ","")))&amp;",",_xlpm.MATRIZ_COMARCA,1)))*
(ISNUMBER(SEARCH(","&amp;TRIM(SUBSTITUTE(SUBSTITUTE(SUBSTITUTE(UPPER(tabPostos[[#This Row],[Função]])," E ",", ")," ",""),".",""))&amp;",",_xlpm.MATRIZ_FUNCAO,1)))
),"")
))</f>
        <v>Sete Lagoas</v>
      </c>
      <c r="E230" s="148" t="s">
        <v>9</v>
      </c>
      <c r="F230" s="148" t="s">
        <v>10</v>
      </c>
      <c r="G230" s="148">
        <v>2</v>
      </c>
      <c r="H230" s="148">
        <v>0</v>
      </c>
      <c r="I230" s="216">
        <f>1649.12</f>
        <v>1649.12</v>
      </c>
      <c r="J230" s="247">
        <f>VLOOKUP(tabPostos[[#This Row],[CCT DA CATEGORIA]],'RELAÇÃO SINDICATOS'!A:N,11,0)</f>
        <v>45658</v>
      </c>
      <c r="K230" s="148" t="str">
        <f>VLOOKUP(tabPostos[[#This Row],[CCT DA CATEGORIA]],'RELAÇÃO SINDICATOS'!A:N,12,0)</f>
        <v>-</v>
      </c>
      <c r="L230" s="148" t="str">
        <f>VLOOKUP(tabPostos[[#This Row],[CCT DA CATEGORIA]],'RELAÇÃO SINDICATOS'!A:N,13,0)</f>
        <v>-</v>
      </c>
      <c r="M230" s="148" t="str">
        <f>VLOOKUP(tabPostos[[#This Row],[CCT DA CATEGORIA]],'RELAÇÃO SINDICATOS'!A:N,14,0)</f>
        <v>MG000435/2025</v>
      </c>
    </row>
    <row r="231" spans="1:13" x14ac:dyDescent="0.25">
      <c r="A231" s="148" t="str" cm="1">
        <f t="array" ref="A231">_xlfn.XLOOKUP(tabPostos[[#This Row],[Fonte de Recursos]]&amp;tabPostos[[#This Row],[Classificação]],tabLotacao[Lotacao]&amp;tabLotacao[Tipo],tabLotacao[Codigo Lote],"0")&amp;"."&amp;_xlfn.XLOOKUP(tabPostos[[#This Row],[Comarca]],tabComarca[COMARCA],tabComarca[Codigo Comarca],"000")&amp;"."&amp;_xlfn.XLOOKUP(tabPostos[[#This Row],[Função]],tabCargos[Cargo],tabCargos[Codigo Cargo],"00")</f>
        <v>2.680.04</v>
      </c>
      <c r="B231" s="200" t="s">
        <v>212</v>
      </c>
      <c r="C231" s="200" t="s">
        <v>1244</v>
      </c>
      <c r="D231" s="200" t="str" cm="1">
        <f t="array" ref="D231">IF(tabPostos[[#This Row],[Comarca]]="","",
_xlfn.LET(
_xlpm.MATRIZ_COMARCA, ","&amp;TRIM(UPPER(SUBSTITUTE(SUBSTITUTE(SUBSTITUTE(SUBSTITUTE(SUBSTITUTE(SUBSTITUTE(SUBSTITUTE(SUBSTITUTE(SUBSTITUTE(SUBSTITUTE(SUBSTITUTE(SUBSTITUTE(SUBSTITUTE(SUBSTITUTE(SUBSTITUTE(SUBSTITUTE(SUBSTITUTE(SUBSTITUTE(SUBSTITUTE(SUBSTITUTE(SUBSTITUTE(SUBSTITUTE(SUBSTITUTE(SUBSTITUTE(SUBSTITUTE(SUBSTITUTE(tabSindicatos[ABRANGÊNCIA],"á","a"),"ã","a"),"â","a"),"é","e"),"ê","e"),"í","i"),"ó","o"),"õ","o"),"ô","o"),"ú","u"),"ç","c"),"Á","a"),"Ã","a"),"Â","a"),"É","e"),"Ê","e"),"Í","i"),"Ó","o"),"Õ","o"),"Ô","o"),"Ú","u"),"Ç","c"),"/MG","")," e ",", ")," ",""),".","")))&amp;",",
_xlpm.MATRIZ_FUNCAO, ","&amp;TRIM(UPPER(SUBSTITUTE(SUBSTITUTE(SUBSTITUTE(SUBSTITUTE(SUBSTITUTE(SUBSTITUTE(SUBSTITUTE(SUBSTITUTE(SUBSTITUTE(SUBSTITUTE(SUBSTITUTE(SUBSTITUTE(SUBSTITUTE(SUBSTITUTE(SUBSTITUTE(SUBSTITUTE(SUBSTITUTE(SUBSTITUTE(SUBSTITUTE(SUBSTITUTE(SUBSTITUTE(SUBSTITUTE(SUBSTITUTE(SUBSTITUTE(SUBSTITUTE(tabSindicatos[FUNÇÕES],"á","a"),"ã","a"),"â","a"),"é","e"),"ê","e"),"í","i"),"ó","o"),"õ","o"),"ô","o"),"ú","u"),"ç","c"),"Á","a"),"Ã","a"),"Â","a"),"É","e"),"Ê","e"),"Í","i"),"Ó","o"),"Õ","o"),"Ô","o"),"Ú","u"),"Ç","c")," e ",", ")," ",""),".","")))&amp;",",
IFERROR(_xlfn._xlws.FILTER(tabSindicatos[SINDICATOS],
(ISNUMBER(SEARCH(","&amp;TRIM(UPPER(SUBSTITUTE(tabPostos[[#This Row],[Comarca]]," ","")))&amp;",",_xlpm.MATRIZ_COMARCA,1)))*
(ISNUMBER(SEARCH(","&amp;TRIM(SUBSTITUTE(SUBSTITUTE(SUBSTITUTE(UPPER(tabPostos[[#This Row],[Função]])," E ",", ")," ",""),".",""))&amp;",",_xlpm.MATRIZ_FUNCAO,1)))
),"")
))</f>
        <v>Sethac Norte de Minas</v>
      </c>
      <c r="E231" s="148" t="s">
        <v>9</v>
      </c>
      <c r="F231" s="148" t="s">
        <v>10</v>
      </c>
      <c r="G231" s="148">
        <v>1</v>
      </c>
      <c r="H231" s="148">
        <v>0</v>
      </c>
      <c r="I231" s="216">
        <f>798.14</f>
        <v>798.14</v>
      </c>
      <c r="J231" s="247">
        <f>VLOOKUP(tabPostos[[#This Row],[CCT DA CATEGORIA]],'RELAÇÃO SINDICATOS'!A:N,11,0)</f>
        <v>45658</v>
      </c>
      <c r="K231" s="148" t="str">
        <f>VLOOKUP(tabPostos[[#This Row],[CCT DA CATEGORIA]],'RELAÇÃO SINDICATOS'!A:N,12,0)</f>
        <v>-</v>
      </c>
      <c r="L231" s="148" t="str">
        <f>VLOOKUP(tabPostos[[#This Row],[CCT DA CATEGORIA]],'RELAÇÃO SINDICATOS'!A:N,13,0)</f>
        <v>-</v>
      </c>
      <c r="M231" s="148" t="str">
        <f>VLOOKUP(tabPostos[[#This Row],[CCT DA CATEGORIA]],'RELAÇÃO SINDICATOS'!A:N,14,0)</f>
        <v>MG000256/2025</v>
      </c>
    </row>
    <row r="232" spans="1:13" x14ac:dyDescent="0.25">
      <c r="A232" s="148" t="str" cm="1">
        <f t="array" ref="A232">_xlfn.XLOOKUP(tabPostos[[#This Row],[Fonte de Recursos]]&amp;tabPostos[[#This Row],[Classificação]],tabLotacao[Lotacao]&amp;tabLotacao[Tipo],tabLotacao[Codigo Lote],"0")&amp;"."&amp;_xlfn.XLOOKUP(tabPostos[[#This Row],[Comarca]],tabComarca[COMARCA],tabComarca[Codigo Comarca],"000")&amp;"."&amp;_xlfn.XLOOKUP(tabPostos[[#This Row],[Função]],tabCargos[Cargo],tabCargos[Codigo Cargo],"00")</f>
        <v>2.686.06</v>
      </c>
      <c r="B232" s="200" t="s">
        <v>213</v>
      </c>
      <c r="C232" s="200" t="s">
        <v>1245</v>
      </c>
      <c r="D232" s="200" t="str" cm="1">
        <f t="array" ref="D232">IF(tabPostos[[#This Row],[Comarca]]="","",
_xlfn.LET(
_xlpm.MATRIZ_COMARCA, ","&amp;TRIM(UPPER(SUBSTITUTE(SUBSTITUTE(SUBSTITUTE(SUBSTITUTE(SUBSTITUTE(SUBSTITUTE(SUBSTITUTE(SUBSTITUTE(SUBSTITUTE(SUBSTITUTE(SUBSTITUTE(SUBSTITUTE(SUBSTITUTE(SUBSTITUTE(SUBSTITUTE(SUBSTITUTE(SUBSTITUTE(SUBSTITUTE(SUBSTITUTE(SUBSTITUTE(SUBSTITUTE(SUBSTITUTE(SUBSTITUTE(SUBSTITUTE(SUBSTITUTE(SUBSTITUTE(tabSindicatos[ABRANGÊNCIA],"á","a"),"ã","a"),"â","a"),"é","e"),"ê","e"),"í","i"),"ó","o"),"õ","o"),"ô","o"),"ú","u"),"ç","c"),"Á","a"),"Ã","a"),"Â","a"),"É","e"),"Ê","e"),"Í","i"),"Ó","o"),"Õ","o"),"Ô","o"),"Ú","u"),"Ç","c"),"/MG","")," e ",", ")," ",""),".","")))&amp;",",
_xlpm.MATRIZ_FUNCAO, ","&amp;TRIM(UPPER(SUBSTITUTE(SUBSTITUTE(SUBSTITUTE(SUBSTITUTE(SUBSTITUTE(SUBSTITUTE(SUBSTITUTE(SUBSTITUTE(SUBSTITUTE(SUBSTITUTE(SUBSTITUTE(SUBSTITUTE(SUBSTITUTE(SUBSTITUTE(SUBSTITUTE(SUBSTITUTE(SUBSTITUTE(SUBSTITUTE(SUBSTITUTE(SUBSTITUTE(SUBSTITUTE(SUBSTITUTE(SUBSTITUTE(SUBSTITUTE(SUBSTITUTE(tabSindicatos[FUNÇÕES],"á","a"),"ã","a"),"â","a"),"é","e"),"ê","e"),"í","i"),"ó","o"),"õ","o"),"ô","o"),"ú","u"),"ç","c"),"Á","a"),"Ã","a"),"Â","a"),"É","e"),"Ê","e"),"Í","i"),"Ó","o"),"Õ","o"),"Ô","o"),"Ú","u"),"Ç","c")," e ",", ")," ",""),".","")))&amp;",",
IFERROR(_xlfn._xlws.FILTER(tabSindicatos[SINDICATOS],
(ISNUMBER(SEARCH(","&amp;TRIM(UPPER(SUBSTITUTE(tabPostos[[#This Row],[Comarca]]," ","")))&amp;",",_xlpm.MATRIZ_COMARCA,1)))*
(ISNUMBER(SEARCH(","&amp;TRIM(SUBSTITUTE(SUBSTITUTE(SUBSTITUTE(UPPER(tabPostos[[#This Row],[Função]])," E ",", ")," ",""),".",""))&amp;",",_xlpm.MATRIZ_FUNCAO,1)))
),"")
))</f>
        <v>Teofilo Otoni</v>
      </c>
      <c r="E232" s="148" t="s">
        <v>9</v>
      </c>
      <c r="F232" s="148" t="s">
        <v>10</v>
      </c>
      <c r="G232" s="148">
        <v>3</v>
      </c>
      <c r="H232" s="148">
        <v>0</v>
      </c>
      <c r="I232" s="216">
        <f>1649.12</f>
        <v>1649.12</v>
      </c>
      <c r="J232" s="247">
        <f>VLOOKUP(tabPostos[[#This Row],[CCT DA CATEGORIA]],'RELAÇÃO SINDICATOS'!A:N,11,0)</f>
        <v>45658</v>
      </c>
      <c r="K232" s="148" t="str">
        <f>VLOOKUP(tabPostos[[#This Row],[CCT DA CATEGORIA]],'RELAÇÃO SINDICATOS'!A:N,12,0)</f>
        <v>-</v>
      </c>
      <c r="L232" s="148" t="str">
        <f>VLOOKUP(tabPostos[[#This Row],[CCT DA CATEGORIA]],'RELAÇÃO SINDICATOS'!A:N,13,0)</f>
        <v>-</v>
      </c>
      <c r="M232" s="148" t="str">
        <f>VLOOKUP(tabPostos[[#This Row],[CCT DA CATEGORIA]],'RELAÇÃO SINDICATOS'!A:N,14,0)</f>
        <v>MG004477/2024</v>
      </c>
    </row>
    <row r="233" spans="1:13" x14ac:dyDescent="0.25">
      <c r="A233" s="148" t="str" cm="1">
        <f t="array" ref="A233">_xlfn.XLOOKUP(tabPostos[[#This Row],[Fonte de Recursos]]&amp;tabPostos[[#This Row],[Classificação]],tabLotacao[Lotacao]&amp;tabLotacao[Tipo],tabLotacao[Codigo Lote],"0")&amp;"."&amp;_xlfn.XLOOKUP(tabPostos[[#This Row],[Comarca]],tabComarca[COMARCA],tabComarca[Codigo Comarca],"000")&amp;"."&amp;_xlfn.XLOOKUP(tabPostos[[#This Row],[Função]],tabCargos[Cargo],tabCargos[Codigo Cargo],"00")</f>
        <v>2.687.06</v>
      </c>
      <c r="B233" s="200" t="s">
        <v>214</v>
      </c>
      <c r="C233" s="200" t="s">
        <v>1245</v>
      </c>
      <c r="D233" s="200" t="str" cm="1">
        <f t="array" ref="D233">IF(tabPostos[[#This Row],[Comarca]]="","",
_xlfn.LET(
_xlpm.MATRIZ_COMARCA, ","&amp;TRIM(UPPER(SUBSTITUTE(SUBSTITUTE(SUBSTITUTE(SUBSTITUTE(SUBSTITUTE(SUBSTITUTE(SUBSTITUTE(SUBSTITUTE(SUBSTITUTE(SUBSTITUTE(SUBSTITUTE(SUBSTITUTE(SUBSTITUTE(SUBSTITUTE(SUBSTITUTE(SUBSTITUTE(SUBSTITUTE(SUBSTITUTE(SUBSTITUTE(SUBSTITUTE(SUBSTITUTE(SUBSTITUTE(SUBSTITUTE(SUBSTITUTE(SUBSTITUTE(SUBSTITUTE(tabSindicatos[ABRANGÊNCIA],"á","a"),"ã","a"),"â","a"),"é","e"),"ê","e"),"í","i"),"ó","o"),"õ","o"),"ô","o"),"ú","u"),"ç","c"),"Á","a"),"Ã","a"),"Â","a"),"É","e"),"Ê","e"),"Í","i"),"Ó","o"),"Õ","o"),"Ô","o"),"Ú","u"),"Ç","c"),"/MG","")," e ",", ")," ",""),".","")))&amp;",",
_xlpm.MATRIZ_FUNCAO, ","&amp;TRIM(UPPER(SUBSTITUTE(SUBSTITUTE(SUBSTITUTE(SUBSTITUTE(SUBSTITUTE(SUBSTITUTE(SUBSTITUTE(SUBSTITUTE(SUBSTITUTE(SUBSTITUTE(SUBSTITUTE(SUBSTITUTE(SUBSTITUTE(SUBSTITUTE(SUBSTITUTE(SUBSTITUTE(SUBSTITUTE(SUBSTITUTE(SUBSTITUTE(SUBSTITUTE(SUBSTITUTE(SUBSTITUTE(SUBSTITUTE(SUBSTITUTE(SUBSTITUTE(tabSindicatos[FUNÇÕES],"á","a"),"ã","a"),"â","a"),"é","e"),"ê","e"),"í","i"),"ó","o"),"õ","o"),"ô","o"),"ú","u"),"ç","c"),"Á","a"),"Ã","a"),"Â","a"),"É","e"),"Ê","e"),"Í","i"),"Ó","o"),"Õ","o"),"Ô","o"),"Ú","u"),"Ç","c")," e ",", ")," ",""),".","")))&amp;",",
IFERROR(_xlfn._xlws.FILTER(tabSindicatos[SINDICATOS],
(ISNUMBER(SEARCH(","&amp;TRIM(UPPER(SUBSTITUTE(tabPostos[[#This Row],[Comarca]]," ","")))&amp;",",_xlpm.MATRIZ_COMARCA,1)))*
(ISNUMBER(SEARCH(","&amp;TRIM(SUBSTITUTE(SUBSTITUTE(SUBSTITUTE(UPPER(tabPostos[[#This Row],[Função]])," E ",", ")," ",""),".",""))&amp;",",_xlpm.MATRIZ_FUNCAO,1)))
),"")
))</f>
        <v>Seethur</v>
      </c>
      <c r="E233" s="148" t="s">
        <v>9</v>
      </c>
      <c r="F233" s="148" t="s">
        <v>10</v>
      </c>
      <c r="G233" s="148">
        <f>1+1</f>
        <v>2</v>
      </c>
      <c r="H233" s="148">
        <v>0</v>
      </c>
      <c r="I233" s="216">
        <f>1596.28</f>
        <v>1596.28</v>
      </c>
      <c r="J233" s="247">
        <f>VLOOKUP(tabPostos[[#This Row],[CCT DA CATEGORIA]],'RELAÇÃO SINDICATOS'!A:N,11,0)</f>
        <v>45658</v>
      </c>
      <c r="K233" s="148" t="str">
        <f>VLOOKUP(tabPostos[[#This Row],[CCT DA CATEGORIA]],'RELAÇÃO SINDICATOS'!A:N,12,0)</f>
        <v>-</v>
      </c>
      <c r="L233" s="148" t="str">
        <f>VLOOKUP(tabPostos[[#This Row],[CCT DA CATEGORIA]],'RELAÇÃO SINDICATOS'!A:N,13,0)</f>
        <v>-</v>
      </c>
      <c r="M233" s="148" t="str">
        <f>VLOOKUP(tabPostos[[#This Row],[CCT DA CATEGORIA]],'RELAÇÃO SINDICATOS'!A:N,14,0)</f>
        <v>MG000493/2025</v>
      </c>
    </row>
    <row r="234" spans="1:13" x14ac:dyDescent="0.25">
      <c r="A234" s="148" t="str" cm="1">
        <f t="array" ref="A234">_xlfn.XLOOKUP(tabPostos[[#This Row],[Fonte de Recursos]]&amp;tabPostos[[#This Row],[Classificação]],tabLotacao[Lotacao]&amp;tabLotacao[Tipo],tabLotacao[Codigo Lote],"0")&amp;"."&amp;_xlfn.XLOOKUP(tabPostos[[#This Row],[Comarca]],tabComarca[COMARCA],tabComarca[Codigo Comarca],"000")&amp;"."&amp;_xlfn.XLOOKUP(tabPostos[[#This Row],[Função]],tabCargos[Cargo],tabCargos[Codigo Cargo],"00")</f>
        <v>2.692.03</v>
      </c>
      <c r="B234" s="200" t="s">
        <v>215</v>
      </c>
      <c r="C234" s="200" t="s">
        <v>1247</v>
      </c>
      <c r="D234" s="200" t="str" cm="1">
        <f t="array" ref="D234">IF(tabPostos[[#This Row],[Comarca]]="","",
_xlfn.LET(
_xlpm.MATRIZ_COMARCA, ","&amp;TRIM(UPPER(SUBSTITUTE(SUBSTITUTE(SUBSTITUTE(SUBSTITUTE(SUBSTITUTE(SUBSTITUTE(SUBSTITUTE(SUBSTITUTE(SUBSTITUTE(SUBSTITUTE(SUBSTITUTE(SUBSTITUTE(SUBSTITUTE(SUBSTITUTE(SUBSTITUTE(SUBSTITUTE(SUBSTITUTE(SUBSTITUTE(SUBSTITUTE(SUBSTITUTE(SUBSTITUTE(SUBSTITUTE(SUBSTITUTE(SUBSTITUTE(SUBSTITUTE(SUBSTITUTE(tabSindicatos[ABRANGÊNCIA],"á","a"),"ã","a"),"â","a"),"é","e"),"ê","e"),"í","i"),"ó","o"),"õ","o"),"ô","o"),"ú","u"),"ç","c"),"Á","a"),"Ã","a"),"Â","a"),"É","e"),"Ê","e"),"Í","i"),"Ó","o"),"Õ","o"),"Ô","o"),"Ú","u"),"Ç","c"),"/MG","")," e ",", ")," ",""),".","")))&amp;",",
_xlpm.MATRIZ_FUNCAO, ","&amp;TRIM(UPPER(SUBSTITUTE(SUBSTITUTE(SUBSTITUTE(SUBSTITUTE(SUBSTITUTE(SUBSTITUTE(SUBSTITUTE(SUBSTITUTE(SUBSTITUTE(SUBSTITUTE(SUBSTITUTE(SUBSTITUTE(SUBSTITUTE(SUBSTITUTE(SUBSTITUTE(SUBSTITUTE(SUBSTITUTE(SUBSTITUTE(SUBSTITUTE(SUBSTITUTE(SUBSTITUTE(SUBSTITUTE(SUBSTITUTE(SUBSTITUTE(SUBSTITUTE(tabSindicatos[FUNÇÕES],"á","a"),"ã","a"),"â","a"),"é","e"),"ê","e"),"í","i"),"ó","o"),"õ","o"),"ô","o"),"ú","u"),"ç","c"),"Á","a"),"Ã","a"),"Â","a"),"É","e"),"Ê","e"),"Í","i"),"Ó","o"),"Õ","o"),"Ô","o"),"Ú","u"),"Ç","c")," e ",", ")," ",""),".","")))&amp;",",
IFERROR(_xlfn._xlws.FILTER(tabSindicatos[SINDICATOS],
(ISNUMBER(SEARCH(","&amp;TRIM(UPPER(SUBSTITUTE(tabPostos[[#This Row],[Comarca]]," ","")))&amp;",",_xlpm.MATRIZ_COMARCA,1)))*
(ISNUMBER(SEARCH(","&amp;TRIM(SUBSTITUTE(SUBSTITUTE(SUBSTITUTE(UPPER(tabPostos[[#This Row],[Função]])," E ",", ")," ",""),".",""))&amp;",",_xlpm.MATRIZ_FUNCAO,1)))
),"")
))</f>
        <v>Regiao de Juiz de Fora</v>
      </c>
      <c r="E234" s="148" t="s">
        <v>9</v>
      </c>
      <c r="F234" s="148" t="s">
        <v>10</v>
      </c>
      <c r="G234" s="148">
        <v>1</v>
      </c>
      <c r="H234" s="148">
        <v>0</v>
      </c>
      <c r="I234" s="216">
        <f>544.18</f>
        <v>544.17999999999995</v>
      </c>
      <c r="J234" s="247">
        <f>VLOOKUP(tabPostos[[#This Row],[CCT DA CATEGORIA]],'RELAÇÃO SINDICATOS'!A:N,11,0)</f>
        <v>45658</v>
      </c>
      <c r="K234" s="148" t="str">
        <f>VLOOKUP(tabPostos[[#This Row],[CCT DA CATEGORIA]],'RELAÇÃO SINDICATOS'!A:N,12,0)</f>
        <v>-</v>
      </c>
      <c r="L234" s="148" t="str">
        <f>VLOOKUP(tabPostos[[#This Row],[CCT DA CATEGORIA]],'RELAÇÃO SINDICATOS'!A:N,13,0)</f>
        <v>-</v>
      </c>
      <c r="M234" s="148" t="str">
        <f>VLOOKUP(tabPostos[[#This Row],[CCT DA CATEGORIA]],'RELAÇÃO SINDICATOS'!A:N,14,0)</f>
        <v>MG000506/2025</v>
      </c>
    </row>
    <row r="235" spans="1:13" x14ac:dyDescent="0.25">
      <c r="A235" s="148" t="str" cm="1">
        <f t="array" ref="A235">_xlfn.XLOOKUP(tabPostos[[#This Row],[Fonte de Recursos]]&amp;tabPostos[[#This Row],[Classificação]],tabLotacao[Lotacao]&amp;tabLotacao[Tipo],tabLotacao[Codigo Lote],"0")&amp;"."&amp;_xlfn.XLOOKUP(tabPostos[[#This Row],[Comarca]],tabComarca[COMARCA],tabComarca[Codigo Comarca],"000")&amp;"."&amp;_xlfn.XLOOKUP(tabPostos[[#This Row],[Função]],tabCargos[Cargo],tabCargos[Codigo Cargo],"00")</f>
        <v>2.693.04</v>
      </c>
      <c r="B235" s="200" t="s">
        <v>216</v>
      </c>
      <c r="C235" s="200" t="s">
        <v>1244</v>
      </c>
      <c r="D235" s="200" t="str" cm="1">
        <f t="array" ref="D235">IF(tabPostos[[#This Row],[Comarca]]="","",
_xlfn.LET(
_xlpm.MATRIZ_COMARCA, ","&amp;TRIM(UPPER(SUBSTITUTE(SUBSTITUTE(SUBSTITUTE(SUBSTITUTE(SUBSTITUTE(SUBSTITUTE(SUBSTITUTE(SUBSTITUTE(SUBSTITUTE(SUBSTITUTE(SUBSTITUTE(SUBSTITUTE(SUBSTITUTE(SUBSTITUTE(SUBSTITUTE(SUBSTITUTE(SUBSTITUTE(SUBSTITUTE(SUBSTITUTE(SUBSTITUTE(SUBSTITUTE(SUBSTITUTE(SUBSTITUTE(SUBSTITUTE(SUBSTITUTE(SUBSTITUTE(tabSindicatos[ABRANGÊNCIA],"á","a"),"ã","a"),"â","a"),"é","e"),"ê","e"),"í","i"),"ó","o"),"õ","o"),"ô","o"),"ú","u"),"ç","c"),"Á","a"),"Ã","a"),"Â","a"),"É","e"),"Ê","e"),"Í","i"),"Ó","o"),"Õ","o"),"Ô","o"),"Ú","u"),"Ç","c"),"/MG","")," e ",", ")," ",""),".","")))&amp;",",
_xlpm.MATRIZ_FUNCAO, ","&amp;TRIM(UPPER(SUBSTITUTE(SUBSTITUTE(SUBSTITUTE(SUBSTITUTE(SUBSTITUTE(SUBSTITUTE(SUBSTITUTE(SUBSTITUTE(SUBSTITUTE(SUBSTITUTE(SUBSTITUTE(SUBSTITUTE(SUBSTITUTE(SUBSTITUTE(SUBSTITUTE(SUBSTITUTE(SUBSTITUTE(SUBSTITUTE(SUBSTITUTE(SUBSTITUTE(SUBSTITUTE(SUBSTITUTE(SUBSTITUTE(SUBSTITUTE(SUBSTITUTE(tabSindicatos[FUNÇÕES],"á","a"),"ã","a"),"â","a"),"é","e"),"ê","e"),"í","i"),"ó","o"),"õ","o"),"ô","o"),"ú","u"),"ç","c"),"Á","a"),"Ã","a"),"Â","a"),"É","e"),"Ê","e"),"Í","i"),"Ó","o"),"Õ","o"),"Ô","o"),"Ú","u"),"Ç","c")," e ",", ")," ",""),".","")))&amp;",",
IFERROR(_xlfn._xlws.FILTER(tabSindicatos[SINDICATOS],
(ISNUMBER(SEARCH(","&amp;TRIM(UPPER(SUBSTITUTE(tabPostos[[#This Row],[Comarca]]," ","")))&amp;",",_xlpm.MATRIZ_COMARCA,1)))*
(ISNUMBER(SEARCH(","&amp;TRIM(SUBSTITUTE(SUBSTITUTE(SUBSTITUTE(UPPER(tabPostos[[#This Row],[Função]])," E ",", ")," ",""),".",""))&amp;",",_xlpm.MATRIZ_FUNCAO,1)))
),"")
))</f>
        <v>Regiao de Sao Lourenco</v>
      </c>
      <c r="E235" s="148" t="s">
        <v>9</v>
      </c>
      <c r="F235" s="148" t="s">
        <v>10</v>
      </c>
      <c r="G235" s="148">
        <v>1</v>
      </c>
      <c r="H235" s="148">
        <v>0</v>
      </c>
      <c r="I235" s="216">
        <f>824.56</f>
        <v>824.56</v>
      </c>
      <c r="J235" s="247">
        <f>VLOOKUP(tabPostos[[#This Row],[CCT DA CATEGORIA]],'RELAÇÃO SINDICATOS'!A:N,11,0)</f>
        <v>45658</v>
      </c>
      <c r="K235" s="148" t="str">
        <f>VLOOKUP(tabPostos[[#This Row],[CCT DA CATEGORIA]],'RELAÇÃO SINDICATOS'!A:N,12,0)</f>
        <v>-</v>
      </c>
      <c r="L235" s="148" t="str">
        <f>VLOOKUP(tabPostos[[#This Row],[CCT DA CATEGORIA]],'RELAÇÃO SINDICATOS'!A:N,13,0)</f>
        <v>-</v>
      </c>
      <c r="M235" s="148" t="str">
        <f>VLOOKUP(tabPostos[[#This Row],[CCT DA CATEGORIA]],'RELAÇÃO SINDICATOS'!A:N,14,0)</f>
        <v>MG000594/2025</v>
      </c>
    </row>
    <row r="236" spans="1:13" x14ac:dyDescent="0.25">
      <c r="A236" s="148" t="str" cm="1">
        <f t="array" ref="A236">_xlfn.XLOOKUP(tabPostos[[#This Row],[Fonte de Recursos]]&amp;tabPostos[[#This Row],[Classificação]],tabLotacao[Lotacao]&amp;tabLotacao[Tipo],tabLotacao[Codigo Lote],"0")&amp;"."&amp;_xlfn.XLOOKUP(tabPostos[[#This Row],[Comarca]],tabComarca[COMARCA],tabComarca[Codigo Comarca],"000")&amp;"."&amp;_xlfn.XLOOKUP(tabPostos[[#This Row],[Função]],tabCargos[Cargo],tabCargos[Codigo Cargo],"00")</f>
        <v>2.693.06</v>
      </c>
      <c r="B236" s="200" t="s">
        <v>216</v>
      </c>
      <c r="C236" s="200" t="s">
        <v>1245</v>
      </c>
      <c r="D236" s="200" t="str" cm="1">
        <f t="array" ref="D236">IF(tabPostos[[#This Row],[Comarca]]="","",
_xlfn.LET(
_xlpm.MATRIZ_COMARCA, ","&amp;TRIM(UPPER(SUBSTITUTE(SUBSTITUTE(SUBSTITUTE(SUBSTITUTE(SUBSTITUTE(SUBSTITUTE(SUBSTITUTE(SUBSTITUTE(SUBSTITUTE(SUBSTITUTE(SUBSTITUTE(SUBSTITUTE(SUBSTITUTE(SUBSTITUTE(SUBSTITUTE(SUBSTITUTE(SUBSTITUTE(SUBSTITUTE(SUBSTITUTE(SUBSTITUTE(SUBSTITUTE(SUBSTITUTE(SUBSTITUTE(SUBSTITUTE(SUBSTITUTE(SUBSTITUTE(tabSindicatos[ABRANGÊNCIA],"á","a"),"ã","a"),"â","a"),"é","e"),"ê","e"),"í","i"),"ó","o"),"õ","o"),"ô","o"),"ú","u"),"ç","c"),"Á","a"),"Ã","a"),"Â","a"),"É","e"),"Ê","e"),"Í","i"),"Ó","o"),"Õ","o"),"Ô","o"),"Ú","u"),"Ç","c"),"/MG","")," e ",", ")," ",""),".","")))&amp;",",
_xlpm.MATRIZ_FUNCAO, ","&amp;TRIM(UPPER(SUBSTITUTE(SUBSTITUTE(SUBSTITUTE(SUBSTITUTE(SUBSTITUTE(SUBSTITUTE(SUBSTITUTE(SUBSTITUTE(SUBSTITUTE(SUBSTITUTE(SUBSTITUTE(SUBSTITUTE(SUBSTITUTE(SUBSTITUTE(SUBSTITUTE(SUBSTITUTE(SUBSTITUTE(SUBSTITUTE(SUBSTITUTE(SUBSTITUTE(SUBSTITUTE(SUBSTITUTE(SUBSTITUTE(SUBSTITUTE(SUBSTITUTE(tabSindicatos[FUNÇÕES],"á","a"),"ã","a"),"â","a"),"é","e"),"ê","e"),"í","i"),"ó","o"),"õ","o"),"ô","o"),"ú","u"),"ç","c"),"Á","a"),"Ã","a"),"Â","a"),"É","e"),"Ê","e"),"Í","i"),"Ó","o"),"Õ","o"),"Ô","o"),"Ú","u"),"Ç","c")," e ",", ")," ",""),".","")))&amp;",",
IFERROR(_xlfn._xlws.FILTER(tabSindicatos[SINDICATOS],
(ISNUMBER(SEARCH(","&amp;TRIM(UPPER(SUBSTITUTE(tabPostos[[#This Row],[Comarca]]," ","")))&amp;",",_xlpm.MATRIZ_COMARCA,1)))*
(ISNUMBER(SEARCH(","&amp;TRIM(SUBSTITUTE(SUBSTITUTE(SUBSTITUTE(UPPER(tabPostos[[#This Row],[Função]])," E ",", ")," ",""),".",""))&amp;",",_xlpm.MATRIZ_FUNCAO,1)))
),"")
))</f>
        <v>Regiao de Sao Lourenco</v>
      </c>
      <c r="E236" s="148" t="s">
        <v>9</v>
      </c>
      <c r="F236" s="148" t="s">
        <v>10</v>
      </c>
      <c r="G236" s="148">
        <v>1</v>
      </c>
      <c r="H236" s="148">
        <v>0</v>
      </c>
      <c r="I236" s="216">
        <f>1596.28</f>
        <v>1596.28</v>
      </c>
      <c r="J236" s="247">
        <f>VLOOKUP(tabPostos[[#This Row],[CCT DA CATEGORIA]],'RELAÇÃO SINDICATOS'!A:N,11,0)</f>
        <v>45658</v>
      </c>
      <c r="K236" s="148" t="str">
        <f>VLOOKUP(tabPostos[[#This Row],[CCT DA CATEGORIA]],'RELAÇÃO SINDICATOS'!A:N,12,0)</f>
        <v>-</v>
      </c>
      <c r="L236" s="148" t="str">
        <f>VLOOKUP(tabPostos[[#This Row],[CCT DA CATEGORIA]],'RELAÇÃO SINDICATOS'!A:N,13,0)</f>
        <v>-</v>
      </c>
      <c r="M236" s="148" t="str">
        <f>VLOOKUP(tabPostos[[#This Row],[CCT DA CATEGORIA]],'RELAÇÃO SINDICATOS'!A:N,14,0)</f>
        <v>MG000594/2025</v>
      </c>
    </row>
    <row r="237" spans="1:13" x14ac:dyDescent="0.25">
      <c r="A237" s="148" t="str" cm="1">
        <f t="array" ref="A237">_xlfn.XLOOKUP(tabPostos[[#This Row],[Fonte de Recursos]]&amp;tabPostos[[#This Row],[Classificação]],tabLotacao[Lotacao]&amp;tabLotacao[Tipo],tabLotacao[Codigo Lote],"0")&amp;"."&amp;_xlfn.XLOOKUP(tabPostos[[#This Row],[Comarca]],tabComarca[COMARCA],tabComarca[Codigo Comarca],"000")&amp;"."&amp;_xlfn.XLOOKUP(tabPostos[[#This Row],[Função]],tabCargos[Cargo],tabCargos[Codigo Cargo],"00")</f>
        <v>2.694.06</v>
      </c>
      <c r="B237" s="200" t="s">
        <v>217</v>
      </c>
      <c r="C237" s="200" t="s">
        <v>1245</v>
      </c>
      <c r="D237" s="200" t="str" cm="1">
        <f t="array" ref="D237">IF(tabPostos[[#This Row],[Comarca]]="","",
_xlfn.LET(
_xlpm.MATRIZ_COMARCA, ","&amp;TRIM(UPPER(SUBSTITUTE(SUBSTITUTE(SUBSTITUTE(SUBSTITUTE(SUBSTITUTE(SUBSTITUTE(SUBSTITUTE(SUBSTITUTE(SUBSTITUTE(SUBSTITUTE(SUBSTITUTE(SUBSTITUTE(SUBSTITUTE(SUBSTITUTE(SUBSTITUTE(SUBSTITUTE(SUBSTITUTE(SUBSTITUTE(SUBSTITUTE(SUBSTITUTE(SUBSTITUTE(SUBSTITUTE(SUBSTITUTE(SUBSTITUTE(SUBSTITUTE(SUBSTITUTE(tabSindicatos[ABRANGÊNCIA],"á","a"),"ã","a"),"â","a"),"é","e"),"ê","e"),"í","i"),"ó","o"),"õ","o"),"ô","o"),"ú","u"),"ç","c"),"Á","a"),"Ã","a"),"Â","a"),"É","e"),"Ê","e"),"Í","i"),"Ó","o"),"Õ","o"),"Ô","o"),"Ú","u"),"Ç","c"),"/MG","")," e ",", ")," ",""),".","")))&amp;",",
_xlpm.MATRIZ_FUNCAO, ","&amp;TRIM(UPPER(SUBSTITUTE(SUBSTITUTE(SUBSTITUTE(SUBSTITUTE(SUBSTITUTE(SUBSTITUTE(SUBSTITUTE(SUBSTITUTE(SUBSTITUTE(SUBSTITUTE(SUBSTITUTE(SUBSTITUTE(SUBSTITUTE(SUBSTITUTE(SUBSTITUTE(SUBSTITUTE(SUBSTITUTE(SUBSTITUTE(SUBSTITUTE(SUBSTITUTE(SUBSTITUTE(SUBSTITUTE(SUBSTITUTE(SUBSTITUTE(SUBSTITUTE(tabSindicatos[FUNÇÕES],"á","a"),"ã","a"),"â","a"),"é","e"),"ê","e"),"í","i"),"ó","o"),"õ","o"),"ô","o"),"ú","u"),"ç","c"),"Á","a"),"Ã","a"),"Â","a"),"É","e"),"Ê","e"),"Í","i"),"Ó","o"),"Õ","o"),"Ô","o"),"Ú","u"),"Ç","c")," e ",", ")," ",""),".","")))&amp;",",
IFERROR(_xlfn._xlws.FILTER(tabSindicatos[SINDICATOS],
(ISNUMBER(SEARCH(","&amp;TRIM(UPPER(SUBSTITUTE(tabPostos[[#This Row],[Comarca]]," ","")))&amp;",",_xlpm.MATRIZ_COMARCA,1)))*
(ISNUMBER(SEARCH(","&amp;TRIM(SUBSTITUTE(SUBSTITUTE(SUBSTITUTE(UPPER(tabPostos[[#This Row],[Função]])," E ",", ")," ",""),".",""))&amp;",",_xlpm.MATRIZ_FUNCAO,1)))
),"")
))</f>
        <v>Regiao de Sao Lourenco</v>
      </c>
      <c r="E237" s="148" t="s">
        <v>9</v>
      </c>
      <c r="F237" s="148" t="s">
        <v>10</v>
      </c>
      <c r="G237" s="148">
        <v>1</v>
      </c>
      <c r="H237" s="148">
        <v>0</v>
      </c>
      <c r="I237" s="216">
        <f>1596.28</f>
        <v>1596.28</v>
      </c>
      <c r="J237" s="247">
        <f>VLOOKUP(tabPostos[[#This Row],[CCT DA CATEGORIA]],'RELAÇÃO SINDICATOS'!A:N,11,0)</f>
        <v>45658</v>
      </c>
      <c r="K237" s="148" t="str">
        <f>VLOOKUP(tabPostos[[#This Row],[CCT DA CATEGORIA]],'RELAÇÃO SINDICATOS'!A:N,12,0)</f>
        <v>-</v>
      </c>
      <c r="L237" s="148" t="str">
        <f>VLOOKUP(tabPostos[[#This Row],[CCT DA CATEGORIA]],'RELAÇÃO SINDICATOS'!A:N,13,0)</f>
        <v>-</v>
      </c>
      <c r="M237" s="148" t="str">
        <f>VLOOKUP(tabPostos[[#This Row],[CCT DA CATEGORIA]],'RELAÇÃO SINDICATOS'!A:N,14,0)</f>
        <v>MG000594/2025</v>
      </c>
    </row>
    <row r="238" spans="1:13" x14ac:dyDescent="0.25">
      <c r="A238" s="148" t="str" cm="1">
        <f t="array" ref="A238">_xlfn.XLOOKUP(tabPostos[[#This Row],[Fonte de Recursos]]&amp;tabPostos[[#This Row],[Classificação]],tabLotacao[Lotacao]&amp;tabLotacao[Tipo],tabLotacao[Codigo Lote],"0")&amp;"."&amp;_xlfn.XLOOKUP(tabPostos[[#This Row],[Comarca]],tabComarca[COMARCA],tabComarca[Codigo Comarca],"000")&amp;"."&amp;_xlfn.XLOOKUP(tabPostos[[#This Row],[Função]],tabCargos[Cargo],tabCargos[Codigo Cargo],"00")</f>
        <v>2.696.04</v>
      </c>
      <c r="B238" s="200" t="s">
        <v>218</v>
      </c>
      <c r="C238" s="200" t="s">
        <v>1244</v>
      </c>
      <c r="D238" s="200" t="str" cm="1">
        <f t="array" ref="D238">IF(tabPostos[[#This Row],[Comarca]]="","",
_xlfn.LET(
_xlpm.MATRIZ_COMARCA, ","&amp;TRIM(UPPER(SUBSTITUTE(SUBSTITUTE(SUBSTITUTE(SUBSTITUTE(SUBSTITUTE(SUBSTITUTE(SUBSTITUTE(SUBSTITUTE(SUBSTITUTE(SUBSTITUTE(SUBSTITUTE(SUBSTITUTE(SUBSTITUTE(SUBSTITUTE(SUBSTITUTE(SUBSTITUTE(SUBSTITUTE(SUBSTITUTE(SUBSTITUTE(SUBSTITUTE(SUBSTITUTE(SUBSTITUTE(SUBSTITUTE(SUBSTITUTE(SUBSTITUTE(SUBSTITUTE(tabSindicatos[ABRANGÊNCIA],"á","a"),"ã","a"),"â","a"),"é","e"),"ê","e"),"í","i"),"ó","o"),"õ","o"),"ô","o"),"ú","u"),"ç","c"),"Á","a"),"Ã","a"),"Â","a"),"É","e"),"Ê","e"),"Í","i"),"Ó","o"),"Õ","o"),"Ô","o"),"Ú","u"),"Ç","c"),"/MG","")," e ",", ")," ",""),".","")))&amp;",",
_xlpm.MATRIZ_FUNCAO, ","&amp;TRIM(UPPER(SUBSTITUTE(SUBSTITUTE(SUBSTITUTE(SUBSTITUTE(SUBSTITUTE(SUBSTITUTE(SUBSTITUTE(SUBSTITUTE(SUBSTITUTE(SUBSTITUTE(SUBSTITUTE(SUBSTITUTE(SUBSTITUTE(SUBSTITUTE(SUBSTITUTE(SUBSTITUTE(SUBSTITUTE(SUBSTITUTE(SUBSTITUTE(SUBSTITUTE(SUBSTITUTE(SUBSTITUTE(SUBSTITUTE(SUBSTITUTE(SUBSTITUTE(tabSindicatos[FUNÇÕES],"á","a"),"ã","a"),"â","a"),"é","e"),"ê","e"),"í","i"),"ó","o"),"õ","o"),"ô","o"),"ú","u"),"ç","c"),"Á","a"),"Ã","a"),"Â","a"),"É","e"),"Ê","e"),"Í","i"),"Ó","o"),"Õ","o"),"Ô","o"),"Ú","u"),"Ç","c")," e ",", ")," ",""),".","")))&amp;",",
IFERROR(_xlfn._xlws.FILTER(tabSindicatos[SINDICATOS],
(ISNUMBER(SEARCH(","&amp;TRIM(UPPER(SUBSTITUTE(tabPostos[[#This Row],[Comarca]]," ","")))&amp;",",_xlpm.MATRIZ_COMARCA,1)))*
(ISNUMBER(SEARCH(","&amp;TRIM(SUBSTITUTE(SUBSTITUTE(SUBSTITUTE(UPPER(tabPostos[[#This Row],[Função]])," E ",", ")," ",""),".",""))&amp;",",_xlpm.MATRIZ_FUNCAO,1)))
),"")
))</f>
        <v>Alto Paranaiba</v>
      </c>
      <c r="E238" s="148" t="s">
        <v>9</v>
      </c>
      <c r="F238" s="148" t="s">
        <v>10</v>
      </c>
      <c r="G238" s="148">
        <v>1</v>
      </c>
      <c r="H238" s="148">
        <v>0</v>
      </c>
      <c r="I238" s="216">
        <f>798.14</f>
        <v>798.14</v>
      </c>
      <c r="J238" s="247">
        <f>VLOOKUP(tabPostos[[#This Row],[CCT DA CATEGORIA]],'RELAÇÃO SINDICATOS'!A:N,11,0)</f>
        <v>45658</v>
      </c>
      <c r="K238" s="148" t="str">
        <f>VLOOKUP(tabPostos[[#This Row],[CCT DA CATEGORIA]],'RELAÇÃO SINDICATOS'!A:N,12,0)</f>
        <v>-</v>
      </c>
      <c r="L238" s="148" t="str">
        <f>VLOOKUP(tabPostos[[#This Row],[CCT DA CATEGORIA]],'RELAÇÃO SINDICATOS'!A:N,13,0)</f>
        <v>-</v>
      </c>
      <c r="M238" s="148" t="str">
        <f>VLOOKUP(tabPostos[[#This Row],[CCT DA CATEGORIA]],'RELAÇÃO SINDICATOS'!A:N,14,0)</f>
        <v>MG001106/2025</v>
      </c>
    </row>
    <row r="239" spans="1:13" x14ac:dyDescent="0.25">
      <c r="A239" s="148" t="str" cm="1">
        <f t="array" ref="A239">_xlfn.XLOOKUP(tabPostos[[#This Row],[Fonte de Recursos]]&amp;tabPostos[[#This Row],[Classificação]],tabLotacao[Lotacao]&amp;tabLotacao[Tipo],tabLotacao[Codigo Lote],"0")&amp;"."&amp;_xlfn.XLOOKUP(tabPostos[[#This Row],[Comarca]],tabComarca[COMARCA],tabComarca[Codigo Comarca],"000")&amp;"."&amp;_xlfn.XLOOKUP(tabPostos[[#This Row],[Função]],tabCargos[Cargo],tabCargos[Codigo Cargo],"00")</f>
        <v>2.696.06</v>
      </c>
      <c r="B239" s="200" t="s">
        <v>218</v>
      </c>
      <c r="C239" s="200" t="s">
        <v>1245</v>
      </c>
      <c r="D239" s="200" t="str" cm="1">
        <f t="array" ref="D239">IF(tabPostos[[#This Row],[Comarca]]="","",
_xlfn.LET(
_xlpm.MATRIZ_COMARCA, ","&amp;TRIM(UPPER(SUBSTITUTE(SUBSTITUTE(SUBSTITUTE(SUBSTITUTE(SUBSTITUTE(SUBSTITUTE(SUBSTITUTE(SUBSTITUTE(SUBSTITUTE(SUBSTITUTE(SUBSTITUTE(SUBSTITUTE(SUBSTITUTE(SUBSTITUTE(SUBSTITUTE(SUBSTITUTE(SUBSTITUTE(SUBSTITUTE(SUBSTITUTE(SUBSTITUTE(SUBSTITUTE(SUBSTITUTE(SUBSTITUTE(SUBSTITUTE(SUBSTITUTE(SUBSTITUTE(tabSindicatos[ABRANGÊNCIA],"á","a"),"ã","a"),"â","a"),"é","e"),"ê","e"),"í","i"),"ó","o"),"õ","o"),"ô","o"),"ú","u"),"ç","c"),"Á","a"),"Ã","a"),"Â","a"),"É","e"),"Ê","e"),"Í","i"),"Ó","o"),"Õ","o"),"Ô","o"),"Ú","u"),"Ç","c"),"/MG","")," e ",", ")," ",""),".","")))&amp;",",
_xlpm.MATRIZ_FUNCAO, ","&amp;TRIM(UPPER(SUBSTITUTE(SUBSTITUTE(SUBSTITUTE(SUBSTITUTE(SUBSTITUTE(SUBSTITUTE(SUBSTITUTE(SUBSTITUTE(SUBSTITUTE(SUBSTITUTE(SUBSTITUTE(SUBSTITUTE(SUBSTITUTE(SUBSTITUTE(SUBSTITUTE(SUBSTITUTE(SUBSTITUTE(SUBSTITUTE(SUBSTITUTE(SUBSTITUTE(SUBSTITUTE(SUBSTITUTE(SUBSTITUTE(SUBSTITUTE(SUBSTITUTE(tabSindicatos[FUNÇÕES],"á","a"),"ã","a"),"â","a"),"é","e"),"ê","e"),"í","i"),"ó","o"),"õ","o"),"ô","o"),"ú","u"),"ç","c"),"Á","a"),"Ã","a"),"Â","a"),"É","e"),"Ê","e"),"Í","i"),"Ó","o"),"Õ","o"),"Ô","o"),"Ú","u"),"Ç","c")," e ",", ")," ",""),".","")))&amp;",",
IFERROR(_xlfn._xlws.FILTER(tabSindicatos[SINDICATOS],
(ISNUMBER(SEARCH(","&amp;TRIM(UPPER(SUBSTITUTE(tabPostos[[#This Row],[Comarca]]," ","")))&amp;",",_xlpm.MATRIZ_COMARCA,1)))*
(ISNUMBER(SEARCH(","&amp;TRIM(SUBSTITUTE(SUBSTITUTE(SUBSTITUTE(UPPER(tabPostos[[#This Row],[Função]])," E ",", ")," ",""),".",""))&amp;",",_xlpm.MATRIZ_FUNCAO,1)))
),"")
))</f>
        <v>Alto Paranaiba</v>
      </c>
      <c r="E239" s="148" t="s">
        <v>9</v>
      </c>
      <c r="F239" s="148" t="s">
        <v>10</v>
      </c>
      <c r="G239" s="148">
        <v>1</v>
      </c>
      <c r="H239" s="148">
        <v>0</v>
      </c>
      <c r="I239" s="216">
        <f>1596.28</f>
        <v>1596.28</v>
      </c>
      <c r="J239" s="247">
        <f>VLOOKUP(tabPostos[[#This Row],[CCT DA CATEGORIA]],'RELAÇÃO SINDICATOS'!A:N,11,0)</f>
        <v>45658</v>
      </c>
      <c r="K239" s="148" t="str">
        <f>VLOOKUP(tabPostos[[#This Row],[CCT DA CATEGORIA]],'RELAÇÃO SINDICATOS'!A:N,12,0)</f>
        <v>-</v>
      </c>
      <c r="L239" s="148" t="str">
        <f>VLOOKUP(tabPostos[[#This Row],[CCT DA CATEGORIA]],'RELAÇÃO SINDICATOS'!A:N,13,0)</f>
        <v>-</v>
      </c>
      <c r="M239" s="148" t="str">
        <f>VLOOKUP(tabPostos[[#This Row],[CCT DA CATEGORIA]],'RELAÇÃO SINDICATOS'!A:N,14,0)</f>
        <v>MG001106/2025</v>
      </c>
    </row>
    <row r="240" spans="1:13" x14ac:dyDescent="0.25">
      <c r="A240" s="148" t="str" cm="1">
        <f t="array" ref="A240">_xlfn.XLOOKUP(tabPostos[[#This Row],[Fonte de Recursos]]&amp;tabPostos[[#This Row],[Classificação]],tabLotacao[Lotacao]&amp;tabLotacao[Tipo],tabLotacao[Codigo Lote],"0")&amp;"."&amp;_xlfn.XLOOKUP(tabPostos[[#This Row],[Comarca]],tabComarca[COMARCA],tabComarca[Codigo Comarca],"000")&amp;"."&amp;_xlfn.XLOOKUP(tabPostos[[#This Row],[Função]],tabCargos[Cargo],tabCargos[Codigo Cargo],"00")</f>
        <v>2.697.04</v>
      </c>
      <c r="B240" s="200" t="s">
        <v>219</v>
      </c>
      <c r="C240" s="200" t="s">
        <v>1244</v>
      </c>
      <c r="D240" s="200" t="str" cm="1">
        <f t="array" ref="D240">IF(tabPostos[[#This Row],[Comarca]]="","",
_xlfn.LET(
_xlpm.MATRIZ_COMARCA, ","&amp;TRIM(UPPER(SUBSTITUTE(SUBSTITUTE(SUBSTITUTE(SUBSTITUTE(SUBSTITUTE(SUBSTITUTE(SUBSTITUTE(SUBSTITUTE(SUBSTITUTE(SUBSTITUTE(SUBSTITUTE(SUBSTITUTE(SUBSTITUTE(SUBSTITUTE(SUBSTITUTE(SUBSTITUTE(SUBSTITUTE(SUBSTITUTE(SUBSTITUTE(SUBSTITUTE(SUBSTITUTE(SUBSTITUTE(SUBSTITUTE(SUBSTITUTE(SUBSTITUTE(SUBSTITUTE(tabSindicatos[ABRANGÊNCIA],"á","a"),"ã","a"),"â","a"),"é","e"),"ê","e"),"í","i"),"ó","o"),"õ","o"),"ô","o"),"ú","u"),"ç","c"),"Á","a"),"Ã","a"),"Â","a"),"É","e"),"Ê","e"),"Í","i"),"Ó","o"),"Õ","o"),"Ô","o"),"Ú","u"),"Ç","c"),"/MG","")," e ",", ")," ",""),".","")))&amp;",",
_xlpm.MATRIZ_FUNCAO, ","&amp;TRIM(UPPER(SUBSTITUTE(SUBSTITUTE(SUBSTITUTE(SUBSTITUTE(SUBSTITUTE(SUBSTITUTE(SUBSTITUTE(SUBSTITUTE(SUBSTITUTE(SUBSTITUTE(SUBSTITUTE(SUBSTITUTE(SUBSTITUTE(SUBSTITUTE(SUBSTITUTE(SUBSTITUTE(SUBSTITUTE(SUBSTITUTE(SUBSTITUTE(SUBSTITUTE(SUBSTITUTE(SUBSTITUTE(SUBSTITUTE(SUBSTITUTE(SUBSTITUTE(tabSindicatos[FUNÇÕES],"á","a"),"ã","a"),"â","a"),"é","e"),"ê","e"),"í","i"),"ó","o"),"õ","o"),"ô","o"),"ú","u"),"ç","c"),"Á","a"),"Ã","a"),"Â","a"),"É","e"),"Ê","e"),"Í","i"),"Ó","o"),"Õ","o"),"Ô","o"),"Ú","u"),"Ç","c")," e ",", ")," ",""),".","")))&amp;",",
IFERROR(_xlfn._xlws.FILTER(tabSindicatos[SINDICATOS],
(ISNUMBER(SEARCH(","&amp;TRIM(UPPER(SUBSTITUTE(tabPostos[[#This Row],[Comarca]]," ","")))&amp;",",_xlpm.MATRIZ_COMARCA,1)))*
(ISNUMBER(SEARCH(","&amp;TRIM(SUBSTITUTE(SUBSTITUTE(SUBSTITUTE(UPPER(tabPostos[[#This Row],[Função]])," E ",", ")," ",""),".",""))&amp;",",_xlpm.MATRIZ_FUNCAO,1)))
),"")
))</f>
        <v>Fethemg Interior</v>
      </c>
      <c r="E240" s="148" t="s">
        <v>9</v>
      </c>
      <c r="F240" s="148" t="s">
        <v>10</v>
      </c>
      <c r="G240" s="148">
        <v>1</v>
      </c>
      <c r="H240" s="148">
        <v>0</v>
      </c>
      <c r="I240" s="216">
        <f>798.14</f>
        <v>798.14</v>
      </c>
      <c r="J240" s="247">
        <f>VLOOKUP(tabPostos[[#This Row],[CCT DA CATEGORIA]],'RELAÇÃO SINDICATOS'!A:N,11,0)</f>
        <v>45658</v>
      </c>
      <c r="K240" s="148" t="str">
        <f>VLOOKUP(tabPostos[[#This Row],[CCT DA CATEGORIA]],'RELAÇÃO SINDICATOS'!A:N,12,0)</f>
        <v>-</v>
      </c>
      <c r="L240" s="148" t="str">
        <f>VLOOKUP(tabPostos[[#This Row],[CCT DA CATEGORIA]],'RELAÇÃO SINDICATOS'!A:N,13,0)</f>
        <v>-</v>
      </c>
      <c r="M240" s="148" t="str">
        <f>VLOOKUP(tabPostos[[#This Row],[CCT DA CATEGORIA]],'RELAÇÃO SINDICATOS'!A:N,14,0)</f>
        <v>MG004482/2024</v>
      </c>
    </row>
    <row r="241" spans="1:13" x14ac:dyDescent="0.25">
      <c r="A241" s="148" t="str" cm="1">
        <f t="array" ref="A241">_xlfn.XLOOKUP(tabPostos[[#This Row],[Fonte de Recursos]]&amp;tabPostos[[#This Row],[Classificação]],tabLotacao[Lotacao]&amp;tabLotacao[Tipo],tabLotacao[Codigo Lote],"0")&amp;"."&amp;_xlfn.XLOOKUP(tabPostos[[#This Row],[Comarca]],tabComarca[COMARCA],tabComarca[Codigo Comarca],"000")&amp;"."&amp;_xlfn.XLOOKUP(tabPostos[[#This Row],[Função]],tabCargos[Cargo],tabCargos[Codigo Cargo],"00")</f>
        <v>2.699.03</v>
      </c>
      <c r="B241" s="200" t="s">
        <v>220</v>
      </c>
      <c r="C241" s="200" t="s">
        <v>1247</v>
      </c>
      <c r="D241" s="200" t="str" cm="1">
        <f t="array" ref="D241">IF(tabPostos[[#This Row],[Comarca]]="","",
_xlfn.LET(
_xlpm.MATRIZ_COMARCA, ","&amp;TRIM(UPPER(SUBSTITUTE(SUBSTITUTE(SUBSTITUTE(SUBSTITUTE(SUBSTITUTE(SUBSTITUTE(SUBSTITUTE(SUBSTITUTE(SUBSTITUTE(SUBSTITUTE(SUBSTITUTE(SUBSTITUTE(SUBSTITUTE(SUBSTITUTE(SUBSTITUTE(SUBSTITUTE(SUBSTITUTE(SUBSTITUTE(SUBSTITUTE(SUBSTITUTE(SUBSTITUTE(SUBSTITUTE(SUBSTITUTE(SUBSTITUTE(SUBSTITUTE(SUBSTITUTE(tabSindicatos[ABRANGÊNCIA],"á","a"),"ã","a"),"â","a"),"é","e"),"ê","e"),"í","i"),"ó","o"),"õ","o"),"ô","o"),"ú","u"),"ç","c"),"Á","a"),"Ã","a"),"Â","a"),"É","e"),"Ê","e"),"Í","i"),"Ó","o"),"Õ","o"),"Ô","o"),"Ú","u"),"Ç","c"),"/MG","")," e ",", ")," ",""),".","")))&amp;",",
_xlpm.MATRIZ_FUNCAO, ","&amp;TRIM(UPPER(SUBSTITUTE(SUBSTITUTE(SUBSTITUTE(SUBSTITUTE(SUBSTITUTE(SUBSTITUTE(SUBSTITUTE(SUBSTITUTE(SUBSTITUTE(SUBSTITUTE(SUBSTITUTE(SUBSTITUTE(SUBSTITUTE(SUBSTITUTE(SUBSTITUTE(SUBSTITUTE(SUBSTITUTE(SUBSTITUTE(SUBSTITUTE(SUBSTITUTE(SUBSTITUTE(SUBSTITUTE(SUBSTITUTE(SUBSTITUTE(SUBSTITUTE(tabSindicatos[FUNÇÕES],"á","a"),"ã","a"),"â","a"),"é","e"),"ê","e"),"í","i"),"ó","o"),"õ","o"),"ô","o"),"ú","u"),"ç","c"),"Á","a"),"Ã","a"),"Â","a"),"É","e"),"Ê","e"),"Í","i"),"Ó","o"),"Õ","o"),"Ô","o"),"Ú","u"),"Ç","c")," e ",", ")," ",""),".","")))&amp;",",
IFERROR(_xlfn._xlws.FILTER(tabSindicatos[SINDICATOS],
(ISNUMBER(SEARCH(","&amp;TRIM(UPPER(SUBSTITUTE(tabPostos[[#This Row],[Comarca]]," ","")))&amp;",",_xlpm.MATRIZ_COMARCA,1)))*
(ISNUMBER(SEARCH(","&amp;TRIM(SUBSTITUTE(SUBSTITUTE(SUBSTITUTE(UPPER(tabPostos[[#This Row],[Função]])," E ",", ")," ",""),".",""))&amp;",",_xlpm.MATRIZ_FUNCAO,1)))
),"")
))</f>
        <v>Cataguases</v>
      </c>
      <c r="E241" s="148" t="s">
        <v>9</v>
      </c>
      <c r="F241" s="148" t="s">
        <v>10</v>
      </c>
      <c r="G241" s="148">
        <v>1</v>
      </c>
      <c r="H241" s="148">
        <v>0</v>
      </c>
      <c r="I241" s="216">
        <f>544.18</f>
        <v>544.17999999999995</v>
      </c>
      <c r="J241" s="247">
        <f>VLOOKUP(tabPostos[[#This Row],[CCT DA CATEGORIA]],'RELAÇÃO SINDICATOS'!A:N,11,0)</f>
        <v>45658</v>
      </c>
      <c r="K241" s="148" t="str">
        <f>VLOOKUP(tabPostos[[#This Row],[CCT DA CATEGORIA]],'RELAÇÃO SINDICATOS'!A:N,12,0)</f>
        <v>-</v>
      </c>
      <c r="L241" s="148" t="str">
        <f>VLOOKUP(tabPostos[[#This Row],[CCT DA CATEGORIA]],'RELAÇÃO SINDICATOS'!A:N,13,0)</f>
        <v>-</v>
      </c>
      <c r="M241" s="148" t="str">
        <f>VLOOKUP(tabPostos[[#This Row],[CCT DA CATEGORIA]],'RELAÇÃO SINDICATOS'!A:N,14,0)</f>
        <v>MG000299/2025</v>
      </c>
    </row>
    <row r="242" spans="1:13" x14ac:dyDescent="0.25">
      <c r="A242" s="148" t="str" cm="1">
        <f t="array" ref="A242">_xlfn.XLOOKUP(tabPostos[[#This Row],[Fonte de Recursos]]&amp;tabPostos[[#This Row],[Classificação]],tabLotacao[Lotacao]&amp;tabLotacao[Tipo],tabLotacao[Codigo Lote],"0")&amp;"."&amp;_xlfn.XLOOKUP(tabPostos[[#This Row],[Comarca]],tabComarca[COMARCA],tabComarca[Codigo Comarca],"000")&amp;"."&amp;_xlfn.XLOOKUP(tabPostos[[#This Row],[Função]],tabCargos[Cargo],tabCargos[Codigo Cargo],"00")</f>
        <v>2.699.06</v>
      </c>
      <c r="B242" s="200" t="s">
        <v>220</v>
      </c>
      <c r="C242" s="200" t="s">
        <v>1245</v>
      </c>
      <c r="D242" s="200" t="str" cm="1">
        <f t="array" ref="D242">IF(tabPostos[[#This Row],[Comarca]]="","",
_xlfn.LET(
_xlpm.MATRIZ_COMARCA, ","&amp;TRIM(UPPER(SUBSTITUTE(SUBSTITUTE(SUBSTITUTE(SUBSTITUTE(SUBSTITUTE(SUBSTITUTE(SUBSTITUTE(SUBSTITUTE(SUBSTITUTE(SUBSTITUTE(SUBSTITUTE(SUBSTITUTE(SUBSTITUTE(SUBSTITUTE(SUBSTITUTE(SUBSTITUTE(SUBSTITUTE(SUBSTITUTE(SUBSTITUTE(SUBSTITUTE(SUBSTITUTE(SUBSTITUTE(SUBSTITUTE(SUBSTITUTE(SUBSTITUTE(SUBSTITUTE(tabSindicatos[ABRANGÊNCIA],"á","a"),"ã","a"),"â","a"),"é","e"),"ê","e"),"í","i"),"ó","o"),"õ","o"),"ô","o"),"ú","u"),"ç","c"),"Á","a"),"Ã","a"),"Â","a"),"É","e"),"Ê","e"),"Í","i"),"Ó","o"),"Õ","o"),"Ô","o"),"Ú","u"),"Ç","c"),"/MG","")," e ",", ")," ",""),".","")))&amp;",",
_xlpm.MATRIZ_FUNCAO, ","&amp;TRIM(UPPER(SUBSTITUTE(SUBSTITUTE(SUBSTITUTE(SUBSTITUTE(SUBSTITUTE(SUBSTITUTE(SUBSTITUTE(SUBSTITUTE(SUBSTITUTE(SUBSTITUTE(SUBSTITUTE(SUBSTITUTE(SUBSTITUTE(SUBSTITUTE(SUBSTITUTE(SUBSTITUTE(SUBSTITUTE(SUBSTITUTE(SUBSTITUTE(SUBSTITUTE(SUBSTITUTE(SUBSTITUTE(SUBSTITUTE(SUBSTITUTE(SUBSTITUTE(tabSindicatos[FUNÇÕES],"á","a"),"ã","a"),"â","a"),"é","e"),"ê","e"),"í","i"),"ó","o"),"õ","o"),"ô","o"),"ú","u"),"ç","c"),"Á","a"),"Ã","a"),"Â","a"),"É","e"),"Ê","e"),"Í","i"),"Ó","o"),"Õ","o"),"Ô","o"),"Ú","u"),"Ç","c")," e ",", ")," ",""),".","")))&amp;",",
IFERROR(_xlfn._xlws.FILTER(tabSindicatos[SINDICATOS],
(ISNUMBER(SEARCH(","&amp;TRIM(UPPER(SUBSTITUTE(tabPostos[[#This Row],[Comarca]]," ","")))&amp;",",_xlpm.MATRIZ_COMARCA,1)))*
(ISNUMBER(SEARCH(","&amp;TRIM(SUBSTITUTE(SUBSTITUTE(SUBSTITUTE(UPPER(tabPostos[[#This Row],[Função]])," E ",", ")," ",""),".",""))&amp;",",_xlpm.MATRIZ_FUNCAO,1)))
),"")
))</f>
        <v>Cataguases</v>
      </c>
      <c r="E242" s="148" t="s">
        <v>9</v>
      </c>
      <c r="F242" s="148" t="s">
        <v>10</v>
      </c>
      <c r="G242" s="148">
        <v>1</v>
      </c>
      <c r="H242" s="148">
        <v>0</v>
      </c>
      <c r="I242" s="216">
        <f>1596.28</f>
        <v>1596.28</v>
      </c>
      <c r="J242" s="247">
        <f>VLOOKUP(tabPostos[[#This Row],[CCT DA CATEGORIA]],'RELAÇÃO SINDICATOS'!A:N,11,0)</f>
        <v>45658</v>
      </c>
      <c r="K242" s="148" t="str">
        <f>VLOOKUP(tabPostos[[#This Row],[CCT DA CATEGORIA]],'RELAÇÃO SINDICATOS'!A:N,12,0)</f>
        <v>-</v>
      </c>
      <c r="L242" s="148" t="str">
        <f>VLOOKUP(tabPostos[[#This Row],[CCT DA CATEGORIA]],'RELAÇÃO SINDICATOS'!A:N,13,0)</f>
        <v>-</v>
      </c>
      <c r="M242" s="148" t="str">
        <f>VLOOKUP(tabPostos[[#This Row],[CCT DA CATEGORIA]],'RELAÇÃO SINDICATOS'!A:N,14,0)</f>
        <v>MG000299/2025</v>
      </c>
    </row>
    <row r="243" spans="1:13" x14ac:dyDescent="0.25">
      <c r="A243" s="148" t="str" cm="1">
        <f t="array" ref="A243">_xlfn.XLOOKUP(tabPostos[[#This Row],[Fonte de Recursos]]&amp;tabPostos[[#This Row],[Classificação]],tabLotacao[Lotacao]&amp;tabLotacao[Tipo],tabLotacao[Codigo Lote],"0")&amp;"."&amp;_xlfn.XLOOKUP(tabPostos[[#This Row],[Comarca]],tabComarca[COMARCA],tabComarca[Codigo Comarca],"000")&amp;"."&amp;_xlfn.XLOOKUP(tabPostos[[#This Row],[Função]],tabCargos[Cargo],tabCargos[Codigo Cargo],"00")</f>
        <v>2.701.04</v>
      </c>
      <c r="B243" s="200" t="s">
        <v>221</v>
      </c>
      <c r="C243" s="200" t="s">
        <v>1244</v>
      </c>
      <c r="D243" s="200" t="str" cm="1">
        <f t="array" ref="D243">IF(tabPostos[[#This Row],[Comarca]]="","",
_xlfn.LET(
_xlpm.MATRIZ_COMARCA, ","&amp;TRIM(UPPER(SUBSTITUTE(SUBSTITUTE(SUBSTITUTE(SUBSTITUTE(SUBSTITUTE(SUBSTITUTE(SUBSTITUTE(SUBSTITUTE(SUBSTITUTE(SUBSTITUTE(SUBSTITUTE(SUBSTITUTE(SUBSTITUTE(SUBSTITUTE(SUBSTITUTE(SUBSTITUTE(SUBSTITUTE(SUBSTITUTE(SUBSTITUTE(SUBSTITUTE(SUBSTITUTE(SUBSTITUTE(SUBSTITUTE(SUBSTITUTE(SUBSTITUTE(SUBSTITUTE(tabSindicatos[ABRANGÊNCIA],"á","a"),"ã","a"),"â","a"),"é","e"),"ê","e"),"í","i"),"ó","o"),"õ","o"),"ô","o"),"ú","u"),"ç","c"),"Á","a"),"Ã","a"),"Â","a"),"É","e"),"Ê","e"),"Í","i"),"Ó","o"),"Õ","o"),"Ô","o"),"Ú","u"),"Ç","c"),"/MG","")," e ",", ")," ",""),".","")))&amp;",",
_xlpm.MATRIZ_FUNCAO, ","&amp;TRIM(UPPER(SUBSTITUTE(SUBSTITUTE(SUBSTITUTE(SUBSTITUTE(SUBSTITUTE(SUBSTITUTE(SUBSTITUTE(SUBSTITUTE(SUBSTITUTE(SUBSTITUTE(SUBSTITUTE(SUBSTITUTE(SUBSTITUTE(SUBSTITUTE(SUBSTITUTE(SUBSTITUTE(SUBSTITUTE(SUBSTITUTE(SUBSTITUTE(SUBSTITUTE(SUBSTITUTE(SUBSTITUTE(SUBSTITUTE(SUBSTITUTE(SUBSTITUTE(tabSindicatos[FUNÇÕES],"á","a"),"ã","a"),"â","a"),"é","e"),"ê","e"),"í","i"),"ó","o"),"õ","o"),"ô","o"),"ú","u"),"ç","c"),"Á","a"),"Ã","a"),"Â","a"),"É","e"),"Ê","e"),"Í","i"),"Ó","o"),"Õ","o"),"Ô","o"),"Ú","u"),"Ç","c")," e ",", ")," ",""),".","")))&amp;",",
IFERROR(_xlfn._xlws.FILTER(tabSindicatos[SINDICATOS],
(ISNUMBER(SEARCH(","&amp;TRIM(UPPER(SUBSTITUTE(tabPostos[[#This Row],[Comarca]]," ","")))&amp;",",_xlpm.MATRIZ_COMARCA,1)))*
(ISNUMBER(SEARCH(","&amp;TRIM(SUBSTITUTE(SUBSTITUTE(SUBSTITUTE(UPPER(tabPostos[[#This Row],[Função]])," E ",", ")," ",""),".",""))&amp;",",_xlpm.MATRIZ_FUNCAO,1)))
),"")
))</f>
        <v>Uberaba</v>
      </c>
      <c r="E243" s="148" t="s">
        <v>9</v>
      </c>
      <c r="F243" s="148" t="s">
        <v>10</v>
      </c>
      <c r="G243" s="148">
        <v>1</v>
      </c>
      <c r="H243" s="148">
        <v>0</v>
      </c>
      <c r="I243" s="216">
        <f>824.56</f>
        <v>824.56</v>
      </c>
      <c r="J243" s="247">
        <f>VLOOKUP(tabPostos[[#This Row],[CCT DA CATEGORIA]],'RELAÇÃO SINDICATOS'!A:N,11,0)</f>
        <v>45658</v>
      </c>
      <c r="K243" s="148" t="str">
        <f>VLOOKUP(tabPostos[[#This Row],[CCT DA CATEGORIA]],'RELAÇÃO SINDICATOS'!A:N,12,0)</f>
        <v>-</v>
      </c>
      <c r="L243" s="148" t="str">
        <f>VLOOKUP(tabPostos[[#This Row],[CCT DA CATEGORIA]],'RELAÇÃO SINDICATOS'!A:N,13,0)</f>
        <v>-</v>
      </c>
      <c r="M243" s="148" t="str">
        <f>VLOOKUP(tabPostos[[#This Row],[CCT DA CATEGORIA]],'RELAÇÃO SINDICATOS'!A:N,14,0)</f>
        <v>MG000412/2025</v>
      </c>
    </row>
    <row r="244" spans="1:13" x14ac:dyDescent="0.25">
      <c r="A244" s="148" t="str" cm="1">
        <f t="array" ref="A244">_xlfn.XLOOKUP(tabPostos[[#This Row],[Fonte de Recursos]]&amp;tabPostos[[#This Row],[Classificação]],tabLotacao[Lotacao]&amp;tabLotacao[Tipo],tabLotacao[Codigo Lote],"0")&amp;"."&amp;_xlfn.XLOOKUP(tabPostos[[#This Row],[Comarca]],tabComarca[COMARCA],tabComarca[Codigo Comarca],"000")&amp;"."&amp;_xlfn.XLOOKUP(tabPostos[[#This Row],[Função]],tabCargos[Cargo],tabCargos[Codigo Cargo],"00")</f>
        <v>2.701.06</v>
      </c>
      <c r="B244" s="200" t="s">
        <v>221</v>
      </c>
      <c r="C244" s="200" t="s">
        <v>1245</v>
      </c>
      <c r="D244" s="200" t="str" cm="1">
        <f t="array" ref="D244">IF(tabPostos[[#This Row],[Comarca]]="","",
_xlfn.LET(
_xlpm.MATRIZ_COMARCA, ","&amp;TRIM(UPPER(SUBSTITUTE(SUBSTITUTE(SUBSTITUTE(SUBSTITUTE(SUBSTITUTE(SUBSTITUTE(SUBSTITUTE(SUBSTITUTE(SUBSTITUTE(SUBSTITUTE(SUBSTITUTE(SUBSTITUTE(SUBSTITUTE(SUBSTITUTE(SUBSTITUTE(SUBSTITUTE(SUBSTITUTE(SUBSTITUTE(SUBSTITUTE(SUBSTITUTE(SUBSTITUTE(SUBSTITUTE(SUBSTITUTE(SUBSTITUTE(SUBSTITUTE(SUBSTITUTE(tabSindicatos[ABRANGÊNCIA],"á","a"),"ã","a"),"â","a"),"é","e"),"ê","e"),"í","i"),"ó","o"),"õ","o"),"ô","o"),"ú","u"),"ç","c"),"Á","a"),"Ã","a"),"Â","a"),"É","e"),"Ê","e"),"Í","i"),"Ó","o"),"Õ","o"),"Ô","o"),"Ú","u"),"Ç","c"),"/MG","")," e ",", ")," ",""),".","")))&amp;",",
_xlpm.MATRIZ_FUNCAO, ","&amp;TRIM(UPPER(SUBSTITUTE(SUBSTITUTE(SUBSTITUTE(SUBSTITUTE(SUBSTITUTE(SUBSTITUTE(SUBSTITUTE(SUBSTITUTE(SUBSTITUTE(SUBSTITUTE(SUBSTITUTE(SUBSTITUTE(SUBSTITUTE(SUBSTITUTE(SUBSTITUTE(SUBSTITUTE(SUBSTITUTE(SUBSTITUTE(SUBSTITUTE(SUBSTITUTE(SUBSTITUTE(SUBSTITUTE(SUBSTITUTE(SUBSTITUTE(SUBSTITUTE(tabSindicatos[FUNÇÕES],"á","a"),"ã","a"),"â","a"),"é","e"),"ê","e"),"í","i"),"ó","o"),"õ","o"),"ô","o"),"ú","u"),"ç","c"),"Á","a"),"Ã","a"),"Â","a"),"É","e"),"Ê","e"),"Í","i"),"Ó","o"),"Õ","o"),"Ô","o"),"Ú","u"),"Ç","c")," e ",", ")," ",""),".","")))&amp;",",
IFERROR(_xlfn._xlws.FILTER(tabSindicatos[SINDICATOS],
(ISNUMBER(SEARCH(","&amp;TRIM(UPPER(SUBSTITUTE(tabPostos[[#This Row],[Comarca]]," ","")))&amp;",",_xlpm.MATRIZ_COMARCA,1)))*
(ISNUMBER(SEARCH(","&amp;TRIM(SUBSTITUTE(SUBSTITUTE(SUBSTITUTE(UPPER(tabPostos[[#This Row],[Função]])," E ",", ")," ",""),".",""))&amp;",",_xlpm.MATRIZ_FUNCAO,1)))
),"")
))</f>
        <v>Uberaba</v>
      </c>
      <c r="E244" s="148" t="s">
        <v>9</v>
      </c>
      <c r="F244" s="148" t="s">
        <v>10</v>
      </c>
      <c r="G244" s="148">
        <v>4</v>
      </c>
      <c r="H244" s="148">
        <v>0</v>
      </c>
      <c r="I244" s="216">
        <f>1649.12</f>
        <v>1649.12</v>
      </c>
      <c r="J244" s="247">
        <f>VLOOKUP(tabPostos[[#This Row],[CCT DA CATEGORIA]],'RELAÇÃO SINDICATOS'!A:N,11,0)</f>
        <v>45658</v>
      </c>
      <c r="K244" s="148" t="str">
        <f>VLOOKUP(tabPostos[[#This Row],[CCT DA CATEGORIA]],'RELAÇÃO SINDICATOS'!A:N,12,0)</f>
        <v>-</v>
      </c>
      <c r="L244" s="148" t="str">
        <f>VLOOKUP(tabPostos[[#This Row],[CCT DA CATEGORIA]],'RELAÇÃO SINDICATOS'!A:N,13,0)</f>
        <v>-</v>
      </c>
      <c r="M244" s="148" t="str">
        <f>VLOOKUP(tabPostos[[#This Row],[CCT DA CATEGORIA]],'RELAÇÃO SINDICATOS'!A:N,14,0)</f>
        <v>MG000412/2025</v>
      </c>
    </row>
    <row r="245" spans="1:13" x14ac:dyDescent="0.25">
      <c r="A245" s="148" t="str" cm="1">
        <f t="array" ref="A245">_xlfn.XLOOKUP(tabPostos[[#This Row],[Fonte de Recursos]]&amp;tabPostos[[#This Row],[Classificação]],tabLotacao[Lotacao]&amp;tabLotacao[Tipo],tabLotacao[Codigo Lote],"0")&amp;"."&amp;_xlfn.XLOOKUP(tabPostos[[#This Row],[Comarca]],tabComarca[COMARCA],tabComarca[Codigo Comarca],"000")&amp;"."&amp;_xlfn.XLOOKUP(tabPostos[[#This Row],[Função]],tabCargos[Cargo],tabCargos[Codigo Cargo],"00")</f>
        <v>2.702.04</v>
      </c>
      <c r="B245" s="200" t="s">
        <v>222</v>
      </c>
      <c r="C245" s="200" t="s">
        <v>1244</v>
      </c>
      <c r="D245" s="200" t="str" cm="1">
        <f t="array" ref="D245">IF(tabPostos[[#This Row],[Comarca]]="","",
_xlfn.LET(
_xlpm.MATRIZ_COMARCA, ","&amp;TRIM(UPPER(SUBSTITUTE(SUBSTITUTE(SUBSTITUTE(SUBSTITUTE(SUBSTITUTE(SUBSTITUTE(SUBSTITUTE(SUBSTITUTE(SUBSTITUTE(SUBSTITUTE(SUBSTITUTE(SUBSTITUTE(SUBSTITUTE(SUBSTITUTE(SUBSTITUTE(SUBSTITUTE(SUBSTITUTE(SUBSTITUTE(SUBSTITUTE(SUBSTITUTE(SUBSTITUTE(SUBSTITUTE(SUBSTITUTE(SUBSTITUTE(SUBSTITUTE(SUBSTITUTE(tabSindicatos[ABRANGÊNCIA],"á","a"),"ã","a"),"â","a"),"é","e"),"ê","e"),"í","i"),"ó","o"),"õ","o"),"ô","o"),"ú","u"),"ç","c"),"Á","a"),"Ã","a"),"Â","a"),"É","e"),"Ê","e"),"Í","i"),"Ó","o"),"Õ","o"),"Ô","o"),"Ú","u"),"Ç","c"),"/MG","")," e ",", ")," ",""),".","")))&amp;",",
_xlpm.MATRIZ_FUNCAO, ","&amp;TRIM(UPPER(SUBSTITUTE(SUBSTITUTE(SUBSTITUTE(SUBSTITUTE(SUBSTITUTE(SUBSTITUTE(SUBSTITUTE(SUBSTITUTE(SUBSTITUTE(SUBSTITUTE(SUBSTITUTE(SUBSTITUTE(SUBSTITUTE(SUBSTITUTE(SUBSTITUTE(SUBSTITUTE(SUBSTITUTE(SUBSTITUTE(SUBSTITUTE(SUBSTITUTE(SUBSTITUTE(SUBSTITUTE(SUBSTITUTE(SUBSTITUTE(SUBSTITUTE(tabSindicatos[FUNÇÕES],"á","a"),"ã","a"),"â","a"),"é","e"),"ê","e"),"í","i"),"ó","o"),"õ","o"),"ô","o"),"ú","u"),"ç","c"),"Á","a"),"Ã","a"),"Â","a"),"É","e"),"Ê","e"),"Í","i"),"Ó","o"),"Õ","o"),"Ô","o"),"Ú","u"),"Ç","c")," e ",", ")," ",""),".","")))&amp;",",
IFERROR(_xlfn._xlws.FILTER(tabSindicatos[SINDICATOS],
(ISNUMBER(SEARCH(","&amp;TRIM(UPPER(SUBSTITUTE(tabPostos[[#This Row],[Comarca]]," ","")))&amp;",",_xlpm.MATRIZ_COMARCA,1)))*
(ISNUMBER(SEARCH(","&amp;TRIM(SUBSTITUTE(SUBSTITUTE(SUBSTITUTE(UPPER(tabPostos[[#This Row],[Função]])," E ",", ")," ",""),".",""))&amp;",",_xlpm.MATRIZ_FUNCAO,1)))
),"")
))</f>
        <v>Uberlandia</v>
      </c>
      <c r="E245" s="148" t="s">
        <v>9</v>
      </c>
      <c r="F245" s="148" t="s">
        <v>10</v>
      </c>
      <c r="G245" s="148">
        <v>1</v>
      </c>
      <c r="H245" s="148">
        <v>0</v>
      </c>
      <c r="I245" s="216">
        <f>824.56</f>
        <v>824.56</v>
      </c>
      <c r="J245" s="247">
        <f>VLOOKUP(tabPostos[[#This Row],[CCT DA CATEGORIA]],'RELAÇÃO SINDICATOS'!A:N,11,0)</f>
        <v>45658</v>
      </c>
      <c r="K245" s="148" t="str">
        <f>VLOOKUP(tabPostos[[#This Row],[CCT DA CATEGORIA]],'RELAÇÃO SINDICATOS'!A:N,12,0)</f>
        <v>-</v>
      </c>
      <c r="L245" s="148" t="str">
        <f>VLOOKUP(tabPostos[[#This Row],[CCT DA CATEGORIA]],'RELAÇÃO SINDICATOS'!A:N,13,0)</f>
        <v>-</v>
      </c>
      <c r="M245" s="148" t="str">
        <f>VLOOKUP(tabPostos[[#This Row],[CCT DA CATEGORIA]],'RELAÇÃO SINDICATOS'!A:N,14,0)</f>
        <v>MG001252/2025</v>
      </c>
    </row>
    <row r="246" spans="1:13" x14ac:dyDescent="0.25">
      <c r="A246" s="148" t="str" cm="1">
        <f t="array" ref="A246">_xlfn.XLOOKUP(tabPostos[[#This Row],[Fonte de Recursos]]&amp;tabPostos[[#This Row],[Classificação]],tabLotacao[Lotacao]&amp;tabLotacao[Tipo],tabLotacao[Codigo Lote],"0")&amp;"."&amp;_xlfn.XLOOKUP(tabPostos[[#This Row],[Comarca]],tabComarca[COMARCA],tabComarca[Codigo Comarca],"000")&amp;"."&amp;_xlfn.XLOOKUP(tabPostos[[#This Row],[Função]],tabCargos[Cargo],tabCargos[Codigo Cargo],"00")</f>
        <v>2.702.06</v>
      </c>
      <c r="B246" s="200" t="s">
        <v>222</v>
      </c>
      <c r="C246" s="200" t="s">
        <v>1245</v>
      </c>
      <c r="D246" s="200" t="str" cm="1">
        <f t="array" ref="D246">IF(tabPostos[[#This Row],[Comarca]]="","",
_xlfn.LET(
_xlpm.MATRIZ_COMARCA, ","&amp;TRIM(UPPER(SUBSTITUTE(SUBSTITUTE(SUBSTITUTE(SUBSTITUTE(SUBSTITUTE(SUBSTITUTE(SUBSTITUTE(SUBSTITUTE(SUBSTITUTE(SUBSTITUTE(SUBSTITUTE(SUBSTITUTE(SUBSTITUTE(SUBSTITUTE(SUBSTITUTE(SUBSTITUTE(SUBSTITUTE(SUBSTITUTE(SUBSTITUTE(SUBSTITUTE(SUBSTITUTE(SUBSTITUTE(SUBSTITUTE(SUBSTITUTE(SUBSTITUTE(SUBSTITUTE(tabSindicatos[ABRANGÊNCIA],"á","a"),"ã","a"),"â","a"),"é","e"),"ê","e"),"í","i"),"ó","o"),"õ","o"),"ô","o"),"ú","u"),"ç","c"),"Á","a"),"Ã","a"),"Â","a"),"É","e"),"Ê","e"),"Í","i"),"Ó","o"),"Õ","o"),"Ô","o"),"Ú","u"),"Ç","c"),"/MG","")," e ",", ")," ",""),".","")))&amp;",",
_xlpm.MATRIZ_FUNCAO, ","&amp;TRIM(UPPER(SUBSTITUTE(SUBSTITUTE(SUBSTITUTE(SUBSTITUTE(SUBSTITUTE(SUBSTITUTE(SUBSTITUTE(SUBSTITUTE(SUBSTITUTE(SUBSTITUTE(SUBSTITUTE(SUBSTITUTE(SUBSTITUTE(SUBSTITUTE(SUBSTITUTE(SUBSTITUTE(SUBSTITUTE(SUBSTITUTE(SUBSTITUTE(SUBSTITUTE(SUBSTITUTE(SUBSTITUTE(SUBSTITUTE(SUBSTITUTE(SUBSTITUTE(tabSindicatos[FUNÇÕES],"á","a"),"ã","a"),"â","a"),"é","e"),"ê","e"),"í","i"),"ó","o"),"õ","o"),"ô","o"),"ú","u"),"ç","c"),"Á","a"),"Ã","a"),"Â","a"),"É","e"),"Ê","e"),"Í","i"),"Ó","o"),"Õ","o"),"Ô","o"),"Ú","u"),"Ç","c")," e ",", ")," ",""),".","")))&amp;",",
IFERROR(_xlfn._xlws.FILTER(tabSindicatos[SINDICATOS],
(ISNUMBER(SEARCH(","&amp;TRIM(UPPER(SUBSTITUTE(tabPostos[[#This Row],[Comarca]]," ","")))&amp;",",_xlpm.MATRIZ_COMARCA,1)))*
(ISNUMBER(SEARCH(","&amp;TRIM(SUBSTITUTE(SUBSTITUTE(SUBSTITUTE(UPPER(tabPostos[[#This Row],[Função]])," E ",", ")," ",""),".",""))&amp;",",_xlpm.MATRIZ_FUNCAO,1)))
),"")
))</f>
        <v>Uberlandia</v>
      </c>
      <c r="E246" s="148" t="s">
        <v>9</v>
      </c>
      <c r="F246" s="148" t="s">
        <v>10</v>
      </c>
      <c r="G246" s="148">
        <v>13</v>
      </c>
      <c r="H246" s="148">
        <v>0</v>
      </c>
      <c r="I246" s="216">
        <f>1649.12</f>
        <v>1649.12</v>
      </c>
      <c r="J246" s="247">
        <f>VLOOKUP(tabPostos[[#This Row],[CCT DA CATEGORIA]],'RELAÇÃO SINDICATOS'!A:N,11,0)</f>
        <v>45658</v>
      </c>
      <c r="K246" s="148" t="str">
        <f>VLOOKUP(tabPostos[[#This Row],[CCT DA CATEGORIA]],'RELAÇÃO SINDICATOS'!A:N,12,0)</f>
        <v>-</v>
      </c>
      <c r="L246" s="148" t="str">
        <f>VLOOKUP(tabPostos[[#This Row],[CCT DA CATEGORIA]],'RELAÇÃO SINDICATOS'!A:N,13,0)</f>
        <v>-</v>
      </c>
      <c r="M246" s="148" t="str">
        <f>VLOOKUP(tabPostos[[#This Row],[CCT DA CATEGORIA]],'RELAÇÃO SINDICATOS'!A:N,14,0)</f>
        <v>MG001252/2025</v>
      </c>
    </row>
    <row r="247" spans="1:13" x14ac:dyDescent="0.25">
      <c r="A247" s="148" t="str" cm="1">
        <f t="array" ref="A247">_xlfn.XLOOKUP(tabPostos[[#This Row],[Fonte de Recursos]]&amp;tabPostos[[#This Row],[Classificação]],tabLotacao[Lotacao]&amp;tabLotacao[Tipo],tabLotacao[Codigo Lote],"0")&amp;"."&amp;_xlfn.XLOOKUP(tabPostos[[#This Row],[Comarca]],tabComarca[COMARCA],tabComarca[Codigo Comarca],"000")&amp;"."&amp;_xlfn.XLOOKUP(tabPostos[[#This Row],[Função]],tabCargos[Cargo],tabCargos[Codigo Cargo],"00")</f>
        <v>2.704.06</v>
      </c>
      <c r="B247" s="200" t="s">
        <v>223</v>
      </c>
      <c r="C247" s="200" t="s">
        <v>1245</v>
      </c>
      <c r="D247" s="200" t="str" cm="1">
        <f t="array" ref="D247">IF(tabPostos[[#This Row],[Comarca]]="","",
_xlfn.LET(
_xlpm.MATRIZ_COMARCA, ","&amp;TRIM(UPPER(SUBSTITUTE(SUBSTITUTE(SUBSTITUTE(SUBSTITUTE(SUBSTITUTE(SUBSTITUTE(SUBSTITUTE(SUBSTITUTE(SUBSTITUTE(SUBSTITUTE(SUBSTITUTE(SUBSTITUTE(SUBSTITUTE(SUBSTITUTE(SUBSTITUTE(SUBSTITUTE(SUBSTITUTE(SUBSTITUTE(SUBSTITUTE(SUBSTITUTE(SUBSTITUTE(SUBSTITUTE(SUBSTITUTE(SUBSTITUTE(SUBSTITUTE(SUBSTITUTE(tabSindicatos[ABRANGÊNCIA],"á","a"),"ã","a"),"â","a"),"é","e"),"ê","e"),"í","i"),"ó","o"),"õ","o"),"ô","o"),"ú","u"),"ç","c"),"Á","a"),"Ã","a"),"Â","a"),"É","e"),"Ê","e"),"Í","i"),"Ó","o"),"Õ","o"),"Ô","o"),"Ú","u"),"Ç","c"),"/MG","")," e ",", ")," ",""),".","")))&amp;",",
_xlpm.MATRIZ_FUNCAO, ","&amp;TRIM(UPPER(SUBSTITUTE(SUBSTITUTE(SUBSTITUTE(SUBSTITUTE(SUBSTITUTE(SUBSTITUTE(SUBSTITUTE(SUBSTITUTE(SUBSTITUTE(SUBSTITUTE(SUBSTITUTE(SUBSTITUTE(SUBSTITUTE(SUBSTITUTE(SUBSTITUTE(SUBSTITUTE(SUBSTITUTE(SUBSTITUTE(SUBSTITUTE(SUBSTITUTE(SUBSTITUTE(SUBSTITUTE(SUBSTITUTE(SUBSTITUTE(SUBSTITUTE(tabSindicatos[FUNÇÕES],"á","a"),"ã","a"),"â","a"),"é","e"),"ê","e"),"í","i"),"ó","o"),"õ","o"),"ô","o"),"ú","u"),"ç","c"),"Á","a"),"Ã","a"),"Â","a"),"É","e"),"Ê","e"),"Í","i"),"Ó","o"),"Õ","o"),"Ô","o"),"Ú","u"),"Ç","c")," e ",", ")," ",""),".","")))&amp;",",
IFERROR(_xlfn._xlws.FILTER(tabSindicatos[SINDICATOS],
(ISNUMBER(SEARCH(","&amp;TRIM(UPPER(SUBSTITUTE(tabPostos[[#This Row],[Comarca]]," ","")))&amp;",",_xlpm.MATRIZ_COMARCA,1)))*
(ISNUMBER(SEARCH(","&amp;TRIM(SUBSTITUTE(SUBSTITUTE(SUBSTITUTE(UPPER(tabPostos[[#This Row],[Função]])," E ",", ")," ",""),".",""))&amp;",",_xlpm.MATRIZ_FUNCAO,1)))
),"")
))</f>
        <v>Fethemg Interior</v>
      </c>
      <c r="E247" s="148" t="s">
        <v>9</v>
      </c>
      <c r="F247" s="148" t="s">
        <v>10</v>
      </c>
      <c r="G247" s="148">
        <v>1</v>
      </c>
      <c r="H247" s="148">
        <v>0</v>
      </c>
      <c r="I247" s="216">
        <f>1596.28</f>
        <v>1596.28</v>
      </c>
      <c r="J247" s="247">
        <f>VLOOKUP(tabPostos[[#This Row],[CCT DA CATEGORIA]],'RELAÇÃO SINDICATOS'!A:N,11,0)</f>
        <v>45658</v>
      </c>
      <c r="K247" s="148" t="str">
        <f>VLOOKUP(tabPostos[[#This Row],[CCT DA CATEGORIA]],'RELAÇÃO SINDICATOS'!A:N,12,0)</f>
        <v>-</v>
      </c>
      <c r="L247" s="148" t="str">
        <f>VLOOKUP(tabPostos[[#This Row],[CCT DA CATEGORIA]],'RELAÇÃO SINDICATOS'!A:N,13,0)</f>
        <v>-</v>
      </c>
      <c r="M247" s="148" t="str">
        <f>VLOOKUP(tabPostos[[#This Row],[CCT DA CATEGORIA]],'RELAÇÃO SINDICATOS'!A:N,14,0)</f>
        <v>MG004482/2024</v>
      </c>
    </row>
    <row r="248" spans="1:13" x14ac:dyDescent="0.25">
      <c r="A248" s="148" t="str" cm="1">
        <f t="array" ref="A248">_xlfn.XLOOKUP(tabPostos[[#This Row],[Fonte de Recursos]]&amp;tabPostos[[#This Row],[Classificação]],tabLotacao[Lotacao]&amp;tabLotacao[Tipo],tabLotacao[Codigo Lote],"0")&amp;"."&amp;_xlfn.XLOOKUP(tabPostos[[#This Row],[Comarca]],tabComarca[COMARCA],tabComarca[Codigo Comarca],"000")&amp;"."&amp;_xlfn.XLOOKUP(tabPostos[[#This Row],[Função]],tabCargos[Cargo],tabCargos[Codigo Cargo],"00")</f>
        <v>2.707.03</v>
      </c>
      <c r="B248" s="200" t="s">
        <v>224</v>
      </c>
      <c r="C248" s="200" t="s">
        <v>1247</v>
      </c>
      <c r="D248" s="200" t="str" cm="1">
        <f t="array" ref="D248">IF(tabPostos[[#This Row],[Comarca]]="","",
_xlfn.LET(
_xlpm.MATRIZ_COMARCA, ","&amp;TRIM(UPPER(SUBSTITUTE(SUBSTITUTE(SUBSTITUTE(SUBSTITUTE(SUBSTITUTE(SUBSTITUTE(SUBSTITUTE(SUBSTITUTE(SUBSTITUTE(SUBSTITUTE(SUBSTITUTE(SUBSTITUTE(SUBSTITUTE(SUBSTITUTE(SUBSTITUTE(SUBSTITUTE(SUBSTITUTE(SUBSTITUTE(SUBSTITUTE(SUBSTITUTE(SUBSTITUTE(SUBSTITUTE(SUBSTITUTE(SUBSTITUTE(SUBSTITUTE(SUBSTITUTE(tabSindicatos[ABRANGÊNCIA],"á","a"),"ã","a"),"â","a"),"é","e"),"ê","e"),"í","i"),"ó","o"),"õ","o"),"ô","o"),"ú","u"),"ç","c"),"Á","a"),"Ã","a"),"Â","a"),"É","e"),"Ê","e"),"Í","i"),"Ó","o"),"Õ","o"),"Ô","o"),"Ú","u"),"Ç","c"),"/MG","")," e ",", ")," ",""),".","")))&amp;",",
_xlpm.MATRIZ_FUNCAO, ","&amp;TRIM(UPPER(SUBSTITUTE(SUBSTITUTE(SUBSTITUTE(SUBSTITUTE(SUBSTITUTE(SUBSTITUTE(SUBSTITUTE(SUBSTITUTE(SUBSTITUTE(SUBSTITUTE(SUBSTITUTE(SUBSTITUTE(SUBSTITUTE(SUBSTITUTE(SUBSTITUTE(SUBSTITUTE(SUBSTITUTE(SUBSTITUTE(SUBSTITUTE(SUBSTITUTE(SUBSTITUTE(SUBSTITUTE(SUBSTITUTE(SUBSTITUTE(SUBSTITUTE(tabSindicatos[FUNÇÕES],"á","a"),"ã","a"),"â","a"),"é","e"),"ê","e"),"í","i"),"ó","o"),"õ","o"),"ô","o"),"ú","u"),"ç","c"),"Á","a"),"Ã","a"),"Â","a"),"É","e"),"Ê","e"),"Í","i"),"Ó","o"),"Õ","o"),"Ô","o"),"Ú","u"),"Ç","c")," e ",", ")," ",""),".","")))&amp;",",
IFERROR(_xlfn._xlws.FILTER(tabSindicatos[SINDICATOS],
(ISNUMBER(SEARCH(","&amp;TRIM(UPPER(SUBSTITUTE(tabPostos[[#This Row],[Comarca]]," ","")))&amp;",",_xlpm.MATRIZ_COMARCA,1)))*
(ISNUMBER(SEARCH(","&amp;TRIM(SUBSTITUTE(SUBSTITUTE(SUBSTITUTE(UPPER(tabPostos[[#This Row],[Função]])," E ",", ")," ",""),".",""))&amp;",",_xlpm.MATRIZ_FUNCAO,1)))
),"")
))</f>
        <v>Regiao de Sao Lourenco</v>
      </c>
      <c r="E248" s="148" t="s">
        <v>9</v>
      </c>
      <c r="F248" s="148" t="s">
        <v>10</v>
      </c>
      <c r="G248" s="148">
        <v>2</v>
      </c>
      <c r="H248" s="148">
        <v>0</v>
      </c>
      <c r="I248" s="216">
        <f>544.18</f>
        <v>544.17999999999995</v>
      </c>
      <c r="J248" s="247">
        <f>VLOOKUP(tabPostos[[#This Row],[CCT DA CATEGORIA]],'RELAÇÃO SINDICATOS'!A:N,11,0)</f>
        <v>45658</v>
      </c>
      <c r="K248" s="148" t="str">
        <f>VLOOKUP(tabPostos[[#This Row],[CCT DA CATEGORIA]],'RELAÇÃO SINDICATOS'!A:N,12,0)</f>
        <v>-</v>
      </c>
      <c r="L248" s="148" t="str">
        <f>VLOOKUP(tabPostos[[#This Row],[CCT DA CATEGORIA]],'RELAÇÃO SINDICATOS'!A:N,13,0)</f>
        <v>-</v>
      </c>
      <c r="M248" s="148" t="str">
        <f>VLOOKUP(tabPostos[[#This Row],[CCT DA CATEGORIA]],'RELAÇÃO SINDICATOS'!A:N,14,0)</f>
        <v>MG000594/2025</v>
      </c>
    </row>
    <row r="249" spans="1:13" x14ac:dyDescent="0.25">
      <c r="A249" s="148" t="str" cm="1">
        <f t="array" ref="A249">_xlfn.XLOOKUP(tabPostos[[#This Row],[Fonte de Recursos]]&amp;tabPostos[[#This Row],[Classificação]],tabLotacao[Lotacao]&amp;tabLotacao[Tipo],tabLotacao[Codigo Lote],"0")&amp;"."&amp;_xlfn.XLOOKUP(tabPostos[[#This Row],[Comarca]],tabComarca[COMARCA],tabComarca[Codigo Comarca],"000")&amp;"."&amp;_xlfn.XLOOKUP(tabPostos[[#This Row],[Função]],tabCargos[Cargo],tabCargos[Codigo Cargo],"00")</f>
        <v>2.707.06</v>
      </c>
      <c r="B249" s="200" t="s">
        <v>224</v>
      </c>
      <c r="C249" s="200" t="s">
        <v>1245</v>
      </c>
      <c r="D249" s="200" t="str" cm="1">
        <f t="array" ref="D249">IF(tabPostos[[#This Row],[Comarca]]="","",
_xlfn.LET(
_xlpm.MATRIZ_COMARCA, ","&amp;TRIM(UPPER(SUBSTITUTE(SUBSTITUTE(SUBSTITUTE(SUBSTITUTE(SUBSTITUTE(SUBSTITUTE(SUBSTITUTE(SUBSTITUTE(SUBSTITUTE(SUBSTITUTE(SUBSTITUTE(SUBSTITUTE(SUBSTITUTE(SUBSTITUTE(SUBSTITUTE(SUBSTITUTE(SUBSTITUTE(SUBSTITUTE(SUBSTITUTE(SUBSTITUTE(SUBSTITUTE(SUBSTITUTE(SUBSTITUTE(SUBSTITUTE(SUBSTITUTE(SUBSTITUTE(tabSindicatos[ABRANGÊNCIA],"á","a"),"ã","a"),"â","a"),"é","e"),"ê","e"),"í","i"),"ó","o"),"õ","o"),"ô","o"),"ú","u"),"ç","c"),"Á","a"),"Ã","a"),"Â","a"),"É","e"),"Ê","e"),"Í","i"),"Ó","o"),"Õ","o"),"Ô","o"),"Ú","u"),"Ç","c"),"/MG","")," e ",", ")," ",""),".","")))&amp;",",
_xlpm.MATRIZ_FUNCAO, ","&amp;TRIM(UPPER(SUBSTITUTE(SUBSTITUTE(SUBSTITUTE(SUBSTITUTE(SUBSTITUTE(SUBSTITUTE(SUBSTITUTE(SUBSTITUTE(SUBSTITUTE(SUBSTITUTE(SUBSTITUTE(SUBSTITUTE(SUBSTITUTE(SUBSTITUTE(SUBSTITUTE(SUBSTITUTE(SUBSTITUTE(SUBSTITUTE(SUBSTITUTE(SUBSTITUTE(SUBSTITUTE(SUBSTITUTE(SUBSTITUTE(SUBSTITUTE(SUBSTITUTE(tabSindicatos[FUNÇÕES],"á","a"),"ã","a"),"â","a"),"é","e"),"ê","e"),"í","i"),"ó","o"),"õ","o"),"ô","o"),"ú","u"),"ç","c"),"Á","a"),"Ã","a"),"Â","a"),"É","e"),"Ê","e"),"Í","i"),"Ó","o"),"Õ","o"),"Ô","o"),"Ú","u"),"Ç","c")," e ",", ")," ",""),".","")))&amp;",",
IFERROR(_xlfn._xlws.FILTER(tabSindicatos[SINDICATOS],
(ISNUMBER(SEARCH(","&amp;TRIM(UPPER(SUBSTITUTE(tabPostos[[#This Row],[Comarca]]," ","")))&amp;",",_xlpm.MATRIZ_COMARCA,1)))*
(ISNUMBER(SEARCH(","&amp;TRIM(SUBSTITUTE(SUBSTITUTE(SUBSTITUTE(UPPER(tabPostos[[#This Row],[Função]])," E ",", ")," ",""),".",""))&amp;",",_xlpm.MATRIZ_FUNCAO,1)))
),"")
))</f>
        <v>Regiao de Sao Lourenco</v>
      </c>
      <c r="E249" s="148" t="s">
        <v>9</v>
      </c>
      <c r="F249" s="148" t="s">
        <v>10</v>
      </c>
      <c r="G249" s="148">
        <v>3</v>
      </c>
      <c r="H249" s="148">
        <v>0</v>
      </c>
      <c r="I249" s="216">
        <f>1596.28</f>
        <v>1596.28</v>
      </c>
      <c r="J249" s="247">
        <f>VLOOKUP(tabPostos[[#This Row],[CCT DA CATEGORIA]],'RELAÇÃO SINDICATOS'!A:N,11,0)</f>
        <v>45658</v>
      </c>
      <c r="K249" s="148" t="str">
        <f>VLOOKUP(tabPostos[[#This Row],[CCT DA CATEGORIA]],'RELAÇÃO SINDICATOS'!A:N,12,0)</f>
        <v>-</v>
      </c>
      <c r="L249" s="148" t="str">
        <f>VLOOKUP(tabPostos[[#This Row],[CCT DA CATEGORIA]],'RELAÇÃO SINDICATOS'!A:N,13,0)</f>
        <v>-</v>
      </c>
      <c r="M249" s="148" t="str">
        <f>VLOOKUP(tabPostos[[#This Row],[CCT DA CATEGORIA]],'RELAÇÃO SINDICATOS'!A:N,14,0)</f>
        <v>MG000594/2025</v>
      </c>
    </row>
    <row r="250" spans="1:13" x14ac:dyDescent="0.25">
      <c r="A250" s="148" t="str" cm="1">
        <f t="array" ref="A250">_xlfn.XLOOKUP(tabPostos[[#This Row],[Fonte de Recursos]]&amp;tabPostos[[#This Row],[Classificação]],tabLotacao[Lotacao]&amp;tabLotacao[Tipo],tabLotacao[Codigo Lote],"0")&amp;"."&amp;_xlfn.XLOOKUP(tabPostos[[#This Row],[Comarca]],tabComarca[COMARCA],tabComarca[Codigo Comarca],"000")&amp;"."&amp;_xlfn.XLOOKUP(tabPostos[[#This Row],[Função]],tabCargos[Cargo],tabCargos[Codigo Cargo],"00")</f>
        <v>2.708.04</v>
      </c>
      <c r="B250" s="200" t="s">
        <v>225</v>
      </c>
      <c r="C250" s="200" t="s">
        <v>1244</v>
      </c>
      <c r="D250" s="200" t="str" cm="1">
        <f t="array" ref="D250">IF(tabPostos[[#This Row],[Comarca]]="","",
_xlfn.LET(
_xlpm.MATRIZ_COMARCA, ","&amp;TRIM(UPPER(SUBSTITUTE(SUBSTITUTE(SUBSTITUTE(SUBSTITUTE(SUBSTITUTE(SUBSTITUTE(SUBSTITUTE(SUBSTITUTE(SUBSTITUTE(SUBSTITUTE(SUBSTITUTE(SUBSTITUTE(SUBSTITUTE(SUBSTITUTE(SUBSTITUTE(SUBSTITUTE(SUBSTITUTE(SUBSTITUTE(SUBSTITUTE(SUBSTITUTE(SUBSTITUTE(SUBSTITUTE(SUBSTITUTE(SUBSTITUTE(SUBSTITUTE(SUBSTITUTE(tabSindicatos[ABRANGÊNCIA],"á","a"),"ã","a"),"â","a"),"é","e"),"ê","e"),"í","i"),"ó","o"),"õ","o"),"ô","o"),"ú","u"),"ç","c"),"Á","a"),"Ã","a"),"Â","a"),"É","e"),"Ê","e"),"Í","i"),"Ó","o"),"Õ","o"),"Ô","o"),"Ú","u"),"Ç","c"),"/MG","")," e ",", ")," ",""),".","")))&amp;",",
_xlpm.MATRIZ_FUNCAO, ","&amp;TRIM(UPPER(SUBSTITUTE(SUBSTITUTE(SUBSTITUTE(SUBSTITUTE(SUBSTITUTE(SUBSTITUTE(SUBSTITUTE(SUBSTITUTE(SUBSTITUTE(SUBSTITUTE(SUBSTITUTE(SUBSTITUTE(SUBSTITUTE(SUBSTITUTE(SUBSTITUTE(SUBSTITUTE(SUBSTITUTE(SUBSTITUTE(SUBSTITUTE(SUBSTITUTE(SUBSTITUTE(SUBSTITUTE(SUBSTITUTE(SUBSTITUTE(SUBSTITUTE(tabSindicatos[FUNÇÕES],"á","a"),"ã","a"),"â","a"),"é","e"),"ê","e"),"í","i"),"ó","o"),"õ","o"),"ô","o"),"ú","u"),"ç","c"),"Á","a"),"Ã","a"),"Â","a"),"É","e"),"Ê","e"),"Í","i"),"Ó","o"),"Õ","o"),"Ô","o"),"Ú","u"),"Ç","c")," e ",", ")," ",""),".","")))&amp;",",
IFERROR(_xlfn._xlws.FILTER(tabSindicatos[SINDICATOS],
(ISNUMBER(SEARCH(","&amp;TRIM(UPPER(SUBSTITUTE(tabPostos[[#This Row],[Comarca]]," ","")))&amp;",",_xlpm.MATRIZ_COMARCA,1)))*
(ISNUMBER(SEARCH(","&amp;TRIM(SUBSTITUTE(SUBSTITUTE(SUBSTITUTE(UPPER(tabPostos[[#This Row],[Função]])," E ",", ")," ",""),".",""))&amp;",",_xlpm.MATRIZ_FUNCAO,1)))
),"")
))</f>
        <v>Sethac Norte de Minas</v>
      </c>
      <c r="E250" s="148" t="s">
        <v>9</v>
      </c>
      <c r="F250" s="148" t="s">
        <v>10</v>
      </c>
      <c r="G250" s="148">
        <v>1</v>
      </c>
      <c r="H250" s="148">
        <v>0</v>
      </c>
      <c r="I250" s="216">
        <f>798.14</f>
        <v>798.14</v>
      </c>
      <c r="J250" s="247">
        <f>VLOOKUP(tabPostos[[#This Row],[CCT DA CATEGORIA]],'RELAÇÃO SINDICATOS'!A:N,11,0)</f>
        <v>45658</v>
      </c>
      <c r="K250" s="148" t="str">
        <f>VLOOKUP(tabPostos[[#This Row],[CCT DA CATEGORIA]],'RELAÇÃO SINDICATOS'!A:N,12,0)</f>
        <v>-</v>
      </c>
      <c r="L250" s="148" t="str">
        <f>VLOOKUP(tabPostos[[#This Row],[CCT DA CATEGORIA]],'RELAÇÃO SINDICATOS'!A:N,13,0)</f>
        <v>-</v>
      </c>
      <c r="M250" s="148" t="str">
        <f>VLOOKUP(tabPostos[[#This Row],[CCT DA CATEGORIA]],'RELAÇÃO SINDICATOS'!A:N,14,0)</f>
        <v>MG000256/2025</v>
      </c>
    </row>
    <row r="251" spans="1:13" x14ac:dyDescent="0.25">
      <c r="A251" s="148" t="str" cm="1">
        <f t="array" ref="A251">_xlfn.XLOOKUP(tabPostos[[#This Row],[Fonte de Recursos]]&amp;tabPostos[[#This Row],[Classificação]],tabLotacao[Lotacao]&amp;tabLotacao[Tipo],tabLotacao[Codigo Lote],"0")&amp;"."&amp;_xlfn.XLOOKUP(tabPostos[[#This Row],[Comarca]],tabComarca[COMARCA],tabComarca[Codigo Comarca],"000")&amp;"."&amp;_xlfn.XLOOKUP(tabPostos[[#This Row],[Função]],tabCargos[Cargo],tabCargos[Codigo Cargo],"00")</f>
        <v>2.290.06</v>
      </c>
      <c r="B251" s="200" t="s">
        <v>226</v>
      </c>
      <c r="C251" s="200" t="s">
        <v>1245</v>
      </c>
      <c r="D251" s="200" t="str" cm="1">
        <f t="array" ref="D251">IF(tabPostos[[#This Row],[Comarca]]="","",
_xlfn.LET(
_xlpm.MATRIZ_COMARCA, ","&amp;TRIM(UPPER(SUBSTITUTE(SUBSTITUTE(SUBSTITUTE(SUBSTITUTE(SUBSTITUTE(SUBSTITUTE(SUBSTITUTE(SUBSTITUTE(SUBSTITUTE(SUBSTITUTE(SUBSTITUTE(SUBSTITUTE(SUBSTITUTE(SUBSTITUTE(SUBSTITUTE(SUBSTITUTE(SUBSTITUTE(SUBSTITUTE(SUBSTITUTE(SUBSTITUTE(SUBSTITUTE(SUBSTITUTE(SUBSTITUTE(SUBSTITUTE(SUBSTITUTE(SUBSTITUTE(tabSindicatos[ABRANGÊNCIA],"á","a"),"ã","a"),"â","a"),"é","e"),"ê","e"),"í","i"),"ó","o"),"õ","o"),"ô","o"),"ú","u"),"ç","c"),"Á","a"),"Ã","a"),"Â","a"),"É","e"),"Ê","e"),"Í","i"),"Ó","o"),"Õ","o"),"Ô","o"),"Ú","u"),"Ç","c"),"/MG","")," e ",", ")," ",""),".","")))&amp;",",
_xlpm.MATRIZ_FUNCAO, ","&amp;TRIM(UPPER(SUBSTITUTE(SUBSTITUTE(SUBSTITUTE(SUBSTITUTE(SUBSTITUTE(SUBSTITUTE(SUBSTITUTE(SUBSTITUTE(SUBSTITUTE(SUBSTITUTE(SUBSTITUTE(SUBSTITUTE(SUBSTITUTE(SUBSTITUTE(SUBSTITUTE(SUBSTITUTE(SUBSTITUTE(SUBSTITUTE(SUBSTITUTE(SUBSTITUTE(SUBSTITUTE(SUBSTITUTE(SUBSTITUTE(SUBSTITUTE(SUBSTITUTE(tabSindicatos[FUNÇÕES],"á","a"),"ã","a"),"â","a"),"é","e"),"ê","e"),"í","i"),"ó","o"),"õ","o"),"ô","o"),"ú","u"),"ç","c"),"Á","a"),"Ã","a"),"Â","a"),"É","e"),"Ê","e"),"Í","i"),"Ó","o"),"Õ","o"),"Ô","o"),"Ú","u"),"Ç","c")," e ",", ")," ",""),".","")))&amp;",",
IFERROR(_xlfn._xlws.FILTER(tabSindicatos[SINDICATOS],
(ISNUMBER(SEARCH(","&amp;TRIM(UPPER(SUBSTITUTE(tabPostos[[#This Row],[Comarca]]," ","")))&amp;",",_xlpm.MATRIZ_COMARCA,1)))*
(ISNUMBER(SEARCH(","&amp;TRIM(SUBSTITUTE(SUBSTITUTE(SUBSTITUTE(UPPER(tabPostos[[#This Row],[Função]])," E ",", ")," ",""),".",""))&amp;",",_xlpm.MATRIZ_FUNCAO,1)))
),"")
))</f>
        <v>Vespasiano</v>
      </c>
      <c r="E251" s="148" t="s">
        <v>9</v>
      </c>
      <c r="F251" s="148" t="s">
        <v>10</v>
      </c>
      <c r="G251" s="148">
        <v>1</v>
      </c>
      <c r="H251" s="148">
        <v>0</v>
      </c>
      <c r="I251" s="216">
        <f>1649.12</f>
        <v>1649.12</v>
      </c>
      <c r="J251" s="247">
        <f>VLOOKUP(tabPostos[[#This Row],[CCT DA CATEGORIA]],'RELAÇÃO SINDICATOS'!A:N,11,0)</f>
        <v>45658</v>
      </c>
      <c r="K251" s="148" t="str">
        <f>VLOOKUP(tabPostos[[#This Row],[CCT DA CATEGORIA]],'RELAÇÃO SINDICATOS'!A:N,12,0)</f>
        <v>-</v>
      </c>
      <c r="L251" s="148" t="str">
        <f>VLOOKUP(tabPostos[[#This Row],[CCT DA CATEGORIA]],'RELAÇÃO SINDICATOS'!A:N,13,0)</f>
        <v>-</v>
      </c>
      <c r="M251" s="148" t="str">
        <f>VLOOKUP(tabPostos[[#This Row],[CCT DA CATEGORIA]],'RELAÇÃO SINDICATOS'!A:N,14,0)</f>
        <v>MG000989/2025</v>
      </c>
    </row>
    <row r="252" spans="1:13" x14ac:dyDescent="0.25">
      <c r="A252" s="148" t="str" cm="1">
        <f t="array" ref="A252">_xlfn.XLOOKUP(tabPostos[[#This Row],[Fonte de Recursos]]&amp;tabPostos[[#This Row],[Classificação]],tabLotacao[Lotacao]&amp;tabLotacao[Tipo],tabLotacao[Codigo Lote],"0")&amp;"."&amp;_xlfn.XLOOKUP(tabPostos[[#This Row],[Comarca]],tabComarca[COMARCA],tabComarca[Codigo Comarca],"000")&amp;"."&amp;_xlfn.XLOOKUP(tabPostos[[#This Row],[Função]],tabCargos[Cargo],tabCargos[Codigo Cargo],"00")</f>
        <v>2.713.06</v>
      </c>
      <c r="B252" s="200" t="s">
        <v>227</v>
      </c>
      <c r="C252" s="200" t="s">
        <v>1245</v>
      </c>
      <c r="D252" s="200" t="str" cm="1">
        <f t="array" ref="D252">IF(tabPostos[[#This Row],[Comarca]]="","",
_xlfn.LET(
_xlpm.MATRIZ_COMARCA, ","&amp;TRIM(UPPER(SUBSTITUTE(SUBSTITUTE(SUBSTITUTE(SUBSTITUTE(SUBSTITUTE(SUBSTITUTE(SUBSTITUTE(SUBSTITUTE(SUBSTITUTE(SUBSTITUTE(SUBSTITUTE(SUBSTITUTE(SUBSTITUTE(SUBSTITUTE(SUBSTITUTE(SUBSTITUTE(SUBSTITUTE(SUBSTITUTE(SUBSTITUTE(SUBSTITUTE(SUBSTITUTE(SUBSTITUTE(SUBSTITUTE(SUBSTITUTE(SUBSTITUTE(SUBSTITUTE(tabSindicatos[ABRANGÊNCIA],"á","a"),"ã","a"),"â","a"),"é","e"),"ê","e"),"í","i"),"ó","o"),"õ","o"),"ô","o"),"ú","u"),"ç","c"),"Á","a"),"Ã","a"),"Â","a"),"É","e"),"Ê","e"),"Í","i"),"Ó","o"),"Õ","o"),"Ô","o"),"Ú","u"),"Ç","c"),"/MG","")," e ",", ")," ",""),".","")))&amp;",",
_xlpm.MATRIZ_FUNCAO, ","&amp;TRIM(UPPER(SUBSTITUTE(SUBSTITUTE(SUBSTITUTE(SUBSTITUTE(SUBSTITUTE(SUBSTITUTE(SUBSTITUTE(SUBSTITUTE(SUBSTITUTE(SUBSTITUTE(SUBSTITUTE(SUBSTITUTE(SUBSTITUTE(SUBSTITUTE(SUBSTITUTE(SUBSTITUTE(SUBSTITUTE(SUBSTITUTE(SUBSTITUTE(SUBSTITUTE(SUBSTITUTE(SUBSTITUTE(SUBSTITUTE(SUBSTITUTE(SUBSTITUTE(tabSindicatos[FUNÇÕES],"á","a"),"ã","a"),"â","a"),"é","e"),"ê","e"),"í","i"),"ó","o"),"õ","o"),"ô","o"),"ú","u"),"ç","c"),"Á","a"),"Ã","a"),"Â","a"),"É","e"),"Ê","e"),"Í","i"),"Ó","o"),"Õ","o"),"Ô","o"),"Ú","u"),"Ç","c")," e ",", ")," ",""),".","")))&amp;",",
IFERROR(_xlfn._xlws.FILTER(tabSindicatos[SINDICATOS],
(ISNUMBER(SEARCH(","&amp;TRIM(UPPER(SUBSTITUTE(tabPostos[[#This Row],[Comarca]]," ","")))&amp;",",_xlpm.MATRIZ_COMARCA,1)))*
(ISNUMBER(SEARCH(","&amp;TRIM(SUBSTITUTE(SUBSTITUTE(SUBSTITUTE(UPPER(tabPostos[[#This Row],[Função]])," E ",", ")," ",""),".",""))&amp;",",_xlpm.MATRIZ_FUNCAO,1)))
),"")
))</f>
        <v>Vicosa e Regiao</v>
      </c>
      <c r="E252" s="148" t="s">
        <v>9</v>
      </c>
      <c r="F252" s="148" t="s">
        <v>10</v>
      </c>
      <c r="G252" s="148">
        <v>1</v>
      </c>
      <c r="H252" s="148">
        <v>0</v>
      </c>
      <c r="I252" s="216">
        <f>1596.28</f>
        <v>1596.28</v>
      </c>
      <c r="J252" s="247">
        <f>VLOOKUP(tabPostos[[#This Row],[CCT DA CATEGORIA]],'RELAÇÃO SINDICATOS'!A:N,11,0)</f>
        <v>45658</v>
      </c>
      <c r="K252" s="148" t="str">
        <f>VLOOKUP(tabPostos[[#This Row],[CCT DA CATEGORIA]],'RELAÇÃO SINDICATOS'!A:N,12,0)</f>
        <v>-</v>
      </c>
      <c r="L252" s="148" t="str">
        <f>VLOOKUP(tabPostos[[#This Row],[CCT DA CATEGORIA]],'RELAÇÃO SINDICATOS'!A:N,13,0)</f>
        <v>-</v>
      </c>
      <c r="M252" s="148" t="str">
        <f>VLOOKUP(tabPostos[[#This Row],[CCT DA CATEGORIA]],'RELAÇÃO SINDICATOS'!A:N,14,0)</f>
        <v>MG001208/2025</v>
      </c>
    </row>
    <row r="253" spans="1:13" x14ac:dyDescent="0.25">
      <c r="A253" s="148" t="str" cm="1">
        <f t="array" ref="A253">_xlfn.XLOOKUP(tabPostos[[#This Row],[Fonte de Recursos]]&amp;tabPostos[[#This Row],[Classificação]],tabLotacao[Lotacao]&amp;tabLotacao[Tipo],tabLotacao[Codigo Lote],"0")&amp;"."&amp;_xlfn.XLOOKUP(tabPostos[[#This Row],[Comarca]],tabComarca[COMARCA],tabComarca[Codigo Comarca],"000")&amp;"."&amp;_xlfn.XLOOKUP(tabPostos[[#This Row],[Função]],tabCargos[Cargo],tabCargos[Codigo Cargo],"00")</f>
        <v>2.720.06</v>
      </c>
      <c r="B253" s="200" t="s">
        <v>228</v>
      </c>
      <c r="C253" s="200" t="s">
        <v>1245</v>
      </c>
      <c r="D253" s="200" t="str" cm="1">
        <f t="array" ref="D253">IF(tabPostos[[#This Row],[Comarca]]="","",
_xlfn.LET(
_xlpm.MATRIZ_COMARCA, ","&amp;TRIM(UPPER(SUBSTITUTE(SUBSTITUTE(SUBSTITUTE(SUBSTITUTE(SUBSTITUTE(SUBSTITUTE(SUBSTITUTE(SUBSTITUTE(SUBSTITUTE(SUBSTITUTE(SUBSTITUTE(SUBSTITUTE(SUBSTITUTE(SUBSTITUTE(SUBSTITUTE(SUBSTITUTE(SUBSTITUTE(SUBSTITUTE(SUBSTITUTE(SUBSTITUTE(SUBSTITUTE(SUBSTITUTE(SUBSTITUTE(SUBSTITUTE(SUBSTITUTE(SUBSTITUTE(tabSindicatos[ABRANGÊNCIA],"á","a"),"ã","a"),"â","a"),"é","e"),"ê","e"),"í","i"),"ó","o"),"õ","o"),"ô","o"),"ú","u"),"ç","c"),"Á","a"),"Ã","a"),"Â","a"),"É","e"),"Ê","e"),"Í","i"),"Ó","o"),"Õ","o"),"Ô","o"),"Ú","u"),"Ç","c"),"/MG","")," e ",", ")," ",""),".","")))&amp;",",
_xlpm.MATRIZ_FUNCAO, ","&amp;TRIM(UPPER(SUBSTITUTE(SUBSTITUTE(SUBSTITUTE(SUBSTITUTE(SUBSTITUTE(SUBSTITUTE(SUBSTITUTE(SUBSTITUTE(SUBSTITUTE(SUBSTITUTE(SUBSTITUTE(SUBSTITUTE(SUBSTITUTE(SUBSTITUTE(SUBSTITUTE(SUBSTITUTE(SUBSTITUTE(SUBSTITUTE(SUBSTITUTE(SUBSTITUTE(SUBSTITUTE(SUBSTITUTE(SUBSTITUTE(SUBSTITUTE(SUBSTITUTE(tabSindicatos[FUNÇÕES],"á","a"),"ã","a"),"â","a"),"é","e"),"ê","e"),"í","i"),"ó","o"),"õ","o"),"ô","o"),"ú","u"),"ç","c"),"Á","a"),"Ã","a"),"Â","a"),"É","e"),"Ê","e"),"Í","i"),"Ó","o"),"Õ","o"),"Ô","o"),"Ú","u"),"Ç","c")," e ",", ")," ",""),".","")))&amp;",",
IFERROR(_xlfn._xlws.FILTER(tabSindicatos[SINDICATOS],
(ISNUMBER(SEARCH(","&amp;TRIM(UPPER(SUBSTITUTE(tabPostos[[#This Row],[Comarca]]," ","")))&amp;",",_xlpm.MATRIZ_COMARCA,1)))*
(ISNUMBER(SEARCH(","&amp;TRIM(SUBSTITUTE(SUBSTITUTE(SUBSTITUTE(UPPER(tabPostos[[#This Row],[Função]])," E ",", ")," ",""),".",""))&amp;",",_xlpm.MATRIZ_FUNCAO,1)))
),"")
))</f>
        <v>Cataguases</v>
      </c>
      <c r="E253" s="148" t="s">
        <v>9</v>
      </c>
      <c r="F253" s="148" t="s">
        <v>10</v>
      </c>
      <c r="G253" s="148">
        <v>2</v>
      </c>
      <c r="H253" s="148">
        <v>0</v>
      </c>
      <c r="I253" s="216">
        <f>1596.28</f>
        <v>1596.28</v>
      </c>
      <c r="J253" s="247">
        <f>VLOOKUP(tabPostos[[#This Row],[CCT DA CATEGORIA]],'RELAÇÃO SINDICATOS'!A:N,11,0)</f>
        <v>45658</v>
      </c>
      <c r="K253" s="148" t="str">
        <f>VLOOKUP(tabPostos[[#This Row],[CCT DA CATEGORIA]],'RELAÇÃO SINDICATOS'!A:N,12,0)</f>
        <v>-</v>
      </c>
      <c r="L253" s="148" t="str">
        <f>VLOOKUP(tabPostos[[#This Row],[CCT DA CATEGORIA]],'RELAÇÃO SINDICATOS'!A:N,13,0)</f>
        <v>-</v>
      </c>
      <c r="M253" s="148" t="str">
        <f>VLOOKUP(tabPostos[[#This Row],[CCT DA CATEGORIA]],'RELAÇÃO SINDICATOS'!A:N,14,0)</f>
        <v>MG000299/2025</v>
      </c>
    </row>
    <row r="254" spans="1:13" s="262" customFormat="1" ht="15.75" x14ac:dyDescent="0.25">
      <c r="A254" s="264" t="s">
        <v>1275</v>
      </c>
      <c r="B254" s="265"/>
      <c r="C254" s="265"/>
      <c r="D254" s="265"/>
      <c r="E254" s="265"/>
      <c r="F254" s="265"/>
      <c r="G254" s="266">
        <f>SUBTOTAL(9,tabPostos[Vagas contratadas])</f>
        <v>437</v>
      </c>
      <c r="H254" s="266">
        <f>SUBTOTAL(9,tabPostos[Vagas suspensas])</f>
        <v>0</v>
      </c>
      <c r="I254" s="267">
        <f>SUBTOTAL(9,tabPostos[Salário Base])</f>
        <v>257761.65609999979</v>
      </c>
      <c r="J254" s="265"/>
      <c r="K254" s="265"/>
      <c r="L254" s="265"/>
      <c r="M254" s="268"/>
    </row>
  </sheetData>
  <pageMargins left="0.511811024" right="0.511811024" top="0.78740157499999996" bottom="0.78740157499999996" header="0.31496062000000002" footer="0.31496062000000002"/>
  <tableParts count="1">
    <tablePart r:id="rId1"/>
  </tableParts>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924684D-E929-4A03-9CD0-823DB4E1D1CA}">
  <sheetPr codeName="Planilha7"/>
  <dimension ref="A1:BO416"/>
  <sheetViews>
    <sheetView showGridLines="0" topLeftCell="AG1" zoomScale="85" zoomScaleNormal="85" workbookViewId="0">
      <pane ySplit="3" topLeftCell="A4" activePane="bottomLeft" state="frozen"/>
      <selection activeCell="AQ1" sqref="AQ1"/>
      <selection pane="bottomLeft" activeCell="AK16" sqref="AK16"/>
    </sheetView>
  </sheetViews>
  <sheetFormatPr defaultRowHeight="15" x14ac:dyDescent="0.25"/>
  <cols>
    <col min="1" max="1" width="22.140625" bestFit="1" customWidth="1"/>
    <col min="2" max="2" width="24.7109375" bestFit="1" customWidth="1"/>
    <col min="3" max="3" width="35.140625" bestFit="1" customWidth="1"/>
    <col min="4" max="4" width="25" bestFit="1" customWidth="1"/>
    <col min="5" max="5" width="19.5703125" bestFit="1" customWidth="1"/>
    <col min="6" max="6" width="24.85546875" bestFit="1" customWidth="1"/>
    <col min="7" max="7" width="24.140625" bestFit="1" customWidth="1"/>
    <col min="8" max="8" width="23.7109375" bestFit="1" customWidth="1"/>
    <col min="9" max="9" width="18.42578125" bestFit="1" customWidth="1"/>
    <col min="10" max="10" width="29.85546875" bestFit="1" customWidth="1"/>
    <col min="11" max="11" width="28.7109375" bestFit="1" customWidth="1"/>
    <col min="12" max="12" width="23.28515625" bestFit="1" customWidth="1"/>
    <col min="13" max="13" width="39.42578125" bestFit="1" customWidth="1"/>
    <col min="14" max="14" width="29.42578125" style="22" bestFit="1" customWidth="1"/>
    <col min="15" max="15" width="20.5703125" bestFit="1" customWidth="1"/>
    <col min="16" max="16" width="37.140625" bestFit="1" customWidth="1"/>
    <col min="17" max="17" width="10.7109375" bestFit="1" customWidth="1"/>
    <col min="18" max="18" width="19" bestFit="1" customWidth="1"/>
    <col min="19" max="19" width="21.5703125" bestFit="1" customWidth="1"/>
    <col min="20" max="20" width="12.28515625" bestFit="1" customWidth="1"/>
    <col min="21" max="21" width="22.140625" bestFit="1" customWidth="1"/>
    <col min="22" max="22" width="11.42578125" bestFit="1" customWidth="1"/>
    <col min="23" max="23" width="19.28515625" bestFit="1" customWidth="1"/>
    <col min="24" max="24" width="13.5703125" bestFit="1" customWidth="1"/>
    <col min="25" max="25" width="23.7109375" bestFit="1" customWidth="1"/>
    <col min="26" max="26" width="32.7109375" bestFit="1" customWidth="1"/>
    <col min="27" max="27" width="23.140625" bestFit="1" customWidth="1"/>
    <col min="28" max="28" width="24.140625" bestFit="1" customWidth="1"/>
    <col min="29" max="29" width="18.42578125" bestFit="1" customWidth="1"/>
    <col min="30" max="30" width="14.28515625" bestFit="1" customWidth="1"/>
    <col min="31" max="31" width="12.28515625" bestFit="1" customWidth="1"/>
    <col min="32" max="32" width="10.42578125" bestFit="1" customWidth="1"/>
    <col min="33" max="33" width="21" bestFit="1" customWidth="1"/>
    <col min="34" max="34" width="26.7109375" bestFit="1" customWidth="1"/>
    <col min="35" max="35" width="52.85546875" bestFit="1" customWidth="1"/>
    <col min="36" max="36" width="36.140625" bestFit="1" customWidth="1"/>
    <col min="37" max="37" width="51.140625" bestFit="1" customWidth="1"/>
    <col min="38" max="38" width="35.140625" bestFit="1" customWidth="1"/>
    <col min="39" max="39" width="66.28515625" bestFit="1" customWidth="1"/>
    <col min="40" max="40" width="30.5703125" bestFit="1" customWidth="1"/>
    <col min="41" max="41" width="51.140625" bestFit="1" customWidth="1"/>
    <col min="42" max="42" width="26.5703125" bestFit="1" customWidth="1"/>
    <col min="43" max="43" width="23.42578125" bestFit="1" customWidth="1"/>
    <col min="44" max="44" width="25.7109375" bestFit="1" customWidth="1"/>
    <col min="45" max="45" width="40.140625" bestFit="1" customWidth="1"/>
    <col min="46" max="46" width="81.140625" bestFit="1" customWidth="1"/>
    <col min="47" max="47" width="57.5703125" bestFit="1" customWidth="1"/>
    <col min="48" max="48" width="43.85546875" bestFit="1" customWidth="1"/>
    <col min="49" max="49" width="52.7109375" bestFit="1" customWidth="1"/>
    <col min="50" max="50" width="22.5703125" bestFit="1" customWidth="1"/>
    <col min="51" max="51" width="28.140625" bestFit="1" customWidth="1"/>
    <col min="52" max="52" width="45.28515625" bestFit="1" customWidth="1"/>
    <col min="53" max="53" width="57.140625" bestFit="1" customWidth="1"/>
    <col min="54" max="54" width="25.42578125" bestFit="1" customWidth="1"/>
    <col min="55" max="55" width="22.42578125" bestFit="1" customWidth="1"/>
    <col min="56" max="56" width="15.42578125" bestFit="1" customWidth="1"/>
    <col min="57" max="57" width="13.28515625" bestFit="1" customWidth="1"/>
    <col min="58" max="59" width="9.5703125" bestFit="1" customWidth="1"/>
    <col min="60" max="60" width="18" bestFit="1" customWidth="1"/>
    <col min="61" max="61" width="26.140625" bestFit="1" customWidth="1"/>
    <col min="62" max="62" width="41.140625" bestFit="1" customWidth="1"/>
    <col min="63" max="63" width="15.140625" bestFit="1" customWidth="1"/>
    <col min="64" max="64" width="8" bestFit="1" customWidth="1"/>
    <col min="65" max="65" width="17.7109375" bestFit="1" customWidth="1"/>
    <col min="66" max="66" width="26.42578125" bestFit="1" customWidth="1"/>
    <col min="67" max="67" width="41" bestFit="1" customWidth="1"/>
    <col min="68" max="68" width="25" bestFit="1" customWidth="1"/>
    <col min="69" max="69" width="46.42578125" bestFit="1" customWidth="1"/>
  </cols>
  <sheetData>
    <row r="1" spans="1:67" s="150" customFormat="1" ht="24.95" customHeight="1" x14ac:dyDescent="0.25">
      <c r="B1" s="201"/>
      <c r="C1" s="201"/>
      <c r="D1" s="201"/>
      <c r="E1" s="201"/>
      <c r="F1" s="201"/>
      <c r="G1" s="201"/>
      <c r="H1" s="201"/>
      <c r="I1" s="201"/>
      <c r="J1" s="201"/>
      <c r="K1" s="201"/>
      <c r="L1" s="201"/>
      <c r="M1" s="201"/>
      <c r="N1" s="217"/>
      <c r="O1" s="201"/>
      <c r="P1" s="201"/>
      <c r="Q1" s="201"/>
      <c r="R1" s="201"/>
      <c r="S1" s="201"/>
      <c r="T1" s="201"/>
      <c r="U1" s="201"/>
      <c r="V1" s="201"/>
      <c r="W1" s="201"/>
      <c r="X1" s="201"/>
      <c r="Y1" s="201"/>
      <c r="Z1" s="201"/>
      <c r="AA1" s="201"/>
      <c r="AB1" s="201"/>
      <c r="AC1" s="201"/>
      <c r="AD1" s="201"/>
      <c r="AE1" s="201"/>
      <c r="AF1" s="201"/>
      <c r="AG1" s="201"/>
      <c r="AH1" s="201"/>
      <c r="AI1" s="201"/>
      <c r="AJ1" s="201"/>
      <c r="AK1" s="201"/>
      <c r="AL1" s="201"/>
      <c r="AM1" s="201"/>
      <c r="AN1" s="201"/>
      <c r="AO1" s="201"/>
      <c r="AP1" s="201"/>
      <c r="AQ1" s="201"/>
      <c r="AR1" s="201"/>
      <c r="AS1" s="201"/>
      <c r="AT1" s="201"/>
      <c r="AU1" s="201"/>
      <c r="AV1" s="201"/>
      <c r="AW1" s="201"/>
      <c r="AX1" s="201"/>
      <c r="AY1" s="201"/>
      <c r="AZ1" s="201"/>
      <c r="BA1" s="201"/>
      <c r="BB1" s="201"/>
      <c r="BC1" s="201"/>
      <c r="BD1" s="201"/>
      <c r="BE1" s="201"/>
      <c r="BF1" s="201"/>
      <c r="BG1" s="201"/>
      <c r="BH1" s="201"/>
      <c r="BI1" s="201"/>
      <c r="BJ1" s="201"/>
      <c r="BK1" s="201"/>
      <c r="BL1" s="201"/>
      <c r="BM1" s="201"/>
      <c r="BN1" s="201"/>
      <c r="BO1" s="201"/>
    </row>
    <row r="2" spans="1:67" s="19" customFormat="1" ht="24.95" customHeight="1" x14ac:dyDescent="0.25">
      <c r="N2" s="218"/>
    </row>
    <row r="3" spans="1:67" s="11" customFormat="1" ht="25.5" x14ac:dyDescent="0.2">
      <c r="A3" s="219" t="s">
        <v>0</v>
      </c>
      <c r="B3" s="220" t="s">
        <v>1</v>
      </c>
      <c r="C3" s="220" t="s">
        <v>2</v>
      </c>
      <c r="D3" s="220" t="s">
        <v>1052</v>
      </c>
      <c r="E3" s="221" t="s">
        <v>3</v>
      </c>
      <c r="F3" s="221" t="s">
        <v>4</v>
      </c>
      <c r="G3" s="220" t="s">
        <v>5</v>
      </c>
      <c r="H3" s="222" t="s">
        <v>6</v>
      </c>
      <c r="I3" s="223" t="s">
        <v>7</v>
      </c>
      <c r="J3" s="224" t="s">
        <v>1053</v>
      </c>
      <c r="K3" s="224" t="s">
        <v>1054</v>
      </c>
      <c r="L3" s="224" t="s">
        <v>1055</v>
      </c>
      <c r="M3" s="224" t="s">
        <v>1056</v>
      </c>
      <c r="N3" s="224" t="s">
        <v>1057</v>
      </c>
      <c r="O3" s="224" t="s">
        <v>1345</v>
      </c>
      <c r="P3" s="224" t="s">
        <v>1058</v>
      </c>
      <c r="Q3" s="225" t="s">
        <v>260</v>
      </c>
      <c r="R3" s="225" t="s">
        <v>267</v>
      </c>
      <c r="S3" s="225" t="s">
        <v>274</v>
      </c>
      <c r="T3" s="225" t="s">
        <v>281</v>
      </c>
      <c r="U3" s="225" t="s">
        <v>286</v>
      </c>
      <c r="V3" s="225" t="s">
        <v>290</v>
      </c>
      <c r="W3" s="225" t="s">
        <v>294</v>
      </c>
      <c r="X3" s="225" t="s">
        <v>298</v>
      </c>
      <c r="Y3" s="226" t="s">
        <v>1059</v>
      </c>
      <c r="Z3" s="226" t="s">
        <v>1060</v>
      </c>
      <c r="AA3" s="225" t="s">
        <v>1061</v>
      </c>
      <c r="AB3" s="225" t="s">
        <v>1062</v>
      </c>
      <c r="AC3" s="225" t="s">
        <v>985</v>
      </c>
      <c r="AD3" s="225" t="s">
        <v>986</v>
      </c>
      <c r="AE3" s="225" t="s">
        <v>987</v>
      </c>
      <c r="AF3" s="225" t="s">
        <v>988</v>
      </c>
      <c r="AG3" s="225" t="s">
        <v>1063</v>
      </c>
      <c r="AH3" s="225" t="s">
        <v>1064</v>
      </c>
      <c r="AI3" s="227" t="s">
        <v>1065</v>
      </c>
      <c r="AJ3" s="227" t="s">
        <v>1066</v>
      </c>
      <c r="AK3" s="227" t="s">
        <v>1067</v>
      </c>
      <c r="AL3" s="227" t="s">
        <v>1068</v>
      </c>
      <c r="AM3" s="227" t="s">
        <v>1069</v>
      </c>
      <c r="AN3" s="226" t="s">
        <v>1070</v>
      </c>
      <c r="AO3" s="227" t="s">
        <v>1071</v>
      </c>
      <c r="AP3" s="15" t="s">
        <v>1072</v>
      </c>
      <c r="AQ3" s="15" t="s">
        <v>1073</v>
      </c>
      <c r="AR3" s="15" t="s">
        <v>1074</v>
      </c>
      <c r="AS3" s="15" t="s">
        <v>1075</v>
      </c>
      <c r="AT3" s="15" t="s">
        <v>1076</v>
      </c>
      <c r="AU3" s="15" t="s">
        <v>1077</v>
      </c>
      <c r="AV3" s="228" t="s">
        <v>1078</v>
      </c>
      <c r="AW3" s="222" t="s">
        <v>1079</v>
      </c>
      <c r="AX3" s="229" t="s">
        <v>1080</v>
      </c>
      <c r="AY3" s="229" t="s">
        <v>1081</v>
      </c>
      <c r="AZ3" s="229" t="s">
        <v>1082</v>
      </c>
      <c r="BA3" s="229" t="s">
        <v>1083</v>
      </c>
      <c r="BB3" s="229" t="s">
        <v>1084</v>
      </c>
      <c r="BC3" s="230" t="s">
        <v>266</v>
      </c>
      <c r="BD3" s="230" t="s">
        <v>273</v>
      </c>
      <c r="BE3" s="230" t="s">
        <v>302</v>
      </c>
      <c r="BF3" s="230" t="s">
        <v>306</v>
      </c>
      <c r="BG3" s="230" t="s">
        <v>232</v>
      </c>
      <c r="BH3" s="231" t="s">
        <v>989</v>
      </c>
      <c r="BI3" s="231" t="s">
        <v>990</v>
      </c>
      <c r="BJ3" s="232" t="s">
        <v>1240</v>
      </c>
    </row>
    <row r="4" spans="1:67" x14ac:dyDescent="0.25">
      <c r="A4" s="248" t="s">
        <v>1350</v>
      </c>
      <c r="B4" s="249" t="s">
        <v>8</v>
      </c>
      <c r="C4" s="249" t="s">
        <v>1244</v>
      </c>
      <c r="D4" s="249" t="str">
        <f>VLOOKUP(tabParametros[[#This Row],[Código do Posto]],tabPostos[],4,0)</f>
        <v>Curvelo</v>
      </c>
      <c r="E4" s="290" t="str">
        <f>VLOOKUP(tabParametros[[#This Row],[Código do Posto]],tabPostos[],5,0)</f>
        <v>Limpeza</v>
      </c>
      <c r="F4" s="290" t="str">
        <f>VLOOKUP(tabParametros[[#This Row],[Código do Posto]],tabPostos[],6,0)</f>
        <v>PGJ</v>
      </c>
      <c r="G4" s="290">
        <f>VLOOKUP(tabParametros[[#This Row],[Código do Posto]],tabPostos[],7,0)</f>
        <v>1</v>
      </c>
      <c r="H4" s="290">
        <f>VLOOKUP(tabParametros[[#This Row],[Código do Posto]],tabPostos[],8,0)</f>
        <v>0</v>
      </c>
      <c r="I4" s="250">
        <f>VLOOKUP(tabParametros[[#This Row],[Código do Posto]],tabPostos[],9,0)</f>
        <v>798.14</v>
      </c>
      <c r="J4" s="250">
        <f>IF(ISNUMBER(SEARCH("Eletricista",tabParametros[[#This Row],[Função]],1)),0.3*tabParametros[[#This Row],[Salário Base]],0)</f>
        <v>0</v>
      </c>
      <c r="K4" s="250">
        <f>IF(OR(ISNUMBER(SEARCH("Bombeiro Hidraulico",tabParametros[[#This Row],[Função]],1)),ISNUMBER(SEARCH("Jardineiro",tabParametros[[#This Row],[Função]],1)),ISNUMBER(SEARCH("Lavador de Veiculos",tabParametros[[#This Row],[Função]],1)),ISNUMBER(SEARCH("Marceneiro",tabParametros[[#This Row],[Função]],1)),ISNUMBER(SEARCH("Pintor",tabParametros[[#This Row],[Função]],1))),0.2*'BASE GERAL'!$R$4,0)</f>
        <v>0</v>
      </c>
      <c r="L4" s="250">
        <f>IF(AND(ISNUMBER(SEARCH("Noturno",tabParametros[[#This Row],[Função]],1)),tabParametros[[#This Row],[Comarca]]&lt;&gt;"Juiz de Fora"),tabParametros[[#This Row],[Salário Base]]/210*0.39*7*15.5,IF(ISNUMBER(SEARCH("Noturno",tabParametros[[#This Row],[Função]],1)),tabParametros[[#This Row],[Salário Base]]/210*0.2*8*15.5,0))</f>
        <v>0</v>
      </c>
      <c r="M4" s="250">
        <f>IF(ISNUMBER(SEARCH("Motorista II",tabParametros[[#This Row],[Função]],1)),0.25*tabParametros[[#This Row],[Salário Base]],0)</f>
        <v>0</v>
      </c>
      <c r="N4" s="250">
        <v>0</v>
      </c>
      <c r="O4" s="250">
        <f>IF(ISNUMBER(SEARCH("TECNOLOGIA DA INFORMACAO",tabParametros[[#This Row],[Função]],1)),0.0201*tabParametros[[#This Row],[Salário Base]],0)</f>
        <v>0</v>
      </c>
      <c r="P4" s="250" cm="1">
        <f t="array" ref="P4">_xlfn.IFS(
ISNUMBER(SEARCH("Auxiliar de Limpeza - 75 h",tabParametros[[#This Row],[Função]],1)),tabParametros[[#This Row],[Salário Base]]/75*0.75*30*0.12,
ISNUMBER(SEARCH("Auxiliar de Limpeza - 110 h",tabParametros[[#This Row],[Função]],1)),tabParametros[[#This Row],[Salário Base]]/110*1*30*0.12,
ISNUMBER(SEARCH("Auxiliar de Limpeza - 150 h",tabParametros[[#This Row],[Função]],1)),tabParametros[[#This Row],[Salário Base]]/150*1.5*30*0.12,
ISNUMBER(SEARCH("Auxiliar de Limpeza - 220 h",tabParametros[[#This Row],[Função]],1)),tabParametros[[#This Row],[Salário Base]]/220*2*30*0.12,
ISNUMBER(SEARCH("Auxiliar de Limpeza - 12 x 36",tabParametros[[#This Row],[Função]],1)),tabParametros[[#This Row],[Salário Base]]/220*2*30*0.12,
ISNUMBER(SEARCH("Auxiliar de Limpeza - 55 h",tabParametros[[#This Row],[Função]],1))=FALSE,0)</f>
        <v>26.120945454545453</v>
      </c>
      <c r="Q4" s="251">
        <f>VLOOKUP(tabParametros[[#Headers],[INSS]],tabImpostosNacionais[],2,0)</f>
        <v>0.2</v>
      </c>
      <c r="R4" s="251">
        <f>VLOOKUP(tabParametros[[#Headers],[SESI OU SESC]],tabImpostosNacionais[],2,0)</f>
        <v>1.4999999999999999E-2</v>
      </c>
      <c r="S4" s="251">
        <f>VLOOKUP(tabParametros[[#Headers],[SENAI OU SENAC]],tabImpostosNacionais[],2,0)</f>
        <v>0.01</v>
      </c>
      <c r="T4" s="251">
        <f>VLOOKUP(tabParametros[[#Headers],[INCRA]],tabImpostosNacionais[],2,0)</f>
        <v>2E-3</v>
      </c>
      <c r="U4" s="251">
        <f>VLOOKUP(tabParametros[[#Headers],[Salário Educação]],tabImpostosNacionais[],2,0)</f>
        <v>2.5000000000000001E-2</v>
      </c>
      <c r="V4" s="251">
        <f>VLOOKUP(tabParametros[[#Headers],[FGTS]],tabImpostosNacionais[],2,0)</f>
        <v>0.08</v>
      </c>
      <c r="W4" s="251">
        <f>VLOOKUP(tabParametros[[#Headers],[RAT Ajustado]],tabImpostosNacionais[],2,0)</f>
        <v>0.04</v>
      </c>
      <c r="X4" s="251">
        <f>VLOOKUP(tabParametros[[#Headers],[SEBRAE]],tabImpostosNacionais[],2,0)</f>
        <v>6.0000000000000001E-3</v>
      </c>
      <c r="Y4" s="251">
        <f t="shared" ref="Y4:Y67" si="0">1/12</f>
        <v>8.3333333333333329E-2</v>
      </c>
      <c r="Z4" s="251">
        <f t="shared" ref="Z4:Z67" si="1">1/12+1/12/3</f>
        <v>0.1111111111111111</v>
      </c>
      <c r="AA4" s="250">
        <f>VLOOKUP(tabParametros[[#This Row],[Comarca]],tabComarca[],5,0)</f>
        <v>6.4</v>
      </c>
      <c r="AB4" s="250">
        <f>IFERROR(VLOOKUP(tabParametros[[#This Row],[CCT DA CATEGORIA]],tabSindicatos[],6,0),0)</f>
        <v>29.15</v>
      </c>
      <c r="AC4" s="250">
        <f>IFERROR(VLOOKUP(tabParametros[[#This Row],[CCT DA CATEGORIA]],tabSindicatos[],7,0),0)</f>
        <v>0</v>
      </c>
      <c r="AD4" s="250" cm="1">
        <f t="array" ref="AD4">_xlfn.LET(
_xlpm.COMARCA, TRIM(UPPER(SUBSTITUTE(SUBSTITUTE(SUBSTITUTE(SUBSTITUTE(SUBSTITUTE(SUBSTITUTE(SUBSTITUTE(SUBSTITUTE(SUBSTITUTE(SUBSTITUTE(SUBSTITUTE(SUBSTITUTE(SUBSTITUTE(SUBSTITUTE(SUBSTITUTE(SUBSTITUTE(SUBSTITUTE(SUBSTITUTE(SUBSTITUTE(SUBSTITUTE(SUBSTITUTE(SUBSTITUTE(SUBSTITUTE(SUBSTITUTE(SUBSTITUTE(SUBSTITUTE(tabParametros[[#This Row],[Comarca]],"á","a"),"ã","a"),"â","a"),"é","e"),"ê","e"),"í","i"),"ó","o"),"õ","o"),"ô","o"),"ú","u"),"ç","c"),"Á","a"),"Ã","a"),"Â","a"),"É","e"),"Ê","e"),"Í","i"),"Ó","o"),"Õ","o"),"Ô","o"),"Ú","u"),"Ç","c"),"/MG","")," e ",", ")," ",""),".",""))),
_xlpm.MATRIZ_COMARCA, TRIM(UPPER(SUBSTITUTE(SUBSTITUTE(SUBSTITUTE(SUBSTITUTE(SUBSTITUTE(SUBSTITUTE(SUBSTITUTE(SUBSTITUTE(SUBSTITUTE(SUBSTITUTE(SUBSTITUTE(SUBSTITUTE(SUBSTITUTE(SUBSTITUTE(SUBSTITUTE(SUBSTITUTE(SUBSTITUTE(SUBSTITUTE(SUBSTITUTE(SUBSTITUTE(SUBSTITUTE(SUBSTITUTE(SUBSTITUTE(SUBSTITUTE(SUBSTITUTE(SUBSTITUTE(tabSindicatos[COMARCAS PAF],"á","a"),"ã","a"),"â","a"),"é","e"),"ê","e"),"í","i"),"ó","o"),"õ","o"),"ô","o"),"ú","u"),"ç","c"),"Á","a"),"Ã","a"),"Â","a"),"É","e"),"Ê","e"),"Í","i"),"Ó","o"),"Õ","o"),"Ô","o"),"Ú","u"),"Ç","c"),"/MG","")," e ",", ")," ",""),".",""))),
IFERROR(IF(_xlfn.XLOOKUP(tabParametros[[#This Row],[CCT DA CATEGORIA]],tabSindicatos[SINDICATOS],tabSindicatos[COMARCAS PAF])="",
VLOOKUP(tabParametros[[#This Row],[CCT DA CATEGORIA]],tabSindicatos[],8,0),
IF(ISNUMBER(SEARCH(TRIM(_xlpm.COMARCA),_xlfn.XLOOKUP(tabParametros[[#This Row],[CCT DA CATEGORIA]],tabSindicatos[SINDICATOS],_xlpm.MATRIZ_COMARCA),1)),VLOOKUP(tabParametros[[#This Row],[CCT DA CATEGORIA]],tabSindicatos[],8,0),0)
),0)
)</f>
        <v>51.74</v>
      </c>
      <c r="AE4" s="250">
        <f>IFERROR(VLOOKUP(tabParametros[[#This Row],[CCT DA CATEGORIA]],tabSindicatos[],9,0),0)</f>
        <v>0</v>
      </c>
      <c r="AF4" s="250">
        <f>IFERROR(VLOOKUP(tabParametros[[#This Row],[CCT DA CATEGORIA]],tabSindicatos[],10,0),0)</f>
        <v>0</v>
      </c>
      <c r="AG4" s="252">
        <f>VLOOKUP(tabParametros[[#Headers],[Seguro de Vida]],tabOutrosCustos[],3,0)</f>
        <v>3.36</v>
      </c>
      <c r="AH4" s="252">
        <f>IF(ISNUMBER(SEARCH("MOTORISTA",tabParametros[[#This Row],[Função]],1)),VLOOKUP("MOTORISTAS",tabDiarias[],2,0),IF(tabParametros[[#This Row],[Comarca]]="Belo Horizonte",VLOOKUP("LIMPEZA",tabDiarias[],2,0),0))</f>
        <v>0</v>
      </c>
      <c r="AI4" s="251">
        <f t="shared" ref="AI4:AI67" si="2">(1/12*7%)+((1+1+1/3)*1/12)*(7%/12)+((1/12*0.05)+((1+1+1/3)*1/12)*(7%/12))/30*3*5/60</f>
        <v>7.011766975308642E-3</v>
      </c>
      <c r="AJ4" s="253">
        <f>tabParametros[[#This Row],[FGTS]]*tabParametros[[#This Row],[Aviso Prévio Indenizado (API) e Reflexo do Aviso Prévio Indenizado]]</f>
        <v>5.609413580246914E-4</v>
      </c>
      <c r="AK4" s="253">
        <f>tabParametros[[#This Row],[FGTS]]*tabParametros[[#This Row],[Aviso Prévio Indenizado (API) e Reflexo do Aviso Prévio Indenizado]]*40%</f>
        <v>2.2437654320987658E-4</v>
      </c>
      <c r="AL4" s="251">
        <f t="shared" ref="AL4:AL67" si="3">((1/30*7)*0.9)/60</f>
        <v>3.5000000000000005E-3</v>
      </c>
      <c r="AM4" s="251">
        <f>tabParametros[[#This Row],[Aviso Prévio Trabalhado - APT]]*SUM(tabParametros[[#This Row],[INSS]:[SEBRAE]])</f>
        <v>1.3230000000000004E-3</v>
      </c>
      <c r="AN4" s="251">
        <f t="shared" ref="AN4:AN67" si="4">0.4*0.08*0.8*(1+1/12+1/12+1/3/12)</f>
        <v>3.0577777777777773E-2</v>
      </c>
      <c r="AO4" s="251">
        <f t="shared" ref="AO4:AO67" si="5">(1*1%)/12</f>
        <v>8.3333333333333339E-4</v>
      </c>
      <c r="AP4" s="251">
        <f t="shared" ref="AP4:AP67" si="6">1/30*3.04/12</f>
        <v>8.4444444444444437E-3</v>
      </c>
      <c r="AQ4" s="251">
        <f t="shared" ref="AQ4:AQ67" si="7">0.73/30/12</f>
        <v>2.0277777777777777E-3</v>
      </c>
      <c r="AR4" s="251">
        <f t="shared" ref="AR4:AR67" si="8">5/30/12*1.23%</f>
        <v>1.7083333333333333E-4</v>
      </c>
      <c r="AS4" s="251">
        <f t="shared" ref="AS4:AS67" si="9">1/30*15*0.5%/12</f>
        <v>2.0833333333333335E-4</v>
      </c>
      <c r="AT4" s="251">
        <f t="shared" ref="AT4:AT67" si="10">((1/12+1/12+1/3/12)*4/12)*2%</f>
        <v>1.2962962962962963E-3</v>
      </c>
      <c r="AU4" s="253">
        <f>SUM(tabParametros[[#This Row],[Ausência por Doença]:[Férias, Adicional de Férias e 13º  com empregada em gozo de Licença Maternidade]])*SUM(tabParametros[[#This Row],[INSS]:[SEBRAE]])</f>
        <v>4.5918250000000008E-3</v>
      </c>
      <c r="AV4" s="250">
        <f>IF(tabParametros[[#This Row],[Função]]="Porteiro - 220 h",SUM(tabParametros[[#This Row],[Salário Base]:[Adicional de Acúmulo de função]])/220*20*1.5,IF(ISNUMBER(SEARCH("12 x 36",tabParametros[[#This Row],[Função]],1)),SUM(tabParametros[[#This Row],[Salário Base]:[Adicional de Acúmulo de função]])/210*15.5*1.5,0))</f>
        <v>0</v>
      </c>
      <c r="AW4" s="250">
        <f>IF(tabParametros[[#This Row],[Vagas contratadas]]&gt;0,(SUM(tabParametros[[#This Row],[Salário Base]:[Adicional de Acúmulo de função]])*30%+SUM(tabParametros[[#This Row],[Vale - Alimentação]:[Seguro de Vida]]))/tabParametros[[#This Row],[Vagas contratadas]]*tabParametros[[#This Row],[Vagas suspensas]],0)</f>
        <v>0</v>
      </c>
      <c r="AX4" s="250">
        <f>SUMIF(tabUniformes[Cargo],tabParametros[[#This Row],[Função]],tabUniformes[Valor unit. Mensal])</f>
        <v>62.806666666666665</v>
      </c>
      <c r="AY4" s="281">
        <f>IF(ISNUMBER(SEARCH("AUXILIAR DE LIMPEZA - 75 H",tabParametros[[#This Row],[Função]],1)),
SUMIF(tabLimpGeral[TIPO],"Material",tabLimpGeral[VALOR UNITÁRIO P/ HORA (R$)])*75,
IF(ISNUMBER(SEARCH("AUXILIAR DE LIMPEZA - 110 H",tabParametros[[#This Row],[Função]],1)),
SUMIF(tabLimpGeral[TIPO],"Material",tabLimpGeral[VALOR UNITÁRIO P/ HORA (R$)])*110,
IF(ISNUMBER(SEARCH("AUXILIAR DE LIMPEZA - 150 H",tabParametros[[#This Row],[Função]],1)),
SUMIF(tabLimpGeral[TIPO],"Material",tabLimpGeral[VALOR UNITÁRIO P/ HORA (R$)])*150,
IF(ISNUMBER(SEARCH("AUXILIAR DE LIMPEZA - 220 H",tabParametros[[#This Row],[Função]],1)),
SUMIF(tabLimpGeral[TIPO],"Material",tabLimpGeral[VALOR UNITÁRIO P/ HORA (R$)])*220,
IF(ISNUMBER(SEARCH("AUXILIAR DE LIMPEZA - 12 x 36",tabParametros[[#This Row],[Função]],1)),
SUMIF(tabLimpGeral[TIPO],"Material",tabLimpGeral[VALOR UNITÁRIO P/ HORA (R$)])*220,
IF(ISNUMBER(SEARCH("Limpador de vidros - 220 h",tabParametros[[#This Row],[Função]],1)),
SUMIF(tabVidros[TIPO],"Material",tabVidros[VALOR UNITÁRIO P/ POSTO (R$)]),
0))))))</f>
        <v>17.759106479291944</v>
      </c>
      <c r="AZ4" s="281">
        <f>IF(ISNUMBER(SEARCH("AUXILIAR DE LIMPEZA - 75 H",tabParametros[[#This Row],[Função]],1)),
SUMIF(tabLimpGeral[TIPO],"Equipamento",tabLimpGeral[VALOR UNITÁRIO P/ HORA (R$)])*75,
IF(ISNUMBER(SEARCH("AUXILIAR DE LIMPEZA - 110 H",tabParametros[[#This Row],[Função]],1)),
SUMIF(tabLimpGeral[TIPO],"Equipamento",tabLimpGeral[VALOR UNITÁRIO P/ HORA (R$)])*110,
IF(ISNUMBER(SEARCH("AUXILIAR DE LIMPEZA - 150 H",tabParametros[[#This Row],[Função]],1)),
SUMIF(tabLimpGeral[TIPO],"Equipamento",tabLimpGeral[VALOR UNITÁRIO P/ HORA (R$)])*150,
IF(ISNUMBER(SEARCH("AUXILIAR DE LIMPEZA - 220 H",tabParametros[[#This Row],[Função]],1)),
SUMIF(tabLimpGeral[TIPO],"Equipamento",tabLimpGeral[VALOR UNITÁRIO P/ HORA (R$)])*220,
IF(ISNUMBER(SEARCH("AUXILIAR DE LIMPEZA - 12 x 36",tabParametros[[#This Row],[Função]],1)),
SUMIF(tabLimpGeral[TIPO],"Equipamento",tabLimpGeral[VALOR UNITÁRIO P/ HORA (R$)])*220,
IF(ISNUMBER(SEARCH("Limpador de vidros - 220 h",tabParametros[[#This Row],[Função]],1)),
SUMIF(tabVidros[TIPO],"Equipamento",tabVidros[VALOR UNITÁRIO P/ POSTO (R$)]),
0))))))</f>
        <v>32.264696957412788</v>
      </c>
      <c r="BA4" s="281">
        <f>IF(ISNUMBER(SEARCH("AUXILIAR DE LIMPEZA - 75 H",tabParametros[[#This Row],[Função]],1)),
SUMIF(tabLimpGeral[TIPO],"Produto",tabLimpGeral[VALOR UNITÁRIO P/ HORA (R$)])*75,
IF(ISNUMBER(SEARCH("AUXILIAR DE LIMPEZA - 110 H",tabParametros[[#This Row],[Função]],1)),
SUMIF(tabLimpGeral[TIPO],"Produto",tabLimpGeral[VALOR UNITÁRIO P/ HORA (R$)])*110,
IF(ISNUMBER(SEARCH("AUXILIAR DE LIMPEZA - 150 H",tabParametros[[#This Row],[Função]],1)),
SUMIF(tabLimpGeral[TIPO],"Produto",tabLimpGeral[VALOR UNITÁRIO P/ HORA (R$)])*150,
IF(ISNUMBER(SEARCH("AUXILIAR DE LIMPEZA - 220 H",tabParametros[[#This Row],[Função]],1)),
SUMIF(tabLimpGeral[TIPO],"Produto",tabLimpGeral[VALOR UNITÁRIO P/ HORA (R$)])*220,
IF(ISNUMBER(SEARCH("AUXILIAR DE LIMPEZA - 12 x 36",tabParametros[[#This Row],[Função]],1)),
SUMIF(tabLimpGeral[TIPO],"Produto",tabLimpGeral[VALOR UNITÁRIO P/ HORA (R$)])*220,
IF(ISNUMBER(SEARCH("Limpador de vidros - 220 h",tabParametros[[#This Row],[Função]],1)),
SUMIF(tabVidros[TIPO],"Produto",tabVidros[VALOR UNITÁRIO P/ POSTO (R$)]),
0))))))</f>
        <v>345.13576638965827</v>
      </c>
      <c r="BB4" s="281">
        <v>0</v>
      </c>
      <c r="BC4" s="252">
        <f>VLOOKUP(tabParametros[[#Headers],[Custos Indiretos]],tabOutrosCustos[],3,0)</f>
        <v>189.64880140242613</v>
      </c>
      <c r="BD4" s="252">
        <f>VLOOKUP(tabParametros[[#Headers],[Lucro]],tabOutrosCustos[],3,0)</f>
        <v>159.30499317803796</v>
      </c>
      <c r="BE4" s="251">
        <f>VLOOKUP(tabParametros[[#Headers],[COFINS]],tabImpostosNacionais[],2,0)</f>
        <v>7.5999999999999998E-2</v>
      </c>
      <c r="BF4" s="251">
        <f>VLOOKUP(tabParametros[[#Headers],[PIS]],tabImpostosNacionais[],2,0)</f>
        <v>1.6500000000000001E-2</v>
      </c>
      <c r="BG4" s="251">
        <f>VLOOKUP(tabParametros[[#This Row],[Comarca]],tabComarca[],4,0)</f>
        <v>2.5000000000000001E-2</v>
      </c>
      <c r="BH4" s="254">
        <f>IFERROR(VLOOKUP(tabParametros[[#This Row],[CCT DA CATEGORIA]],tabSindicatos[],11,0),"")</f>
        <v>45658</v>
      </c>
      <c r="BI4" s="290" t="str">
        <f>IFERROR(VLOOKUP(tabParametros[[#This Row],[CCT DA CATEGORIA]],tabSindicatos[],12,0),"")</f>
        <v>-</v>
      </c>
      <c r="BJ4" s="294" t="str">
        <f>IFERROR(VLOOKUP(tabParametros[[#This Row],[CCT DA CATEGORIA]],tabSindicatos[],13,0),"")</f>
        <v>-</v>
      </c>
    </row>
    <row r="5" spans="1:67" x14ac:dyDescent="0.25">
      <c r="A5" s="233" t="s">
        <v>1351</v>
      </c>
      <c r="B5" s="198" t="s">
        <v>11</v>
      </c>
      <c r="C5" s="198" t="s">
        <v>1244</v>
      </c>
      <c r="D5" s="198" t="str">
        <f>VLOOKUP(tabParametros[[#This Row],[Código do Posto]],tabPostos[],4,0)</f>
        <v>Fethemg Interior</v>
      </c>
      <c r="E5" s="289" t="str">
        <f>VLOOKUP(tabParametros[[#This Row],[Código do Posto]],tabPostos[],5,0)</f>
        <v>Limpeza</v>
      </c>
      <c r="F5" s="289" t="str">
        <f>VLOOKUP(tabParametros[[#This Row],[Código do Posto]],tabPostos[],6,0)</f>
        <v>PGJ</v>
      </c>
      <c r="G5" s="289">
        <f>VLOOKUP(tabParametros[[#This Row],[Código do Posto]],tabPostos[],7,0)</f>
        <v>1</v>
      </c>
      <c r="H5" s="289">
        <f>VLOOKUP(tabParametros[[#This Row],[Código do Posto]],tabPostos[],8,0)</f>
        <v>0</v>
      </c>
      <c r="I5" s="234">
        <f>VLOOKUP(tabParametros[[#This Row],[Código do Posto]],tabPostos[],9,0)</f>
        <v>798.14</v>
      </c>
      <c r="J5" s="234">
        <f>IF(ISNUMBER(SEARCH("Eletricista",tabParametros[[#This Row],[Função]],1)),0.3*tabParametros[[#This Row],[Salário Base]],0)</f>
        <v>0</v>
      </c>
      <c r="K5" s="234">
        <f>IF(OR(ISNUMBER(SEARCH("Bombeiro Hidraulico",tabParametros[[#This Row],[Função]],1)),ISNUMBER(SEARCH("Jardineiro",tabParametros[[#This Row],[Função]],1)),ISNUMBER(SEARCH("Lavador de Veiculos",tabParametros[[#This Row],[Função]],1)),ISNUMBER(SEARCH("Marceneiro",tabParametros[[#This Row],[Função]],1)),ISNUMBER(SEARCH("Pintor",tabParametros[[#This Row],[Função]],1))),0.2*'BASE GERAL'!$R$4,0)</f>
        <v>0</v>
      </c>
      <c r="L5" s="234">
        <f>IF(AND(ISNUMBER(SEARCH("Noturno",tabParametros[[#This Row],[Função]],1)),tabParametros[[#This Row],[Comarca]]&lt;&gt;"Juiz de Fora"),tabParametros[[#This Row],[Salário Base]]/210*0.39*7*15.5,IF(ISNUMBER(SEARCH("Noturno",tabParametros[[#This Row],[Função]],1)),tabParametros[[#This Row],[Salário Base]]/210*0.2*8*15.5,0))</f>
        <v>0</v>
      </c>
      <c r="M5" s="234">
        <f>IF(ISNUMBER(SEARCH("Motorista II",tabParametros[[#This Row],[Função]],1)),0.25*tabParametros[[#This Row],[Salário Base]],0)</f>
        <v>0</v>
      </c>
      <c r="N5" s="250">
        <v>0</v>
      </c>
      <c r="O5" s="234">
        <f>IF(ISNUMBER(SEARCH("TECNOLOGIA DA INFORMACAO",tabParametros[[#This Row],[Função]],1)),0.0201*tabParametros[[#This Row],[Salário Base]],0)</f>
        <v>0</v>
      </c>
      <c r="P5" s="250" cm="1">
        <f t="array" ref="P5">_xlfn.IFS(
ISNUMBER(SEARCH("Auxiliar de Limpeza - 75 h",tabParametros[[#This Row],[Função]],1)),tabParametros[[#This Row],[Salário Base]]/75*0.75*30*0.12,
ISNUMBER(SEARCH("Auxiliar de Limpeza - 110 h",tabParametros[[#This Row],[Função]],1)),tabParametros[[#This Row],[Salário Base]]/110*1*30*0.12,
ISNUMBER(SEARCH("Auxiliar de Limpeza - 150 h",tabParametros[[#This Row],[Função]],1)),tabParametros[[#This Row],[Salário Base]]/150*1.5*30*0.12,
ISNUMBER(SEARCH("Auxiliar de Limpeza - 220 h",tabParametros[[#This Row],[Função]],1)),tabParametros[[#This Row],[Salário Base]]/220*2*30*0.12,
ISNUMBER(SEARCH("Auxiliar de Limpeza - 12 x 36",tabParametros[[#This Row],[Função]],1)),tabParametros[[#This Row],[Salário Base]]/220*2*30*0.12,
ISNUMBER(SEARCH("Auxiliar de Limpeza - 55 h",tabParametros[[#This Row],[Função]],1))=FALSE,0)</f>
        <v>26.120945454545453</v>
      </c>
      <c r="Q5" s="235">
        <f>VLOOKUP(tabParametros[[#Headers],[INSS]],tabImpostosNacionais[],2,0)</f>
        <v>0.2</v>
      </c>
      <c r="R5" s="235">
        <f>VLOOKUP(tabParametros[[#Headers],[SESI OU SESC]],tabImpostosNacionais[],2,0)</f>
        <v>1.4999999999999999E-2</v>
      </c>
      <c r="S5" s="235">
        <f>VLOOKUP(tabParametros[[#Headers],[SENAI OU SENAC]],tabImpostosNacionais[],2,0)</f>
        <v>0.01</v>
      </c>
      <c r="T5" s="235">
        <f>VLOOKUP(tabParametros[[#Headers],[INCRA]],tabImpostosNacionais[],2,0)</f>
        <v>2E-3</v>
      </c>
      <c r="U5" s="235">
        <f>VLOOKUP(tabParametros[[#Headers],[Salário Educação]],tabImpostosNacionais[],2,0)</f>
        <v>2.5000000000000001E-2</v>
      </c>
      <c r="V5" s="235">
        <f>VLOOKUP(tabParametros[[#Headers],[FGTS]],tabImpostosNacionais[],2,0)</f>
        <v>0.08</v>
      </c>
      <c r="W5" s="235">
        <f>VLOOKUP(tabParametros[[#Headers],[RAT Ajustado]],tabImpostosNacionais[],2,0)</f>
        <v>0.04</v>
      </c>
      <c r="X5" s="235">
        <f>VLOOKUP(tabParametros[[#Headers],[SEBRAE]],tabImpostosNacionais[],2,0)</f>
        <v>6.0000000000000001E-3</v>
      </c>
      <c r="Y5" s="235">
        <f t="shared" si="0"/>
        <v>8.3333333333333329E-2</v>
      </c>
      <c r="Z5" s="251">
        <f t="shared" si="1"/>
        <v>0.1111111111111111</v>
      </c>
      <c r="AA5" s="234">
        <f>VLOOKUP(tabParametros[[#This Row],[Comarca]],tabComarca[],5,0)</f>
        <v>6.4</v>
      </c>
      <c r="AB5" s="234">
        <f>IFERROR(VLOOKUP(tabParametros[[#This Row],[CCT DA CATEGORIA]],tabSindicatos[],6,0),0)</f>
        <v>29.15</v>
      </c>
      <c r="AC5" s="234">
        <f>IFERROR(VLOOKUP(tabParametros[[#This Row],[CCT DA CATEGORIA]],tabSindicatos[],7,0),0)</f>
        <v>0</v>
      </c>
      <c r="AD5" s="234" cm="1">
        <f t="array" ref="AD5">_xlfn.LET(
_xlpm.COMARCA, TRIM(UPPER(SUBSTITUTE(SUBSTITUTE(SUBSTITUTE(SUBSTITUTE(SUBSTITUTE(SUBSTITUTE(SUBSTITUTE(SUBSTITUTE(SUBSTITUTE(SUBSTITUTE(SUBSTITUTE(SUBSTITUTE(SUBSTITUTE(SUBSTITUTE(SUBSTITUTE(SUBSTITUTE(SUBSTITUTE(SUBSTITUTE(SUBSTITUTE(SUBSTITUTE(SUBSTITUTE(SUBSTITUTE(SUBSTITUTE(SUBSTITUTE(SUBSTITUTE(SUBSTITUTE(tabParametros[[#This Row],[Comarca]],"á","a"),"ã","a"),"â","a"),"é","e"),"ê","e"),"í","i"),"ó","o"),"õ","o"),"ô","o"),"ú","u"),"ç","c"),"Á","a"),"Ã","a"),"Â","a"),"É","e"),"Ê","e"),"Í","i"),"Ó","o"),"Õ","o"),"Ô","o"),"Ú","u"),"Ç","c"),"/MG","")," e ",", ")," ",""),".",""))),
_xlpm.MATRIZ_COMARCA, TRIM(UPPER(SUBSTITUTE(SUBSTITUTE(SUBSTITUTE(SUBSTITUTE(SUBSTITUTE(SUBSTITUTE(SUBSTITUTE(SUBSTITUTE(SUBSTITUTE(SUBSTITUTE(SUBSTITUTE(SUBSTITUTE(SUBSTITUTE(SUBSTITUTE(SUBSTITUTE(SUBSTITUTE(SUBSTITUTE(SUBSTITUTE(SUBSTITUTE(SUBSTITUTE(SUBSTITUTE(SUBSTITUTE(SUBSTITUTE(SUBSTITUTE(SUBSTITUTE(SUBSTITUTE(tabSindicatos[COMARCAS PAF],"á","a"),"ã","a"),"â","a"),"é","e"),"ê","e"),"í","i"),"ó","o"),"õ","o"),"ô","o"),"ú","u"),"ç","c"),"Á","a"),"Ã","a"),"Â","a"),"É","e"),"Ê","e"),"Í","i"),"Ó","o"),"Õ","o"),"Ô","o"),"Ú","u"),"Ç","c"),"/MG","")," e ",", ")," ",""),".",""))),
IFERROR(IF(_xlfn.XLOOKUP(tabParametros[[#This Row],[CCT DA CATEGORIA]],tabSindicatos[SINDICATOS],tabSindicatos[COMARCAS PAF])="",
VLOOKUP(tabParametros[[#This Row],[CCT DA CATEGORIA]],tabSindicatos[],8,0),
IF(ISNUMBER(SEARCH(TRIM(_xlpm.COMARCA),_xlfn.XLOOKUP(tabParametros[[#This Row],[CCT DA CATEGORIA]],tabSindicatos[SINDICATOS],_xlpm.MATRIZ_COMARCA),1)),VLOOKUP(tabParametros[[#This Row],[CCT DA CATEGORIA]],tabSindicatos[],8,0),0)
),0)
)</f>
        <v>0</v>
      </c>
      <c r="AE5" s="234">
        <f>IFERROR(VLOOKUP(tabParametros[[#This Row],[CCT DA CATEGORIA]],tabSindicatos[],9,0),0)</f>
        <v>15.07</v>
      </c>
      <c r="AF5" s="234">
        <f>IFERROR(VLOOKUP(tabParametros[[#This Row],[CCT DA CATEGORIA]],tabSindicatos[],10,0),0)</f>
        <v>0</v>
      </c>
      <c r="AG5" s="236">
        <f>VLOOKUP(tabParametros[[#Headers],[Seguro de Vida]],tabOutrosCustos[],3,0)</f>
        <v>3.36</v>
      </c>
      <c r="AH5" s="236">
        <f>IF(ISNUMBER(SEARCH("MOTORISTA",tabParametros[[#This Row],[Função]],1)),VLOOKUP("MOTORISTAS",tabDiarias[],2,0),IF(tabParametros[[#This Row],[Comarca]]="Belo Horizonte",VLOOKUP("LIMPEZA",tabDiarias[],2,0),0))</f>
        <v>0</v>
      </c>
      <c r="AI5" s="235">
        <f t="shared" si="2"/>
        <v>7.011766975308642E-3</v>
      </c>
      <c r="AJ5" s="237">
        <f>tabParametros[[#This Row],[FGTS]]*tabParametros[[#This Row],[Aviso Prévio Indenizado (API) e Reflexo do Aviso Prévio Indenizado]]</f>
        <v>5.609413580246914E-4</v>
      </c>
      <c r="AK5" s="237">
        <f>tabParametros[[#This Row],[FGTS]]*tabParametros[[#This Row],[Aviso Prévio Indenizado (API) e Reflexo do Aviso Prévio Indenizado]]*40%</f>
        <v>2.2437654320987658E-4</v>
      </c>
      <c r="AL5" s="235">
        <f t="shared" si="3"/>
        <v>3.5000000000000005E-3</v>
      </c>
      <c r="AM5" s="235">
        <f>tabParametros[[#This Row],[Aviso Prévio Trabalhado - APT]]*SUM(tabParametros[[#This Row],[INSS]:[SEBRAE]])</f>
        <v>1.3230000000000004E-3</v>
      </c>
      <c r="AN5" s="235">
        <f t="shared" si="4"/>
        <v>3.0577777777777773E-2</v>
      </c>
      <c r="AO5" s="235">
        <f t="shared" si="5"/>
        <v>8.3333333333333339E-4</v>
      </c>
      <c r="AP5" s="235">
        <f t="shared" si="6"/>
        <v>8.4444444444444437E-3</v>
      </c>
      <c r="AQ5" s="235">
        <f t="shared" si="7"/>
        <v>2.0277777777777777E-3</v>
      </c>
      <c r="AR5" s="235">
        <f t="shared" si="8"/>
        <v>1.7083333333333333E-4</v>
      </c>
      <c r="AS5" s="235">
        <f t="shared" si="9"/>
        <v>2.0833333333333335E-4</v>
      </c>
      <c r="AT5" s="235">
        <f t="shared" si="10"/>
        <v>1.2962962962962963E-3</v>
      </c>
      <c r="AU5" s="237">
        <f>SUM(tabParametros[[#This Row],[Ausência por Doença]:[Férias, Adicional de Férias e 13º  com empregada em gozo de Licença Maternidade]])*SUM(tabParametros[[#This Row],[INSS]:[SEBRAE]])</f>
        <v>4.5918250000000008E-3</v>
      </c>
      <c r="AV5" s="234">
        <f>IF(tabParametros[[#This Row],[Função]]="Porteiro - 220 h",SUM(tabParametros[[#This Row],[Salário Base]:[Adicional de Acúmulo de função]])/220*20*1.5,IF(ISNUMBER(SEARCH("12 x 36",tabParametros[[#This Row],[Função]],1)),SUM(tabParametros[[#This Row],[Salário Base]:[Adicional de Acúmulo de função]])/210*15.5*1.5,0))</f>
        <v>0</v>
      </c>
      <c r="AW5" s="234">
        <f>IF(tabParametros[[#This Row],[Vagas contratadas]]&gt;0,(SUM(tabParametros[[#This Row],[Salário Base]:[Adicional de Acúmulo de função]])*30%+SUM(tabParametros[[#This Row],[Vale - Alimentação]:[Seguro de Vida]]))/tabParametros[[#This Row],[Vagas contratadas]]*tabParametros[[#This Row],[Vagas suspensas]],0)</f>
        <v>0</v>
      </c>
      <c r="AX5" s="234">
        <f>SUMIF(tabUniformes[Cargo],tabParametros[[#This Row],[Função]],tabUniformes[Valor unit. Mensal])</f>
        <v>62.806666666666665</v>
      </c>
      <c r="AY5" s="281">
        <f>IF(ISNUMBER(SEARCH("AUXILIAR DE LIMPEZA - 75 H",tabParametros[[#This Row],[Função]],1)),
SUMIF(tabLimpGeral[TIPO],"Material",tabLimpGeral[VALOR UNITÁRIO P/ HORA (R$)])*75,
IF(ISNUMBER(SEARCH("AUXILIAR DE LIMPEZA - 110 H",tabParametros[[#This Row],[Função]],1)),
SUMIF(tabLimpGeral[TIPO],"Material",tabLimpGeral[VALOR UNITÁRIO P/ HORA (R$)])*110,
IF(ISNUMBER(SEARCH("AUXILIAR DE LIMPEZA - 150 H",tabParametros[[#This Row],[Função]],1)),
SUMIF(tabLimpGeral[TIPO],"Material",tabLimpGeral[VALOR UNITÁRIO P/ HORA (R$)])*150,
IF(ISNUMBER(SEARCH("AUXILIAR DE LIMPEZA - 220 H",tabParametros[[#This Row],[Função]],1)),
SUMIF(tabLimpGeral[TIPO],"Material",tabLimpGeral[VALOR UNITÁRIO P/ HORA (R$)])*220,
IF(ISNUMBER(SEARCH("AUXILIAR DE LIMPEZA - 12 x 36",tabParametros[[#This Row],[Função]],1)),
SUMIF(tabLimpGeral[TIPO],"Material",tabLimpGeral[VALOR UNITÁRIO P/ HORA (R$)])*220,
IF(ISNUMBER(SEARCH("Limpador de vidros - 220 h",tabParametros[[#This Row],[Função]],1)),
SUMIF(tabVidros[TIPO],"Material",tabVidros[VALOR UNITÁRIO P/ POSTO (R$)]),
0))))))</f>
        <v>17.759106479291944</v>
      </c>
      <c r="AZ5" s="281">
        <f>IF(ISNUMBER(SEARCH("AUXILIAR DE LIMPEZA - 75 H",tabParametros[[#This Row],[Função]],1)),
SUMIF(tabLimpGeral[TIPO],"Equipamento",tabLimpGeral[VALOR UNITÁRIO P/ HORA (R$)])*75,
IF(ISNUMBER(SEARCH("AUXILIAR DE LIMPEZA - 110 H",tabParametros[[#This Row],[Função]],1)),
SUMIF(tabLimpGeral[TIPO],"Equipamento",tabLimpGeral[VALOR UNITÁRIO P/ HORA (R$)])*110,
IF(ISNUMBER(SEARCH("AUXILIAR DE LIMPEZA - 150 H",tabParametros[[#This Row],[Função]],1)),
SUMIF(tabLimpGeral[TIPO],"Equipamento",tabLimpGeral[VALOR UNITÁRIO P/ HORA (R$)])*150,
IF(ISNUMBER(SEARCH("AUXILIAR DE LIMPEZA - 220 H",tabParametros[[#This Row],[Função]],1)),
SUMIF(tabLimpGeral[TIPO],"Equipamento",tabLimpGeral[VALOR UNITÁRIO P/ HORA (R$)])*220,
IF(ISNUMBER(SEARCH("AUXILIAR DE LIMPEZA - 12 x 36",tabParametros[[#This Row],[Função]],1)),
SUMIF(tabLimpGeral[TIPO],"Equipamento",tabLimpGeral[VALOR UNITÁRIO P/ HORA (R$)])*220,
IF(ISNUMBER(SEARCH("Limpador de vidros - 220 h",tabParametros[[#This Row],[Função]],1)),
SUMIF(tabVidros[TIPO],"Equipamento",tabVidros[VALOR UNITÁRIO P/ POSTO (R$)]),
0))))))</f>
        <v>32.264696957412788</v>
      </c>
      <c r="BA5" s="281">
        <f>IF(ISNUMBER(SEARCH("AUXILIAR DE LIMPEZA - 75 H",tabParametros[[#This Row],[Função]],1)),
SUMIF(tabLimpGeral[TIPO],"Produto",tabLimpGeral[VALOR UNITÁRIO P/ HORA (R$)])*75,
IF(ISNUMBER(SEARCH("AUXILIAR DE LIMPEZA - 110 H",tabParametros[[#This Row],[Função]],1)),
SUMIF(tabLimpGeral[TIPO],"Produto",tabLimpGeral[VALOR UNITÁRIO P/ HORA (R$)])*110,
IF(ISNUMBER(SEARCH("AUXILIAR DE LIMPEZA - 150 H",tabParametros[[#This Row],[Função]],1)),
SUMIF(tabLimpGeral[TIPO],"Produto",tabLimpGeral[VALOR UNITÁRIO P/ HORA (R$)])*150,
IF(ISNUMBER(SEARCH("AUXILIAR DE LIMPEZA - 220 H",tabParametros[[#This Row],[Função]],1)),
SUMIF(tabLimpGeral[TIPO],"Produto",tabLimpGeral[VALOR UNITÁRIO P/ HORA (R$)])*220,
IF(ISNUMBER(SEARCH("AUXILIAR DE LIMPEZA - 12 x 36",tabParametros[[#This Row],[Função]],1)),
SUMIF(tabLimpGeral[TIPO],"Produto",tabLimpGeral[VALOR UNITÁRIO P/ HORA (R$)])*220,
IF(ISNUMBER(SEARCH("Limpador de vidros - 220 h",tabParametros[[#This Row],[Função]],1)),
SUMIF(tabVidros[TIPO],"Produto",tabVidros[VALOR UNITÁRIO P/ POSTO (R$)]),
0))))))</f>
        <v>345.13576638965827</v>
      </c>
      <c r="BB5" s="281">
        <v>0</v>
      </c>
      <c r="BC5" s="236">
        <f>VLOOKUP(tabParametros[[#Headers],[Custos Indiretos]],tabOutrosCustos[],3,0)</f>
        <v>189.64880140242613</v>
      </c>
      <c r="BD5" s="236">
        <f>VLOOKUP(tabParametros[[#Headers],[Lucro]],tabOutrosCustos[],3,0)</f>
        <v>159.30499317803796</v>
      </c>
      <c r="BE5" s="235">
        <f>VLOOKUP(tabParametros[[#Headers],[COFINS]],tabImpostosNacionais[],2,0)</f>
        <v>7.5999999999999998E-2</v>
      </c>
      <c r="BF5" s="235">
        <f>VLOOKUP(tabParametros[[#Headers],[PIS]],tabImpostosNacionais[],2,0)</f>
        <v>1.6500000000000001E-2</v>
      </c>
      <c r="BG5" s="235">
        <f>VLOOKUP(tabParametros[[#This Row],[Comarca]],tabComarca[],4,0)</f>
        <v>0.02</v>
      </c>
      <c r="BH5" s="238">
        <f>IFERROR(VLOOKUP(tabParametros[[#This Row],[CCT DA CATEGORIA]],tabSindicatos[],11,0),"")</f>
        <v>45658</v>
      </c>
      <c r="BI5" s="289" t="str">
        <f>IFERROR(VLOOKUP(tabParametros[[#This Row],[CCT DA CATEGORIA]],tabSindicatos[],12,0),"")</f>
        <v>-</v>
      </c>
      <c r="BJ5" s="293" t="str">
        <f>IFERROR(VLOOKUP(tabParametros[[#This Row],[CCT DA CATEGORIA]],tabSindicatos[],13,0),"")</f>
        <v>-</v>
      </c>
    </row>
    <row r="6" spans="1:67" x14ac:dyDescent="0.25">
      <c r="A6" s="233" t="s">
        <v>1352</v>
      </c>
      <c r="B6" s="198" t="s">
        <v>12</v>
      </c>
      <c r="C6" s="198" t="s">
        <v>1245</v>
      </c>
      <c r="D6" s="198" t="str">
        <f>VLOOKUP(tabParametros[[#This Row],[Código do Posto]],tabPostos[],4,0)</f>
        <v>Regiao de Teofilo Otoni</v>
      </c>
      <c r="E6" s="289" t="str">
        <f>VLOOKUP(tabParametros[[#This Row],[Código do Posto]],tabPostos[],5,0)</f>
        <v>Limpeza</v>
      </c>
      <c r="F6" s="289" t="str">
        <f>VLOOKUP(tabParametros[[#This Row],[Código do Posto]],tabPostos[],6,0)</f>
        <v>PGJ</v>
      </c>
      <c r="G6" s="289">
        <f>VLOOKUP(tabParametros[[#This Row],[Código do Posto]],tabPostos[],7,0)</f>
        <v>1</v>
      </c>
      <c r="H6" s="289">
        <f>VLOOKUP(tabParametros[[#This Row],[Código do Posto]],tabPostos[],8,0)</f>
        <v>0</v>
      </c>
      <c r="I6" s="234">
        <f>VLOOKUP(tabParametros[[#This Row],[Código do Posto]],tabPostos[],9,0)</f>
        <v>1596.28</v>
      </c>
      <c r="J6" s="234">
        <f>IF(ISNUMBER(SEARCH("Eletricista",tabParametros[[#This Row],[Função]],1)),0.3*tabParametros[[#This Row],[Salário Base]],0)</f>
        <v>0</v>
      </c>
      <c r="K6" s="234">
        <f>IF(OR(ISNUMBER(SEARCH("Bombeiro Hidraulico",tabParametros[[#This Row],[Função]],1)),ISNUMBER(SEARCH("Jardineiro",tabParametros[[#This Row],[Função]],1)),ISNUMBER(SEARCH("Lavador de Veiculos",tabParametros[[#This Row],[Função]],1)),ISNUMBER(SEARCH("Marceneiro",tabParametros[[#This Row],[Função]],1)),ISNUMBER(SEARCH("Pintor",tabParametros[[#This Row],[Função]],1))),0.2*'BASE GERAL'!$R$4,0)</f>
        <v>0</v>
      </c>
      <c r="L6" s="234">
        <f>IF(AND(ISNUMBER(SEARCH("Noturno",tabParametros[[#This Row],[Função]],1)),tabParametros[[#This Row],[Comarca]]&lt;&gt;"Juiz de Fora"),tabParametros[[#This Row],[Salário Base]]/210*0.39*7*15.5,IF(ISNUMBER(SEARCH("Noturno",tabParametros[[#This Row],[Função]],1)),tabParametros[[#This Row],[Salário Base]]/210*0.2*8*15.5,0))</f>
        <v>0</v>
      </c>
      <c r="M6" s="234">
        <f>IF(ISNUMBER(SEARCH("Motorista II",tabParametros[[#This Row],[Função]],1)),0.25*tabParametros[[#This Row],[Salário Base]],0)</f>
        <v>0</v>
      </c>
      <c r="N6" s="250">
        <v>0</v>
      </c>
      <c r="O6" s="234">
        <f>IF(ISNUMBER(SEARCH("TECNOLOGIA DA INFORMACAO",tabParametros[[#This Row],[Função]],1)),0.0201*tabParametros[[#This Row],[Salário Base]],0)</f>
        <v>0</v>
      </c>
      <c r="P6" s="250" cm="1">
        <f t="array" ref="P6">_xlfn.IFS(
ISNUMBER(SEARCH("Auxiliar de Limpeza - 75 h",tabParametros[[#This Row],[Função]],1)),tabParametros[[#This Row],[Salário Base]]/75*0.75*30*0.12,
ISNUMBER(SEARCH("Auxiliar de Limpeza - 110 h",tabParametros[[#This Row],[Função]],1)),tabParametros[[#This Row],[Salário Base]]/110*1*30*0.12,
ISNUMBER(SEARCH("Auxiliar de Limpeza - 150 h",tabParametros[[#This Row],[Função]],1)),tabParametros[[#This Row],[Salário Base]]/150*1.5*30*0.12,
ISNUMBER(SEARCH("Auxiliar de Limpeza - 220 h",tabParametros[[#This Row],[Função]],1)),tabParametros[[#This Row],[Salário Base]]/220*2*30*0.12,
ISNUMBER(SEARCH("Auxiliar de Limpeza - 12 x 36",tabParametros[[#This Row],[Função]],1)),tabParametros[[#This Row],[Salário Base]]/220*2*30*0.12,
ISNUMBER(SEARCH("Auxiliar de Limpeza - 55 h",tabParametros[[#This Row],[Função]],1))=FALSE,0)</f>
        <v>52.241890909090905</v>
      </c>
      <c r="Q6" s="235">
        <f>VLOOKUP(tabParametros[[#Headers],[INSS]],tabImpostosNacionais[],2,0)</f>
        <v>0.2</v>
      </c>
      <c r="R6" s="235">
        <f>VLOOKUP(tabParametros[[#Headers],[SESI OU SESC]],tabImpostosNacionais[],2,0)</f>
        <v>1.4999999999999999E-2</v>
      </c>
      <c r="S6" s="235">
        <f>VLOOKUP(tabParametros[[#Headers],[SENAI OU SENAC]],tabImpostosNacionais[],2,0)</f>
        <v>0.01</v>
      </c>
      <c r="T6" s="235">
        <f>VLOOKUP(tabParametros[[#Headers],[INCRA]],tabImpostosNacionais[],2,0)</f>
        <v>2E-3</v>
      </c>
      <c r="U6" s="235">
        <f>VLOOKUP(tabParametros[[#Headers],[Salário Educação]],tabImpostosNacionais[],2,0)</f>
        <v>2.5000000000000001E-2</v>
      </c>
      <c r="V6" s="235">
        <f>VLOOKUP(tabParametros[[#Headers],[FGTS]],tabImpostosNacionais[],2,0)</f>
        <v>0.08</v>
      </c>
      <c r="W6" s="235">
        <f>VLOOKUP(tabParametros[[#Headers],[RAT Ajustado]],tabImpostosNacionais[],2,0)</f>
        <v>0.04</v>
      </c>
      <c r="X6" s="235">
        <f>VLOOKUP(tabParametros[[#Headers],[SEBRAE]],tabImpostosNacionais[],2,0)</f>
        <v>6.0000000000000001E-3</v>
      </c>
      <c r="Y6" s="235">
        <f t="shared" si="0"/>
        <v>8.3333333333333329E-2</v>
      </c>
      <c r="Z6" s="251">
        <f t="shared" si="1"/>
        <v>0.1111111111111111</v>
      </c>
      <c r="AA6" s="234">
        <f>VLOOKUP(tabParametros[[#This Row],[Comarca]],tabComarca[],5,0)</f>
        <v>6.4</v>
      </c>
      <c r="AB6" s="234">
        <f>IFERROR(VLOOKUP(tabParametros[[#This Row],[CCT DA CATEGORIA]],tabSindicatos[],6,0),0)</f>
        <v>29.15</v>
      </c>
      <c r="AC6" s="234">
        <f>IFERROR(VLOOKUP(tabParametros[[#This Row],[CCT DA CATEGORIA]],tabSindicatos[],7,0),0)</f>
        <v>0</v>
      </c>
      <c r="AD6" s="234" cm="1">
        <f t="array" ref="AD6">_xlfn.LET(
_xlpm.COMARCA, TRIM(UPPER(SUBSTITUTE(SUBSTITUTE(SUBSTITUTE(SUBSTITUTE(SUBSTITUTE(SUBSTITUTE(SUBSTITUTE(SUBSTITUTE(SUBSTITUTE(SUBSTITUTE(SUBSTITUTE(SUBSTITUTE(SUBSTITUTE(SUBSTITUTE(SUBSTITUTE(SUBSTITUTE(SUBSTITUTE(SUBSTITUTE(SUBSTITUTE(SUBSTITUTE(SUBSTITUTE(SUBSTITUTE(SUBSTITUTE(SUBSTITUTE(SUBSTITUTE(SUBSTITUTE(tabParametros[[#This Row],[Comarca]],"á","a"),"ã","a"),"â","a"),"é","e"),"ê","e"),"í","i"),"ó","o"),"õ","o"),"ô","o"),"ú","u"),"ç","c"),"Á","a"),"Ã","a"),"Â","a"),"É","e"),"Ê","e"),"Í","i"),"Ó","o"),"Õ","o"),"Ô","o"),"Ú","u"),"Ç","c"),"/MG","")," e ",", ")," ",""),".",""))),
_xlpm.MATRIZ_COMARCA, TRIM(UPPER(SUBSTITUTE(SUBSTITUTE(SUBSTITUTE(SUBSTITUTE(SUBSTITUTE(SUBSTITUTE(SUBSTITUTE(SUBSTITUTE(SUBSTITUTE(SUBSTITUTE(SUBSTITUTE(SUBSTITUTE(SUBSTITUTE(SUBSTITUTE(SUBSTITUTE(SUBSTITUTE(SUBSTITUTE(SUBSTITUTE(SUBSTITUTE(SUBSTITUTE(SUBSTITUTE(SUBSTITUTE(SUBSTITUTE(SUBSTITUTE(SUBSTITUTE(SUBSTITUTE(tabSindicatos[COMARCAS PAF],"á","a"),"ã","a"),"â","a"),"é","e"),"ê","e"),"í","i"),"ó","o"),"õ","o"),"ô","o"),"ú","u"),"ç","c"),"Á","a"),"Ã","a"),"Â","a"),"É","e"),"Ê","e"),"Í","i"),"Ó","o"),"Õ","o"),"Ô","o"),"Ú","u"),"Ç","c"),"/MG","")," e ",", ")," ",""),".",""))),
IFERROR(IF(_xlfn.XLOOKUP(tabParametros[[#This Row],[CCT DA CATEGORIA]],tabSindicatos[SINDICATOS],tabSindicatos[COMARCAS PAF])="",
VLOOKUP(tabParametros[[#This Row],[CCT DA CATEGORIA]],tabSindicatos[],8,0),
IF(ISNUMBER(SEARCH(TRIM(_xlpm.COMARCA),_xlfn.XLOOKUP(tabParametros[[#This Row],[CCT DA CATEGORIA]],tabSindicatos[SINDICATOS],_xlpm.MATRIZ_COMARCA),1)),VLOOKUP(tabParametros[[#This Row],[CCT DA CATEGORIA]],tabSindicatos[],8,0),0)
),0)
)</f>
        <v>0</v>
      </c>
      <c r="AE6" s="234">
        <f>IFERROR(VLOOKUP(tabParametros[[#This Row],[CCT DA CATEGORIA]],tabSindicatos[],9,0),0)</f>
        <v>15.07</v>
      </c>
      <c r="AF6" s="234">
        <f>IFERROR(VLOOKUP(tabParametros[[#This Row],[CCT DA CATEGORIA]],tabSindicatos[],10,0),0)</f>
        <v>0</v>
      </c>
      <c r="AG6" s="236">
        <f>VLOOKUP(tabParametros[[#Headers],[Seguro de Vida]],tabOutrosCustos[],3,0)</f>
        <v>3.36</v>
      </c>
      <c r="AH6" s="236">
        <f>IF(ISNUMBER(SEARCH("MOTORISTA",tabParametros[[#This Row],[Função]],1)),VLOOKUP("MOTORISTAS",tabDiarias[],2,0),IF(tabParametros[[#This Row],[Comarca]]="Belo Horizonte",VLOOKUP("LIMPEZA",tabDiarias[],2,0),0))</f>
        <v>0</v>
      </c>
      <c r="AI6" s="235">
        <f t="shared" si="2"/>
        <v>7.011766975308642E-3</v>
      </c>
      <c r="AJ6" s="237">
        <f>tabParametros[[#This Row],[FGTS]]*tabParametros[[#This Row],[Aviso Prévio Indenizado (API) e Reflexo do Aviso Prévio Indenizado]]</f>
        <v>5.609413580246914E-4</v>
      </c>
      <c r="AK6" s="237">
        <f>tabParametros[[#This Row],[FGTS]]*tabParametros[[#This Row],[Aviso Prévio Indenizado (API) e Reflexo do Aviso Prévio Indenizado]]*40%</f>
        <v>2.2437654320987658E-4</v>
      </c>
      <c r="AL6" s="235">
        <f t="shared" si="3"/>
        <v>3.5000000000000005E-3</v>
      </c>
      <c r="AM6" s="235">
        <f>tabParametros[[#This Row],[Aviso Prévio Trabalhado - APT]]*SUM(tabParametros[[#This Row],[INSS]:[SEBRAE]])</f>
        <v>1.3230000000000004E-3</v>
      </c>
      <c r="AN6" s="235">
        <f t="shared" si="4"/>
        <v>3.0577777777777773E-2</v>
      </c>
      <c r="AO6" s="235">
        <f t="shared" si="5"/>
        <v>8.3333333333333339E-4</v>
      </c>
      <c r="AP6" s="235">
        <f t="shared" si="6"/>
        <v>8.4444444444444437E-3</v>
      </c>
      <c r="AQ6" s="235">
        <f t="shared" si="7"/>
        <v>2.0277777777777777E-3</v>
      </c>
      <c r="AR6" s="235">
        <f t="shared" si="8"/>
        <v>1.7083333333333333E-4</v>
      </c>
      <c r="AS6" s="235">
        <f t="shared" si="9"/>
        <v>2.0833333333333335E-4</v>
      </c>
      <c r="AT6" s="235">
        <f t="shared" si="10"/>
        <v>1.2962962962962963E-3</v>
      </c>
      <c r="AU6" s="237">
        <f>SUM(tabParametros[[#This Row],[Ausência por Doença]:[Férias, Adicional de Férias e 13º  com empregada em gozo de Licença Maternidade]])*SUM(tabParametros[[#This Row],[INSS]:[SEBRAE]])</f>
        <v>4.5918250000000008E-3</v>
      </c>
      <c r="AV6" s="234">
        <f>IF(tabParametros[[#This Row],[Função]]="Porteiro - 220 h",SUM(tabParametros[[#This Row],[Salário Base]:[Adicional de Acúmulo de função]])/220*20*1.5,IF(ISNUMBER(SEARCH("12 x 36",tabParametros[[#This Row],[Função]],1)),SUM(tabParametros[[#This Row],[Salário Base]:[Adicional de Acúmulo de função]])/210*15.5*1.5,0))</f>
        <v>0</v>
      </c>
      <c r="AW6" s="234">
        <f>IF(tabParametros[[#This Row],[Vagas contratadas]]&gt;0,(SUM(tabParametros[[#This Row],[Salário Base]:[Adicional de Acúmulo de função]])*30%+SUM(tabParametros[[#This Row],[Vale - Alimentação]:[Seguro de Vida]]))/tabParametros[[#This Row],[Vagas contratadas]]*tabParametros[[#This Row],[Vagas suspensas]],0)</f>
        <v>0</v>
      </c>
      <c r="AX6" s="234">
        <f>SUMIF(tabUniformes[Cargo],tabParametros[[#This Row],[Função]],tabUniformes[Valor unit. Mensal])</f>
        <v>100.80916666666666</v>
      </c>
      <c r="AY6" s="281">
        <f>IF(ISNUMBER(SEARCH("AUXILIAR DE LIMPEZA - 75 H",tabParametros[[#This Row],[Função]],1)),
SUMIF(tabLimpGeral[TIPO],"Material",tabLimpGeral[VALOR UNITÁRIO P/ HORA (R$)])*75,
IF(ISNUMBER(SEARCH("AUXILIAR DE LIMPEZA - 110 H",tabParametros[[#This Row],[Função]],1)),
SUMIF(tabLimpGeral[TIPO],"Material",tabLimpGeral[VALOR UNITÁRIO P/ HORA (R$)])*110,
IF(ISNUMBER(SEARCH("AUXILIAR DE LIMPEZA - 150 H",tabParametros[[#This Row],[Função]],1)),
SUMIF(tabLimpGeral[TIPO],"Material",tabLimpGeral[VALOR UNITÁRIO P/ HORA (R$)])*150,
IF(ISNUMBER(SEARCH("AUXILIAR DE LIMPEZA - 220 H",tabParametros[[#This Row],[Função]],1)),
SUMIF(tabLimpGeral[TIPO],"Material",tabLimpGeral[VALOR UNITÁRIO P/ HORA (R$)])*220,
IF(ISNUMBER(SEARCH("AUXILIAR DE LIMPEZA - 12 x 36",tabParametros[[#This Row],[Função]],1)),
SUMIF(tabLimpGeral[TIPO],"Material",tabLimpGeral[VALOR UNITÁRIO P/ HORA (R$)])*220,
IF(ISNUMBER(SEARCH("Limpador de vidros - 220 h",tabParametros[[#This Row],[Função]],1)),
SUMIF(tabVidros[TIPO],"Material",tabVidros[VALOR UNITÁRIO P/ POSTO (R$)]),
0))))))</f>
        <v>35.518212958583888</v>
      </c>
      <c r="AZ6" s="281">
        <f>IF(ISNUMBER(SEARCH("AUXILIAR DE LIMPEZA - 75 H",tabParametros[[#This Row],[Função]],1)),
SUMIF(tabLimpGeral[TIPO],"Equipamento",tabLimpGeral[VALOR UNITÁRIO P/ HORA (R$)])*75,
IF(ISNUMBER(SEARCH("AUXILIAR DE LIMPEZA - 110 H",tabParametros[[#This Row],[Função]],1)),
SUMIF(tabLimpGeral[TIPO],"Equipamento",tabLimpGeral[VALOR UNITÁRIO P/ HORA (R$)])*110,
IF(ISNUMBER(SEARCH("AUXILIAR DE LIMPEZA - 150 H",tabParametros[[#This Row],[Função]],1)),
SUMIF(tabLimpGeral[TIPO],"Equipamento",tabLimpGeral[VALOR UNITÁRIO P/ HORA (R$)])*150,
IF(ISNUMBER(SEARCH("AUXILIAR DE LIMPEZA - 220 H",tabParametros[[#This Row],[Função]],1)),
SUMIF(tabLimpGeral[TIPO],"Equipamento",tabLimpGeral[VALOR UNITÁRIO P/ HORA (R$)])*220,
IF(ISNUMBER(SEARCH("AUXILIAR DE LIMPEZA - 12 x 36",tabParametros[[#This Row],[Função]],1)),
SUMIF(tabLimpGeral[TIPO],"Equipamento",tabLimpGeral[VALOR UNITÁRIO P/ HORA (R$)])*220,
IF(ISNUMBER(SEARCH("Limpador de vidros - 220 h",tabParametros[[#This Row],[Função]],1)),
SUMIF(tabVidros[TIPO],"Equipamento",tabVidros[VALOR UNITÁRIO P/ POSTO (R$)]),
0))))))</f>
        <v>64.529393914825576</v>
      </c>
      <c r="BA6" s="281">
        <f>IF(ISNUMBER(SEARCH("AUXILIAR DE LIMPEZA - 75 H",tabParametros[[#This Row],[Função]],1)),
SUMIF(tabLimpGeral[TIPO],"Produto",tabLimpGeral[VALOR UNITÁRIO P/ HORA (R$)])*75,
IF(ISNUMBER(SEARCH("AUXILIAR DE LIMPEZA - 110 H",tabParametros[[#This Row],[Função]],1)),
SUMIF(tabLimpGeral[TIPO],"Produto",tabLimpGeral[VALOR UNITÁRIO P/ HORA (R$)])*110,
IF(ISNUMBER(SEARCH("AUXILIAR DE LIMPEZA - 150 H",tabParametros[[#This Row],[Função]],1)),
SUMIF(tabLimpGeral[TIPO],"Produto",tabLimpGeral[VALOR UNITÁRIO P/ HORA (R$)])*150,
IF(ISNUMBER(SEARCH("AUXILIAR DE LIMPEZA - 220 H",tabParametros[[#This Row],[Função]],1)),
SUMIF(tabLimpGeral[TIPO],"Produto",tabLimpGeral[VALOR UNITÁRIO P/ HORA (R$)])*220,
IF(ISNUMBER(SEARCH("AUXILIAR DE LIMPEZA - 12 x 36",tabParametros[[#This Row],[Função]],1)),
SUMIF(tabLimpGeral[TIPO],"Produto",tabLimpGeral[VALOR UNITÁRIO P/ HORA (R$)])*220,
IF(ISNUMBER(SEARCH("Limpador de vidros - 220 h",tabParametros[[#This Row],[Função]],1)),
SUMIF(tabVidros[TIPO],"Produto",tabVidros[VALOR UNITÁRIO P/ POSTO (R$)]),
0))))))</f>
        <v>690.27153277931654</v>
      </c>
      <c r="BB6" s="281">
        <v>0</v>
      </c>
      <c r="BC6" s="236">
        <f>VLOOKUP(tabParametros[[#Headers],[Custos Indiretos]],tabOutrosCustos[],3,0)</f>
        <v>189.64880140242613</v>
      </c>
      <c r="BD6" s="236">
        <f>VLOOKUP(tabParametros[[#Headers],[Lucro]],tabOutrosCustos[],3,0)</f>
        <v>159.30499317803796</v>
      </c>
      <c r="BE6" s="235">
        <f>VLOOKUP(tabParametros[[#Headers],[COFINS]],tabImpostosNacionais[],2,0)</f>
        <v>7.5999999999999998E-2</v>
      </c>
      <c r="BF6" s="235">
        <f>VLOOKUP(tabParametros[[#Headers],[PIS]],tabImpostosNacionais[],2,0)</f>
        <v>1.6500000000000001E-2</v>
      </c>
      <c r="BG6" s="235">
        <f>VLOOKUP(tabParametros[[#This Row],[Comarca]],tabComarca[],4,0)</f>
        <v>0.05</v>
      </c>
      <c r="BH6" s="238">
        <f>IFERROR(VLOOKUP(tabParametros[[#This Row],[CCT DA CATEGORIA]],tabSindicatos[],11,0),"")</f>
        <v>45658</v>
      </c>
      <c r="BI6" s="289" t="str">
        <f>IFERROR(VLOOKUP(tabParametros[[#This Row],[CCT DA CATEGORIA]],tabSindicatos[],12,0),"")</f>
        <v>-</v>
      </c>
      <c r="BJ6" s="293" t="str">
        <f>IFERROR(VLOOKUP(tabParametros[[#This Row],[CCT DA CATEGORIA]],tabSindicatos[],13,0),"")</f>
        <v>-</v>
      </c>
    </row>
    <row r="7" spans="1:67" x14ac:dyDescent="0.25">
      <c r="A7" s="233" t="s">
        <v>1353</v>
      </c>
      <c r="B7" s="198" t="s">
        <v>13</v>
      </c>
      <c r="C7" s="198" t="s">
        <v>1247</v>
      </c>
      <c r="D7" s="198" t="str">
        <f>VLOOKUP(tabParametros[[#This Row],[Código do Posto]],tabPostos[],4,0)</f>
        <v>Fethemg Interior</v>
      </c>
      <c r="E7" s="289" t="str">
        <f>VLOOKUP(tabParametros[[#This Row],[Código do Posto]],tabPostos[],5,0)</f>
        <v>Limpeza</v>
      </c>
      <c r="F7" s="289" t="str">
        <f>VLOOKUP(tabParametros[[#This Row],[Código do Posto]],tabPostos[],6,0)</f>
        <v>PGJ</v>
      </c>
      <c r="G7" s="289">
        <f>VLOOKUP(tabParametros[[#This Row],[Código do Posto]],tabPostos[],7,0)</f>
        <v>1</v>
      </c>
      <c r="H7" s="289">
        <f>VLOOKUP(tabParametros[[#This Row],[Código do Posto]],tabPostos[],8,0)</f>
        <v>0</v>
      </c>
      <c r="I7" s="234">
        <f>VLOOKUP(tabParametros[[#This Row],[Código do Posto]],tabPostos[],9,0)</f>
        <v>544.17999999999995</v>
      </c>
      <c r="J7" s="234">
        <f>IF(ISNUMBER(SEARCH("Eletricista",tabParametros[[#This Row],[Função]],1)),0.3*tabParametros[[#This Row],[Salário Base]],0)</f>
        <v>0</v>
      </c>
      <c r="K7" s="234">
        <f>IF(OR(ISNUMBER(SEARCH("Bombeiro Hidraulico",tabParametros[[#This Row],[Função]],1)),ISNUMBER(SEARCH("Jardineiro",tabParametros[[#This Row],[Função]],1)),ISNUMBER(SEARCH("Lavador de Veiculos",tabParametros[[#This Row],[Função]],1)),ISNUMBER(SEARCH("Marceneiro",tabParametros[[#This Row],[Função]],1)),ISNUMBER(SEARCH("Pintor",tabParametros[[#This Row],[Função]],1))),0.2*'BASE GERAL'!$R$4,0)</f>
        <v>0</v>
      </c>
      <c r="L7" s="234">
        <f>IF(AND(ISNUMBER(SEARCH("Noturno",tabParametros[[#This Row],[Função]],1)),tabParametros[[#This Row],[Comarca]]&lt;&gt;"Juiz de Fora"),tabParametros[[#This Row],[Salário Base]]/210*0.39*7*15.5,IF(ISNUMBER(SEARCH("Noturno",tabParametros[[#This Row],[Função]],1)),tabParametros[[#This Row],[Salário Base]]/210*0.2*8*15.5,0))</f>
        <v>0</v>
      </c>
      <c r="M7" s="234">
        <f>IF(ISNUMBER(SEARCH("Motorista II",tabParametros[[#This Row],[Função]],1)),0.25*tabParametros[[#This Row],[Salário Base]],0)</f>
        <v>0</v>
      </c>
      <c r="N7" s="250">
        <v>0</v>
      </c>
      <c r="O7" s="234">
        <f>IF(ISNUMBER(SEARCH("TECNOLOGIA DA INFORMACAO",tabParametros[[#This Row],[Função]],1)),0.0201*tabParametros[[#This Row],[Salário Base]],0)</f>
        <v>0</v>
      </c>
      <c r="P7" s="250" cm="1">
        <f t="array" ref="P7">_xlfn.IFS(
ISNUMBER(SEARCH("Auxiliar de Limpeza - 75 h",tabParametros[[#This Row],[Função]],1)),tabParametros[[#This Row],[Salário Base]]/75*0.75*30*0.12,
ISNUMBER(SEARCH("Auxiliar de Limpeza - 110 h",tabParametros[[#This Row],[Função]],1)),tabParametros[[#This Row],[Salário Base]]/110*1*30*0.12,
ISNUMBER(SEARCH("Auxiliar de Limpeza - 150 h",tabParametros[[#This Row],[Função]],1)),tabParametros[[#This Row],[Salário Base]]/150*1.5*30*0.12,
ISNUMBER(SEARCH("Auxiliar de Limpeza - 220 h",tabParametros[[#This Row],[Função]],1)),tabParametros[[#This Row],[Salário Base]]/220*2*30*0.12,
ISNUMBER(SEARCH("Auxiliar de Limpeza - 12 x 36",tabParametros[[#This Row],[Função]],1)),tabParametros[[#This Row],[Salário Base]]/220*2*30*0.12,
ISNUMBER(SEARCH("Auxiliar de Limpeza - 55 h",tabParametros[[#This Row],[Função]],1))=FALSE,0)</f>
        <v>19.590479999999999</v>
      </c>
      <c r="Q7" s="235">
        <f>VLOOKUP(tabParametros[[#Headers],[INSS]],tabImpostosNacionais[],2,0)</f>
        <v>0.2</v>
      </c>
      <c r="R7" s="235">
        <f>VLOOKUP(tabParametros[[#Headers],[SESI OU SESC]],tabImpostosNacionais[],2,0)</f>
        <v>1.4999999999999999E-2</v>
      </c>
      <c r="S7" s="235">
        <f>VLOOKUP(tabParametros[[#Headers],[SENAI OU SENAC]],tabImpostosNacionais[],2,0)</f>
        <v>0.01</v>
      </c>
      <c r="T7" s="235">
        <f>VLOOKUP(tabParametros[[#Headers],[INCRA]],tabImpostosNacionais[],2,0)</f>
        <v>2E-3</v>
      </c>
      <c r="U7" s="235">
        <f>VLOOKUP(tabParametros[[#Headers],[Salário Educação]],tabImpostosNacionais[],2,0)</f>
        <v>2.5000000000000001E-2</v>
      </c>
      <c r="V7" s="235">
        <f>VLOOKUP(tabParametros[[#Headers],[FGTS]],tabImpostosNacionais[],2,0)</f>
        <v>0.08</v>
      </c>
      <c r="W7" s="235">
        <f>VLOOKUP(tabParametros[[#Headers],[RAT Ajustado]],tabImpostosNacionais[],2,0)</f>
        <v>0.04</v>
      </c>
      <c r="X7" s="235">
        <f>VLOOKUP(tabParametros[[#Headers],[SEBRAE]],tabImpostosNacionais[],2,0)</f>
        <v>6.0000000000000001E-3</v>
      </c>
      <c r="Y7" s="235">
        <f t="shared" si="0"/>
        <v>8.3333333333333329E-2</v>
      </c>
      <c r="Z7" s="251">
        <f t="shared" si="1"/>
        <v>0.1111111111111111</v>
      </c>
      <c r="AA7" s="234">
        <f>VLOOKUP(tabParametros[[#This Row],[Comarca]],tabComarca[],5,0)</f>
        <v>6.4</v>
      </c>
      <c r="AB7" s="234">
        <f>IFERROR(VLOOKUP(tabParametros[[#This Row],[CCT DA CATEGORIA]],tabSindicatos[],6,0),0)</f>
        <v>29.15</v>
      </c>
      <c r="AC7" s="234">
        <f>IFERROR(VLOOKUP(tabParametros[[#This Row],[CCT DA CATEGORIA]],tabSindicatos[],7,0),0)</f>
        <v>0</v>
      </c>
      <c r="AD7" s="234" cm="1">
        <f t="array" ref="AD7">_xlfn.LET(
_xlpm.COMARCA, TRIM(UPPER(SUBSTITUTE(SUBSTITUTE(SUBSTITUTE(SUBSTITUTE(SUBSTITUTE(SUBSTITUTE(SUBSTITUTE(SUBSTITUTE(SUBSTITUTE(SUBSTITUTE(SUBSTITUTE(SUBSTITUTE(SUBSTITUTE(SUBSTITUTE(SUBSTITUTE(SUBSTITUTE(SUBSTITUTE(SUBSTITUTE(SUBSTITUTE(SUBSTITUTE(SUBSTITUTE(SUBSTITUTE(SUBSTITUTE(SUBSTITUTE(SUBSTITUTE(SUBSTITUTE(tabParametros[[#This Row],[Comarca]],"á","a"),"ã","a"),"â","a"),"é","e"),"ê","e"),"í","i"),"ó","o"),"õ","o"),"ô","o"),"ú","u"),"ç","c"),"Á","a"),"Ã","a"),"Â","a"),"É","e"),"Ê","e"),"Í","i"),"Ó","o"),"Õ","o"),"Ô","o"),"Ú","u"),"Ç","c"),"/MG","")," e ",", ")," ",""),".",""))),
_xlpm.MATRIZ_COMARCA, TRIM(UPPER(SUBSTITUTE(SUBSTITUTE(SUBSTITUTE(SUBSTITUTE(SUBSTITUTE(SUBSTITUTE(SUBSTITUTE(SUBSTITUTE(SUBSTITUTE(SUBSTITUTE(SUBSTITUTE(SUBSTITUTE(SUBSTITUTE(SUBSTITUTE(SUBSTITUTE(SUBSTITUTE(SUBSTITUTE(SUBSTITUTE(SUBSTITUTE(SUBSTITUTE(SUBSTITUTE(SUBSTITUTE(SUBSTITUTE(SUBSTITUTE(SUBSTITUTE(SUBSTITUTE(tabSindicatos[COMARCAS PAF],"á","a"),"ã","a"),"â","a"),"é","e"),"ê","e"),"í","i"),"ó","o"),"õ","o"),"ô","o"),"ú","u"),"ç","c"),"Á","a"),"Ã","a"),"Â","a"),"É","e"),"Ê","e"),"Í","i"),"Ó","o"),"Õ","o"),"Ô","o"),"Ú","u"),"Ç","c"),"/MG","")," e ",", ")," ",""),".",""))),
IFERROR(IF(_xlfn.XLOOKUP(tabParametros[[#This Row],[CCT DA CATEGORIA]],tabSindicatos[SINDICATOS],tabSindicatos[COMARCAS PAF])="",
VLOOKUP(tabParametros[[#This Row],[CCT DA CATEGORIA]],tabSindicatos[],8,0),
IF(ISNUMBER(SEARCH(TRIM(_xlpm.COMARCA),_xlfn.XLOOKUP(tabParametros[[#This Row],[CCT DA CATEGORIA]],tabSindicatos[SINDICATOS],_xlpm.MATRIZ_COMARCA),1)),VLOOKUP(tabParametros[[#This Row],[CCT DA CATEGORIA]],tabSindicatos[],8,0),0)
),0)
)</f>
        <v>0</v>
      </c>
      <c r="AE7" s="234">
        <f>IFERROR(VLOOKUP(tabParametros[[#This Row],[CCT DA CATEGORIA]],tabSindicatos[],9,0),0)</f>
        <v>15.07</v>
      </c>
      <c r="AF7" s="234">
        <f>IFERROR(VLOOKUP(tabParametros[[#This Row],[CCT DA CATEGORIA]],tabSindicatos[],10,0),0)</f>
        <v>0</v>
      </c>
      <c r="AG7" s="236">
        <f>VLOOKUP(tabParametros[[#Headers],[Seguro de Vida]],tabOutrosCustos[],3,0)</f>
        <v>3.36</v>
      </c>
      <c r="AH7" s="236">
        <f>IF(ISNUMBER(SEARCH("MOTORISTA",tabParametros[[#This Row],[Função]],1)),VLOOKUP("MOTORISTAS",tabDiarias[],2,0),IF(tabParametros[[#This Row],[Comarca]]="Belo Horizonte",VLOOKUP("LIMPEZA",tabDiarias[],2,0),0))</f>
        <v>0</v>
      </c>
      <c r="AI7" s="235">
        <f t="shared" si="2"/>
        <v>7.011766975308642E-3</v>
      </c>
      <c r="AJ7" s="237">
        <f>tabParametros[[#This Row],[FGTS]]*tabParametros[[#This Row],[Aviso Prévio Indenizado (API) e Reflexo do Aviso Prévio Indenizado]]</f>
        <v>5.609413580246914E-4</v>
      </c>
      <c r="AK7" s="237">
        <f>tabParametros[[#This Row],[FGTS]]*tabParametros[[#This Row],[Aviso Prévio Indenizado (API) e Reflexo do Aviso Prévio Indenizado]]*40%</f>
        <v>2.2437654320987658E-4</v>
      </c>
      <c r="AL7" s="235">
        <f t="shared" si="3"/>
        <v>3.5000000000000005E-3</v>
      </c>
      <c r="AM7" s="235">
        <f>tabParametros[[#This Row],[Aviso Prévio Trabalhado - APT]]*SUM(tabParametros[[#This Row],[INSS]:[SEBRAE]])</f>
        <v>1.3230000000000004E-3</v>
      </c>
      <c r="AN7" s="235">
        <f t="shared" si="4"/>
        <v>3.0577777777777773E-2</v>
      </c>
      <c r="AO7" s="235">
        <f t="shared" si="5"/>
        <v>8.3333333333333339E-4</v>
      </c>
      <c r="AP7" s="235">
        <f t="shared" si="6"/>
        <v>8.4444444444444437E-3</v>
      </c>
      <c r="AQ7" s="235">
        <f t="shared" si="7"/>
        <v>2.0277777777777777E-3</v>
      </c>
      <c r="AR7" s="235">
        <f t="shared" si="8"/>
        <v>1.7083333333333333E-4</v>
      </c>
      <c r="AS7" s="235">
        <f t="shared" si="9"/>
        <v>2.0833333333333335E-4</v>
      </c>
      <c r="AT7" s="235">
        <f t="shared" si="10"/>
        <v>1.2962962962962963E-3</v>
      </c>
      <c r="AU7" s="237">
        <f>SUM(tabParametros[[#This Row],[Ausência por Doença]:[Férias, Adicional de Férias e 13º  com empregada em gozo de Licença Maternidade]])*SUM(tabParametros[[#This Row],[INSS]:[SEBRAE]])</f>
        <v>4.5918250000000008E-3</v>
      </c>
      <c r="AV7" s="234">
        <f>IF(tabParametros[[#This Row],[Função]]="Porteiro - 220 h",SUM(tabParametros[[#This Row],[Salário Base]:[Adicional de Acúmulo de função]])/220*20*1.5,IF(ISNUMBER(SEARCH("12 x 36",tabParametros[[#This Row],[Função]],1)),SUM(tabParametros[[#This Row],[Salário Base]:[Adicional de Acúmulo de função]])/210*15.5*1.5,0))</f>
        <v>0</v>
      </c>
      <c r="AW7" s="234">
        <f>IF(tabParametros[[#This Row],[Vagas contratadas]]&gt;0,(SUM(tabParametros[[#This Row],[Salário Base]:[Adicional de Acúmulo de função]])*30%+SUM(tabParametros[[#This Row],[Vale - Alimentação]:[Seguro de Vida]]))/tabParametros[[#This Row],[Vagas contratadas]]*tabParametros[[#This Row],[Vagas suspensas]],0)</f>
        <v>0</v>
      </c>
      <c r="AX7" s="234">
        <f>SUMIF(tabUniformes[Cargo],tabParametros[[#This Row],[Função]],tabUniformes[Valor unit. Mensal])</f>
        <v>62.806666666666665</v>
      </c>
      <c r="AY7" s="281">
        <f>IF(ISNUMBER(SEARCH("AUXILIAR DE LIMPEZA - 75 H",tabParametros[[#This Row],[Função]],1)),
SUMIF(tabLimpGeral[TIPO],"Material",tabLimpGeral[VALOR UNITÁRIO P/ HORA (R$)])*75,
IF(ISNUMBER(SEARCH("AUXILIAR DE LIMPEZA - 110 H",tabParametros[[#This Row],[Função]],1)),
SUMIF(tabLimpGeral[TIPO],"Material",tabLimpGeral[VALOR UNITÁRIO P/ HORA (R$)])*110,
IF(ISNUMBER(SEARCH("AUXILIAR DE LIMPEZA - 150 H",tabParametros[[#This Row],[Função]],1)),
SUMIF(tabLimpGeral[TIPO],"Material",tabLimpGeral[VALOR UNITÁRIO P/ HORA (R$)])*150,
IF(ISNUMBER(SEARCH("AUXILIAR DE LIMPEZA - 220 H",tabParametros[[#This Row],[Função]],1)),
SUMIF(tabLimpGeral[TIPO],"Material",tabLimpGeral[VALOR UNITÁRIO P/ HORA (R$)])*220,
IF(ISNUMBER(SEARCH("AUXILIAR DE LIMPEZA - 12 x 36",tabParametros[[#This Row],[Função]],1)),
SUMIF(tabLimpGeral[TIPO],"Material",tabLimpGeral[VALOR UNITÁRIO P/ HORA (R$)])*220,
IF(ISNUMBER(SEARCH("Limpador de vidros - 220 h",tabParametros[[#This Row],[Função]],1)),
SUMIF(tabVidros[TIPO],"Material",tabVidros[VALOR UNITÁRIO P/ POSTO (R$)]),
0))))))</f>
        <v>12.108481690426325</v>
      </c>
      <c r="AZ7" s="281">
        <f>IF(ISNUMBER(SEARCH("AUXILIAR DE LIMPEZA - 75 H",tabParametros[[#This Row],[Função]],1)),
SUMIF(tabLimpGeral[TIPO],"Equipamento",tabLimpGeral[VALOR UNITÁRIO P/ HORA (R$)])*75,
IF(ISNUMBER(SEARCH("AUXILIAR DE LIMPEZA - 110 H",tabParametros[[#This Row],[Função]],1)),
SUMIF(tabLimpGeral[TIPO],"Equipamento",tabLimpGeral[VALOR UNITÁRIO P/ HORA (R$)])*110,
IF(ISNUMBER(SEARCH("AUXILIAR DE LIMPEZA - 150 H",tabParametros[[#This Row],[Função]],1)),
SUMIF(tabLimpGeral[TIPO],"Equipamento",tabLimpGeral[VALOR UNITÁRIO P/ HORA (R$)])*150,
IF(ISNUMBER(SEARCH("AUXILIAR DE LIMPEZA - 220 H",tabParametros[[#This Row],[Função]],1)),
SUMIF(tabLimpGeral[TIPO],"Equipamento",tabLimpGeral[VALOR UNITÁRIO P/ HORA (R$)])*220,
IF(ISNUMBER(SEARCH("AUXILIAR DE LIMPEZA - 12 x 36",tabParametros[[#This Row],[Função]],1)),
SUMIF(tabLimpGeral[TIPO],"Equipamento",tabLimpGeral[VALOR UNITÁRIO P/ HORA (R$)])*220,
IF(ISNUMBER(SEARCH("Limpador de vidros - 220 h",tabParametros[[#This Row],[Função]],1)),
SUMIF(tabVidros[TIPO],"Equipamento",tabVidros[VALOR UNITÁRIO P/ POSTO (R$)]),
0))))))</f>
        <v>21.998657016417809</v>
      </c>
      <c r="BA7" s="281">
        <f>IF(ISNUMBER(SEARCH("AUXILIAR DE LIMPEZA - 75 H",tabParametros[[#This Row],[Função]],1)),
SUMIF(tabLimpGeral[TIPO],"Produto",tabLimpGeral[VALOR UNITÁRIO P/ HORA (R$)])*75,
IF(ISNUMBER(SEARCH("AUXILIAR DE LIMPEZA - 110 H",tabParametros[[#This Row],[Função]],1)),
SUMIF(tabLimpGeral[TIPO],"Produto",tabLimpGeral[VALOR UNITÁRIO P/ HORA (R$)])*110,
IF(ISNUMBER(SEARCH("AUXILIAR DE LIMPEZA - 150 H",tabParametros[[#This Row],[Função]],1)),
SUMIF(tabLimpGeral[TIPO],"Produto",tabLimpGeral[VALOR UNITÁRIO P/ HORA (R$)])*150,
IF(ISNUMBER(SEARCH("AUXILIAR DE LIMPEZA - 220 H",tabParametros[[#This Row],[Função]],1)),
SUMIF(tabLimpGeral[TIPO],"Produto",tabLimpGeral[VALOR UNITÁRIO P/ HORA (R$)])*220,
IF(ISNUMBER(SEARCH("AUXILIAR DE LIMPEZA - 12 x 36",tabParametros[[#This Row],[Função]],1)),
SUMIF(tabLimpGeral[TIPO],"Produto",tabLimpGeral[VALOR UNITÁRIO P/ HORA (R$)])*220,
IF(ISNUMBER(SEARCH("Limpador de vidros - 220 h",tabParametros[[#This Row],[Função]],1)),
SUMIF(tabVidros[TIPO],"Produto",tabVidros[VALOR UNITÁRIO P/ POSTO (R$)]),
0))))))</f>
        <v>235.31984072022155</v>
      </c>
      <c r="BB7" s="281">
        <v>0</v>
      </c>
      <c r="BC7" s="236">
        <f>VLOOKUP(tabParametros[[#Headers],[Custos Indiretos]],tabOutrosCustos[],3,0)</f>
        <v>189.64880140242613</v>
      </c>
      <c r="BD7" s="236">
        <f>VLOOKUP(tabParametros[[#Headers],[Lucro]],tabOutrosCustos[],3,0)</f>
        <v>159.30499317803796</v>
      </c>
      <c r="BE7" s="235">
        <f>VLOOKUP(tabParametros[[#Headers],[COFINS]],tabImpostosNacionais[],2,0)</f>
        <v>7.5999999999999998E-2</v>
      </c>
      <c r="BF7" s="235">
        <f>VLOOKUP(tabParametros[[#Headers],[PIS]],tabImpostosNacionais[],2,0)</f>
        <v>1.6500000000000001E-2</v>
      </c>
      <c r="BG7" s="235">
        <f>VLOOKUP(tabParametros[[#This Row],[Comarca]],tabComarca[],4,0)</f>
        <v>0.05</v>
      </c>
      <c r="BH7" s="238">
        <f>IFERROR(VLOOKUP(tabParametros[[#This Row],[CCT DA CATEGORIA]],tabSindicatos[],11,0),"")</f>
        <v>45658</v>
      </c>
      <c r="BI7" s="289" t="str">
        <f>IFERROR(VLOOKUP(tabParametros[[#This Row],[CCT DA CATEGORIA]],tabSindicatos[],12,0),"")</f>
        <v>-</v>
      </c>
      <c r="BJ7" s="293" t="str">
        <f>IFERROR(VLOOKUP(tabParametros[[#This Row],[CCT DA CATEGORIA]],tabSindicatos[],13,0),"")</f>
        <v>-</v>
      </c>
    </row>
    <row r="8" spans="1:67" x14ac:dyDescent="0.25">
      <c r="A8" s="233" t="s">
        <v>1354</v>
      </c>
      <c r="B8" s="198" t="s">
        <v>14</v>
      </c>
      <c r="C8" s="198" t="s">
        <v>1244</v>
      </c>
      <c r="D8" s="198" t="str">
        <f>VLOOKUP(tabParametros[[#This Row],[Código do Posto]],tabPostos[],4,0)</f>
        <v>Regiao de Sao Lourenco</v>
      </c>
      <c r="E8" s="289" t="str">
        <f>VLOOKUP(tabParametros[[#This Row],[Código do Posto]],tabPostos[],5,0)</f>
        <v>Limpeza</v>
      </c>
      <c r="F8" s="289" t="str">
        <f>VLOOKUP(tabParametros[[#This Row],[Código do Posto]],tabPostos[],6,0)</f>
        <v>PGJ</v>
      </c>
      <c r="G8" s="289">
        <f>VLOOKUP(tabParametros[[#This Row],[Código do Posto]],tabPostos[],7,0)</f>
        <v>1</v>
      </c>
      <c r="H8" s="289">
        <f>VLOOKUP(tabParametros[[#This Row],[Código do Posto]],tabPostos[],8,0)</f>
        <v>0</v>
      </c>
      <c r="I8" s="234">
        <f>VLOOKUP(tabParametros[[#This Row],[Código do Posto]],tabPostos[],9,0)</f>
        <v>798.14</v>
      </c>
      <c r="J8" s="234">
        <f>IF(ISNUMBER(SEARCH("Eletricista",tabParametros[[#This Row],[Função]],1)),0.3*tabParametros[[#This Row],[Salário Base]],0)</f>
        <v>0</v>
      </c>
      <c r="K8" s="234">
        <f>IF(OR(ISNUMBER(SEARCH("Bombeiro Hidraulico",tabParametros[[#This Row],[Função]],1)),ISNUMBER(SEARCH("Jardineiro",tabParametros[[#This Row],[Função]],1)),ISNUMBER(SEARCH("Lavador de Veiculos",tabParametros[[#This Row],[Função]],1)),ISNUMBER(SEARCH("Marceneiro",tabParametros[[#This Row],[Função]],1)),ISNUMBER(SEARCH("Pintor",tabParametros[[#This Row],[Função]],1))),0.2*'BASE GERAL'!$R$4,0)</f>
        <v>0</v>
      </c>
      <c r="L8" s="234">
        <f>IF(AND(ISNUMBER(SEARCH("Noturno",tabParametros[[#This Row],[Função]],1)),tabParametros[[#This Row],[Comarca]]&lt;&gt;"Juiz de Fora"),tabParametros[[#This Row],[Salário Base]]/210*0.39*7*15.5,IF(ISNUMBER(SEARCH("Noturno",tabParametros[[#This Row],[Função]],1)),tabParametros[[#This Row],[Salário Base]]/210*0.2*8*15.5,0))</f>
        <v>0</v>
      </c>
      <c r="M8" s="234">
        <f>IF(ISNUMBER(SEARCH("Motorista II",tabParametros[[#This Row],[Função]],1)),0.25*tabParametros[[#This Row],[Salário Base]],0)</f>
        <v>0</v>
      </c>
      <c r="N8" s="250">
        <v>0</v>
      </c>
      <c r="O8" s="234">
        <f>IF(ISNUMBER(SEARCH("TECNOLOGIA DA INFORMACAO",tabParametros[[#This Row],[Função]],1)),0.0201*tabParametros[[#This Row],[Salário Base]],0)</f>
        <v>0</v>
      </c>
      <c r="P8" s="250" cm="1">
        <f t="array" ref="P8">_xlfn.IFS(
ISNUMBER(SEARCH("Auxiliar de Limpeza - 75 h",tabParametros[[#This Row],[Função]],1)),tabParametros[[#This Row],[Salário Base]]/75*0.75*30*0.12,
ISNUMBER(SEARCH("Auxiliar de Limpeza - 110 h",tabParametros[[#This Row],[Função]],1)),tabParametros[[#This Row],[Salário Base]]/110*1*30*0.12,
ISNUMBER(SEARCH("Auxiliar de Limpeza - 150 h",tabParametros[[#This Row],[Função]],1)),tabParametros[[#This Row],[Salário Base]]/150*1.5*30*0.12,
ISNUMBER(SEARCH("Auxiliar de Limpeza - 220 h",tabParametros[[#This Row],[Função]],1)),tabParametros[[#This Row],[Salário Base]]/220*2*30*0.12,
ISNUMBER(SEARCH("Auxiliar de Limpeza - 12 x 36",tabParametros[[#This Row],[Função]],1)),tabParametros[[#This Row],[Salário Base]]/220*2*30*0.12,
ISNUMBER(SEARCH("Auxiliar de Limpeza - 55 h",tabParametros[[#This Row],[Função]],1))=FALSE,0)</f>
        <v>26.120945454545453</v>
      </c>
      <c r="Q8" s="235">
        <f>VLOOKUP(tabParametros[[#Headers],[INSS]],tabImpostosNacionais[],2,0)</f>
        <v>0.2</v>
      </c>
      <c r="R8" s="235">
        <f>VLOOKUP(tabParametros[[#Headers],[SESI OU SESC]],tabImpostosNacionais[],2,0)</f>
        <v>1.4999999999999999E-2</v>
      </c>
      <c r="S8" s="235">
        <f>VLOOKUP(tabParametros[[#Headers],[SENAI OU SENAC]],tabImpostosNacionais[],2,0)</f>
        <v>0.01</v>
      </c>
      <c r="T8" s="235">
        <f>VLOOKUP(tabParametros[[#Headers],[INCRA]],tabImpostosNacionais[],2,0)</f>
        <v>2E-3</v>
      </c>
      <c r="U8" s="235">
        <f>VLOOKUP(tabParametros[[#Headers],[Salário Educação]],tabImpostosNacionais[],2,0)</f>
        <v>2.5000000000000001E-2</v>
      </c>
      <c r="V8" s="235">
        <f>VLOOKUP(tabParametros[[#Headers],[FGTS]],tabImpostosNacionais[],2,0)</f>
        <v>0.08</v>
      </c>
      <c r="W8" s="235">
        <f>VLOOKUP(tabParametros[[#Headers],[RAT Ajustado]],tabImpostosNacionais[],2,0)</f>
        <v>0.04</v>
      </c>
      <c r="X8" s="235">
        <f>VLOOKUP(tabParametros[[#Headers],[SEBRAE]],tabImpostosNacionais[],2,0)</f>
        <v>6.0000000000000001E-3</v>
      </c>
      <c r="Y8" s="235">
        <f t="shared" si="0"/>
        <v>8.3333333333333329E-2</v>
      </c>
      <c r="Z8" s="251">
        <f t="shared" si="1"/>
        <v>0.1111111111111111</v>
      </c>
      <c r="AA8" s="234">
        <f>VLOOKUP(tabParametros[[#This Row],[Comarca]],tabComarca[],5,0)</f>
        <v>6.4</v>
      </c>
      <c r="AB8" s="234">
        <f>IFERROR(VLOOKUP(tabParametros[[#This Row],[CCT DA CATEGORIA]],tabSindicatos[],6,0),0)</f>
        <v>29.15</v>
      </c>
      <c r="AC8" s="234">
        <f>IFERROR(VLOOKUP(tabParametros[[#This Row],[CCT DA CATEGORIA]],tabSindicatos[],7,0),0)</f>
        <v>0</v>
      </c>
      <c r="AD8" s="234" cm="1">
        <f t="array" ref="AD8">_xlfn.LET(
_xlpm.COMARCA, TRIM(UPPER(SUBSTITUTE(SUBSTITUTE(SUBSTITUTE(SUBSTITUTE(SUBSTITUTE(SUBSTITUTE(SUBSTITUTE(SUBSTITUTE(SUBSTITUTE(SUBSTITUTE(SUBSTITUTE(SUBSTITUTE(SUBSTITUTE(SUBSTITUTE(SUBSTITUTE(SUBSTITUTE(SUBSTITUTE(SUBSTITUTE(SUBSTITUTE(SUBSTITUTE(SUBSTITUTE(SUBSTITUTE(SUBSTITUTE(SUBSTITUTE(SUBSTITUTE(SUBSTITUTE(tabParametros[[#This Row],[Comarca]],"á","a"),"ã","a"),"â","a"),"é","e"),"ê","e"),"í","i"),"ó","o"),"õ","o"),"ô","o"),"ú","u"),"ç","c"),"Á","a"),"Ã","a"),"Â","a"),"É","e"),"Ê","e"),"Í","i"),"Ó","o"),"Õ","o"),"Ô","o"),"Ú","u"),"Ç","c"),"/MG","")," e ",", ")," ",""),".",""))),
_xlpm.MATRIZ_COMARCA, TRIM(UPPER(SUBSTITUTE(SUBSTITUTE(SUBSTITUTE(SUBSTITUTE(SUBSTITUTE(SUBSTITUTE(SUBSTITUTE(SUBSTITUTE(SUBSTITUTE(SUBSTITUTE(SUBSTITUTE(SUBSTITUTE(SUBSTITUTE(SUBSTITUTE(SUBSTITUTE(SUBSTITUTE(SUBSTITUTE(SUBSTITUTE(SUBSTITUTE(SUBSTITUTE(SUBSTITUTE(SUBSTITUTE(SUBSTITUTE(SUBSTITUTE(SUBSTITUTE(SUBSTITUTE(tabSindicatos[COMARCAS PAF],"á","a"),"ã","a"),"â","a"),"é","e"),"ê","e"),"í","i"),"ó","o"),"õ","o"),"ô","o"),"ú","u"),"ç","c"),"Á","a"),"Ã","a"),"Â","a"),"É","e"),"Ê","e"),"Í","i"),"Ó","o"),"Õ","o"),"Ô","o"),"Ú","u"),"Ç","c"),"/MG","")," e ",", ")," ",""),".",""))),
IFERROR(IF(_xlfn.XLOOKUP(tabParametros[[#This Row],[CCT DA CATEGORIA]],tabSindicatos[SINDICATOS],tabSindicatos[COMARCAS PAF])="",
VLOOKUP(tabParametros[[#This Row],[CCT DA CATEGORIA]],tabSindicatos[],8,0),
IF(ISNUMBER(SEARCH(TRIM(_xlpm.COMARCA),_xlfn.XLOOKUP(tabParametros[[#This Row],[CCT DA CATEGORIA]],tabSindicatos[SINDICATOS],_xlpm.MATRIZ_COMARCA),1)),VLOOKUP(tabParametros[[#This Row],[CCT DA CATEGORIA]],tabSindicatos[],8,0),0)
),0)
)</f>
        <v>0</v>
      </c>
      <c r="AE8" s="234">
        <f>IFERROR(VLOOKUP(tabParametros[[#This Row],[CCT DA CATEGORIA]],tabSindicatos[],9,0),0)</f>
        <v>0</v>
      </c>
      <c r="AF8" s="234">
        <f>IFERROR(VLOOKUP(tabParametros[[#This Row],[CCT DA CATEGORIA]],tabSindicatos[],10,0),0)</f>
        <v>0</v>
      </c>
      <c r="AG8" s="236">
        <f>VLOOKUP(tabParametros[[#Headers],[Seguro de Vida]],tabOutrosCustos[],3,0)</f>
        <v>3.36</v>
      </c>
      <c r="AH8" s="236">
        <f>IF(ISNUMBER(SEARCH("MOTORISTA",tabParametros[[#This Row],[Função]],1)),VLOOKUP("MOTORISTAS",tabDiarias[],2,0),IF(tabParametros[[#This Row],[Comarca]]="Belo Horizonte",VLOOKUP("LIMPEZA",tabDiarias[],2,0),0))</f>
        <v>0</v>
      </c>
      <c r="AI8" s="235">
        <f t="shared" si="2"/>
        <v>7.011766975308642E-3</v>
      </c>
      <c r="AJ8" s="237">
        <f>tabParametros[[#This Row],[FGTS]]*tabParametros[[#This Row],[Aviso Prévio Indenizado (API) e Reflexo do Aviso Prévio Indenizado]]</f>
        <v>5.609413580246914E-4</v>
      </c>
      <c r="AK8" s="237">
        <f>tabParametros[[#This Row],[FGTS]]*tabParametros[[#This Row],[Aviso Prévio Indenizado (API) e Reflexo do Aviso Prévio Indenizado]]*40%</f>
        <v>2.2437654320987658E-4</v>
      </c>
      <c r="AL8" s="235">
        <f t="shared" si="3"/>
        <v>3.5000000000000005E-3</v>
      </c>
      <c r="AM8" s="235">
        <f>tabParametros[[#This Row],[Aviso Prévio Trabalhado - APT]]*SUM(tabParametros[[#This Row],[INSS]:[SEBRAE]])</f>
        <v>1.3230000000000004E-3</v>
      </c>
      <c r="AN8" s="235">
        <f t="shared" si="4"/>
        <v>3.0577777777777773E-2</v>
      </c>
      <c r="AO8" s="235">
        <f t="shared" si="5"/>
        <v>8.3333333333333339E-4</v>
      </c>
      <c r="AP8" s="235">
        <f t="shared" si="6"/>
        <v>8.4444444444444437E-3</v>
      </c>
      <c r="AQ8" s="235">
        <f t="shared" si="7"/>
        <v>2.0277777777777777E-3</v>
      </c>
      <c r="AR8" s="235">
        <f t="shared" si="8"/>
        <v>1.7083333333333333E-4</v>
      </c>
      <c r="AS8" s="235">
        <f t="shared" si="9"/>
        <v>2.0833333333333335E-4</v>
      </c>
      <c r="AT8" s="235">
        <f t="shared" si="10"/>
        <v>1.2962962962962963E-3</v>
      </c>
      <c r="AU8" s="237">
        <f>SUM(tabParametros[[#This Row],[Ausência por Doença]:[Férias, Adicional de Férias e 13º  com empregada em gozo de Licença Maternidade]])*SUM(tabParametros[[#This Row],[INSS]:[SEBRAE]])</f>
        <v>4.5918250000000008E-3</v>
      </c>
      <c r="AV8" s="234">
        <f>IF(tabParametros[[#This Row],[Função]]="Porteiro - 220 h",SUM(tabParametros[[#This Row],[Salário Base]:[Adicional de Acúmulo de função]])/220*20*1.5,IF(ISNUMBER(SEARCH("12 x 36",tabParametros[[#This Row],[Função]],1)),SUM(tabParametros[[#This Row],[Salário Base]:[Adicional de Acúmulo de função]])/210*15.5*1.5,0))</f>
        <v>0</v>
      </c>
      <c r="AW8" s="234">
        <f>IF(tabParametros[[#This Row],[Vagas contratadas]]&gt;0,(SUM(tabParametros[[#This Row],[Salário Base]:[Adicional de Acúmulo de função]])*30%+SUM(tabParametros[[#This Row],[Vale - Alimentação]:[Seguro de Vida]]))/tabParametros[[#This Row],[Vagas contratadas]]*tabParametros[[#This Row],[Vagas suspensas]],0)</f>
        <v>0</v>
      </c>
      <c r="AX8" s="234">
        <f>SUMIF(tabUniformes[Cargo],tabParametros[[#This Row],[Função]],tabUniformes[Valor unit. Mensal])</f>
        <v>62.806666666666665</v>
      </c>
      <c r="AY8" s="281">
        <f>IF(ISNUMBER(SEARCH("AUXILIAR DE LIMPEZA - 75 H",tabParametros[[#This Row],[Função]],1)),
SUMIF(tabLimpGeral[TIPO],"Material",tabLimpGeral[VALOR UNITÁRIO P/ HORA (R$)])*75,
IF(ISNUMBER(SEARCH("AUXILIAR DE LIMPEZA - 110 H",tabParametros[[#This Row],[Função]],1)),
SUMIF(tabLimpGeral[TIPO],"Material",tabLimpGeral[VALOR UNITÁRIO P/ HORA (R$)])*110,
IF(ISNUMBER(SEARCH("AUXILIAR DE LIMPEZA - 150 H",tabParametros[[#This Row],[Função]],1)),
SUMIF(tabLimpGeral[TIPO],"Material",tabLimpGeral[VALOR UNITÁRIO P/ HORA (R$)])*150,
IF(ISNUMBER(SEARCH("AUXILIAR DE LIMPEZA - 220 H",tabParametros[[#This Row],[Função]],1)),
SUMIF(tabLimpGeral[TIPO],"Material",tabLimpGeral[VALOR UNITÁRIO P/ HORA (R$)])*220,
IF(ISNUMBER(SEARCH("AUXILIAR DE LIMPEZA - 12 x 36",tabParametros[[#This Row],[Função]],1)),
SUMIF(tabLimpGeral[TIPO],"Material",tabLimpGeral[VALOR UNITÁRIO P/ HORA (R$)])*220,
IF(ISNUMBER(SEARCH("Limpador de vidros - 220 h",tabParametros[[#This Row],[Função]],1)),
SUMIF(tabVidros[TIPO],"Material",tabVidros[VALOR UNITÁRIO P/ POSTO (R$)]),
0))))))</f>
        <v>17.759106479291944</v>
      </c>
      <c r="AZ8" s="281">
        <f>IF(ISNUMBER(SEARCH("AUXILIAR DE LIMPEZA - 75 H",tabParametros[[#This Row],[Função]],1)),
SUMIF(tabLimpGeral[TIPO],"Equipamento",tabLimpGeral[VALOR UNITÁRIO P/ HORA (R$)])*75,
IF(ISNUMBER(SEARCH("AUXILIAR DE LIMPEZA - 110 H",tabParametros[[#This Row],[Função]],1)),
SUMIF(tabLimpGeral[TIPO],"Equipamento",tabLimpGeral[VALOR UNITÁRIO P/ HORA (R$)])*110,
IF(ISNUMBER(SEARCH("AUXILIAR DE LIMPEZA - 150 H",tabParametros[[#This Row],[Função]],1)),
SUMIF(tabLimpGeral[TIPO],"Equipamento",tabLimpGeral[VALOR UNITÁRIO P/ HORA (R$)])*150,
IF(ISNUMBER(SEARCH("AUXILIAR DE LIMPEZA - 220 H",tabParametros[[#This Row],[Função]],1)),
SUMIF(tabLimpGeral[TIPO],"Equipamento",tabLimpGeral[VALOR UNITÁRIO P/ HORA (R$)])*220,
IF(ISNUMBER(SEARCH("AUXILIAR DE LIMPEZA - 12 x 36",tabParametros[[#This Row],[Função]],1)),
SUMIF(tabLimpGeral[TIPO],"Equipamento",tabLimpGeral[VALOR UNITÁRIO P/ HORA (R$)])*220,
IF(ISNUMBER(SEARCH("Limpador de vidros - 220 h",tabParametros[[#This Row],[Função]],1)),
SUMIF(tabVidros[TIPO],"Equipamento",tabVidros[VALOR UNITÁRIO P/ POSTO (R$)]),
0))))))</f>
        <v>32.264696957412788</v>
      </c>
      <c r="BA8" s="281">
        <f>IF(ISNUMBER(SEARCH("AUXILIAR DE LIMPEZA - 75 H",tabParametros[[#This Row],[Função]],1)),
SUMIF(tabLimpGeral[TIPO],"Produto",tabLimpGeral[VALOR UNITÁRIO P/ HORA (R$)])*75,
IF(ISNUMBER(SEARCH("AUXILIAR DE LIMPEZA - 110 H",tabParametros[[#This Row],[Função]],1)),
SUMIF(tabLimpGeral[TIPO],"Produto",tabLimpGeral[VALOR UNITÁRIO P/ HORA (R$)])*110,
IF(ISNUMBER(SEARCH("AUXILIAR DE LIMPEZA - 150 H",tabParametros[[#This Row],[Função]],1)),
SUMIF(tabLimpGeral[TIPO],"Produto",tabLimpGeral[VALOR UNITÁRIO P/ HORA (R$)])*150,
IF(ISNUMBER(SEARCH("AUXILIAR DE LIMPEZA - 220 H",tabParametros[[#This Row],[Função]],1)),
SUMIF(tabLimpGeral[TIPO],"Produto",tabLimpGeral[VALOR UNITÁRIO P/ HORA (R$)])*220,
IF(ISNUMBER(SEARCH("AUXILIAR DE LIMPEZA - 12 x 36",tabParametros[[#This Row],[Função]],1)),
SUMIF(tabLimpGeral[TIPO],"Produto",tabLimpGeral[VALOR UNITÁRIO P/ HORA (R$)])*220,
IF(ISNUMBER(SEARCH("Limpador de vidros - 220 h",tabParametros[[#This Row],[Função]],1)),
SUMIF(tabVidros[TIPO],"Produto",tabVidros[VALOR UNITÁRIO P/ POSTO (R$)]),
0))))))</f>
        <v>345.13576638965827</v>
      </c>
      <c r="BB8" s="281">
        <v>0</v>
      </c>
      <c r="BC8" s="236">
        <f>VLOOKUP(tabParametros[[#Headers],[Custos Indiretos]],tabOutrosCustos[],3,0)</f>
        <v>189.64880140242613</v>
      </c>
      <c r="BD8" s="236">
        <f>VLOOKUP(tabParametros[[#Headers],[Lucro]],tabOutrosCustos[],3,0)</f>
        <v>159.30499317803796</v>
      </c>
      <c r="BE8" s="235">
        <f>VLOOKUP(tabParametros[[#Headers],[COFINS]],tabImpostosNacionais[],2,0)</f>
        <v>7.5999999999999998E-2</v>
      </c>
      <c r="BF8" s="235">
        <f>VLOOKUP(tabParametros[[#Headers],[PIS]],tabImpostosNacionais[],2,0)</f>
        <v>1.6500000000000001E-2</v>
      </c>
      <c r="BG8" s="235">
        <f>VLOOKUP(tabParametros[[#This Row],[Comarca]],tabComarca[],4,0)</f>
        <v>0.03</v>
      </c>
      <c r="BH8" s="238">
        <f>IFERROR(VLOOKUP(tabParametros[[#This Row],[CCT DA CATEGORIA]],tabSindicatos[],11,0),"")</f>
        <v>45658</v>
      </c>
      <c r="BI8" s="289" t="str">
        <f>IFERROR(VLOOKUP(tabParametros[[#This Row],[CCT DA CATEGORIA]],tabSindicatos[],12,0),"")</f>
        <v>-</v>
      </c>
      <c r="BJ8" s="293" t="str">
        <f>IFERROR(VLOOKUP(tabParametros[[#This Row],[CCT DA CATEGORIA]],tabSindicatos[],13,0),"")</f>
        <v>-</v>
      </c>
    </row>
    <row r="9" spans="1:67" x14ac:dyDescent="0.25">
      <c r="A9" s="233" t="s">
        <v>1355</v>
      </c>
      <c r="B9" s="198" t="s">
        <v>15</v>
      </c>
      <c r="C9" s="198" t="s">
        <v>1246</v>
      </c>
      <c r="D9" s="198" t="str">
        <f>VLOOKUP(tabParametros[[#This Row],[Código do Posto]],tabPostos[],4,0)</f>
        <v>Cataguases</v>
      </c>
      <c r="E9" s="289" t="str">
        <f>VLOOKUP(tabParametros[[#This Row],[Código do Posto]],tabPostos[],5,0)</f>
        <v>Limpeza</v>
      </c>
      <c r="F9" s="289" t="str">
        <f>VLOOKUP(tabParametros[[#This Row],[Código do Posto]],tabPostos[],6,0)</f>
        <v>PGJ</v>
      </c>
      <c r="G9" s="289">
        <f>VLOOKUP(tabParametros[[#This Row],[Código do Posto]],tabPostos[],7,0)</f>
        <v>1</v>
      </c>
      <c r="H9" s="289">
        <f>VLOOKUP(tabParametros[[#This Row],[Código do Posto]],tabPostos[],8,0)</f>
        <v>0</v>
      </c>
      <c r="I9" s="234">
        <f>VLOOKUP(tabParametros[[#This Row],[Código do Posto]],tabPostos[],9,0)</f>
        <v>1088.3699999999999</v>
      </c>
      <c r="J9" s="234">
        <f>IF(ISNUMBER(SEARCH("Eletricista",tabParametros[[#This Row],[Função]],1)),0.3*tabParametros[[#This Row],[Salário Base]],0)</f>
        <v>0</v>
      </c>
      <c r="K9" s="234">
        <f>IF(OR(ISNUMBER(SEARCH("Bombeiro Hidraulico",tabParametros[[#This Row],[Função]],1)),ISNUMBER(SEARCH("Jardineiro",tabParametros[[#This Row],[Função]],1)),ISNUMBER(SEARCH("Lavador de Veiculos",tabParametros[[#This Row],[Função]],1)),ISNUMBER(SEARCH("Marceneiro",tabParametros[[#This Row],[Função]],1)),ISNUMBER(SEARCH("Pintor",tabParametros[[#This Row],[Função]],1))),0.2*'BASE GERAL'!$R$4,0)</f>
        <v>0</v>
      </c>
      <c r="L9" s="234">
        <f>IF(AND(ISNUMBER(SEARCH("Noturno",tabParametros[[#This Row],[Função]],1)),tabParametros[[#This Row],[Comarca]]&lt;&gt;"Juiz de Fora"),tabParametros[[#This Row],[Salário Base]]/210*0.39*7*15.5,IF(ISNUMBER(SEARCH("Noturno",tabParametros[[#This Row],[Função]],1)),tabParametros[[#This Row],[Salário Base]]/210*0.2*8*15.5,0))</f>
        <v>0</v>
      </c>
      <c r="M9" s="234">
        <f>IF(ISNUMBER(SEARCH("Motorista II",tabParametros[[#This Row],[Função]],1)),0.25*tabParametros[[#This Row],[Salário Base]],0)</f>
        <v>0</v>
      </c>
      <c r="N9" s="250">
        <v>0</v>
      </c>
      <c r="O9" s="234">
        <f>IF(ISNUMBER(SEARCH("TECNOLOGIA DA INFORMACAO",tabParametros[[#This Row],[Função]],1)),0.0201*tabParametros[[#This Row],[Salário Base]],0)</f>
        <v>0</v>
      </c>
      <c r="P9" s="250" cm="1">
        <f t="array" ref="P9">_xlfn.IFS(
ISNUMBER(SEARCH("Auxiliar de Limpeza - 75 h",tabParametros[[#This Row],[Função]],1)),tabParametros[[#This Row],[Salário Base]]/75*0.75*30*0.12,
ISNUMBER(SEARCH("Auxiliar de Limpeza - 110 h",tabParametros[[#This Row],[Função]],1)),tabParametros[[#This Row],[Salário Base]]/110*1*30*0.12,
ISNUMBER(SEARCH("Auxiliar de Limpeza - 150 h",tabParametros[[#This Row],[Função]],1)),tabParametros[[#This Row],[Salário Base]]/150*1.5*30*0.12,
ISNUMBER(SEARCH("Auxiliar de Limpeza - 220 h",tabParametros[[#This Row],[Função]],1)),tabParametros[[#This Row],[Salário Base]]/220*2*30*0.12,
ISNUMBER(SEARCH("Auxiliar de Limpeza - 12 x 36",tabParametros[[#This Row],[Função]],1)),tabParametros[[#This Row],[Salário Base]]/220*2*30*0.12,
ISNUMBER(SEARCH("Auxiliar de Limpeza - 55 h",tabParametros[[#This Row],[Função]],1))=FALSE,0)</f>
        <v>39.181319999999985</v>
      </c>
      <c r="Q9" s="235">
        <f>VLOOKUP(tabParametros[[#Headers],[INSS]],tabImpostosNacionais[],2,0)</f>
        <v>0.2</v>
      </c>
      <c r="R9" s="235">
        <f>VLOOKUP(tabParametros[[#Headers],[SESI OU SESC]],tabImpostosNacionais[],2,0)</f>
        <v>1.4999999999999999E-2</v>
      </c>
      <c r="S9" s="235">
        <f>VLOOKUP(tabParametros[[#Headers],[SENAI OU SENAC]],tabImpostosNacionais[],2,0)</f>
        <v>0.01</v>
      </c>
      <c r="T9" s="235">
        <f>VLOOKUP(tabParametros[[#Headers],[INCRA]],tabImpostosNacionais[],2,0)</f>
        <v>2E-3</v>
      </c>
      <c r="U9" s="235">
        <f>VLOOKUP(tabParametros[[#Headers],[Salário Educação]],tabImpostosNacionais[],2,0)</f>
        <v>2.5000000000000001E-2</v>
      </c>
      <c r="V9" s="235">
        <f>VLOOKUP(tabParametros[[#Headers],[FGTS]],tabImpostosNacionais[],2,0)</f>
        <v>0.08</v>
      </c>
      <c r="W9" s="235">
        <f>VLOOKUP(tabParametros[[#Headers],[RAT Ajustado]],tabImpostosNacionais[],2,0)</f>
        <v>0.04</v>
      </c>
      <c r="X9" s="235">
        <f>VLOOKUP(tabParametros[[#Headers],[SEBRAE]],tabImpostosNacionais[],2,0)</f>
        <v>6.0000000000000001E-3</v>
      </c>
      <c r="Y9" s="235">
        <f t="shared" si="0"/>
        <v>8.3333333333333329E-2</v>
      </c>
      <c r="Z9" s="251">
        <f t="shared" si="1"/>
        <v>0.1111111111111111</v>
      </c>
      <c r="AA9" s="234">
        <f>VLOOKUP(tabParametros[[#This Row],[Comarca]],tabComarca[],5,0)</f>
        <v>6.4</v>
      </c>
      <c r="AB9" s="234">
        <f>IFERROR(VLOOKUP(tabParametros[[#This Row],[CCT DA CATEGORIA]],tabSindicatos[],6,0),0)</f>
        <v>29.15</v>
      </c>
      <c r="AC9" s="234">
        <f>IFERROR(VLOOKUP(tabParametros[[#This Row],[CCT DA CATEGORIA]],tabSindicatos[],7,0),0)</f>
        <v>0</v>
      </c>
      <c r="AD9" s="234" cm="1">
        <f t="array" ref="AD9">_xlfn.LET(
_xlpm.COMARCA, TRIM(UPPER(SUBSTITUTE(SUBSTITUTE(SUBSTITUTE(SUBSTITUTE(SUBSTITUTE(SUBSTITUTE(SUBSTITUTE(SUBSTITUTE(SUBSTITUTE(SUBSTITUTE(SUBSTITUTE(SUBSTITUTE(SUBSTITUTE(SUBSTITUTE(SUBSTITUTE(SUBSTITUTE(SUBSTITUTE(SUBSTITUTE(SUBSTITUTE(SUBSTITUTE(SUBSTITUTE(SUBSTITUTE(SUBSTITUTE(SUBSTITUTE(SUBSTITUTE(SUBSTITUTE(tabParametros[[#This Row],[Comarca]],"á","a"),"ã","a"),"â","a"),"é","e"),"ê","e"),"í","i"),"ó","o"),"õ","o"),"ô","o"),"ú","u"),"ç","c"),"Á","a"),"Ã","a"),"Â","a"),"É","e"),"Ê","e"),"Í","i"),"Ó","o"),"Õ","o"),"Ô","o"),"Ú","u"),"Ç","c"),"/MG","")," e ",", ")," ",""),".",""))),
_xlpm.MATRIZ_COMARCA, TRIM(UPPER(SUBSTITUTE(SUBSTITUTE(SUBSTITUTE(SUBSTITUTE(SUBSTITUTE(SUBSTITUTE(SUBSTITUTE(SUBSTITUTE(SUBSTITUTE(SUBSTITUTE(SUBSTITUTE(SUBSTITUTE(SUBSTITUTE(SUBSTITUTE(SUBSTITUTE(SUBSTITUTE(SUBSTITUTE(SUBSTITUTE(SUBSTITUTE(SUBSTITUTE(SUBSTITUTE(SUBSTITUTE(SUBSTITUTE(SUBSTITUTE(SUBSTITUTE(SUBSTITUTE(tabSindicatos[COMARCAS PAF],"á","a"),"ã","a"),"â","a"),"é","e"),"ê","e"),"í","i"),"ó","o"),"õ","o"),"ô","o"),"ú","u"),"ç","c"),"Á","a"),"Ã","a"),"Â","a"),"É","e"),"Ê","e"),"Í","i"),"Ó","o"),"Õ","o"),"Ô","o"),"Ú","u"),"Ç","c"),"/MG","")," e ",", ")," ",""),".",""))),
IFERROR(IF(_xlfn.XLOOKUP(tabParametros[[#This Row],[CCT DA CATEGORIA]],tabSindicatos[SINDICATOS],tabSindicatos[COMARCAS PAF])="",
VLOOKUP(tabParametros[[#This Row],[CCT DA CATEGORIA]],tabSindicatos[],8,0),
IF(ISNUMBER(SEARCH(TRIM(_xlpm.COMARCA),_xlfn.XLOOKUP(tabParametros[[#This Row],[CCT DA CATEGORIA]],tabSindicatos[SINDICATOS],_xlpm.MATRIZ_COMARCA),1)),VLOOKUP(tabParametros[[#This Row],[CCT DA CATEGORIA]],tabSindicatos[],8,0),0)
),0)
)</f>
        <v>57.07</v>
      </c>
      <c r="AE9" s="234">
        <f>IFERROR(VLOOKUP(tabParametros[[#This Row],[CCT DA CATEGORIA]],tabSindicatos[],9,0),0)</f>
        <v>0</v>
      </c>
      <c r="AF9" s="234">
        <f>IFERROR(VLOOKUP(tabParametros[[#This Row],[CCT DA CATEGORIA]],tabSindicatos[],10,0),0)</f>
        <v>0</v>
      </c>
      <c r="AG9" s="236">
        <f>VLOOKUP(tabParametros[[#Headers],[Seguro de Vida]],tabOutrosCustos[],3,0)</f>
        <v>3.36</v>
      </c>
      <c r="AH9" s="236">
        <f>IF(ISNUMBER(SEARCH("MOTORISTA",tabParametros[[#This Row],[Função]],1)),VLOOKUP("MOTORISTAS",tabDiarias[],2,0),IF(tabParametros[[#This Row],[Comarca]]="Belo Horizonte",VLOOKUP("LIMPEZA",tabDiarias[],2,0),0))</f>
        <v>0</v>
      </c>
      <c r="AI9" s="235">
        <f t="shared" si="2"/>
        <v>7.011766975308642E-3</v>
      </c>
      <c r="AJ9" s="237">
        <f>tabParametros[[#This Row],[FGTS]]*tabParametros[[#This Row],[Aviso Prévio Indenizado (API) e Reflexo do Aviso Prévio Indenizado]]</f>
        <v>5.609413580246914E-4</v>
      </c>
      <c r="AK9" s="237">
        <f>tabParametros[[#This Row],[FGTS]]*tabParametros[[#This Row],[Aviso Prévio Indenizado (API) e Reflexo do Aviso Prévio Indenizado]]*40%</f>
        <v>2.2437654320987658E-4</v>
      </c>
      <c r="AL9" s="235">
        <f t="shared" si="3"/>
        <v>3.5000000000000005E-3</v>
      </c>
      <c r="AM9" s="235">
        <f>tabParametros[[#This Row],[Aviso Prévio Trabalhado - APT]]*SUM(tabParametros[[#This Row],[INSS]:[SEBRAE]])</f>
        <v>1.3230000000000004E-3</v>
      </c>
      <c r="AN9" s="235">
        <f t="shared" si="4"/>
        <v>3.0577777777777773E-2</v>
      </c>
      <c r="AO9" s="235">
        <f t="shared" si="5"/>
        <v>8.3333333333333339E-4</v>
      </c>
      <c r="AP9" s="235">
        <f t="shared" si="6"/>
        <v>8.4444444444444437E-3</v>
      </c>
      <c r="AQ9" s="235">
        <f t="shared" si="7"/>
        <v>2.0277777777777777E-3</v>
      </c>
      <c r="AR9" s="235">
        <f t="shared" si="8"/>
        <v>1.7083333333333333E-4</v>
      </c>
      <c r="AS9" s="235">
        <f t="shared" si="9"/>
        <v>2.0833333333333335E-4</v>
      </c>
      <c r="AT9" s="235">
        <f t="shared" si="10"/>
        <v>1.2962962962962963E-3</v>
      </c>
      <c r="AU9" s="237">
        <f>SUM(tabParametros[[#This Row],[Ausência por Doença]:[Férias, Adicional de Férias e 13º  com empregada em gozo de Licença Maternidade]])*SUM(tabParametros[[#This Row],[INSS]:[SEBRAE]])</f>
        <v>4.5918250000000008E-3</v>
      </c>
      <c r="AV9" s="234">
        <f>IF(tabParametros[[#This Row],[Função]]="Porteiro - 220 h",SUM(tabParametros[[#This Row],[Salário Base]:[Adicional de Acúmulo de função]])/220*20*1.5,IF(ISNUMBER(SEARCH("12 x 36",tabParametros[[#This Row],[Função]],1)),SUM(tabParametros[[#This Row],[Salário Base]:[Adicional de Acúmulo de função]])/210*15.5*1.5,0))</f>
        <v>0</v>
      </c>
      <c r="AW9" s="234">
        <f>IF(tabParametros[[#This Row],[Vagas contratadas]]&gt;0,(SUM(tabParametros[[#This Row],[Salário Base]:[Adicional de Acúmulo de função]])*30%+SUM(tabParametros[[#This Row],[Vale - Alimentação]:[Seguro de Vida]]))/tabParametros[[#This Row],[Vagas contratadas]]*tabParametros[[#This Row],[Vagas suspensas]],0)</f>
        <v>0</v>
      </c>
      <c r="AX9" s="234">
        <f>SUMIF(tabUniformes[Cargo],tabParametros[[#This Row],[Função]],tabUniformes[Valor unit. Mensal])</f>
        <v>100.80916666666666</v>
      </c>
      <c r="AY9" s="281">
        <f>IF(ISNUMBER(SEARCH("AUXILIAR DE LIMPEZA - 75 H",tabParametros[[#This Row],[Função]],1)),
SUMIF(tabLimpGeral[TIPO],"Material",tabLimpGeral[VALOR UNITÁRIO P/ HORA (R$)])*75,
IF(ISNUMBER(SEARCH("AUXILIAR DE LIMPEZA - 110 H",tabParametros[[#This Row],[Função]],1)),
SUMIF(tabLimpGeral[TIPO],"Material",tabLimpGeral[VALOR UNITÁRIO P/ HORA (R$)])*110,
IF(ISNUMBER(SEARCH("AUXILIAR DE LIMPEZA - 150 H",tabParametros[[#This Row],[Função]],1)),
SUMIF(tabLimpGeral[TIPO],"Material",tabLimpGeral[VALOR UNITÁRIO P/ HORA (R$)])*150,
IF(ISNUMBER(SEARCH("AUXILIAR DE LIMPEZA - 220 H",tabParametros[[#This Row],[Função]],1)),
SUMIF(tabLimpGeral[TIPO],"Material",tabLimpGeral[VALOR UNITÁRIO P/ HORA (R$)])*220,
IF(ISNUMBER(SEARCH("AUXILIAR DE LIMPEZA - 12 x 36",tabParametros[[#This Row],[Função]],1)),
SUMIF(tabLimpGeral[TIPO],"Material",tabLimpGeral[VALOR UNITÁRIO P/ HORA (R$)])*220,
IF(ISNUMBER(SEARCH("Limpador de vidros - 220 h",tabParametros[[#This Row],[Função]],1)),
SUMIF(tabVidros[TIPO],"Material",tabVidros[VALOR UNITÁRIO P/ POSTO (R$)]),
0))))))</f>
        <v>24.216963380852651</v>
      </c>
      <c r="AZ9" s="281">
        <f>IF(ISNUMBER(SEARCH("AUXILIAR DE LIMPEZA - 75 H",tabParametros[[#This Row],[Função]],1)),
SUMIF(tabLimpGeral[TIPO],"Equipamento",tabLimpGeral[VALOR UNITÁRIO P/ HORA (R$)])*75,
IF(ISNUMBER(SEARCH("AUXILIAR DE LIMPEZA - 110 H",tabParametros[[#This Row],[Função]],1)),
SUMIF(tabLimpGeral[TIPO],"Equipamento",tabLimpGeral[VALOR UNITÁRIO P/ HORA (R$)])*110,
IF(ISNUMBER(SEARCH("AUXILIAR DE LIMPEZA - 150 H",tabParametros[[#This Row],[Função]],1)),
SUMIF(tabLimpGeral[TIPO],"Equipamento",tabLimpGeral[VALOR UNITÁRIO P/ HORA (R$)])*150,
IF(ISNUMBER(SEARCH("AUXILIAR DE LIMPEZA - 220 H",tabParametros[[#This Row],[Função]],1)),
SUMIF(tabLimpGeral[TIPO],"Equipamento",tabLimpGeral[VALOR UNITÁRIO P/ HORA (R$)])*220,
IF(ISNUMBER(SEARCH("AUXILIAR DE LIMPEZA - 12 x 36",tabParametros[[#This Row],[Função]],1)),
SUMIF(tabLimpGeral[TIPO],"Equipamento",tabLimpGeral[VALOR UNITÁRIO P/ HORA (R$)])*220,
IF(ISNUMBER(SEARCH("Limpador de vidros - 220 h",tabParametros[[#This Row],[Função]],1)),
SUMIF(tabVidros[TIPO],"Equipamento",tabVidros[VALOR UNITÁRIO P/ POSTO (R$)]),
0))))))</f>
        <v>43.997314032835618</v>
      </c>
      <c r="BA9" s="281">
        <f>IF(ISNUMBER(SEARCH("AUXILIAR DE LIMPEZA - 75 H",tabParametros[[#This Row],[Função]],1)),
SUMIF(tabLimpGeral[TIPO],"Produto",tabLimpGeral[VALOR UNITÁRIO P/ HORA (R$)])*75,
IF(ISNUMBER(SEARCH("AUXILIAR DE LIMPEZA - 110 H",tabParametros[[#This Row],[Função]],1)),
SUMIF(tabLimpGeral[TIPO],"Produto",tabLimpGeral[VALOR UNITÁRIO P/ HORA (R$)])*110,
IF(ISNUMBER(SEARCH("AUXILIAR DE LIMPEZA - 150 H",tabParametros[[#This Row],[Função]],1)),
SUMIF(tabLimpGeral[TIPO],"Produto",tabLimpGeral[VALOR UNITÁRIO P/ HORA (R$)])*150,
IF(ISNUMBER(SEARCH("AUXILIAR DE LIMPEZA - 220 H",tabParametros[[#This Row],[Função]],1)),
SUMIF(tabLimpGeral[TIPO],"Produto",tabLimpGeral[VALOR UNITÁRIO P/ HORA (R$)])*220,
IF(ISNUMBER(SEARCH("AUXILIAR DE LIMPEZA - 12 x 36",tabParametros[[#This Row],[Função]],1)),
SUMIF(tabLimpGeral[TIPO],"Produto",tabLimpGeral[VALOR UNITÁRIO P/ HORA (R$)])*220,
IF(ISNUMBER(SEARCH("Limpador de vidros - 220 h",tabParametros[[#This Row],[Função]],1)),
SUMIF(tabVidros[TIPO],"Produto",tabVidros[VALOR UNITÁRIO P/ POSTO (R$)]),
0))))))</f>
        <v>470.6396814404431</v>
      </c>
      <c r="BB9" s="281">
        <v>0</v>
      </c>
      <c r="BC9" s="236">
        <f>VLOOKUP(tabParametros[[#Headers],[Custos Indiretos]],tabOutrosCustos[],3,0)</f>
        <v>189.64880140242613</v>
      </c>
      <c r="BD9" s="236">
        <f>VLOOKUP(tabParametros[[#Headers],[Lucro]],tabOutrosCustos[],3,0)</f>
        <v>159.30499317803796</v>
      </c>
      <c r="BE9" s="235">
        <f>VLOOKUP(tabParametros[[#Headers],[COFINS]],tabImpostosNacionais[],2,0)</f>
        <v>7.5999999999999998E-2</v>
      </c>
      <c r="BF9" s="235">
        <f>VLOOKUP(tabParametros[[#Headers],[PIS]],tabImpostosNacionais[],2,0)</f>
        <v>1.6500000000000001E-2</v>
      </c>
      <c r="BG9" s="235">
        <f>VLOOKUP(tabParametros[[#This Row],[Comarca]],tabComarca[],4,0)</f>
        <v>0.02</v>
      </c>
      <c r="BH9" s="238">
        <f>IFERROR(VLOOKUP(tabParametros[[#This Row],[CCT DA CATEGORIA]],tabSindicatos[],11,0),"")</f>
        <v>45658</v>
      </c>
      <c r="BI9" s="289" t="str">
        <f>IFERROR(VLOOKUP(tabParametros[[#This Row],[CCT DA CATEGORIA]],tabSindicatos[],12,0),"")</f>
        <v>-</v>
      </c>
      <c r="BJ9" s="293" t="str">
        <f>IFERROR(VLOOKUP(tabParametros[[#This Row],[CCT DA CATEGORIA]],tabSindicatos[],13,0),"")</f>
        <v>-</v>
      </c>
    </row>
    <row r="10" spans="1:67" x14ac:dyDescent="0.25">
      <c r="A10" s="233" t="s">
        <v>1356</v>
      </c>
      <c r="B10" s="198" t="s">
        <v>16</v>
      </c>
      <c r="C10" s="198" t="s">
        <v>1245</v>
      </c>
      <c r="D10" s="198" t="str">
        <f>VLOOKUP(tabParametros[[#This Row],[Código do Posto]],tabPostos[],4,0)</f>
        <v>Regiao de Sao Lourenco</v>
      </c>
      <c r="E10" s="289" t="str">
        <f>VLOOKUP(tabParametros[[#This Row],[Código do Posto]],tabPostos[],5,0)</f>
        <v>Limpeza</v>
      </c>
      <c r="F10" s="289" t="str">
        <f>VLOOKUP(tabParametros[[#This Row],[Código do Posto]],tabPostos[],6,0)</f>
        <v>PGJ</v>
      </c>
      <c r="G10" s="289">
        <f>VLOOKUP(tabParametros[[#This Row],[Código do Posto]],tabPostos[],7,0)</f>
        <v>2</v>
      </c>
      <c r="H10" s="289">
        <f>VLOOKUP(tabParametros[[#This Row],[Código do Posto]],tabPostos[],8,0)</f>
        <v>0</v>
      </c>
      <c r="I10" s="234">
        <f>VLOOKUP(tabParametros[[#This Row],[Código do Posto]],tabPostos[],9,0)</f>
        <v>1596.28</v>
      </c>
      <c r="J10" s="234">
        <f>IF(ISNUMBER(SEARCH("Eletricista",tabParametros[[#This Row],[Função]],1)),0.3*tabParametros[[#This Row],[Salário Base]],0)</f>
        <v>0</v>
      </c>
      <c r="K10" s="234">
        <f>IF(OR(ISNUMBER(SEARCH("Bombeiro Hidraulico",tabParametros[[#This Row],[Função]],1)),ISNUMBER(SEARCH("Jardineiro",tabParametros[[#This Row],[Função]],1)),ISNUMBER(SEARCH("Lavador de Veiculos",tabParametros[[#This Row],[Função]],1)),ISNUMBER(SEARCH("Marceneiro",tabParametros[[#This Row],[Função]],1)),ISNUMBER(SEARCH("Pintor",tabParametros[[#This Row],[Função]],1))),0.2*'BASE GERAL'!$R$4,0)</f>
        <v>0</v>
      </c>
      <c r="L10" s="234">
        <f>IF(AND(ISNUMBER(SEARCH("Noturno",tabParametros[[#This Row],[Função]],1)),tabParametros[[#This Row],[Comarca]]&lt;&gt;"Juiz de Fora"),tabParametros[[#This Row],[Salário Base]]/210*0.39*7*15.5,IF(ISNUMBER(SEARCH("Noturno",tabParametros[[#This Row],[Função]],1)),tabParametros[[#This Row],[Salário Base]]/210*0.2*8*15.5,0))</f>
        <v>0</v>
      </c>
      <c r="M10" s="234">
        <f>IF(ISNUMBER(SEARCH("Motorista II",tabParametros[[#This Row],[Função]],1)),0.25*tabParametros[[#This Row],[Salário Base]],0)</f>
        <v>0</v>
      </c>
      <c r="N10" s="250">
        <v>0</v>
      </c>
      <c r="O10" s="234">
        <f>IF(ISNUMBER(SEARCH("TECNOLOGIA DA INFORMACAO",tabParametros[[#This Row],[Função]],1)),0.0201*tabParametros[[#This Row],[Salário Base]],0)</f>
        <v>0</v>
      </c>
      <c r="P10" s="250" cm="1">
        <f t="array" ref="P10">_xlfn.IFS(
ISNUMBER(SEARCH("Auxiliar de Limpeza - 75 h",tabParametros[[#This Row],[Função]],1)),tabParametros[[#This Row],[Salário Base]]/75*0.75*30*0.12,
ISNUMBER(SEARCH("Auxiliar de Limpeza - 110 h",tabParametros[[#This Row],[Função]],1)),tabParametros[[#This Row],[Salário Base]]/110*1*30*0.12,
ISNUMBER(SEARCH("Auxiliar de Limpeza - 150 h",tabParametros[[#This Row],[Função]],1)),tabParametros[[#This Row],[Salário Base]]/150*1.5*30*0.12,
ISNUMBER(SEARCH("Auxiliar de Limpeza - 220 h",tabParametros[[#This Row],[Função]],1)),tabParametros[[#This Row],[Salário Base]]/220*2*30*0.12,
ISNUMBER(SEARCH("Auxiliar de Limpeza - 12 x 36",tabParametros[[#This Row],[Função]],1)),tabParametros[[#This Row],[Salário Base]]/220*2*30*0.12,
ISNUMBER(SEARCH("Auxiliar de Limpeza - 55 h",tabParametros[[#This Row],[Função]],1))=FALSE,0)</f>
        <v>52.241890909090905</v>
      </c>
      <c r="Q10" s="235">
        <f>VLOOKUP(tabParametros[[#Headers],[INSS]],tabImpostosNacionais[],2,0)</f>
        <v>0.2</v>
      </c>
      <c r="R10" s="235">
        <f>VLOOKUP(tabParametros[[#Headers],[SESI OU SESC]],tabImpostosNacionais[],2,0)</f>
        <v>1.4999999999999999E-2</v>
      </c>
      <c r="S10" s="235">
        <f>VLOOKUP(tabParametros[[#Headers],[SENAI OU SENAC]],tabImpostosNacionais[],2,0)</f>
        <v>0.01</v>
      </c>
      <c r="T10" s="235">
        <f>VLOOKUP(tabParametros[[#Headers],[INCRA]],tabImpostosNacionais[],2,0)</f>
        <v>2E-3</v>
      </c>
      <c r="U10" s="235">
        <f>VLOOKUP(tabParametros[[#Headers],[Salário Educação]],tabImpostosNacionais[],2,0)</f>
        <v>2.5000000000000001E-2</v>
      </c>
      <c r="V10" s="235">
        <f>VLOOKUP(tabParametros[[#Headers],[FGTS]],tabImpostosNacionais[],2,0)</f>
        <v>0.08</v>
      </c>
      <c r="W10" s="235">
        <f>VLOOKUP(tabParametros[[#Headers],[RAT Ajustado]],tabImpostosNacionais[],2,0)</f>
        <v>0.04</v>
      </c>
      <c r="X10" s="235">
        <f>VLOOKUP(tabParametros[[#Headers],[SEBRAE]],tabImpostosNacionais[],2,0)</f>
        <v>6.0000000000000001E-3</v>
      </c>
      <c r="Y10" s="235">
        <f t="shared" si="0"/>
        <v>8.3333333333333329E-2</v>
      </c>
      <c r="Z10" s="251">
        <f t="shared" si="1"/>
        <v>0.1111111111111111</v>
      </c>
      <c r="AA10" s="234">
        <f>VLOOKUP(tabParametros[[#This Row],[Comarca]],tabComarca[],5,0)</f>
        <v>6.4</v>
      </c>
      <c r="AB10" s="234">
        <f>IFERROR(VLOOKUP(tabParametros[[#This Row],[CCT DA CATEGORIA]],tabSindicatos[],6,0),0)</f>
        <v>29.15</v>
      </c>
      <c r="AC10" s="234">
        <f>IFERROR(VLOOKUP(tabParametros[[#This Row],[CCT DA CATEGORIA]],tabSindicatos[],7,0),0)</f>
        <v>0</v>
      </c>
      <c r="AD10" s="234" cm="1">
        <f t="array" ref="AD10">_xlfn.LET(
_xlpm.COMARCA, TRIM(UPPER(SUBSTITUTE(SUBSTITUTE(SUBSTITUTE(SUBSTITUTE(SUBSTITUTE(SUBSTITUTE(SUBSTITUTE(SUBSTITUTE(SUBSTITUTE(SUBSTITUTE(SUBSTITUTE(SUBSTITUTE(SUBSTITUTE(SUBSTITUTE(SUBSTITUTE(SUBSTITUTE(SUBSTITUTE(SUBSTITUTE(SUBSTITUTE(SUBSTITUTE(SUBSTITUTE(SUBSTITUTE(SUBSTITUTE(SUBSTITUTE(SUBSTITUTE(SUBSTITUTE(tabParametros[[#This Row],[Comarca]],"á","a"),"ã","a"),"â","a"),"é","e"),"ê","e"),"í","i"),"ó","o"),"õ","o"),"ô","o"),"ú","u"),"ç","c"),"Á","a"),"Ã","a"),"Â","a"),"É","e"),"Ê","e"),"Í","i"),"Ó","o"),"Õ","o"),"Ô","o"),"Ú","u"),"Ç","c"),"/MG","")," e ",", ")," ",""),".",""))),
_xlpm.MATRIZ_COMARCA, TRIM(UPPER(SUBSTITUTE(SUBSTITUTE(SUBSTITUTE(SUBSTITUTE(SUBSTITUTE(SUBSTITUTE(SUBSTITUTE(SUBSTITUTE(SUBSTITUTE(SUBSTITUTE(SUBSTITUTE(SUBSTITUTE(SUBSTITUTE(SUBSTITUTE(SUBSTITUTE(SUBSTITUTE(SUBSTITUTE(SUBSTITUTE(SUBSTITUTE(SUBSTITUTE(SUBSTITUTE(SUBSTITUTE(SUBSTITUTE(SUBSTITUTE(SUBSTITUTE(SUBSTITUTE(tabSindicatos[COMARCAS PAF],"á","a"),"ã","a"),"â","a"),"é","e"),"ê","e"),"í","i"),"ó","o"),"õ","o"),"ô","o"),"ú","u"),"ç","c"),"Á","a"),"Ã","a"),"Â","a"),"É","e"),"Ê","e"),"Í","i"),"Ó","o"),"Õ","o"),"Ô","o"),"Ú","u"),"Ç","c"),"/MG","")," e ",", ")," ",""),".",""))),
IFERROR(IF(_xlfn.XLOOKUP(tabParametros[[#This Row],[CCT DA CATEGORIA]],tabSindicatos[SINDICATOS],tabSindicatos[COMARCAS PAF])="",
VLOOKUP(tabParametros[[#This Row],[CCT DA CATEGORIA]],tabSindicatos[],8,0),
IF(ISNUMBER(SEARCH(TRIM(_xlpm.COMARCA),_xlfn.XLOOKUP(tabParametros[[#This Row],[CCT DA CATEGORIA]],tabSindicatos[SINDICATOS],_xlpm.MATRIZ_COMARCA),1)),VLOOKUP(tabParametros[[#This Row],[CCT DA CATEGORIA]],tabSindicatos[],8,0),0)
),0)
)</f>
        <v>0</v>
      </c>
      <c r="AE10" s="234">
        <f>IFERROR(VLOOKUP(tabParametros[[#This Row],[CCT DA CATEGORIA]],tabSindicatos[],9,0),0)</f>
        <v>0</v>
      </c>
      <c r="AF10" s="234">
        <f>IFERROR(VLOOKUP(tabParametros[[#This Row],[CCT DA CATEGORIA]],tabSindicatos[],10,0),0)</f>
        <v>0</v>
      </c>
      <c r="AG10" s="236">
        <f>VLOOKUP(tabParametros[[#Headers],[Seguro de Vida]],tabOutrosCustos[],3,0)</f>
        <v>3.36</v>
      </c>
      <c r="AH10" s="236">
        <f>IF(ISNUMBER(SEARCH("MOTORISTA",tabParametros[[#This Row],[Função]],1)),VLOOKUP("MOTORISTAS",tabDiarias[],2,0),IF(tabParametros[[#This Row],[Comarca]]="Belo Horizonte",VLOOKUP("LIMPEZA",tabDiarias[],2,0),0))</f>
        <v>0</v>
      </c>
      <c r="AI10" s="235">
        <f t="shared" si="2"/>
        <v>7.011766975308642E-3</v>
      </c>
      <c r="AJ10" s="237">
        <f>tabParametros[[#This Row],[FGTS]]*tabParametros[[#This Row],[Aviso Prévio Indenizado (API) e Reflexo do Aviso Prévio Indenizado]]</f>
        <v>5.609413580246914E-4</v>
      </c>
      <c r="AK10" s="237">
        <f>tabParametros[[#This Row],[FGTS]]*tabParametros[[#This Row],[Aviso Prévio Indenizado (API) e Reflexo do Aviso Prévio Indenizado]]*40%</f>
        <v>2.2437654320987658E-4</v>
      </c>
      <c r="AL10" s="235">
        <f t="shared" si="3"/>
        <v>3.5000000000000005E-3</v>
      </c>
      <c r="AM10" s="235">
        <f>tabParametros[[#This Row],[Aviso Prévio Trabalhado - APT]]*SUM(tabParametros[[#This Row],[INSS]:[SEBRAE]])</f>
        <v>1.3230000000000004E-3</v>
      </c>
      <c r="AN10" s="235">
        <f t="shared" si="4"/>
        <v>3.0577777777777773E-2</v>
      </c>
      <c r="AO10" s="235">
        <f t="shared" si="5"/>
        <v>8.3333333333333339E-4</v>
      </c>
      <c r="AP10" s="235">
        <f t="shared" si="6"/>
        <v>8.4444444444444437E-3</v>
      </c>
      <c r="AQ10" s="235">
        <f t="shared" si="7"/>
        <v>2.0277777777777777E-3</v>
      </c>
      <c r="AR10" s="235">
        <f t="shared" si="8"/>
        <v>1.7083333333333333E-4</v>
      </c>
      <c r="AS10" s="235">
        <f t="shared" si="9"/>
        <v>2.0833333333333335E-4</v>
      </c>
      <c r="AT10" s="235">
        <f t="shared" si="10"/>
        <v>1.2962962962962963E-3</v>
      </c>
      <c r="AU10" s="237">
        <f>SUM(tabParametros[[#This Row],[Ausência por Doença]:[Férias, Adicional de Férias e 13º  com empregada em gozo de Licença Maternidade]])*SUM(tabParametros[[#This Row],[INSS]:[SEBRAE]])</f>
        <v>4.5918250000000008E-3</v>
      </c>
      <c r="AV10" s="234">
        <f>IF(tabParametros[[#This Row],[Função]]="Porteiro - 220 h",SUM(tabParametros[[#This Row],[Salário Base]:[Adicional de Acúmulo de função]])/220*20*1.5,IF(ISNUMBER(SEARCH("12 x 36",tabParametros[[#This Row],[Função]],1)),SUM(tabParametros[[#This Row],[Salário Base]:[Adicional de Acúmulo de função]])/210*15.5*1.5,0))</f>
        <v>0</v>
      </c>
      <c r="AW10" s="234">
        <f>IF(tabParametros[[#This Row],[Vagas contratadas]]&gt;0,(SUM(tabParametros[[#This Row],[Salário Base]:[Adicional de Acúmulo de função]])*30%+SUM(tabParametros[[#This Row],[Vale - Alimentação]:[Seguro de Vida]]))/tabParametros[[#This Row],[Vagas contratadas]]*tabParametros[[#This Row],[Vagas suspensas]],0)</f>
        <v>0</v>
      </c>
      <c r="AX10" s="234">
        <f>SUMIF(tabUniformes[Cargo],tabParametros[[#This Row],[Função]],tabUniformes[Valor unit. Mensal])</f>
        <v>100.80916666666666</v>
      </c>
      <c r="AY10" s="281">
        <f>IF(ISNUMBER(SEARCH("AUXILIAR DE LIMPEZA - 75 H",tabParametros[[#This Row],[Função]],1)),
SUMIF(tabLimpGeral[TIPO],"Material",tabLimpGeral[VALOR UNITÁRIO P/ HORA (R$)])*75,
IF(ISNUMBER(SEARCH("AUXILIAR DE LIMPEZA - 110 H",tabParametros[[#This Row],[Função]],1)),
SUMIF(tabLimpGeral[TIPO],"Material",tabLimpGeral[VALOR UNITÁRIO P/ HORA (R$)])*110,
IF(ISNUMBER(SEARCH("AUXILIAR DE LIMPEZA - 150 H",tabParametros[[#This Row],[Função]],1)),
SUMIF(tabLimpGeral[TIPO],"Material",tabLimpGeral[VALOR UNITÁRIO P/ HORA (R$)])*150,
IF(ISNUMBER(SEARCH("AUXILIAR DE LIMPEZA - 220 H",tabParametros[[#This Row],[Função]],1)),
SUMIF(tabLimpGeral[TIPO],"Material",tabLimpGeral[VALOR UNITÁRIO P/ HORA (R$)])*220,
IF(ISNUMBER(SEARCH("AUXILIAR DE LIMPEZA - 12 x 36",tabParametros[[#This Row],[Função]],1)),
SUMIF(tabLimpGeral[TIPO],"Material",tabLimpGeral[VALOR UNITÁRIO P/ HORA (R$)])*220,
IF(ISNUMBER(SEARCH("Limpador de vidros - 220 h",tabParametros[[#This Row],[Função]],1)),
SUMIF(tabVidros[TIPO],"Material",tabVidros[VALOR UNITÁRIO P/ POSTO (R$)]),
0))))))</f>
        <v>35.518212958583888</v>
      </c>
      <c r="AZ10" s="281">
        <f>IF(ISNUMBER(SEARCH("AUXILIAR DE LIMPEZA - 75 H",tabParametros[[#This Row],[Função]],1)),
SUMIF(tabLimpGeral[TIPO],"Equipamento",tabLimpGeral[VALOR UNITÁRIO P/ HORA (R$)])*75,
IF(ISNUMBER(SEARCH("AUXILIAR DE LIMPEZA - 110 H",tabParametros[[#This Row],[Função]],1)),
SUMIF(tabLimpGeral[TIPO],"Equipamento",tabLimpGeral[VALOR UNITÁRIO P/ HORA (R$)])*110,
IF(ISNUMBER(SEARCH("AUXILIAR DE LIMPEZA - 150 H",tabParametros[[#This Row],[Função]],1)),
SUMIF(tabLimpGeral[TIPO],"Equipamento",tabLimpGeral[VALOR UNITÁRIO P/ HORA (R$)])*150,
IF(ISNUMBER(SEARCH("AUXILIAR DE LIMPEZA - 220 H",tabParametros[[#This Row],[Função]],1)),
SUMIF(tabLimpGeral[TIPO],"Equipamento",tabLimpGeral[VALOR UNITÁRIO P/ HORA (R$)])*220,
IF(ISNUMBER(SEARCH("AUXILIAR DE LIMPEZA - 12 x 36",tabParametros[[#This Row],[Função]],1)),
SUMIF(tabLimpGeral[TIPO],"Equipamento",tabLimpGeral[VALOR UNITÁRIO P/ HORA (R$)])*220,
IF(ISNUMBER(SEARCH("Limpador de vidros - 220 h",tabParametros[[#This Row],[Função]],1)),
SUMIF(tabVidros[TIPO],"Equipamento",tabVidros[VALOR UNITÁRIO P/ POSTO (R$)]),
0))))))</f>
        <v>64.529393914825576</v>
      </c>
      <c r="BA10" s="281">
        <f>IF(ISNUMBER(SEARCH("AUXILIAR DE LIMPEZA - 75 H",tabParametros[[#This Row],[Função]],1)),
SUMIF(tabLimpGeral[TIPO],"Produto",tabLimpGeral[VALOR UNITÁRIO P/ HORA (R$)])*75,
IF(ISNUMBER(SEARCH("AUXILIAR DE LIMPEZA - 110 H",tabParametros[[#This Row],[Função]],1)),
SUMIF(tabLimpGeral[TIPO],"Produto",tabLimpGeral[VALOR UNITÁRIO P/ HORA (R$)])*110,
IF(ISNUMBER(SEARCH("AUXILIAR DE LIMPEZA - 150 H",tabParametros[[#This Row],[Função]],1)),
SUMIF(tabLimpGeral[TIPO],"Produto",tabLimpGeral[VALOR UNITÁRIO P/ HORA (R$)])*150,
IF(ISNUMBER(SEARCH("AUXILIAR DE LIMPEZA - 220 H",tabParametros[[#This Row],[Função]],1)),
SUMIF(tabLimpGeral[TIPO],"Produto",tabLimpGeral[VALOR UNITÁRIO P/ HORA (R$)])*220,
IF(ISNUMBER(SEARCH("AUXILIAR DE LIMPEZA - 12 x 36",tabParametros[[#This Row],[Função]],1)),
SUMIF(tabLimpGeral[TIPO],"Produto",tabLimpGeral[VALOR UNITÁRIO P/ HORA (R$)])*220,
IF(ISNUMBER(SEARCH("Limpador de vidros - 220 h",tabParametros[[#This Row],[Função]],1)),
SUMIF(tabVidros[TIPO],"Produto",tabVidros[VALOR UNITÁRIO P/ POSTO (R$)]),
0))))))</f>
        <v>690.27153277931654</v>
      </c>
      <c r="BB10" s="281">
        <v>0</v>
      </c>
      <c r="BC10" s="236">
        <f>VLOOKUP(tabParametros[[#Headers],[Custos Indiretos]],tabOutrosCustos[],3,0)</f>
        <v>189.64880140242613</v>
      </c>
      <c r="BD10" s="236">
        <f>VLOOKUP(tabParametros[[#Headers],[Lucro]],tabOutrosCustos[],3,0)</f>
        <v>159.30499317803796</v>
      </c>
      <c r="BE10" s="235">
        <f>VLOOKUP(tabParametros[[#Headers],[COFINS]],tabImpostosNacionais[],2,0)</f>
        <v>7.5999999999999998E-2</v>
      </c>
      <c r="BF10" s="235">
        <f>VLOOKUP(tabParametros[[#Headers],[PIS]],tabImpostosNacionais[],2,0)</f>
        <v>1.6500000000000001E-2</v>
      </c>
      <c r="BG10" s="235">
        <f>VLOOKUP(tabParametros[[#This Row],[Comarca]],tabComarca[],4,0)</f>
        <v>0.05</v>
      </c>
      <c r="BH10" s="238">
        <f>IFERROR(VLOOKUP(tabParametros[[#This Row],[CCT DA CATEGORIA]],tabSindicatos[],11,0),"")</f>
        <v>45658</v>
      </c>
      <c r="BI10" s="289" t="str">
        <f>IFERROR(VLOOKUP(tabParametros[[#This Row],[CCT DA CATEGORIA]],tabSindicatos[],12,0),"")</f>
        <v>-</v>
      </c>
      <c r="BJ10" s="293" t="str">
        <f>IFERROR(VLOOKUP(tabParametros[[#This Row],[CCT DA CATEGORIA]],tabSindicatos[],13,0),"")</f>
        <v>-</v>
      </c>
    </row>
    <row r="11" spans="1:67" x14ac:dyDescent="0.25">
      <c r="A11" s="233" t="s">
        <v>1357</v>
      </c>
      <c r="B11" s="198" t="s">
        <v>17</v>
      </c>
      <c r="C11" s="198" t="s">
        <v>1245</v>
      </c>
      <c r="D11" s="198" t="str">
        <f>VLOOKUP(tabParametros[[#This Row],[Código do Posto]],tabPostos[],4,0)</f>
        <v>Regiao de Teofilo Otoni</v>
      </c>
      <c r="E11" s="289" t="str">
        <f>VLOOKUP(tabParametros[[#This Row],[Código do Posto]],tabPostos[],5,0)</f>
        <v>Limpeza</v>
      </c>
      <c r="F11" s="289" t="str">
        <f>VLOOKUP(tabParametros[[#This Row],[Código do Posto]],tabPostos[],6,0)</f>
        <v>PGJ</v>
      </c>
      <c r="G11" s="289">
        <f>VLOOKUP(tabParametros[[#This Row],[Código do Posto]],tabPostos[],7,0)</f>
        <v>1</v>
      </c>
      <c r="H11" s="289">
        <f>VLOOKUP(tabParametros[[#This Row],[Código do Posto]],tabPostos[],8,0)</f>
        <v>0</v>
      </c>
      <c r="I11" s="234">
        <f>VLOOKUP(tabParametros[[#This Row],[Código do Posto]],tabPostos[],9,0)</f>
        <v>1596.28</v>
      </c>
      <c r="J11" s="234">
        <f>IF(ISNUMBER(SEARCH("Eletricista",tabParametros[[#This Row],[Função]],1)),0.3*tabParametros[[#This Row],[Salário Base]],0)</f>
        <v>0</v>
      </c>
      <c r="K11" s="234">
        <f>IF(OR(ISNUMBER(SEARCH("Bombeiro Hidraulico",tabParametros[[#This Row],[Função]],1)),ISNUMBER(SEARCH("Jardineiro",tabParametros[[#This Row],[Função]],1)),ISNUMBER(SEARCH("Lavador de Veiculos",tabParametros[[#This Row],[Função]],1)),ISNUMBER(SEARCH("Marceneiro",tabParametros[[#This Row],[Função]],1)),ISNUMBER(SEARCH("Pintor",tabParametros[[#This Row],[Função]],1))),0.2*'BASE GERAL'!$R$4,0)</f>
        <v>0</v>
      </c>
      <c r="L11" s="234">
        <f>IF(AND(ISNUMBER(SEARCH("Noturno",tabParametros[[#This Row],[Função]],1)),tabParametros[[#This Row],[Comarca]]&lt;&gt;"Juiz de Fora"),tabParametros[[#This Row],[Salário Base]]/210*0.39*7*15.5,IF(ISNUMBER(SEARCH("Noturno",tabParametros[[#This Row],[Função]],1)),tabParametros[[#This Row],[Salário Base]]/210*0.2*8*15.5,0))</f>
        <v>0</v>
      </c>
      <c r="M11" s="234">
        <f>IF(ISNUMBER(SEARCH("Motorista II",tabParametros[[#This Row],[Função]],1)),0.25*tabParametros[[#This Row],[Salário Base]],0)</f>
        <v>0</v>
      </c>
      <c r="N11" s="250">
        <v>0</v>
      </c>
      <c r="O11" s="234">
        <f>IF(ISNUMBER(SEARCH("TECNOLOGIA DA INFORMACAO",tabParametros[[#This Row],[Função]],1)),0.0201*tabParametros[[#This Row],[Salário Base]],0)</f>
        <v>0</v>
      </c>
      <c r="P11" s="250" cm="1">
        <f t="array" ref="P11">_xlfn.IFS(
ISNUMBER(SEARCH("Auxiliar de Limpeza - 75 h",tabParametros[[#This Row],[Função]],1)),tabParametros[[#This Row],[Salário Base]]/75*0.75*30*0.12,
ISNUMBER(SEARCH("Auxiliar de Limpeza - 110 h",tabParametros[[#This Row],[Função]],1)),tabParametros[[#This Row],[Salário Base]]/110*1*30*0.12,
ISNUMBER(SEARCH("Auxiliar de Limpeza - 150 h",tabParametros[[#This Row],[Função]],1)),tabParametros[[#This Row],[Salário Base]]/150*1.5*30*0.12,
ISNUMBER(SEARCH("Auxiliar de Limpeza - 220 h",tabParametros[[#This Row],[Função]],1)),tabParametros[[#This Row],[Salário Base]]/220*2*30*0.12,
ISNUMBER(SEARCH("Auxiliar de Limpeza - 12 x 36",tabParametros[[#This Row],[Função]],1)),tabParametros[[#This Row],[Salário Base]]/220*2*30*0.12,
ISNUMBER(SEARCH("Auxiliar de Limpeza - 55 h",tabParametros[[#This Row],[Função]],1))=FALSE,0)</f>
        <v>52.241890909090905</v>
      </c>
      <c r="Q11" s="235">
        <f>VLOOKUP(tabParametros[[#Headers],[INSS]],tabImpostosNacionais[],2,0)</f>
        <v>0.2</v>
      </c>
      <c r="R11" s="235">
        <f>VLOOKUP(tabParametros[[#Headers],[SESI OU SESC]],tabImpostosNacionais[],2,0)</f>
        <v>1.4999999999999999E-2</v>
      </c>
      <c r="S11" s="235">
        <f>VLOOKUP(tabParametros[[#Headers],[SENAI OU SENAC]],tabImpostosNacionais[],2,0)</f>
        <v>0.01</v>
      </c>
      <c r="T11" s="235">
        <f>VLOOKUP(tabParametros[[#Headers],[INCRA]],tabImpostosNacionais[],2,0)</f>
        <v>2E-3</v>
      </c>
      <c r="U11" s="235">
        <f>VLOOKUP(tabParametros[[#Headers],[Salário Educação]],tabImpostosNacionais[],2,0)</f>
        <v>2.5000000000000001E-2</v>
      </c>
      <c r="V11" s="235">
        <f>VLOOKUP(tabParametros[[#Headers],[FGTS]],tabImpostosNacionais[],2,0)</f>
        <v>0.08</v>
      </c>
      <c r="W11" s="235">
        <f>VLOOKUP(tabParametros[[#Headers],[RAT Ajustado]],tabImpostosNacionais[],2,0)</f>
        <v>0.04</v>
      </c>
      <c r="X11" s="235">
        <f>VLOOKUP(tabParametros[[#Headers],[SEBRAE]],tabImpostosNacionais[],2,0)</f>
        <v>6.0000000000000001E-3</v>
      </c>
      <c r="Y11" s="235">
        <f t="shared" si="0"/>
        <v>8.3333333333333329E-2</v>
      </c>
      <c r="Z11" s="251">
        <f t="shared" si="1"/>
        <v>0.1111111111111111</v>
      </c>
      <c r="AA11" s="234">
        <f>VLOOKUP(tabParametros[[#This Row],[Comarca]],tabComarca[],5,0)</f>
        <v>6.4</v>
      </c>
      <c r="AB11" s="234">
        <f>IFERROR(VLOOKUP(tabParametros[[#This Row],[CCT DA CATEGORIA]],tabSindicatos[],6,0),0)</f>
        <v>29.15</v>
      </c>
      <c r="AC11" s="234">
        <f>IFERROR(VLOOKUP(tabParametros[[#This Row],[CCT DA CATEGORIA]],tabSindicatos[],7,0),0)</f>
        <v>0</v>
      </c>
      <c r="AD11" s="234" cm="1">
        <f t="array" ref="AD11">_xlfn.LET(
_xlpm.COMARCA, TRIM(UPPER(SUBSTITUTE(SUBSTITUTE(SUBSTITUTE(SUBSTITUTE(SUBSTITUTE(SUBSTITUTE(SUBSTITUTE(SUBSTITUTE(SUBSTITUTE(SUBSTITUTE(SUBSTITUTE(SUBSTITUTE(SUBSTITUTE(SUBSTITUTE(SUBSTITUTE(SUBSTITUTE(SUBSTITUTE(SUBSTITUTE(SUBSTITUTE(SUBSTITUTE(SUBSTITUTE(SUBSTITUTE(SUBSTITUTE(SUBSTITUTE(SUBSTITUTE(SUBSTITUTE(tabParametros[[#This Row],[Comarca]],"á","a"),"ã","a"),"â","a"),"é","e"),"ê","e"),"í","i"),"ó","o"),"õ","o"),"ô","o"),"ú","u"),"ç","c"),"Á","a"),"Ã","a"),"Â","a"),"É","e"),"Ê","e"),"Í","i"),"Ó","o"),"Õ","o"),"Ô","o"),"Ú","u"),"Ç","c"),"/MG","")," e ",", ")," ",""),".",""))),
_xlpm.MATRIZ_COMARCA, TRIM(UPPER(SUBSTITUTE(SUBSTITUTE(SUBSTITUTE(SUBSTITUTE(SUBSTITUTE(SUBSTITUTE(SUBSTITUTE(SUBSTITUTE(SUBSTITUTE(SUBSTITUTE(SUBSTITUTE(SUBSTITUTE(SUBSTITUTE(SUBSTITUTE(SUBSTITUTE(SUBSTITUTE(SUBSTITUTE(SUBSTITUTE(SUBSTITUTE(SUBSTITUTE(SUBSTITUTE(SUBSTITUTE(SUBSTITUTE(SUBSTITUTE(SUBSTITUTE(SUBSTITUTE(tabSindicatos[COMARCAS PAF],"á","a"),"ã","a"),"â","a"),"é","e"),"ê","e"),"í","i"),"ó","o"),"õ","o"),"ô","o"),"ú","u"),"ç","c"),"Á","a"),"Ã","a"),"Â","a"),"É","e"),"Ê","e"),"Í","i"),"Ó","o"),"Õ","o"),"Ô","o"),"Ú","u"),"Ç","c"),"/MG","")," e ",", ")," ",""),".",""))),
IFERROR(IF(_xlfn.XLOOKUP(tabParametros[[#This Row],[CCT DA CATEGORIA]],tabSindicatos[SINDICATOS],tabSindicatos[COMARCAS PAF])="",
VLOOKUP(tabParametros[[#This Row],[CCT DA CATEGORIA]],tabSindicatos[],8,0),
IF(ISNUMBER(SEARCH(TRIM(_xlpm.COMARCA),_xlfn.XLOOKUP(tabParametros[[#This Row],[CCT DA CATEGORIA]],tabSindicatos[SINDICATOS],_xlpm.MATRIZ_COMARCA),1)),VLOOKUP(tabParametros[[#This Row],[CCT DA CATEGORIA]],tabSindicatos[],8,0),0)
),0)
)</f>
        <v>0</v>
      </c>
      <c r="AE11" s="234">
        <f>IFERROR(VLOOKUP(tabParametros[[#This Row],[CCT DA CATEGORIA]],tabSindicatos[],9,0),0)</f>
        <v>15.07</v>
      </c>
      <c r="AF11" s="234">
        <f>IFERROR(VLOOKUP(tabParametros[[#This Row],[CCT DA CATEGORIA]],tabSindicatos[],10,0),0)</f>
        <v>0</v>
      </c>
      <c r="AG11" s="236">
        <f>VLOOKUP(tabParametros[[#Headers],[Seguro de Vida]],tabOutrosCustos[],3,0)</f>
        <v>3.36</v>
      </c>
      <c r="AH11" s="236">
        <f>IF(ISNUMBER(SEARCH("MOTORISTA",tabParametros[[#This Row],[Função]],1)),VLOOKUP("MOTORISTAS",tabDiarias[],2,0),IF(tabParametros[[#This Row],[Comarca]]="Belo Horizonte",VLOOKUP("LIMPEZA",tabDiarias[],2,0),0))</f>
        <v>0</v>
      </c>
      <c r="AI11" s="235">
        <f t="shared" si="2"/>
        <v>7.011766975308642E-3</v>
      </c>
      <c r="AJ11" s="237">
        <f>tabParametros[[#This Row],[FGTS]]*tabParametros[[#This Row],[Aviso Prévio Indenizado (API) e Reflexo do Aviso Prévio Indenizado]]</f>
        <v>5.609413580246914E-4</v>
      </c>
      <c r="AK11" s="237">
        <f>tabParametros[[#This Row],[FGTS]]*tabParametros[[#This Row],[Aviso Prévio Indenizado (API) e Reflexo do Aviso Prévio Indenizado]]*40%</f>
        <v>2.2437654320987658E-4</v>
      </c>
      <c r="AL11" s="235">
        <f t="shared" si="3"/>
        <v>3.5000000000000005E-3</v>
      </c>
      <c r="AM11" s="235">
        <f>tabParametros[[#This Row],[Aviso Prévio Trabalhado - APT]]*SUM(tabParametros[[#This Row],[INSS]:[SEBRAE]])</f>
        <v>1.3230000000000004E-3</v>
      </c>
      <c r="AN11" s="235">
        <f t="shared" si="4"/>
        <v>3.0577777777777773E-2</v>
      </c>
      <c r="AO11" s="235">
        <f t="shared" si="5"/>
        <v>8.3333333333333339E-4</v>
      </c>
      <c r="AP11" s="235">
        <f t="shared" si="6"/>
        <v>8.4444444444444437E-3</v>
      </c>
      <c r="AQ11" s="235">
        <f t="shared" si="7"/>
        <v>2.0277777777777777E-3</v>
      </c>
      <c r="AR11" s="235">
        <f t="shared" si="8"/>
        <v>1.7083333333333333E-4</v>
      </c>
      <c r="AS11" s="235">
        <f t="shared" si="9"/>
        <v>2.0833333333333335E-4</v>
      </c>
      <c r="AT11" s="235">
        <f t="shared" si="10"/>
        <v>1.2962962962962963E-3</v>
      </c>
      <c r="AU11" s="237">
        <f>SUM(tabParametros[[#This Row],[Ausência por Doença]:[Férias, Adicional de Férias e 13º  com empregada em gozo de Licença Maternidade]])*SUM(tabParametros[[#This Row],[INSS]:[SEBRAE]])</f>
        <v>4.5918250000000008E-3</v>
      </c>
      <c r="AV11" s="234">
        <f>IF(tabParametros[[#This Row],[Função]]="Porteiro - 220 h",SUM(tabParametros[[#This Row],[Salário Base]:[Adicional de Acúmulo de função]])/220*20*1.5,IF(ISNUMBER(SEARCH("12 x 36",tabParametros[[#This Row],[Função]],1)),SUM(tabParametros[[#This Row],[Salário Base]:[Adicional de Acúmulo de função]])/210*15.5*1.5,0))</f>
        <v>0</v>
      </c>
      <c r="AW11" s="234">
        <f>IF(tabParametros[[#This Row],[Vagas contratadas]]&gt;0,(SUM(tabParametros[[#This Row],[Salário Base]:[Adicional de Acúmulo de função]])*30%+SUM(tabParametros[[#This Row],[Vale - Alimentação]:[Seguro de Vida]]))/tabParametros[[#This Row],[Vagas contratadas]]*tabParametros[[#This Row],[Vagas suspensas]],0)</f>
        <v>0</v>
      </c>
      <c r="AX11" s="234">
        <f>SUMIF(tabUniformes[Cargo],tabParametros[[#This Row],[Função]],tabUniformes[Valor unit. Mensal])</f>
        <v>100.80916666666666</v>
      </c>
      <c r="AY11" s="281">
        <f>IF(ISNUMBER(SEARCH("AUXILIAR DE LIMPEZA - 75 H",tabParametros[[#This Row],[Função]],1)),
SUMIF(tabLimpGeral[TIPO],"Material",tabLimpGeral[VALOR UNITÁRIO P/ HORA (R$)])*75,
IF(ISNUMBER(SEARCH("AUXILIAR DE LIMPEZA - 110 H",tabParametros[[#This Row],[Função]],1)),
SUMIF(tabLimpGeral[TIPO],"Material",tabLimpGeral[VALOR UNITÁRIO P/ HORA (R$)])*110,
IF(ISNUMBER(SEARCH("AUXILIAR DE LIMPEZA - 150 H",tabParametros[[#This Row],[Função]],1)),
SUMIF(tabLimpGeral[TIPO],"Material",tabLimpGeral[VALOR UNITÁRIO P/ HORA (R$)])*150,
IF(ISNUMBER(SEARCH("AUXILIAR DE LIMPEZA - 220 H",tabParametros[[#This Row],[Função]],1)),
SUMIF(tabLimpGeral[TIPO],"Material",tabLimpGeral[VALOR UNITÁRIO P/ HORA (R$)])*220,
IF(ISNUMBER(SEARCH("AUXILIAR DE LIMPEZA - 12 x 36",tabParametros[[#This Row],[Função]],1)),
SUMIF(tabLimpGeral[TIPO],"Material",tabLimpGeral[VALOR UNITÁRIO P/ HORA (R$)])*220,
IF(ISNUMBER(SEARCH("Limpador de vidros - 220 h",tabParametros[[#This Row],[Função]],1)),
SUMIF(tabVidros[TIPO],"Material",tabVidros[VALOR UNITÁRIO P/ POSTO (R$)]),
0))))))</f>
        <v>35.518212958583888</v>
      </c>
      <c r="AZ11" s="281">
        <f>IF(ISNUMBER(SEARCH("AUXILIAR DE LIMPEZA - 75 H",tabParametros[[#This Row],[Função]],1)),
SUMIF(tabLimpGeral[TIPO],"Equipamento",tabLimpGeral[VALOR UNITÁRIO P/ HORA (R$)])*75,
IF(ISNUMBER(SEARCH("AUXILIAR DE LIMPEZA - 110 H",tabParametros[[#This Row],[Função]],1)),
SUMIF(tabLimpGeral[TIPO],"Equipamento",tabLimpGeral[VALOR UNITÁRIO P/ HORA (R$)])*110,
IF(ISNUMBER(SEARCH("AUXILIAR DE LIMPEZA - 150 H",tabParametros[[#This Row],[Função]],1)),
SUMIF(tabLimpGeral[TIPO],"Equipamento",tabLimpGeral[VALOR UNITÁRIO P/ HORA (R$)])*150,
IF(ISNUMBER(SEARCH("AUXILIAR DE LIMPEZA - 220 H",tabParametros[[#This Row],[Função]],1)),
SUMIF(tabLimpGeral[TIPO],"Equipamento",tabLimpGeral[VALOR UNITÁRIO P/ HORA (R$)])*220,
IF(ISNUMBER(SEARCH("AUXILIAR DE LIMPEZA - 12 x 36",tabParametros[[#This Row],[Função]],1)),
SUMIF(tabLimpGeral[TIPO],"Equipamento",tabLimpGeral[VALOR UNITÁRIO P/ HORA (R$)])*220,
IF(ISNUMBER(SEARCH("Limpador de vidros - 220 h",tabParametros[[#This Row],[Função]],1)),
SUMIF(tabVidros[TIPO],"Equipamento",tabVidros[VALOR UNITÁRIO P/ POSTO (R$)]),
0))))))</f>
        <v>64.529393914825576</v>
      </c>
      <c r="BA11" s="281">
        <f>IF(ISNUMBER(SEARCH("AUXILIAR DE LIMPEZA - 75 H",tabParametros[[#This Row],[Função]],1)),
SUMIF(tabLimpGeral[TIPO],"Produto",tabLimpGeral[VALOR UNITÁRIO P/ HORA (R$)])*75,
IF(ISNUMBER(SEARCH("AUXILIAR DE LIMPEZA - 110 H",tabParametros[[#This Row],[Função]],1)),
SUMIF(tabLimpGeral[TIPO],"Produto",tabLimpGeral[VALOR UNITÁRIO P/ HORA (R$)])*110,
IF(ISNUMBER(SEARCH("AUXILIAR DE LIMPEZA - 150 H",tabParametros[[#This Row],[Função]],1)),
SUMIF(tabLimpGeral[TIPO],"Produto",tabLimpGeral[VALOR UNITÁRIO P/ HORA (R$)])*150,
IF(ISNUMBER(SEARCH("AUXILIAR DE LIMPEZA - 220 H",tabParametros[[#This Row],[Função]],1)),
SUMIF(tabLimpGeral[TIPO],"Produto",tabLimpGeral[VALOR UNITÁRIO P/ HORA (R$)])*220,
IF(ISNUMBER(SEARCH("AUXILIAR DE LIMPEZA - 12 x 36",tabParametros[[#This Row],[Função]],1)),
SUMIF(tabLimpGeral[TIPO],"Produto",tabLimpGeral[VALOR UNITÁRIO P/ HORA (R$)])*220,
IF(ISNUMBER(SEARCH("Limpador de vidros - 220 h",tabParametros[[#This Row],[Função]],1)),
SUMIF(tabVidros[TIPO],"Produto",tabVidros[VALOR UNITÁRIO P/ POSTO (R$)]),
0))))))</f>
        <v>690.27153277931654</v>
      </c>
      <c r="BB11" s="281">
        <v>0</v>
      </c>
      <c r="BC11" s="236">
        <f>VLOOKUP(tabParametros[[#Headers],[Custos Indiretos]],tabOutrosCustos[],3,0)</f>
        <v>189.64880140242613</v>
      </c>
      <c r="BD11" s="236">
        <f>VLOOKUP(tabParametros[[#Headers],[Lucro]],tabOutrosCustos[],3,0)</f>
        <v>159.30499317803796</v>
      </c>
      <c r="BE11" s="235">
        <f>VLOOKUP(tabParametros[[#Headers],[COFINS]],tabImpostosNacionais[],2,0)</f>
        <v>7.5999999999999998E-2</v>
      </c>
      <c r="BF11" s="235">
        <f>VLOOKUP(tabParametros[[#Headers],[PIS]],tabImpostosNacionais[],2,0)</f>
        <v>1.6500000000000001E-2</v>
      </c>
      <c r="BG11" s="235">
        <f>VLOOKUP(tabParametros[[#This Row],[Comarca]],tabComarca[],4,0)</f>
        <v>0.05</v>
      </c>
      <c r="BH11" s="238">
        <f>IFERROR(VLOOKUP(tabParametros[[#This Row],[CCT DA CATEGORIA]],tabSindicatos[],11,0),"")</f>
        <v>45658</v>
      </c>
      <c r="BI11" s="289" t="str">
        <f>IFERROR(VLOOKUP(tabParametros[[#This Row],[CCT DA CATEGORIA]],tabSindicatos[],12,0),"")</f>
        <v>-</v>
      </c>
      <c r="BJ11" s="293" t="str">
        <f>IFERROR(VLOOKUP(tabParametros[[#This Row],[CCT DA CATEGORIA]],tabSindicatos[],13,0),"")</f>
        <v>-</v>
      </c>
    </row>
    <row r="12" spans="1:67" x14ac:dyDescent="0.25">
      <c r="A12" s="233" t="s">
        <v>1358</v>
      </c>
      <c r="B12" s="198" t="s">
        <v>18</v>
      </c>
      <c r="C12" s="198" t="s">
        <v>1247</v>
      </c>
      <c r="D12" s="198" t="str">
        <f>VLOOKUP(tabParametros[[#This Row],[Código do Posto]],tabPostos[],4,0)</f>
        <v>Regiao de Sao Lourenco</v>
      </c>
      <c r="E12" s="289" t="str">
        <f>VLOOKUP(tabParametros[[#This Row],[Código do Posto]],tabPostos[],5,0)</f>
        <v>Limpeza</v>
      </c>
      <c r="F12" s="289" t="str">
        <f>VLOOKUP(tabParametros[[#This Row],[Código do Posto]],tabPostos[],6,0)</f>
        <v>PGJ</v>
      </c>
      <c r="G12" s="289">
        <f>VLOOKUP(tabParametros[[#This Row],[Código do Posto]],tabPostos[],7,0)</f>
        <v>1</v>
      </c>
      <c r="H12" s="289">
        <f>VLOOKUP(tabParametros[[#This Row],[Código do Posto]],tabPostos[],8,0)</f>
        <v>0</v>
      </c>
      <c r="I12" s="234">
        <f>VLOOKUP(tabParametros[[#This Row],[Código do Posto]],tabPostos[],9,0)</f>
        <v>544.17999999999995</v>
      </c>
      <c r="J12" s="234">
        <f>IF(ISNUMBER(SEARCH("Eletricista",tabParametros[[#This Row],[Função]],1)),0.3*tabParametros[[#This Row],[Salário Base]],0)</f>
        <v>0</v>
      </c>
      <c r="K12" s="234">
        <f>IF(OR(ISNUMBER(SEARCH("Bombeiro Hidraulico",tabParametros[[#This Row],[Função]],1)),ISNUMBER(SEARCH("Jardineiro",tabParametros[[#This Row],[Função]],1)),ISNUMBER(SEARCH("Lavador de Veiculos",tabParametros[[#This Row],[Função]],1)),ISNUMBER(SEARCH("Marceneiro",tabParametros[[#This Row],[Função]],1)),ISNUMBER(SEARCH("Pintor",tabParametros[[#This Row],[Função]],1))),0.2*'BASE GERAL'!$R$4,0)</f>
        <v>0</v>
      </c>
      <c r="L12" s="234">
        <f>IF(AND(ISNUMBER(SEARCH("Noturno",tabParametros[[#This Row],[Função]],1)),tabParametros[[#This Row],[Comarca]]&lt;&gt;"Juiz de Fora"),tabParametros[[#This Row],[Salário Base]]/210*0.39*7*15.5,IF(ISNUMBER(SEARCH("Noturno",tabParametros[[#This Row],[Função]],1)),tabParametros[[#This Row],[Salário Base]]/210*0.2*8*15.5,0))</f>
        <v>0</v>
      </c>
      <c r="M12" s="234">
        <f>IF(ISNUMBER(SEARCH("Motorista II",tabParametros[[#This Row],[Função]],1)),0.25*tabParametros[[#This Row],[Salário Base]],0)</f>
        <v>0</v>
      </c>
      <c r="N12" s="250">
        <v>0</v>
      </c>
      <c r="O12" s="234">
        <f>IF(ISNUMBER(SEARCH("TECNOLOGIA DA INFORMACAO",tabParametros[[#This Row],[Função]],1)),0.0201*tabParametros[[#This Row],[Salário Base]],0)</f>
        <v>0</v>
      </c>
      <c r="P12" s="250" cm="1">
        <f t="array" ref="P12">_xlfn.IFS(
ISNUMBER(SEARCH("Auxiliar de Limpeza - 75 h",tabParametros[[#This Row],[Função]],1)),tabParametros[[#This Row],[Salário Base]]/75*0.75*30*0.12,
ISNUMBER(SEARCH("Auxiliar de Limpeza - 110 h",tabParametros[[#This Row],[Função]],1)),tabParametros[[#This Row],[Salário Base]]/110*1*30*0.12,
ISNUMBER(SEARCH("Auxiliar de Limpeza - 150 h",tabParametros[[#This Row],[Função]],1)),tabParametros[[#This Row],[Salário Base]]/150*1.5*30*0.12,
ISNUMBER(SEARCH("Auxiliar de Limpeza - 220 h",tabParametros[[#This Row],[Função]],1)),tabParametros[[#This Row],[Salário Base]]/220*2*30*0.12,
ISNUMBER(SEARCH("Auxiliar de Limpeza - 12 x 36",tabParametros[[#This Row],[Função]],1)),tabParametros[[#This Row],[Salário Base]]/220*2*30*0.12,
ISNUMBER(SEARCH("Auxiliar de Limpeza - 55 h",tabParametros[[#This Row],[Função]],1))=FALSE,0)</f>
        <v>19.590479999999999</v>
      </c>
      <c r="Q12" s="235">
        <f>VLOOKUP(tabParametros[[#Headers],[INSS]],tabImpostosNacionais[],2,0)</f>
        <v>0.2</v>
      </c>
      <c r="R12" s="235">
        <f>VLOOKUP(tabParametros[[#Headers],[SESI OU SESC]],tabImpostosNacionais[],2,0)</f>
        <v>1.4999999999999999E-2</v>
      </c>
      <c r="S12" s="235">
        <f>VLOOKUP(tabParametros[[#Headers],[SENAI OU SENAC]],tabImpostosNacionais[],2,0)</f>
        <v>0.01</v>
      </c>
      <c r="T12" s="235">
        <f>VLOOKUP(tabParametros[[#Headers],[INCRA]],tabImpostosNacionais[],2,0)</f>
        <v>2E-3</v>
      </c>
      <c r="U12" s="235">
        <f>VLOOKUP(tabParametros[[#Headers],[Salário Educação]],tabImpostosNacionais[],2,0)</f>
        <v>2.5000000000000001E-2</v>
      </c>
      <c r="V12" s="235">
        <f>VLOOKUP(tabParametros[[#Headers],[FGTS]],tabImpostosNacionais[],2,0)</f>
        <v>0.08</v>
      </c>
      <c r="W12" s="235">
        <f>VLOOKUP(tabParametros[[#Headers],[RAT Ajustado]],tabImpostosNacionais[],2,0)</f>
        <v>0.04</v>
      </c>
      <c r="X12" s="235">
        <f>VLOOKUP(tabParametros[[#Headers],[SEBRAE]],tabImpostosNacionais[],2,0)</f>
        <v>6.0000000000000001E-3</v>
      </c>
      <c r="Y12" s="235">
        <f t="shared" si="0"/>
        <v>8.3333333333333329E-2</v>
      </c>
      <c r="Z12" s="251">
        <f t="shared" si="1"/>
        <v>0.1111111111111111</v>
      </c>
      <c r="AA12" s="234">
        <f>VLOOKUP(tabParametros[[#This Row],[Comarca]],tabComarca[],5,0)</f>
        <v>6.4</v>
      </c>
      <c r="AB12" s="234">
        <f>IFERROR(VLOOKUP(tabParametros[[#This Row],[CCT DA CATEGORIA]],tabSindicatos[],6,0),0)</f>
        <v>29.15</v>
      </c>
      <c r="AC12" s="234">
        <f>IFERROR(VLOOKUP(tabParametros[[#This Row],[CCT DA CATEGORIA]],tabSindicatos[],7,0),0)</f>
        <v>0</v>
      </c>
      <c r="AD12" s="234" cm="1">
        <f t="array" ref="AD12">_xlfn.LET(
_xlpm.COMARCA, TRIM(UPPER(SUBSTITUTE(SUBSTITUTE(SUBSTITUTE(SUBSTITUTE(SUBSTITUTE(SUBSTITUTE(SUBSTITUTE(SUBSTITUTE(SUBSTITUTE(SUBSTITUTE(SUBSTITUTE(SUBSTITUTE(SUBSTITUTE(SUBSTITUTE(SUBSTITUTE(SUBSTITUTE(SUBSTITUTE(SUBSTITUTE(SUBSTITUTE(SUBSTITUTE(SUBSTITUTE(SUBSTITUTE(SUBSTITUTE(SUBSTITUTE(SUBSTITUTE(SUBSTITUTE(tabParametros[[#This Row],[Comarca]],"á","a"),"ã","a"),"â","a"),"é","e"),"ê","e"),"í","i"),"ó","o"),"õ","o"),"ô","o"),"ú","u"),"ç","c"),"Á","a"),"Ã","a"),"Â","a"),"É","e"),"Ê","e"),"Í","i"),"Ó","o"),"Õ","o"),"Ô","o"),"Ú","u"),"Ç","c"),"/MG","")," e ",", ")," ",""),".",""))),
_xlpm.MATRIZ_COMARCA, TRIM(UPPER(SUBSTITUTE(SUBSTITUTE(SUBSTITUTE(SUBSTITUTE(SUBSTITUTE(SUBSTITUTE(SUBSTITUTE(SUBSTITUTE(SUBSTITUTE(SUBSTITUTE(SUBSTITUTE(SUBSTITUTE(SUBSTITUTE(SUBSTITUTE(SUBSTITUTE(SUBSTITUTE(SUBSTITUTE(SUBSTITUTE(SUBSTITUTE(SUBSTITUTE(SUBSTITUTE(SUBSTITUTE(SUBSTITUTE(SUBSTITUTE(SUBSTITUTE(SUBSTITUTE(tabSindicatos[COMARCAS PAF],"á","a"),"ã","a"),"â","a"),"é","e"),"ê","e"),"í","i"),"ó","o"),"õ","o"),"ô","o"),"ú","u"),"ç","c"),"Á","a"),"Ã","a"),"Â","a"),"É","e"),"Ê","e"),"Í","i"),"Ó","o"),"Õ","o"),"Ô","o"),"Ú","u"),"Ç","c"),"/MG","")," e ",", ")," ",""),".",""))),
IFERROR(IF(_xlfn.XLOOKUP(tabParametros[[#This Row],[CCT DA CATEGORIA]],tabSindicatos[SINDICATOS],tabSindicatos[COMARCAS PAF])="",
VLOOKUP(tabParametros[[#This Row],[CCT DA CATEGORIA]],tabSindicatos[],8,0),
IF(ISNUMBER(SEARCH(TRIM(_xlpm.COMARCA),_xlfn.XLOOKUP(tabParametros[[#This Row],[CCT DA CATEGORIA]],tabSindicatos[SINDICATOS],_xlpm.MATRIZ_COMARCA),1)),VLOOKUP(tabParametros[[#This Row],[CCT DA CATEGORIA]],tabSindicatos[],8,0),0)
),0)
)</f>
        <v>0</v>
      </c>
      <c r="AE12" s="234">
        <f>IFERROR(VLOOKUP(tabParametros[[#This Row],[CCT DA CATEGORIA]],tabSindicatos[],9,0),0)</f>
        <v>0</v>
      </c>
      <c r="AF12" s="234">
        <f>IFERROR(VLOOKUP(tabParametros[[#This Row],[CCT DA CATEGORIA]],tabSindicatos[],10,0),0)</f>
        <v>0</v>
      </c>
      <c r="AG12" s="236">
        <f>VLOOKUP(tabParametros[[#Headers],[Seguro de Vida]],tabOutrosCustos[],3,0)</f>
        <v>3.36</v>
      </c>
      <c r="AH12" s="236">
        <f>IF(ISNUMBER(SEARCH("MOTORISTA",tabParametros[[#This Row],[Função]],1)),VLOOKUP("MOTORISTAS",tabDiarias[],2,0),IF(tabParametros[[#This Row],[Comarca]]="Belo Horizonte",VLOOKUP("LIMPEZA",tabDiarias[],2,0),0))</f>
        <v>0</v>
      </c>
      <c r="AI12" s="235">
        <f t="shared" si="2"/>
        <v>7.011766975308642E-3</v>
      </c>
      <c r="AJ12" s="237">
        <f>tabParametros[[#This Row],[FGTS]]*tabParametros[[#This Row],[Aviso Prévio Indenizado (API) e Reflexo do Aviso Prévio Indenizado]]</f>
        <v>5.609413580246914E-4</v>
      </c>
      <c r="AK12" s="237">
        <f>tabParametros[[#This Row],[FGTS]]*tabParametros[[#This Row],[Aviso Prévio Indenizado (API) e Reflexo do Aviso Prévio Indenizado]]*40%</f>
        <v>2.2437654320987658E-4</v>
      </c>
      <c r="AL12" s="235">
        <f t="shared" si="3"/>
        <v>3.5000000000000005E-3</v>
      </c>
      <c r="AM12" s="235">
        <f>tabParametros[[#This Row],[Aviso Prévio Trabalhado - APT]]*SUM(tabParametros[[#This Row],[INSS]:[SEBRAE]])</f>
        <v>1.3230000000000004E-3</v>
      </c>
      <c r="AN12" s="235">
        <f t="shared" si="4"/>
        <v>3.0577777777777773E-2</v>
      </c>
      <c r="AO12" s="235">
        <f t="shared" si="5"/>
        <v>8.3333333333333339E-4</v>
      </c>
      <c r="AP12" s="235">
        <f t="shared" si="6"/>
        <v>8.4444444444444437E-3</v>
      </c>
      <c r="AQ12" s="235">
        <f t="shared" si="7"/>
        <v>2.0277777777777777E-3</v>
      </c>
      <c r="AR12" s="235">
        <f t="shared" si="8"/>
        <v>1.7083333333333333E-4</v>
      </c>
      <c r="AS12" s="235">
        <f t="shared" si="9"/>
        <v>2.0833333333333335E-4</v>
      </c>
      <c r="AT12" s="235">
        <f t="shared" si="10"/>
        <v>1.2962962962962963E-3</v>
      </c>
      <c r="AU12" s="237">
        <f>SUM(tabParametros[[#This Row],[Ausência por Doença]:[Férias, Adicional de Férias e 13º  com empregada em gozo de Licença Maternidade]])*SUM(tabParametros[[#This Row],[INSS]:[SEBRAE]])</f>
        <v>4.5918250000000008E-3</v>
      </c>
      <c r="AV12" s="234">
        <f>IF(tabParametros[[#This Row],[Função]]="Porteiro - 220 h",SUM(tabParametros[[#This Row],[Salário Base]:[Adicional de Acúmulo de função]])/220*20*1.5,IF(ISNUMBER(SEARCH("12 x 36",tabParametros[[#This Row],[Função]],1)),SUM(tabParametros[[#This Row],[Salário Base]:[Adicional de Acúmulo de função]])/210*15.5*1.5,0))</f>
        <v>0</v>
      </c>
      <c r="AW12" s="234">
        <f>IF(tabParametros[[#This Row],[Vagas contratadas]]&gt;0,(SUM(tabParametros[[#This Row],[Salário Base]:[Adicional de Acúmulo de função]])*30%+SUM(tabParametros[[#This Row],[Vale - Alimentação]:[Seguro de Vida]]))/tabParametros[[#This Row],[Vagas contratadas]]*tabParametros[[#This Row],[Vagas suspensas]],0)</f>
        <v>0</v>
      </c>
      <c r="AX12" s="234">
        <f>SUMIF(tabUniformes[Cargo],tabParametros[[#This Row],[Função]],tabUniformes[Valor unit. Mensal])</f>
        <v>62.806666666666665</v>
      </c>
      <c r="AY12" s="281">
        <f>IF(ISNUMBER(SEARCH("AUXILIAR DE LIMPEZA - 75 H",tabParametros[[#This Row],[Função]],1)),
SUMIF(tabLimpGeral[TIPO],"Material",tabLimpGeral[VALOR UNITÁRIO P/ HORA (R$)])*75,
IF(ISNUMBER(SEARCH("AUXILIAR DE LIMPEZA - 110 H",tabParametros[[#This Row],[Função]],1)),
SUMIF(tabLimpGeral[TIPO],"Material",tabLimpGeral[VALOR UNITÁRIO P/ HORA (R$)])*110,
IF(ISNUMBER(SEARCH("AUXILIAR DE LIMPEZA - 150 H",tabParametros[[#This Row],[Função]],1)),
SUMIF(tabLimpGeral[TIPO],"Material",tabLimpGeral[VALOR UNITÁRIO P/ HORA (R$)])*150,
IF(ISNUMBER(SEARCH("AUXILIAR DE LIMPEZA - 220 H",tabParametros[[#This Row],[Função]],1)),
SUMIF(tabLimpGeral[TIPO],"Material",tabLimpGeral[VALOR UNITÁRIO P/ HORA (R$)])*220,
IF(ISNUMBER(SEARCH("AUXILIAR DE LIMPEZA - 12 x 36",tabParametros[[#This Row],[Função]],1)),
SUMIF(tabLimpGeral[TIPO],"Material",tabLimpGeral[VALOR UNITÁRIO P/ HORA (R$)])*220,
IF(ISNUMBER(SEARCH("Limpador de vidros - 220 h",tabParametros[[#This Row],[Função]],1)),
SUMIF(tabVidros[TIPO],"Material",tabVidros[VALOR UNITÁRIO P/ POSTO (R$)]),
0))))))</f>
        <v>12.108481690426325</v>
      </c>
      <c r="AZ12" s="281">
        <f>IF(ISNUMBER(SEARCH("AUXILIAR DE LIMPEZA - 75 H",tabParametros[[#This Row],[Função]],1)),
SUMIF(tabLimpGeral[TIPO],"Equipamento",tabLimpGeral[VALOR UNITÁRIO P/ HORA (R$)])*75,
IF(ISNUMBER(SEARCH("AUXILIAR DE LIMPEZA - 110 H",tabParametros[[#This Row],[Função]],1)),
SUMIF(tabLimpGeral[TIPO],"Equipamento",tabLimpGeral[VALOR UNITÁRIO P/ HORA (R$)])*110,
IF(ISNUMBER(SEARCH("AUXILIAR DE LIMPEZA - 150 H",tabParametros[[#This Row],[Função]],1)),
SUMIF(tabLimpGeral[TIPO],"Equipamento",tabLimpGeral[VALOR UNITÁRIO P/ HORA (R$)])*150,
IF(ISNUMBER(SEARCH("AUXILIAR DE LIMPEZA - 220 H",tabParametros[[#This Row],[Função]],1)),
SUMIF(tabLimpGeral[TIPO],"Equipamento",tabLimpGeral[VALOR UNITÁRIO P/ HORA (R$)])*220,
IF(ISNUMBER(SEARCH("AUXILIAR DE LIMPEZA - 12 x 36",tabParametros[[#This Row],[Função]],1)),
SUMIF(tabLimpGeral[TIPO],"Equipamento",tabLimpGeral[VALOR UNITÁRIO P/ HORA (R$)])*220,
IF(ISNUMBER(SEARCH("Limpador de vidros - 220 h",tabParametros[[#This Row],[Função]],1)),
SUMIF(tabVidros[TIPO],"Equipamento",tabVidros[VALOR UNITÁRIO P/ POSTO (R$)]),
0))))))</f>
        <v>21.998657016417809</v>
      </c>
      <c r="BA12" s="281">
        <f>IF(ISNUMBER(SEARCH("AUXILIAR DE LIMPEZA - 75 H",tabParametros[[#This Row],[Função]],1)),
SUMIF(tabLimpGeral[TIPO],"Produto",tabLimpGeral[VALOR UNITÁRIO P/ HORA (R$)])*75,
IF(ISNUMBER(SEARCH("AUXILIAR DE LIMPEZA - 110 H",tabParametros[[#This Row],[Função]],1)),
SUMIF(tabLimpGeral[TIPO],"Produto",tabLimpGeral[VALOR UNITÁRIO P/ HORA (R$)])*110,
IF(ISNUMBER(SEARCH("AUXILIAR DE LIMPEZA - 150 H",tabParametros[[#This Row],[Função]],1)),
SUMIF(tabLimpGeral[TIPO],"Produto",tabLimpGeral[VALOR UNITÁRIO P/ HORA (R$)])*150,
IF(ISNUMBER(SEARCH("AUXILIAR DE LIMPEZA - 220 H",tabParametros[[#This Row],[Função]],1)),
SUMIF(tabLimpGeral[TIPO],"Produto",tabLimpGeral[VALOR UNITÁRIO P/ HORA (R$)])*220,
IF(ISNUMBER(SEARCH("AUXILIAR DE LIMPEZA - 12 x 36",tabParametros[[#This Row],[Função]],1)),
SUMIF(tabLimpGeral[TIPO],"Produto",tabLimpGeral[VALOR UNITÁRIO P/ HORA (R$)])*220,
IF(ISNUMBER(SEARCH("Limpador de vidros - 220 h",tabParametros[[#This Row],[Função]],1)),
SUMIF(tabVidros[TIPO],"Produto",tabVidros[VALOR UNITÁRIO P/ POSTO (R$)]),
0))))))</f>
        <v>235.31984072022155</v>
      </c>
      <c r="BB12" s="281">
        <v>0</v>
      </c>
      <c r="BC12" s="236">
        <f>VLOOKUP(tabParametros[[#Headers],[Custos Indiretos]],tabOutrosCustos[],3,0)</f>
        <v>189.64880140242613</v>
      </c>
      <c r="BD12" s="236">
        <f>VLOOKUP(tabParametros[[#Headers],[Lucro]],tabOutrosCustos[],3,0)</f>
        <v>159.30499317803796</v>
      </c>
      <c r="BE12" s="235">
        <f>VLOOKUP(tabParametros[[#Headers],[COFINS]],tabImpostosNacionais[],2,0)</f>
        <v>7.5999999999999998E-2</v>
      </c>
      <c r="BF12" s="235">
        <f>VLOOKUP(tabParametros[[#Headers],[PIS]],tabImpostosNacionais[],2,0)</f>
        <v>1.6500000000000001E-2</v>
      </c>
      <c r="BG12" s="235">
        <f>VLOOKUP(tabParametros[[#This Row],[Comarca]],tabComarca[],4,0)</f>
        <v>0.02</v>
      </c>
      <c r="BH12" s="238">
        <f>IFERROR(VLOOKUP(tabParametros[[#This Row],[CCT DA CATEGORIA]],tabSindicatos[],11,0),"")</f>
        <v>45658</v>
      </c>
      <c r="BI12" s="289" t="str">
        <f>IFERROR(VLOOKUP(tabParametros[[#This Row],[CCT DA CATEGORIA]],tabSindicatos[],12,0),"")</f>
        <v>-</v>
      </c>
      <c r="BJ12" s="293" t="str">
        <f>IFERROR(VLOOKUP(tabParametros[[#This Row],[CCT DA CATEGORIA]],tabSindicatos[],13,0),"")</f>
        <v>-</v>
      </c>
    </row>
    <row r="13" spans="1:67" x14ac:dyDescent="0.25">
      <c r="A13" s="233" t="s">
        <v>1359</v>
      </c>
      <c r="B13" s="198" t="s">
        <v>19</v>
      </c>
      <c r="C13" s="198" t="s">
        <v>1247</v>
      </c>
      <c r="D13" s="198" t="str">
        <f>VLOOKUP(tabParametros[[#This Row],[Código do Posto]],tabPostos[],4,0)</f>
        <v>Regiao de Joao Monlevade</v>
      </c>
      <c r="E13" s="289" t="str">
        <f>VLOOKUP(tabParametros[[#This Row],[Código do Posto]],tabPostos[],5,0)</f>
        <v>Limpeza</v>
      </c>
      <c r="F13" s="289" t="str">
        <f>VLOOKUP(tabParametros[[#This Row],[Código do Posto]],tabPostos[],6,0)</f>
        <v>PGJ</v>
      </c>
      <c r="G13" s="289">
        <f>VLOOKUP(tabParametros[[#This Row],[Código do Posto]],tabPostos[],7,0)</f>
        <v>1</v>
      </c>
      <c r="H13" s="289">
        <f>VLOOKUP(tabParametros[[#This Row],[Código do Posto]],tabPostos[],8,0)</f>
        <v>0</v>
      </c>
      <c r="I13" s="234">
        <f>VLOOKUP(tabParametros[[#This Row],[Código do Posto]],tabPostos[],9,0)</f>
        <v>544.17999999999995</v>
      </c>
      <c r="J13" s="234">
        <f>IF(ISNUMBER(SEARCH("Eletricista",tabParametros[[#This Row],[Função]],1)),0.3*tabParametros[[#This Row],[Salário Base]],0)</f>
        <v>0</v>
      </c>
      <c r="K13" s="234">
        <f>IF(OR(ISNUMBER(SEARCH("Bombeiro Hidraulico",tabParametros[[#This Row],[Função]],1)),ISNUMBER(SEARCH("Jardineiro",tabParametros[[#This Row],[Função]],1)),ISNUMBER(SEARCH("Lavador de Veiculos",tabParametros[[#This Row],[Função]],1)),ISNUMBER(SEARCH("Marceneiro",tabParametros[[#This Row],[Função]],1)),ISNUMBER(SEARCH("Pintor",tabParametros[[#This Row],[Função]],1))),0.2*'BASE GERAL'!$R$4,0)</f>
        <v>0</v>
      </c>
      <c r="L13" s="234">
        <f>IF(AND(ISNUMBER(SEARCH("Noturno",tabParametros[[#This Row],[Função]],1)),tabParametros[[#This Row],[Comarca]]&lt;&gt;"Juiz de Fora"),tabParametros[[#This Row],[Salário Base]]/210*0.39*7*15.5,IF(ISNUMBER(SEARCH("Noturno",tabParametros[[#This Row],[Função]],1)),tabParametros[[#This Row],[Salário Base]]/210*0.2*8*15.5,0))</f>
        <v>0</v>
      </c>
      <c r="M13" s="234">
        <f>IF(ISNUMBER(SEARCH("Motorista II",tabParametros[[#This Row],[Função]],1)),0.25*tabParametros[[#This Row],[Salário Base]],0)</f>
        <v>0</v>
      </c>
      <c r="N13" s="250">
        <v>0</v>
      </c>
      <c r="O13" s="234">
        <f>IF(ISNUMBER(SEARCH("TECNOLOGIA DA INFORMACAO",tabParametros[[#This Row],[Função]],1)),0.0201*tabParametros[[#This Row],[Salário Base]],0)</f>
        <v>0</v>
      </c>
      <c r="P13" s="250" cm="1">
        <f t="array" ref="P13">_xlfn.IFS(
ISNUMBER(SEARCH("Auxiliar de Limpeza - 75 h",tabParametros[[#This Row],[Função]],1)),tabParametros[[#This Row],[Salário Base]]/75*0.75*30*0.12,
ISNUMBER(SEARCH("Auxiliar de Limpeza - 110 h",tabParametros[[#This Row],[Função]],1)),tabParametros[[#This Row],[Salário Base]]/110*1*30*0.12,
ISNUMBER(SEARCH("Auxiliar de Limpeza - 150 h",tabParametros[[#This Row],[Função]],1)),tabParametros[[#This Row],[Salário Base]]/150*1.5*30*0.12,
ISNUMBER(SEARCH("Auxiliar de Limpeza - 220 h",tabParametros[[#This Row],[Função]],1)),tabParametros[[#This Row],[Salário Base]]/220*2*30*0.12,
ISNUMBER(SEARCH("Auxiliar de Limpeza - 12 x 36",tabParametros[[#This Row],[Função]],1)),tabParametros[[#This Row],[Salário Base]]/220*2*30*0.12,
ISNUMBER(SEARCH("Auxiliar de Limpeza - 55 h",tabParametros[[#This Row],[Função]],1))=FALSE,0)</f>
        <v>19.590479999999999</v>
      </c>
      <c r="Q13" s="235">
        <f>VLOOKUP(tabParametros[[#Headers],[INSS]],tabImpostosNacionais[],2,0)</f>
        <v>0.2</v>
      </c>
      <c r="R13" s="235">
        <f>VLOOKUP(tabParametros[[#Headers],[SESI OU SESC]],tabImpostosNacionais[],2,0)</f>
        <v>1.4999999999999999E-2</v>
      </c>
      <c r="S13" s="235">
        <f>VLOOKUP(tabParametros[[#Headers],[SENAI OU SENAC]],tabImpostosNacionais[],2,0)</f>
        <v>0.01</v>
      </c>
      <c r="T13" s="235">
        <f>VLOOKUP(tabParametros[[#Headers],[INCRA]],tabImpostosNacionais[],2,0)</f>
        <v>2E-3</v>
      </c>
      <c r="U13" s="235">
        <f>VLOOKUP(tabParametros[[#Headers],[Salário Educação]],tabImpostosNacionais[],2,0)</f>
        <v>2.5000000000000001E-2</v>
      </c>
      <c r="V13" s="235">
        <f>VLOOKUP(tabParametros[[#Headers],[FGTS]],tabImpostosNacionais[],2,0)</f>
        <v>0.08</v>
      </c>
      <c r="W13" s="235">
        <f>VLOOKUP(tabParametros[[#Headers],[RAT Ajustado]],tabImpostosNacionais[],2,0)</f>
        <v>0.04</v>
      </c>
      <c r="X13" s="235">
        <f>VLOOKUP(tabParametros[[#Headers],[SEBRAE]],tabImpostosNacionais[],2,0)</f>
        <v>6.0000000000000001E-3</v>
      </c>
      <c r="Y13" s="235">
        <f t="shared" si="0"/>
        <v>8.3333333333333329E-2</v>
      </c>
      <c r="Z13" s="251">
        <f t="shared" si="1"/>
        <v>0.1111111111111111</v>
      </c>
      <c r="AA13" s="234">
        <f>VLOOKUP(tabParametros[[#This Row],[Comarca]],tabComarca[],5,0)</f>
        <v>6.4</v>
      </c>
      <c r="AB13" s="234">
        <f>IFERROR(VLOOKUP(tabParametros[[#This Row],[CCT DA CATEGORIA]],tabSindicatos[],6,0),0)</f>
        <v>29.15</v>
      </c>
      <c r="AC13" s="234">
        <f>IFERROR(VLOOKUP(tabParametros[[#This Row],[CCT DA CATEGORIA]],tabSindicatos[],7,0),0)</f>
        <v>0</v>
      </c>
      <c r="AD13" s="234" cm="1">
        <f t="array" ref="AD13">_xlfn.LET(
_xlpm.COMARCA, TRIM(UPPER(SUBSTITUTE(SUBSTITUTE(SUBSTITUTE(SUBSTITUTE(SUBSTITUTE(SUBSTITUTE(SUBSTITUTE(SUBSTITUTE(SUBSTITUTE(SUBSTITUTE(SUBSTITUTE(SUBSTITUTE(SUBSTITUTE(SUBSTITUTE(SUBSTITUTE(SUBSTITUTE(SUBSTITUTE(SUBSTITUTE(SUBSTITUTE(SUBSTITUTE(SUBSTITUTE(SUBSTITUTE(SUBSTITUTE(SUBSTITUTE(SUBSTITUTE(SUBSTITUTE(tabParametros[[#This Row],[Comarca]],"á","a"),"ã","a"),"â","a"),"é","e"),"ê","e"),"í","i"),"ó","o"),"õ","o"),"ô","o"),"ú","u"),"ç","c"),"Á","a"),"Ã","a"),"Â","a"),"É","e"),"Ê","e"),"Í","i"),"Ó","o"),"Õ","o"),"Ô","o"),"Ú","u"),"Ç","c"),"/MG","")," e ",", ")," ",""),".",""))),
_xlpm.MATRIZ_COMARCA, TRIM(UPPER(SUBSTITUTE(SUBSTITUTE(SUBSTITUTE(SUBSTITUTE(SUBSTITUTE(SUBSTITUTE(SUBSTITUTE(SUBSTITUTE(SUBSTITUTE(SUBSTITUTE(SUBSTITUTE(SUBSTITUTE(SUBSTITUTE(SUBSTITUTE(SUBSTITUTE(SUBSTITUTE(SUBSTITUTE(SUBSTITUTE(SUBSTITUTE(SUBSTITUTE(SUBSTITUTE(SUBSTITUTE(SUBSTITUTE(SUBSTITUTE(SUBSTITUTE(SUBSTITUTE(tabSindicatos[COMARCAS PAF],"á","a"),"ã","a"),"â","a"),"é","e"),"ê","e"),"í","i"),"ó","o"),"õ","o"),"ô","o"),"ú","u"),"ç","c"),"Á","a"),"Ã","a"),"Â","a"),"É","e"),"Ê","e"),"Í","i"),"Ó","o"),"Õ","o"),"Ô","o"),"Ú","u"),"Ç","c"),"/MG","")," e ",", ")," ",""),".",""))),
IFERROR(IF(_xlfn.XLOOKUP(tabParametros[[#This Row],[CCT DA CATEGORIA]],tabSindicatos[SINDICATOS],tabSindicatos[COMARCAS PAF])="",
VLOOKUP(tabParametros[[#This Row],[CCT DA CATEGORIA]],tabSindicatos[],8,0),
IF(ISNUMBER(SEARCH(TRIM(_xlpm.COMARCA),_xlfn.XLOOKUP(tabParametros[[#This Row],[CCT DA CATEGORIA]],tabSindicatos[SINDICATOS],_xlpm.MATRIZ_COMARCA),1)),VLOOKUP(tabParametros[[#This Row],[CCT DA CATEGORIA]],tabSindicatos[],8,0),0)
),0)
)</f>
        <v>0</v>
      </c>
      <c r="AE13" s="234">
        <f>IFERROR(VLOOKUP(tabParametros[[#This Row],[CCT DA CATEGORIA]],tabSindicatos[],9,0),0)</f>
        <v>0</v>
      </c>
      <c r="AF13" s="234">
        <f>IFERROR(VLOOKUP(tabParametros[[#This Row],[CCT DA CATEGORIA]],tabSindicatos[],10,0),0)</f>
        <v>0</v>
      </c>
      <c r="AG13" s="236">
        <f>VLOOKUP(tabParametros[[#Headers],[Seguro de Vida]],tabOutrosCustos[],3,0)</f>
        <v>3.36</v>
      </c>
      <c r="AH13" s="236">
        <f>IF(ISNUMBER(SEARCH("MOTORISTA",tabParametros[[#This Row],[Função]],1)),VLOOKUP("MOTORISTAS",tabDiarias[],2,0),IF(tabParametros[[#This Row],[Comarca]]="Belo Horizonte",VLOOKUP("LIMPEZA",tabDiarias[],2,0),0))</f>
        <v>0</v>
      </c>
      <c r="AI13" s="235">
        <f t="shared" si="2"/>
        <v>7.011766975308642E-3</v>
      </c>
      <c r="AJ13" s="237">
        <f>tabParametros[[#This Row],[FGTS]]*tabParametros[[#This Row],[Aviso Prévio Indenizado (API) e Reflexo do Aviso Prévio Indenizado]]</f>
        <v>5.609413580246914E-4</v>
      </c>
      <c r="AK13" s="237">
        <f>tabParametros[[#This Row],[FGTS]]*tabParametros[[#This Row],[Aviso Prévio Indenizado (API) e Reflexo do Aviso Prévio Indenizado]]*40%</f>
        <v>2.2437654320987658E-4</v>
      </c>
      <c r="AL13" s="235">
        <f t="shared" si="3"/>
        <v>3.5000000000000005E-3</v>
      </c>
      <c r="AM13" s="235">
        <f>tabParametros[[#This Row],[Aviso Prévio Trabalhado - APT]]*SUM(tabParametros[[#This Row],[INSS]:[SEBRAE]])</f>
        <v>1.3230000000000004E-3</v>
      </c>
      <c r="AN13" s="235">
        <f t="shared" si="4"/>
        <v>3.0577777777777773E-2</v>
      </c>
      <c r="AO13" s="235">
        <f t="shared" si="5"/>
        <v>8.3333333333333339E-4</v>
      </c>
      <c r="AP13" s="235">
        <f t="shared" si="6"/>
        <v>8.4444444444444437E-3</v>
      </c>
      <c r="AQ13" s="235">
        <f t="shared" si="7"/>
        <v>2.0277777777777777E-3</v>
      </c>
      <c r="AR13" s="235">
        <f t="shared" si="8"/>
        <v>1.7083333333333333E-4</v>
      </c>
      <c r="AS13" s="235">
        <f t="shared" si="9"/>
        <v>2.0833333333333335E-4</v>
      </c>
      <c r="AT13" s="235">
        <f t="shared" si="10"/>
        <v>1.2962962962962963E-3</v>
      </c>
      <c r="AU13" s="237">
        <f>SUM(tabParametros[[#This Row],[Ausência por Doença]:[Férias, Adicional de Férias e 13º  com empregada em gozo de Licença Maternidade]])*SUM(tabParametros[[#This Row],[INSS]:[SEBRAE]])</f>
        <v>4.5918250000000008E-3</v>
      </c>
      <c r="AV13" s="234">
        <f>IF(tabParametros[[#This Row],[Função]]="Porteiro - 220 h",SUM(tabParametros[[#This Row],[Salário Base]:[Adicional de Acúmulo de função]])/220*20*1.5,IF(ISNUMBER(SEARCH("12 x 36",tabParametros[[#This Row],[Função]],1)),SUM(tabParametros[[#This Row],[Salário Base]:[Adicional de Acúmulo de função]])/210*15.5*1.5,0))</f>
        <v>0</v>
      </c>
      <c r="AW13" s="234">
        <f>IF(tabParametros[[#This Row],[Vagas contratadas]]&gt;0,(SUM(tabParametros[[#This Row],[Salário Base]:[Adicional de Acúmulo de função]])*30%+SUM(tabParametros[[#This Row],[Vale - Alimentação]:[Seguro de Vida]]))/tabParametros[[#This Row],[Vagas contratadas]]*tabParametros[[#This Row],[Vagas suspensas]],0)</f>
        <v>0</v>
      </c>
      <c r="AX13" s="234">
        <f>SUMIF(tabUniformes[Cargo],tabParametros[[#This Row],[Função]],tabUniformes[Valor unit. Mensal])</f>
        <v>62.806666666666665</v>
      </c>
      <c r="AY13" s="281">
        <f>IF(ISNUMBER(SEARCH("AUXILIAR DE LIMPEZA - 75 H",tabParametros[[#This Row],[Função]],1)),
SUMIF(tabLimpGeral[TIPO],"Material",tabLimpGeral[VALOR UNITÁRIO P/ HORA (R$)])*75,
IF(ISNUMBER(SEARCH("AUXILIAR DE LIMPEZA - 110 H",tabParametros[[#This Row],[Função]],1)),
SUMIF(tabLimpGeral[TIPO],"Material",tabLimpGeral[VALOR UNITÁRIO P/ HORA (R$)])*110,
IF(ISNUMBER(SEARCH("AUXILIAR DE LIMPEZA - 150 H",tabParametros[[#This Row],[Função]],1)),
SUMIF(tabLimpGeral[TIPO],"Material",tabLimpGeral[VALOR UNITÁRIO P/ HORA (R$)])*150,
IF(ISNUMBER(SEARCH("AUXILIAR DE LIMPEZA - 220 H",tabParametros[[#This Row],[Função]],1)),
SUMIF(tabLimpGeral[TIPO],"Material",tabLimpGeral[VALOR UNITÁRIO P/ HORA (R$)])*220,
IF(ISNUMBER(SEARCH("AUXILIAR DE LIMPEZA - 12 x 36",tabParametros[[#This Row],[Função]],1)),
SUMIF(tabLimpGeral[TIPO],"Material",tabLimpGeral[VALOR UNITÁRIO P/ HORA (R$)])*220,
IF(ISNUMBER(SEARCH("Limpador de vidros - 220 h",tabParametros[[#This Row],[Função]],1)),
SUMIF(tabVidros[TIPO],"Material",tabVidros[VALOR UNITÁRIO P/ POSTO (R$)]),
0))))))</f>
        <v>12.108481690426325</v>
      </c>
      <c r="AZ13" s="281">
        <f>IF(ISNUMBER(SEARCH("AUXILIAR DE LIMPEZA - 75 H",tabParametros[[#This Row],[Função]],1)),
SUMIF(tabLimpGeral[TIPO],"Equipamento",tabLimpGeral[VALOR UNITÁRIO P/ HORA (R$)])*75,
IF(ISNUMBER(SEARCH("AUXILIAR DE LIMPEZA - 110 H",tabParametros[[#This Row],[Função]],1)),
SUMIF(tabLimpGeral[TIPO],"Equipamento",tabLimpGeral[VALOR UNITÁRIO P/ HORA (R$)])*110,
IF(ISNUMBER(SEARCH("AUXILIAR DE LIMPEZA - 150 H",tabParametros[[#This Row],[Função]],1)),
SUMIF(tabLimpGeral[TIPO],"Equipamento",tabLimpGeral[VALOR UNITÁRIO P/ HORA (R$)])*150,
IF(ISNUMBER(SEARCH("AUXILIAR DE LIMPEZA - 220 H",tabParametros[[#This Row],[Função]],1)),
SUMIF(tabLimpGeral[TIPO],"Equipamento",tabLimpGeral[VALOR UNITÁRIO P/ HORA (R$)])*220,
IF(ISNUMBER(SEARCH("AUXILIAR DE LIMPEZA - 12 x 36",tabParametros[[#This Row],[Função]],1)),
SUMIF(tabLimpGeral[TIPO],"Equipamento",tabLimpGeral[VALOR UNITÁRIO P/ HORA (R$)])*220,
IF(ISNUMBER(SEARCH("Limpador de vidros - 220 h",tabParametros[[#This Row],[Função]],1)),
SUMIF(tabVidros[TIPO],"Equipamento",tabVidros[VALOR UNITÁRIO P/ POSTO (R$)]),
0))))))</f>
        <v>21.998657016417809</v>
      </c>
      <c r="BA13" s="281">
        <f>IF(ISNUMBER(SEARCH("AUXILIAR DE LIMPEZA - 75 H",tabParametros[[#This Row],[Função]],1)),
SUMIF(tabLimpGeral[TIPO],"Produto",tabLimpGeral[VALOR UNITÁRIO P/ HORA (R$)])*75,
IF(ISNUMBER(SEARCH("AUXILIAR DE LIMPEZA - 110 H",tabParametros[[#This Row],[Função]],1)),
SUMIF(tabLimpGeral[TIPO],"Produto",tabLimpGeral[VALOR UNITÁRIO P/ HORA (R$)])*110,
IF(ISNUMBER(SEARCH("AUXILIAR DE LIMPEZA - 150 H",tabParametros[[#This Row],[Função]],1)),
SUMIF(tabLimpGeral[TIPO],"Produto",tabLimpGeral[VALOR UNITÁRIO P/ HORA (R$)])*150,
IF(ISNUMBER(SEARCH("AUXILIAR DE LIMPEZA - 220 H",tabParametros[[#This Row],[Função]],1)),
SUMIF(tabLimpGeral[TIPO],"Produto",tabLimpGeral[VALOR UNITÁRIO P/ HORA (R$)])*220,
IF(ISNUMBER(SEARCH("AUXILIAR DE LIMPEZA - 12 x 36",tabParametros[[#This Row],[Função]],1)),
SUMIF(tabLimpGeral[TIPO],"Produto",tabLimpGeral[VALOR UNITÁRIO P/ HORA (R$)])*220,
IF(ISNUMBER(SEARCH("Limpador de vidros - 220 h",tabParametros[[#This Row],[Função]],1)),
SUMIF(tabVidros[TIPO],"Produto",tabVidros[VALOR UNITÁRIO P/ POSTO (R$)]),
0))))))</f>
        <v>235.31984072022155</v>
      </c>
      <c r="BB13" s="281">
        <v>0</v>
      </c>
      <c r="BC13" s="236">
        <f>VLOOKUP(tabParametros[[#Headers],[Custos Indiretos]],tabOutrosCustos[],3,0)</f>
        <v>189.64880140242613</v>
      </c>
      <c r="BD13" s="236">
        <f>VLOOKUP(tabParametros[[#Headers],[Lucro]],tabOutrosCustos[],3,0)</f>
        <v>159.30499317803796</v>
      </c>
      <c r="BE13" s="235">
        <f>VLOOKUP(tabParametros[[#Headers],[COFINS]],tabImpostosNacionais[],2,0)</f>
        <v>7.5999999999999998E-2</v>
      </c>
      <c r="BF13" s="235">
        <f>VLOOKUP(tabParametros[[#Headers],[PIS]],tabImpostosNacionais[],2,0)</f>
        <v>1.6500000000000001E-2</v>
      </c>
      <c r="BG13" s="235">
        <f>VLOOKUP(tabParametros[[#This Row],[Comarca]],tabComarca[],4,0)</f>
        <v>0.05</v>
      </c>
      <c r="BH13" s="238">
        <f>IFERROR(VLOOKUP(tabParametros[[#This Row],[CCT DA CATEGORIA]],tabSindicatos[],11,0),"")</f>
        <v>45658</v>
      </c>
      <c r="BI13" s="289" t="str">
        <f>IFERROR(VLOOKUP(tabParametros[[#This Row],[CCT DA CATEGORIA]],tabSindicatos[],12,0),"")</f>
        <v>-</v>
      </c>
      <c r="BJ13" s="293" t="str">
        <f>IFERROR(VLOOKUP(tabParametros[[#This Row],[CCT DA CATEGORIA]],tabSindicatos[],13,0),"")</f>
        <v>-</v>
      </c>
    </row>
    <row r="14" spans="1:67" x14ac:dyDescent="0.25">
      <c r="A14" s="233" t="s">
        <v>1360</v>
      </c>
      <c r="B14" s="198" t="s">
        <v>20</v>
      </c>
      <c r="C14" s="198" t="s">
        <v>1244</v>
      </c>
      <c r="D14" s="198" t="str">
        <f>VLOOKUP(tabParametros[[#This Row],[Código do Posto]],tabPostos[],4,0)</f>
        <v>Regiao de Sao Lourenco</v>
      </c>
      <c r="E14" s="289" t="str">
        <f>VLOOKUP(tabParametros[[#This Row],[Código do Posto]],tabPostos[],5,0)</f>
        <v>Limpeza</v>
      </c>
      <c r="F14" s="289" t="str">
        <f>VLOOKUP(tabParametros[[#This Row],[Código do Posto]],tabPostos[],6,0)</f>
        <v>PGJ</v>
      </c>
      <c r="G14" s="289">
        <f>VLOOKUP(tabParametros[[#This Row],[Código do Posto]],tabPostos[],7,0)</f>
        <v>1</v>
      </c>
      <c r="H14" s="289">
        <f>VLOOKUP(tabParametros[[#This Row],[Código do Posto]],tabPostos[],8,0)</f>
        <v>0</v>
      </c>
      <c r="I14" s="234">
        <f>VLOOKUP(tabParametros[[#This Row],[Código do Posto]],tabPostos[],9,0)</f>
        <v>798.14</v>
      </c>
      <c r="J14" s="234">
        <f>IF(ISNUMBER(SEARCH("Eletricista",tabParametros[[#This Row],[Função]],1)),0.3*tabParametros[[#This Row],[Salário Base]],0)</f>
        <v>0</v>
      </c>
      <c r="K14" s="234">
        <f>IF(OR(ISNUMBER(SEARCH("Bombeiro Hidraulico",tabParametros[[#This Row],[Função]],1)),ISNUMBER(SEARCH("Jardineiro",tabParametros[[#This Row],[Função]],1)),ISNUMBER(SEARCH("Lavador de Veiculos",tabParametros[[#This Row],[Função]],1)),ISNUMBER(SEARCH("Marceneiro",tabParametros[[#This Row],[Função]],1)),ISNUMBER(SEARCH("Pintor",tabParametros[[#This Row],[Função]],1))),0.2*'BASE GERAL'!$R$4,0)</f>
        <v>0</v>
      </c>
      <c r="L14" s="234">
        <f>IF(AND(ISNUMBER(SEARCH("Noturno",tabParametros[[#This Row],[Função]],1)),tabParametros[[#This Row],[Comarca]]&lt;&gt;"Juiz de Fora"),tabParametros[[#This Row],[Salário Base]]/210*0.39*7*15.5,IF(ISNUMBER(SEARCH("Noturno",tabParametros[[#This Row],[Função]],1)),tabParametros[[#This Row],[Salário Base]]/210*0.2*8*15.5,0))</f>
        <v>0</v>
      </c>
      <c r="M14" s="234">
        <f>IF(ISNUMBER(SEARCH("Motorista II",tabParametros[[#This Row],[Função]],1)),0.25*tabParametros[[#This Row],[Salário Base]],0)</f>
        <v>0</v>
      </c>
      <c r="N14" s="250">
        <v>0</v>
      </c>
      <c r="O14" s="234">
        <f>IF(ISNUMBER(SEARCH("TECNOLOGIA DA INFORMACAO",tabParametros[[#This Row],[Função]],1)),0.0201*tabParametros[[#This Row],[Salário Base]],0)</f>
        <v>0</v>
      </c>
      <c r="P14" s="250" cm="1">
        <f t="array" ref="P14">_xlfn.IFS(
ISNUMBER(SEARCH("Auxiliar de Limpeza - 75 h",tabParametros[[#This Row],[Função]],1)),tabParametros[[#This Row],[Salário Base]]/75*0.75*30*0.12,
ISNUMBER(SEARCH("Auxiliar de Limpeza - 110 h",tabParametros[[#This Row],[Função]],1)),tabParametros[[#This Row],[Salário Base]]/110*1*30*0.12,
ISNUMBER(SEARCH("Auxiliar de Limpeza - 150 h",tabParametros[[#This Row],[Função]],1)),tabParametros[[#This Row],[Salário Base]]/150*1.5*30*0.12,
ISNUMBER(SEARCH("Auxiliar de Limpeza - 220 h",tabParametros[[#This Row],[Função]],1)),tabParametros[[#This Row],[Salário Base]]/220*2*30*0.12,
ISNUMBER(SEARCH("Auxiliar de Limpeza - 12 x 36",tabParametros[[#This Row],[Função]],1)),tabParametros[[#This Row],[Salário Base]]/220*2*30*0.12,
ISNUMBER(SEARCH("Auxiliar de Limpeza - 55 h",tabParametros[[#This Row],[Função]],1))=FALSE,0)</f>
        <v>26.120945454545453</v>
      </c>
      <c r="Q14" s="235">
        <f>VLOOKUP(tabParametros[[#Headers],[INSS]],tabImpostosNacionais[],2,0)</f>
        <v>0.2</v>
      </c>
      <c r="R14" s="235">
        <f>VLOOKUP(tabParametros[[#Headers],[SESI OU SESC]],tabImpostosNacionais[],2,0)</f>
        <v>1.4999999999999999E-2</v>
      </c>
      <c r="S14" s="235">
        <f>VLOOKUP(tabParametros[[#Headers],[SENAI OU SENAC]],tabImpostosNacionais[],2,0)</f>
        <v>0.01</v>
      </c>
      <c r="T14" s="235">
        <f>VLOOKUP(tabParametros[[#Headers],[INCRA]],tabImpostosNacionais[],2,0)</f>
        <v>2E-3</v>
      </c>
      <c r="U14" s="235">
        <f>VLOOKUP(tabParametros[[#Headers],[Salário Educação]],tabImpostosNacionais[],2,0)</f>
        <v>2.5000000000000001E-2</v>
      </c>
      <c r="V14" s="235">
        <f>VLOOKUP(tabParametros[[#Headers],[FGTS]],tabImpostosNacionais[],2,0)</f>
        <v>0.08</v>
      </c>
      <c r="W14" s="235">
        <f>VLOOKUP(tabParametros[[#Headers],[RAT Ajustado]],tabImpostosNacionais[],2,0)</f>
        <v>0.04</v>
      </c>
      <c r="X14" s="235">
        <f>VLOOKUP(tabParametros[[#Headers],[SEBRAE]],tabImpostosNacionais[],2,0)</f>
        <v>6.0000000000000001E-3</v>
      </c>
      <c r="Y14" s="235">
        <f t="shared" si="0"/>
        <v>8.3333333333333329E-2</v>
      </c>
      <c r="Z14" s="251">
        <f t="shared" si="1"/>
        <v>0.1111111111111111</v>
      </c>
      <c r="AA14" s="234">
        <f>VLOOKUP(tabParametros[[#This Row],[Comarca]],tabComarca[],5,0)</f>
        <v>6.4</v>
      </c>
      <c r="AB14" s="234">
        <f>IFERROR(VLOOKUP(tabParametros[[#This Row],[CCT DA CATEGORIA]],tabSindicatos[],6,0),0)</f>
        <v>29.15</v>
      </c>
      <c r="AC14" s="234">
        <f>IFERROR(VLOOKUP(tabParametros[[#This Row],[CCT DA CATEGORIA]],tabSindicatos[],7,0),0)</f>
        <v>0</v>
      </c>
      <c r="AD14" s="234" cm="1">
        <f t="array" ref="AD14">_xlfn.LET(
_xlpm.COMARCA, TRIM(UPPER(SUBSTITUTE(SUBSTITUTE(SUBSTITUTE(SUBSTITUTE(SUBSTITUTE(SUBSTITUTE(SUBSTITUTE(SUBSTITUTE(SUBSTITUTE(SUBSTITUTE(SUBSTITUTE(SUBSTITUTE(SUBSTITUTE(SUBSTITUTE(SUBSTITUTE(SUBSTITUTE(SUBSTITUTE(SUBSTITUTE(SUBSTITUTE(SUBSTITUTE(SUBSTITUTE(SUBSTITUTE(SUBSTITUTE(SUBSTITUTE(SUBSTITUTE(SUBSTITUTE(tabParametros[[#This Row],[Comarca]],"á","a"),"ã","a"),"â","a"),"é","e"),"ê","e"),"í","i"),"ó","o"),"õ","o"),"ô","o"),"ú","u"),"ç","c"),"Á","a"),"Ã","a"),"Â","a"),"É","e"),"Ê","e"),"Í","i"),"Ó","o"),"Õ","o"),"Ô","o"),"Ú","u"),"Ç","c"),"/MG","")," e ",", ")," ",""),".",""))),
_xlpm.MATRIZ_COMARCA, TRIM(UPPER(SUBSTITUTE(SUBSTITUTE(SUBSTITUTE(SUBSTITUTE(SUBSTITUTE(SUBSTITUTE(SUBSTITUTE(SUBSTITUTE(SUBSTITUTE(SUBSTITUTE(SUBSTITUTE(SUBSTITUTE(SUBSTITUTE(SUBSTITUTE(SUBSTITUTE(SUBSTITUTE(SUBSTITUTE(SUBSTITUTE(SUBSTITUTE(SUBSTITUTE(SUBSTITUTE(SUBSTITUTE(SUBSTITUTE(SUBSTITUTE(SUBSTITUTE(SUBSTITUTE(tabSindicatos[COMARCAS PAF],"á","a"),"ã","a"),"â","a"),"é","e"),"ê","e"),"í","i"),"ó","o"),"õ","o"),"ô","o"),"ú","u"),"ç","c"),"Á","a"),"Ã","a"),"Â","a"),"É","e"),"Ê","e"),"Í","i"),"Ó","o"),"Õ","o"),"Ô","o"),"Ú","u"),"Ç","c"),"/MG","")," e ",", ")," ",""),".",""))),
IFERROR(IF(_xlfn.XLOOKUP(tabParametros[[#This Row],[CCT DA CATEGORIA]],tabSindicatos[SINDICATOS],tabSindicatos[COMARCAS PAF])="",
VLOOKUP(tabParametros[[#This Row],[CCT DA CATEGORIA]],tabSindicatos[],8,0),
IF(ISNUMBER(SEARCH(TRIM(_xlpm.COMARCA),_xlfn.XLOOKUP(tabParametros[[#This Row],[CCT DA CATEGORIA]],tabSindicatos[SINDICATOS],_xlpm.MATRIZ_COMARCA),1)),VLOOKUP(tabParametros[[#This Row],[CCT DA CATEGORIA]],tabSindicatos[],8,0),0)
),0)
)</f>
        <v>0</v>
      </c>
      <c r="AE14" s="234">
        <f>IFERROR(VLOOKUP(tabParametros[[#This Row],[CCT DA CATEGORIA]],tabSindicatos[],9,0),0)</f>
        <v>0</v>
      </c>
      <c r="AF14" s="234">
        <f>IFERROR(VLOOKUP(tabParametros[[#This Row],[CCT DA CATEGORIA]],tabSindicatos[],10,0),0)</f>
        <v>0</v>
      </c>
      <c r="AG14" s="236">
        <f>VLOOKUP(tabParametros[[#Headers],[Seguro de Vida]],tabOutrosCustos[],3,0)</f>
        <v>3.36</v>
      </c>
      <c r="AH14" s="236">
        <f>IF(ISNUMBER(SEARCH("MOTORISTA",tabParametros[[#This Row],[Função]],1)),VLOOKUP("MOTORISTAS",tabDiarias[],2,0),IF(tabParametros[[#This Row],[Comarca]]="Belo Horizonte",VLOOKUP("LIMPEZA",tabDiarias[],2,0),0))</f>
        <v>0</v>
      </c>
      <c r="AI14" s="235">
        <f t="shared" si="2"/>
        <v>7.011766975308642E-3</v>
      </c>
      <c r="AJ14" s="237">
        <f>tabParametros[[#This Row],[FGTS]]*tabParametros[[#This Row],[Aviso Prévio Indenizado (API) e Reflexo do Aviso Prévio Indenizado]]</f>
        <v>5.609413580246914E-4</v>
      </c>
      <c r="AK14" s="237">
        <f>tabParametros[[#This Row],[FGTS]]*tabParametros[[#This Row],[Aviso Prévio Indenizado (API) e Reflexo do Aviso Prévio Indenizado]]*40%</f>
        <v>2.2437654320987658E-4</v>
      </c>
      <c r="AL14" s="235">
        <f t="shared" si="3"/>
        <v>3.5000000000000005E-3</v>
      </c>
      <c r="AM14" s="235">
        <f>tabParametros[[#This Row],[Aviso Prévio Trabalhado - APT]]*SUM(tabParametros[[#This Row],[INSS]:[SEBRAE]])</f>
        <v>1.3230000000000004E-3</v>
      </c>
      <c r="AN14" s="235">
        <f t="shared" si="4"/>
        <v>3.0577777777777773E-2</v>
      </c>
      <c r="AO14" s="235">
        <f t="shared" si="5"/>
        <v>8.3333333333333339E-4</v>
      </c>
      <c r="AP14" s="235">
        <f t="shared" si="6"/>
        <v>8.4444444444444437E-3</v>
      </c>
      <c r="AQ14" s="235">
        <f t="shared" si="7"/>
        <v>2.0277777777777777E-3</v>
      </c>
      <c r="AR14" s="235">
        <f t="shared" si="8"/>
        <v>1.7083333333333333E-4</v>
      </c>
      <c r="AS14" s="235">
        <f t="shared" si="9"/>
        <v>2.0833333333333335E-4</v>
      </c>
      <c r="AT14" s="235">
        <f t="shared" si="10"/>
        <v>1.2962962962962963E-3</v>
      </c>
      <c r="AU14" s="237">
        <f>SUM(tabParametros[[#This Row],[Ausência por Doença]:[Férias, Adicional de Férias e 13º  com empregada em gozo de Licença Maternidade]])*SUM(tabParametros[[#This Row],[INSS]:[SEBRAE]])</f>
        <v>4.5918250000000008E-3</v>
      </c>
      <c r="AV14" s="234">
        <f>IF(tabParametros[[#This Row],[Função]]="Porteiro - 220 h",SUM(tabParametros[[#This Row],[Salário Base]:[Adicional de Acúmulo de função]])/220*20*1.5,IF(ISNUMBER(SEARCH("12 x 36",tabParametros[[#This Row],[Função]],1)),SUM(tabParametros[[#This Row],[Salário Base]:[Adicional de Acúmulo de função]])/210*15.5*1.5,0))</f>
        <v>0</v>
      </c>
      <c r="AW14" s="234">
        <f>IF(tabParametros[[#This Row],[Vagas contratadas]]&gt;0,(SUM(tabParametros[[#This Row],[Salário Base]:[Adicional de Acúmulo de função]])*30%+SUM(tabParametros[[#This Row],[Vale - Alimentação]:[Seguro de Vida]]))/tabParametros[[#This Row],[Vagas contratadas]]*tabParametros[[#This Row],[Vagas suspensas]],0)</f>
        <v>0</v>
      </c>
      <c r="AX14" s="234">
        <f>SUMIF(tabUniformes[Cargo],tabParametros[[#This Row],[Função]],tabUniformes[Valor unit. Mensal])</f>
        <v>62.806666666666665</v>
      </c>
      <c r="AY14" s="281">
        <f>IF(ISNUMBER(SEARCH("AUXILIAR DE LIMPEZA - 75 H",tabParametros[[#This Row],[Função]],1)),
SUMIF(tabLimpGeral[TIPO],"Material",tabLimpGeral[VALOR UNITÁRIO P/ HORA (R$)])*75,
IF(ISNUMBER(SEARCH("AUXILIAR DE LIMPEZA - 110 H",tabParametros[[#This Row],[Função]],1)),
SUMIF(tabLimpGeral[TIPO],"Material",tabLimpGeral[VALOR UNITÁRIO P/ HORA (R$)])*110,
IF(ISNUMBER(SEARCH("AUXILIAR DE LIMPEZA - 150 H",tabParametros[[#This Row],[Função]],1)),
SUMIF(tabLimpGeral[TIPO],"Material",tabLimpGeral[VALOR UNITÁRIO P/ HORA (R$)])*150,
IF(ISNUMBER(SEARCH("AUXILIAR DE LIMPEZA - 220 H",tabParametros[[#This Row],[Função]],1)),
SUMIF(tabLimpGeral[TIPO],"Material",tabLimpGeral[VALOR UNITÁRIO P/ HORA (R$)])*220,
IF(ISNUMBER(SEARCH("AUXILIAR DE LIMPEZA - 12 x 36",tabParametros[[#This Row],[Função]],1)),
SUMIF(tabLimpGeral[TIPO],"Material",tabLimpGeral[VALOR UNITÁRIO P/ HORA (R$)])*220,
IF(ISNUMBER(SEARCH("Limpador de vidros - 220 h",tabParametros[[#This Row],[Função]],1)),
SUMIF(tabVidros[TIPO],"Material",tabVidros[VALOR UNITÁRIO P/ POSTO (R$)]),
0))))))</f>
        <v>17.759106479291944</v>
      </c>
      <c r="AZ14" s="281">
        <f>IF(ISNUMBER(SEARCH("AUXILIAR DE LIMPEZA - 75 H",tabParametros[[#This Row],[Função]],1)),
SUMIF(tabLimpGeral[TIPO],"Equipamento",tabLimpGeral[VALOR UNITÁRIO P/ HORA (R$)])*75,
IF(ISNUMBER(SEARCH("AUXILIAR DE LIMPEZA - 110 H",tabParametros[[#This Row],[Função]],1)),
SUMIF(tabLimpGeral[TIPO],"Equipamento",tabLimpGeral[VALOR UNITÁRIO P/ HORA (R$)])*110,
IF(ISNUMBER(SEARCH("AUXILIAR DE LIMPEZA - 150 H",tabParametros[[#This Row],[Função]],1)),
SUMIF(tabLimpGeral[TIPO],"Equipamento",tabLimpGeral[VALOR UNITÁRIO P/ HORA (R$)])*150,
IF(ISNUMBER(SEARCH("AUXILIAR DE LIMPEZA - 220 H",tabParametros[[#This Row],[Função]],1)),
SUMIF(tabLimpGeral[TIPO],"Equipamento",tabLimpGeral[VALOR UNITÁRIO P/ HORA (R$)])*220,
IF(ISNUMBER(SEARCH("AUXILIAR DE LIMPEZA - 12 x 36",tabParametros[[#This Row],[Função]],1)),
SUMIF(tabLimpGeral[TIPO],"Equipamento",tabLimpGeral[VALOR UNITÁRIO P/ HORA (R$)])*220,
IF(ISNUMBER(SEARCH("Limpador de vidros - 220 h",tabParametros[[#This Row],[Função]],1)),
SUMIF(tabVidros[TIPO],"Equipamento",tabVidros[VALOR UNITÁRIO P/ POSTO (R$)]),
0))))))</f>
        <v>32.264696957412788</v>
      </c>
      <c r="BA14" s="281">
        <f>IF(ISNUMBER(SEARCH("AUXILIAR DE LIMPEZA - 75 H",tabParametros[[#This Row],[Função]],1)),
SUMIF(tabLimpGeral[TIPO],"Produto",tabLimpGeral[VALOR UNITÁRIO P/ HORA (R$)])*75,
IF(ISNUMBER(SEARCH("AUXILIAR DE LIMPEZA - 110 H",tabParametros[[#This Row],[Função]],1)),
SUMIF(tabLimpGeral[TIPO],"Produto",tabLimpGeral[VALOR UNITÁRIO P/ HORA (R$)])*110,
IF(ISNUMBER(SEARCH("AUXILIAR DE LIMPEZA - 150 H",tabParametros[[#This Row],[Função]],1)),
SUMIF(tabLimpGeral[TIPO],"Produto",tabLimpGeral[VALOR UNITÁRIO P/ HORA (R$)])*150,
IF(ISNUMBER(SEARCH("AUXILIAR DE LIMPEZA - 220 H",tabParametros[[#This Row],[Função]],1)),
SUMIF(tabLimpGeral[TIPO],"Produto",tabLimpGeral[VALOR UNITÁRIO P/ HORA (R$)])*220,
IF(ISNUMBER(SEARCH("AUXILIAR DE LIMPEZA - 12 x 36",tabParametros[[#This Row],[Função]],1)),
SUMIF(tabLimpGeral[TIPO],"Produto",tabLimpGeral[VALOR UNITÁRIO P/ HORA (R$)])*220,
IF(ISNUMBER(SEARCH("Limpador de vidros - 220 h",tabParametros[[#This Row],[Função]],1)),
SUMIF(tabVidros[TIPO],"Produto",tabVidros[VALOR UNITÁRIO P/ POSTO (R$)]),
0))))))</f>
        <v>345.13576638965827</v>
      </c>
      <c r="BB14" s="281">
        <v>0</v>
      </c>
      <c r="BC14" s="236">
        <f>VLOOKUP(tabParametros[[#Headers],[Custos Indiretos]],tabOutrosCustos[],3,0)</f>
        <v>189.64880140242613</v>
      </c>
      <c r="BD14" s="236">
        <f>VLOOKUP(tabParametros[[#Headers],[Lucro]],tabOutrosCustos[],3,0)</f>
        <v>159.30499317803796</v>
      </c>
      <c r="BE14" s="235">
        <f>VLOOKUP(tabParametros[[#Headers],[COFINS]],tabImpostosNacionais[],2,0)</f>
        <v>7.5999999999999998E-2</v>
      </c>
      <c r="BF14" s="235">
        <f>VLOOKUP(tabParametros[[#Headers],[PIS]],tabImpostosNacionais[],2,0)</f>
        <v>1.6500000000000001E-2</v>
      </c>
      <c r="BG14" s="235">
        <f>VLOOKUP(tabParametros[[#This Row],[Comarca]],tabComarca[],4,0)</f>
        <v>0.05</v>
      </c>
      <c r="BH14" s="238">
        <f>IFERROR(VLOOKUP(tabParametros[[#This Row],[CCT DA CATEGORIA]],tabSindicatos[],11,0),"")</f>
        <v>45658</v>
      </c>
      <c r="BI14" s="289" t="str">
        <f>IFERROR(VLOOKUP(tabParametros[[#This Row],[CCT DA CATEGORIA]],tabSindicatos[],12,0),"")</f>
        <v>-</v>
      </c>
      <c r="BJ14" s="293" t="str">
        <f>IFERROR(VLOOKUP(tabParametros[[#This Row],[CCT DA CATEGORIA]],tabSindicatos[],13,0),"")</f>
        <v>-</v>
      </c>
    </row>
    <row r="15" spans="1:67" x14ac:dyDescent="0.25">
      <c r="A15" s="233" t="s">
        <v>1361</v>
      </c>
      <c r="B15" s="198" t="s">
        <v>21</v>
      </c>
      <c r="C15" s="198" t="s">
        <v>1244</v>
      </c>
      <c r="D15" s="198" t="str">
        <f>VLOOKUP(tabParametros[[#This Row],[Código do Posto]],tabPostos[],4,0)</f>
        <v>Regiao de Sao Lourenco</v>
      </c>
      <c r="E15" s="289" t="str">
        <f>VLOOKUP(tabParametros[[#This Row],[Código do Posto]],tabPostos[],5,0)</f>
        <v>Limpeza</v>
      </c>
      <c r="F15" s="289" t="str">
        <f>VLOOKUP(tabParametros[[#This Row],[Código do Posto]],tabPostos[],6,0)</f>
        <v>PGJ</v>
      </c>
      <c r="G15" s="289">
        <f>VLOOKUP(tabParametros[[#This Row],[Código do Posto]],tabPostos[],7,0)</f>
        <v>1</v>
      </c>
      <c r="H15" s="289">
        <f>VLOOKUP(tabParametros[[#This Row],[Código do Posto]],tabPostos[],8,0)</f>
        <v>0</v>
      </c>
      <c r="I15" s="234">
        <f>VLOOKUP(tabParametros[[#This Row],[Código do Posto]],tabPostos[],9,0)</f>
        <v>798.14</v>
      </c>
      <c r="J15" s="234">
        <f>IF(ISNUMBER(SEARCH("Eletricista",tabParametros[[#This Row],[Função]],1)),0.3*tabParametros[[#This Row],[Salário Base]],0)</f>
        <v>0</v>
      </c>
      <c r="K15" s="234">
        <f>IF(OR(ISNUMBER(SEARCH("Bombeiro Hidraulico",tabParametros[[#This Row],[Função]],1)),ISNUMBER(SEARCH("Jardineiro",tabParametros[[#This Row],[Função]],1)),ISNUMBER(SEARCH("Lavador de Veiculos",tabParametros[[#This Row],[Função]],1)),ISNUMBER(SEARCH("Marceneiro",tabParametros[[#This Row],[Função]],1)),ISNUMBER(SEARCH("Pintor",tabParametros[[#This Row],[Função]],1))),0.2*'BASE GERAL'!$R$4,0)</f>
        <v>0</v>
      </c>
      <c r="L15" s="234">
        <f>IF(AND(ISNUMBER(SEARCH("Noturno",tabParametros[[#This Row],[Função]],1)),tabParametros[[#This Row],[Comarca]]&lt;&gt;"Juiz de Fora"),tabParametros[[#This Row],[Salário Base]]/210*0.39*7*15.5,IF(ISNUMBER(SEARCH("Noturno",tabParametros[[#This Row],[Função]],1)),tabParametros[[#This Row],[Salário Base]]/210*0.2*8*15.5,0))</f>
        <v>0</v>
      </c>
      <c r="M15" s="234">
        <f>IF(ISNUMBER(SEARCH("Motorista II",tabParametros[[#This Row],[Função]],1)),0.25*tabParametros[[#This Row],[Salário Base]],0)</f>
        <v>0</v>
      </c>
      <c r="N15" s="250">
        <v>0</v>
      </c>
      <c r="O15" s="234">
        <f>IF(ISNUMBER(SEARCH("TECNOLOGIA DA INFORMACAO",tabParametros[[#This Row],[Função]],1)),0.0201*tabParametros[[#This Row],[Salário Base]],0)</f>
        <v>0</v>
      </c>
      <c r="P15" s="250" cm="1">
        <f t="array" ref="P15">_xlfn.IFS(
ISNUMBER(SEARCH("Auxiliar de Limpeza - 75 h",tabParametros[[#This Row],[Função]],1)),tabParametros[[#This Row],[Salário Base]]/75*0.75*30*0.12,
ISNUMBER(SEARCH("Auxiliar de Limpeza - 110 h",tabParametros[[#This Row],[Função]],1)),tabParametros[[#This Row],[Salário Base]]/110*1*30*0.12,
ISNUMBER(SEARCH("Auxiliar de Limpeza - 150 h",tabParametros[[#This Row],[Função]],1)),tabParametros[[#This Row],[Salário Base]]/150*1.5*30*0.12,
ISNUMBER(SEARCH("Auxiliar de Limpeza - 220 h",tabParametros[[#This Row],[Função]],1)),tabParametros[[#This Row],[Salário Base]]/220*2*30*0.12,
ISNUMBER(SEARCH("Auxiliar de Limpeza - 12 x 36",tabParametros[[#This Row],[Função]],1)),tabParametros[[#This Row],[Salário Base]]/220*2*30*0.12,
ISNUMBER(SEARCH("Auxiliar de Limpeza - 55 h",tabParametros[[#This Row],[Função]],1))=FALSE,0)</f>
        <v>26.120945454545453</v>
      </c>
      <c r="Q15" s="235">
        <f>VLOOKUP(tabParametros[[#Headers],[INSS]],tabImpostosNacionais[],2,0)</f>
        <v>0.2</v>
      </c>
      <c r="R15" s="235">
        <f>VLOOKUP(tabParametros[[#Headers],[SESI OU SESC]],tabImpostosNacionais[],2,0)</f>
        <v>1.4999999999999999E-2</v>
      </c>
      <c r="S15" s="235">
        <f>VLOOKUP(tabParametros[[#Headers],[SENAI OU SENAC]],tabImpostosNacionais[],2,0)</f>
        <v>0.01</v>
      </c>
      <c r="T15" s="235">
        <f>VLOOKUP(tabParametros[[#Headers],[INCRA]],tabImpostosNacionais[],2,0)</f>
        <v>2E-3</v>
      </c>
      <c r="U15" s="235">
        <f>VLOOKUP(tabParametros[[#Headers],[Salário Educação]],tabImpostosNacionais[],2,0)</f>
        <v>2.5000000000000001E-2</v>
      </c>
      <c r="V15" s="235">
        <f>VLOOKUP(tabParametros[[#Headers],[FGTS]],tabImpostosNacionais[],2,0)</f>
        <v>0.08</v>
      </c>
      <c r="W15" s="235">
        <f>VLOOKUP(tabParametros[[#Headers],[RAT Ajustado]],tabImpostosNacionais[],2,0)</f>
        <v>0.04</v>
      </c>
      <c r="X15" s="235">
        <f>VLOOKUP(tabParametros[[#Headers],[SEBRAE]],tabImpostosNacionais[],2,0)</f>
        <v>6.0000000000000001E-3</v>
      </c>
      <c r="Y15" s="235">
        <f t="shared" si="0"/>
        <v>8.3333333333333329E-2</v>
      </c>
      <c r="Z15" s="251">
        <f t="shared" si="1"/>
        <v>0.1111111111111111</v>
      </c>
      <c r="AA15" s="234">
        <f>VLOOKUP(tabParametros[[#This Row],[Comarca]],tabComarca[],5,0)</f>
        <v>6.4</v>
      </c>
      <c r="AB15" s="234">
        <f>IFERROR(VLOOKUP(tabParametros[[#This Row],[CCT DA CATEGORIA]],tabSindicatos[],6,0),0)</f>
        <v>29.15</v>
      </c>
      <c r="AC15" s="234">
        <f>IFERROR(VLOOKUP(tabParametros[[#This Row],[CCT DA CATEGORIA]],tabSindicatos[],7,0),0)</f>
        <v>0</v>
      </c>
      <c r="AD15" s="234" cm="1">
        <f t="array" ref="AD15">_xlfn.LET(
_xlpm.COMARCA, TRIM(UPPER(SUBSTITUTE(SUBSTITUTE(SUBSTITUTE(SUBSTITUTE(SUBSTITUTE(SUBSTITUTE(SUBSTITUTE(SUBSTITUTE(SUBSTITUTE(SUBSTITUTE(SUBSTITUTE(SUBSTITUTE(SUBSTITUTE(SUBSTITUTE(SUBSTITUTE(SUBSTITUTE(SUBSTITUTE(SUBSTITUTE(SUBSTITUTE(SUBSTITUTE(SUBSTITUTE(SUBSTITUTE(SUBSTITUTE(SUBSTITUTE(SUBSTITUTE(SUBSTITUTE(tabParametros[[#This Row],[Comarca]],"á","a"),"ã","a"),"â","a"),"é","e"),"ê","e"),"í","i"),"ó","o"),"õ","o"),"ô","o"),"ú","u"),"ç","c"),"Á","a"),"Ã","a"),"Â","a"),"É","e"),"Ê","e"),"Í","i"),"Ó","o"),"Õ","o"),"Ô","o"),"Ú","u"),"Ç","c"),"/MG","")," e ",", ")," ",""),".",""))),
_xlpm.MATRIZ_COMARCA, TRIM(UPPER(SUBSTITUTE(SUBSTITUTE(SUBSTITUTE(SUBSTITUTE(SUBSTITUTE(SUBSTITUTE(SUBSTITUTE(SUBSTITUTE(SUBSTITUTE(SUBSTITUTE(SUBSTITUTE(SUBSTITUTE(SUBSTITUTE(SUBSTITUTE(SUBSTITUTE(SUBSTITUTE(SUBSTITUTE(SUBSTITUTE(SUBSTITUTE(SUBSTITUTE(SUBSTITUTE(SUBSTITUTE(SUBSTITUTE(SUBSTITUTE(SUBSTITUTE(SUBSTITUTE(tabSindicatos[COMARCAS PAF],"á","a"),"ã","a"),"â","a"),"é","e"),"ê","e"),"í","i"),"ó","o"),"õ","o"),"ô","o"),"ú","u"),"ç","c"),"Á","a"),"Ã","a"),"Â","a"),"É","e"),"Ê","e"),"Í","i"),"Ó","o"),"Õ","o"),"Ô","o"),"Ú","u"),"Ç","c"),"/MG","")," e ",", ")," ",""),".",""))),
IFERROR(IF(_xlfn.XLOOKUP(tabParametros[[#This Row],[CCT DA CATEGORIA]],tabSindicatos[SINDICATOS],tabSindicatos[COMARCAS PAF])="",
VLOOKUP(tabParametros[[#This Row],[CCT DA CATEGORIA]],tabSindicatos[],8,0),
IF(ISNUMBER(SEARCH(TRIM(_xlpm.COMARCA),_xlfn.XLOOKUP(tabParametros[[#This Row],[CCT DA CATEGORIA]],tabSindicatos[SINDICATOS],_xlpm.MATRIZ_COMARCA),1)),VLOOKUP(tabParametros[[#This Row],[CCT DA CATEGORIA]],tabSindicatos[],8,0),0)
),0)
)</f>
        <v>0</v>
      </c>
      <c r="AE15" s="234">
        <f>IFERROR(VLOOKUP(tabParametros[[#This Row],[CCT DA CATEGORIA]],tabSindicatos[],9,0),0)</f>
        <v>0</v>
      </c>
      <c r="AF15" s="234">
        <f>IFERROR(VLOOKUP(tabParametros[[#This Row],[CCT DA CATEGORIA]],tabSindicatos[],10,0),0)</f>
        <v>0</v>
      </c>
      <c r="AG15" s="236">
        <f>VLOOKUP(tabParametros[[#Headers],[Seguro de Vida]],tabOutrosCustos[],3,0)</f>
        <v>3.36</v>
      </c>
      <c r="AH15" s="236">
        <f>IF(ISNUMBER(SEARCH("MOTORISTA",tabParametros[[#This Row],[Função]],1)),VLOOKUP("MOTORISTAS",tabDiarias[],2,0),IF(tabParametros[[#This Row],[Comarca]]="Belo Horizonte",VLOOKUP("LIMPEZA",tabDiarias[],2,0),0))</f>
        <v>0</v>
      </c>
      <c r="AI15" s="235">
        <f t="shared" si="2"/>
        <v>7.011766975308642E-3</v>
      </c>
      <c r="AJ15" s="237">
        <f>tabParametros[[#This Row],[FGTS]]*tabParametros[[#This Row],[Aviso Prévio Indenizado (API) e Reflexo do Aviso Prévio Indenizado]]</f>
        <v>5.609413580246914E-4</v>
      </c>
      <c r="AK15" s="237">
        <f>tabParametros[[#This Row],[FGTS]]*tabParametros[[#This Row],[Aviso Prévio Indenizado (API) e Reflexo do Aviso Prévio Indenizado]]*40%</f>
        <v>2.2437654320987658E-4</v>
      </c>
      <c r="AL15" s="235">
        <f t="shared" si="3"/>
        <v>3.5000000000000005E-3</v>
      </c>
      <c r="AM15" s="235">
        <f>tabParametros[[#This Row],[Aviso Prévio Trabalhado - APT]]*SUM(tabParametros[[#This Row],[INSS]:[SEBRAE]])</f>
        <v>1.3230000000000004E-3</v>
      </c>
      <c r="AN15" s="235">
        <f t="shared" si="4"/>
        <v>3.0577777777777773E-2</v>
      </c>
      <c r="AO15" s="235">
        <f t="shared" si="5"/>
        <v>8.3333333333333339E-4</v>
      </c>
      <c r="AP15" s="235">
        <f t="shared" si="6"/>
        <v>8.4444444444444437E-3</v>
      </c>
      <c r="AQ15" s="235">
        <f t="shared" si="7"/>
        <v>2.0277777777777777E-3</v>
      </c>
      <c r="AR15" s="235">
        <f t="shared" si="8"/>
        <v>1.7083333333333333E-4</v>
      </c>
      <c r="AS15" s="235">
        <f t="shared" si="9"/>
        <v>2.0833333333333335E-4</v>
      </c>
      <c r="AT15" s="235">
        <f t="shared" si="10"/>
        <v>1.2962962962962963E-3</v>
      </c>
      <c r="AU15" s="237">
        <f>SUM(tabParametros[[#This Row],[Ausência por Doença]:[Férias, Adicional de Férias e 13º  com empregada em gozo de Licença Maternidade]])*SUM(tabParametros[[#This Row],[INSS]:[SEBRAE]])</f>
        <v>4.5918250000000008E-3</v>
      </c>
      <c r="AV15" s="234">
        <f>IF(tabParametros[[#This Row],[Função]]="Porteiro - 220 h",SUM(tabParametros[[#This Row],[Salário Base]:[Adicional de Acúmulo de função]])/220*20*1.5,IF(ISNUMBER(SEARCH("12 x 36",tabParametros[[#This Row],[Função]],1)),SUM(tabParametros[[#This Row],[Salário Base]:[Adicional de Acúmulo de função]])/210*15.5*1.5,0))</f>
        <v>0</v>
      </c>
      <c r="AW15" s="234">
        <f>IF(tabParametros[[#This Row],[Vagas contratadas]]&gt;0,(SUM(tabParametros[[#This Row],[Salário Base]:[Adicional de Acúmulo de função]])*30%+SUM(tabParametros[[#This Row],[Vale - Alimentação]:[Seguro de Vida]]))/tabParametros[[#This Row],[Vagas contratadas]]*tabParametros[[#This Row],[Vagas suspensas]],0)</f>
        <v>0</v>
      </c>
      <c r="AX15" s="234">
        <f>SUMIF(tabUniformes[Cargo],tabParametros[[#This Row],[Função]],tabUniformes[Valor unit. Mensal])</f>
        <v>62.806666666666665</v>
      </c>
      <c r="AY15" s="281">
        <f>IF(ISNUMBER(SEARCH("AUXILIAR DE LIMPEZA - 75 H",tabParametros[[#This Row],[Função]],1)),
SUMIF(tabLimpGeral[TIPO],"Material",tabLimpGeral[VALOR UNITÁRIO P/ HORA (R$)])*75,
IF(ISNUMBER(SEARCH("AUXILIAR DE LIMPEZA - 110 H",tabParametros[[#This Row],[Função]],1)),
SUMIF(tabLimpGeral[TIPO],"Material",tabLimpGeral[VALOR UNITÁRIO P/ HORA (R$)])*110,
IF(ISNUMBER(SEARCH("AUXILIAR DE LIMPEZA - 150 H",tabParametros[[#This Row],[Função]],1)),
SUMIF(tabLimpGeral[TIPO],"Material",tabLimpGeral[VALOR UNITÁRIO P/ HORA (R$)])*150,
IF(ISNUMBER(SEARCH("AUXILIAR DE LIMPEZA - 220 H",tabParametros[[#This Row],[Função]],1)),
SUMIF(tabLimpGeral[TIPO],"Material",tabLimpGeral[VALOR UNITÁRIO P/ HORA (R$)])*220,
IF(ISNUMBER(SEARCH("AUXILIAR DE LIMPEZA - 12 x 36",tabParametros[[#This Row],[Função]],1)),
SUMIF(tabLimpGeral[TIPO],"Material",tabLimpGeral[VALOR UNITÁRIO P/ HORA (R$)])*220,
IF(ISNUMBER(SEARCH("Limpador de vidros - 220 h",tabParametros[[#This Row],[Função]],1)),
SUMIF(tabVidros[TIPO],"Material",tabVidros[VALOR UNITÁRIO P/ POSTO (R$)]),
0))))))</f>
        <v>17.759106479291944</v>
      </c>
      <c r="AZ15" s="281">
        <f>IF(ISNUMBER(SEARCH("AUXILIAR DE LIMPEZA - 75 H",tabParametros[[#This Row],[Função]],1)),
SUMIF(tabLimpGeral[TIPO],"Equipamento",tabLimpGeral[VALOR UNITÁRIO P/ HORA (R$)])*75,
IF(ISNUMBER(SEARCH("AUXILIAR DE LIMPEZA - 110 H",tabParametros[[#This Row],[Função]],1)),
SUMIF(tabLimpGeral[TIPO],"Equipamento",tabLimpGeral[VALOR UNITÁRIO P/ HORA (R$)])*110,
IF(ISNUMBER(SEARCH("AUXILIAR DE LIMPEZA - 150 H",tabParametros[[#This Row],[Função]],1)),
SUMIF(tabLimpGeral[TIPO],"Equipamento",tabLimpGeral[VALOR UNITÁRIO P/ HORA (R$)])*150,
IF(ISNUMBER(SEARCH("AUXILIAR DE LIMPEZA - 220 H",tabParametros[[#This Row],[Função]],1)),
SUMIF(tabLimpGeral[TIPO],"Equipamento",tabLimpGeral[VALOR UNITÁRIO P/ HORA (R$)])*220,
IF(ISNUMBER(SEARCH("AUXILIAR DE LIMPEZA - 12 x 36",tabParametros[[#This Row],[Função]],1)),
SUMIF(tabLimpGeral[TIPO],"Equipamento",tabLimpGeral[VALOR UNITÁRIO P/ HORA (R$)])*220,
IF(ISNUMBER(SEARCH("Limpador de vidros - 220 h",tabParametros[[#This Row],[Função]],1)),
SUMIF(tabVidros[TIPO],"Equipamento",tabVidros[VALOR UNITÁRIO P/ POSTO (R$)]),
0))))))</f>
        <v>32.264696957412788</v>
      </c>
      <c r="BA15" s="281">
        <f>IF(ISNUMBER(SEARCH("AUXILIAR DE LIMPEZA - 75 H",tabParametros[[#This Row],[Função]],1)),
SUMIF(tabLimpGeral[TIPO],"Produto",tabLimpGeral[VALOR UNITÁRIO P/ HORA (R$)])*75,
IF(ISNUMBER(SEARCH("AUXILIAR DE LIMPEZA - 110 H",tabParametros[[#This Row],[Função]],1)),
SUMIF(tabLimpGeral[TIPO],"Produto",tabLimpGeral[VALOR UNITÁRIO P/ HORA (R$)])*110,
IF(ISNUMBER(SEARCH("AUXILIAR DE LIMPEZA - 150 H",tabParametros[[#This Row],[Função]],1)),
SUMIF(tabLimpGeral[TIPO],"Produto",tabLimpGeral[VALOR UNITÁRIO P/ HORA (R$)])*150,
IF(ISNUMBER(SEARCH("AUXILIAR DE LIMPEZA - 220 H",tabParametros[[#This Row],[Função]],1)),
SUMIF(tabLimpGeral[TIPO],"Produto",tabLimpGeral[VALOR UNITÁRIO P/ HORA (R$)])*220,
IF(ISNUMBER(SEARCH("AUXILIAR DE LIMPEZA - 12 x 36",tabParametros[[#This Row],[Função]],1)),
SUMIF(tabLimpGeral[TIPO],"Produto",tabLimpGeral[VALOR UNITÁRIO P/ HORA (R$)])*220,
IF(ISNUMBER(SEARCH("Limpador de vidros - 220 h",tabParametros[[#This Row],[Função]],1)),
SUMIF(tabVidros[TIPO],"Produto",tabVidros[VALOR UNITÁRIO P/ POSTO (R$)]),
0))))))</f>
        <v>345.13576638965827</v>
      </c>
      <c r="BB15" s="281">
        <v>0</v>
      </c>
      <c r="BC15" s="236">
        <f>VLOOKUP(tabParametros[[#Headers],[Custos Indiretos]],tabOutrosCustos[],3,0)</f>
        <v>189.64880140242613</v>
      </c>
      <c r="BD15" s="236">
        <f>VLOOKUP(tabParametros[[#Headers],[Lucro]],tabOutrosCustos[],3,0)</f>
        <v>159.30499317803796</v>
      </c>
      <c r="BE15" s="235">
        <f>VLOOKUP(tabParametros[[#Headers],[COFINS]],tabImpostosNacionais[],2,0)</f>
        <v>7.5999999999999998E-2</v>
      </c>
      <c r="BF15" s="235">
        <f>VLOOKUP(tabParametros[[#Headers],[PIS]],tabImpostosNacionais[],2,0)</f>
        <v>1.6500000000000001E-2</v>
      </c>
      <c r="BG15" s="235">
        <f>VLOOKUP(tabParametros[[#This Row],[Comarca]],tabComarca[],4,0)</f>
        <v>0.03</v>
      </c>
      <c r="BH15" s="238">
        <f>IFERROR(VLOOKUP(tabParametros[[#This Row],[CCT DA CATEGORIA]],tabSindicatos[],11,0),"")</f>
        <v>45658</v>
      </c>
      <c r="BI15" s="289" t="str">
        <f>IFERROR(VLOOKUP(tabParametros[[#This Row],[CCT DA CATEGORIA]],tabSindicatos[],12,0),"")</f>
        <v>-</v>
      </c>
      <c r="BJ15" s="293" t="str">
        <f>IFERROR(VLOOKUP(tabParametros[[#This Row],[CCT DA CATEGORIA]],tabSindicatos[],13,0),"")</f>
        <v>-</v>
      </c>
    </row>
    <row r="16" spans="1:67" x14ac:dyDescent="0.25">
      <c r="A16" s="233" t="s">
        <v>1362</v>
      </c>
      <c r="B16" s="198" t="s">
        <v>22</v>
      </c>
      <c r="C16" s="198" t="s">
        <v>1244</v>
      </c>
      <c r="D16" s="198" t="str">
        <f>VLOOKUP(tabParametros[[#This Row],[Código do Posto]],tabPostos[],4,0)</f>
        <v>Fethemg Interior</v>
      </c>
      <c r="E16" s="289" t="str">
        <f>VLOOKUP(tabParametros[[#This Row],[Código do Posto]],tabPostos[],5,0)</f>
        <v>Limpeza</v>
      </c>
      <c r="F16" s="289" t="str">
        <f>VLOOKUP(tabParametros[[#This Row],[Código do Posto]],tabPostos[],6,0)</f>
        <v>PGJ</v>
      </c>
      <c r="G16" s="289">
        <f>VLOOKUP(tabParametros[[#This Row],[Código do Posto]],tabPostos[],7,0)</f>
        <v>1</v>
      </c>
      <c r="H16" s="289">
        <f>VLOOKUP(tabParametros[[#This Row],[Código do Posto]],tabPostos[],8,0)</f>
        <v>0</v>
      </c>
      <c r="I16" s="234">
        <f>VLOOKUP(tabParametros[[#This Row],[Código do Posto]],tabPostos[],9,0)</f>
        <v>798.14</v>
      </c>
      <c r="J16" s="234">
        <f>IF(ISNUMBER(SEARCH("Eletricista",tabParametros[[#This Row],[Função]],1)),0.3*tabParametros[[#This Row],[Salário Base]],0)</f>
        <v>0</v>
      </c>
      <c r="K16" s="234">
        <f>IF(OR(ISNUMBER(SEARCH("Bombeiro Hidraulico",tabParametros[[#This Row],[Função]],1)),ISNUMBER(SEARCH("Jardineiro",tabParametros[[#This Row],[Função]],1)),ISNUMBER(SEARCH("Lavador de Veiculos",tabParametros[[#This Row],[Função]],1)),ISNUMBER(SEARCH("Marceneiro",tabParametros[[#This Row],[Função]],1)),ISNUMBER(SEARCH("Pintor",tabParametros[[#This Row],[Função]],1))),0.2*'BASE GERAL'!$R$4,0)</f>
        <v>0</v>
      </c>
      <c r="L16" s="234">
        <f>IF(AND(ISNUMBER(SEARCH("Noturno",tabParametros[[#This Row],[Função]],1)),tabParametros[[#This Row],[Comarca]]&lt;&gt;"Juiz de Fora"),tabParametros[[#This Row],[Salário Base]]/210*0.39*7*15.5,IF(ISNUMBER(SEARCH("Noturno",tabParametros[[#This Row],[Função]],1)),tabParametros[[#This Row],[Salário Base]]/210*0.2*8*15.5,0))</f>
        <v>0</v>
      </c>
      <c r="M16" s="234">
        <f>IF(ISNUMBER(SEARCH("Motorista II",tabParametros[[#This Row],[Função]],1)),0.25*tabParametros[[#This Row],[Salário Base]],0)</f>
        <v>0</v>
      </c>
      <c r="N16" s="250">
        <v>0</v>
      </c>
      <c r="O16" s="234">
        <f>IF(ISNUMBER(SEARCH("TECNOLOGIA DA INFORMACAO",tabParametros[[#This Row],[Função]],1)),0.0201*tabParametros[[#This Row],[Salário Base]],0)</f>
        <v>0</v>
      </c>
      <c r="P16" s="250" cm="1">
        <f t="array" ref="P16">_xlfn.IFS(
ISNUMBER(SEARCH("Auxiliar de Limpeza - 75 h",tabParametros[[#This Row],[Função]],1)),tabParametros[[#This Row],[Salário Base]]/75*0.75*30*0.12,
ISNUMBER(SEARCH("Auxiliar de Limpeza - 110 h",tabParametros[[#This Row],[Função]],1)),tabParametros[[#This Row],[Salário Base]]/110*1*30*0.12,
ISNUMBER(SEARCH("Auxiliar de Limpeza - 150 h",tabParametros[[#This Row],[Função]],1)),tabParametros[[#This Row],[Salário Base]]/150*1.5*30*0.12,
ISNUMBER(SEARCH("Auxiliar de Limpeza - 220 h",tabParametros[[#This Row],[Função]],1)),tabParametros[[#This Row],[Salário Base]]/220*2*30*0.12,
ISNUMBER(SEARCH("Auxiliar de Limpeza - 12 x 36",tabParametros[[#This Row],[Função]],1)),tabParametros[[#This Row],[Salário Base]]/220*2*30*0.12,
ISNUMBER(SEARCH("Auxiliar de Limpeza - 55 h",tabParametros[[#This Row],[Função]],1))=FALSE,0)</f>
        <v>26.120945454545453</v>
      </c>
      <c r="Q16" s="235">
        <f>VLOOKUP(tabParametros[[#Headers],[INSS]],tabImpostosNacionais[],2,0)</f>
        <v>0.2</v>
      </c>
      <c r="R16" s="235">
        <f>VLOOKUP(tabParametros[[#Headers],[SESI OU SESC]],tabImpostosNacionais[],2,0)</f>
        <v>1.4999999999999999E-2</v>
      </c>
      <c r="S16" s="235">
        <f>VLOOKUP(tabParametros[[#Headers],[SENAI OU SENAC]],tabImpostosNacionais[],2,0)</f>
        <v>0.01</v>
      </c>
      <c r="T16" s="235">
        <f>VLOOKUP(tabParametros[[#Headers],[INCRA]],tabImpostosNacionais[],2,0)</f>
        <v>2E-3</v>
      </c>
      <c r="U16" s="235">
        <f>VLOOKUP(tabParametros[[#Headers],[Salário Educação]],tabImpostosNacionais[],2,0)</f>
        <v>2.5000000000000001E-2</v>
      </c>
      <c r="V16" s="235">
        <f>VLOOKUP(tabParametros[[#Headers],[FGTS]],tabImpostosNacionais[],2,0)</f>
        <v>0.08</v>
      </c>
      <c r="W16" s="235">
        <f>VLOOKUP(tabParametros[[#Headers],[RAT Ajustado]],tabImpostosNacionais[],2,0)</f>
        <v>0.04</v>
      </c>
      <c r="X16" s="235">
        <f>VLOOKUP(tabParametros[[#Headers],[SEBRAE]],tabImpostosNacionais[],2,0)</f>
        <v>6.0000000000000001E-3</v>
      </c>
      <c r="Y16" s="235">
        <f t="shared" si="0"/>
        <v>8.3333333333333329E-2</v>
      </c>
      <c r="Z16" s="251">
        <f t="shared" si="1"/>
        <v>0.1111111111111111</v>
      </c>
      <c r="AA16" s="234">
        <f>VLOOKUP(tabParametros[[#This Row],[Comarca]],tabComarca[],5,0)</f>
        <v>6.4</v>
      </c>
      <c r="AB16" s="234">
        <f>IFERROR(VLOOKUP(tabParametros[[#This Row],[CCT DA CATEGORIA]],tabSindicatos[],6,0),0)</f>
        <v>29.15</v>
      </c>
      <c r="AC16" s="234">
        <f>IFERROR(VLOOKUP(tabParametros[[#This Row],[CCT DA CATEGORIA]],tabSindicatos[],7,0),0)</f>
        <v>0</v>
      </c>
      <c r="AD16" s="234" cm="1">
        <f t="array" ref="AD16">_xlfn.LET(
_xlpm.COMARCA, TRIM(UPPER(SUBSTITUTE(SUBSTITUTE(SUBSTITUTE(SUBSTITUTE(SUBSTITUTE(SUBSTITUTE(SUBSTITUTE(SUBSTITUTE(SUBSTITUTE(SUBSTITUTE(SUBSTITUTE(SUBSTITUTE(SUBSTITUTE(SUBSTITUTE(SUBSTITUTE(SUBSTITUTE(SUBSTITUTE(SUBSTITUTE(SUBSTITUTE(SUBSTITUTE(SUBSTITUTE(SUBSTITUTE(SUBSTITUTE(SUBSTITUTE(SUBSTITUTE(SUBSTITUTE(tabParametros[[#This Row],[Comarca]],"á","a"),"ã","a"),"â","a"),"é","e"),"ê","e"),"í","i"),"ó","o"),"õ","o"),"ô","o"),"ú","u"),"ç","c"),"Á","a"),"Ã","a"),"Â","a"),"É","e"),"Ê","e"),"Í","i"),"Ó","o"),"Õ","o"),"Ô","o"),"Ú","u"),"Ç","c"),"/MG","")," e ",", ")," ",""),".",""))),
_xlpm.MATRIZ_COMARCA, TRIM(UPPER(SUBSTITUTE(SUBSTITUTE(SUBSTITUTE(SUBSTITUTE(SUBSTITUTE(SUBSTITUTE(SUBSTITUTE(SUBSTITUTE(SUBSTITUTE(SUBSTITUTE(SUBSTITUTE(SUBSTITUTE(SUBSTITUTE(SUBSTITUTE(SUBSTITUTE(SUBSTITUTE(SUBSTITUTE(SUBSTITUTE(SUBSTITUTE(SUBSTITUTE(SUBSTITUTE(SUBSTITUTE(SUBSTITUTE(SUBSTITUTE(SUBSTITUTE(SUBSTITUTE(tabSindicatos[COMARCAS PAF],"á","a"),"ã","a"),"â","a"),"é","e"),"ê","e"),"í","i"),"ó","o"),"õ","o"),"ô","o"),"ú","u"),"ç","c"),"Á","a"),"Ã","a"),"Â","a"),"É","e"),"Ê","e"),"Í","i"),"Ó","o"),"Õ","o"),"Ô","o"),"Ú","u"),"Ç","c"),"/MG","")," e ",", ")," ",""),".",""))),
IFERROR(IF(_xlfn.XLOOKUP(tabParametros[[#This Row],[CCT DA CATEGORIA]],tabSindicatos[SINDICATOS],tabSindicatos[COMARCAS PAF])="",
VLOOKUP(tabParametros[[#This Row],[CCT DA CATEGORIA]],tabSindicatos[],8,0),
IF(ISNUMBER(SEARCH(TRIM(_xlpm.COMARCA),_xlfn.XLOOKUP(tabParametros[[#This Row],[CCT DA CATEGORIA]],tabSindicatos[SINDICATOS],_xlpm.MATRIZ_COMARCA),1)),VLOOKUP(tabParametros[[#This Row],[CCT DA CATEGORIA]],tabSindicatos[],8,0),0)
),0)
)</f>
        <v>0</v>
      </c>
      <c r="AE16" s="234">
        <f>IFERROR(VLOOKUP(tabParametros[[#This Row],[CCT DA CATEGORIA]],tabSindicatos[],9,0),0)</f>
        <v>15.07</v>
      </c>
      <c r="AF16" s="234">
        <f>IFERROR(VLOOKUP(tabParametros[[#This Row],[CCT DA CATEGORIA]],tabSindicatos[],10,0),0)</f>
        <v>0</v>
      </c>
      <c r="AG16" s="236">
        <f>VLOOKUP(tabParametros[[#Headers],[Seguro de Vida]],tabOutrosCustos[],3,0)</f>
        <v>3.36</v>
      </c>
      <c r="AH16" s="236">
        <f>IF(ISNUMBER(SEARCH("MOTORISTA",tabParametros[[#This Row],[Função]],1)),VLOOKUP("MOTORISTAS",tabDiarias[],2,0),IF(tabParametros[[#This Row],[Comarca]]="Belo Horizonte",VLOOKUP("LIMPEZA",tabDiarias[],2,0),0))</f>
        <v>0</v>
      </c>
      <c r="AI16" s="235">
        <f t="shared" si="2"/>
        <v>7.011766975308642E-3</v>
      </c>
      <c r="AJ16" s="237">
        <f>tabParametros[[#This Row],[FGTS]]*tabParametros[[#This Row],[Aviso Prévio Indenizado (API) e Reflexo do Aviso Prévio Indenizado]]</f>
        <v>5.609413580246914E-4</v>
      </c>
      <c r="AK16" s="237">
        <f>tabParametros[[#This Row],[FGTS]]*tabParametros[[#This Row],[Aviso Prévio Indenizado (API) e Reflexo do Aviso Prévio Indenizado]]*40%</f>
        <v>2.2437654320987658E-4</v>
      </c>
      <c r="AL16" s="235">
        <f t="shared" si="3"/>
        <v>3.5000000000000005E-3</v>
      </c>
      <c r="AM16" s="235">
        <f>tabParametros[[#This Row],[Aviso Prévio Trabalhado - APT]]*SUM(tabParametros[[#This Row],[INSS]:[SEBRAE]])</f>
        <v>1.3230000000000004E-3</v>
      </c>
      <c r="AN16" s="235">
        <f t="shared" si="4"/>
        <v>3.0577777777777773E-2</v>
      </c>
      <c r="AO16" s="235">
        <f t="shared" si="5"/>
        <v>8.3333333333333339E-4</v>
      </c>
      <c r="AP16" s="235">
        <f t="shared" si="6"/>
        <v>8.4444444444444437E-3</v>
      </c>
      <c r="AQ16" s="235">
        <f t="shared" si="7"/>
        <v>2.0277777777777777E-3</v>
      </c>
      <c r="AR16" s="235">
        <f t="shared" si="8"/>
        <v>1.7083333333333333E-4</v>
      </c>
      <c r="AS16" s="235">
        <f t="shared" si="9"/>
        <v>2.0833333333333335E-4</v>
      </c>
      <c r="AT16" s="235">
        <f t="shared" si="10"/>
        <v>1.2962962962962963E-3</v>
      </c>
      <c r="AU16" s="237">
        <f>SUM(tabParametros[[#This Row],[Ausência por Doença]:[Férias, Adicional de Férias e 13º  com empregada em gozo de Licença Maternidade]])*SUM(tabParametros[[#This Row],[INSS]:[SEBRAE]])</f>
        <v>4.5918250000000008E-3</v>
      </c>
      <c r="AV16" s="234">
        <f>IF(tabParametros[[#This Row],[Função]]="Porteiro - 220 h",SUM(tabParametros[[#This Row],[Salário Base]:[Adicional de Acúmulo de função]])/220*20*1.5,IF(ISNUMBER(SEARCH("12 x 36",tabParametros[[#This Row],[Função]],1)),SUM(tabParametros[[#This Row],[Salário Base]:[Adicional de Acúmulo de função]])/210*15.5*1.5,0))</f>
        <v>0</v>
      </c>
      <c r="AW16" s="234">
        <f>IF(tabParametros[[#This Row],[Vagas contratadas]]&gt;0,(SUM(tabParametros[[#This Row],[Salário Base]:[Adicional de Acúmulo de função]])*30%+SUM(tabParametros[[#This Row],[Vale - Alimentação]:[Seguro de Vida]]))/tabParametros[[#This Row],[Vagas contratadas]]*tabParametros[[#This Row],[Vagas suspensas]],0)</f>
        <v>0</v>
      </c>
      <c r="AX16" s="234">
        <f>SUMIF(tabUniformes[Cargo],tabParametros[[#This Row],[Função]],tabUniformes[Valor unit. Mensal])</f>
        <v>62.806666666666665</v>
      </c>
      <c r="AY16" s="281">
        <f>IF(ISNUMBER(SEARCH("AUXILIAR DE LIMPEZA - 75 H",tabParametros[[#This Row],[Função]],1)),
SUMIF(tabLimpGeral[TIPO],"Material",tabLimpGeral[VALOR UNITÁRIO P/ HORA (R$)])*75,
IF(ISNUMBER(SEARCH("AUXILIAR DE LIMPEZA - 110 H",tabParametros[[#This Row],[Função]],1)),
SUMIF(tabLimpGeral[TIPO],"Material",tabLimpGeral[VALOR UNITÁRIO P/ HORA (R$)])*110,
IF(ISNUMBER(SEARCH("AUXILIAR DE LIMPEZA - 150 H",tabParametros[[#This Row],[Função]],1)),
SUMIF(tabLimpGeral[TIPO],"Material",tabLimpGeral[VALOR UNITÁRIO P/ HORA (R$)])*150,
IF(ISNUMBER(SEARCH("AUXILIAR DE LIMPEZA - 220 H",tabParametros[[#This Row],[Função]],1)),
SUMIF(tabLimpGeral[TIPO],"Material",tabLimpGeral[VALOR UNITÁRIO P/ HORA (R$)])*220,
IF(ISNUMBER(SEARCH("AUXILIAR DE LIMPEZA - 12 x 36",tabParametros[[#This Row],[Função]],1)),
SUMIF(tabLimpGeral[TIPO],"Material",tabLimpGeral[VALOR UNITÁRIO P/ HORA (R$)])*220,
IF(ISNUMBER(SEARCH("Limpador de vidros - 220 h",tabParametros[[#This Row],[Função]],1)),
SUMIF(tabVidros[TIPO],"Material",tabVidros[VALOR UNITÁRIO P/ POSTO (R$)]),
0))))))</f>
        <v>17.759106479291944</v>
      </c>
      <c r="AZ16" s="281">
        <f>IF(ISNUMBER(SEARCH("AUXILIAR DE LIMPEZA - 75 H",tabParametros[[#This Row],[Função]],1)),
SUMIF(tabLimpGeral[TIPO],"Equipamento",tabLimpGeral[VALOR UNITÁRIO P/ HORA (R$)])*75,
IF(ISNUMBER(SEARCH("AUXILIAR DE LIMPEZA - 110 H",tabParametros[[#This Row],[Função]],1)),
SUMIF(tabLimpGeral[TIPO],"Equipamento",tabLimpGeral[VALOR UNITÁRIO P/ HORA (R$)])*110,
IF(ISNUMBER(SEARCH("AUXILIAR DE LIMPEZA - 150 H",tabParametros[[#This Row],[Função]],1)),
SUMIF(tabLimpGeral[TIPO],"Equipamento",tabLimpGeral[VALOR UNITÁRIO P/ HORA (R$)])*150,
IF(ISNUMBER(SEARCH("AUXILIAR DE LIMPEZA - 220 H",tabParametros[[#This Row],[Função]],1)),
SUMIF(tabLimpGeral[TIPO],"Equipamento",tabLimpGeral[VALOR UNITÁRIO P/ HORA (R$)])*220,
IF(ISNUMBER(SEARCH("AUXILIAR DE LIMPEZA - 12 x 36",tabParametros[[#This Row],[Função]],1)),
SUMIF(tabLimpGeral[TIPO],"Equipamento",tabLimpGeral[VALOR UNITÁRIO P/ HORA (R$)])*220,
IF(ISNUMBER(SEARCH("Limpador de vidros - 220 h",tabParametros[[#This Row],[Função]],1)),
SUMIF(tabVidros[TIPO],"Equipamento",tabVidros[VALOR UNITÁRIO P/ POSTO (R$)]),
0))))))</f>
        <v>32.264696957412788</v>
      </c>
      <c r="BA16" s="281">
        <f>IF(ISNUMBER(SEARCH("AUXILIAR DE LIMPEZA - 75 H",tabParametros[[#This Row],[Função]],1)),
SUMIF(tabLimpGeral[TIPO],"Produto",tabLimpGeral[VALOR UNITÁRIO P/ HORA (R$)])*75,
IF(ISNUMBER(SEARCH("AUXILIAR DE LIMPEZA - 110 H",tabParametros[[#This Row],[Função]],1)),
SUMIF(tabLimpGeral[TIPO],"Produto",tabLimpGeral[VALOR UNITÁRIO P/ HORA (R$)])*110,
IF(ISNUMBER(SEARCH("AUXILIAR DE LIMPEZA - 150 H",tabParametros[[#This Row],[Função]],1)),
SUMIF(tabLimpGeral[TIPO],"Produto",tabLimpGeral[VALOR UNITÁRIO P/ HORA (R$)])*150,
IF(ISNUMBER(SEARCH("AUXILIAR DE LIMPEZA - 220 H",tabParametros[[#This Row],[Função]],1)),
SUMIF(tabLimpGeral[TIPO],"Produto",tabLimpGeral[VALOR UNITÁRIO P/ HORA (R$)])*220,
IF(ISNUMBER(SEARCH("AUXILIAR DE LIMPEZA - 12 x 36",tabParametros[[#This Row],[Função]],1)),
SUMIF(tabLimpGeral[TIPO],"Produto",tabLimpGeral[VALOR UNITÁRIO P/ HORA (R$)])*220,
IF(ISNUMBER(SEARCH("Limpador de vidros - 220 h",tabParametros[[#This Row],[Função]],1)),
SUMIF(tabVidros[TIPO],"Produto",tabVidros[VALOR UNITÁRIO P/ POSTO (R$)]),
0))))))</f>
        <v>345.13576638965827</v>
      </c>
      <c r="BB16" s="281">
        <v>0</v>
      </c>
      <c r="BC16" s="236">
        <f>VLOOKUP(tabParametros[[#Headers],[Custos Indiretos]],tabOutrosCustos[],3,0)</f>
        <v>189.64880140242613</v>
      </c>
      <c r="BD16" s="236">
        <f>VLOOKUP(tabParametros[[#Headers],[Lucro]],tabOutrosCustos[],3,0)</f>
        <v>159.30499317803796</v>
      </c>
      <c r="BE16" s="235">
        <f>VLOOKUP(tabParametros[[#Headers],[COFINS]],tabImpostosNacionais[],2,0)</f>
        <v>7.5999999999999998E-2</v>
      </c>
      <c r="BF16" s="235">
        <f>VLOOKUP(tabParametros[[#Headers],[PIS]],tabImpostosNacionais[],2,0)</f>
        <v>1.6500000000000001E-2</v>
      </c>
      <c r="BG16" s="235">
        <f>VLOOKUP(tabParametros[[#This Row],[Comarca]],tabComarca[],4,0)</f>
        <v>0.03</v>
      </c>
      <c r="BH16" s="238">
        <f>IFERROR(VLOOKUP(tabParametros[[#This Row],[CCT DA CATEGORIA]],tabSindicatos[],11,0),"")</f>
        <v>45658</v>
      </c>
      <c r="BI16" s="289" t="str">
        <f>IFERROR(VLOOKUP(tabParametros[[#This Row],[CCT DA CATEGORIA]],tabSindicatos[],12,0),"")</f>
        <v>-</v>
      </c>
      <c r="BJ16" s="293" t="str">
        <f>IFERROR(VLOOKUP(tabParametros[[#This Row],[CCT DA CATEGORIA]],tabSindicatos[],13,0),"")</f>
        <v>-</v>
      </c>
    </row>
    <row r="17" spans="1:62" x14ac:dyDescent="0.25">
      <c r="A17" s="233" t="s">
        <v>1363</v>
      </c>
      <c r="B17" s="198" t="s">
        <v>23</v>
      </c>
      <c r="C17" s="198" t="s">
        <v>1245</v>
      </c>
      <c r="D17" s="198" t="str">
        <f>VLOOKUP(tabParametros[[#This Row],[Código do Posto]],tabPostos[],4,0)</f>
        <v>Alto Paranaiba</v>
      </c>
      <c r="E17" s="289" t="str">
        <f>VLOOKUP(tabParametros[[#This Row],[Código do Posto]],tabPostos[],5,0)</f>
        <v>Limpeza</v>
      </c>
      <c r="F17" s="289" t="str">
        <f>VLOOKUP(tabParametros[[#This Row],[Código do Posto]],tabPostos[],6,0)</f>
        <v>PGJ</v>
      </c>
      <c r="G17" s="289">
        <f>VLOOKUP(tabParametros[[#This Row],[Código do Posto]],tabPostos[],7,0)</f>
        <v>2</v>
      </c>
      <c r="H17" s="289">
        <f>VLOOKUP(tabParametros[[#This Row],[Código do Posto]],tabPostos[],8,0)</f>
        <v>0</v>
      </c>
      <c r="I17" s="234">
        <f>VLOOKUP(tabParametros[[#This Row],[Código do Posto]],tabPostos[],9,0)</f>
        <v>1596.28</v>
      </c>
      <c r="J17" s="234">
        <f>IF(ISNUMBER(SEARCH("Eletricista",tabParametros[[#This Row],[Função]],1)),0.3*tabParametros[[#This Row],[Salário Base]],0)</f>
        <v>0</v>
      </c>
      <c r="K17" s="234">
        <f>IF(OR(ISNUMBER(SEARCH("Bombeiro Hidraulico",tabParametros[[#This Row],[Função]],1)),ISNUMBER(SEARCH("Jardineiro",tabParametros[[#This Row],[Função]],1)),ISNUMBER(SEARCH("Lavador de Veiculos",tabParametros[[#This Row],[Função]],1)),ISNUMBER(SEARCH("Marceneiro",tabParametros[[#This Row],[Função]],1)),ISNUMBER(SEARCH("Pintor",tabParametros[[#This Row],[Função]],1))),0.2*'BASE GERAL'!$R$4,0)</f>
        <v>0</v>
      </c>
      <c r="L17" s="234">
        <f>IF(AND(ISNUMBER(SEARCH("Noturno",tabParametros[[#This Row],[Função]],1)),tabParametros[[#This Row],[Comarca]]&lt;&gt;"Juiz de Fora"),tabParametros[[#This Row],[Salário Base]]/210*0.39*7*15.5,IF(ISNUMBER(SEARCH("Noturno",tabParametros[[#This Row],[Função]],1)),tabParametros[[#This Row],[Salário Base]]/210*0.2*8*15.5,0))</f>
        <v>0</v>
      </c>
      <c r="M17" s="234">
        <f>IF(ISNUMBER(SEARCH("Motorista II",tabParametros[[#This Row],[Função]],1)),0.25*tabParametros[[#This Row],[Salário Base]],0)</f>
        <v>0</v>
      </c>
      <c r="N17" s="250">
        <v>0</v>
      </c>
      <c r="O17" s="234">
        <f>IF(ISNUMBER(SEARCH("TECNOLOGIA DA INFORMACAO",tabParametros[[#This Row],[Função]],1)),0.0201*tabParametros[[#This Row],[Salário Base]],0)</f>
        <v>0</v>
      </c>
      <c r="P17" s="250" cm="1">
        <f t="array" ref="P17">_xlfn.IFS(
ISNUMBER(SEARCH("Auxiliar de Limpeza - 75 h",tabParametros[[#This Row],[Função]],1)),tabParametros[[#This Row],[Salário Base]]/75*0.75*30*0.12,
ISNUMBER(SEARCH("Auxiliar de Limpeza - 110 h",tabParametros[[#This Row],[Função]],1)),tabParametros[[#This Row],[Salário Base]]/110*1*30*0.12,
ISNUMBER(SEARCH("Auxiliar de Limpeza - 150 h",tabParametros[[#This Row],[Função]],1)),tabParametros[[#This Row],[Salário Base]]/150*1.5*30*0.12,
ISNUMBER(SEARCH("Auxiliar de Limpeza - 220 h",tabParametros[[#This Row],[Função]],1)),tabParametros[[#This Row],[Salário Base]]/220*2*30*0.12,
ISNUMBER(SEARCH("Auxiliar de Limpeza - 12 x 36",tabParametros[[#This Row],[Função]],1)),tabParametros[[#This Row],[Salário Base]]/220*2*30*0.12,
ISNUMBER(SEARCH("Auxiliar de Limpeza - 55 h",tabParametros[[#This Row],[Função]],1))=FALSE,0)</f>
        <v>52.241890909090905</v>
      </c>
      <c r="Q17" s="235">
        <f>VLOOKUP(tabParametros[[#Headers],[INSS]],tabImpostosNacionais[],2,0)</f>
        <v>0.2</v>
      </c>
      <c r="R17" s="235">
        <f>VLOOKUP(tabParametros[[#Headers],[SESI OU SESC]],tabImpostosNacionais[],2,0)</f>
        <v>1.4999999999999999E-2</v>
      </c>
      <c r="S17" s="235">
        <f>VLOOKUP(tabParametros[[#Headers],[SENAI OU SENAC]],tabImpostosNacionais[],2,0)</f>
        <v>0.01</v>
      </c>
      <c r="T17" s="235">
        <f>VLOOKUP(tabParametros[[#Headers],[INCRA]],tabImpostosNacionais[],2,0)</f>
        <v>2E-3</v>
      </c>
      <c r="U17" s="235">
        <f>VLOOKUP(tabParametros[[#Headers],[Salário Educação]],tabImpostosNacionais[],2,0)</f>
        <v>2.5000000000000001E-2</v>
      </c>
      <c r="V17" s="235">
        <f>VLOOKUP(tabParametros[[#Headers],[FGTS]],tabImpostosNacionais[],2,0)</f>
        <v>0.08</v>
      </c>
      <c r="W17" s="235">
        <f>VLOOKUP(tabParametros[[#Headers],[RAT Ajustado]],tabImpostosNacionais[],2,0)</f>
        <v>0.04</v>
      </c>
      <c r="X17" s="235">
        <f>VLOOKUP(tabParametros[[#Headers],[SEBRAE]],tabImpostosNacionais[],2,0)</f>
        <v>6.0000000000000001E-3</v>
      </c>
      <c r="Y17" s="235">
        <f t="shared" si="0"/>
        <v>8.3333333333333329E-2</v>
      </c>
      <c r="Z17" s="251">
        <f t="shared" si="1"/>
        <v>0.1111111111111111</v>
      </c>
      <c r="AA17" s="234">
        <f>VLOOKUP(tabParametros[[#This Row],[Comarca]],tabComarca[],5,0)</f>
        <v>6.4</v>
      </c>
      <c r="AB17" s="234">
        <f>IFERROR(VLOOKUP(tabParametros[[#This Row],[CCT DA CATEGORIA]],tabSindicatos[],6,0),0)</f>
        <v>0</v>
      </c>
      <c r="AC17" s="234">
        <f>IFERROR(VLOOKUP(tabParametros[[#This Row],[CCT DA CATEGORIA]],tabSindicatos[],7,0),0)</f>
        <v>387.79</v>
      </c>
      <c r="AD17" s="234" cm="1">
        <f t="array" ref="AD17">_xlfn.LET(
_xlpm.COMARCA, TRIM(UPPER(SUBSTITUTE(SUBSTITUTE(SUBSTITUTE(SUBSTITUTE(SUBSTITUTE(SUBSTITUTE(SUBSTITUTE(SUBSTITUTE(SUBSTITUTE(SUBSTITUTE(SUBSTITUTE(SUBSTITUTE(SUBSTITUTE(SUBSTITUTE(SUBSTITUTE(SUBSTITUTE(SUBSTITUTE(SUBSTITUTE(SUBSTITUTE(SUBSTITUTE(SUBSTITUTE(SUBSTITUTE(SUBSTITUTE(SUBSTITUTE(SUBSTITUTE(SUBSTITUTE(tabParametros[[#This Row],[Comarca]],"á","a"),"ã","a"),"â","a"),"é","e"),"ê","e"),"í","i"),"ó","o"),"õ","o"),"ô","o"),"ú","u"),"ç","c"),"Á","a"),"Ã","a"),"Â","a"),"É","e"),"Ê","e"),"Í","i"),"Ó","o"),"Õ","o"),"Ô","o"),"Ú","u"),"Ç","c"),"/MG","")," e ",", ")," ",""),".",""))),
_xlpm.MATRIZ_COMARCA, TRIM(UPPER(SUBSTITUTE(SUBSTITUTE(SUBSTITUTE(SUBSTITUTE(SUBSTITUTE(SUBSTITUTE(SUBSTITUTE(SUBSTITUTE(SUBSTITUTE(SUBSTITUTE(SUBSTITUTE(SUBSTITUTE(SUBSTITUTE(SUBSTITUTE(SUBSTITUTE(SUBSTITUTE(SUBSTITUTE(SUBSTITUTE(SUBSTITUTE(SUBSTITUTE(SUBSTITUTE(SUBSTITUTE(SUBSTITUTE(SUBSTITUTE(SUBSTITUTE(SUBSTITUTE(tabSindicatos[COMARCAS PAF],"á","a"),"ã","a"),"â","a"),"é","e"),"ê","e"),"í","i"),"ó","o"),"õ","o"),"ô","o"),"ú","u"),"ç","c"),"Á","a"),"Ã","a"),"Â","a"),"É","e"),"Ê","e"),"Í","i"),"Ó","o"),"Õ","o"),"Ô","o"),"Ú","u"),"Ç","c"),"/MG","")," e ",", ")," ",""),".",""))),
IFERROR(IF(_xlfn.XLOOKUP(tabParametros[[#This Row],[CCT DA CATEGORIA]],tabSindicatos[SINDICATOS],tabSindicatos[COMARCAS PAF])="",
VLOOKUP(tabParametros[[#This Row],[CCT DA CATEGORIA]],tabSindicatos[],8,0),
IF(ISNUMBER(SEARCH(TRIM(_xlpm.COMARCA),_xlfn.XLOOKUP(tabParametros[[#This Row],[CCT DA CATEGORIA]],tabSindicatos[SINDICATOS],_xlpm.MATRIZ_COMARCA),1)),VLOOKUP(tabParametros[[#This Row],[CCT DA CATEGORIA]],tabSindicatos[],8,0),0)
),0)
)</f>
        <v>42.97</v>
      </c>
      <c r="AE17" s="234">
        <f>IFERROR(VLOOKUP(tabParametros[[#This Row],[CCT DA CATEGORIA]],tabSindicatos[],9,0),0)</f>
        <v>0</v>
      </c>
      <c r="AF17" s="234">
        <f>IFERROR(VLOOKUP(tabParametros[[#This Row],[CCT DA CATEGORIA]],tabSindicatos[],10,0),0)</f>
        <v>0</v>
      </c>
      <c r="AG17" s="236">
        <f>VLOOKUP(tabParametros[[#Headers],[Seguro de Vida]],tabOutrosCustos[],3,0)</f>
        <v>3.36</v>
      </c>
      <c r="AH17" s="236">
        <f>IF(ISNUMBER(SEARCH("MOTORISTA",tabParametros[[#This Row],[Função]],1)),VLOOKUP("MOTORISTAS",tabDiarias[],2,0),IF(tabParametros[[#This Row],[Comarca]]="Belo Horizonte",VLOOKUP("LIMPEZA",tabDiarias[],2,0),0))</f>
        <v>0</v>
      </c>
      <c r="AI17" s="235">
        <f t="shared" si="2"/>
        <v>7.011766975308642E-3</v>
      </c>
      <c r="AJ17" s="237">
        <f>tabParametros[[#This Row],[FGTS]]*tabParametros[[#This Row],[Aviso Prévio Indenizado (API) e Reflexo do Aviso Prévio Indenizado]]</f>
        <v>5.609413580246914E-4</v>
      </c>
      <c r="AK17" s="237">
        <f>tabParametros[[#This Row],[FGTS]]*tabParametros[[#This Row],[Aviso Prévio Indenizado (API) e Reflexo do Aviso Prévio Indenizado]]*40%</f>
        <v>2.2437654320987658E-4</v>
      </c>
      <c r="AL17" s="235">
        <f t="shared" si="3"/>
        <v>3.5000000000000005E-3</v>
      </c>
      <c r="AM17" s="235">
        <f>tabParametros[[#This Row],[Aviso Prévio Trabalhado - APT]]*SUM(tabParametros[[#This Row],[INSS]:[SEBRAE]])</f>
        <v>1.3230000000000004E-3</v>
      </c>
      <c r="AN17" s="235">
        <f t="shared" si="4"/>
        <v>3.0577777777777773E-2</v>
      </c>
      <c r="AO17" s="235">
        <f t="shared" si="5"/>
        <v>8.3333333333333339E-4</v>
      </c>
      <c r="AP17" s="235">
        <f t="shared" si="6"/>
        <v>8.4444444444444437E-3</v>
      </c>
      <c r="AQ17" s="235">
        <f t="shared" si="7"/>
        <v>2.0277777777777777E-3</v>
      </c>
      <c r="AR17" s="235">
        <f t="shared" si="8"/>
        <v>1.7083333333333333E-4</v>
      </c>
      <c r="AS17" s="235">
        <f t="shared" si="9"/>
        <v>2.0833333333333335E-4</v>
      </c>
      <c r="AT17" s="235">
        <f t="shared" si="10"/>
        <v>1.2962962962962963E-3</v>
      </c>
      <c r="AU17" s="237">
        <f>SUM(tabParametros[[#This Row],[Ausência por Doença]:[Férias, Adicional de Férias e 13º  com empregada em gozo de Licença Maternidade]])*SUM(tabParametros[[#This Row],[INSS]:[SEBRAE]])</f>
        <v>4.5918250000000008E-3</v>
      </c>
      <c r="AV17" s="234">
        <f>IF(tabParametros[[#This Row],[Função]]="Porteiro - 220 h",SUM(tabParametros[[#This Row],[Salário Base]:[Adicional de Acúmulo de função]])/220*20*1.5,IF(ISNUMBER(SEARCH("12 x 36",tabParametros[[#This Row],[Função]],1)),SUM(tabParametros[[#This Row],[Salário Base]:[Adicional de Acúmulo de função]])/210*15.5*1.5,0))</f>
        <v>0</v>
      </c>
      <c r="AW17" s="234">
        <f>IF(tabParametros[[#This Row],[Vagas contratadas]]&gt;0,(SUM(tabParametros[[#This Row],[Salário Base]:[Adicional de Acúmulo de função]])*30%+SUM(tabParametros[[#This Row],[Vale - Alimentação]:[Seguro de Vida]]))/tabParametros[[#This Row],[Vagas contratadas]]*tabParametros[[#This Row],[Vagas suspensas]],0)</f>
        <v>0</v>
      </c>
      <c r="AX17" s="234">
        <f>SUMIF(tabUniformes[Cargo],tabParametros[[#This Row],[Função]],tabUniformes[Valor unit. Mensal])</f>
        <v>100.80916666666666</v>
      </c>
      <c r="AY17" s="281">
        <f>IF(ISNUMBER(SEARCH("AUXILIAR DE LIMPEZA - 75 H",tabParametros[[#This Row],[Função]],1)),
SUMIF(tabLimpGeral[TIPO],"Material",tabLimpGeral[VALOR UNITÁRIO P/ HORA (R$)])*75,
IF(ISNUMBER(SEARCH("AUXILIAR DE LIMPEZA - 110 H",tabParametros[[#This Row],[Função]],1)),
SUMIF(tabLimpGeral[TIPO],"Material",tabLimpGeral[VALOR UNITÁRIO P/ HORA (R$)])*110,
IF(ISNUMBER(SEARCH("AUXILIAR DE LIMPEZA - 150 H",tabParametros[[#This Row],[Função]],1)),
SUMIF(tabLimpGeral[TIPO],"Material",tabLimpGeral[VALOR UNITÁRIO P/ HORA (R$)])*150,
IF(ISNUMBER(SEARCH("AUXILIAR DE LIMPEZA - 220 H",tabParametros[[#This Row],[Função]],1)),
SUMIF(tabLimpGeral[TIPO],"Material",tabLimpGeral[VALOR UNITÁRIO P/ HORA (R$)])*220,
IF(ISNUMBER(SEARCH("AUXILIAR DE LIMPEZA - 12 x 36",tabParametros[[#This Row],[Função]],1)),
SUMIF(tabLimpGeral[TIPO],"Material",tabLimpGeral[VALOR UNITÁRIO P/ HORA (R$)])*220,
IF(ISNUMBER(SEARCH("Limpador de vidros - 220 h",tabParametros[[#This Row],[Função]],1)),
SUMIF(tabVidros[TIPO],"Material",tabVidros[VALOR UNITÁRIO P/ POSTO (R$)]),
0))))))</f>
        <v>35.518212958583888</v>
      </c>
      <c r="AZ17" s="281">
        <f>IF(ISNUMBER(SEARCH("AUXILIAR DE LIMPEZA - 75 H",tabParametros[[#This Row],[Função]],1)),
SUMIF(tabLimpGeral[TIPO],"Equipamento",tabLimpGeral[VALOR UNITÁRIO P/ HORA (R$)])*75,
IF(ISNUMBER(SEARCH("AUXILIAR DE LIMPEZA - 110 H",tabParametros[[#This Row],[Função]],1)),
SUMIF(tabLimpGeral[TIPO],"Equipamento",tabLimpGeral[VALOR UNITÁRIO P/ HORA (R$)])*110,
IF(ISNUMBER(SEARCH("AUXILIAR DE LIMPEZA - 150 H",tabParametros[[#This Row],[Função]],1)),
SUMIF(tabLimpGeral[TIPO],"Equipamento",tabLimpGeral[VALOR UNITÁRIO P/ HORA (R$)])*150,
IF(ISNUMBER(SEARCH("AUXILIAR DE LIMPEZA - 220 H",tabParametros[[#This Row],[Função]],1)),
SUMIF(tabLimpGeral[TIPO],"Equipamento",tabLimpGeral[VALOR UNITÁRIO P/ HORA (R$)])*220,
IF(ISNUMBER(SEARCH("AUXILIAR DE LIMPEZA - 12 x 36",tabParametros[[#This Row],[Função]],1)),
SUMIF(tabLimpGeral[TIPO],"Equipamento",tabLimpGeral[VALOR UNITÁRIO P/ HORA (R$)])*220,
IF(ISNUMBER(SEARCH("Limpador de vidros - 220 h",tabParametros[[#This Row],[Função]],1)),
SUMIF(tabVidros[TIPO],"Equipamento",tabVidros[VALOR UNITÁRIO P/ POSTO (R$)]),
0))))))</f>
        <v>64.529393914825576</v>
      </c>
      <c r="BA17" s="281">
        <f>IF(ISNUMBER(SEARCH("AUXILIAR DE LIMPEZA - 75 H",tabParametros[[#This Row],[Função]],1)),
SUMIF(tabLimpGeral[TIPO],"Produto",tabLimpGeral[VALOR UNITÁRIO P/ HORA (R$)])*75,
IF(ISNUMBER(SEARCH("AUXILIAR DE LIMPEZA - 110 H",tabParametros[[#This Row],[Função]],1)),
SUMIF(tabLimpGeral[TIPO],"Produto",tabLimpGeral[VALOR UNITÁRIO P/ HORA (R$)])*110,
IF(ISNUMBER(SEARCH("AUXILIAR DE LIMPEZA - 150 H",tabParametros[[#This Row],[Função]],1)),
SUMIF(tabLimpGeral[TIPO],"Produto",tabLimpGeral[VALOR UNITÁRIO P/ HORA (R$)])*150,
IF(ISNUMBER(SEARCH("AUXILIAR DE LIMPEZA - 220 H",tabParametros[[#This Row],[Função]],1)),
SUMIF(tabLimpGeral[TIPO],"Produto",tabLimpGeral[VALOR UNITÁRIO P/ HORA (R$)])*220,
IF(ISNUMBER(SEARCH("AUXILIAR DE LIMPEZA - 12 x 36",tabParametros[[#This Row],[Função]],1)),
SUMIF(tabLimpGeral[TIPO],"Produto",tabLimpGeral[VALOR UNITÁRIO P/ HORA (R$)])*220,
IF(ISNUMBER(SEARCH("Limpador de vidros - 220 h",tabParametros[[#This Row],[Função]],1)),
SUMIF(tabVidros[TIPO],"Produto",tabVidros[VALOR UNITÁRIO P/ POSTO (R$)]),
0))))))</f>
        <v>690.27153277931654</v>
      </c>
      <c r="BB17" s="281">
        <v>0</v>
      </c>
      <c r="BC17" s="236">
        <f>VLOOKUP(tabParametros[[#Headers],[Custos Indiretos]],tabOutrosCustos[],3,0)</f>
        <v>189.64880140242613</v>
      </c>
      <c r="BD17" s="236">
        <f>VLOOKUP(tabParametros[[#Headers],[Lucro]],tabOutrosCustos[],3,0)</f>
        <v>159.30499317803796</v>
      </c>
      <c r="BE17" s="235">
        <f>VLOOKUP(tabParametros[[#Headers],[COFINS]],tabImpostosNacionais[],2,0)</f>
        <v>7.5999999999999998E-2</v>
      </c>
      <c r="BF17" s="235">
        <f>VLOOKUP(tabParametros[[#Headers],[PIS]],tabImpostosNacionais[],2,0)</f>
        <v>1.6500000000000001E-2</v>
      </c>
      <c r="BG17" s="235">
        <f>VLOOKUP(tabParametros[[#This Row],[Comarca]],tabComarca[],4,0)</f>
        <v>0.03</v>
      </c>
      <c r="BH17" s="238">
        <f>IFERROR(VLOOKUP(tabParametros[[#This Row],[CCT DA CATEGORIA]],tabSindicatos[],11,0),"")</f>
        <v>45658</v>
      </c>
      <c r="BI17" s="289" t="str">
        <f>IFERROR(VLOOKUP(tabParametros[[#This Row],[CCT DA CATEGORIA]],tabSindicatos[],12,0),"")</f>
        <v>-</v>
      </c>
      <c r="BJ17" s="293" t="str">
        <f>IFERROR(VLOOKUP(tabParametros[[#This Row],[CCT DA CATEGORIA]],tabSindicatos[],13,0),"")</f>
        <v>-</v>
      </c>
    </row>
    <row r="18" spans="1:62" x14ac:dyDescent="0.25">
      <c r="A18" s="233" t="s">
        <v>1364</v>
      </c>
      <c r="B18" s="198" t="s">
        <v>24</v>
      </c>
      <c r="C18" s="198" t="s">
        <v>1245</v>
      </c>
      <c r="D18" s="198" t="str">
        <f>VLOOKUP(tabParametros[[#This Row],[Código do Posto]],tabPostos[],4,0)</f>
        <v>Araxa</v>
      </c>
      <c r="E18" s="289" t="str">
        <f>VLOOKUP(tabParametros[[#This Row],[Código do Posto]],tabPostos[],5,0)</f>
        <v>Limpeza</v>
      </c>
      <c r="F18" s="289" t="str">
        <f>VLOOKUP(tabParametros[[#This Row],[Código do Posto]],tabPostos[],6,0)</f>
        <v>PGJ</v>
      </c>
      <c r="G18" s="289">
        <f>VLOOKUP(tabParametros[[#This Row],[Código do Posto]],tabPostos[],7,0)</f>
        <v>2</v>
      </c>
      <c r="H18" s="289">
        <f>VLOOKUP(tabParametros[[#This Row],[Código do Posto]],tabPostos[],8,0)</f>
        <v>0</v>
      </c>
      <c r="I18" s="234">
        <f>VLOOKUP(tabParametros[[#This Row],[Código do Posto]],tabPostos[],9,0)</f>
        <v>1649.12</v>
      </c>
      <c r="J18" s="234">
        <f>IF(ISNUMBER(SEARCH("Eletricista",tabParametros[[#This Row],[Função]],1)),0.3*tabParametros[[#This Row],[Salário Base]],0)</f>
        <v>0</v>
      </c>
      <c r="K18" s="234">
        <f>IF(OR(ISNUMBER(SEARCH("Bombeiro Hidraulico",tabParametros[[#This Row],[Função]],1)),ISNUMBER(SEARCH("Jardineiro",tabParametros[[#This Row],[Função]],1)),ISNUMBER(SEARCH("Lavador de Veiculos",tabParametros[[#This Row],[Função]],1)),ISNUMBER(SEARCH("Marceneiro",tabParametros[[#This Row],[Função]],1)),ISNUMBER(SEARCH("Pintor",tabParametros[[#This Row],[Função]],1))),0.2*'BASE GERAL'!$R$4,0)</f>
        <v>0</v>
      </c>
      <c r="L18" s="234">
        <f>IF(AND(ISNUMBER(SEARCH("Noturno",tabParametros[[#This Row],[Função]],1)),tabParametros[[#This Row],[Comarca]]&lt;&gt;"Juiz de Fora"),tabParametros[[#This Row],[Salário Base]]/210*0.39*7*15.5,IF(ISNUMBER(SEARCH("Noturno",tabParametros[[#This Row],[Função]],1)),tabParametros[[#This Row],[Salário Base]]/210*0.2*8*15.5,0))</f>
        <v>0</v>
      </c>
      <c r="M18" s="234">
        <f>IF(ISNUMBER(SEARCH("Motorista II",tabParametros[[#This Row],[Função]],1)),0.25*tabParametros[[#This Row],[Salário Base]],0)</f>
        <v>0</v>
      </c>
      <c r="N18" s="250">
        <v>0</v>
      </c>
      <c r="O18" s="234">
        <f>IF(ISNUMBER(SEARCH("TECNOLOGIA DA INFORMACAO",tabParametros[[#This Row],[Função]],1)),0.0201*tabParametros[[#This Row],[Salário Base]],0)</f>
        <v>0</v>
      </c>
      <c r="P18" s="250" cm="1">
        <f t="array" ref="P18">_xlfn.IFS(
ISNUMBER(SEARCH("Auxiliar de Limpeza - 75 h",tabParametros[[#This Row],[Função]],1)),tabParametros[[#This Row],[Salário Base]]/75*0.75*30*0.12,
ISNUMBER(SEARCH("Auxiliar de Limpeza - 110 h",tabParametros[[#This Row],[Função]],1)),tabParametros[[#This Row],[Salário Base]]/110*1*30*0.12,
ISNUMBER(SEARCH("Auxiliar de Limpeza - 150 h",tabParametros[[#This Row],[Função]],1)),tabParametros[[#This Row],[Salário Base]]/150*1.5*30*0.12,
ISNUMBER(SEARCH("Auxiliar de Limpeza - 220 h",tabParametros[[#This Row],[Função]],1)),tabParametros[[#This Row],[Salário Base]]/220*2*30*0.12,
ISNUMBER(SEARCH("Auxiliar de Limpeza - 12 x 36",tabParametros[[#This Row],[Função]],1)),tabParametros[[#This Row],[Salário Base]]/220*2*30*0.12,
ISNUMBER(SEARCH("Auxiliar de Limpeza - 55 h",tabParametros[[#This Row],[Função]],1))=FALSE,0)</f>
        <v>53.971199999999996</v>
      </c>
      <c r="Q18" s="235">
        <f>VLOOKUP(tabParametros[[#Headers],[INSS]],tabImpostosNacionais[],2,0)</f>
        <v>0.2</v>
      </c>
      <c r="R18" s="235">
        <f>VLOOKUP(tabParametros[[#Headers],[SESI OU SESC]],tabImpostosNacionais[],2,0)</f>
        <v>1.4999999999999999E-2</v>
      </c>
      <c r="S18" s="235">
        <f>VLOOKUP(tabParametros[[#Headers],[SENAI OU SENAC]],tabImpostosNacionais[],2,0)</f>
        <v>0.01</v>
      </c>
      <c r="T18" s="235">
        <f>VLOOKUP(tabParametros[[#Headers],[INCRA]],tabImpostosNacionais[],2,0)</f>
        <v>2E-3</v>
      </c>
      <c r="U18" s="235">
        <f>VLOOKUP(tabParametros[[#Headers],[Salário Educação]],tabImpostosNacionais[],2,0)</f>
        <v>2.5000000000000001E-2</v>
      </c>
      <c r="V18" s="235">
        <f>VLOOKUP(tabParametros[[#Headers],[FGTS]],tabImpostosNacionais[],2,0)</f>
        <v>0.08</v>
      </c>
      <c r="W18" s="235">
        <f>VLOOKUP(tabParametros[[#Headers],[RAT Ajustado]],tabImpostosNacionais[],2,0)</f>
        <v>0.04</v>
      </c>
      <c r="X18" s="235">
        <f>VLOOKUP(tabParametros[[#Headers],[SEBRAE]],tabImpostosNacionais[],2,0)</f>
        <v>6.0000000000000001E-3</v>
      </c>
      <c r="Y18" s="235">
        <f t="shared" si="0"/>
        <v>8.3333333333333329E-2</v>
      </c>
      <c r="Z18" s="251">
        <f t="shared" si="1"/>
        <v>0.1111111111111111</v>
      </c>
      <c r="AA18" s="234">
        <f>VLOOKUP(tabParametros[[#This Row],[Comarca]],tabComarca[],5,0)</f>
        <v>6.4</v>
      </c>
      <c r="AB18" s="234">
        <f>IFERROR(VLOOKUP(tabParametros[[#This Row],[CCT DA CATEGORIA]],tabSindicatos[],6,0),0)</f>
        <v>29.15</v>
      </c>
      <c r="AC18" s="234">
        <f>IFERROR(VLOOKUP(tabParametros[[#This Row],[CCT DA CATEGORIA]],tabSindicatos[],7,0),0)</f>
        <v>0</v>
      </c>
      <c r="AD18" s="234" cm="1">
        <f t="array" ref="AD18">_xlfn.LET(
_xlpm.COMARCA, TRIM(UPPER(SUBSTITUTE(SUBSTITUTE(SUBSTITUTE(SUBSTITUTE(SUBSTITUTE(SUBSTITUTE(SUBSTITUTE(SUBSTITUTE(SUBSTITUTE(SUBSTITUTE(SUBSTITUTE(SUBSTITUTE(SUBSTITUTE(SUBSTITUTE(SUBSTITUTE(SUBSTITUTE(SUBSTITUTE(SUBSTITUTE(SUBSTITUTE(SUBSTITUTE(SUBSTITUTE(SUBSTITUTE(SUBSTITUTE(SUBSTITUTE(SUBSTITUTE(SUBSTITUTE(tabParametros[[#This Row],[Comarca]],"á","a"),"ã","a"),"â","a"),"é","e"),"ê","e"),"í","i"),"ó","o"),"õ","o"),"ô","o"),"ú","u"),"ç","c"),"Á","a"),"Ã","a"),"Â","a"),"É","e"),"Ê","e"),"Í","i"),"Ó","o"),"Õ","o"),"Ô","o"),"Ú","u"),"Ç","c"),"/MG","")," e ",", ")," ",""),".",""))),
_xlpm.MATRIZ_COMARCA, TRIM(UPPER(SUBSTITUTE(SUBSTITUTE(SUBSTITUTE(SUBSTITUTE(SUBSTITUTE(SUBSTITUTE(SUBSTITUTE(SUBSTITUTE(SUBSTITUTE(SUBSTITUTE(SUBSTITUTE(SUBSTITUTE(SUBSTITUTE(SUBSTITUTE(SUBSTITUTE(SUBSTITUTE(SUBSTITUTE(SUBSTITUTE(SUBSTITUTE(SUBSTITUTE(SUBSTITUTE(SUBSTITUTE(SUBSTITUTE(SUBSTITUTE(SUBSTITUTE(SUBSTITUTE(tabSindicatos[COMARCAS PAF],"á","a"),"ã","a"),"â","a"),"é","e"),"ê","e"),"í","i"),"ó","o"),"õ","o"),"ô","o"),"ú","u"),"ç","c"),"Á","a"),"Ã","a"),"Â","a"),"É","e"),"Ê","e"),"Í","i"),"Ó","o"),"Õ","o"),"Ô","o"),"Ú","u"),"Ç","c"),"/MG","")," e ",", ")," ",""),".",""))),
IFERROR(IF(_xlfn.XLOOKUP(tabParametros[[#This Row],[CCT DA CATEGORIA]],tabSindicatos[SINDICATOS],tabSindicatos[COMARCAS PAF])="",
VLOOKUP(tabParametros[[#This Row],[CCT DA CATEGORIA]],tabSindicatos[],8,0),
IF(ISNUMBER(SEARCH(TRIM(_xlpm.COMARCA),_xlfn.XLOOKUP(tabParametros[[#This Row],[CCT DA CATEGORIA]],tabSindicatos[SINDICATOS],_xlpm.MATRIZ_COMARCA),1)),VLOOKUP(tabParametros[[#This Row],[CCT DA CATEGORIA]],tabSindicatos[],8,0),0)
),0)
)</f>
        <v>58.96</v>
      </c>
      <c r="AE18" s="234">
        <f>IFERROR(VLOOKUP(tabParametros[[#This Row],[CCT DA CATEGORIA]],tabSindicatos[],9,0),0)</f>
        <v>0</v>
      </c>
      <c r="AF18" s="234">
        <f>IFERROR(VLOOKUP(tabParametros[[#This Row],[CCT DA CATEGORIA]],tabSindicatos[],10,0),0)</f>
        <v>0</v>
      </c>
      <c r="AG18" s="236">
        <f>VLOOKUP(tabParametros[[#Headers],[Seguro de Vida]],tabOutrosCustos[],3,0)</f>
        <v>3.36</v>
      </c>
      <c r="AH18" s="236">
        <f>IF(ISNUMBER(SEARCH("MOTORISTA",tabParametros[[#This Row],[Função]],1)),VLOOKUP("MOTORISTAS",tabDiarias[],2,0),IF(tabParametros[[#This Row],[Comarca]]="Belo Horizonte",VLOOKUP("LIMPEZA",tabDiarias[],2,0),0))</f>
        <v>0</v>
      </c>
      <c r="AI18" s="235">
        <f t="shared" si="2"/>
        <v>7.011766975308642E-3</v>
      </c>
      <c r="AJ18" s="237">
        <f>tabParametros[[#This Row],[FGTS]]*tabParametros[[#This Row],[Aviso Prévio Indenizado (API) e Reflexo do Aviso Prévio Indenizado]]</f>
        <v>5.609413580246914E-4</v>
      </c>
      <c r="AK18" s="237">
        <f>tabParametros[[#This Row],[FGTS]]*tabParametros[[#This Row],[Aviso Prévio Indenizado (API) e Reflexo do Aviso Prévio Indenizado]]*40%</f>
        <v>2.2437654320987658E-4</v>
      </c>
      <c r="AL18" s="235">
        <f t="shared" si="3"/>
        <v>3.5000000000000005E-3</v>
      </c>
      <c r="AM18" s="235">
        <f>tabParametros[[#This Row],[Aviso Prévio Trabalhado - APT]]*SUM(tabParametros[[#This Row],[INSS]:[SEBRAE]])</f>
        <v>1.3230000000000004E-3</v>
      </c>
      <c r="AN18" s="235">
        <f t="shared" si="4"/>
        <v>3.0577777777777773E-2</v>
      </c>
      <c r="AO18" s="235">
        <f t="shared" si="5"/>
        <v>8.3333333333333339E-4</v>
      </c>
      <c r="AP18" s="235">
        <f t="shared" si="6"/>
        <v>8.4444444444444437E-3</v>
      </c>
      <c r="AQ18" s="235">
        <f t="shared" si="7"/>
        <v>2.0277777777777777E-3</v>
      </c>
      <c r="AR18" s="235">
        <f t="shared" si="8"/>
        <v>1.7083333333333333E-4</v>
      </c>
      <c r="AS18" s="235">
        <f t="shared" si="9"/>
        <v>2.0833333333333335E-4</v>
      </c>
      <c r="AT18" s="235">
        <f t="shared" si="10"/>
        <v>1.2962962962962963E-3</v>
      </c>
      <c r="AU18" s="237">
        <f>SUM(tabParametros[[#This Row],[Ausência por Doença]:[Férias, Adicional de Férias e 13º  com empregada em gozo de Licença Maternidade]])*SUM(tabParametros[[#This Row],[INSS]:[SEBRAE]])</f>
        <v>4.5918250000000008E-3</v>
      </c>
      <c r="AV18" s="234">
        <f>IF(tabParametros[[#This Row],[Função]]="Porteiro - 220 h",SUM(tabParametros[[#This Row],[Salário Base]:[Adicional de Acúmulo de função]])/220*20*1.5,IF(ISNUMBER(SEARCH("12 x 36",tabParametros[[#This Row],[Função]],1)),SUM(tabParametros[[#This Row],[Salário Base]:[Adicional de Acúmulo de função]])/210*15.5*1.5,0))</f>
        <v>0</v>
      </c>
      <c r="AW18" s="234">
        <f>IF(tabParametros[[#This Row],[Vagas contratadas]]&gt;0,(SUM(tabParametros[[#This Row],[Salário Base]:[Adicional de Acúmulo de função]])*30%+SUM(tabParametros[[#This Row],[Vale - Alimentação]:[Seguro de Vida]]))/tabParametros[[#This Row],[Vagas contratadas]]*tabParametros[[#This Row],[Vagas suspensas]],0)</f>
        <v>0</v>
      </c>
      <c r="AX18" s="234">
        <f>SUMIF(tabUniformes[Cargo],tabParametros[[#This Row],[Função]],tabUniformes[Valor unit. Mensal])</f>
        <v>100.80916666666666</v>
      </c>
      <c r="AY18" s="281">
        <f>IF(ISNUMBER(SEARCH("AUXILIAR DE LIMPEZA - 75 H",tabParametros[[#This Row],[Função]],1)),
SUMIF(tabLimpGeral[TIPO],"Material",tabLimpGeral[VALOR UNITÁRIO P/ HORA (R$)])*75,
IF(ISNUMBER(SEARCH("AUXILIAR DE LIMPEZA - 110 H",tabParametros[[#This Row],[Função]],1)),
SUMIF(tabLimpGeral[TIPO],"Material",tabLimpGeral[VALOR UNITÁRIO P/ HORA (R$)])*110,
IF(ISNUMBER(SEARCH("AUXILIAR DE LIMPEZA - 150 H",tabParametros[[#This Row],[Função]],1)),
SUMIF(tabLimpGeral[TIPO],"Material",tabLimpGeral[VALOR UNITÁRIO P/ HORA (R$)])*150,
IF(ISNUMBER(SEARCH("AUXILIAR DE LIMPEZA - 220 H",tabParametros[[#This Row],[Função]],1)),
SUMIF(tabLimpGeral[TIPO],"Material",tabLimpGeral[VALOR UNITÁRIO P/ HORA (R$)])*220,
IF(ISNUMBER(SEARCH("AUXILIAR DE LIMPEZA - 12 x 36",tabParametros[[#This Row],[Função]],1)),
SUMIF(tabLimpGeral[TIPO],"Material",tabLimpGeral[VALOR UNITÁRIO P/ HORA (R$)])*220,
IF(ISNUMBER(SEARCH("Limpador de vidros - 220 h",tabParametros[[#This Row],[Função]],1)),
SUMIF(tabVidros[TIPO],"Material",tabVidros[VALOR UNITÁRIO P/ POSTO (R$)]),
0))))))</f>
        <v>35.518212958583888</v>
      </c>
      <c r="AZ18" s="281">
        <f>IF(ISNUMBER(SEARCH("AUXILIAR DE LIMPEZA - 75 H",tabParametros[[#This Row],[Função]],1)),
SUMIF(tabLimpGeral[TIPO],"Equipamento",tabLimpGeral[VALOR UNITÁRIO P/ HORA (R$)])*75,
IF(ISNUMBER(SEARCH("AUXILIAR DE LIMPEZA - 110 H",tabParametros[[#This Row],[Função]],1)),
SUMIF(tabLimpGeral[TIPO],"Equipamento",tabLimpGeral[VALOR UNITÁRIO P/ HORA (R$)])*110,
IF(ISNUMBER(SEARCH("AUXILIAR DE LIMPEZA - 150 H",tabParametros[[#This Row],[Função]],1)),
SUMIF(tabLimpGeral[TIPO],"Equipamento",tabLimpGeral[VALOR UNITÁRIO P/ HORA (R$)])*150,
IF(ISNUMBER(SEARCH("AUXILIAR DE LIMPEZA - 220 H",tabParametros[[#This Row],[Função]],1)),
SUMIF(tabLimpGeral[TIPO],"Equipamento",tabLimpGeral[VALOR UNITÁRIO P/ HORA (R$)])*220,
IF(ISNUMBER(SEARCH("AUXILIAR DE LIMPEZA - 12 x 36",tabParametros[[#This Row],[Função]],1)),
SUMIF(tabLimpGeral[TIPO],"Equipamento",tabLimpGeral[VALOR UNITÁRIO P/ HORA (R$)])*220,
IF(ISNUMBER(SEARCH("Limpador de vidros - 220 h",tabParametros[[#This Row],[Função]],1)),
SUMIF(tabVidros[TIPO],"Equipamento",tabVidros[VALOR UNITÁRIO P/ POSTO (R$)]),
0))))))</f>
        <v>64.529393914825576</v>
      </c>
      <c r="BA18" s="281">
        <f>IF(ISNUMBER(SEARCH("AUXILIAR DE LIMPEZA - 75 H",tabParametros[[#This Row],[Função]],1)),
SUMIF(tabLimpGeral[TIPO],"Produto",tabLimpGeral[VALOR UNITÁRIO P/ HORA (R$)])*75,
IF(ISNUMBER(SEARCH("AUXILIAR DE LIMPEZA - 110 H",tabParametros[[#This Row],[Função]],1)),
SUMIF(tabLimpGeral[TIPO],"Produto",tabLimpGeral[VALOR UNITÁRIO P/ HORA (R$)])*110,
IF(ISNUMBER(SEARCH("AUXILIAR DE LIMPEZA - 150 H",tabParametros[[#This Row],[Função]],1)),
SUMIF(tabLimpGeral[TIPO],"Produto",tabLimpGeral[VALOR UNITÁRIO P/ HORA (R$)])*150,
IF(ISNUMBER(SEARCH("AUXILIAR DE LIMPEZA - 220 H",tabParametros[[#This Row],[Função]],1)),
SUMIF(tabLimpGeral[TIPO],"Produto",tabLimpGeral[VALOR UNITÁRIO P/ HORA (R$)])*220,
IF(ISNUMBER(SEARCH("AUXILIAR DE LIMPEZA - 12 x 36",tabParametros[[#This Row],[Função]],1)),
SUMIF(tabLimpGeral[TIPO],"Produto",tabLimpGeral[VALOR UNITÁRIO P/ HORA (R$)])*220,
IF(ISNUMBER(SEARCH("Limpador de vidros - 220 h",tabParametros[[#This Row],[Função]],1)),
SUMIF(tabVidros[TIPO],"Produto",tabVidros[VALOR UNITÁRIO P/ POSTO (R$)]),
0))))))</f>
        <v>690.27153277931654</v>
      </c>
      <c r="BB18" s="281">
        <v>0</v>
      </c>
      <c r="BC18" s="236">
        <f>VLOOKUP(tabParametros[[#Headers],[Custos Indiretos]],tabOutrosCustos[],3,0)</f>
        <v>189.64880140242613</v>
      </c>
      <c r="BD18" s="236">
        <f>VLOOKUP(tabParametros[[#Headers],[Lucro]],tabOutrosCustos[],3,0)</f>
        <v>159.30499317803796</v>
      </c>
      <c r="BE18" s="235">
        <f>VLOOKUP(tabParametros[[#Headers],[COFINS]],tabImpostosNacionais[],2,0)</f>
        <v>7.5999999999999998E-2</v>
      </c>
      <c r="BF18" s="235">
        <f>VLOOKUP(tabParametros[[#Headers],[PIS]],tabImpostosNacionais[],2,0)</f>
        <v>1.6500000000000001E-2</v>
      </c>
      <c r="BG18" s="235">
        <f>VLOOKUP(tabParametros[[#This Row],[Comarca]],tabComarca[],4,0)</f>
        <v>0.02</v>
      </c>
      <c r="BH18" s="238">
        <f>IFERROR(VLOOKUP(tabParametros[[#This Row],[CCT DA CATEGORIA]],tabSindicatos[],11,0),"")</f>
        <v>45658</v>
      </c>
      <c r="BI18" s="289" t="str">
        <f>IFERROR(VLOOKUP(tabParametros[[#This Row],[CCT DA CATEGORIA]],tabSindicatos[],12,0),"")</f>
        <v>-</v>
      </c>
      <c r="BJ18" s="293" t="str">
        <f>IFERROR(VLOOKUP(tabParametros[[#This Row],[CCT DA CATEGORIA]],tabSindicatos[],13,0),"")</f>
        <v>-</v>
      </c>
    </row>
    <row r="19" spans="1:62" x14ac:dyDescent="0.25">
      <c r="A19" s="233" t="s">
        <v>1365</v>
      </c>
      <c r="B19" s="198" t="s">
        <v>25</v>
      </c>
      <c r="C19" s="198" t="s">
        <v>1247</v>
      </c>
      <c r="D19" s="198" t="str">
        <f>VLOOKUP(tabParametros[[#This Row],[Código do Posto]],tabPostos[],4,0)</f>
        <v>Regiao de Divinopolis</v>
      </c>
      <c r="E19" s="289" t="str">
        <f>VLOOKUP(tabParametros[[#This Row],[Código do Posto]],tabPostos[],5,0)</f>
        <v>Limpeza</v>
      </c>
      <c r="F19" s="289" t="str">
        <f>VLOOKUP(tabParametros[[#This Row],[Código do Posto]],tabPostos[],6,0)</f>
        <v>PGJ</v>
      </c>
      <c r="G19" s="289">
        <f>VLOOKUP(tabParametros[[#This Row],[Código do Posto]],tabPostos[],7,0)</f>
        <v>1</v>
      </c>
      <c r="H19" s="289">
        <f>VLOOKUP(tabParametros[[#This Row],[Código do Posto]],tabPostos[],8,0)</f>
        <v>0</v>
      </c>
      <c r="I19" s="234">
        <f>VLOOKUP(tabParametros[[#This Row],[Código do Posto]],tabPostos[],9,0)</f>
        <v>544.17999999999995</v>
      </c>
      <c r="J19" s="234">
        <f>IF(ISNUMBER(SEARCH("Eletricista",tabParametros[[#This Row],[Função]],1)),0.3*tabParametros[[#This Row],[Salário Base]],0)</f>
        <v>0</v>
      </c>
      <c r="K19" s="234">
        <f>IF(OR(ISNUMBER(SEARCH("Bombeiro Hidraulico",tabParametros[[#This Row],[Função]],1)),ISNUMBER(SEARCH("Jardineiro",tabParametros[[#This Row],[Função]],1)),ISNUMBER(SEARCH("Lavador de Veiculos",tabParametros[[#This Row],[Função]],1)),ISNUMBER(SEARCH("Marceneiro",tabParametros[[#This Row],[Função]],1)),ISNUMBER(SEARCH("Pintor",tabParametros[[#This Row],[Função]],1))),0.2*'BASE GERAL'!$R$4,0)</f>
        <v>0</v>
      </c>
      <c r="L19" s="234">
        <f>IF(AND(ISNUMBER(SEARCH("Noturno",tabParametros[[#This Row],[Função]],1)),tabParametros[[#This Row],[Comarca]]&lt;&gt;"Juiz de Fora"),tabParametros[[#This Row],[Salário Base]]/210*0.39*7*15.5,IF(ISNUMBER(SEARCH("Noturno",tabParametros[[#This Row],[Função]],1)),tabParametros[[#This Row],[Salário Base]]/210*0.2*8*15.5,0))</f>
        <v>0</v>
      </c>
      <c r="M19" s="234">
        <f>IF(ISNUMBER(SEARCH("Motorista II",tabParametros[[#This Row],[Função]],1)),0.25*tabParametros[[#This Row],[Salário Base]],0)</f>
        <v>0</v>
      </c>
      <c r="N19" s="250">
        <v>0</v>
      </c>
      <c r="O19" s="234">
        <f>IF(ISNUMBER(SEARCH("TECNOLOGIA DA INFORMACAO",tabParametros[[#This Row],[Função]],1)),0.0201*tabParametros[[#This Row],[Salário Base]],0)</f>
        <v>0</v>
      </c>
      <c r="P19" s="250" cm="1">
        <f t="array" ref="P19">_xlfn.IFS(
ISNUMBER(SEARCH("Auxiliar de Limpeza - 75 h",tabParametros[[#This Row],[Função]],1)),tabParametros[[#This Row],[Salário Base]]/75*0.75*30*0.12,
ISNUMBER(SEARCH("Auxiliar de Limpeza - 110 h",tabParametros[[#This Row],[Função]],1)),tabParametros[[#This Row],[Salário Base]]/110*1*30*0.12,
ISNUMBER(SEARCH("Auxiliar de Limpeza - 150 h",tabParametros[[#This Row],[Função]],1)),tabParametros[[#This Row],[Salário Base]]/150*1.5*30*0.12,
ISNUMBER(SEARCH("Auxiliar de Limpeza - 220 h",tabParametros[[#This Row],[Função]],1)),tabParametros[[#This Row],[Salário Base]]/220*2*30*0.12,
ISNUMBER(SEARCH("Auxiliar de Limpeza - 12 x 36",tabParametros[[#This Row],[Função]],1)),tabParametros[[#This Row],[Salário Base]]/220*2*30*0.12,
ISNUMBER(SEARCH("Auxiliar de Limpeza - 55 h",tabParametros[[#This Row],[Função]],1))=FALSE,0)</f>
        <v>19.590479999999999</v>
      </c>
      <c r="Q19" s="235">
        <f>VLOOKUP(tabParametros[[#Headers],[INSS]],tabImpostosNacionais[],2,0)</f>
        <v>0.2</v>
      </c>
      <c r="R19" s="235">
        <f>VLOOKUP(tabParametros[[#Headers],[SESI OU SESC]],tabImpostosNacionais[],2,0)</f>
        <v>1.4999999999999999E-2</v>
      </c>
      <c r="S19" s="235">
        <f>VLOOKUP(tabParametros[[#Headers],[SENAI OU SENAC]],tabImpostosNacionais[],2,0)</f>
        <v>0.01</v>
      </c>
      <c r="T19" s="235">
        <f>VLOOKUP(tabParametros[[#Headers],[INCRA]],tabImpostosNacionais[],2,0)</f>
        <v>2E-3</v>
      </c>
      <c r="U19" s="235">
        <f>VLOOKUP(tabParametros[[#Headers],[Salário Educação]],tabImpostosNacionais[],2,0)</f>
        <v>2.5000000000000001E-2</v>
      </c>
      <c r="V19" s="235">
        <f>VLOOKUP(tabParametros[[#Headers],[FGTS]],tabImpostosNacionais[],2,0)</f>
        <v>0.08</v>
      </c>
      <c r="W19" s="235">
        <f>VLOOKUP(tabParametros[[#Headers],[RAT Ajustado]],tabImpostosNacionais[],2,0)</f>
        <v>0.04</v>
      </c>
      <c r="X19" s="235">
        <f>VLOOKUP(tabParametros[[#Headers],[SEBRAE]],tabImpostosNacionais[],2,0)</f>
        <v>6.0000000000000001E-3</v>
      </c>
      <c r="Y19" s="235">
        <f t="shared" si="0"/>
        <v>8.3333333333333329E-2</v>
      </c>
      <c r="Z19" s="251">
        <f t="shared" si="1"/>
        <v>0.1111111111111111</v>
      </c>
      <c r="AA19" s="234">
        <f>VLOOKUP(tabParametros[[#This Row],[Comarca]],tabComarca[],5,0)</f>
        <v>6.4</v>
      </c>
      <c r="AB19" s="234">
        <f>IFERROR(VLOOKUP(tabParametros[[#This Row],[CCT DA CATEGORIA]],tabSindicatos[],6,0),0)</f>
        <v>29.15</v>
      </c>
      <c r="AC19" s="234">
        <f>IFERROR(VLOOKUP(tabParametros[[#This Row],[CCT DA CATEGORIA]],tabSindicatos[],7,0),0)</f>
        <v>0</v>
      </c>
      <c r="AD19" s="234" cm="1">
        <f t="array" ref="AD19">_xlfn.LET(
_xlpm.COMARCA, TRIM(UPPER(SUBSTITUTE(SUBSTITUTE(SUBSTITUTE(SUBSTITUTE(SUBSTITUTE(SUBSTITUTE(SUBSTITUTE(SUBSTITUTE(SUBSTITUTE(SUBSTITUTE(SUBSTITUTE(SUBSTITUTE(SUBSTITUTE(SUBSTITUTE(SUBSTITUTE(SUBSTITUTE(SUBSTITUTE(SUBSTITUTE(SUBSTITUTE(SUBSTITUTE(SUBSTITUTE(SUBSTITUTE(SUBSTITUTE(SUBSTITUTE(SUBSTITUTE(SUBSTITUTE(tabParametros[[#This Row],[Comarca]],"á","a"),"ã","a"),"â","a"),"é","e"),"ê","e"),"í","i"),"ó","o"),"õ","o"),"ô","o"),"ú","u"),"ç","c"),"Á","a"),"Ã","a"),"Â","a"),"É","e"),"Ê","e"),"Í","i"),"Ó","o"),"Õ","o"),"Ô","o"),"Ú","u"),"Ç","c"),"/MG","")," e ",", ")," ",""),".",""))),
_xlpm.MATRIZ_COMARCA, TRIM(UPPER(SUBSTITUTE(SUBSTITUTE(SUBSTITUTE(SUBSTITUTE(SUBSTITUTE(SUBSTITUTE(SUBSTITUTE(SUBSTITUTE(SUBSTITUTE(SUBSTITUTE(SUBSTITUTE(SUBSTITUTE(SUBSTITUTE(SUBSTITUTE(SUBSTITUTE(SUBSTITUTE(SUBSTITUTE(SUBSTITUTE(SUBSTITUTE(SUBSTITUTE(SUBSTITUTE(SUBSTITUTE(SUBSTITUTE(SUBSTITUTE(SUBSTITUTE(SUBSTITUTE(tabSindicatos[COMARCAS PAF],"á","a"),"ã","a"),"â","a"),"é","e"),"ê","e"),"í","i"),"ó","o"),"õ","o"),"ô","o"),"ú","u"),"ç","c"),"Á","a"),"Ã","a"),"Â","a"),"É","e"),"Ê","e"),"Í","i"),"Ó","o"),"Õ","o"),"Ô","o"),"Ú","u"),"Ç","c"),"/MG","")," e ",", ")," ",""),".",""))),
IFERROR(IF(_xlfn.XLOOKUP(tabParametros[[#This Row],[CCT DA CATEGORIA]],tabSindicatos[SINDICATOS],tabSindicatos[COMARCAS PAF])="",
VLOOKUP(tabParametros[[#This Row],[CCT DA CATEGORIA]],tabSindicatos[],8,0),
IF(ISNUMBER(SEARCH(TRIM(_xlpm.COMARCA),_xlfn.XLOOKUP(tabParametros[[#This Row],[CCT DA CATEGORIA]],tabSindicatos[SINDICATOS],_xlpm.MATRIZ_COMARCA),1)),VLOOKUP(tabParametros[[#This Row],[CCT DA CATEGORIA]],tabSindicatos[],8,0),0)
),0)
)</f>
        <v>51.88</v>
      </c>
      <c r="AE19" s="234">
        <f>IFERROR(VLOOKUP(tabParametros[[#This Row],[CCT DA CATEGORIA]],tabSindicatos[],9,0),0)</f>
        <v>0</v>
      </c>
      <c r="AF19" s="234">
        <f>IFERROR(VLOOKUP(tabParametros[[#This Row],[CCT DA CATEGORIA]],tabSindicatos[],10,0),0)</f>
        <v>0</v>
      </c>
      <c r="AG19" s="236">
        <f>VLOOKUP(tabParametros[[#Headers],[Seguro de Vida]],tabOutrosCustos[],3,0)</f>
        <v>3.36</v>
      </c>
      <c r="AH19" s="236">
        <f>IF(ISNUMBER(SEARCH("MOTORISTA",tabParametros[[#This Row],[Função]],1)),VLOOKUP("MOTORISTAS",tabDiarias[],2,0),IF(tabParametros[[#This Row],[Comarca]]="Belo Horizonte",VLOOKUP("LIMPEZA",tabDiarias[],2,0),0))</f>
        <v>0</v>
      </c>
      <c r="AI19" s="235">
        <f t="shared" si="2"/>
        <v>7.011766975308642E-3</v>
      </c>
      <c r="AJ19" s="237">
        <f>tabParametros[[#This Row],[FGTS]]*tabParametros[[#This Row],[Aviso Prévio Indenizado (API) e Reflexo do Aviso Prévio Indenizado]]</f>
        <v>5.609413580246914E-4</v>
      </c>
      <c r="AK19" s="237">
        <f>tabParametros[[#This Row],[FGTS]]*tabParametros[[#This Row],[Aviso Prévio Indenizado (API) e Reflexo do Aviso Prévio Indenizado]]*40%</f>
        <v>2.2437654320987658E-4</v>
      </c>
      <c r="AL19" s="235">
        <f t="shared" si="3"/>
        <v>3.5000000000000005E-3</v>
      </c>
      <c r="AM19" s="235">
        <f>tabParametros[[#This Row],[Aviso Prévio Trabalhado - APT]]*SUM(tabParametros[[#This Row],[INSS]:[SEBRAE]])</f>
        <v>1.3230000000000004E-3</v>
      </c>
      <c r="AN19" s="235">
        <f t="shared" si="4"/>
        <v>3.0577777777777773E-2</v>
      </c>
      <c r="AO19" s="235">
        <f t="shared" si="5"/>
        <v>8.3333333333333339E-4</v>
      </c>
      <c r="AP19" s="235">
        <f t="shared" si="6"/>
        <v>8.4444444444444437E-3</v>
      </c>
      <c r="AQ19" s="235">
        <f t="shared" si="7"/>
        <v>2.0277777777777777E-3</v>
      </c>
      <c r="AR19" s="235">
        <f t="shared" si="8"/>
        <v>1.7083333333333333E-4</v>
      </c>
      <c r="AS19" s="235">
        <f t="shared" si="9"/>
        <v>2.0833333333333335E-4</v>
      </c>
      <c r="AT19" s="235">
        <f t="shared" si="10"/>
        <v>1.2962962962962963E-3</v>
      </c>
      <c r="AU19" s="237">
        <f>SUM(tabParametros[[#This Row],[Ausência por Doença]:[Férias, Adicional de Férias e 13º  com empregada em gozo de Licença Maternidade]])*SUM(tabParametros[[#This Row],[INSS]:[SEBRAE]])</f>
        <v>4.5918250000000008E-3</v>
      </c>
      <c r="AV19" s="234">
        <f>IF(tabParametros[[#This Row],[Função]]="Porteiro - 220 h",SUM(tabParametros[[#This Row],[Salário Base]:[Adicional de Acúmulo de função]])/220*20*1.5,IF(ISNUMBER(SEARCH("12 x 36",tabParametros[[#This Row],[Função]],1)),SUM(tabParametros[[#This Row],[Salário Base]:[Adicional de Acúmulo de função]])/210*15.5*1.5,0))</f>
        <v>0</v>
      </c>
      <c r="AW19" s="234">
        <f>IF(tabParametros[[#This Row],[Vagas contratadas]]&gt;0,(SUM(tabParametros[[#This Row],[Salário Base]:[Adicional de Acúmulo de função]])*30%+SUM(tabParametros[[#This Row],[Vale - Alimentação]:[Seguro de Vida]]))/tabParametros[[#This Row],[Vagas contratadas]]*tabParametros[[#This Row],[Vagas suspensas]],0)</f>
        <v>0</v>
      </c>
      <c r="AX19" s="234">
        <f>SUMIF(tabUniformes[Cargo],tabParametros[[#This Row],[Função]],tabUniformes[Valor unit. Mensal])</f>
        <v>62.806666666666665</v>
      </c>
      <c r="AY19" s="281">
        <f>IF(ISNUMBER(SEARCH("AUXILIAR DE LIMPEZA - 75 H",tabParametros[[#This Row],[Função]],1)),
SUMIF(tabLimpGeral[TIPO],"Material",tabLimpGeral[VALOR UNITÁRIO P/ HORA (R$)])*75,
IF(ISNUMBER(SEARCH("AUXILIAR DE LIMPEZA - 110 H",tabParametros[[#This Row],[Função]],1)),
SUMIF(tabLimpGeral[TIPO],"Material",tabLimpGeral[VALOR UNITÁRIO P/ HORA (R$)])*110,
IF(ISNUMBER(SEARCH("AUXILIAR DE LIMPEZA - 150 H",tabParametros[[#This Row],[Função]],1)),
SUMIF(tabLimpGeral[TIPO],"Material",tabLimpGeral[VALOR UNITÁRIO P/ HORA (R$)])*150,
IF(ISNUMBER(SEARCH("AUXILIAR DE LIMPEZA - 220 H",tabParametros[[#This Row],[Função]],1)),
SUMIF(tabLimpGeral[TIPO],"Material",tabLimpGeral[VALOR UNITÁRIO P/ HORA (R$)])*220,
IF(ISNUMBER(SEARCH("AUXILIAR DE LIMPEZA - 12 x 36",tabParametros[[#This Row],[Função]],1)),
SUMIF(tabLimpGeral[TIPO],"Material",tabLimpGeral[VALOR UNITÁRIO P/ HORA (R$)])*220,
IF(ISNUMBER(SEARCH("Limpador de vidros - 220 h",tabParametros[[#This Row],[Função]],1)),
SUMIF(tabVidros[TIPO],"Material",tabVidros[VALOR UNITÁRIO P/ POSTO (R$)]),
0))))))</f>
        <v>12.108481690426325</v>
      </c>
      <c r="AZ19" s="281">
        <f>IF(ISNUMBER(SEARCH("AUXILIAR DE LIMPEZA - 75 H",tabParametros[[#This Row],[Função]],1)),
SUMIF(tabLimpGeral[TIPO],"Equipamento",tabLimpGeral[VALOR UNITÁRIO P/ HORA (R$)])*75,
IF(ISNUMBER(SEARCH("AUXILIAR DE LIMPEZA - 110 H",tabParametros[[#This Row],[Função]],1)),
SUMIF(tabLimpGeral[TIPO],"Equipamento",tabLimpGeral[VALOR UNITÁRIO P/ HORA (R$)])*110,
IF(ISNUMBER(SEARCH("AUXILIAR DE LIMPEZA - 150 H",tabParametros[[#This Row],[Função]],1)),
SUMIF(tabLimpGeral[TIPO],"Equipamento",tabLimpGeral[VALOR UNITÁRIO P/ HORA (R$)])*150,
IF(ISNUMBER(SEARCH("AUXILIAR DE LIMPEZA - 220 H",tabParametros[[#This Row],[Função]],1)),
SUMIF(tabLimpGeral[TIPO],"Equipamento",tabLimpGeral[VALOR UNITÁRIO P/ HORA (R$)])*220,
IF(ISNUMBER(SEARCH("AUXILIAR DE LIMPEZA - 12 x 36",tabParametros[[#This Row],[Função]],1)),
SUMIF(tabLimpGeral[TIPO],"Equipamento",tabLimpGeral[VALOR UNITÁRIO P/ HORA (R$)])*220,
IF(ISNUMBER(SEARCH("Limpador de vidros - 220 h",tabParametros[[#This Row],[Função]],1)),
SUMIF(tabVidros[TIPO],"Equipamento",tabVidros[VALOR UNITÁRIO P/ POSTO (R$)]),
0))))))</f>
        <v>21.998657016417809</v>
      </c>
      <c r="BA19" s="281">
        <f>IF(ISNUMBER(SEARCH("AUXILIAR DE LIMPEZA - 75 H",tabParametros[[#This Row],[Função]],1)),
SUMIF(tabLimpGeral[TIPO],"Produto",tabLimpGeral[VALOR UNITÁRIO P/ HORA (R$)])*75,
IF(ISNUMBER(SEARCH("AUXILIAR DE LIMPEZA - 110 H",tabParametros[[#This Row],[Função]],1)),
SUMIF(tabLimpGeral[TIPO],"Produto",tabLimpGeral[VALOR UNITÁRIO P/ HORA (R$)])*110,
IF(ISNUMBER(SEARCH("AUXILIAR DE LIMPEZA - 150 H",tabParametros[[#This Row],[Função]],1)),
SUMIF(tabLimpGeral[TIPO],"Produto",tabLimpGeral[VALOR UNITÁRIO P/ HORA (R$)])*150,
IF(ISNUMBER(SEARCH("AUXILIAR DE LIMPEZA - 220 H",tabParametros[[#This Row],[Função]],1)),
SUMIF(tabLimpGeral[TIPO],"Produto",tabLimpGeral[VALOR UNITÁRIO P/ HORA (R$)])*220,
IF(ISNUMBER(SEARCH("AUXILIAR DE LIMPEZA - 12 x 36",tabParametros[[#This Row],[Função]],1)),
SUMIF(tabLimpGeral[TIPO],"Produto",tabLimpGeral[VALOR UNITÁRIO P/ HORA (R$)])*220,
IF(ISNUMBER(SEARCH("Limpador de vidros - 220 h",tabParametros[[#This Row],[Função]],1)),
SUMIF(tabVidros[TIPO],"Produto",tabVidros[VALOR UNITÁRIO P/ POSTO (R$)]),
0))))))</f>
        <v>235.31984072022155</v>
      </c>
      <c r="BB19" s="281">
        <v>0</v>
      </c>
      <c r="BC19" s="236">
        <f>VLOOKUP(tabParametros[[#Headers],[Custos Indiretos]],tabOutrosCustos[],3,0)</f>
        <v>189.64880140242613</v>
      </c>
      <c r="BD19" s="236">
        <f>VLOOKUP(tabParametros[[#Headers],[Lucro]],tabOutrosCustos[],3,0)</f>
        <v>159.30499317803796</v>
      </c>
      <c r="BE19" s="235">
        <f>VLOOKUP(tabParametros[[#Headers],[COFINS]],tabImpostosNacionais[],2,0)</f>
        <v>7.5999999999999998E-2</v>
      </c>
      <c r="BF19" s="235">
        <f>VLOOKUP(tabParametros[[#Headers],[PIS]],tabImpostosNacionais[],2,0)</f>
        <v>1.6500000000000001E-2</v>
      </c>
      <c r="BG19" s="235">
        <f>VLOOKUP(tabParametros[[#This Row],[Comarca]],tabComarca[],4,0)</f>
        <v>0.02</v>
      </c>
      <c r="BH19" s="238">
        <f>IFERROR(VLOOKUP(tabParametros[[#This Row],[CCT DA CATEGORIA]],tabSindicatos[],11,0),"")</f>
        <v>45658</v>
      </c>
      <c r="BI19" s="289" t="str">
        <f>IFERROR(VLOOKUP(tabParametros[[#This Row],[CCT DA CATEGORIA]],tabSindicatos[],12,0),"")</f>
        <v>-</v>
      </c>
      <c r="BJ19" s="293" t="str">
        <f>IFERROR(VLOOKUP(tabParametros[[#This Row],[CCT DA CATEGORIA]],tabSindicatos[],13,0),"")</f>
        <v>-</v>
      </c>
    </row>
    <row r="20" spans="1:62" x14ac:dyDescent="0.25">
      <c r="A20" s="233" t="s">
        <v>1366</v>
      </c>
      <c r="B20" s="198" t="s">
        <v>26</v>
      </c>
      <c r="C20" s="198" t="s">
        <v>1244</v>
      </c>
      <c r="D20" s="198" t="str">
        <f>VLOOKUP(tabParametros[[#This Row],[Código do Posto]],tabPostos[],4,0)</f>
        <v>Regiao de Sao Lourenco</v>
      </c>
      <c r="E20" s="289" t="str">
        <f>VLOOKUP(tabParametros[[#This Row],[Código do Posto]],tabPostos[],5,0)</f>
        <v>Limpeza</v>
      </c>
      <c r="F20" s="289" t="str">
        <f>VLOOKUP(tabParametros[[#This Row],[Código do Posto]],tabPostos[],6,0)</f>
        <v>PGJ</v>
      </c>
      <c r="G20" s="289">
        <f>VLOOKUP(tabParametros[[#This Row],[Código do Posto]],tabPostos[],7,0)</f>
        <v>1</v>
      </c>
      <c r="H20" s="289">
        <f>VLOOKUP(tabParametros[[#This Row],[Código do Posto]],tabPostos[],8,0)</f>
        <v>0</v>
      </c>
      <c r="I20" s="234">
        <f>VLOOKUP(tabParametros[[#This Row],[Código do Posto]],tabPostos[],9,0)</f>
        <v>798.14</v>
      </c>
      <c r="J20" s="234">
        <f>IF(ISNUMBER(SEARCH("Eletricista",tabParametros[[#This Row],[Função]],1)),0.3*tabParametros[[#This Row],[Salário Base]],0)</f>
        <v>0</v>
      </c>
      <c r="K20" s="234">
        <f>IF(OR(ISNUMBER(SEARCH("Bombeiro Hidraulico",tabParametros[[#This Row],[Função]],1)),ISNUMBER(SEARCH("Jardineiro",tabParametros[[#This Row],[Função]],1)),ISNUMBER(SEARCH("Lavador de Veiculos",tabParametros[[#This Row],[Função]],1)),ISNUMBER(SEARCH("Marceneiro",tabParametros[[#This Row],[Função]],1)),ISNUMBER(SEARCH("Pintor",tabParametros[[#This Row],[Função]],1))),0.2*'BASE GERAL'!$R$4,0)</f>
        <v>0</v>
      </c>
      <c r="L20" s="234">
        <f>IF(AND(ISNUMBER(SEARCH("Noturno",tabParametros[[#This Row],[Função]],1)),tabParametros[[#This Row],[Comarca]]&lt;&gt;"Juiz de Fora"),tabParametros[[#This Row],[Salário Base]]/210*0.39*7*15.5,IF(ISNUMBER(SEARCH("Noturno",tabParametros[[#This Row],[Função]],1)),tabParametros[[#This Row],[Salário Base]]/210*0.2*8*15.5,0))</f>
        <v>0</v>
      </c>
      <c r="M20" s="234">
        <f>IF(ISNUMBER(SEARCH("Motorista II",tabParametros[[#This Row],[Função]],1)),0.25*tabParametros[[#This Row],[Salário Base]],0)</f>
        <v>0</v>
      </c>
      <c r="N20" s="250">
        <v>0</v>
      </c>
      <c r="O20" s="234">
        <f>IF(ISNUMBER(SEARCH("TECNOLOGIA DA INFORMACAO",tabParametros[[#This Row],[Função]],1)),0.0201*tabParametros[[#This Row],[Salário Base]],0)</f>
        <v>0</v>
      </c>
      <c r="P20" s="250" cm="1">
        <f t="array" ref="P20">_xlfn.IFS(
ISNUMBER(SEARCH("Auxiliar de Limpeza - 75 h",tabParametros[[#This Row],[Função]],1)),tabParametros[[#This Row],[Salário Base]]/75*0.75*30*0.12,
ISNUMBER(SEARCH("Auxiliar de Limpeza - 110 h",tabParametros[[#This Row],[Função]],1)),tabParametros[[#This Row],[Salário Base]]/110*1*30*0.12,
ISNUMBER(SEARCH("Auxiliar de Limpeza - 150 h",tabParametros[[#This Row],[Função]],1)),tabParametros[[#This Row],[Salário Base]]/150*1.5*30*0.12,
ISNUMBER(SEARCH("Auxiliar de Limpeza - 220 h",tabParametros[[#This Row],[Função]],1)),tabParametros[[#This Row],[Salário Base]]/220*2*30*0.12,
ISNUMBER(SEARCH("Auxiliar de Limpeza - 12 x 36",tabParametros[[#This Row],[Função]],1)),tabParametros[[#This Row],[Salário Base]]/220*2*30*0.12,
ISNUMBER(SEARCH("Auxiliar de Limpeza - 55 h",tabParametros[[#This Row],[Função]],1))=FALSE,0)</f>
        <v>26.120945454545453</v>
      </c>
      <c r="Q20" s="235">
        <f>VLOOKUP(tabParametros[[#Headers],[INSS]],tabImpostosNacionais[],2,0)</f>
        <v>0.2</v>
      </c>
      <c r="R20" s="235">
        <f>VLOOKUP(tabParametros[[#Headers],[SESI OU SESC]],tabImpostosNacionais[],2,0)</f>
        <v>1.4999999999999999E-2</v>
      </c>
      <c r="S20" s="235">
        <f>VLOOKUP(tabParametros[[#Headers],[SENAI OU SENAC]],tabImpostosNacionais[],2,0)</f>
        <v>0.01</v>
      </c>
      <c r="T20" s="235">
        <f>VLOOKUP(tabParametros[[#Headers],[INCRA]],tabImpostosNacionais[],2,0)</f>
        <v>2E-3</v>
      </c>
      <c r="U20" s="235">
        <f>VLOOKUP(tabParametros[[#Headers],[Salário Educação]],tabImpostosNacionais[],2,0)</f>
        <v>2.5000000000000001E-2</v>
      </c>
      <c r="V20" s="235">
        <f>VLOOKUP(tabParametros[[#Headers],[FGTS]],tabImpostosNacionais[],2,0)</f>
        <v>0.08</v>
      </c>
      <c r="W20" s="235">
        <f>VLOOKUP(tabParametros[[#Headers],[RAT Ajustado]],tabImpostosNacionais[],2,0)</f>
        <v>0.04</v>
      </c>
      <c r="X20" s="235">
        <f>VLOOKUP(tabParametros[[#Headers],[SEBRAE]],tabImpostosNacionais[],2,0)</f>
        <v>6.0000000000000001E-3</v>
      </c>
      <c r="Y20" s="235">
        <f t="shared" si="0"/>
        <v>8.3333333333333329E-2</v>
      </c>
      <c r="Z20" s="251">
        <f t="shared" si="1"/>
        <v>0.1111111111111111</v>
      </c>
      <c r="AA20" s="234">
        <f>VLOOKUP(tabParametros[[#This Row],[Comarca]],tabComarca[],5,0)</f>
        <v>6.4</v>
      </c>
      <c r="AB20" s="234">
        <f>IFERROR(VLOOKUP(tabParametros[[#This Row],[CCT DA CATEGORIA]],tabSindicatos[],6,0),0)</f>
        <v>29.15</v>
      </c>
      <c r="AC20" s="234">
        <f>IFERROR(VLOOKUP(tabParametros[[#This Row],[CCT DA CATEGORIA]],tabSindicatos[],7,0),0)</f>
        <v>0</v>
      </c>
      <c r="AD20" s="234" cm="1">
        <f t="array" ref="AD20">_xlfn.LET(
_xlpm.COMARCA, TRIM(UPPER(SUBSTITUTE(SUBSTITUTE(SUBSTITUTE(SUBSTITUTE(SUBSTITUTE(SUBSTITUTE(SUBSTITUTE(SUBSTITUTE(SUBSTITUTE(SUBSTITUTE(SUBSTITUTE(SUBSTITUTE(SUBSTITUTE(SUBSTITUTE(SUBSTITUTE(SUBSTITUTE(SUBSTITUTE(SUBSTITUTE(SUBSTITUTE(SUBSTITUTE(SUBSTITUTE(SUBSTITUTE(SUBSTITUTE(SUBSTITUTE(SUBSTITUTE(SUBSTITUTE(tabParametros[[#This Row],[Comarca]],"á","a"),"ã","a"),"â","a"),"é","e"),"ê","e"),"í","i"),"ó","o"),"õ","o"),"ô","o"),"ú","u"),"ç","c"),"Á","a"),"Ã","a"),"Â","a"),"É","e"),"Ê","e"),"Í","i"),"Ó","o"),"Õ","o"),"Ô","o"),"Ú","u"),"Ç","c"),"/MG","")," e ",", ")," ",""),".",""))),
_xlpm.MATRIZ_COMARCA, TRIM(UPPER(SUBSTITUTE(SUBSTITUTE(SUBSTITUTE(SUBSTITUTE(SUBSTITUTE(SUBSTITUTE(SUBSTITUTE(SUBSTITUTE(SUBSTITUTE(SUBSTITUTE(SUBSTITUTE(SUBSTITUTE(SUBSTITUTE(SUBSTITUTE(SUBSTITUTE(SUBSTITUTE(SUBSTITUTE(SUBSTITUTE(SUBSTITUTE(SUBSTITUTE(SUBSTITUTE(SUBSTITUTE(SUBSTITUTE(SUBSTITUTE(SUBSTITUTE(SUBSTITUTE(tabSindicatos[COMARCAS PAF],"á","a"),"ã","a"),"â","a"),"é","e"),"ê","e"),"í","i"),"ó","o"),"õ","o"),"ô","o"),"ú","u"),"ç","c"),"Á","a"),"Ã","a"),"Â","a"),"É","e"),"Ê","e"),"Í","i"),"Ó","o"),"Õ","o"),"Ô","o"),"Ú","u"),"Ç","c"),"/MG","")," e ",", ")," ",""),".",""))),
IFERROR(IF(_xlfn.XLOOKUP(tabParametros[[#This Row],[CCT DA CATEGORIA]],tabSindicatos[SINDICATOS],tabSindicatos[COMARCAS PAF])="",
VLOOKUP(tabParametros[[#This Row],[CCT DA CATEGORIA]],tabSindicatos[],8,0),
IF(ISNUMBER(SEARCH(TRIM(_xlpm.COMARCA),_xlfn.XLOOKUP(tabParametros[[#This Row],[CCT DA CATEGORIA]],tabSindicatos[SINDICATOS],_xlpm.MATRIZ_COMARCA),1)),VLOOKUP(tabParametros[[#This Row],[CCT DA CATEGORIA]],tabSindicatos[],8,0),0)
),0)
)</f>
        <v>0</v>
      </c>
      <c r="AE20" s="234">
        <f>IFERROR(VLOOKUP(tabParametros[[#This Row],[CCT DA CATEGORIA]],tabSindicatos[],9,0),0)</f>
        <v>0</v>
      </c>
      <c r="AF20" s="234">
        <f>IFERROR(VLOOKUP(tabParametros[[#This Row],[CCT DA CATEGORIA]],tabSindicatos[],10,0),0)</f>
        <v>0</v>
      </c>
      <c r="AG20" s="236">
        <f>VLOOKUP(tabParametros[[#Headers],[Seguro de Vida]],tabOutrosCustos[],3,0)</f>
        <v>3.36</v>
      </c>
      <c r="AH20" s="236">
        <f>IF(ISNUMBER(SEARCH("MOTORISTA",tabParametros[[#This Row],[Função]],1)),VLOOKUP("MOTORISTAS",tabDiarias[],2,0),IF(tabParametros[[#This Row],[Comarca]]="Belo Horizonte",VLOOKUP("LIMPEZA",tabDiarias[],2,0),0))</f>
        <v>0</v>
      </c>
      <c r="AI20" s="235">
        <f t="shared" si="2"/>
        <v>7.011766975308642E-3</v>
      </c>
      <c r="AJ20" s="237">
        <f>tabParametros[[#This Row],[FGTS]]*tabParametros[[#This Row],[Aviso Prévio Indenizado (API) e Reflexo do Aviso Prévio Indenizado]]</f>
        <v>5.609413580246914E-4</v>
      </c>
      <c r="AK20" s="237">
        <f>tabParametros[[#This Row],[FGTS]]*tabParametros[[#This Row],[Aviso Prévio Indenizado (API) e Reflexo do Aviso Prévio Indenizado]]*40%</f>
        <v>2.2437654320987658E-4</v>
      </c>
      <c r="AL20" s="235">
        <f t="shared" si="3"/>
        <v>3.5000000000000005E-3</v>
      </c>
      <c r="AM20" s="235">
        <f>tabParametros[[#This Row],[Aviso Prévio Trabalhado - APT]]*SUM(tabParametros[[#This Row],[INSS]:[SEBRAE]])</f>
        <v>1.3230000000000004E-3</v>
      </c>
      <c r="AN20" s="235">
        <f t="shared" si="4"/>
        <v>3.0577777777777773E-2</v>
      </c>
      <c r="AO20" s="235">
        <f t="shared" si="5"/>
        <v>8.3333333333333339E-4</v>
      </c>
      <c r="AP20" s="235">
        <f t="shared" si="6"/>
        <v>8.4444444444444437E-3</v>
      </c>
      <c r="AQ20" s="235">
        <f t="shared" si="7"/>
        <v>2.0277777777777777E-3</v>
      </c>
      <c r="AR20" s="235">
        <f t="shared" si="8"/>
        <v>1.7083333333333333E-4</v>
      </c>
      <c r="AS20" s="235">
        <f t="shared" si="9"/>
        <v>2.0833333333333335E-4</v>
      </c>
      <c r="AT20" s="235">
        <f t="shared" si="10"/>
        <v>1.2962962962962963E-3</v>
      </c>
      <c r="AU20" s="237">
        <f>SUM(tabParametros[[#This Row],[Ausência por Doença]:[Férias, Adicional de Férias e 13º  com empregada em gozo de Licença Maternidade]])*SUM(tabParametros[[#This Row],[INSS]:[SEBRAE]])</f>
        <v>4.5918250000000008E-3</v>
      </c>
      <c r="AV20" s="234">
        <f>IF(tabParametros[[#This Row],[Função]]="Porteiro - 220 h",SUM(tabParametros[[#This Row],[Salário Base]:[Adicional de Acúmulo de função]])/220*20*1.5,IF(ISNUMBER(SEARCH("12 x 36",tabParametros[[#This Row],[Função]],1)),SUM(tabParametros[[#This Row],[Salário Base]:[Adicional de Acúmulo de função]])/210*15.5*1.5,0))</f>
        <v>0</v>
      </c>
      <c r="AW20" s="234">
        <f>IF(tabParametros[[#This Row],[Vagas contratadas]]&gt;0,(SUM(tabParametros[[#This Row],[Salário Base]:[Adicional de Acúmulo de função]])*30%+SUM(tabParametros[[#This Row],[Vale - Alimentação]:[Seguro de Vida]]))/tabParametros[[#This Row],[Vagas contratadas]]*tabParametros[[#This Row],[Vagas suspensas]],0)</f>
        <v>0</v>
      </c>
      <c r="AX20" s="234">
        <f>SUMIF(tabUniformes[Cargo],tabParametros[[#This Row],[Função]],tabUniformes[Valor unit. Mensal])</f>
        <v>62.806666666666665</v>
      </c>
      <c r="AY20" s="281">
        <f>IF(ISNUMBER(SEARCH("AUXILIAR DE LIMPEZA - 75 H",tabParametros[[#This Row],[Função]],1)),
SUMIF(tabLimpGeral[TIPO],"Material",tabLimpGeral[VALOR UNITÁRIO P/ HORA (R$)])*75,
IF(ISNUMBER(SEARCH("AUXILIAR DE LIMPEZA - 110 H",tabParametros[[#This Row],[Função]],1)),
SUMIF(tabLimpGeral[TIPO],"Material",tabLimpGeral[VALOR UNITÁRIO P/ HORA (R$)])*110,
IF(ISNUMBER(SEARCH("AUXILIAR DE LIMPEZA - 150 H",tabParametros[[#This Row],[Função]],1)),
SUMIF(tabLimpGeral[TIPO],"Material",tabLimpGeral[VALOR UNITÁRIO P/ HORA (R$)])*150,
IF(ISNUMBER(SEARCH("AUXILIAR DE LIMPEZA - 220 H",tabParametros[[#This Row],[Função]],1)),
SUMIF(tabLimpGeral[TIPO],"Material",tabLimpGeral[VALOR UNITÁRIO P/ HORA (R$)])*220,
IF(ISNUMBER(SEARCH("AUXILIAR DE LIMPEZA - 12 x 36",tabParametros[[#This Row],[Função]],1)),
SUMIF(tabLimpGeral[TIPO],"Material",tabLimpGeral[VALOR UNITÁRIO P/ HORA (R$)])*220,
IF(ISNUMBER(SEARCH("Limpador de vidros - 220 h",tabParametros[[#This Row],[Função]],1)),
SUMIF(tabVidros[TIPO],"Material",tabVidros[VALOR UNITÁRIO P/ POSTO (R$)]),
0))))))</f>
        <v>17.759106479291944</v>
      </c>
      <c r="AZ20" s="281">
        <f>IF(ISNUMBER(SEARCH("AUXILIAR DE LIMPEZA - 75 H",tabParametros[[#This Row],[Função]],1)),
SUMIF(tabLimpGeral[TIPO],"Equipamento",tabLimpGeral[VALOR UNITÁRIO P/ HORA (R$)])*75,
IF(ISNUMBER(SEARCH("AUXILIAR DE LIMPEZA - 110 H",tabParametros[[#This Row],[Função]],1)),
SUMIF(tabLimpGeral[TIPO],"Equipamento",tabLimpGeral[VALOR UNITÁRIO P/ HORA (R$)])*110,
IF(ISNUMBER(SEARCH("AUXILIAR DE LIMPEZA - 150 H",tabParametros[[#This Row],[Função]],1)),
SUMIF(tabLimpGeral[TIPO],"Equipamento",tabLimpGeral[VALOR UNITÁRIO P/ HORA (R$)])*150,
IF(ISNUMBER(SEARCH("AUXILIAR DE LIMPEZA - 220 H",tabParametros[[#This Row],[Função]],1)),
SUMIF(tabLimpGeral[TIPO],"Equipamento",tabLimpGeral[VALOR UNITÁRIO P/ HORA (R$)])*220,
IF(ISNUMBER(SEARCH("AUXILIAR DE LIMPEZA - 12 x 36",tabParametros[[#This Row],[Função]],1)),
SUMIF(tabLimpGeral[TIPO],"Equipamento",tabLimpGeral[VALOR UNITÁRIO P/ HORA (R$)])*220,
IF(ISNUMBER(SEARCH("Limpador de vidros - 220 h",tabParametros[[#This Row],[Função]],1)),
SUMIF(tabVidros[TIPO],"Equipamento",tabVidros[VALOR UNITÁRIO P/ POSTO (R$)]),
0))))))</f>
        <v>32.264696957412788</v>
      </c>
      <c r="BA20" s="281">
        <f>IF(ISNUMBER(SEARCH("AUXILIAR DE LIMPEZA - 75 H",tabParametros[[#This Row],[Função]],1)),
SUMIF(tabLimpGeral[TIPO],"Produto",tabLimpGeral[VALOR UNITÁRIO P/ HORA (R$)])*75,
IF(ISNUMBER(SEARCH("AUXILIAR DE LIMPEZA - 110 H",tabParametros[[#This Row],[Função]],1)),
SUMIF(tabLimpGeral[TIPO],"Produto",tabLimpGeral[VALOR UNITÁRIO P/ HORA (R$)])*110,
IF(ISNUMBER(SEARCH("AUXILIAR DE LIMPEZA - 150 H",tabParametros[[#This Row],[Função]],1)),
SUMIF(tabLimpGeral[TIPO],"Produto",tabLimpGeral[VALOR UNITÁRIO P/ HORA (R$)])*150,
IF(ISNUMBER(SEARCH("AUXILIAR DE LIMPEZA - 220 H",tabParametros[[#This Row],[Função]],1)),
SUMIF(tabLimpGeral[TIPO],"Produto",tabLimpGeral[VALOR UNITÁRIO P/ HORA (R$)])*220,
IF(ISNUMBER(SEARCH("AUXILIAR DE LIMPEZA - 12 x 36",tabParametros[[#This Row],[Função]],1)),
SUMIF(tabLimpGeral[TIPO],"Produto",tabLimpGeral[VALOR UNITÁRIO P/ HORA (R$)])*220,
IF(ISNUMBER(SEARCH("Limpador de vidros - 220 h",tabParametros[[#This Row],[Função]],1)),
SUMIF(tabVidros[TIPO],"Produto",tabVidros[VALOR UNITÁRIO P/ POSTO (R$)]),
0))))))</f>
        <v>345.13576638965827</v>
      </c>
      <c r="BB20" s="281">
        <v>0</v>
      </c>
      <c r="BC20" s="236">
        <f>VLOOKUP(tabParametros[[#Headers],[Custos Indiretos]],tabOutrosCustos[],3,0)</f>
        <v>189.64880140242613</v>
      </c>
      <c r="BD20" s="236">
        <f>VLOOKUP(tabParametros[[#Headers],[Lucro]],tabOutrosCustos[],3,0)</f>
        <v>159.30499317803796</v>
      </c>
      <c r="BE20" s="235">
        <f>VLOOKUP(tabParametros[[#Headers],[COFINS]],tabImpostosNacionais[],2,0)</f>
        <v>7.5999999999999998E-2</v>
      </c>
      <c r="BF20" s="235">
        <f>VLOOKUP(tabParametros[[#Headers],[PIS]],tabImpostosNacionais[],2,0)</f>
        <v>1.6500000000000001E-2</v>
      </c>
      <c r="BG20" s="235">
        <f>VLOOKUP(tabParametros[[#This Row],[Comarca]],tabComarca[],4,0)</f>
        <v>0.04</v>
      </c>
      <c r="BH20" s="238">
        <f>IFERROR(VLOOKUP(tabParametros[[#This Row],[CCT DA CATEGORIA]],tabSindicatos[],11,0),"")</f>
        <v>45658</v>
      </c>
      <c r="BI20" s="289" t="str">
        <f>IFERROR(VLOOKUP(tabParametros[[#This Row],[CCT DA CATEGORIA]],tabSindicatos[],12,0),"")</f>
        <v>-</v>
      </c>
      <c r="BJ20" s="293" t="str">
        <f>IFERROR(VLOOKUP(tabParametros[[#This Row],[CCT DA CATEGORIA]],tabSindicatos[],13,0),"")</f>
        <v>-</v>
      </c>
    </row>
    <row r="21" spans="1:62" x14ac:dyDescent="0.25">
      <c r="A21" s="233" t="s">
        <v>1367</v>
      </c>
      <c r="B21" s="198" t="s">
        <v>27</v>
      </c>
      <c r="C21" s="198" t="s">
        <v>1247</v>
      </c>
      <c r="D21" s="198" t="str">
        <f>VLOOKUP(tabParametros[[#This Row],[Código do Posto]],tabPostos[],4,0)</f>
        <v>Fethemg Interior</v>
      </c>
      <c r="E21" s="289" t="str">
        <f>VLOOKUP(tabParametros[[#This Row],[Código do Posto]],tabPostos[],5,0)</f>
        <v>Limpeza</v>
      </c>
      <c r="F21" s="289" t="str">
        <f>VLOOKUP(tabParametros[[#This Row],[Código do Posto]],tabPostos[],6,0)</f>
        <v>PGJ</v>
      </c>
      <c r="G21" s="289">
        <f>VLOOKUP(tabParametros[[#This Row],[Código do Posto]],tabPostos[],7,0)</f>
        <v>1</v>
      </c>
      <c r="H21" s="289">
        <f>VLOOKUP(tabParametros[[#This Row],[Código do Posto]],tabPostos[],8,0)</f>
        <v>0</v>
      </c>
      <c r="I21" s="234">
        <f>VLOOKUP(tabParametros[[#This Row],[Código do Posto]],tabPostos[],9,0)</f>
        <v>544.17999999999995</v>
      </c>
      <c r="J21" s="234">
        <f>IF(ISNUMBER(SEARCH("Eletricista",tabParametros[[#This Row],[Função]],1)),0.3*tabParametros[[#This Row],[Salário Base]],0)</f>
        <v>0</v>
      </c>
      <c r="K21" s="234">
        <f>IF(OR(ISNUMBER(SEARCH("Bombeiro Hidraulico",tabParametros[[#This Row],[Função]],1)),ISNUMBER(SEARCH("Jardineiro",tabParametros[[#This Row],[Função]],1)),ISNUMBER(SEARCH("Lavador de Veiculos",tabParametros[[#This Row],[Função]],1)),ISNUMBER(SEARCH("Marceneiro",tabParametros[[#This Row],[Função]],1)),ISNUMBER(SEARCH("Pintor",tabParametros[[#This Row],[Função]],1))),0.2*'BASE GERAL'!$R$4,0)</f>
        <v>0</v>
      </c>
      <c r="L21" s="234">
        <f>IF(AND(ISNUMBER(SEARCH("Noturno",tabParametros[[#This Row],[Função]],1)),tabParametros[[#This Row],[Comarca]]&lt;&gt;"Juiz de Fora"),tabParametros[[#This Row],[Salário Base]]/210*0.39*7*15.5,IF(ISNUMBER(SEARCH("Noturno",tabParametros[[#This Row],[Função]],1)),tabParametros[[#This Row],[Salário Base]]/210*0.2*8*15.5,0))</f>
        <v>0</v>
      </c>
      <c r="M21" s="234">
        <f>IF(ISNUMBER(SEARCH("Motorista II",tabParametros[[#This Row],[Função]],1)),0.25*tabParametros[[#This Row],[Salário Base]],0)</f>
        <v>0</v>
      </c>
      <c r="N21" s="250">
        <v>0</v>
      </c>
      <c r="O21" s="234">
        <f>IF(ISNUMBER(SEARCH("TECNOLOGIA DA INFORMACAO",tabParametros[[#This Row],[Função]],1)),0.0201*tabParametros[[#This Row],[Salário Base]],0)</f>
        <v>0</v>
      </c>
      <c r="P21" s="250" cm="1">
        <f t="array" ref="P21">_xlfn.IFS(
ISNUMBER(SEARCH("Auxiliar de Limpeza - 75 h",tabParametros[[#This Row],[Função]],1)),tabParametros[[#This Row],[Salário Base]]/75*0.75*30*0.12,
ISNUMBER(SEARCH("Auxiliar de Limpeza - 110 h",tabParametros[[#This Row],[Função]],1)),tabParametros[[#This Row],[Salário Base]]/110*1*30*0.12,
ISNUMBER(SEARCH("Auxiliar de Limpeza - 150 h",tabParametros[[#This Row],[Função]],1)),tabParametros[[#This Row],[Salário Base]]/150*1.5*30*0.12,
ISNUMBER(SEARCH("Auxiliar de Limpeza - 220 h",tabParametros[[#This Row],[Função]],1)),tabParametros[[#This Row],[Salário Base]]/220*2*30*0.12,
ISNUMBER(SEARCH("Auxiliar de Limpeza - 12 x 36",tabParametros[[#This Row],[Função]],1)),tabParametros[[#This Row],[Salário Base]]/220*2*30*0.12,
ISNUMBER(SEARCH("Auxiliar de Limpeza - 55 h",tabParametros[[#This Row],[Função]],1))=FALSE,0)</f>
        <v>19.590479999999999</v>
      </c>
      <c r="Q21" s="235">
        <f>VLOOKUP(tabParametros[[#Headers],[INSS]],tabImpostosNacionais[],2,0)</f>
        <v>0.2</v>
      </c>
      <c r="R21" s="235">
        <f>VLOOKUP(tabParametros[[#Headers],[SESI OU SESC]],tabImpostosNacionais[],2,0)</f>
        <v>1.4999999999999999E-2</v>
      </c>
      <c r="S21" s="235">
        <f>VLOOKUP(tabParametros[[#Headers],[SENAI OU SENAC]],tabImpostosNacionais[],2,0)</f>
        <v>0.01</v>
      </c>
      <c r="T21" s="235">
        <f>VLOOKUP(tabParametros[[#Headers],[INCRA]],tabImpostosNacionais[],2,0)</f>
        <v>2E-3</v>
      </c>
      <c r="U21" s="235">
        <f>VLOOKUP(tabParametros[[#Headers],[Salário Educação]],tabImpostosNacionais[],2,0)</f>
        <v>2.5000000000000001E-2</v>
      </c>
      <c r="V21" s="235">
        <f>VLOOKUP(tabParametros[[#Headers],[FGTS]],tabImpostosNacionais[],2,0)</f>
        <v>0.08</v>
      </c>
      <c r="W21" s="235">
        <f>VLOOKUP(tabParametros[[#Headers],[RAT Ajustado]],tabImpostosNacionais[],2,0)</f>
        <v>0.04</v>
      </c>
      <c r="X21" s="235">
        <f>VLOOKUP(tabParametros[[#Headers],[SEBRAE]],tabImpostosNacionais[],2,0)</f>
        <v>6.0000000000000001E-3</v>
      </c>
      <c r="Y21" s="235">
        <f t="shared" si="0"/>
        <v>8.3333333333333329E-2</v>
      </c>
      <c r="Z21" s="251">
        <f t="shared" si="1"/>
        <v>0.1111111111111111</v>
      </c>
      <c r="AA21" s="234">
        <f>VLOOKUP(tabParametros[[#This Row],[Comarca]],tabComarca[],5,0)</f>
        <v>6.4</v>
      </c>
      <c r="AB21" s="234">
        <f>IFERROR(VLOOKUP(tabParametros[[#This Row],[CCT DA CATEGORIA]],tabSindicatos[],6,0),0)</f>
        <v>29.15</v>
      </c>
      <c r="AC21" s="234">
        <f>IFERROR(VLOOKUP(tabParametros[[#This Row],[CCT DA CATEGORIA]],tabSindicatos[],7,0),0)</f>
        <v>0</v>
      </c>
      <c r="AD21" s="234" cm="1">
        <f t="array" ref="AD21">_xlfn.LET(
_xlpm.COMARCA, TRIM(UPPER(SUBSTITUTE(SUBSTITUTE(SUBSTITUTE(SUBSTITUTE(SUBSTITUTE(SUBSTITUTE(SUBSTITUTE(SUBSTITUTE(SUBSTITUTE(SUBSTITUTE(SUBSTITUTE(SUBSTITUTE(SUBSTITUTE(SUBSTITUTE(SUBSTITUTE(SUBSTITUTE(SUBSTITUTE(SUBSTITUTE(SUBSTITUTE(SUBSTITUTE(SUBSTITUTE(SUBSTITUTE(SUBSTITUTE(SUBSTITUTE(SUBSTITUTE(SUBSTITUTE(tabParametros[[#This Row],[Comarca]],"á","a"),"ã","a"),"â","a"),"é","e"),"ê","e"),"í","i"),"ó","o"),"õ","o"),"ô","o"),"ú","u"),"ç","c"),"Á","a"),"Ã","a"),"Â","a"),"É","e"),"Ê","e"),"Í","i"),"Ó","o"),"Õ","o"),"Ô","o"),"Ú","u"),"Ç","c"),"/MG","")," e ",", ")," ",""),".",""))),
_xlpm.MATRIZ_COMARCA, TRIM(UPPER(SUBSTITUTE(SUBSTITUTE(SUBSTITUTE(SUBSTITUTE(SUBSTITUTE(SUBSTITUTE(SUBSTITUTE(SUBSTITUTE(SUBSTITUTE(SUBSTITUTE(SUBSTITUTE(SUBSTITUTE(SUBSTITUTE(SUBSTITUTE(SUBSTITUTE(SUBSTITUTE(SUBSTITUTE(SUBSTITUTE(SUBSTITUTE(SUBSTITUTE(SUBSTITUTE(SUBSTITUTE(SUBSTITUTE(SUBSTITUTE(SUBSTITUTE(SUBSTITUTE(tabSindicatos[COMARCAS PAF],"á","a"),"ã","a"),"â","a"),"é","e"),"ê","e"),"í","i"),"ó","o"),"õ","o"),"ô","o"),"ú","u"),"ç","c"),"Á","a"),"Ã","a"),"Â","a"),"É","e"),"Ê","e"),"Í","i"),"Ó","o"),"Õ","o"),"Ô","o"),"Ú","u"),"Ç","c"),"/MG","")," e ",", ")," ",""),".",""))),
IFERROR(IF(_xlfn.XLOOKUP(tabParametros[[#This Row],[CCT DA CATEGORIA]],tabSindicatos[SINDICATOS],tabSindicatos[COMARCAS PAF])="",
VLOOKUP(tabParametros[[#This Row],[CCT DA CATEGORIA]],tabSindicatos[],8,0),
IF(ISNUMBER(SEARCH(TRIM(_xlpm.COMARCA),_xlfn.XLOOKUP(tabParametros[[#This Row],[CCT DA CATEGORIA]],tabSindicatos[SINDICATOS],_xlpm.MATRIZ_COMARCA),1)),VLOOKUP(tabParametros[[#This Row],[CCT DA CATEGORIA]],tabSindicatos[],8,0),0)
),0)
)</f>
        <v>0</v>
      </c>
      <c r="AE21" s="234">
        <f>IFERROR(VLOOKUP(tabParametros[[#This Row],[CCT DA CATEGORIA]],tabSindicatos[],9,0),0)</f>
        <v>15.07</v>
      </c>
      <c r="AF21" s="234">
        <f>IFERROR(VLOOKUP(tabParametros[[#This Row],[CCT DA CATEGORIA]],tabSindicatos[],10,0),0)</f>
        <v>0</v>
      </c>
      <c r="AG21" s="236">
        <f>VLOOKUP(tabParametros[[#Headers],[Seguro de Vida]],tabOutrosCustos[],3,0)</f>
        <v>3.36</v>
      </c>
      <c r="AH21" s="236">
        <f>IF(ISNUMBER(SEARCH("MOTORISTA",tabParametros[[#This Row],[Função]],1)),VLOOKUP("MOTORISTAS",tabDiarias[],2,0),IF(tabParametros[[#This Row],[Comarca]]="Belo Horizonte",VLOOKUP("LIMPEZA",tabDiarias[],2,0),0))</f>
        <v>0</v>
      </c>
      <c r="AI21" s="235">
        <f t="shared" si="2"/>
        <v>7.011766975308642E-3</v>
      </c>
      <c r="AJ21" s="237">
        <f>tabParametros[[#This Row],[FGTS]]*tabParametros[[#This Row],[Aviso Prévio Indenizado (API) e Reflexo do Aviso Prévio Indenizado]]</f>
        <v>5.609413580246914E-4</v>
      </c>
      <c r="AK21" s="237">
        <f>tabParametros[[#This Row],[FGTS]]*tabParametros[[#This Row],[Aviso Prévio Indenizado (API) e Reflexo do Aviso Prévio Indenizado]]*40%</f>
        <v>2.2437654320987658E-4</v>
      </c>
      <c r="AL21" s="235">
        <f t="shared" si="3"/>
        <v>3.5000000000000005E-3</v>
      </c>
      <c r="AM21" s="235">
        <f>tabParametros[[#This Row],[Aviso Prévio Trabalhado - APT]]*SUM(tabParametros[[#This Row],[INSS]:[SEBRAE]])</f>
        <v>1.3230000000000004E-3</v>
      </c>
      <c r="AN21" s="235">
        <f t="shared" si="4"/>
        <v>3.0577777777777773E-2</v>
      </c>
      <c r="AO21" s="235">
        <f t="shared" si="5"/>
        <v>8.3333333333333339E-4</v>
      </c>
      <c r="AP21" s="235">
        <f t="shared" si="6"/>
        <v>8.4444444444444437E-3</v>
      </c>
      <c r="AQ21" s="235">
        <f t="shared" si="7"/>
        <v>2.0277777777777777E-3</v>
      </c>
      <c r="AR21" s="235">
        <f t="shared" si="8"/>
        <v>1.7083333333333333E-4</v>
      </c>
      <c r="AS21" s="235">
        <f t="shared" si="9"/>
        <v>2.0833333333333335E-4</v>
      </c>
      <c r="AT21" s="235">
        <f t="shared" si="10"/>
        <v>1.2962962962962963E-3</v>
      </c>
      <c r="AU21" s="237">
        <f>SUM(tabParametros[[#This Row],[Ausência por Doença]:[Férias, Adicional de Férias e 13º  com empregada em gozo de Licença Maternidade]])*SUM(tabParametros[[#This Row],[INSS]:[SEBRAE]])</f>
        <v>4.5918250000000008E-3</v>
      </c>
      <c r="AV21" s="234">
        <f>IF(tabParametros[[#This Row],[Função]]="Porteiro - 220 h",SUM(tabParametros[[#This Row],[Salário Base]:[Adicional de Acúmulo de função]])/220*20*1.5,IF(ISNUMBER(SEARCH("12 x 36",tabParametros[[#This Row],[Função]],1)),SUM(tabParametros[[#This Row],[Salário Base]:[Adicional de Acúmulo de função]])/210*15.5*1.5,0))</f>
        <v>0</v>
      </c>
      <c r="AW21" s="234">
        <f>IF(tabParametros[[#This Row],[Vagas contratadas]]&gt;0,(SUM(tabParametros[[#This Row],[Salário Base]:[Adicional de Acúmulo de função]])*30%+SUM(tabParametros[[#This Row],[Vale - Alimentação]:[Seguro de Vida]]))/tabParametros[[#This Row],[Vagas contratadas]]*tabParametros[[#This Row],[Vagas suspensas]],0)</f>
        <v>0</v>
      </c>
      <c r="AX21" s="234">
        <f>SUMIF(tabUniformes[Cargo],tabParametros[[#This Row],[Função]],tabUniformes[Valor unit. Mensal])</f>
        <v>62.806666666666665</v>
      </c>
      <c r="AY21" s="281">
        <f>IF(ISNUMBER(SEARCH("AUXILIAR DE LIMPEZA - 75 H",tabParametros[[#This Row],[Função]],1)),
SUMIF(tabLimpGeral[TIPO],"Material",tabLimpGeral[VALOR UNITÁRIO P/ HORA (R$)])*75,
IF(ISNUMBER(SEARCH("AUXILIAR DE LIMPEZA - 110 H",tabParametros[[#This Row],[Função]],1)),
SUMIF(tabLimpGeral[TIPO],"Material",tabLimpGeral[VALOR UNITÁRIO P/ HORA (R$)])*110,
IF(ISNUMBER(SEARCH("AUXILIAR DE LIMPEZA - 150 H",tabParametros[[#This Row],[Função]],1)),
SUMIF(tabLimpGeral[TIPO],"Material",tabLimpGeral[VALOR UNITÁRIO P/ HORA (R$)])*150,
IF(ISNUMBER(SEARCH("AUXILIAR DE LIMPEZA - 220 H",tabParametros[[#This Row],[Função]],1)),
SUMIF(tabLimpGeral[TIPO],"Material",tabLimpGeral[VALOR UNITÁRIO P/ HORA (R$)])*220,
IF(ISNUMBER(SEARCH("AUXILIAR DE LIMPEZA - 12 x 36",tabParametros[[#This Row],[Função]],1)),
SUMIF(tabLimpGeral[TIPO],"Material",tabLimpGeral[VALOR UNITÁRIO P/ HORA (R$)])*220,
IF(ISNUMBER(SEARCH("Limpador de vidros - 220 h",tabParametros[[#This Row],[Função]],1)),
SUMIF(tabVidros[TIPO],"Material",tabVidros[VALOR UNITÁRIO P/ POSTO (R$)]),
0))))))</f>
        <v>12.108481690426325</v>
      </c>
      <c r="AZ21" s="281">
        <f>IF(ISNUMBER(SEARCH("AUXILIAR DE LIMPEZA - 75 H",tabParametros[[#This Row],[Função]],1)),
SUMIF(tabLimpGeral[TIPO],"Equipamento",tabLimpGeral[VALOR UNITÁRIO P/ HORA (R$)])*75,
IF(ISNUMBER(SEARCH("AUXILIAR DE LIMPEZA - 110 H",tabParametros[[#This Row],[Função]],1)),
SUMIF(tabLimpGeral[TIPO],"Equipamento",tabLimpGeral[VALOR UNITÁRIO P/ HORA (R$)])*110,
IF(ISNUMBER(SEARCH("AUXILIAR DE LIMPEZA - 150 H",tabParametros[[#This Row],[Função]],1)),
SUMIF(tabLimpGeral[TIPO],"Equipamento",tabLimpGeral[VALOR UNITÁRIO P/ HORA (R$)])*150,
IF(ISNUMBER(SEARCH("AUXILIAR DE LIMPEZA - 220 H",tabParametros[[#This Row],[Função]],1)),
SUMIF(tabLimpGeral[TIPO],"Equipamento",tabLimpGeral[VALOR UNITÁRIO P/ HORA (R$)])*220,
IF(ISNUMBER(SEARCH("AUXILIAR DE LIMPEZA - 12 x 36",tabParametros[[#This Row],[Função]],1)),
SUMIF(tabLimpGeral[TIPO],"Equipamento",tabLimpGeral[VALOR UNITÁRIO P/ HORA (R$)])*220,
IF(ISNUMBER(SEARCH("Limpador de vidros - 220 h",tabParametros[[#This Row],[Função]],1)),
SUMIF(tabVidros[TIPO],"Equipamento",tabVidros[VALOR UNITÁRIO P/ POSTO (R$)]),
0))))))</f>
        <v>21.998657016417809</v>
      </c>
      <c r="BA21" s="281">
        <f>IF(ISNUMBER(SEARCH("AUXILIAR DE LIMPEZA - 75 H",tabParametros[[#This Row],[Função]],1)),
SUMIF(tabLimpGeral[TIPO],"Produto",tabLimpGeral[VALOR UNITÁRIO P/ HORA (R$)])*75,
IF(ISNUMBER(SEARCH("AUXILIAR DE LIMPEZA - 110 H",tabParametros[[#This Row],[Função]],1)),
SUMIF(tabLimpGeral[TIPO],"Produto",tabLimpGeral[VALOR UNITÁRIO P/ HORA (R$)])*110,
IF(ISNUMBER(SEARCH("AUXILIAR DE LIMPEZA - 150 H",tabParametros[[#This Row],[Função]],1)),
SUMIF(tabLimpGeral[TIPO],"Produto",tabLimpGeral[VALOR UNITÁRIO P/ HORA (R$)])*150,
IF(ISNUMBER(SEARCH("AUXILIAR DE LIMPEZA - 220 H",tabParametros[[#This Row],[Função]],1)),
SUMIF(tabLimpGeral[TIPO],"Produto",tabLimpGeral[VALOR UNITÁRIO P/ HORA (R$)])*220,
IF(ISNUMBER(SEARCH("AUXILIAR DE LIMPEZA - 12 x 36",tabParametros[[#This Row],[Função]],1)),
SUMIF(tabLimpGeral[TIPO],"Produto",tabLimpGeral[VALOR UNITÁRIO P/ HORA (R$)])*220,
IF(ISNUMBER(SEARCH("Limpador de vidros - 220 h",tabParametros[[#This Row],[Função]],1)),
SUMIF(tabVidros[TIPO],"Produto",tabVidros[VALOR UNITÁRIO P/ POSTO (R$)]),
0))))))</f>
        <v>235.31984072022155</v>
      </c>
      <c r="BB21" s="281">
        <v>0</v>
      </c>
      <c r="BC21" s="236">
        <f>VLOOKUP(tabParametros[[#Headers],[Custos Indiretos]],tabOutrosCustos[],3,0)</f>
        <v>189.64880140242613</v>
      </c>
      <c r="BD21" s="236">
        <f>VLOOKUP(tabParametros[[#Headers],[Lucro]],tabOutrosCustos[],3,0)</f>
        <v>159.30499317803796</v>
      </c>
      <c r="BE21" s="235">
        <f>VLOOKUP(tabParametros[[#Headers],[COFINS]],tabImpostosNacionais[],2,0)</f>
        <v>7.5999999999999998E-2</v>
      </c>
      <c r="BF21" s="235">
        <f>VLOOKUP(tabParametros[[#Headers],[PIS]],tabImpostosNacionais[],2,0)</f>
        <v>1.6500000000000001E-2</v>
      </c>
      <c r="BG21" s="235">
        <f>VLOOKUP(tabParametros[[#This Row],[Comarca]],tabComarca[],4,0)</f>
        <v>0.03</v>
      </c>
      <c r="BH21" s="238">
        <f>IFERROR(VLOOKUP(tabParametros[[#This Row],[CCT DA CATEGORIA]],tabSindicatos[],11,0),"")</f>
        <v>45658</v>
      </c>
      <c r="BI21" s="289" t="str">
        <f>IFERROR(VLOOKUP(tabParametros[[#This Row],[CCT DA CATEGORIA]],tabSindicatos[],12,0),"")</f>
        <v>-</v>
      </c>
      <c r="BJ21" s="293" t="str">
        <f>IFERROR(VLOOKUP(tabParametros[[#This Row],[CCT DA CATEGORIA]],tabSindicatos[],13,0),"")</f>
        <v>-</v>
      </c>
    </row>
    <row r="22" spans="1:62" x14ac:dyDescent="0.25">
      <c r="A22" s="233" t="s">
        <v>1368</v>
      </c>
      <c r="B22" s="198" t="s">
        <v>28</v>
      </c>
      <c r="C22" s="198" t="s">
        <v>1247</v>
      </c>
      <c r="D22" s="198" t="str">
        <f>VLOOKUP(tabParametros[[#This Row],[Código do Posto]],tabPostos[],4,0)</f>
        <v>Regiao de Sao Lourenco</v>
      </c>
      <c r="E22" s="289" t="str">
        <f>VLOOKUP(tabParametros[[#This Row],[Código do Posto]],tabPostos[],5,0)</f>
        <v>Limpeza</v>
      </c>
      <c r="F22" s="289" t="str">
        <f>VLOOKUP(tabParametros[[#This Row],[Código do Posto]],tabPostos[],6,0)</f>
        <v>PGJ</v>
      </c>
      <c r="G22" s="289">
        <f>VLOOKUP(tabParametros[[#This Row],[Código do Posto]],tabPostos[],7,0)</f>
        <v>1</v>
      </c>
      <c r="H22" s="289">
        <f>VLOOKUP(tabParametros[[#This Row],[Código do Posto]],tabPostos[],8,0)</f>
        <v>0</v>
      </c>
      <c r="I22" s="234">
        <f>VLOOKUP(tabParametros[[#This Row],[Código do Posto]],tabPostos[],9,0)</f>
        <v>544.17999999999995</v>
      </c>
      <c r="J22" s="234">
        <f>IF(ISNUMBER(SEARCH("Eletricista",tabParametros[[#This Row],[Função]],1)),0.3*tabParametros[[#This Row],[Salário Base]],0)</f>
        <v>0</v>
      </c>
      <c r="K22" s="234">
        <f>IF(OR(ISNUMBER(SEARCH("Bombeiro Hidraulico",tabParametros[[#This Row],[Função]],1)),ISNUMBER(SEARCH("Jardineiro",tabParametros[[#This Row],[Função]],1)),ISNUMBER(SEARCH("Lavador de Veiculos",tabParametros[[#This Row],[Função]],1)),ISNUMBER(SEARCH("Marceneiro",tabParametros[[#This Row],[Função]],1)),ISNUMBER(SEARCH("Pintor",tabParametros[[#This Row],[Função]],1))),0.2*'BASE GERAL'!$R$4,0)</f>
        <v>0</v>
      </c>
      <c r="L22" s="234">
        <f>IF(AND(ISNUMBER(SEARCH("Noturno",tabParametros[[#This Row],[Função]],1)),tabParametros[[#This Row],[Comarca]]&lt;&gt;"Juiz de Fora"),tabParametros[[#This Row],[Salário Base]]/210*0.39*7*15.5,IF(ISNUMBER(SEARCH("Noturno",tabParametros[[#This Row],[Função]],1)),tabParametros[[#This Row],[Salário Base]]/210*0.2*8*15.5,0))</f>
        <v>0</v>
      </c>
      <c r="M22" s="234">
        <f>IF(ISNUMBER(SEARCH("Motorista II",tabParametros[[#This Row],[Função]],1)),0.25*tabParametros[[#This Row],[Salário Base]],0)</f>
        <v>0</v>
      </c>
      <c r="N22" s="250">
        <v>0</v>
      </c>
      <c r="O22" s="234">
        <f>IF(ISNUMBER(SEARCH("TECNOLOGIA DA INFORMACAO",tabParametros[[#This Row],[Função]],1)),0.0201*tabParametros[[#This Row],[Salário Base]],0)</f>
        <v>0</v>
      </c>
      <c r="P22" s="250" cm="1">
        <f t="array" ref="P22">_xlfn.IFS(
ISNUMBER(SEARCH("Auxiliar de Limpeza - 75 h",tabParametros[[#This Row],[Função]],1)),tabParametros[[#This Row],[Salário Base]]/75*0.75*30*0.12,
ISNUMBER(SEARCH("Auxiliar de Limpeza - 110 h",tabParametros[[#This Row],[Função]],1)),tabParametros[[#This Row],[Salário Base]]/110*1*30*0.12,
ISNUMBER(SEARCH("Auxiliar de Limpeza - 150 h",tabParametros[[#This Row],[Função]],1)),tabParametros[[#This Row],[Salário Base]]/150*1.5*30*0.12,
ISNUMBER(SEARCH("Auxiliar de Limpeza - 220 h",tabParametros[[#This Row],[Função]],1)),tabParametros[[#This Row],[Salário Base]]/220*2*30*0.12,
ISNUMBER(SEARCH("Auxiliar de Limpeza - 12 x 36",tabParametros[[#This Row],[Função]],1)),tabParametros[[#This Row],[Salário Base]]/220*2*30*0.12,
ISNUMBER(SEARCH("Auxiliar de Limpeza - 55 h",tabParametros[[#This Row],[Função]],1))=FALSE,0)</f>
        <v>19.590479999999999</v>
      </c>
      <c r="Q22" s="235">
        <f>VLOOKUP(tabParametros[[#Headers],[INSS]],tabImpostosNacionais[],2,0)</f>
        <v>0.2</v>
      </c>
      <c r="R22" s="235">
        <f>VLOOKUP(tabParametros[[#Headers],[SESI OU SESC]],tabImpostosNacionais[],2,0)</f>
        <v>1.4999999999999999E-2</v>
      </c>
      <c r="S22" s="235">
        <f>VLOOKUP(tabParametros[[#Headers],[SENAI OU SENAC]],tabImpostosNacionais[],2,0)</f>
        <v>0.01</v>
      </c>
      <c r="T22" s="235">
        <f>VLOOKUP(tabParametros[[#Headers],[INCRA]],tabImpostosNacionais[],2,0)</f>
        <v>2E-3</v>
      </c>
      <c r="U22" s="235">
        <f>VLOOKUP(tabParametros[[#Headers],[Salário Educação]],tabImpostosNacionais[],2,0)</f>
        <v>2.5000000000000001E-2</v>
      </c>
      <c r="V22" s="235">
        <f>VLOOKUP(tabParametros[[#Headers],[FGTS]],tabImpostosNacionais[],2,0)</f>
        <v>0.08</v>
      </c>
      <c r="W22" s="235">
        <f>VLOOKUP(tabParametros[[#Headers],[RAT Ajustado]],tabImpostosNacionais[],2,0)</f>
        <v>0.04</v>
      </c>
      <c r="X22" s="235">
        <f>VLOOKUP(tabParametros[[#Headers],[SEBRAE]],tabImpostosNacionais[],2,0)</f>
        <v>6.0000000000000001E-3</v>
      </c>
      <c r="Y22" s="235">
        <f t="shared" si="0"/>
        <v>8.3333333333333329E-2</v>
      </c>
      <c r="Z22" s="251">
        <f t="shared" si="1"/>
        <v>0.1111111111111111</v>
      </c>
      <c r="AA22" s="234">
        <f>VLOOKUP(tabParametros[[#This Row],[Comarca]],tabComarca[],5,0)</f>
        <v>6.4</v>
      </c>
      <c r="AB22" s="234">
        <f>IFERROR(VLOOKUP(tabParametros[[#This Row],[CCT DA CATEGORIA]],tabSindicatos[],6,0),0)</f>
        <v>29.15</v>
      </c>
      <c r="AC22" s="234">
        <f>IFERROR(VLOOKUP(tabParametros[[#This Row],[CCT DA CATEGORIA]],tabSindicatos[],7,0),0)</f>
        <v>0</v>
      </c>
      <c r="AD22" s="234" cm="1">
        <f t="array" ref="AD22">_xlfn.LET(
_xlpm.COMARCA, TRIM(UPPER(SUBSTITUTE(SUBSTITUTE(SUBSTITUTE(SUBSTITUTE(SUBSTITUTE(SUBSTITUTE(SUBSTITUTE(SUBSTITUTE(SUBSTITUTE(SUBSTITUTE(SUBSTITUTE(SUBSTITUTE(SUBSTITUTE(SUBSTITUTE(SUBSTITUTE(SUBSTITUTE(SUBSTITUTE(SUBSTITUTE(SUBSTITUTE(SUBSTITUTE(SUBSTITUTE(SUBSTITUTE(SUBSTITUTE(SUBSTITUTE(SUBSTITUTE(SUBSTITUTE(tabParametros[[#This Row],[Comarca]],"á","a"),"ã","a"),"â","a"),"é","e"),"ê","e"),"í","i"),"ó","o"),"õ","o"),"ô","o"),"ú","u"),"ç","c"),"Á","a"),"Ã","a"),"Â","a"),"É","e"),"Ê","e"),"Í","i"),"Ó","o"),"Õ","o"),"Ô","o"),"Ú","u"),"Ç","c"),"/MG","")," e ",", ")," ",""),".",""))),
_xlpm.MATRIZ_COMARCA, TRIM(UPPER(SUBSTITUTE(SUBSTITUTE(SUBSTITUTE(SUBSTITUTE(SUBSTITUTE(SUBSTITUTE(SUBSTITUTE(SUBSTITUTE(SUBSTITUTE(SUBSTITUTE(SUBSTITUTE(SUBSTITUTE(SUBSTITUTE(SUBSTITUTE(SUBSTITUTE(SUBSTITUTE(SUBSTITUTE(SUBSTITUTE(SUBSTITUTE(SUBSTITUTE(SUBSTITUTE(SUBSTITUTE(SUBSTITUTE(SUBSTITUTE(SUBSTITUTE(SUBSTITUTE(tabSindicatos[COMARCAS PAF],"á","a"),"ã","a"),"â","a"),"é","e"),"ê","e"),"í","i"),"ó","o"),"õ","o"),"ô","o"),"ú","u"),"ç","c"),"Á","a"),"Ã","a"),"Â","a"),"É","e"),"Ê","e"),"Í","i"),"Ó","o"),"Õ","o"),"Ô","o"),"Ú","u"),"Ç","c"),"/MG","")," e ",", ")," ",""),".",""))),
IFERROR(IF(_xlfn.XLOOKUP(tabParametros[[#This Row],[CCT DA CATEGORIA]],tabSindicatos[SINDICATOS],tabSindicatos[COMARCAS PAF])="",
VLOOKUP(tabParametros[[#This Row],[CCT DA CATEGORIA]],tabSindicatos[],8,0),
IF(ISNUMBER(SEARCH(TRIM(_xlpm.COMARCA),_xlfn.XLOOKUP(tabParametros[[#This Row],[CCT DA CATEGORIA]],tabSindicatos[SINDICATOS],_xlpm.MATRIZ_COMARCA),1)),VLOOKUP(tabParametros[[#This Row],[CCT DA CATEGORIA]],tabSindicatos[],8,0),0)
),0)
)</f>
        <v>0</v>
      </c>
      <c r="AE22" s="234">
        <f>IFERROR(VLOOKUP(tabParametros[[#This Row],[CCT DA CATEGORIA]],tabSindicatos[],9,0),0)</f>
        <v>0</v>
      </c>
      <c r="AF22" s="234">
        <f>IFERROR(VLOOKUP(tabParametros[[#This Row],[CCT DA CATEGORIA]],tabSindicatos[],10,0),0)</f>
        <v>0</v>
      </c>
      <c r="AG22" s="236">
        <f>VLOOKUP(tabParametros[[#Headers],[Seguro de Vida]],tabOutrosCustos[],3,0)</f>
        <v>3.36</v>
      </c>
      <c r="AH22" s="236">
        <f>IF(ISNUMBER(SEARCH("MOTORISTA",tabParametros[[#This Row],[Função]],1)),VLOOKUP("MOTORISTAS",tabDiarias[],2,0),IF(tabParametros[[#This Row],[Comarca]]="Belo Horizonte",VLOOKUP("LIMPEZA",tabDiarias[],2,0),0))</f>
        <v>0</v>
      </c>
      <c r="AI22" s="235">
        <f t="shared" si="2"/>
        <v>7.011766975308642E-3</v>
      </c>
      <c r="AJ22" s="237">
        <f>tabParametros[[#This Row],[FGTS]]*tabParametros[[#This Row],[Aviso Prévio Indenizado (API) e Reflexo do Aviso Prévio Indenizado]]</f>
        <v>5.609413580246914E-4</v>
      </c>
      <c r="AK22" s="237">
        <f>tabParametros[[#This Row],[FGTS]]*tabParametros[[#This Row],[Aviso Prévio Indenizado (API) e Reflexo do Aviso Prévio Indenizado]]*40%</f>
        <v>2.2437654320987658E-4</v>
      </c>
      <c r="AL22" s="235">
        <f t="shared" si="3"/>
        <v>3.5000000000000005E-3</v>
      </c>
      <c r="AM22" s="235">
        <f>tabParametros[[#This Row],[Aviso Prévio Trabalhado - APT]]*SUM(tabParametros[[#This Row],[INSS]:[SEBRAE]])</f>
        <v>1.3230000000000004E-3</v>
      </c>
      <c r="AN22" s="235">
        <f t="shared" si="4"/>
        <v>3.0577777777777773E-2</v>
      </c>
      <c r="AO22" s="235">
        <f t="shared" si="5"/>
        <v>8.3333333333333339E-4</v>
      </c>
      <c r="AP22" s="235">
        <f t="shared" si="6"/>
        <v>8.4444444444444437E-3</v>
      </c>
      <c r="AQ22" s="235">
        <f t="shared" si="7"/>
        <v>2.0277777777777777E-3</v>
      </c>
      <c r="AR22" s="235">
        <f t="shared" si="8"/>
        <v>1.7083333333333333E-4</v>
      </c>
      <c r="AS22" s="235">
        <f t="shared" si="9"/>
        <v>2.0833333333333335E-4</v>
      </c>
      <c r="AT22" s="235">
        <f t="shared" si="10"/>
        <v>1.2962962962962963E-3</v>
      </c>
      <c r="AU22" s="237">
        <f>SUM(tabParametros[[#This Row],[Ausência por Doença]:[Férias, Adicional de Férias e 13º  com empregada em gozo de Licença Maternidade]])*SUM(tabParametros[[#This Row],[INSS]:[SEBRAE]])</f>
        <v>4.5918250000000008E-3</v>
      </c>
      <c r="AV22" s="234">
        <f>IF(tabParametros[[#This Row],[Função]]="Porteiro - 220 h",SUM(tabParametros[[#This Row],[Salário Base]:[Adicional de Acúmulo de função]])/220*20*1.5,IF(ISNUMBER(SEARCH("12 x 36",tabParametros[[#This Row],[Função]],1)),SUM(tabParametros[[#This Row],[Salário Base]:[Adicional de Acúmulo de função]])/210*15.5*1.5,0))</f>
        <v>0</v>
      </c>
      <c r="AW22" s="234">
        <f>IF(tabParametros[[#This Row],[Vagas contratadas]]&gt;0,(SUM(tabParametros[[#This Row],[Salário Base]:[Adicional de Acúmulo de função]])*30%+SUM(tabParametros[[#This Row],[Vale - Alimentação]:[Seguro de Vida]]))/tabParametros[[#This Row],[Vagas contratadas]]*tabParametros[[#This Row],[Vagas suspensas]],0)</f>
        <v>0</v>
      </c>
      <c r="AX22" s="234">
        <f>SUMIF(tabUniformes[Cargo],tabParametros[[#This Row],[Função]],tabUniformes[Valor unit. Mensal])</f>
        <v>62.806666666666665</v>
      </c>
      <c r="AY22" s="281">
        <f>IF(ISNUMBER(SEARCH("AUXILIAR DE LIMPEZA - 75 H",tabParametros[[#This Row],[Função]],1)),
SUMIF(tabLimpGeral[TIPO],"Material",tabLimpGeral[VALOR UNITÁRIO P/ HORA (R$)])*75,
IF(ISNUMBER(SEARCH("AUXILIAR DE LIMPEZA - 110 H",tabParametros[[#This Row],[Função]],1)),
SUMIF(tabLimpGeral[TIPO],"Material",tabLimpGeral[VALOR UNITÁRIO P/ HORA (R$)])*110,
IF(ISNUMBER(SEARCH("AUXILIAR DE LIMPEZA - 150 H",tabParametros[[#This Row],[Função]],1)),
SUMIF(tabLimpGeral[TIPO],"Material",tabLimpGeral[VALOR UNITÁRIO P/ HORA (R$)])*150,
IF(ISNUMBER(SEARCH("AUXILIAR DE LIMPEZA - 220 H",tabParametros[[#This Row],[Função]],1)),
SUMIF(tabLimpGeral[TIPO],"Material",tabLimpGeral[VALOR UNITÁRIO P/ HORA (R$)])*220,
IF(ISNUMBER(SEARCH("AUXILIAR DE LIMPEZA - 12 x 36",tabParametros[[#This Row],[Função]],1)),
SUMIF(tabLimpGeral[TIPO],"Material",tabLimpGeral[VALOR UNITÁRIO P/ HORA (R$)])*220,
IF(ISNUMBER(SEARCH("Limpador de vidros - 220 h",tabParametros[[#This Row],[Função]],1)),
SUMIF(tabVidros[TIPO],"Material",tabVidros[VALOR UNITÁRIO P/ POSTO (R$)]),
0))))))</f>
        <v>12.108481690426325</v>
      </c>
      <c r="AZ22" s="281">
        <f>IF(ISNUMBER(SEARCH("AUXILIAR DE LIMPEZA - 75 H",tabParametros[[#This Row],[Função]],1)),
SUMIF(tabLimpGeral[TIPO],"Equipamento",tabLimpGeral[VALOR UNITÁRIO P/ HORA (R$)])*75,
IF(ISNUMBER(SEARCH("AUXILIAR DE LIMPEZA - 110 H",tabParametros[[#This Row],[Função]],1)),
SUMIF(tabLimpGeral[TIPO],"Equipamento",tabLimpGeral[VALOR UNITÁRIO P/ HORA (R$)])*110,
IF(ISNUMBER(SEARCH("AUXILIAR DE LIMPEZA - 150 H",tabParametros[[#This Row],[Função]],1)),
SUMIF(tabLimpGeral[TIPO],"Equipamento",tabLimpGeral[VALOR UNITÁRIO P/ HORA (R$)])*150,
IF(ISNUMBER(SEARCH("AUXILIAR DE LIMPEZA - 220 H",tabParametros[[#This Row],[Função]],1)),
SUMIF(tabLimpGeral[TIPO],"Equipamento",tabLimpGeral[VALOR UNITÁRIO P/ HORA (R$)])*220,
IF(ISNUMBER(SEARCH("AUXILIAR DE LIMPEZA - 12 x 36",tabParametros[[#This Row],[Função]],1)),
SUMIF(tabLimpGeral[TIPO],"Equipamento",tabLimpGeral[VALOR UNITÁRIO P/ HORA (R$)])*220,
IF(ISNUMBER(SEARCH("Limpador de vidros - 220 h",tabParametros[[#This Row],[Função]],1)),
SUMIF(tabVidros[TIPO],"Equipamento",tabVidros[VALOR UNITÁRIO P/ POSTO (R$)]),
0))))))</f>
        <v>21.998657016417809</v>
      </c>
      <c r="BA22" s="281">
        <f>IF(ISNUMBER(SEARCH("AUXILIAR DE LIMPEZA - 75 H",tabParametros[[#This Row],[Função]],1)),
SUMIF(tabLimpGeral[TIPO],"Produto",tabLimpGeral[VALOR UNITÁRIO P/ HORA (R$)])*75,
IF(ISNUMBER(SEARCH("AUXILIAR DE LIMPEZA - 110 H",tabParametros[[#This Row],[Função]],1)),
SUMIF(tabLimpGeral[TIPO],"Produto",tabLimpGeral[VALOR UNITÁRIO P/ HORA (R$)])*110,
IF(ISNUMBER(SEARCH("AUXILIAR DE LIMPEZA - 150 H",tabParametros[[#This Row],[Função]],1)),
SUMIF(tabLimpGeral[TIPO],"Produto",tabLimpGeral[VALOR UNITÁRIO P/ HORA (R$)])*150,
IF(ISNUMBER(SEARCH("AUXILIAR DE LIMPEZA - 220 H",tabParametros[[#This Row],[Função]],1)),
SUMIF(tabLimpGeral[TIPO],"Produto",tabLimpGeral[VALOR UNITÁRIO P/ HORA (R$)])*220,
IF(ISNUMBER(SEARCH("AUXILIAR DE LIMPEZA - 12 x 36",tabParametros[[#This Row],[Função]],1)),
SUMIF(tabLimpGeral[TIPO],"Produto",tabLimpGeral[VALOR UNITÁRIO P/ HORA (R$)])*220,
IF(ISNUMBER(SEARCH("Limpador de vidros - 220 h",tabParametros[[#This Row],[Função]],1)),
SUMIF(tabVidros[TIPO],"Produto",tabVidros[VALOR UNITÁRIO P/ POSTO (R$)]),
0))))))</f>
        <v>235.31984072022155</v>
      </c>
      <c r="BB22" s="281">
        <v>0</v>
      </c>
      <c r="BC22" s="236">
        <f>VLOOKUP(tabParametros[[#Headers],[Custos Indiretos]],tabOutrosCustos[],3,0)</f>
        <v>189.64880140242613</v>
      </c>
      <c r="BD22" s="236">
        <f>VLOOKUP(tabParametros[[#Headers],[Lucro]],tabOutrosCustos[],3,0)</f>
        <v>159.30499317803796</v>
      </c>
      <c r="BE22" s="235">
        <f>VLOOKUP(tabParametros[[#Headers],[COFINS]],tabImpostosNacionais[],2,0)</f>
        <v>7.5999999999999998E-2</v>
      </c>
      <c r="BF22" s="235">
        <f>VLOOKUP(tabParametros[[#Headers],[PIS]],tabImpostosNacionais[],2,0)</f>
        <v>1.6500000000000001E-2</v>
      </c>
      <c r="BG22" s="235">
        <f>VLOOKUP(tabParametros[[#This Row],[Comarca]],tabComarca[],4,0)</f>
        <v>0.03</v>
      </c>
      <c r="BH22" s="238">
        <f>IFERROR(VLOOKUP(tabParametros[[#This Row],[CCT DA CATEGORIA]],tabSindicatos[],11,0),"")</f>
        <v>45658</v>
      </c>
      <c r="BI22" s="289" t="str">
        <f>IFERROR(VLOOKUP(tabParametros[[#This Row],[CCT DA CATEGORIA]],tabSindicatos[],12,0),"")</f>
        <v>-</v>
      </c>
      <c r="BJ22" s="293" t="str">
        <f>IFERROR(VLOOKUP(tabParametros[[#This Row],[CCT DA CATEGORIA]],tabSindicatos[],13,0),"")</f>
        <v>-</v>
      </c>
    </row>
    <row r="23" spans="1:62" x14ac:dyDescent="0.25">
      <c r="A23" s="233" t="s">
        <v>1369</v>
      </c>
      <c r="B23" s="198" t="s">
        <v>29</v>
      </c>
      <c r="C23" s="198" t="s">
        <v>1244</v>
      </c>
      <c r="D23" s="198" t="str">
        <f>VLOOKUP(tabParametros[[#This Row],[Código do Posto]],tabPostos[],4,0)</f>
        <v>Regiao de Joao Monlevade</v>
      </c>
      <c r="E23" s="289" t="str">
        <f>VLOOKUP(tabParametros[[#This Row],[Código do Posto]],tabPostos[],5,0)</f>
        <v>Limpeza</v>
      </c>
      <c r="F23" s="289" t="str">
        <f>VLOOKUP(tabParametros[[#This Row],[Código do Posto]],tabPostos[],6,0)</f>
        <v>PGJ</v>
      </c>
      <c r="G23" s="289">
        <f>VLOOKUP(tabParametros[[#This Row],[Código do Posto]],tabPostos[],7,0)</f>
        <v>1</v>
      </c>
      <c r="H23" s="289">
        <f>VLOOKUP(tabParametros[[#This Row],[Código do Posto]],tabPostos[],8,0)</f>
        <v>0</v>
      </c>
      <c r="I23" s="234">
        <f>VLOOKUP(tabParametros[[#This Row],[Código do Posto]],tabPostos[],9,0)</f>
        <v>798.14</v>
      </c>
      <c r="J23" s="234">
        <f>IF(ISNUMBER(SEARCH("Eletricista",tabParametros[[#This Row],[Função]],1)),0.3*tabParametros[[#This Row],[Salário Base]],0)</f>
        <v>0</v>
      </c>
      <c r="K23" s="234">
        <f>IF(OR(ISNUMBER(SEARCH("Bombeiro Hidraulico",tabParametros[[#This Row],[Função]],1)),ISNUMBER(SEARCH("Jardineiro",tabParametros[[#This Row],[Função]],1)),ISNUMBER(SEARCH("Lavador de Veiculos",tabParametros[[#This Row],[Função]],1)),ISNUMBER(SEARCH("Marceneiro",tabParametros[[#This Row],[Função]],1)),ISNUMBER(SEARCH("Pintor",tabParametros[[#This Row],[Função]],1))),0.2*'BASE GERAL'!$R$4,0)</f>
        <v>0</v>
      </c>
      <c r="L23" s="234">
        <f>IF(AND(ISNUMBER(SEARCH("Noturno",tabParametros[[#This Row],[Função]],1)),tabParametros[[#This Row],[Comarca]]&lt;&gt;"Juiz de Fora"),tabParametros[[#This Row],[Salário Base]]/210*0.39*7*15.5,IF(ISNUMBER(SEARCH("Noturno",tabParametros[[#This Row],[Função]],1)),tabParametros[[#This Row],[Salário Base]]/210*0.2*8*15.5,0))</f>
        <v>0</v>
      </c>
      <c r="M23" s="234">
        <f>IF(ISNUMBER(SEARCH("Motorista II",tabParametros[[#This Row],[Função]],1)),0.25*tabParametros[[#This Row],[Salário Base]],0)</f>
        <v>0</v>
      </c>
      <c r="N23" s="250">
        <v>0</v>
      </c>
      <c r="O23" s="234">
        <f>IF(ISNUMBER(SEARCH("TECNOLOGIA DA INFORMACAO",tabParametros[[#This Row],[Função]],1)),0.0201*tabParametros[[#This Row],[Salário Base]],0)</f>
        <v>0</v>
      </c>
      <c r="P23" s="250" cm="1">
        <f t="array" ref="P23">_xlfn.IFS(
ISNUMBER(SEARCH("Auxiliar de Limpeza - 75 h",tabParametros[[#This Row],[Função]],1)),tabParametros[[#This Row],[Salário Base]]/75*0.75*30*0.12,
ISNUMBER(SEARCH("Auxiliar de Limpeza - 110 h",tabParametros[[#This Row],[Função]],1)),tabParametros[[#This Row],[Salário Base]]/110*1*30*0.12,
ISNUMBER(SEARCH("Auxiliar de Limpeza - 150 h",tabParametros[[#This Row],[Função]],1)),tabParametros[[#This Row],[Salário Base]]/150*1.5*30*0.12,
ISNUMBER(SEARCH("Auxiliar de Limpeza - 220 h",tabParametros[[#This Row],[Função]],1)),tabParametros[[#This Row],[Salário Base]]/220*2*30*0.12,
ISNUMBER(SEARCH("Auxiliar de Limpeza - 12 x 36",tabParametros[[#This Row],[Função]],1)),tabParametros[[#This Row],[Salário Base]]/220*2*30*0.12,
ISNUMBER(SEARCH("Auxiliar de Limpeza - 55 h",tabParametros[[#This Row],[Função]],1))=FALSE,0)</f>
        <v>26.120945454545453</v>
      </c>
      <c r="Q23" s="235">
        <f>VLOOKUP(tabParametros[[#Headers],[INSS]],tabImpostosNacionais[],2,0)</f>
        <v>0.2</v>
      </c>
      <c r="R23" s="235">
        <f>VLOOKUP(tabParametros[[#Headers],[SESI OU SESC]],tabImpostosNacionais[],2,0)</f>
        <v>1.4999999999999999E-2</v>
      </c>
      <c r="S23" s="235">
        <f>VLOOKUP(tabParametros[[#Headers],[SENAI OU SENAC]],tabImpostosNacionais[],2,0)</f>
        <v>0.01</v>
      </c>
      <c r="T23" s="235">
        <f>VLOOKUP(tabParametros[[#Headers],[INCRA]],tabImpostosNacionais[],2,0)</f>
        <v>2E-3</v>
      </c>
      <c r="U23" s="235">
        <f>VLOOKUP(tabParametros[[#Headers],[Salário Educação]],tabImpostosNacionais[],2,0)</f>
        <v>2.5000000000000001E-2</v>
      </c>
      <c r="V23" s="235">
        <f>VLOOKUP(tabParametros[[#Headers],[FGTS]],tabImpostosNacionais[],2,0)</f>
        <v>0.08</v>
      </c>
      <c r="W23" s="235">
        <f>VLOOKUP(tabParametros[[#Headers],[RAT Ajustado]],tabImpostosNacionais[],2,0)</f>
        <v>0.04</v>
      </c>
      <c r="X23" s="235">
        <f>VLOOKUP(tabParametros[[#Headers],[SEBRAE]],tabImpostosNacionais[],2,0)</f>
        <v>6.0000000000000001E-3</v>
      </c>
      <c r="Y23" s="235">
        <f t="shared" si="0"/>
        <v>8.3333333333333329E-2</v>
      </c>
      <c r="Z23" s="251">
        <f t="shared" si="1"/>
        <v>0.1111111111111111</v>
      </c>
      <c r="AA23" s="234">
        <f>VLOOKUP(tabParametros[[#This Row],[Comarca]],tabComarca[],5,0)</f>
        <v>6.4</v>
      </c>
      <c r="AB23" s="234">
        <f>IFERROR(VLOOKUP(tabParametros[[#This Row],[CCT DA CATEGORIA]],tabSindicatos[],6,0),0)</f>
        <v>29.15</v>
      </c>
      <c r="AC23" s="234">
        <f>IFERROR(VLOOKUP(tabParametros[[#This Row],[CCT DA CATEGORIA]],tabSindicatos[],7,0),0)</f>
        <v>0</v>
      </c>
      <c r="AD23" s="234" cm="1">
        <f t="array" ref="AD23">_xlfn.LET(
_xlpm.COMARCA, TRIM(UPPER(SUBSTITUTE(SUBSTITUTE(SUBSTITUTE(SUBSTITUTE(SUBSTITUTE(SUBSTITUTE(SUBSTITUTE(SUBSTITUTE(SUBSTITUTE(SUBSTITUTE(SUBSTITUTE(SUBSTITUTE(SUBSTITUTE(SUBSTITUTE(SUBSTITUTE(SUBSTITUTE(SUBSTITUTE(SUBSTITUTE(SUBSTITUTE(SUBSTITUTE(SUBSTITUTE(SUBSTITUTE(SUBSTITUTE(SUBSTITUTE(SUBSTITUTE(SUBSTITUTE(tabParametros[[#This Row],[Comarca]],"á","a"),"ã","a"),"â","a"),"é","e"),"ê","e"),"í","i"),"ó","o"),"õ","o"),"ô","o"),"ú","u"),"ç","c"),"Á","a"),"Ã","a"),"Â","a"),"É","e"),"Ê","e"),"Í","i"),"Ó","o"),"Õ","o"),"Ô","o"),"Ú","u"),"Ç","c"),"/MG","")," e ",", ")," ",""),".",""))),
_xlpm.MATRIZ_COMARCA, TRIM(UPPER(SUBSTITUTE(SUBSTITUTE(SUBSTITUTE(SUBSTITUTE(SUBSTITUTE(SUBSTITUTE(SUBSTITUTE(SUBSTITUTE(SUBSTITUTE(SUBSTITUTE(SUBSTITUTE(SUBSTITUTE(SUBSTITUTE(SUBSTITUTE(SUBSTITUTE(SUBSTITUTE(SUBSTITUTE(SUBSTITUTE(SUBSTITUTE(SUBSTITUTE(SUBSTITUTE(SUBSTITUTE(SUBSTITUTE(SUBSTITUTE(SUBSTITUTE(SUBSTITUTE(tabSindicatos[COMARCAS PAF],"á","a"),"ã","a"),"â","a"),"é","e"),"ê","e"),"í","i"),"ó","o"),"õ","o"),"ô","o"),"ú","u"),"ç","c"),"Á","a"),"Ã","a"),"Â","a"),"É","e"),"Ê","e"),"Í","i"),"Ó","o"),"Õ","o"),"Ô","o"),"Ú","u"),"Ç","c"),"/MG","")," e ",", ")," ",""),".",""))),
IFERROR(IF(_xlfn.XLOOKUP(tabParametros[[#This Row],[CCT DA CATEGORIA]],tabSindicatos[SINDICATOS],tabSindicatos[COMARCAS PAF])="",
VLOOKUP(tabParametros[[#This Row],[CCT DA CATEGORIA]],tabSindicatos[],8,0),
IF(ISNUMBER(SEARCH(TRIM(_xlpm.COMARCA),_xlfn.XLOOKUP(tabParametros[[#This Row],[CCT DA CATEGORIA]],tabSindicatos[SINDICATOS],_xlpm.MATRIZ_COMARCA),1)),VLOOKUP(tabParametros[[#This Row],[CCT DA CATEGORIA]],tabSindicatos[],8,0),0)
),0)
)</f>
        <v>50.74</v>
      </c>
      <c r="AE23" s="234">
        <f>IFERROR(VLOOKUP(tabParametros[[#This Row],[CCT DA CATEGORIA]],tabSindicatos[],9,0),0)</f>
        <v>0</v>
      </c>
      <c r="AF23" s="234">
        <f>IFERROR(VLOOKUP(tabParametros[[#This Row],[CCT DA CATEGORIA]],tabSindicatos[],10,0),0)</f>
        <v>0</v>
      </c>
      <c r="AG23" s="236">
        <f>VLOOKUP(tabParametros[[#Headers],[Seguro de Vida]],tabOutrosCustos[],3,0)</f>
        <v>3.36</v>
      </c>
      <c r="AH23" s="236">
        <f>IF(ISNUMBER(SEARCH("MOTORISTA",tabParametros[[#This Row],[Função]],1)),VLOOKUP("MOTORISTAS",tabDiarias[],2,0),IF(tabParametros[[#This Row],[Comarca]]="Belo Horizonte",VLOOKUP("LIMPEZA",tabDiarias[],2,0),0))</f>
        <v>0</v>
      </c>
      <c r="AI23" s="235">
        <f t="shared" si="2"/>
        <v>7.011766975308642E-3</v>
      </c>
      <c r="AJ23" s="237">
        <f>tabParametros[[#This Row],[FGTS]]*tabParametros[[#This Row],[Aviso Prévio Indenizado (API) e Reflexo do Aviso Prévio Indenizado]]</f>
        <v>5.609413580246914E-4</v>
      </c>
      <c r="AK23" s="237">
        <f>tabParametros[[#This Row],[FGTS]]*tabParametros[[#This Row],[Aviso Prévio Indenizado (API) e Reflexo do Aviso Prévio Indenizado]]*40%</f>
        <v>2.2437654320987658E-4</v>
      </c>
      <c r="AL23" s="235">
        <f t="shared" si="3"/>
        <v>3.5000000000000005E-3</v>
      </c>
      <c r="AM23" s="235">
        <f>tabParametros[[#This Row],[Aviso Prévio Trabalhado - APT]]*SUM(tabParametros[[#This Row],[INSS]:[SEBRAE]])</f>
        <v>1.3230000000000004E-3</v>
      </c>
      <c r="AN23" s="235">
        <f t="shared" si="4"/>
        <v>3.0577777777777773E-2</v>
      </c>
      <c r="AO23" s="235">
        <f t="shared" si="5"/>
        <v>8.3333333333333339E-4</v>
      </c>
      <c r="AP23" s="235">
        <f t="shared" si="6"/>
        <v>8.4444444444444437E-3</v>
      </c>
      <c r="AQ23" s="235">
        <f t="shared" si="7"/>
        <v>2.0277777777777777E-3</v>
      </c>
      <c r="AR23" s="235">
        <f t="shared" si="8"/>
        <v>1.7083333333333333E-4</v>
      </c>
      <c r="AS23" s="235">
        <f t="shared" si="9"/>
        <v>2.0833333333333335E-4</v>
      </c>
      <c r="AT23" s="235">
        <f t="shared" si="10"/>
        <v>1.2962962962962963E-3</v>
      </c>
      <c r="AU23" s="237">
        <f>SUM(tabParametros[[#This Row],[Ausência por Doença]:[Férias, Adicional de Férias e 13º  com empregada em gozo de Licença Maternidade]])*SUM(tabParametros[[#This Row],[INSS]:[SEBRAE]])</f>
        <v>4.5918250000000008E-3</v>
      </c>
      <c r="AV23" s="234">
        <f>IF(tabParametros[[#This Row],[Função]]="Porteiro - 220 h",SUM(tabParametros[[#This Row],[Salário Base]:[Adicional de Acúmulo de função]])/220*20*1.5,IF(ISNUMBER(SEARCH("12 x 36",tabParametros[[#This Row],[Função]],1)),SUM(tabParametros[[#This Row],[Salário Base]:[Adicional de Acúmulo de função]])/210*15.5*1.5,0))</f>
        <v>0</v>
      </c>
      <c r="AW23" s="234">
        <f>IF(tabParametros[[#This Row],[Vagas contratadas]]&gt;0,(SUM(tabParametros[[#This Row],[Salário Base]:[Adicional de Acúmulo de função]])*30%+SUM(tabParametros[[#This Row],[Vale - Alimentação]:[Seguro de Vida]]))/tabParametros[[#This Row],[Vagas contratadas]]*tabParametros[[#This Row],[Vagas suspensas]],0)</f>
        <v>0</v>
      </c>
      <c r="AX23" s="234">
        <f>SUMIF(tabUniformes[Cargo],tabParametros[[#This Row],[Função]],tabUniformes[Valor unit. Mensal])</f>
        <v>62.806666666666665</v>
      </c>
      <c r="AY23" s="281">
        <f>IF(ISNUMBER(SEARCH("AUXILIAR DE LIMPEZA - 75 H",tabParametros[[#This Row],[Função]],1)),
SUMIF(tabLimpGeral[TIPO],"Material",tabLimpGeral[VALOR UNITÁRIO P/ HORA (R$)])*75,
IF(ISNUMBER(SEARCH("AUXILIAR DE LIMPEZA - 110 H",tabParametros[[#This Row],[Função]],1)),
SUMIF(tabLimpGeral[TIPO],"Material",tabLimpGeral[VALOR UNITÁRIO P/ HORA (R$)])*110,
IF(ISNUMBER(SEARCH("AUXILIAR DE LIMPEZA - 150 H",tabParametros[[#This Row],[Função]],1)),
SUMIF(tabLimpGeral[TIPO],"Material",tabLimpGeral[VALOR UNITÁRIO P/ HORA (R$)])*150,
IF(ISNUMBER(SEARCH("AUXILIAR DE LIMPEZA - 220 H",tabParametros[[#This Row],[Função]],1)),
SUMIF(tabLimpGeral[TIPO],"Material",tabLimpGeral[VALOR UNITÁRIO P/ HORA (R$)])*220,
IF(ISNUMBER(SEARCH("AUXILIAR DE LIMPEZA - 12 x 36",tabParametros[[#This Row],[Função]],1)),
SUMIF(tabLimpGeral[TIPO],"Material",tabLimpGeral[VALOR UNITÁRIO P/ HORA (R$)])*220,
IF(ISNUMBER(SEARCH("Limpador de vidros - 220 h",tabParametros[[#This Row],[Função]],1)),
SUMIF(tabVidros[TIPO],"Material",tabVidros[VALOR UNITÁRIO P/ POSTO (R$)]),
0))))))</f>
        <v>17.759106479291944</v>
      </c>
      <c r="AZ23" s="281">
        <f>IF(ISNUMBER(SEARCH("AUXILIAR DE LIMPEZA - 75 H",tabParametros[[#This Row],[Função]],1)),
SUMIF(tabLimpGeral[TIPO],"Equipamento",tabLimpGeral[VALOR UNITÁRIO P/ HORA (R$)])*75,
IF(ISNUMBER(SEARCH("AUXILIAR DE LIMPEZA - 110 H",tabParametros[[#This Row],[Função]],1)),
SUMIF(tabLimpGeral[TIPO],"Equipamento",tabLimpGeral[VALOR UNITÁRIO P/ HORA (R$)])*110,
IF(ISNUMBER(SEARCH("AUXILIAR DE LIMPEZA - 150 H",tabParametros[[#This Row],[Função]],1)),
SUMIF(tabLimpGeral[TIPO],"Equipamento",tabLimpGeral[VALOR UNITÁRIO P/ HORA (R$)])*150,
IF(ISNUMBER(SEARCH("AUXILIAR DE LIMPEZA - 220 H",tabParametros[[#This Row],[Função]],1)),
SUMIF(tabLimpGeral[TIPO],"Equipamento",tabLimpGeral[VALOR UNITÁRIO P/ HORA (R$)])*220,
IF(ISNUMBER(SEARCH("AUXILIAR DE LIMPEZA - 12 x 36",tabParametros[[#This Row],[Função]],1)),
SUMIF(tabLimpGeral[TIPO],"Equipamento",tabLimpGeral[VALOR UNITÁRIO P/ HORA (R$)])*220,
IF(ISNUMBER(SEARCH("Limpador de vidros - 220 h",tabParametros[[#This Row],[Função]],1)),
SUMIF(tabVidros[TIPO],"Equipamento",tabVidros[VALOR UNITÁRIO P/ POSTO (R$)]),
0))))))</f>
        <v>32.264696957412788</v>
      </c>
      <c r="BA23" s="281">
        <f>IF(ISNUMBER(SEARCH("AUXILIAR DE LIMPEZA - 75 H",tabParametros[[#This Row],[Função]],1)),
SUMIF(tabLimpGeral[TIPO],"Produto",tabLimpGeral[VALOR UNITÁRIO P/ HORA (R$)])*75,
IF(ISNUMBER(SEARCH("AUXILIAR DE LIMPEZA - 110 H",tabParametros[[#This Row],[Função]],1)),
SUMIF(tabLimpGeral[TIPO],"Produto",tabLimpGeral[VALOR UNITÁRIO P/ HORA (R$)])*110,
IF(ISNUMBER(SEARCH("AUXILIAR DE LIMPEZA - 150 H",tabParametros[[#This Row],[Função]],1)),
SUMIF(tabLimpGeral[TIPO],"Produto",tabLimpGeral[VALOR UNITÁRIO P/ HORA (R$)])*150,
IF(ISNUMBER(SEARCH("AUXILIAR DE LIMPEZA - 220 H",tabParametros[[#This Row],[Função]],1)),
SUMIF(tabLimpGeral[TIPO],"Produto",tabLimpGeral[VALOR UNITÁRIO P/ HORA (R$)])*220,
IF(ISNUMBER(SEARCH("AUXILIAR DE LIMPEZA - 12 x 36",tabParametros[[#This Row],[Função]],1)),
SUMIF(tabLimpGeral[TIPO],"Produto",tabLimpGeral[VALOR UNITÁRIO P/ HORA (R$)])*220,
IF(ISNUMBER(SEARCH("Limpador de vidros - 220 h",tabParametros[[#This Row],[Função]],1)),
SUMIF(tabVidros[TIPO],"Produto",tabVidros[VALOR UNITÁRIO P/ POSTO (R$)]),
0))))))</f>
        <v>345.13576638965827</v>
      </c>
      <c r="BB23" s="281">
        <v>0</v>
      </c>
      <c r="BC23" s="236">
        <f>VLOOKUP(tabParametros[[#Headers],[Custos Indiretos]],tabOutrosCustos[],3,0)</f>
        <v>189.64880140242613</v>
      </c>
      <c r="BD23" s="236">
        <f>VLOOKUP(tabParametros[[#Headers],[Lucro]],tabOutrosCustos[],3,0)</f>
        <v>159.30499317803796</v>
      </c>
      <c r="BE23" s="235">
        <f>VLOOKUP(tabParametros[[#Headers],[COFINS]],tabImpostosNacionais[],2,0)</f>
        <v>7.5999999999999998E-2</v>
      </c>
      <c r="BF23" s="235">
        <f>VLOOKUP(tabParametros[[#Headers],[PIS]],tabImpostosNacionais[],2,0)</f>
        <v>1.6500000000000001E-2</v>
      </c>
      <c r="BG23" s="235">
        <f>VLOOKUP(tabParametros[[#This Row],[Comarca]],tabComarca[],4,0)</f>
        <v>0.05</v>
      </c>
      <c r="BH23" s="238">
        <f>IFERROR(VLOOKUP(tabParametros[[#This Row],[CCT DA CATEGORIA]],tabSindicatos[],11,0),"")</f>
        <v>45658</v>
      </c>
      <c r="BI23" s="289" t="str">
        <f>IFERROR(VLOOKUP(tabParametros[[#This Row],[CCT DA CATEGORIA]],tabSindicatos[],12,0),"")</f>
        <v>-</v>
      </c>
      <c r="BJ23" s="293" t="str">
        <f>IFERROR(VLOOKUP(tabParametros[[#This Row],[CCT DA CATEGORIA]],tabSindicatos[],13,0),"")</f>
        <v>-</v>
      </c>
    </row>
    <row r="24" spans="1:62" x14ac:dyDescent="0.25">
      <c r="A24" s="233" t="s">
        <v>1370</v>
      </c>
      <c r="B24" s="198" t="s">
        <v>30</v>
      </c>
      <c r="C24" s="198" t="s">
        <v>1245</v>
      </c>
      <c r="D24" s="198" t="str">
        <f>VLOOKUP(tabParametros[[#This Row],[Código do Posto]],tabPostos[],4,0)</f>
        <v>Regiao de Juiz de Fora</v>
      </c>
      <c r="E24" s="289" t="str">
        <f>VLOOKUP(tabParametros[[#This Row],[Código do Posto]],tabPostos[],5,0)</f>
        <v>Limpeza</v>
      </c>
      <c r="F24" s="289" t="str">
        <f>VLOOKUP(tabParametros[[#This Row],[Código do Posto]],tabPostos[],6,0)</f>
        <v>PGJ</v>
      </c>
      <c r="G24" s="289">
        <f>VLOOKUP(tabParametros[[#This Row],[Código do Posto]],tabPostos[],7,0)</f>
        <v>2</v>
      </c>
      <c r="H24" s="289">
        <f>VLOOKUP(tabParametros[[#This Row],[Código do Posto]],tabPostos[],8,0)</f>
        <v>0</v>
      </c>
      <c r="I24" s="234">
        <f>VLOOKUP(tabParametros[[#This Row],[Código do Posto]],tabPostos[],9,0)</f>
        <v>1596.28</v>
      </c>
      <c r="J24" s="234">
        <f>IF(ISNUMBER(SEARCH("Eletricista",tabParametros[[#This Row],[Função]],1)),0.3*tabParametros[[#This Row],[Salário Base]],0)</f>
        <v>0</v>
      </c>
      <c r="K24" s="234">
        <f>IF(OR(ISNUMBER(SEARCH("Bombeiro Hidraulico",tabParametros[[#This Row],[Função]],1)),ISNUMBER(SEARCH("Jardineiro",tabParametros[[#This Row],[Função]],1)),ISNUMBER(SEARCH("Lavador de Veiculos",tabParametros[[#This Row],[Função]],1)),ISNUMBER(SEARCH("Marceneiro",tabParametros[[#This Row],[Função]],1)),ISNUMBER(SEARCH("Pintor",tabParametros[[#This Row],[Função]],1))),0.2*'BASE GERAL'!$R$4,0)</f>
        <v>0</v>
      </c>
      <c r="L24" s="234">
        <f>IF(AND(ISNUMBER(SEARCH("Noturno",tabParametros[[#This Row],[Função]],1)),tabParametros[[#This Row],[Comarca]]&lt;&gt;"Juiz de Fora"),tabParametros[[#This Row],[Salário Base]]/210*0.39*7*15.5,IF(ISNUMBER(SEARCH("Noturno",tabParametros[[#This Row],[Função]],1)),tabParametros[[#This Row],[Salário Base]]/210*0.2*8*15.5,0))</f>
        <v>0</v>
      </c>
      <c r="M24" s="234">
        <f>IF(ISNUMBER(SEARCH("Motorista II",tabParametros[[#This Row],[Função]],1)),0.25*tabParametros[[#This Row],[Salário Base]],0)</f>
        <v>0</v>
      </c>
      <c r="N24" s="250">
        <v>0</v>
      </c>
      <c r="O24" s="234">
        <f>IF(ISNUMBER(SEARCH("TECNOLOGIA DA INFORMACAO",tabParametros[[#This Row],[Função]],1)),0.0201*tabParametros[[#This Row],[Salário Base]],0)</f>
        <v>0</v>
      </c>
      <c r="P24" s="250" cm="1">
        <f t="array" ref="P24">_xlfn.IFS(
ISNUMBER(SEARCH("Auxiliar de Limpeza - 75 h",tabParametros[[#This Row],[Função]],1)),tabParametros[[#This Row],[Salário Base]]/75*0.75*30*0.12,
ISNUMBER(SEARCH("Auxiliar de Limpeza - 110 h",tabParametros[[#This Row],[Função]],1)),tabParametros[[#This Row],[Salário Base]]/110*1*30*0.12,
ISNUMBER(SEARCH("Auxiliar de Limpeza - 150 h",tabParametros[[#This Row],[Função]],1)),tabParametros[[#This Row],[Salário Base]]/150*1.5*30*0.12,
ISNUMBER(SEARCH("Auxiliar de Limpeza - 220 h",tabParametros[[#This Row],[Função]],1)),tabParametros[[#This Row],[Salário Base]]/220*2*30*0.12,
ISNUMBER(SEARCH("Auxiliar de Limpeza - 12 x 36",tabParametros[[#This Row],[Função]],1)),tabParametros[[#This Row],[Salário Base]]/220*2*30*0.12,
ISNUMBER(SEARCH("Auxiliar de Limpeza - 55 h",tabParametros[[#This Row],[Função]],1))=FALSE,0)</f>
        <v>52.241890909090905</v>
      </c>
      <c r="Q24" s="235">
        <f>VLOOKUP(tabParametros[[#Headers],[INSS]],tabImpostosNacionais[],2,0)</f>
        <v>0.2</v>
      </c>
      <c r="R24" s="235">
        <f>VLOOKUP(tabParametros[[#Headers],[SESI OU SESC]],tabImpostosNacionais[],2,0)</f>
        <v>1.4999999999999999E-2</v>
      </c>
      <c r="S24" s="235">
        <f>VLOOKUP(tabParametros[[#Headers],[SENAI OU SENAC]],tabImpostosNacionais[],2,0)</f>
        <v>0.01</v>
      </c>
      <c r="T24" s="235">
        <f>VLOOKUP(tabParametros[[#Headers],[INCRA]],tabImpostosNacionais[],2,0)</f>
        <v>2E-3</v>
      </c>
      <c r="U24" s="235">
        <f>VLOOKUP(tabParametros[[#Headers],[Salário Educação]],tabImpostosNacionais[],2,0)</f>
        <v>2.5000000000000001E-2</v>
      </c>
      <c r="V24" s="235">
        <f>VLOOKUP(tabParametros[[#Headers],[FGTS]],tabImpostosNacionais[],2,0)</f>
        <v>0.08</v>
      </c>
      <c r="W24" s="235">
        <f>VLOOKUP(tabParametros[[#Headers],[RAT Ajustado]],tabImpostosNacionais[],2,0)</f>
        <v>0.04</v>
      </c>
      <c r="X24" s="235">
        <f>VLOOKUP(tabParametros[[#Headers],[SEBRAE]],tabImpostosNacionais[],2,0)</f>
        <v>6.0000000000000001E-3</v>
      </c>
      <c r="Y24" s="235">
        <f t="shared" si="0"/>
        <v>8.3333333333333329E-2</v>
      </c>
      <c r="Z24" s="251">
        <f t="shared" si="1"/>
        <v>0.1111111111111111</v>
      </c>
      <c r="AA24" s="234">
        <f>VLOOKUP(tabParametros[[#This Row],[Comarca]],tabComarca[],5,0)</f>
        <v>6.4</v>
      </c>
      <c r="AB24" s="234">
        <f>IFERROR(VLOOKUP(tabParametros[[#This Row],[CCT DA CATEGORIA]],tabSindicatos[],6,0),0)</f>
        <v>29.15</v>
      </c>
      <c r="AC24" s="234">
        <f>IFERROR(VLOOKUP(tabParametros[[#This Row],[CCT DA CATEGORIA]],tabSindicatos[],7,0),0)</f>
        <v>0</v>
      </c>
      <c r="AD24" s="234" cm="1">
        <f t="array" ref="AD24">_xlfn.LET(
_xlpm.COMARCA, TRIM(UPPER(SUBSTITUTE(SUBSTITUTE(SUBSTITUTE(SUBSTITUTE(SUBSTITUTE(SUBSTITUTE(SUBSTITUTE(SUBSTITUTE(SUBSTITUTE(SUBSTITUTE(SUBSTITUTE(SUBSTITUTE(SUBSTITUTE(SUBSTITUTE(SUBSTITUTE(SUBSTITUTE(SUBSTITUTE(SUBSTITUTE(SUBSTITUTE(SUBSTITUTE(SUBSTITUTE(SUBSTITUTE(SUBSTITUTE(SUBSTITUTE(SUBSTITUTE(SUBSTITUTE(tabParametros[[#This Row],[Comarca]],"á","a"),"ã","a"),"â","a"),"é","e"),"ê","e"),"í","i"),"ó","o"),"õ","o"),"ô","o"),"ú","u"),"ç","c"),"Á","a"),"Ã","a"),"Â","a"),"É","e"),"Ê","e"),"Í","i"),"Ó","o"),"Õ","o"),"Ô","o"),"Ú","u"),"Ç","c"),"/MG","")," e ",", ")," ",""),".",""))),
_xlpm.MATRIZ_COMARCA, TRIM(UPPER(SUBSTITUTE(SUBSTITUTE(SUBSTITUTE(SUBSTITUTE(SUBSTITUTE(SUBSTITUTE(SUBSTITUTE(SUBSTITUTE(SUBSTITUTE(SUBSTITUTE(SUBSTITUTE(SUBSTITUTE(SUBSTITUTE(SUBSTITUTE(SUBSTITUTE(SUBSTITUTE(SUBSTITUTE(SUBSTITUTE(SUBSTITUTE(SUBSTITUTE(SUBSTITUTE(SUBSTITUTE(SUBSTITUTE(SUBSTITUTE(SUBSTITUTE(SUBSTITUTE(tabSindicatos[COMARCAS PAF],"á","a"),"ã","a"),"â","a"),"é","e"),"ê","e"),"í","i"),"ó","o"),"õ","o"),"ô","o"),"ú","u"),"ç","c"),"Á","a"),"Ã","a"),"Â","a"),"É","e"),"Ê","e"),"Í","i"),"Ó","o"),"Õ","o"),"Ô","o"),"Ú","u"),"Ç","c"),"/MG","")," e ",", ")," ",""),".",""))),
IFERROR(IF(_xlfn.XLOOKUP(tabParametros[[#This Row],[CCT DA CATEGORIA]],tabSindicatos[SINDICATOS],tabSindicatos[COMARCAS PAF])="",
VLOOKUP(tabParametros[[#This Row],[CCT DA CATEGORIA]],tabSindicatos[],8,0),
IF(ISNUMBER(SEARCH(TRIM(_xlpm.COMARCA),_xlfn.XLOOKUP(tabParametros[[#This Row],[CCT DA CATEGORIA]],tabSindicatos[SINDICATOS],_xlpm.MATRIZ_COMARCA),1)),VLOOKUP(tabParametros[[#This Row],[CCT DA CATEGORIA]],tabSindicatos[],8,0),0)
),0)
)</f>
        <v>51.88</v>
      </c>
      <c r="AE24" s="234">
        <f>IFERROR(VLOOKUP(tabParametros[[#This Row],[CCT DA CATEGORIA]],tabSindicatos[],9,0),0)</f>
        <v>0</v>
      </c>
      <c r="AF24" s="234">
        <f>IFERROR(VLOOKUP(tabParametros[[#This Row],[CCT DA CATEGORIA]],tabSindicatos[],10,0),0)</f>
        <v>0</v>
      </c>
      <c r="AG24" s="236">
        <f>VLOOKUP(tabParametros[[#Headers],[Seguro de Vida]],tabOutrosCustos[],3,0)</f>
        <v>3.36</v>
      </c>
      <c r="AH24" s="236">
        <f>IF(ISNUMBER(SEARCH("MOTORISTA",tabParametros[[#This Row],[Função]],1)),VLOOKUP("MOTORISTAS",tabDiarias[],2,0),IF(tabParametros[[#This Row],[Comarca]]="Belo Horizonte",VLOOKUP("LIMPEZA",tabDiarias[],2,0),0))</f>
        <v>0</v>
      </c>
      <c r="AI24" s="235">
        <f t="shared" si="2"/>
        <v>7.011766975308642E-3</v>
      </c>
      <c r="AJ24" s="237">
        <f>tabParametros[[#This Row],[FGTS]]*tabParametros[[#This Row],[Aviso Prévio Indenizado (API) e Reflexo do Aviso Prévio Indenizado]]</f>
        <v>5.609413580246914E-4</v>
      </c>
      <c r="AK24" s="237">
        <f>tabParametros[[#This Row],[FGTS]]*tabParametros[[#This Row],[Aviso Prévio Indenizado (API) e Reflexo do Aviso Prévio Indenizado]]*40%</f>
        <v>2.2437654320987658E-4</v>
      </c>
      <c r="AL24" s="235">
        <f t="shared" si="3"/>
        <v>3.5000000000000005E-3</v>
      </c>
      <c r="AM24" s="235">
        <f>tabParametros[[#This Row],[Aviso Prévio Trabalhado - APT]]*SUM(tabParametros[[#This Row],[INSS]:[SEBRAE]])</f>
        <v>1.3230000000000004E-3</v>
      </c>
      <c r="AN24" s="235">
        <f t="shared" si="4"/>
        <v>3.0577777777777773E-2</v>
      </c>
      <c r="AO24" s="235">
        <f t="shared" si="5"/>
        <v>8.3333333333333339E-4</v>
      </c>
      <c r="AP24" s="235">
        <f t="shared" si="6"/>
        <v>8.4444444444444437E-3</v>
      </c>
      <c r="AQ24" s="235">
        <f t="shared" si="7"/>
        <v>2.0277777777777777E-3</v>
      </c>
      <c r="AR24" s="235">
        <f t="shared" si="8"/>
        <v>1.7083333333333333E-4</v>
      </c>
      <c r="AS24" s="235">
        <f t="shared" si="9"/>
        <v>2.0833333333333335E-4</v>
      </c>
      <c r="AT24" s="235">
        <f t="shared" si="10"/>
        <v>1.2962962962962963E-3</v>
      </c>
      <c r="AU24" s="237">
        <f>SUM(tabParametros[[#This Row],[Ausência por Doença]:[Férias, Adicional de Férias e 13º  com empregada em gozo de Licença Maternidade]])*SUM(tabParametros[[#This Row],[INSS]:[SEBRAE]])</f>
        <v>4.5918250000000008E-3</v>
      </c>
      <c r="AV24" s="234">
        <f>IF(tabParametros[[#This Row],[Função]]="Porteiro - 220 h",SUM(tabParametros[[#This Row],[Salário Base]:[Adicional de Acúmulo de função]])/220*20*1.5,IF(ISNUMBER(SEARCH("12 x 36",tabParametros[[#This Row],[Função]],1)),SUM(tabParametros[[#This Row],[Salário Base]:[Adicional de Acúmulo de função]])/210*15.5*1.5,0))</f>
        <v>0</v>
      </c>
      <c r="AW24" s="234">
        <f>IF(tabParametros[[#This Row],[Vagas contratadas]]&gt;0,(SUM(tabParametros[[#This Row],[Salário Base]:[Adicional de Acúmulo de função]])*30%+SUM(tabParametros[[#This Row],[Vale - Alimentação]:[Seguro de Vida]]))/tabParametros[[#This Row],[Vagas contratadas]]*tabParametros[[#This Row],[Vagas suspensas]],0)</f>
        <v>0</v>
      </c>
      <c r="AX24" s="234">
        <f>SUMIF(tabUniformes[Cargo],tabParametros[[#This Row],[Função]],tabUniformes[Valor unit. Mensal])</f>
        <v>100.80916666666666</v>
      </c>
      <c r="AY24" s="281">
        <f>IF(ISNUMBER(SEARCH("AUXILIAR DE LIMPEZA - 75 H",tabParametros[[#This Row],[Função]],1)),
SUMIF(tabLimpGeral[TIPO],"Material",tabLimpGeral[VALOR UNITÁRIO P/ HORA (R$)])*75,
IF(ISNUMBER(SEARCH("AUXILIAR DE LIMPEZA - 110 H",tabParametros[[#This Row],[Função]],1)),
SUMIF(tabLimpGeral[TIPO],"Material",tabLimpGeral[VALOR UNITÁRIO P/ HORA (R$)])*110,
IF(ISNUMBER(SEARCH("AUXILIAR DE LIMPEZA - 150 H",tabParametros[[#This Row],[Função]],1)),
SUMIF(tabLimpGeral[TIPO],"Material",tabLimpGeral[VALOR UNITÁRIO P/ HORA (R$)])*150,
IF(ISNUMBER(SEARCH("AUXILIAR DE LIMPEZA - 220 H",tabParametros[[#This Row],[Função]],1)),
SUMIF(tabLimpGeral[TIPO],"Material",tabLimpGeral[VALOR UNITÁRIO P/ HORA (R$)])*220,
IF(ISNUMBER(SEARCH("AUXILIAR DE LIMPEZA - 12 x 36",tabParametros[[#This Row],[Função]],1)),
SUMIF(tabLimpGeral[TIPO],"Material",tabLimpGeral[VALOR UNITÁRIO P/ HORA (R$)])*220,
IF(ISNUMBER(SEARCH("Limpador de vidros - 220 h",tabParametros[[#This Row],[Função]],1)),
SUMIF(tabVidros[TIPO],"Material",tabVidros[VALOR UNITÁRIO P/ POSTO (R$)]),
0))))))</f>
        <v>35.518212958583888</v>
      </c>
      <c r="AZ24" s="281">
        <f>IF(ISNUMBER(SEARCH("AUXILIAR DE LIMPEZA - 75 H",tabParametros[[#This Row],[Função]],1)),
SUMIF(tabLimpGeral[TIPO],"Equipamento",tabLimpGeral[VALOR UNITÁRIO P/ HORA (R$)])*75,
IF(ISNUMBER(SEARCH("AUXILIAR DE LIMPEZA - 110 H",tabParametros[[#This Row],[Função]],1)),
SUMIF(tabLimpGeral[TIPO],"Equipamento",tabLimpGeral[VALOR UNITÁRIO P/ HORA (R$)])*110,
IF(ISNUMBER(SEARCH("AUXILIAR DE LIMPEZA - 150 H",tabParametros[[#This Row],[Função]],1)),
SUMIF(tabLimpGeral[TIPO],"Equipamento",tabLimpGeral[VALOR UNITÁRIO P/ HORA (R$)])*150,
IF(ISNUMBER(SEARCH("AUXILIAR DE LIMPEZA - 220 H",tabParametros[[#This Row],[Função]],1)),
SUMIF(tabLimpGeral[TIPO],"Equipamento",tabLimpGeral[VALOR UNITÁRIO P/ HORA (R$)])*220,
IF(ISNUMBER(SEARCH("AUXILIAR DE LIMPEZA - 12 x 36",tabParametros[[#This Row],[Função]],1)),
SUMIF(tabLimpGeral[TIPO],"Equipamento",tabLimpGeral[VALOR UNITÁRIO P/ HORA (R$)])*220,
IF(ISNUMBER(SEARCH("Limpador de vidros - 220 h",tabParametros[[#This Row],[Função]],1)),
SUMIF(tabVidros[TIPO],"Equipamento",tabVidros[VALOR UNITÁRIO P/ POSTO (R$)]),
0))))))</f>
        <v>64.529393914825576</v>
      </c>
      <c r="BA24" s="281">
        <f>IF(ISNUMBER(SEARCH("AUXILIAR DE LIMPEZA - 75 H",tabParametros[[#This Row],[Função]],1)),
SUMIF(tabLimpGeral[TIPO],"Produto",tabLimpGeral[VALOR UNITÁRIO P/ HORA (R$)])*75,
IF(ISNUMBER(SEARCH("AUXILIAR DE LIMPEZA - 110 H",tabParametros[[#This Row],[Função]],1)),
SUMIF(tabLimpGeral[TIPO],"Produto",tabLimpGeral[VALOR UNITÁRIO P/ HORA (R$)])*110,
IF(ISNUMBER(SEARCH("AUXILIAR DE LIMPEZA - 150 H",tabParametros[[#This Row],[Função]],1)),
SUMIF(tabLimpGeral[TIPO],"Produto",tabLimpGeral[VALOR UNITÁRIO P/ HORA (R$)])*150,
IF(ISNUMBER(SEARCH("AUXILIAR DE LIMPEZA - 220 H",tabParametros[[#This Row],[Função]],1)),
SUMIF(tabLimpGeral[TIPO],"Produto",tabLimpGeral[VALOR UNITÁRIO P/ HORA (R$)])*220,
IF(ISNUMBER(SEARCH("AUXILIAR DE LIMPEZA - 12 x 36",tabParametros[[#This Row],[Função]],1)),
SUMIF(tabLimpGeral[TIPO],"Produto",tabLimpGeral[VALOR UNITÁRIO P/ HORA (R$)])*220,
IF(ISNUMBER(SEARCH("Limpador de vidros - 220 h",tabParametros[[#This Row],[Função]],1)),
SUMIF(tabVidros[TIPO],"Produto",tabVidros[VALOR UNITÁRIO P/ POSTO (R$)]),
0))))))</f>
        <v>690.27153277931654</v>
      </c>
      <c r="BB24" s="281">
        <v>0</v>
      </c>
      <c r="BC24" s="236">
        <f>VLOOKUP(tabParametros[[#Headers],[Custos Indiretos]],tabOutrosCustos[],3,0)</f>
        <v>189.64880140242613</v>
      </c>
      <c r="BD24" s="236">
        <f>VLOOKUP(tabParametros[[#Headers],[Lucro]],tabOutrosCustos[],3,0)</f>
        <v>159.30499317803796</v>
      </c>
      <c r="BE24" s="235">
        <f>VLOOKUP(tabParametros[[#Headers],[COFINS]],tabImpostosNacionais[],2,0)</f>
        <v>7.5999999999999998E-2</v>
      </c>
      <c r="BF24" s="235">
        <f>VLOOKUP(tabParametros[[#Headers],[PIS]],tabImpostosNacionais[],2,0)</f>
        <v>1.6500000000000001E-2</v>
      </c>
      <c r="BG24" s="235">
        <f>VLOOKUP(tabParametros[[#This Row],[Comarca]],tabComarca[],4,0)</f>
        <v>2.5000000000000001E-2</v>
      </c>
      <c r="BH24" s="238">
        <f>IFERROR(VLOOKUP(tabParametros[[#This Row],[CCT DA CATEGORIA]],tabSindicatos[],11,0),"")</f>
        <v>45658</v>
      </c>
      <c r="BI24" s="289" t="str">
        <f>IFERROR(VLOOKUP(tabParametros[[#This Row],[CCT DA CATEGORIA]],tabSindicatos[],12,0),"")</f>
        <v>-</v>
      </c>
      <c r="BJ24" s="293" t="str">
        <f>IFERROR(VLOOKUP(tabParametros[[#This Row],[CCT DA CATEGORIA]],tabSindicatos[],13,0),"")</f>
        <v>-</v>
      </c>
    </row>
    <row r="25" spans="1:62" x14ac:dyDescent="0.25">
      <c r="A25" s="233" t="s">
        <v>1085</v>
      </c>
      <c r="B25" s="198" t="s">
        <v>31</v>
      </c>
      <c r="C25" s="198" t="s">
        <v>1267</v>
      </c>
      <c r="D25" s="198" t="str">
        <f>VLOOKUP(tabParametros[[#This Row],[Código do Posto]],tabPostos[],4,0)</f>
        <v>SEAC/SINDEAC</v>
      </c>
      <c r="E25" s="289" t="str">
        <f>VLOOKUP(tabParametros[[#This Row],[Código do Posto]],tabPostos[],5,0)</f>
        <v>Limpeza</v>
      </c>
      <c r="F25" s="289" t="str">
        <f>VLOOKUP(tabParametros[[#This Row],[Código do Posto]],tabPostos[],6,0)</f>
        <v>PGJ</v>
      </c>
      <c r="G25" s="289">
        <f>VLOOKUP(tabParametros[[#This Row],[Código do Posto]],tabPostos[],7,0)</f>
        <v>2</v>
      </c>
      <c r="H25" s="289">
        <f>VLOOKUP(tabParametros[[#This Row],[Código do Posto]],tabPostos[],8,0)</f>
        <v>0</v>
      </c>
      <c r="I25" s="234">
        <f>VLOOKUP(tabParametros[[#This Row],[Código do Posto]],tabPostos[],9,0)</f>
        <v>1649.12</v>
      </c>
      <c r="J25" s="234">
        <f>IF(ISNUMBER(SEARCH("Eletricista",tabParametros[[#This Row],[Função]],1)),0.3*tabParametros[[#This Row],[Salário Base]],0)</f>
        <v>0</v>
      </c>
      <c r="K25" s="234">
        <f>IF(OR(ISNUMBER(SEARCH("Bombeiro Hidraulico",tabParametros[[#This Row],[Função]],1)),ISNUMBER(SEARCH("Jardineiro",tabParametros[[#This Row],[Função]],1)),ISNUMBER(SEARCH("Lavador de Veiculos",tabParametros[[#This Row],[Função]],1)),ISNUMBER(SEARCH("Marceneiro",tabParametros[[#This Row],[Função]],1)),ISNUMBER(SEARCH("Pintor",tabParametros[[#This Row],[Função]],1))),0.2*'BASE GERAL'!$R$4,0)</f>
        <v>0</v>
      </c>
      <c r="L25" s="234">
        <f>IF(AND(ISNUMBER(SEARCH("Noturno",tabParametros[[#This Row],[Função]],1)),tabParametros[[#This Row],[Comarca]]&lt;&gt;"Juiz de Fora"),tabParametros[[#This Row],[Salário Base]]/210*0.39*7*15.5,IF(ISNUMBER(SEARCH("Noturno",tabParametros[[#This Row],[Função]],1)),tabParametros[[#This Row],[Salário Base]]/210*0.2*8*15.5,0))</f>
        <v>0</v>
      </c>
      <c r="M25" s="234">
        <f>IF(ISNUMBER(SEARCH("Motorista II",tabParametros[[#This Row],[Função]],1)),0.25*tabParametros[[#This Row],[Salário Base]],0)</f>
        <v>0</v>
      </c>
      <c r="N25" s="250">
        <v>0</v>
      </c>
      <c r="O25" s="234">
        <f>IF(ISNUMBER(SEARCH("TECNOLOGIA DA INFORMACAO",tabParametros[[#This Row],[Função]],1)),0.0201*tabParametros[[#This Row],[Salário Base]],0)</f>
        <v>0</v>
      </c>
      <c r="P25" s="250" cm="1">
        <f t="array" ref="P25">_xlfn.IFS(
ISNUMBER(SEARCH("Auxiliar de Limpeza - 75 h",tabParametros[[#This Row],[Função]],1)),tabParametros[[#This Row],[Salário Base]]/75*0.75*30*0.12,
ISNUMBER(SEARCH("Auxiliar de Limpeza - 110 h",tabParametros[[#This Row],[Função]],1)),tabParametros[[#This Row],[Salário Base]]/110*1*30*0.12,
ISNUMBER(SEARCH("Auxiliar de Limpeza - 150 h",tabParametros[[#This Row],[Função]],1)),tabParametros[[#This Row],[Salário Base]]/150*1.5*30*0.12,
ISNUMBER(SEARCH("Auxiliar de Limpeza - 220 h",tabParametros[[#This Row],[Função]],1)),tabParametros[[#This Row],[Salário Base]]/220*2*30*0.12,
ISNUMBER(SEARCH("Auxiliar de Limpeza - 12 x 36",tabParametros[[#This Row],[Função]],1)),tabParametros[[#This Row],[Salário Base]]/220*2*30*0.12,
ISNUMBER(SEARCH("Auxiliar de Limpeza - 55 h",tabParametros[[#This Row],[Função]],1))=FALSE,0)</f>
        <v>53.971199999999996</v>
      </c>
      <c r="Q25" s="235">
        <f>VLOOKUP(tabParametros[[#Headers],[INSS]],tabImpostosNacionais[],2,0)</f>
        <v>0.2</v>
      </c>
      <c r="R25" s="235">
        <f>VLOOKUP(tabParametros[[#Headers],[SESI OU SESC]],tabImpostosNacionais[],2,0)</f>
        <v>1.4999999999999999E-2</v>
      </c>
      <c r="S25" s="235">
        <f>VLOOKUP(tabParametros[[#Headers],[SENAI OU SENAC]],tabImpostosNacionais[],2,0)</f>
        <v>0.01</v>
      </c>
      <c r="T25" s="235">
        <f>VLOOKUP(tabParametros[[#Headers],[INCRA]],tabImpostosNacionais[],2,0)</f>
        <v>2E-3</v>
      </c>
      <c r="U25" s="235">
        <f>VLOOKUP(tabParametros[[#Headers],[Salário Educação]],tabImpostosNacionais[],2,0)</f>
        <v>2.5000000000000001E-2</v>
      </c>
      <c r="V25" s="235">
        <f>VLOOKUP(tabParametros[[#Headers],[FGTS]],tabImpostosNacionais[],2,0)</f>
        <v>0.08</v>
      </c>
      <c r="W25" s="235">
        <f>VLOOKUP(tabParametros[[#Headers],[RAT Ajustado]],tabImpostosNacionais[],2,0)</f>
        <v>0.04</v>
      </c>
      <c r="X25" s="235">
        <f>VLOOKUP(tabParametros[[#Headers],[SEBRAE]],tabImpostosNacionais[],2,0)</f>
        <v>6.0000000000000001E-3</v>
      </c>
      <c r="Y25" s="235">
        <f t="shared" si="0"/>
        <v>8.3333333333333329E-2</v>
      </c>
      <c r="Z25" s="251">
        <f t="shared" si="1"/>
        <v>0.1111111111111111</v>
      </c>
      <c r="AA25" s="234">
        <f>VLOOKUP(tabParametros[[#This Row],[Comarca]],tabComarca[],5,0)</f>
        <v>11.25</v>
      </c>
      <c r="AB25" s="234">
        <f>IFERROR(VLOOKUP(tabParametros[[#This Row],[CCT DA CATEGORIA]],tabSindicatos[],6,0),0)</f>
        <v>29.15</v>
      </c>
      <c r="AC25" s="234">
        <f>IFERROR(VLOOKUP(tabParametros[[#This Row],[CCT DA CATEGORIA]],tabSindicatos[],7,0),0)</f>
        <v>0</v>
      </c>
      <c r="AD25" s="234" cm="1">
        <f t="array" ref="AD25">_xlfn.LET(
_xlpm.COMARCA, TRIM(UPPER(SUBSTITUTE(SUBSTITUTE(SUBSTITUTE(SUBSTITUTE(SUBSTITUTE(SUBSTITUTE(SUBSTITUTE(SUBSTITUTE(SUBSTITUTE(SUBSTITUTE(SUBSTITUTE(SUBSTITUTE(SUBSTITUTE(SUBSTITUTE(SUBSTITUTE(SUBSTITUTE(SUBSTITUTE(SUBSTITUTE(SUBSTITUTE(SUBSTITUTE(SUBSTITUTE(SUBSTITUTE(SUBSTITUTE(SUBSTITUTE(SUBSTITUTE(SUBSTITUTE(tabParametros[[#This Row],[Comarca]],"á","a"),"ã","a"),"â","a"),"é","e"),"ê","e"),"í","i"),"ó","o"),"õ","o"),"ô","o"),"ú","u"),"ç","c"),"Á","a"),"Ã","a"),"Â","a"),"É","e"),"Ê","e"),"Í","i"),"Ó","o"),"Õ","o"),"Ô","o"),"Ú","u"),"Ç","c"),"/MG","")," e ",", ")," ",""),".",""))),
_xlpm.MATRIZ_COMARCA, TRIM(UPPER(SUBSTITUTE(SUBSTITUTE(SUBSTITUTE(SUBSTITUTE(SUBSTITUTE(SUBSTITUTE(SUBSTITUTE(SUBSTITUTE(SUBSTITUTE(SUBSTITUTE(SUBSTITUTE(SUBSTITUTE(SUBSTITUTE(SUBSTITUTE(SUBSTITUTE(SUBSTITUTE(SUBSTITUTE(SUBSTITUTE(SUBSTITUTE(SUBSTITUTE(SUBSTITUTE(SUBSTITUTE(SUBSTITUTE(SUBSTITUTE(SUBSTITUTE(SUBSTITUTE(tabSindicatos[COMARCAS PAF],"á","a"),"ã","a"),"â","a"),"é","e"),"ê","e"),"í","i"),"ó","o"),"õ","o"),"ô","o"),"ú","u"),"ç","c"),"Á","a"),"Ã","a"),"Â","a"),"É","e"),"Ê","e"),"Í","i"),"Ó","o"),"Õ","o"),"Ô","o"),"Ú","u"),"Ç","c"),"/MG","")," e ",", ")," ",""),".",""))),
IFERROR(IF(_xlfn.XLOOKUP(tabParametros[[#This Row],[CCT DA CATEGORIA]],tabSindicatos[SINDICATOS],tabSindicatos[COMARCAS PAF])="",
VLOOKUP(tabParametros[[#This Row],[CCT DA CATEGORIA]],tabSindicatos[],8,0),
IF(ISNUMBER(SEARCH(TRIM(_xlpm.COMARCA),_xlfn.XLOOKUP(tabParametros[[#This Row],[CCT DA CATEGORIA]],tabSindicatos[SINDICATOS],_xlpm.MATRIZ_COMARCA),1)),VLOOKUP(tabParametros[[#This Row],[CCT DA CATEGORIA]],tabSindicatos[],8,0),0)
),0)
)</f>
        <v>95.9</v>
      </c>
      <c r="AE25" s="234">
        <f>IFERROR(VLOOKUP(tabParametros[[#This Row],[CCT DA CATEGORIA]],tabSindicatos[],9,0),0)</f>
        <v>0</v>
      </c>
      <c r="AF25" s="234">
        <f>IFERROR(VLOOKUP(tabParametros[[#This Row],[CCT DA CATEGORIA]],tabSindicatos[],10,0),0)</f>
        <v>0</v>
      </c>
      <c r="AG25" s="236">
        <f>VLOOKUP(tabParametros[[#Headers],[Seguro de Vida]],tabOutrosCustos[],3,0)</f>
        <v>3.36</v>
      </c>
      <c r="AH25" s="236">
        <f>IF(ISNUMBER(SEARCH("MOTORISTA",tabParametros[[#This Row],[Função]],1)),VLOOKUP("MOTORISTAS",tabDiarias[],2,0),IF(tabParametros[[#This Row],[Comarca]]="Belo Horizonte",VLOOKUP("LIMPEZA",tabDiarias[],2,0),0))</f>
        <v>10.19</v>
      </c>
      <c r="AI25" s="235">
        <f t="shared" si="2"/>
        <v>7.011766975308642E-3</v>
      </c>
      <c r="AJ25" s="237">
        <f>tabParametros[[#This Row],[FGTS]]*tabParametros[[#This Row],[Aviso Prévio Indenizado (API) e Reflexo do Aviso Prévio Indenizado]]</f>
        <v>5.609413580246914E-4</v>
      </c>
      <c r="AK25" s="237">
        <f>tabParametros[[#This Row],[FGTS]]*tabParametros[[#This Row],[Aviso Prévio Indenizado (API) e Reflexo do Aviso Prévio Indenizado]]*40%</f>
        <v>2.2437654320987658E-4</v>
      </c>
      <c r="AL25" s="235">
        <f t="shared" si="3"/>
        <v>3.5000000000000005E-3</v>
      </c>
      <c r="AM25" s="235">
        <f>tabParametros[[#This Row],[Aviso Prévio Trabalhado - APT]]*SUM(tabParametros[[#This Row],[INSS]:[SEBRAE]])</f>
        <v>1.3230000000000004E-3</v>
      </c>
      <c r="AN25" s="235">
        <f t="shared" si="4"/>
        <v>3.0577777777777773E-2</v>
      </c>
      <c r="AO25" s="235">
        <f t="shared" si="5"/>
        <v>8.3333333333333339E-4</v>
      </c>
      <c r="AP25" s="235">
        <f t="shared" si="6"/>
        <v>8.4444444444444437E-3</v>
      </c>
      <c r="AQ25" s="235">
        <f t="shared" si="7"/>
        <v>2.0277777777777777E-3</v>
      </c>
      <c r="AR25" s="235">
        <f t="shared" si="8"/>
        <v>1.7083333333333333E-4</v>
      </c>
      <c r="AS25" s="235">
        <f t="shared" si="9"/>
        <v>2.0833333333333335E-4</v>
      </c>
      <c r="AT25" s="235">
        <f t="shared" si="10"/>
        <v>1.2962962962962963E-3</v>
      </c>
      <c r="AU25" s="237">
        <f>SUM(tabParametros[[#This Row],[Ausência por Doença]:[Férias, Adicional de Férias e 13º  com empregada em gozo de Licença Maternidade]])*SUM(tabParametros[[#This Row],[INSS]:[SEBRAE]])</f>
        <v>4.5918250000000008E-3</v>
      </c>
      <c r="AV25" s="234">
        <f>IF(tabParametros[[#This Row],[Função]]="Porteiro - 220 h",SUM(tabParametros[[#This Row],[Salário Base]:[Adicional de Acúmulo de função]])/220*20*1.5,IF(ISNUMBER(SEARCH("12 x 36",tabParametros[[#This Row],[Função]],1)),SUM(tabParametros[[#This Row],[Salário Base]:[Adicional de Acúmulo de função]])/210*15.5*1.5,0))</f>
        <v>188.55652571428567</v>
      </c>
      <c r="AW25" s="234">
        <f>IF(tabParametros[[#This Row],[Vagas contratadas]]&gt;0,(SUM(tabParametros[[#This Row],[Salário Base]:[Adicional de Acúmulo de função]])*30%+SUM(tabParametros[[#This Row],[Vale - Alimentação]:[Seguro de Vida]]))/tabParametros[[#This Row],[Vagas contratadas]]*tabParametros[[#This Row],[Vagas suspensas]],0)</f>
        <v>0</v>
      </c>
      <c r="AX25" s="234">
        <f>SUMIF(tabUniformes[Cargo],tabParametros[[#This Row],[Função]],tabUniformes[Valor unit. Mensal])</f>
        <v>100.80916666666668</v>
      </c>
      <c r="AY25" s="281">
        <f>IF(ISNUMBER(SEARCH("AUXILIAR DE LIMPEZA - 75 H",tabParametros[[#This Row],[Função]],1)),
SUMIF(tabLimpGeral[TIPO],"Material",tabLimpGeral[VALOR UNITÁRIO P/ HORA (R$)])*75,
IF(ISNUMBER(SEARCH("AUXILIAR DE LIMPEZA - 110 H",tabParametros[[#This Row],[Função]],1)),
SUMIF(tabLimpGeral[TIPO],"Material",tabLimpGeral[VALOR UNITÁRIO P/ HORA (R$)])*110,
IF(ISNUMBER(SEARCH("AUXILIAR DE LIMPEZA - 150 H",tabParametros[[#This Row],[Função]],1)),
SUMIF(tabLimpGeral[TIPO],"Material",tabLimpGeral[VALOR UNITÁRIO P/ HORA (R$)])*150,
IF(ISNUMBER(SEARCH("AUXILIAR DE LIMPEZA - 220 H",tabParametros[[#This Row],[Função]],1)),
SUMIF(tabLimpGeral[TIPO],"Material",tabLimpGeral[VALOR UNITÁRIO P/ HORA (R$)])*220,
IF(ISNUMBER(SEARCH("AUXILIAR DE LIMPEZA - 12 x 36",tabParametros[[#This Row],[Função]],1)),
SUMIF(tabLimpGeral[TIPO],"Material",tabLimpGeral[VALOR UNITÁRIO P/ HORA (R$)])*220,
IF(ISNUMBER(SEARCH("Limpador de vidros - 220 h",tabParametros[[#This Row],[Função]],1)),
SUMIF(tabVidros[TIPO],"Material",tabVidros[VALOR UNITÁRIO P/ POSTO (R$)]),
0))))))</f>
        <v>35.518212958583888</v>
      </c>
      <c r="AZ25" s="281">
        <f>IF(ISNUMBER(SEARCH("AUXILIAR DE LIMPEZA - 75 H",tabParametros[[#This Row],[Função]],1)),
SUMIF(tabLimpGeral[TIPO],"Equipamento",tabLimpGeral[VALOR UNITÁRIO P/ HORA (R$)])*75,
IF(ISNUMBER(SEARCH("AUXILIAR DE LIMPEZA - 110 H",tabParametros[[#This Row],[Função]],1)),
SUMIF(tabLimpGeral[TIPO],"Equipamento",tabLimpGeral[VALOR UNITÁRIO P/ HORA (R$)])*110,
IF(ISNUMBER(SEARCH("AUXILIAR DE LIMPEZA - 150 H",tabParametros[[#This Row],[Função]],1)),
SUMIF(tabLimpGeral[TIPO],"Equipamento",tabLimpGeral[VALOR UNITÁRIO P/ HORA (R$)])*150,
IF(ISNUMBER(SEARCH("AUXILIAR DE LIMPEZA - 220 H",tabParametros[[#This Row],[Função]],1)),
SUMIF(tabLimpGeral[TIPO],"Equipamento",tabLimpGeral[VALOR UNITÁRIO P/ HORA (R$)])*220,
IF(ISNUMBER(SEARCH("AUXILIAR DE LIMPEZA - 12 x 36",tabParametros[[#This Row],[Função]],1)),
SUMIF(tabLimpGeral[TIPO],"Equipamento",tabLimpGeral[VALOR UNITÁRIO P/ HORA (R$)])*220,
IF(ISNUMBER(SEARCH("Limpador de vidros - 220 h",tabParametros[[#This Row],[Função]],1)),
SUMIF(tabVidros[TIPO],"Equipamento",tabVidros[VALOR UNITÁRIO P/ POSTO (R$)]),
0))))))</f>
        <v>64.529393914825576</v>
      </c>
      <c r="BA25" s="281">
        <f>IF(ISNUMBER(SEARCH("AUXILIAR DE LIMPEZA - 75 H",tabParametros[[#This Row],[Função]],1)),
SUMIF(tabLimpGeral[TIPO],"Produto",tabLimpGeral[VALOR UNITÁRIO P/ HORA (R$)])*75,
IF(ISNUMBER(SEARCH("AUXILIAR DE LIMPEZA - 110 H",tabParametros[[#This Row],[Função]],1)),
SUMIF(tabLimpGeral[TIPO],"Produto",tabLimpGeral[VALOR UNITÁRIO P/ HORA (R$)])*110,
IF(ISNUMBER(SEARCH("AUXILIAR DE LIMPEZA - 150 H",tabParametros[[#This Row],[Função]],1)),
SUMIF(tabLimpGeral[TIPO],"Produto",tabLimpGeral[VALOR UNITÁRIO P/ HORA (R$)])*150,
IF(ISNUMBER(SEARCH("AUXILIAR DE LIMPEZA - 220 H",tabParametros[[#This Row],[Função]],1)),
SUMIF(tabLimpGeral[TIPO],"Produto",tabLimpGeral[VALOR UNITÁRIO P/ HORA (R$)])*220,
IF(ISNUMBER(SEARCH("AUXILIAR DE LIMPEZA - 12 x 36",tabParametros[[#This Row],[Função]],1)),
SUMIF(tabLimpGeral[TIPO],"Produto",tabLimpGeral[VALOR UNITÁRIO P/ HORA (R$)])*220,
IF(ISNUMBER(SEARCH("Limpador de vidros - 220 h",tabParametros[[#This Row],[Função]],1)),
SUMIF(tabVidros[TIPO],"Produto",tabVidros[VALOR UNITÁRIO P/ POSTO (R$)]),
0))))))</f>
        <v>690.27153277931654</v>
      </c>
      <c r="BB25" s="281">
        <v>0</v>
      </c>
      <c r="BC25" s="236">
        <f>VLOOKUP(tabParametros[[#Headers],[Custos Indiretos]],tabOutrosCustos[],3,0)</f>
        <v>189.64880140242613</v>
      </c>
      <c r="BD25" s="236">
        <f>VLOOKUP(tabParametros[[#Headers],[Lucro]],tabOutrosCustos[],3,0)</f>
        <v>159.30499317803796</v>
      </c>
      <c r="BE25" s="235">
        <f>VLOOKUP(tabParametros[[#Headers],[COFINS]],tabImpostosNacionais[],2,0)</f>
        <v>7.5999999999999998E-2</v>
      </c>
      <c r="BF25" s="235">
        <f>VLOOKUP(tabParametros[[#Headers],[PIS]],tabImpostosNacionais[],2,0)</f>
        <v>1.6500000000000001E-2</v>
      </c>
      <c r="BG25" s="235">
        <f>VLOOKUP(tabParametros[[#This Row],[Comarca]],tabComarca[],4,0)</f>
        <v>0.05</v>
      </c>
      <c r="BH25" s="238">
        <f>IFERROR(VLOOKUP(tabParametros[[#This Row],[CCT DA CATEGORIA]],tabSindicatos[],11,0),"")</f>
        <v>45658</v>
      </c>
      <c r="BI25" s="289" t="str">
        <f>IFERROR(VLOOKUP(tabParametros[[#This Row],[CCT DA CATEGORIA]],tabSindicatos[],12,0),"")</f>
        <v>-</v>
      </c>
      <c r="BJ25" s="293" t="str">
        <f>IFERROR(VLOOKUP(tabParametros[[#This Row],[CCT DA CATEGORIA]],tabSindicatos[],13,0),"")</f>
        <v>-</v>
      </c>
    </row>
    <row r="26" spans="1:62" x14ac:dyDescent="0.25">
      <c r="A26" s="233" t="s">
        <v>1087</v>
      </c>
      <c r="B26" s="198" t="s">
        <v>31</v>
      </c>
      <c r="C26" s="198" t="s">
        <v>1278</v>
      </c>
      <c r="D26" s="198" t="str">
        <f>VLOOKUP(tabParametros[[#This Row],[Código do Posto]],tabPostos[],4,0)</f>
        <v>SEAC/SINDEAC</v>
      </c>
      <c r="E26" s="289" t="str">
        <f>VLOOKUP(tabParametros[[#This Row],[Código do Posto]],tabPostos[],5,0)</f>
        <v>Limpeza</v>
      </c>
      <c r="F26" s="289" t="str">
        <f>VLOOKUP(tabParametros[[#This Row],[Código do Posto]],tabPostos[],6,0)</f>
        <v>PGJ</v>
      </c>
      <c r="G26" s="289">
        <f>VLOOKUP(tabParametros[[#This Row],[Código do Posto]],tabPostos[],7,0)</f>
        <v>2</v>
      </c>
      <c r="H26" s="289">
        <f>VLOOKUP(tabParametros[[#This Row],[Código do Posto]],tabPostos[],8,0)</f>
        <v>0</v>
      </c>
      <c r="I26" s="234">
        <f>VLOOKUP(tabParametros[[#This Row],[Código do Posto]],tabPostos[],9,0)</f>
        <v>1649.12</v>
      </c>
      <c r="J26" s="234">
        <f>IF(ISNUMBER(SEARCH("Eletricista",tabParametros[[#This Row],[Função]],1)),0.3*tabParametros[[#This Row],[Salário Base]],0)</f>
        <v>0</v>
      </c>
      <c r="K26" s="234">
        <f>IF(OR(ISNUMBER(SEARCH("Bombeiro Hidraulico",tabParametros[[#This Row],[Função]],1)),ISNUMBER(SEARCH("Jardineiro",tabParametros[[#This Row],[Função]],1)),ISNUMBER(SEARCH("Lavador de Veiculos",tabParametros[[#This Row],[Função]],1)),ISNUMBER(SEARCH("Marceneiro",tabParametros[[#This Row],[Função]],1)),ISNUMBER(SEARCH("Pintor",tabParametros[[#This Row],[Função]],1))),0.2*'BASE GERAL'!$R$4,0)</f>
        <v>0</v>
      </c>
      <c r="L26" s="234">
        <f>IF(AND(ISNUMBER(SEARCH("Noturno",tabParametros[[#This Row],[Função]],1)),tabParametros[[#This Row],[Comarca]]&lt;&gt;"Juiz de Fora"),tabParametros[[#This Row],[Salário Base]]/210*0.39*7*15.5,IF(ISNUMBER(SEARCH("Noturno",tabParametros[[#This Row],[Função]],1)),tabParametros[[#This Row],[Salário Base]]/210*0.2*8*15.5,0))</f>
        <v>332.29767999999996</v>
      </c>
      <c r="M26" s="234">
        <f>IF(ISNUMBER(SEARCH("Motorista II",tabParametros[[#This Row],[Função]],1)),0.25*tabParametros[[#This Row],[Salário Base]],0)</f>
        <v>0</v>
      </c>
      <c r="N26" s="250">
        <v>0</v>
      </c>
      <c r="O26" s="234">
        <f>IF(ISNUMBER(SEARCH("TECNOLOGIA DA INFORMACAO",tabParametros[[#This Row],[Função]],1)),0.0201*tabParametros[[#This Row],[Salário Base]],0)</f>
        <v>0</v>
      </c>
      <c r="P26" s="250" cm="1">
        <f t="array" ref="P26">_xlfn.IFS(
ISNUMBER(SEARCH("Auxiliar de Limpeza - 75 h",tabParametros[[#This Row],[Função]],1)),tabParametros[[#This Row],[Salário Base]]/75*0.75*30*0.12,
ISNUMBER(SEARCH("Auxiliar de Limpeza - 110 h",tabParametros[[#This Row],[Função]],1)),tabParametros[[#This Row],[Salário Base]]/110*1*30*0.12,
ISNUMBER(SEARCH("Auxiliar de Limpeza - 150 h",tabParametros[[#This Row],[Função]],1)),tabParametros[[#This Row],[Salário Base]]/150*1.5*30*0.12,
ISNUMBER(SEARCH("Auxiliar de Limpeza - 220 h",tabParametros[[#This Row],[Função]],1)),tabParametros[[#This Row],[Salário Base]]/220*2*30*0.12,
ISNUMBER(SEARCH("Auxiliar de Limpeza - 12 x 36",tabParametros[[#This Row],[Função]],1)),tabParametros[[#This Row],[Salário Base]]/220*2*30*0.12,
ISNUMBER(SEARCH("Auxiliar de Limpeza - 55 h",tabParametros[[#This Row],[Função]],1))=FALSE,0)</f>
        <v>53.971199999999996</v>
      </c>
      <c r="Q26" s="235">
        <f>VLOOKUP(tabParametros[[#Headers],[INSS]],tabImpostosNacionais[],2,0)</f>
        <v>0.2</v>
      </c>
      <c r="R26" s="235">
        <f>VLOOKUP(tabParametros[[#Headers],[SESI OU SESC]],tabImpostosNacionais[],2,0)</f>
        <v>1.4999999999999999E-2</v>
      </c>
      <c r="S26" s="235">
        <f>VLOOKUP(tabParametros[[#Headers],[SENAI OU SENAC]],tabImpostosNacionais[],2,0)</f>
        <v>0.01</v>
      </c>
      <c r="T26" s="235">
        <f>VLOOKUP(tabParametros[[#Headers],[INCRA]],tabImpostosNacionais[],2,0)</f>
        <v>2E-3</v>
      </c>
      <c r="U26" s="235">
        <f>VLOOKUP(tabParametros[[#Headers],[Salário Educação]],tabImpostosNacionais[],2,0)</f>
        <v>2.5000000000000001E-2</v>
      </c>
      <c r="V26" s="235">
        <f>VLOOKUP(tabParametros[[#Headers],[FGTS]],tabImpostosNacionais[],2,0)</f>
        <v>0.08</v>
      </c>
      <c r="W26" s="235">
        <f>VLOOKUP(tabParametros[[#Headers],[RAT Ajustado]],tabImpostosNacionais[],2,0)</f>
        <v>0.04</v>
      </c>
      <c r="X26" s="235">
        <f>VLOOKUP(tabParametros[[#Headers],[SEBRAE]],tabImpostosNacionais[],2,0)</f>
        <v>6.0000000000000001E-3</v>
      </c>
      <c r="Y26" s="235">
        <f t="shared" si="0"/>
        <v>8.3333333333333329E-2</v>
      </c>
      <c r="Z26" s="251">
        <f t="shared" si="1"/>
        <v>0.1111111111111111</v>
      </c>
      <c r="AA26" s="234">
        <f>VLOOKUP(tabParametros[[#This Row],[Comarca]],tabComarca[],5,0)</f>
        <v>11.25</v>
      </c>
      <c r="AB26" s="234">
        <f>IFERROR(VLOOKUP(tabParametros[[#This Row],[CCT DA CATEGORIA]],tabSindicatos[],6,0),0)</f>
        <v>29.15</v>
      </c>
      <c r="AC26" s="234">
        <f>IFERROR(VLOOKUP(tabParametros[[#This Row],[CCT DA CATEGORIA]],tabSindicatos[],7,0),0)</f>
        <v>0</v>
      </c>
      <c r="AD26" s="234" cm="1">
        <f t="array" ref="AD26">_xlfn.LET(
_xlpm.COMARCA, TRIM(UPPER(SUBSTITUTE(SUBSTITUTE(SUBSTITUTE(SUBSTITUTE(SUBSTITUTE(SUBSTITUTE(SUBSTITUTE(SUBSTITUTE(SUBSTITUTE(SUBSTITUTE(SUBSTITUTE(SUBSTITUTE(SUBSTITUTE(SUBSTITUTE(SUBSTITUTE(SUBSTITUTE(SUBSTITUTE(SUBSTITUTE(SUBSTITUTE(SUBSTITUTE(SUBSTITUTE(SUBSTITUTE(SUBSTITUTE(SUBSTITUTE(SUBSTITUTE(SUBSTITUTE(tabParametros[[#This Row],[Comarca]],"á","a"),"ã","a"),"â","a"),"é","e"),"ê","e"),"í","i"),"ó","o"),"õ","o"),"ô","o"),"ú","u"),"ç","c"),"Á","a"),"Ã","a"),"Â","a"),"É","e"),"Ê","e"),"Í","i"),"Ó","o"),"Õ","o"),"Ô","o"),"Ú","u"),"Ç","c"),"/MG","")," e ",", ")," ",""),".",""))),
_xlpm.MATRIZ_COMARCA, TRIM(UPPER(SUBSTITUTE(SUBSTITUTE(SUBSTITUTE(SUBSTITUTE(SUBSTITUTE(SUBSTITUTE(SUBSTITUTE(SUBSTITUTE(SUBSTITUTE(SUBSTITUTE(SUBSTITUTE(SUBSTITUTE(SUBSTITUTE(SUBSTITUTE(SUBSTITUTE(SUBSTITUTE(SUBSTITUTE(SUBSTITUTE(SUBSTITUTE(SUBSTITUTE(SUBSTITUTE(SUBSTITUTE(SUBSTITUTE(SUBSTITUTE(SUBSTITUTE(SUBSTITUTE(tabSindicatos[COMARCAS PAF],"á","a"),"ã","a"),"â","a"),"é","e"),"ê","e"),"í","i"),"ó","o"),"õ","o"),"ô","o"),"ú","u"),"ç","c"),"Á","a"),"Ã","a"),"Â","a"),"É","e"),"Ê","e"),"Í","i"),"Ó","o"),"Õ","o"),"Ô","o"),"Ú","u"),"Ç","c"),"/MG","")," e ",", ")," ",""),".",""))),
IFERROR(IF(_xlfn.XLOOKUP(tabParametros[[#This Row],[CCT DA CATEGORIA]],tabSindicatos[SINDICATOS],tabSindicatos[COMARCAS PAF])="",
VLOOKUP(tabParametros[[#This Row],[CCT DA CATEGORIA]],tabSindicatos[],8,0),
IF(ISNUMBER(SEARCH(TRIM(_xlpm.COMARCA),_xlfn.XLOOKUP(tabParametros[[#This Row],[CCT DA CATEGORIA]],tabSindicatos[SINDICATOS],_xlpm.MATRIZ_COMARCA),1)),VLOOKUP(tabParametros[[#This Row],[CCT DA CATEGORIA]],tabSindicatos[],8,0),0)
),0)
)</f>
        <v>95.9</v>
      </c>
      <c r="AE26" s="234">
        <f>IFERROR(VLOOKUP(tabParametros[[#This Row],[CCT DA CATEGORIA]],tabSindicatos[],9,0),0)</f>
        <v>0</v>
      </c>
      <c r="AF26" s="234">
        <f>IFERROR(VLOOKUP(tabParametros[[#This Row],[CCT DA CATEGORIA]],tabSindicatos[],10,0),0)</f>
        <v>0</v>
      </c>
      <c r="AG26" s="236">
        <f>VLOOKUP(tabParametros[[#Headers],[Seguro de Vida]],tabOutrosCustos[],3,0)</f>
        <v>3.36</v>
      </c>
      <c r="AH26" s="236">
        <f>IF(ISNUMBER(SEARCH("MOTORISTA",tabParametros[[#This Row],[Função]],1)),VLOOKUP("MOTORISTAS",tabDiarias[],2,0),IF(tabParametros[[#This Row],[Comarca]]="Belo Horizonte",VLOOKUP("LIMPEZA",tabDiarias[],2,0),0))</f>
        <v>10.19</v>
      </c>
      <c r="AI26" s="235">
        <f t="shared" si="2"/>
        <v>7.011766975308642E-3</v>
      </c>
      <c r="AJ26" s="237">
        <f>tabParametros[[#This Row],[FGTS]]*tabParametros[[#This Row],[Aviso Prévio Indenizado (API) e Reflexo do Aviso Prévio Indenizado]]</f>
        <v>5.609413580246914E-4</v>
      </c>
      <c r="AK26" s="237">
        <f>tabParametros[[#This Row],[FGTS]]*tabParametros[[#This Row],[Aviso Prévio Indenizado (API) e Reflexo do Aviso Prévio Indenizado]]*40%</f>
        <v>2.2437654320987658E-4</v>
      </c>
      <c r="AL26" s="235">
        <f t="shared" si="3"/>
        <v>3.5000000000000005E-3</v>
      </c>
      <c r="AM26" s="235">
        <f>tabParametros[[#This Row],[Aviso Prévio Trabalhado - APT]]*SUM(tabParametros[[#This Row],[INSS]:[SEBRAE]])</f>
        <v>1.3230000000000004E-3</v>
      </c>
      <c r="AN26" s="235">
        <f t="shared" si="4"/>
        <v>3.0577777777777773E-2</v>
      </c>
      <c r="AO26" s="235">
        <f t="shared" si="5"/>
        <v>8.3333333333333339E-4</v>
      </c>
      <c r="AP26" s="235">
        <f t="shared" si="6"/>
        <v>8.4444444444444437E-3</v>
      </c>
      <c r="AQ26" s="235">
        <f t="shared" si="7"/>
        <v>2.0277777777777777E-3</v>
      </c>
      <c r="AR26" s="235">
        <f t="shared" si="8"/>
        <v>1.7083333333333333E-4</v>
      </c>
      <c r="AS26" s="235">
        <f t="shared" si="9"/>
        <v>2.0833333333333335E-4</v>
      </c>
      <c r="AT26" s="235">
        <f t="shared" si="10"/>
        <v>1.2962962962962963E-3</v>
      </c>
      <c r="AU26" s="237">
        <f>SUM(tabParametros[[#This Row],[Ausência por Doença]:[Férias, Adicional de Férias e 13º  com empregada em gozo de Licença Maternidade]])*SUM(tabParametros[[#This Row],[INSS]:[SEBRAE]])</f>
        <v>4.5918250000000008E-3</v>
      </c>
      <c r="AV26" s="234">
        <f>IF(tabParametros[[#This Row],[Função]]="Porteiro - 220 h",SUM(tabParametros[[#This Row],[Salário Base]:[Adicional de Acúmulo de função]])/220*20*1.5,IF(ISNUMBER(SEARCH("12 x 36",tabParametros[[#This Row],[Função]],1)),SUM(tabParametros[[#This Row],[Salário Base]:[Adicional de Acúmulo de função]])/210*15.5*1.5,0))</f>
        <v>225.34662599999996</v>
      </c>
      <c r="AW26" s="234">
        <f>IF(tabParametros[[#This Row],[Vagas contratadas]]&gt;0,(SUM(tabParametros[[#This Row],[Salário Base]:[Adicional de Acúmulo de função]])*30%+SUM(tabParametros[[#This Row],[Vale - Alimentação]:[Seguro de Vida]]))/tabParametros[[#This Row],[Vagas contratadas]]*tabParametros[[#This Row],[Vagas suspensas]],0)</f>
        <v>0</v>
      </c>
      <c r="AX26" s="234">
        <f>SUMIF(tabUniformes[Cargo],tabParametros[[#This Row],[Função]],tabUniformes[Valor unit. Mensal])</f>
        <v>100.80916666666668</v>
      </c>
      <c r="AY26" s="281">
        <f>IF(ISNUMBER(SEARCH("AUXILIAR DE LIMPEZA - 75 H",tabParametros[[#This Row],[Função]],1)),
SUMIF(tabLimpGeral[TIPO],"Material",tabLimpGeral[VALOR UNITÁRIO P/ HORA (R$)])*75,
IF(ISNUMBER(SEARCH("AUXILIAR DE LIMPEZA - 110 H",tabParametros[[#This Row],[Função]],1)),
SUMIF(tabLimpGeral[TIPO],"Material",tabLimpGeral[VALOR UNITÁRIO P/ HORA (R$)])*110,
IF(ISNUMBER(SEARCH("AUXILIAR DE LIMPEZA - 150 H",tabParametros[[#This Row],[Função]],1)),
SUMIF(tabLimpGeral[TIPO],"Material",tabLimpGeral[VALOR UNITÁRIO P/ HORA (R$)])*150,
IF(ISNUMBER(SEARCH("AUXILIAR DE LIMPEZA - 220 H",tabParametros[[#This Row],[Função]],1)),
SUMIF(tabLimpGeral[TIPO],"Material",tabLimpGeral[VALOR UNITÁRIO P/ HORA (R$)])*220,
IF(ISNUMBER(SEARCH("AUXILIAR DE LIMPEZA - 12 x 36",tabParametros[[#This Row],[Função]],1)),
SUMIF(tabLimpGeral[TIPO],"Material",tabLimpGeral[VALOR UNITÁRIO P/ HORA (R$)])*220,
IF(ISNUMBER(SEARCH("Limpador de vidros - 220 h",tabParametros[[#This Row],[Função]],1)),
SUMIF(tabVidros[TIPO],"Material",tabVidros[VALOR UNITÁRIO P/ POSTO (R$)]),
0))))))</f>
        <v>35.518212958583888</v>
      </c>
      <c r="AZ26" s="281">
        <f>IF(ISNUMBER(SEARCH("AUXILIAR DE LIMPEZA - 75 H",tabParametros[[#This Row],[Função]],1)),
SUMIF(tabLimpGeral[TIPO],"Equipamento",tabLimpGeral[VALOR UNITÁRIO P/ HORA (R$)])*75,
IF(ISNUMBER(SEARCH("AUXILIAR DE LIMPEZA - 110 H",tabParametros[[#This Row],[Função]],1)),
SUMIF(tabLimpGeral[TIPO],"Equipamento",tabLimpGeral[VALOR UNITÁRIO P/ HORA (R$)])*110,
IF(ISNUMBER(SEARCH("AUXILIAR DE LIMPEZA - 150 H",tabParametros[[#This Row],[Função]],1)),
SUMIF(tabLimpGeral[TIPO],"Equipamento",tabLimpGeral[VALOR UNITÁRIO P/ HORA (R$)])*150,
IF(ISNUMBER(SEARCH("AUXILIAR DE LIMPEZA - 220 H",tabParametros[[#This Row],[Função]],1)),
SUMIF(tabLimpGeral[TIPO],"Equipamento",tabLimpGeral[VALOR UNITÁRIO P/ HORA (R$)])*220,
IF(ISNUMBER(SEARCH("AUXILIAR DE LIMPEZA - 12 x 36",tabParametros[[#This Row],[Função]],1)),
SUMIF(tabLimpGeral[TIPO],"Equipamento",tabLimpGeral[VALOR UNITÁRIO P/ HORA (R$)])*220,
IF(ISNUMBER(SEARCH("Limpador de vidros - 220 h",tabParametros[[#This Row],[Função]],1)),
SUMIF(tabVidros[TIPO],"Equipamento",tabVidros[VALOR UNITÁRIO P/ POSTO (R$)]),
0))))))</f>
        <v>64.529393914825576</v>
      </c>
      <c r="BA26" s="281">
        <f>IF(ISNUMBER(SEARCH("AUXILIAR DE LIMPEZA - 75 H",tabParametros[[#This Row],[Função]],1)),
SUMIF(tabLimpGeral[TIPO],"Produto",tabLimpGeral[VALOR UNITÁRIO P/ HORA (R$)])*75,
IF(ISNUMBER(SEARCH("AUXILIAR DE LIMPEZA - 110 H",tabParametros[[#This Row],[Função]],1)),
SUMIF(tabLimpGeral[TIPO],"Produto",tabLimpGeral[VALOR UNITÁRIO P/ HORA (R$)])*110,
IF(ISNUMBER(SEARCH("AUXILIAR DE LIMPEZA - 150 H",tabParametros[[#This Row],[Função]],1)),
SUMIF(tabLimpGeral[TIPO],"Produto",tabLimpGeral[VALOR UNITÁRIO P/ HORA (R$)])*150,
IF(ISNUMBER(SEARCH("AUXILIAR DE LIMPEZA - 220 H",tabParametros[[#This Row],[Função]],1)),
SUMIF(tabLimpGeral[TIPO],"Produto",tabLimpGeral[VALOR UNITÁRIO P/ HORA (R$)])*220,
IF(ISNUMBER(SEARCH("AUXILIAR DE LIMPEZA - 12 x 36",tabParametros[[#This Row],[Função]],1)),
SUMIF(tabLimpGeral[TIPO],"Produto",tabLimpGeral[VALOR UNITÁRIO P/ HORA (R$)])*220,
IF(ISNUMBER(SEARCH("Limpador de vidros - 220 h",tabParametros[[#This Row],[Função]],1)),
SUMIF(tabVidros[TIPO],"Produto",tabVidros[VALOR UNITÁRIO P/ POSTO (R$)]),
0))))))</f>
        <v>690.27153277931654</v>
      </c>
      <c r="BB26" s="281">
        <v>0</v>
      </c>
      <c r="BC26" s="236">
        <f>VLOOKUP(tabParametros[[#Headers],[Custos Indiretos]],tabOutrosCustos[],3,0)</f>
        <v>189.64880140242613</v>
      </c>
      <c r="BD26" s="236">
        <f>VLOOKUP(tabParametros[[#Headers],[Lucro]],tabOutrosCustos[],3,0)</f>
        <v>159.30499317803796</v>
      </c>
      <c r="BE26" s="235">
        <f>VLOOKUP(tabParametros[[#Headers],[COFINS]],tabImpostosNacionais[],2,0)</f>
        <v>7.5999999999999998E-2</v>
      </c>
      <c r="BF26" s="235">
        <f>VLOOKUP(tabParametros[[#Headers],[PIS]],tabImpostosNacionais[],2,0)</f>
        <v>1.6500000000000001E-2</v>
      </c>
      <c r="BG26" s="235">
        <f>VLOOKUP(tabParametros[[#This Row],[Comarca]],tabComarca[],4,0)</f>
        <v>0.05</v>
      </c>
      <c r="BH26" s="238">
        <f>IFERROR(VLOOKUP(tabParametros[[#This Row],[CCT DA CATEGORIA]],tabSindicatos[],11,0),"")</f>
        <v>45658</v>
      </c>
      <c r="BI26" s="289" t="str">
        <f>IFERROR(VLOOKUP(tabParametros[[#This Row],[CCT DA CATEGORIA]],tabSindicatos[],12,0),"")</f>
        <v>-</v>
      </c>
      <c r="BJ26" s="293" t="str">
        <f>IFERROR(VLOOKUP(tabParametros[[#This Row],[CCT DA CATEGORIA]],tabSindicatos[],13,0),"")</f>
        <v>-</v>
      </c>
    </row>
    <row r="27" spans="1:62" x14ac:dyDescent="0.25">
      <c r="A27" s="233" t="s">
        <v>1088</v>
      </c>
      <c r="B27" s="198" t="s">
        <v>31</v>
      </c>
      <c r="C27" s="198" t="s">
        <v>1247</v>
      </c>
      <c r="D27" s="198" t="str">
        <f>VLOOKUP(tabParametros[[#This Row],[Código do Posto]],tabPostos[],4,0)</f>
        <v>SEAC/SINDEAC</v>
      </c>
      <c r="E27" s="289" t="str">
        <f>VLOOKUP(tabParametros[[#This Row],[Código do Posto]],tabPostos[],5,0)</f>
        <v>Limpeza</v>
      </c>
      <c r="F27" s="289" t="str">
        <f>VLOOKUP(tabParametros[[#This Row],[Código do Posto]],tabPostos[],6,0)</f>
        <v>PGJ</v>
      </c>
      <c r="G27" s="289">
        <f>VLOOKUP(tabParametros[[#This Row],[Código do Posto]],tabPostos[],7,0)</f>
        <v>1</v>
      </c>
      <c r="H27" s="289">
        <f>VLOOKUP(tabParametros[[#This Row],[Código do Posto]],tabPostos[],8,0)</f>
        <v>0</v>
      </c>
      <c r="I27" s="234">
        <f>VLOOKUP(tabParametros[[#This Row],[Código do Posto]],tabPostos[],9,0)</f>
        <v>562.20000000000005</v>
      </c>
      <c r="J27" s="234">
        <f>IF(ISNUMBER(SEARCH("Eletricista",tabParametros[[#This Row],[Função]],1)),0.3*tabParametros[[#This Row],[Salário Base]],0)</f>
        <v>0</v>
      </c>
      <c r="K27" s="234">
        <f>IF(OR(ISNUMBER(SEARCH("Bombeiro Hidraulico",tabParametros[[#This Row],[Função]],1)),ISNUMBER(SEARCH("Jardineiro",tabParametros[[#This Row],[Função]],1)),ISNUMBER(SEARCH("Lavador de Veiculos",tabParametros[[#This Row],[Função]],1)),ISNUMBER(SEARCH("Marceneiro",tabParametros[[#This Row],[Função]],1)),ISNUMBER(SEARCH("Pintor",tabParametros[[#This Row],[Função]],1))),0.2*'BASE GERAL'!$R$4,0)</f>
        <v>0</v>
      </c>
      <c r="L27" s="234">
        <f>IF(AND(ISNUMBER(SEARCH("Noturno",tabParametros[[#This Row],[Função]],1)),tabParametros[[#This Row],[Comarca]]&lt;&gt;"Juiz de Fora"),tabParametros[[#This Row],[Salário Base]]/210*0.39*7*15.5,IF(ISNUMBER(SEARCH("Noturno",tabParametros[[#This Row],[Função]],1)),tabParametros[[#This Row],[Salário Base]]/210*0.2*8*15.5,0))</f>
        <v>0</v>
      </c>
      <c r="M27" s="234">
        <f>IF(ISNUMBER(SEARCH("Motorista II",tabParametros[[#This Row],[Função]],1)),0.25*tabParametros[[#This Row],[Salário Base]],0)</f>
        <v>0</v>
      </c>
      <c r="N27" s="250">
        <v>0</v>
      </c>
      <c r="O27" s="234">
        <f>IF(ISNUMBER(SEARCH("TECNOLOGIA DA INFORMACAO",tabParametros[[#This Row],[Função]],1)),0.0201*tabParametros[[#This Row],[Salário Base]],0)</f>
        <v>0</v>
      </c>
      <c r="P27" s="250" cm="1">
        <f t="array" ref="P27">_xlfn.IFS(
ISNUMBER(SEARCH("Auxiliar de Limpeza - 75 h",tabParametros[[#This Row],[Função]],1)),tabParametros[[#This Row],[Salário Base]]/75*0.75*30*0.12,
ISNUMBER(SEARCH("Auxiliar de Limpeza - 110 h",tabParametros[[#This Row],[Função]],1)),tabParametros[[#This Row],[Salário Base]]/110*1*30*0.12,
ISNUMBER(SEARCH("Auxiliar de Limpeza - 150 h",tabParametros[[#This Row],[Função]],1)),tabParametros[[#This Row],[Salário Base]]/150*1.5*30*0.12,
ISNUMBER(SEARCH("Auxiliar de Limpeza - 220 h",tabParametros[[#This Row],[Função]],1)),tabParametros[[#This Row],[Salário Base]]/220*2*30*0.12,
ISNUMBER(SEARCH("Auxiliar de Limpeza - 12 x 36",tabParametros[[#This Row],[Função]],1)),tabParametros[[#This Row],[Salário Base]]/220*2*30*0.12,
ISNUMBER(SEARCH("Auxiliar de Limpeza - 55 h",tabParametros[[#This Row],[Função]],1))=FALSE,0)</f>
        <v>20.2392</v>
      </c>
      <c r="Q27" s="235">
        <f>VLOOKUP(tabParametros[[#Headers],[INSS]],tabImpostosNacionais[],2,0)</f>
        <v>0.2</v>
      </c>
      <c r="R27" s="235">
        <f>VLOOKUP(tabParametros[[#Headers],[SESI OU SESC]],tabImpostosNacionais[],2,0)</f>
        <v>1.4999999999999999E-2</v>
      </c>
      <c r="S27" s="235">
        <f>VLOOKUP(tabParametros[[#Headers],[SENAI OU SENAC]],tabImpostosNacionais[],2,0)</f>
        <v>0.01</v>
      </c>
      <c r="T27" s="235">
        <f>VLOOKUP(tabParametros[[#Headers],[INCRA]],tabImpostosNacionais[],2,0)</f>
        <v>2E-3</v>
      </c>
      <c r="U27" s="235">
        <f>VLOOKUP(tabParametros[[#Headers],[Salário Educação]],tabImpostosNacionais[],2,0)</f>
        <v>2.5000000000000001E-2</v>
      </c>
      <c r="V27" s="235">
        <f>VLOOKUP(tabParametros[[#Headers],[FGTS]],tabImpostosNacionais[],2,0)</f>
        <v>0.08</v>
      </c>
      <c r="W27" s="235">
        <f>VLOOKUP(tabParametros[[#Headers],[RAT Ajustado]],tabImpostosNacionais[],2,0)</f>
        <v>0.04</v>
      </c>
      <c r="X27" s="235">
        <f>VLOOKUP(tabParametros[[#Headers],[SEBRAE]],tabImpostosNacionais[],2,0)</f>
        <v>6.0000000000000001E-3</v>
      </c>
      <c r="Y27" s="235">
        <f t="shared" si="0"/>
        <v>8.3333333333333329E-2</v>
      </c>
      <c r="Z27" s="251">
        <f t="shared" si="1"/>
        <v>0.1111111111111111</v>
      </c>
      <c r="AA27" s="234">
        <f>VLOOKUP(tabParametros[[#This Row],[Comarca]],tabComarca[],5,0)</f>
        <v>11.25</v>
      </c>
      <c r="AB27" s="234">
        <f>IFERROR(VLOOKUP(tabParametros[[#This Row],[CCT DA CATEGORIA]],tabSindicatos[],6,0),0)</f>
        <v>29.15</v>
      </c>
      <c r="AC27" s="234">
        <f>IFERROR(VLOOKUP(tabParametros[[#This Row],[CCT DA CATEGORIA]],tabSindicatos[],7,0),0)</f>
        <v>0</v>
      </c>
      <c r="AD27" s="234" cm="1">
        <f t="array" ref="AD27">_xlfn.LET(
_xlpm.COMARCA, TRIM(UPPER(SUBSTITUTE(SUBSTITUTE(SUBSTITUTE(SUBSTITUTE(SUBSTITUTE(SUBSTITUTE(SUBSTITUTE(SUBSTITUTE(SUBSTITUTE(SUBSTITUTE(SUBSTITUTE(SUBSTITUTE(SUBSTITUTE(SUBSTITUTE(SUBSTITUTE(SUBSTITUTE(SUBSTITUTE(SUBSTITUTE(SUBSTITUTE(SUBSTITUTE(SUBSTITUTE(SUBSTITUTE(SUBSTITUTE(SUBSTITUTE(SUBSTITUTE(SUBSTITUTE(tabParametros[[#This Row],[Comarca]],"á","a"),"ã","a"),"â","a"),"é","e"),"ê","e"),"í","i"),"ó","o"),"õ","o"),"ô","o"),"ú","u"),"ç","c"),"Á","a"),"Ã","a"),"Â","a"),"É","e"),"Ê","e"),"Í","i"),"Ó","o"),"Õ","o"),"Ô","o"),"Ú","u"),"Ç","c"),"/MG","")," e ",", ")," ",""),".",""))),
_xlpm.MATRIZ_COMARCA, TRIM(UPPER(SUBSTITUTE(SUBSTITUTE(SUBSTITUTE(SUBSTITUTE(SUBSTITUTE(SUBSTITUTE(SUBSTITUTE(SUBSTITUTE(SUBSTITUTE(SUBSTITUTE(SUBSTITUTE(SUBSTITUTE(SUBSTITUTE(SUBSTITUTE(SUBSTITUTE(SUBSTITUTE(SUBSTITUTE(SUBSTITUTE(SUBSTITUTE(SUBSTITUTE(SUBSTITUTE(SUBSTITUTE(SUBSTITUTE(SUBSTITUTE(SUBSTITUTE(SUBSTITUTE(tabSindicatos[COMARCAS PAF],"á","a"),"ã","a"),"â","a"),"é","e"),"ê","e"),"í","i"),"ó","o"),"õ","o"),"ô","o"),"ú","u"),"ç","c"),"Á","a"),"Ã","a"),"Â","a"),"É","e"),"Ê","e"),"Í","i"),"Ó","o"),"Õ","o"),"Ô","o"),"Ú","u"),"Ç","c"),"/MG","")," e ",", ")," ",""),".",""))),
IFERROR(IF(_xlfn.XLOOKUP(tabParametros[[#This Row],[CCT DA CATEGORIA]],tabSindicatos[SINDICATOS],tabSindicatos[COMARCAS PAF])="",
VLOOKUP(tabParametros[[#This Row],[CCT DA CATEGORIA]],tabSindicatos[],8,0),
IF(ISNUMBER(SEARCH(TRIM(_xlpm.COMARCA),_xlfn.XLOOKUP(tabParametros[[#This Row],[CCT DA CATEGORIA]],tabSindicatos[SINDICATOS],_xlpm.MATRIZ_COMARCA),1)),VLOOKUP(tabParametros[[#This Row],[CCT DA CATEGORIA]],tabSindicatos[],8,0),0)
),0)
)</f>
        <v>95.9</v>
      </c>
      <c r="AE27" s="234">
        <f>IFERROR(VLOOKUP(tabParametros[[#This Row],[CCT DA CATEGORIA]],tabSindicatos[],9,0),0)</f>
        <v>0</v>
      </c>
      <c r="AF27" s="234">
        <f>IFERROR(VLOOKUP(tabParametros[[#This Row],[CCT DA CATEGORIA]],tabSindicatos[],10,0),0)</f>
        <v>0</v>
      </c>
      <c r="AG27" s="236">
        <f>VLOOKUP(tabParametros[[#Headers],[Seguro de Vida]],tabOutrosCustos[],3,0)</f>
        <v>3.36</v>
      </c>
      <c r="AH27" s="236">
        <f>IF(ISNUMBER(SEARCH("MOTORISTA",tabParametros[[#This Row],[Função]],1)),VLOOKUP("MOTORISTAS",tabDiarias[],2,0),IF(tabParametros[[#This Row],[Comarca]]="Belo Horizonte",VLOOKUP("LIMPEZA",tabDiarias[],2,0),0))</f>
        <v>10.19</v>
      </c>
      <c r="AI27" s="235">
        <f t="shared" si="2"/>
        <v>7.011766975308642E-3</v>
      </c>
      <c r="AJ27" s="237">
        <f>tabParametros[[#This Row],[FGTS]]*tabParametros[[#This Row],[Aviso Prévio Indenizado (API) e Reflexo do Aviso Prévio Indenizado]]</f>
        <v>5.609413580246914E-4</v>
      </c>
      <c r="AK27" s="237">
        <f>tabParametros[[#This Row],[FGTS]]*tabParametros[[#This Row],[Aviso Prévio Indenizado (API) e Reflexo do Aviso Prévio Indenizado]]*40%</f>
        <v>2.2437654320987658E-4</v>
      </c>
      <c r="AL27" s="235">
        <f t="shared" si="3"/>
        <v>3.5000000000000005E-3</v>
      </c>
      <c r="AM27" s="235">
        <f>tabParametros[[#This Row],[Aviso Prévio Trabalhado - APT]]*SUM(tabParametros[[#This Row],[INSS]:[SEBRAE]])</f>
        <v>1.3230000000000004E-3</v>
      </c>
      <c r="AN27" s="235">
        <f t="shared" si="4"/>
        <v>3.0577777777777773E-2</v>
      </c>
      <c r="AO27" s="235">
        <f t="shared" si="5"/>
        <v>8.3333333333333339E-4</v>
      </c>
      <c r="AP27" s="235">
        <f t="shared" si="6"/>
        <v>8.4444444444444437E-3</v>
      </c>
      <c r="AQ27" s="235">
        <f t="shared" si="7"/>
        <v>2.0277777777777777E-3</v>
      </c>
      <c r="AR27" s="235">
        <f t="shared" si="8"/>
        <v>1.7083333333333333E-4</v>
      </c>
      <c r="AS27" s="235">
        <f t="shared" si="9"/>
        <v>2.0833333333333335E-4</v>
      </c>
      <c r="AT27" s="235">
        <f t="shared" si="10"/>
        <v>1.2962962962962963E-3</v>
      </c>
      <c r="AU27" s="237">
        <f>SUM(tabParametros[[#This Row],[Ausência por Doença]:[Férias, Adicional de Férias e 13º  com empregada em gozo de Licença Maternidade]])*SUM(tabParametros[[#This Row],[INSS]:[SEBRAE]])</f>
        <v>4.5918250000000008E-3</v>
      </c>
      <c r="AV27" s="234">
        <f>IF(tabParametros[[#This Row],[Função]]="Porteiro - 220 h",SUM(tabParametros[[#This Row],[Salário Base]:[Adicional de Acúmulo de função]])/220*20*1.5,IF(ISNUMBER(SEARCH("12 x 36",tabParametros[[#This Row],[Função]],1)),SUM(tabParametros[[#This Row],[Salário Base]:[Adicional de Acúmulo de função]])/210*15.5*1.5,0))</f>
        <v>0</v>
      </c>
      <c r="AW27" s="234">
        <f>IF(tabParametros[[#This Row],[Vagas contratadas]]&gt;0,(SUM(tabParametros[[#This Row],[Salário Base]:[Adicional de Acúmulo de função]])*30%+SUM(tabParametros[[#This Row],[Vale - Alimentação]:[Seguro de Vida]]))/tabParametros[[#This Row],[Vagas contratadas]]*tabParametros[[#This Row],[Vagas suspensas]],0)</f>
        <v>0</v>
      </c>
      <c r="AX27" s="234">
        <f>SUMIF(tabUniformes[Cargo],tabParametros[[#This Row],[Função]],tabUniformes[Valor unit. Mensal])</f>
        <v>62.806666666666665</v>
      </c>
      <c r="AY27" s="281">
        <f>IF(ISNUMBER(SEARCH("AUXILIAR DE LIMPEZA - 75 H",tabParametros[[#This Row],[Função]],1)),
SUMIF(tabLimpGeral[TIPO],"Material",tabLimpGeral[VALOR UNITÁRIO P/ HORA (R$)])*75,
IF(ISNUMBER(SEARCH("AUXILIAR DE LIMPEZA - 110 H",tabParametros[[#This Row],[Função]],1)),
SUMIF(tabLimpGeral[TIPO],"Material",tabLimpGeral[VALOR UNITÁRIO P/ HORA (R$)])*110,
IF(ISNUMBER(SEARCH("AUXILIAR DE LIMPEZA - 150 H",tabParametros[[#This Row],[Função]],1)),
SUMIF(tabLimpGeral[TIPO],"Material",tabLimpGeral[VALOR UNITÁRIO P/ HORA (R$)])*150,
IF(ISNUMBER(SEARCH("AUXILIAR DE LIMPEZA - 220 H",tabParametros[[#This Row],[Função]],1)),
SUMIF(tabLimpGeral[TIPO],"Material",tabLimpGeral[VALOR UNITÁRIO P/ HORA (R$)])*220,
IF(ISNUMBER(SEARCH("AUXILIAR DE LIMPEZA - 12 x 36",tabParametros[[#This Row],[Função]],1)),
SUMIF(tabLimpGeral[TIPO],"Material",tabLimpGeral[VALOR UNITÁRIO P/ HORA (R$)])*220,
IF(ISNUMBER(SEARCH("Limpador de vidros - 220 h",tabParametros[[#This Row],[Função]],1)),
SUMIF(tabVidros[TIPO],"Material",tabVidros[VALOR UNITÁRIO P/ POSTO (R$)]),
0))))))</f>
        <v>12.108481690426325</v>
      </c>
      <c r="AZ27" s="281">
        <f>IF(ISNUMBER(SEARCH("AUXILIAR DE LIMPEZA - 75 H",tabParametros[[#This Row],[Função]],1)),
SUMIF(tabLimpGeral[TIPO],"Equipamento",tabLimpGeral[VALOR UNITÁRIO P/ HORA (R$)])*75,
IF(ISNUMBER(SEARCH("AUXILIAR DE LIMPEZA - 110 H",tabParametros[[#This Row],[Função]],1)),
SUMIF(tabLimpGeral[TIPO],"Equipamento",tabLimpGeral[VALOR UNITÁRIO P/ HORA (R$)])*110,
IF(ISNUMBER(SEARCH("AUXILIAR DE LIMPEZA - 150 H",tabParametros[[#This Row],[Função]],1)),
SUMIF(tabLimpGeral[TIPO],"Equipamento",tabLimpGeral[VALOR UNITÁRIO P/ HORA (R$)])*150,
IF(ISNUMBER(SEARCH("AUXILIAR DE LIMPEZA - 220 H",tabParametros[[#This Row],[Função]],1)),
SUMIF(tabLimpGeral[TIPO],"Equipamento",tabLimpGeral[VALOR UNITÁRIO P/ HORA (R$)])*220,
IF(ISNUMBER(SEARCH("AUXILIAR DE LIMPEZA - 12 x 36",tabParametros[[#This Row],[Função]],1)),
SUMIF(tabLimpGeral[TIPO],"Equipamento",tabLimpGeral[VALOR UNITÁRIO P/ HORA (R$)])*220,
IF(ISNUMBER(SEARCH("Limpador de vidros - 220 h",tabParametros[[#This Row],[Função]],1)),
SUMIF(tabVidros[TIPO],"Equipamento",tabVidros[VALOR UNITÁRIO P/ POSTO (R$)]),
0))))))</f>
        <v>21.998657016417809</v>
      </c>
      <c r="BA27" s="281">
        <f>IF(ISNUMBER(SEARCH("AUXILIAR DE LIMPEZA - 75 H",tabParametros[[#This Row],[Função]],1)),
SUMIF(tabLimpGeral[TIPO],"Produto",tabLimpGeral[VALOR UNITÁRIO P/ HORA (R$)])*75,
IF(ISNUMBER(SEARCH("AUXILIAR DE LIMPEZA - 110 H",tabParametros[[#This Row],[Função]],1)),
SUMIF(tabLimpGeral[TIPO],"Produto",tabLimpGeral[VALOR UNITÁRIO P/ HORA (R$)])*110,
IF(ISNUMBER(SEARCH("AUXILIAR DE LIMPEZA - 150 H",tabParametros[[#This Row],[Função]],1)),
SUMIF(tabLimpGeral[TIPO],"Produto",tabLimpGeral[VALOR UNITÁRIO P/ HORA (R$)])*150,
IF(ISNUMBER(SEARCH("AUXILIAR DE LIMPEZA - 220 H",tabParametros[[#This Row],[Função]],1)),
SUMIF(tabLimpGeral[TIPO],"Produto",tabLimpGeral[VALOR UNITÁRIO P/ HORA (R$)])*220,
IF(ISNUMBER(SEARCH("AUXILIAR DE LIMPEZA - 12 x 36",tabParametros[[#This Row],[Função]],1)),
SUMIF(tabLimpGeral[TIPO],"Produto",tabLimpGeral[VALOR UNITÁRIO P/ HORA (R$)])*220,
IF(ISNUMBER(SEARCH("Limpador de vidros - 220 h",tabParametros[[#This Row],[Função]],1)),
SUMIF(tabVidros[TIPO],"Produto",tabVidros[VALOR UNITÁRIO P/ POSTO (R$)]),
0))))))</f>
        <v>235.31984072022155</v>
      </c>
      <c r="BB27" s="281">
        <v>0</v>
      </c>
      <c r="BC27" s="236">
        <f>VLOOKUP(tabParametros[[#Headers],[Custos Indiretos]],tabOutrosCustos[],3,0)</f>
        <v>189.64880140242613</v>
      </c>
      <c r="BD27" s="236">
        <f>VLOOKUP(tabParametros[[#Headers],[Lucro]],tabOutrosCustos[],3,0)</f>
        <v>159.30499317803796</v>
      </c>
      <c r="BE27" s="235">
        <f>VLOOKUP(tabParametros[[#Headers],[COFINS]],tabImpostosNacionais[],2,0)</f>
        <v>7.5999999999999998E-2</v>
      </c>
      <c r="BF27" s="235">
        <f>VLOOKUP(tabParametros[[#Headers],[PIS]],tabImpostosNacionais[],2,0)</f>
        <v>1.6500000000000001E-2</v>
      </c>
      <c r="BG27" s="235">
        <f>VLOOKUP(tabParametros[[#This Row],[Comarca]],tabComarca[],4,0)</f>
        <v>0.05</v>
      </c>
      <c r="BH27" s="238">
        <f>IFERROR(VLOOKUP(tabParametros[[#This Row],[CCT DA CATEGORIA]],tabSindicatos[],11,0),"")</f>
        <v>45658</v>
      </c>
      <c r="BI27" s="289" t="str">
        <f>IFERROR(VLOOKUP(tabParametros[[#This Row],[CCT DA CATEGORIA]],tabSindicatos[],12,0),"")</f>
        <v>-</v>
      </c>
      <c r="BJ27" s="293" t="str">
        <f>IFERROR(VLOOKUP(tabParametros[[#This Row],[CCT DA CATEGORIA]],tabSindicatos[],13,0),"")</f>
        <v>-</v>
      </c>
    </row>
    <row r="28" spans="1:62" x14ac:dyDescent="0.25">
      <c r="A28" s="233" t="s">
        <v>1089</v>
      </c>
      <c r="B28" s="198" t="s">
        <v>31</v>
      </c>
      <c r="C28" s="198" t="s">
        <v>1244</v>
      </c>
      <c r="D28" s="198" t="str">
        <f>VLOOKUP(tabParametros[[#This Row],[Código do Posto]],tabPostos[],4,0)</f>
        <v>SEAC/SINDEAC</v>
      </c>
      <c r="E28" s="289" t="str">
        <f>VLOOKUP(tabParametros[[#This Row],[Código do Posto]],tabPostos[],5,0)</f>
        <v>Limpeza</v>
      </c>
      <c r="F28" s="289" t="str">
        <f>VLOOKUP(tabParametros[[#This Row],[Código do Posto]],tabPostos[],6,0)</f>
        <v>PGJ</v>
      </c>
      <c r="G28" s="289">
        <f>VLOOKUP(tabParametros[[#This Row],[Código do Posto]],tabPostos[],7,0)</f>
        <v>6</v>
      </c>
      <c r="H28" s="289">
        <f>VLOOKUP(tabParametros[[#This Row],[Código do Posto]],tabPostos[],8,0)</f>
        <v>0</v>
      </c>
      <c r="I28" s="234">
        <f>VLOOKUP(tabParametros[[#This Row],[Código do Posto]],tabPostos[],9,0)</f>
        <v>824.56</v>
      </c>
      <c r="J28" s="234">
        <f>IF(ISNUMBER(SEARCH("Eletricista",tabParametros[[#This Row],[Função]],1)),0.3*tabParametros[[#This Row],[Salário Base]],0)</f>
        <v>0</v>
      </c>
      <c r="K28" s="234">
        <f>IF(OR(ISNUMBER(SEARCH("Bombeiro Hidraulico",tabParametros[[#This Row],[Função]],1)),ISNUMBER(SEARCH("Jardineiro",tabParametros[[#This Row],[Função]],1)),ISNUMBER(SEARCH("Lavador de Veiculos",tabParametros[[#This Row],[Função]],1)),ISNUMBER(SEARCH("Marceneiro",tabParametros[[#This Row],[Função]],1)),ISNUMBER(SEARCH("Pintor",tabParametros[[#This Row],[Função]],1))),0.2*'BASE GERAL'!$R$4,0)</f>
        <v>0</v>
      </c>
      <c r="L28" s="234">
        <f>IF(AND(ISNUMBER(SEARCH("Noturno",tabParametros[[#This Row],[Função]],1)),tabParametros[[#This Row],[Comarca]]&lt;&gt;"Juiz de Fora"),tabParametros[[#This Row],[Salário Base]]/210*0.39*7*15.5,IF(ISNUMBER(SEARCH("Noturno",tabParametros[[#This Row],[Função]],1)),tabParametros[[#This Row],[Salário Base]]/210*0.2*8*15.5,0))</f>
        <v>0</v>
      </c>
      <c r="M28" s="234">
        <f>IF(ISNUMBER(SEARCH("Motorista II",tabParametros[[#This Row],[Função]],1)),0.25*tabParametros[[#This Row],[Salário Base]],0)</f>
        <v>0</v>
      </c>
      <c r="N28" s="250">
        <v>0</v>
      </c>
      <c r="O28" s="234">
        <f>IF(ISNUMBER(SEARCH("TECNOLOGIA DA INFORMACAO",tabParametros[[#This Row],[Função]],1)),0.0201*tabParametros[[#This Row],[Salário Base]],0)</f>
        <v>0</v>
      </c>
      <c r="P28" s="250" cm="1">
        <f t="array" ref="P28">_xlfn.IFS(
ISNUMBER(SEARCH("Auxiliar de Limpeza - 75 h",tabParametros[[#This Row],[Função]],1)),tabParametros[[#This Row],[Salário Base]]/75*0.75*30*0.12,
ISNUMBER(SEARCH("Auxiliar de Limpeza - 110 h",tabParametros[[#This Row],[Função]],1)),tabParametros[[#This Row],[Salário Base]]/110*1*30*0.12,
ISNUMBER(SEARCH("Auxiliar de Limpeza - 150 h",tabParametros[[#This Row],[Função]],1)),tabParametros[[#This Row],[Salário Base]]/150*1.5*30*0.12,
ISNUMBER(SEARCH("Auxiliar de Limpeza - 220 h",tabParametros[[#This Row],[Função]],1)),tabParametros[[#This Row],[Salário Base]]/220*2*30*0.12,
ISNUMBER(SEARCH("Auxiliar de Limpeza - 12 x 36",tabParametros[[#This Row],[Função]],1)),tabParametros[[#This Row],[Salário Base]]/220*2*30*0.12,
ISNUMBER(SEARCH("Auxiliar de Limpeza - 55 h",tabParametros[[#This Row],[Função]],1))=FALSE,0)</f>
        <v>26.985599999999998</v>
      </c>
      <c r="Q28" s="235">
        <f>VLOOKUP(tabParametros[[#Headers],[INSS]],tabImpostosNacionais[],2,0)</f>
        <v>0.2</v>
      </c>
      <c r="R28" s="235">
        <f>VLOOKUP(tabParametros[[#Headers],[SESI OU SESC]],tabImpostosNacionais[],2,0)</f>
        <v>1.4999999999999999E-2</v>
      </c>
      <c r="S28" s="235">
        <f>VLOOKUP(tabParametros[[#Headers],[SENAI OU SENAC]],tabImpostosNacionais[],2,0)</f>
        <v>0.01</v>
      </c>
      <c r="T28" s="235">
        <f>VLOOKUP(tabParametros[[#Headers],[INCRA]],tabImpostosNacionais[],2,0)</f>
        <v>2E-3</v>
      </c>
      <c r="U28" s="235">
        <f>VLOOKUP(tabParametros[[#Headers],[Salário Educação]],tabImpostosNacionais[],2,0)</f>
        <v>2.5000000000000001E-2</v>
      </c>
      <c r="V28" s="235">
        <f>VLOOKUP(tabParametros[[#Headers],[FGTS]],tabImpostosNacionais[],2,0)</f>
        <v>0.08</v>
      </c>
      <c r="W28" s="235">
        <f>VLOOKUP(tabParametros[[#Headers],[RAT Ajustado]],tabImpostosNacionais[],2,0)</f>
        <v>0.04</v>
      </c>
      <c r="X28" s="235">
        <f>VLOOKUP(tabParametros[[#Headers],[SEBRAE]],tabImpostosNacionais[],2,0)</f>
        <v>6.0000000000000001E-3</v>
      </c>
      <c r="Y28" s="235">
        <f t="shared" si="0"/>
        <v>8.3333333333333329E-2</v>
      </c>
      <c r="Z28" s="251">
        <f t="shared" si="1"/>
        <v>0.1111111111111111</v>
      </c>
      <c r="AA28" s="234">
        <f>VLOOKUP(tabParametros[[#This Row],[Comarca]],tabComarca[],5,0)</f>
        <v>11.25</v>
      </c>
      <c r="AB28" s="234">
        <f>IFERROR(VLOOKUP(tabParametros[[#This Row],[CCT DA CATEGORIA]],tabSindicatos[],6,0),0)</f>
        <v>29.15</v>
      </c>
      <c r="AC28" s="234">
        <f>IFERROR(VLOOKUP(tabParametros[[#This Row],[CCT DA CATEGORIA]],tabSindicatos[],7,0),0)</f>
        <v>0</v>
      </c>
      <c r="AD28" s="234" cm="1">
        <f t="array" ref="AD28">_xlfn.LET(
_xlpm.COMARCA, TRIM(UPPER(SUBSTITUTE(SUBSTITUTE(SUBSTITUTE(SUBSTITUTE(SUBSTITUTE(SUBSTITUTE(SUBSTITUTE(SUBSTITUTE(SUBSTITUTE(SUBSTITUTE(SUBSTITUTE(SUBSTITUTE(SUBSTITUTE(SUBSTITUTE(SUBSTITUTE(SUBSTITUTE(SUBSTITUTE(SUBSTITUTE(SUBSTITUTE(SUBSTITUTE(SUBSTITUTE(SUBSTITUTE(SUBSTITUTE(SUBSTITUTE(SUBSTITUTE(SUBSTITUTE(tabParametros[[#This Row],[Comarca]],"á","a"),"ã","a"),"â","a"),"é","e"),"ê","e"),"í","i"),"ó","o"),"õ","o"),"ô","o"),"ú","u"),"ç","c"),"Á","a"),"Ã","a"),"Â","a"),"É","e"),"Ê","e"),"Í","i"),"Ó","o"),"Õ","o"),"Ô","o"),"Ú","u"),"Ç","c"),"/MG","")," e ",", ")," ",""),".",""))),
_xlpm.MATRIZ_COMARCA, TRIM(UPPER(SUBSTITUTE(SUBSTITUTE(SUBSTITUTE(SUBSTITUTE(SUBSTITUTE(SUBSTITUTE(SUBSTITUTE(SUBSTITUTE(SUBSTITUTE(SUBSTITUTE(SUBSTITUTE(SUBSTITUTE(SUBSTITUTE(SUBSTITUTE(SUBSTITUTE(SUBSTITUTE(SUBSTITUTE(SUBSTITUTE(SUBSTITUTE(SUBSTITUTE(SUBSTITUTE(SUBSTITUTE(SUBSTITUTE(SUBSTITUTE(SUBSTITUTE(SUBSTITUTE(tabSindicatos[COMARCAS PAF],"á","a"),"ã","a"),"â","a"),"é","e"),"ê","e"),"í","i"),"ó","o"),"õ","o"),"ô","o"),"ú","u"),"ç","c"),"Á","a"),"Ã","a"),"Â","a"),"É","e"),"Ê","e"),"Í","i"),"Ó","o"),"Õ","o"),"Ô","o"),"Ú","u"),"Ç","c"),"/MG","")," e ",", ")," ",""),".",""))),
IFERROR(IF(_xlfn.XLOOKUP(tabParametros[[#This Row],[CCT DA CATEGORIA]],tabSindicatos[SINDICATOS],tabSindicatos[COMARCAS PAF])="",
VLOOKUP(tabParametros[[#This Row],[CCT DA CATEGORIA]],tabSindicatos[],8,0),
IF(ISNUMBER(SEARCH(TRIM(_xlpm.COMARCA),_xlfn.XLOOKUP(tabParametros[[#This Row],[CCT DA CATEGORIA]],tabSindicatos[SINDICATOS],_xlpm.MATRIZ_COMARCA),1)),VLOOKUP(tabParametros[[#This Row],[CCT DA CATEGORIA]],tabSindicatos[],8,0),0)
),0)
)</f>
        <v>95.9</v>
      </c>
      <c r="AE28" s="234">
        <f>IFERROR(VLOOKUP(tabParametros[[#This Row],[CCT DA CATEGORIA]],tabSindicatos[],9,0),0)</f>
        <v>0</v>
      </c>
      <c r="AF28" s="234">
        <f>IFERROR(VLOOKUP(tabParametros[[#This Row],[CCT DA CATEGORIA]],tabSindicatos[],10,0),0)</f>
        <v>0</v>
      </c>
      <c r="AG28" s="236">
        <f>VLOOKUP(tabParametros[[#Headers],[Seguro de Vida]],tabOutrosCustos[],3,0)</f>
        <v>3.36</v>
      </c>
      <c r="AH28" s="236">
        <f>IF(ISNUMBER(SEARCH("MOTORISTA",tabParametros[[#This Row],[Função]],1)),VLOOKUP("MOTORISTAS",tabDiarias[],2,0),IF(tabParametros[[#This Row],[Comarca]]="Belo Horizonte",VLOOKUP("LIMPEZA",tabDiarias[],2,0),0))</f>
        <v>10.19</v>
      </c>
      <c r="AI28" s="235">
        <f t="shared" si="2"/>
        <v>7.011766975308642E-3</v>
      </c>
      <c r="AJ28" s="237">
        <f>tabParametros[[#This Row],[FGTS]]*tabParametros[[#This Row],[Aviso Prévio Indenizado (API) e Reflexo do Aviso Prévio Indenizado]]</f>
        <v>5.609413580246914E-4</v>
      </c>
      <c r="AK28" s="237">
        <f>tabParametros[[#This Row],[FGTS]]*tabParametros[[#This Row],[Aviso Prévio Indenizado (API) e Reflexo do Aviso Prévio Indenizado]]*40%</f>
        <v>2.2437654320987658E-4</v>
      </c>
      <c r="AL28" s="235">
        <f t="shared" si="3"/>
        <v>3.5000000000000005E-3</v>
      </c>
      <c r="AM28" s="235">
        <f>tabParametros[[#This Row],[Aviso Prévio Trabalhado - APT]]*SUM(tabParametros[[#This Row],[INSS]:[SEBRAE]])</f>
        <v>1.3230000000000004E-3</v>
      </c>
      <c r="AN28" s="235">
        <f t="shared" si="4"/>
        <v>3.0577777777777773E-2</v>
      </c>
      <c r="AO28" s="235">
        <f t="shared" si="5"/>
        <v>8.3333333333333339E-4</v>
      </c>
      <c r="AP28" s="235">
        <f t="shared" si="6"/>
        <v>8.4444444444444437E-3</v>
      </c>
      <c r="AQ28" s="235">
        <f t="shared" si="7"/>
        <v>2.0277777777777777E-3</v>
      </c>
      <c r="AR28" s="235">
        <f t="shared" si="8"/>
        <v>1.7083333333333333E-4</v>
      </c>
      <c r="AS28" s="235">
        <f t="shared" si="9"/>
        <v>2.0833333333333335E-4</v>
      </c>
      <c r="AT28" s="235">
        <f t="shared" si="10"/>
        <v>1.2962962962962963E-3</v>
      </c>
      <c r="AU28" s="237">
        <f>SUM(tabParametros[[#This Row],[Ausência por Doença]:[Férias, Adicional de Férias e 13º  com empregada em gozo de Licença Maternidade]])*SUM(tabParametros[[#This Row],[INSS]:[SEBRAE]])</f>
        <v>4.5918250000000008E-3</v>
      </c>
      <c r="AV28" s="234">
        <f>IF(tabParametros[[#This Row],[Função]]="Porteiro - 220 h",SUM(tabParametros[[#This Row],[Salário Base]:[Adicional de Acúmulo de função]])/220*20*1.5,IF(ISNUMBER(SEARCH("12 x 36",tabParametros[[#This Row],[Função]],1)),SUM(tabParametros[[#This Row],[Salário Base]:[Adicional de Acúmulo de função]])/210*15.5*1.5,0))</f>
        <v>0</v>
      </c>
      <c r="AW28" s="234">
        <f>IF(tabParametros[[#This Row],[Vagas contratadas]]&gt;0,(SUM(tabParametros[[#This Row],[Salário Base]:[Adicional de Acúmulo de função]])*30%+SUM(tabParametros[[#This Row],[Vale - Alimentação]:[Seguro de Vida]]))/tabParametros[[#This Row],[Vagas contratadas]]*tabParametros[[#This Row],[Vagas suspensas]],0)</f>
        <v>0</v>
      </c>
      <c r="AX28" s="234">
        <f>SUMIF(tabUniformes[Cargo],tabParametros[[#This Row],[Função]],tabUniformes[Valor unit. Mensal])</f>
        <v>62.806666666666665</v>
      </c>
      <c r="AY28" s="281">
        <f>IF(ISNUMBER(SEARCH("AUXILIAR DE LIMPEZA - 75 H",tabParametros[[#This Row],[Função]],1)),
SUMIF(tabLimpGeral[TIPO],"Material",tabLimpGeral[VALOR UNITÁRIO P/ HORA (R$)])*75,
IF(ISNUMBER(SEARCH("AUXILIAR DE LIMPEZA - 110 H",tabParametros[[#This Row],[Função]],1)),
SUMIF(tabLimpGeral[TIPO],"Material",tabLimpGeral[VALOR UNITÁRIO P/ HORA (R$)])*110,
IF(ISNUMBER(SEARCH("AUXILIAR DE LIMPEZA - 150 H",tabParametros[[#This Row],[Função]],1)),
SUMIF(tabLimpGeral[TIPO],"Material",tabLimpGeral[VALOR UNITÁRIO P/ HORA (R$)])*150,
IF(ISNUMBER(SEARCH("AUXILIAR DE LIMPEZA - 220 H",tabParametros[[#This Row],[Função]],1)),
SUMIF(tabLimpGeral[TIPO],"Material",tabLimpGeral[VALOR UNITÁRIO P/ HORA (R$)])*220,
IF(ISNUMBER(SEARCH("AUXILIAR DE LIMPEZA - 12 x 36",tabParametros[[#This Row],[Função]],1)),
SUMIF(tabLimpGeral[TIPO],"Material",tabLimpGeral[VALOR UNITÁRIO P/ HORA (R$)])*220,
IF(ISNUMBER(SEARCH("Limpador de vidros - 220 h",tabParametros[[#This Row],[Função]],1)),
SUMIF(tabVidros[TIPO],"Material",tabVidros[VALOR UNITÁRIO P/ POSTO (R$)]),
0))))))</f>
        <v>17.759106479291944</v>
      </c>
      <c r="AZ28" s="281">
        <f>IF(ISNUMBER(SEARCH("AUXILIAR DE LIMPEZA - 75 H",tabParametros[[#This Row],[Função]],1)),
SUMIF(tabLimpGeral[TIPO],"Equipamento",tabLimpGeral[VALOR UNITÁRIO P/ HORA (R$)])*75,
IF(ISNUMBER(SEARCH("AUXILIAR DE LIMPEZA - 110 H",tabParametros[[#This Row],[Função]],1)),
SUMIF(tabLimpGeral[TIPO],"Equipamento",tabLimpGeral[VALOR UNITÁRIO P/ HORA (R$)])*110,
IF(ISNUMBER(SEARCH("AUXILIAR DE LIMPEZA - 150 H",tabParametros[[#This Row],[Função]],1)),
SUMIF(tabLimpGeral[TIPO],"Equipamento",tabLimpGeral[VALOR UNITÁRIO P/ HORA (R$)])*150,
IF(ISNUMBER(SEARCH("AUXILIAR DE LIMPEZA - 220 H",tabParametros[[#This Row],[Função]],1)),
SUMIF(tabLimpGeral[TIPO],"Equipamento",tabLimpGeral[VALOR UNITÁRIO P/ HORA (R$)])*220,
IF(ISNUMBER(SEARCH("AUXILIAR DE LIMPEZA - 12 x 36",tabParametros[[#This Row],[Função]],1)),
SUMIF(tabLimpGeral[TIPO],"Equipamento",tabLimpGeral[VALOR UNITÁRIO P/ HORA (R$)])*220,
IF(ISNUMBER(SEARCH("Limpador de vidros - 220 h",tabParametros[[#This Row],[Função]],1)),
SUMIF(tabVidros[TIPO],"Equipamento",tabVidros[VALOR UNITÁRIO P/ POSTO (R$)]),
0))))))</f>
        <v>32.264696957412788</v>
      </c>
      <c r="BA28" s="281">
        <f>IF(ISNUMBER(SEARCH("AUXILIAR DE LIMPEZA - 75 H",tabParametros[[#This Row],[Função]],1)),
SUMIF(tabLimpGeral[TIPO],"Produto",tabLimpGeral[VALOR UNITÁRIO P/ HORA (R$)])*75,
IF(ISNUMBER(SEARCH("AUXILIAR DE LIMPEZA - 110 H",tabParametros[[#This Row],[Função]],1)),
SUMIF(tabLimpGeral[TIPO],"Produto",tabLimpGeral[VALOR UNITÁRIO P/ HORA (R$)])*110,
IF(ISNUMBER(SEARCH("AUXILIAR DE LIMPEZA - 150 H",tabParametros[[#This Row],[Função]],1)),
SUMIF(tabLimpGeral[TIPO],"Produto",tabLimpGeral[VALOR UNITÁRIO P/ HORA (R$)])*150,
IF(ISNUMBER(SEARCH("AUXILIAR DE LIMPEZA - 220 H",tabParametros[[#This Row],[Função]],1)),
SUMIF(tabLimpGeral[TIPO],"Produto",tabLimpGeral[VALOR UNITÁRIO P/ HORA (R$)])*220,
IF(ISNUMBER(SEARCH("AUXILIAR DE LIMPEZA - 12 x 36",tabParametros[[#This Row],[Função]],1)),
SUMIF(tabLimpGeral[TIPO],"Produto",tabLimpGeral[VALOR UNITÁRIO P/ HORA (R$)])*220,
IF(ISNUMBER(SEARCH("Limpador de vidros - 220 h",tabParametros[[#This Row],[Função]],1)),
SUMIF(tabVidros[TIPO],"Produto",tabVidros[VALOR UNITÁRIO P/ POSTO (R$)]),
0))))))</f>
        <v>345.13576638965827</v>
      </c>
      <c r="BB28" s="281">
        <v>0</v>
      </c>
      <c r="BC28" s="236">
        <f>VLOOKUP(tabParametros[[#Headers],[Custos Indiretos]],tabOutrosCustos[],3,0)</f>
        <v>189.64880140242613</v>
      </c>
      <c r="BD28" s="236">
        <f>VLOOKUP(tabParametros[[#Headers],[Lucro]],tabOutrosCustos[],3,0)</f>
        <v>159.30499317803796</v>
      </c>
      <c r="BE28" s="235">
        <f>VLOOKUP(tabParametros[[#Headers],[COFINS]],tabImpostosNacionais[],2,0)</f>
        <v>7.5999999999999998E-2</v>
      </c>
      <c r="BF28" s="235">
        <f>VLOOKUP(tabParametros[[#Headers],[PIS]],tabImpostosNacionais[],2,0)</f>
        <v>1.6500000000000001E-2</v>
      </c>
      <c r="BG28" s="235">
        <f>VLOOKUP(tabParametros[[#This Row],[Comarca]],tabComarca[],4,0)</f>
        <v>0.05</v>
      </c>
      <c r="BH28" s="238">
        <f>IFERROR(VLOOKUP(tabParametros[[#This Row],[CCT DA CATEGORIA]],tabSindicatos[],11,0),"")</f>
        <v>45658</v>
      </c>
      <c r="BI28" s="289" t="str">
        <f>IFERROR(VLOOKUP(tabParametros[[#This Row],[CCT DA CATEGORIA]],tabSindicatos[],12,0),"")</f>
        <v>-</v>
      </c>
      <c r="BJ28" s="293" t="str">
        <f>IFERROR(VLOOKUP(tabParametros[[#This Row],[CCT DA CATEGORIA]],tabSindicatos[],13,0),"")</f>
        <v>-</v>
      </c>
    </row>
    <row r="29" spans="1:62" x14ac:dyDescent="0.25">
      <c r="A29" s="233" t="s">
        <v>1086</v>
      </c>
      <c r="B29" s="198" t="s">
        <v>31</v>
      </c>
      <c r="C29" s="198" t="s">
        <v>1246</v>
      </c>
      <c r="D29" s="198" t="str">
        <f>VLOOKUP(tabParametros[[#This Row],[Código do Posto]],tabPostos[],4,0)</f>
        <v>SEAC/SINDEAC</v>
      </c>
      <c r="E29" s="289" t="str">
        <f>VLOOKUP(tabParametros[[#This Row],[Código do Posto]],tabPostos[],5,0)</f>
        <v>Limpeza</v>
      </c>
      <c r="F29" s="289" t="str">
        <f>VLOOKUP(tabParametros[[#This Row],[Código do Posto]],tabPostos[],6,0)</f>
        <v>PGJ</v>
      </c>
      <c r="G29" s="289">
        <f>VLOOKUP(tabParametros[[#This Row],[Código do Posto]],tabPostos[],7,0)</f>
        <v>2</v>
      </c>
      <c r="H29" s="289">
        <f>VLOOKUP(tabParametros[[#This Row],[Código do Posto]],tabPostos[],8,0)</f>
        <v>0</v>
      </c>
      <c r="I29" s="234">
        <f>VLOOKUP(tabParametros[[#This Row],[Código do Posto]],tabPostos[],9,0)</f>
        <v>1124.3900000000001</v>
      </c>
      <c r="J29" s="234">
        <f>IF(ISNUMBER(SEARCH("Eletricista",tabParametros[[#This Row],[Função]],1)),0.3*tabParametros[[#This Row],[Salário Base]],0)</f>
        <v>0</v>
      </c>
      <c r="K29" s="234">
        <f>IF(OR(ISNUMBER(SEARCH("Bombeiro Hidraulico",tabParametros[[#This Row],[Função]],1)),ISNUMBER(SEARCH("Jardineiro",tabParametros[[#This Row],[Função]],1)),ISNUMBER(SEARCH("Lavador de Veiculos",tabParametros[[#This Row],[Função]],1)),ISNUMBER(SEARCH("Marceneiro",tabParametros[[#This Row],[Função]],1)),ISNUMBER(SEARCH("Pintor",tabParametros[[#This Row],[Função]],1))),0.2*'BASE GERAL'!$R$4,0)</f>
        <v>0</v>
      </c>
      <c r="L29" s="234">
        <f>IF(AND(ISNUMBER(SEARCH("Noturno",tabParametros[[#This Row],[Função]],1)),tabParametros[[#This Row],[Comarca]]&lt;&gt;"Juiz de Fora"),tabParametros[[#This Row],[Salário Base]]/210*0.39*7*15.5,IF(ISNUMBER(SEARCH("Noturno",tabParametros[[#This Row],[Função]],1)),tabParametros[[#This Row],[Salário Base]]/210*0.2*8*15.5,0))</f>
        <v>0</v>
      </c>
      <c r="M29" s="234">
        <f>IF(ISNUMBER(SEARCH("Motorista II",tabParametros[[#This Row],[Função]],1)),0.25*tabParametros[[#This Row],[Salário Base]],0)</f>
        <v>0</v>
      </c>
      <c r="N29" s="250">
        <v>0</v>
      </c>
      <c r="O29" s="234">
        <f>IF(ISNUMBER(SEARCH("TECNOLOGIA DA INFORMACAO",tabParametros[[#This Row],[Função]],1)),0.0201*tabParametros[[#This Row],[Salário Base]],0)</f>
        <v>0</v>
      </c>
      <c r="P29" s="250" cm="1">
        <f t="array" ref="P29">_xlfn.IFS(
ISNUMBER(SEARCH("Auxiliar de Limpeza - 75 h",tabParametros[[#This Row],[Função]],1)),tabParametros[[#This Row],[Salário Base]]/75*0.75*30*0.12,
ISNUMBER(SEARCH("Auxiliar de Limpeza - 110 h",tabParametros[[#This Row],[Função]],1)),tabParametros[[#This Row],[Salário Base]]/110*1*30*0.12,
ISNUMBER(SEARCH("Auxiliar de Limpeza - 150 h",tabParametros[[#This Row],[Função]],1)),tabParametros[[#This Row],[Salário Base]]/150*1.5*30*0.12,
ISNUMBER(SEARCH("Auxiliar de Limpeza - 220 h",tabParametros[[#This Row],[Função]],1)),tabParametros[[#This Row],[Salário Base]]/220*2*30*0.12,
ISNUMBER(SEARCH("Auxiliar de Limpeza - 12 x 36",tabParametros[[#This Row],[Função]],1)),tabParametros[[#This Row],[Salário Base]]/220*2*30*0.12,
ISNUMBER(SEARCH("Auxiliar de Limpeza - 55 h",tabParametros[[#This Row],[Função]],1))=FALSE,0)</f>
        <v>40.478040000000007</v>
      </c>
      <c r="Q29" s="235">
        <f>VLOOKUP(tabParametros[[#Headers],[INSS]],tabImpostosNacionais[],2,0)</f>
        <v>0.2</v>
      </c>
      <c r="R29" s="235">
        <f>VLOOKUP(tabParametros[[#Headers],[SESI OU SESC]],tabImpostosNacionais[],2,0)</f>
        <v>1.4999999999999999E-2</v>
      </c>
      <c r="S29" s="235">
        <f>VLOOKUP(tabParametros[[#Headers],[SENAI OU SENAC]],tabImpostosNacionais[],2,0)</f>
        <v>0.01</v>
      </c>
      <c r="T29" s="235">
        <f>VLOOKUP(tabParametros[[#Headers],[INCRA]],tabImpostosNacionais[],2,0)</f>
        <v>2E-3</v>
      </c>
      <c r="U29" s="235">
        <f>VLOOKUP(tabParametros[[#Headers],[Salário Educação]],tabImpostosNacionais[],2,0)</f>
        <v>2.5000000000000001E-2</v>
      </c>
      <c r="V29" s="235">
        <f>VLOOKUP(tabParametros[[#Headers],[FGTS]],tabImpostosNacionais[],2,0)</f>
        <v>0.08</v>
      </c>
      <c r="W29" s="235">
        <f>VLOOKUP(tabParametros[[#Headers],[RAT Ajustado]],tabImpostosNacionais[],2,0)</f>
        <v>0.04</v>
      </c>
      <c r="X29" s="235">
        <f>VLOOKUP(tabParametros[[#Headers],[SEBRAE]],tabImpostosNacionais[],2,0)</f>
        <v>6.0000000000000001E-3</v>
      </c>
      <c r="Y29" s="235">
        <f t="shared" si="0"/>
        <v>8.3333333333333329E-2</v>
      </c>
      <c r="Z29" s="251">
        <f t="shared" si="1"/>
        <v>0.1111111111111111</v>
      </c>
      <c r="AA29" s="234">
        <f>VLOOKUP(tabParametros[[#This Row],[Comarca]],tabComarca[],5,0)</f>
        <v>11.25</v>
      </c>
      <c r="AB29" s="234">
        <f>IFERROR(VLOOKUP(tabParametros[[#This Row],[CCT DA CATEGORIA]],tabSindicatos[],6,0),0)</f>
        <v>29.15</v>
      </c>
      <c r="AC29" s="234">
        <f>IFERROR(VLOOKUP(tabParametros[[#This Row],[CCT DA CATEGORIA]],tabSindicatos[],7,0),0)</f>
        <v>0</v>
      </c>
      <c r="AD29" s="234" cm="1">
        <f t="array" ref="AD29">_xlfn.LET(
_xlpm.COMARCA, TRIM(UPPER(SUBSTITUTE(SUBSTITUTE(SUBSTITUTE(SUBSTITUTE(SUBSTITUTE(SUBSTITUTE(SUBSTITUTE(SUBSTITUTE(SUBSTITUTE(SUBSTITUTE(SUBSTITUTE(SUBSTITUTE(SUBSTITUTE(SUBSTITUTE(SUBSTITUTE(SUBSTITUTE(SUBSTITUTE(SUBSTITUTE(SUBSTITUTE(SUBSTITUTE(SUBSTITUTE(SUBSTITUTE(SUBSTITUTE(SUBSTITUTE(SUBSTITUTE(SUBSTITUTE(tabParametros[[#This Row],[Comarca]],"á","a"),"ã","a"),"â","a"),"é","e"),"ê","e"),"í","i"),"ó","o"),"õ","o"),"ô","o"),"ú","u"),"ç","c"),"Á","a"),"Ã","a"),"Â","a"),"É","e"),"Ê","e"),"Í","i"),"Ó","o"),"Õ","o"),"Ô","o"),"Ú","u"),"Ç","c"),"/MG","")," e ",", ")," ",""),".",""))),
_xlpm.MATRIZ_COMARCA, TRIM(UPPER(SUBSTITUTE(SUBSTITUTE(SUBSTITUTE(SUBSTITUTE(SUBSTITUTE(SUBSTITUTE(SUBSTITUTE(SUBSTITUTE(SUBSTITUTE(SUBSTITUTE(SUBSTITUTE(SUBSTITUTE(SUBSTITUTE(SUBSTITUTE(SUBSTITUTE(SUBSTITUTE(SUBSTITUTE(SUBSTITUTE(SUBSTITUTE(SUBSTITUTE(SUBSTITUTE(SUBSTITUTE(SUBSTITUTE(SUBSTITUTE(SUBSTITUTE(SUBSTITUTE(tabSindicatos[COMARCAS PAF],"á","a"),"ã","a"),"â","a"),"é","e"),"ê","e"),"í","i"),"ó","o"),"õ","o"),"ô","o"),"ú","u"),"ç","c"),"Á","a"),"Ã","a"),"Â","a"),"É","e"),"Ê","e"),"Í","i"),"Ó","o"),"Õ","o"),"Ô","o"),"Ú","u"),"Ç","c"),"/MG","")," e ",", ")," ",""),".",""))),
IFERROR(IF(_xlfn.XLOOKUP(tabParametros[[#This Row],[CCT DA CATEGORIA]],tabSindicatos[SINDICATOS],tabSindicatos[COMARCAS PAF])="",
VLOOKUP(tabParametros[[#This Row],[CCT DA CATEGORIA]],tabSindicatos[],8,0),
IF(ISNUMBER(SEARCH(TRIM(_xlpm.COMARCA),_xlfn.XLOOKUP(tabParametros[[#This Row],[CCT DA CATEGORIA]],tabSindicatos[SINDICATOS],_xlpm.MATRIZ_COMARCA),1)),VLOOKUP(tabParametros[[#This Row],[CCT DA CATEGORIA]],tabSindicatos[],8,0),0)
),0)
)</f>
        <v>95.9</v>
      </c>
      <c r="AE29" s="234">
        <f>IFERROR(VLOOKUP(tabParametros[[#This Row],[CCT DA CATEGORIA]],tabSindicatos[],9,0),0)</f>
        <v>0</v>
      </c>
      <c r="AF29" s="234">
        <f>IFERROR(VLOOKUP(tabParametros[[#This Row],[CCT DA CATEGORIA]],tabSindicatos[],10,0),0)</f>
        <v>0</v>
      </c>
      <c r="AG29" s="236">
        <f>VLOOKUP(tabParametros[[#Headers],[Seguro de Vida]],tabOutrosCustos[],3,0)</f>
        <v>3.36</v>
      </c>
      <c r="AH29" s="236">
        <f>IF(ISNUMBER(SEARCH("MOTORISTA",tabParametros[[#This Row],[Função]],1)),VLOOKUP("MOTORISTAS",tabDiarias[],2,0),IF(tabParametros[[#This Row],[Comarca]]="Belo Horizonte",VLOOKUP("LIMPEZA",tabDiarias[],2,0),0))</f>
        <v>10.19</v>
      </c>
      <c r="AI29" s="235">
        <f t="shared" si="2"/>
        <v>7.011766975308642E-3</v>
      </c>
      <c r="AJ29" s="237">
        <f>tabParametros[[#This Row],[FGTS]]*tabParametros[[#This Row],[Aviso Prévio Indenizado (API) e Reflexo do Aviso Prévio Indenizado]]</f>
        <v>5.609413580246914E-4</v>
      </c>
      <c r="AK29" s="237">
        <f>tabParametros[[#This Row],[FGTS]]*tabParametros[[#This Row],[Aviso Prévio Indenizado (API) e Reflexo do Aviso Prévio Indenizado]]*40%</f>
        <v>2.2437654320987658E-4</v>
      </c>
      <c r="AL29" s="235">
        <f t="shared" si="3"/>
        <v>3.5000000000000005E-3</v>
      </c>
      <c r="AM29" s="235">
        <f>tabParametros[[#This Row],[Aviso Prévio Trabalhado - APT]]*SUM(tabParametros[[#This Row],[INSS]:[SEBRAE]])</f>
        <v>1.3230000000000004E-3</v>
      </c>
      <c r="AN29" s="235">
        <f t="shared" si="4"/>
        <v>3.0577777777777773E-2</v>
      </c>
      <c r="AO29" s="235">
        <f t="shared" si="5"/>
        <v>8.3333333333333339E-4</v>
      </c>
      <c r="AP29" s="235">
        <f t="shared" si="6"/>
        <v>8.4444444444444437E-3</v>
      </c>
      <c r="AQ29" s="235">
        <f t="shared" si="7"/>
        <v>2.0277777777777777E-3</v>
      </c>
      <c r="AR29" s="235">
        <f t="shared" si="8"/>
        <v>1.7083333333333333E-4</v>
      </c>
      <c r="AS29" s="235">
        <f t="shared" si="9"/>
        <v>2.0833333333333335E-4</v>
      </c>
      <c r="AT29" s="235">
        <f t="shared" si="10"/>
        <v>1.2962962962962963E-3</v>
      </c>
      <c r="AU29" s="237">
        <f>SUM(tabParametros[[#This Row],[Ausência por Doença]:[Férias, Adicional de Férias e 13º  com empregada em gozo de Licença Maternidade]])*SUM(tabParametros[[#This Row],[INSS]:[SEBRAE]])</f>
        <v>4.5918250000000008E-3</v>
      </c>
      <c r="AV29" s="234">
        <f>IF(tabParametros[[#This Row],[Função]]="Porteiro - 220 h",SUM(tabParametros[[#This Row],[Salário Base]:[Adicional de Acúmulo de função]])/220*20*1.5,IF(ISNUMBER(SEARCH("12 x 36",tabParametros[[#This Row],[Função]],1)),SUM(tabParametros[[#This Row],[Salário Base]:[Adicional de Acúmulo de função]])/210*15.5*1.5,0))</f>
        <v>0</v>
      </c>
      <c r="AW29" s="234">
        <f>IF(tabParametros[[#This Row],[Vagas contratadas]]&gt;0,(SUM(tabParametros[[#This Row],[Salário Base]:[Adicional de Acúmulo de função]])*30%+SUM(tabParametros[[#This Row],[Vale - Alimentação]:[Seguro de Vida]]))/tabParametros[[#This Row],[Vagas contratadas]]*tabParametros[[#This Row],[Vagas suspensas]],0)</f>
        <v>0</v>
      </c>
      <c r="AX29" s="234">
        <f>SUMIF(tabUniformes[Cargo],tabParametros[[#This Row],[Função]],tabUniformes[Valor unit. Mensal])</f>
        <v>100.80916666666666</v>
      </c>
      <c r="AY29" s="281">
        <f>IF(ISNUMBER(SEARCH("AUXILIAR DE LIMPEZA - 75 H",tabParametros[[#This Row],[Função]],1)),
SUMIF(tabLimpGeral[TIPO],"Material",tabLimpGeral[VALOR UNITÁRIO P/ HORA (R$)])*75,
IF(ISNUMBER(SEARCH("AUXILIAR DE LIMPEZA - 110 H",tabParametros[[#This Row],[Função]],1)),
SUMIF(tabLimpGeral[TIPO],"Material",tabLimpGeral[VALOR UNITÁRIO P/ HORA (R$)])*110,
IF(ISNUMBER(SEARCH("AUXILIAR DE LIMPEZA - 150 H",tabParametros[[#This Row],[Função]],1)),
SUMIF(tabLimpGeral[TIPO],"Material",tabLimpGeral[VALOR UNITÁRIO P/ HORA (R$)])*150,
IF(ISNUMBER(SEARCH("AUXILIAR DE LIMPEZA - 220 H",tabParametros[[#This Row],[Função]],1)),
SUMIF(tabLimpGeral[TIPO],"Material",tabLimpGeral[VALOR UNITÁRIO P/ HORA (R$)])*220,
IF(ISNUMBER(SEARCH("AUXILIAR DE LIMPEZA - 12 x 36",tabParametros[[#This Row],[Função]],1)),
SUMIF(tabLimpGeral[TIPO],"Material",tabLimpGeral[VALOR UNITÁRIO P/ HORA (R$)])*220,
IF(ISNUMBER(SEARCH("Limpador de vidros - 220 h",tabParametros[[#This Row],[Função]],1)),
SUMIF(tabVidros[TIPO],"Material",tabVidros[VALOR UNITÁRIO P/ POSTO (R$)]),
0))))))</f>
        <v>24.216963380852651</v>
      </c>
      <c r="AZ29" s="281">
        <f>IF(ISNUMBER(SEARCH("AUXILIAR DE LIMPEZA - 75 H",tabParametros[[#This Row],[Função]],1)),
SUMIF(tabLimpGeral[TIPO],"Equipamento",tabLimpGeral[VALOR UNITÁRIO P/ HORA (R$)])*75,
IF(ISNUMBER(SEARCH("AUXILIAR DE LIMPEZA - 110 H",tabParametros[[#This Row],[Função]],1)),
SUMIF(tabLimpGeral[TIPO],"Equipamento",tabLimpGeral[VALOR UNITÁRIO P/ HORA (R$)])*110,
IF(ISNUMBER(SEARCH("AUXILIAR DE LIMPEZA - 150 H",tabParametros[[#This Row],[Função]],1)),
SUMIF(tabLimpGeral[TIPO],"Equipamento",tabLimpGeral[VALOR UNITÁRIO P/ HORA (R$)])*150,
IF(ISNUMBER(SEARCH("AUXILIAR DE LIMPEZA - 220 H",tabParametros[[#This Row],[Função]],1)),
SUMIF(tabLimpGeral[TIPO],"Equipamento",tabLimpGeral[VALOR UNITÁRIO P/ HORA (R$)])*220,
IF(ISNUMBER(SEARCH("AUXILIAR DE LIMPEZA - 12 x 36",tabParametros[[#This Row],[Função]],1)),
SUMIF(tabLimpGeral[TIPO],"Equipamento",tabLimpGeral[VALOR UNITÁRIO P/ HORA (R$)])*220,
IF(ISNUMBER(SEARCH("Limpador de vidros - 220 h",tabParametros[[#This Row],[Função]],1)),
SUMIF(tabVidros[TIPO],"Equipamento",tabVidros[VALOR UNITÁRIO P/ POSTO (R$)]),
0))))))</f>
        <v>43.997314032835618</v>
      </c>
      <c r="BA29" s="281">
        <f>IF(ISNUMBER(SEARCH("AUXILIAR DE LIMPEZA - 75 H",tabParametros[[#This Row],[Função]],1)),
SUMIF(tabLimpGeral[TIPO],"Produto",tabLimpGeral[VALOR UNITÁRIO P/ HORA (R$)])*75,
IF(ISNUMBER(SEARCH("AUXILIAR DE LIMPEZA - 110 H",tabParametros[[#This Row],[Função]],1)),
SUMIF(tabLimpGeral[TIPO],"Produto",tabLimpGeral[VALOR UNITÁRIO P/ HORA (R$)])*110,
IF(ISNUMBER(SEARCH("AUXILIAR DE LIMPEZA - 150 H",tabParametros[[#This Row],[Função]],1)),
SUMIF(tabLimpGeral[TIPO],"Produto",tabLimpGeral[VALOR UNITÁRIO P/ HORA (R$)])*150,
IF(ISNUMBER(SEARCH("AUXILIAR DE LIMPEZA - 220 H",tabParametros[[#This Row],[Função]],1)),
SUMIF(tabLimpGeral[TIPO],"Produto",tabLimpGeral[VALOR UNITÁRIO P/ HORA (R$)])*220,
IF(ISNUMBER(SEARCH("AUXILIAR DE LIMPEZA - 12 x 36",tabParametros[[#This Row],[Função]],1)),
SUMIF(tabLimpGeral[TIPO],"Produto",tabLimpGeral[VALOR UNITÁRIO P/ HORA (R$)])*220,
IF(ISNUMBER(SEARCH("Limpador de vidros - 220 h",tabParametros[[#This Row],[Função]],1)),
SUMIF(tabVidros[TIPO],"Produto",tabVidros[VALOR UNITÁRIO P/ POSTO (R$)]),
0))))))</f>
        <v>470.6396814404431</v>
      </c>
      <c r="BB29" s="281">
        <v>0</v>
      </c>
      <c r="BC29" s="236">
        <f>VLOOKUP(tabParametros[[#Headers],[Custos Indiretos]],tabOutrosCustos[],3,0)</f>
        <v>189.64880140242613</v>
      </c>
      <c r="BD29" s="236">
        <f>VLOOKUP(tabParametros[[#Headers],[Lucro]],tabOutrosCustos[],3,0)</f>
        <v>159.30499317803796</v>
      </c>
      <c r="BE29" s="235">
        <f>VLOOKUP(tabParametros[[#Headers],[COFINS]],tabImpostosNacionais[],2,0)</f>
        <v>7.5999999999999998E-2</v>
      </c>
      <c r="BF29" s="235">
        <f>VLOOKUP(tabParametros[[#Headers],[PIS]],tabImpostosNacionais[],2,0)</f>
        <v>1.6500000000000001E-2</v>
      </c>
      <c r="BG29" s="235">
        <f>VLOOKUP(tabParametros[[#This Row],[Comarca]],tabComarca[],4,0)</f>
        <v>0.05</v>
      </c>
      <c r="BH29" s="238">
        <f>IFERROR(VLOOKUP(tabParametros[[#This Row],[CCT DA CATEGORIA]],tabSindicatos[],11,0),"")</f>
        <v>45658</v>
      </c>
      <c r="BI29" s="289" t="str">
        <f>IFERROR(VLOOKUP(tabParametros[[#This Row],[CCT DA CATEGORIA]],tabSindicatos[],12,0),"")</f>
        <v>-</v>
      </c>
      <c r="BJ29" s="293" t="str">
        <f>IFERROR(VLOOKUP(tabParametros[[#This Row],[CCT DA CATEGORIA]],tabSindicatos[],13,0),"")</f>
        <v>-</v>
      </c>
    </row>
    <row r="30" spans="1:62" x14ac:dyDescent="0.25">
      <c r="A30" s="233" t="s">
        <v>1270</v>
      </c>
      <c r="B30" s="198" t="s">
        <v>31</v>
      </c>
      <c r="C30" s="198" t="s">
        <v>1245</v>
      </c>
      <c r="D30" s="198" t="str">
        <f>VLOOKUP(tabParametros[[#This Row],[Código do Posto]],tabPostos[],4,0)</f>
        <v>SEAC/SINDEAC</v>
      </c>
      <c r="E30" s="289" t="str">
        <f>VLOOKUP(tabParametros[[#This Row],[Código do Posto]],tabPostos[],5,0)</f>
        <v>Limpeza</v>
      </c>
      <c r="F30" s="289" t="str">
        <f>VLOOKUP(tabParametros[[#This Row],[Código do Posto]],tabPostos[],6,0)</f>
        <v>PGJ</v>
      </c>
      <c r="G30" s="289">
        <f>VLOOKUP(tabParametros[[#This Row],[Código do Posto]],tabPostos[],7,0)</f>
        <v>101</v>
      </c>
      <c r="H30" s="289">
        <f>VLOOKUP(tabParametros[[#This Row],[Código do Posto]],tabPostos[],8,0)</f>
        <v>0</v>
      </c>
      <c r="I30" s="234">
        <f>VLOOKUP(tabParametros[[#This Row],[Código do Posto]],tabPostos[],9,0)</f>
        <v>1649.12</v>
      </c>
      <c r="J30" s="234">
        <f>IF(ISNUMBER(SEARCH("Eletricista",tabParametros[[#This Row],[Função]],1)),0.3*tabParametros[[#This Row],[Salário Base]],0)</f>
        <v>0</v>
      </c>
      <c r="K30" s="234">
        <f>IF(OR(ISNUMBER(SEARCH("Bombeiro Hidraulico",tabParametros[[#This Row],[Função]],1)),ISNUMBER(SEARCH("Jardineiro",tabParametros[[#This Row],[Função]],1)),ISNUMBER(SEARCH("Lavador de Veiculos",tabParametros[[#This Row],[Função]],1)),ISNUMBER(SEARCH("Marceneiro",tabParametros[[#This Row],[Função]],1)),ISNUMBER(SEARCH("Pintor",tabParametros[[#This Row],[Função]],1))),0.2*'BASE GERAL'!$R$4,0)</f>
        <v>0</v>
      </c>
      <c r="L30" s="234">
        <f>IF(AND(ISNUMBER(SEARCH("Noturno",tabParametros[[#This Row],[Função]],1)),tabParametros[[#This Row],[Comarca]]&lt;&gt;"Juiz de Fora"),tabParametros[[#This Row],[Salário Base]]/210*0.39*7*15.5,IF(ISNUMBER(SEARCH("Noturno",tabParametros[[#This Row],[Função]],1)),tabParametros[[#This Row],[Salário Base]]/210*0.2*8*15.5,0))</f>
        <v>0</v>
      </c>
      <c r="M30" s="234">
        <f>IF(ISNUMBER(SEARCH("Motorista II",tabParametros[[#This Row],[Função]],1)),0.25*tabParametros[[#This Row],[Salário Base]],0)</f>
        <v>0</v>
      </c>
      <c r="N30" s="250">
        <v>0</v>
      </c>
      <c r="O30" s="234">
        <f>IF(ISNUMBER(SEARCH("TECNOLOGIA DA INFORMACAO",tabParametros[[#This Row],[Função]],1)),0.0201*tabParametros[[#This Row],[Salário Base]],0)</f>
        <v>0</v>
      </c>
      <c r="P30" s="250" cm="1">
        <f t="array" ref="P30">_xlfn.IFS(
ISNUMBER(SEARCH("Auxiliar de Limpeza - 75 h",tabParametros[[#This Row],[Função]],1)),tabParametros[[#This Row],[Salário Base]]/75*0.75*30*0.12,
ISNUMBER(SEARCH("Auxiliar de Limpeza - 110 h",tabParametros[[#This Row],[Função]],1)),tabParametros[[#This Row],[Salário Base]]/110*1*30*0.12,
ISNUMBER(SEARCH("Auxiliar de Limpeza - 150 h",tabParametros[[#This Row],[Função]],1)),tabParametros[[#This Row],[Salário Base]]/150*1.5*30*0.12,
ISNUMBER(SEARCH("Auxiliar de Limpeza - 220 h",tabParametros[[#This Row],[Função]],1)),tabParametros[[#This Row],[Salário Base]]/220*2*30*0.12,
ISNUMBER(SEARCH("Auxiliar de Limpeza - 12 x 36",tabParametros[[#This Row],[Função]],1)),tabParametros[[#This Row],[Salário Base]]/220*2*30*0.12,
ISNUMBER(SEARCH("Auxiliar de Limpeza - 55 h",tabParametros[[#This Row],[Função]],1))=FALSE,0)</f>
        <v>53.971199999999996</v>
      </c>
      <c r="Q30" s="235">
        <f>VLOOKUP(tabParametros[[#Headers],[INSS]],tabImpostosNacionais[],2,0)</f>
        <v>0.2</v>
      </c>
      <c r="R30" s="235">
        <f>VLOOKUP(tabParametros[[#Headers],[SESI OU SESC]],tabImpostosNacionais[],2,0)</f>
        <v>1.4999999999999999E-2</v>
      </c>
      <c r="S30" s="235">
        <f>VLOOKUP(tabParametros[[#Headers],[SENAI OU SENAC]],tabImpostosNacionais[],2,0)</f>
        <v>0.01</v>
      </c>
      <c r="T30" s="235">
        <f>VLOOKUP(tabParametros[[#Headers],[INCRA]],tabImpostosNacionais[],2,0)</f>
        <v>2E-3</v>
      </c>
      <c r="U30" s="235">
        <f>VLOOKUP(tabParametros[[#Headers],[Salário Educação]],tabImpostosNacionais[],2,0)</f>
        <v>2.5000000000000001E-2</v>
      </c>
      <c r="V30" s="235">
        <f>VLOOKUP(tabParametros[[#Headers],[FGTS]],tabImpostosNacionais[],2,0)</f>
        <v>0.08</v>
      </c>
      <c r="W30" s="235">
        <f>VLOOKUP(tabParametros[[#Headers],[RAT Ajustado]],tabImpostosNacionais[],2,0)</f>
        <v>0.04</v>
      </c>
      <c r="X30" s="235">
        <f>VLOOKUP(tabParametros[[#Headers],[SEBRAE]],tabImpostosNacionais[],2,0)</f>
        <v>6.0000000000000001E-3</v>
      </c>
      <c r="Y30" s="235">
        <f t="shared" si="0"/>
        <v>8.3333333333333329E-2</v>
      </c>
      <c r="Z30" s="251">
        <f t="shared" si="1"/>
        <v>0.1111111111111111</v>
      </c>
      <c r="AA30" s="234">
        <f>VLOOKUP(tabParametros[[#This Row],[Comarca]],tabComarca[],5,0)</f>
        <v>11.25</v>
      </c>
      <c r="AB30" s="234">
        <f>IFERROR(VLOOKUP(tabParametros[[#This Row],[CCT DA CATEGORIA]],tabSindicatos[],6,0),0)</f>
        <v>29.15</v>
      </c>
      <c r="AC30" s="234">
        <f>IFERROR(VLOOKUP(tabParametros[[#This Row],[CCT DA CATEGORIA]],tabSindicatos[],7,0),0)</f>
        <v>0</v>
      </c>
      <c r="AD30" s="234" cm="1">
        <f t="array" ref="AD30">_xlfn.LET(
_xlpm.COMARCA, TRIM(UPPER(SUBSTITUTE(SUBSTITUTE(SUBSTITUTE(SUBSTITUTE(SUBSTITUTE(SUBSTITUTE(SUBSTITUTE(SUBSTITUTE(SUBSTITUTE(SUBSTITUTE(SUBSTITUTE(SUBSTITUTE(SUBSTITUTE(SUBSTITUTE(SUBSTITUTE(SUBSTITUTE(SUBSTITUTE(SUBSTITUTE(SUBSTITUTE(SUBSTITUTE(SUBSTITUTE(SUBSTITUTE(SUBSTITUTE(SUBSTITUTE(SUBSTITUTE(SUBSTITUTE(tabParametros[[#This Row],[Comarca]],"á","a"),"ã","a"),"â","a"),"é","e"),"ê","e"),"í","i"),"ó","o"),"õ","o"),"ô","o"),"ú","u"),"ç","c"),"Á","a"),"Ã","a"),"Â","a"),"É","e"),"Ê","e"),"Í","i"),"Ó","o"),"Õ","o"),"Ô","o"),"Ú","u"),"Ç","c"),"/MG","")," e ",", ")," ",""),".",""))),
_xlpm.MATRIZ_COMARCA, TRIM(UPPER(SUBSTITUTE(SUBSTITUTE(SUBSTITUTE(SUBSTITUTE(SUBSTITUTE(SUBSTITUTE(SUBSTITUTE(SUBSTITUTE(SUBSTITUTE(SUBSTITUTE(SUBSTITUTE(SUBSTITUTE(SUBSTITUTE(SUBSTITUTE(SUBSTITUTE(SUBSTITUTE(SUBSTITUTE(SUBSTITUTE(SUBSTITUTE(SUBSTITUTE(SUBSTITUTE(SUBSTITUTE(SUBSTITUTE(SUBSTITUTE(SUBSTITUTE(SUBSTITUTE(tabSindicatos[COMARCAS PAF],"á","a"),"ã","a"),"â","a"),"é","e"),"ê","e"),"í","i"),"ó","o"),"õ","o"),"ô","o"),"ú","u"),"ç","c"),"Á","a"),"Ã","a"),"Â","a"),"É","e"),"Ê","e"),"Í","i"),"Ó","o"),"Õ","o"),"Ô","o"),"Ú","u"),"Ç","c"),"/MG","")," e ",", ")," ",""),".",""))),
IFERROR(IF(_xlfn.XLOOKUP(tabParametros[[#This Row],[CCT DA CATEGORIA]],tabSindicatos[SINDICATOS],tabSindicatos[COMARCAS PAF])="",
VLOOKUP(tabParametros[[#This Row],[CCT DA CATEGORIA]],tabSindicatos[],8,0),
IF(ISNUMBER(SEARCH(TRIM(_xlpm.COMARCA),_xlfn.XLOOKUP(tabParametros[[#This Row],[CCT DA CATEGORIA]],tabSindicatos[SINDICATOS],_xlpm.MATRIZ_COMARCA),1)),VLOOKUP(tabParametros[[#This Row],[CCT DA CATEGORIA]],tabSindicatos[],8,0),0)
),0)
)</f>
        <v>95.9</v>
      </c>
      <c r="AE30" s="234">
        <f>IFERROR(VLOOKUP(tabParametros[[#This Row],[CCT DA CATEGORIA]],tabSindicatos[],9,0),0)</f>
        <v>0</v>
      </c>
      <c r="AF30" s="234">
        <f>IFERROR(VLOOKUP(tabParametros[[#This Row],[CCT DA CATEGORIA]],tabSindicatos[],10,0),0)</f>
        <v>0</v>
      </c>
      <c r="AG30" s="236">
        <f>VLOOKUP(tabParametros[[#Headers],[Seguro de Vida]],tabOutrosCustos[],3,0)</f>
        <v>3.36</v>
      </c>
      <c r="AH30" s="236">
        <f>IF(ISNUMBER(SEARCH("MOTORISTA",tabParametros[[#This Row],[Função]],1)),VLOOKUP("MOTORISTAS",tabDiarias[],2,0),IF(tabParametros[[#This Row],[Comarca]]="Belo Horizonte",VLOOKUP("LIMPEZA",tabDiarias[],2,0),0))</f>
        <v>10.19</v>
      </c>
      <c r="AI30" s="235">
        <f t="shared" si="2"/>
        <v>7.011766975308642E-3</v>
      </c>
      <c r="AJ30" s="237">
        <f>tabParametros[[#This Row],[FGTS]]*tabParametros[[#This Row],[Aviso Prévio Indenizado (API) e Reflexo do Aviso Prévio Indenizado]]</f>
        <v>5.609413580246914E-4</v>
      </c>
      <c r="AK30" s="237">
        <f>tabParametros[[#This Row],[FGTS]]*tabParametros[[#This Row],[Aviso Prévio Indenizado (API) e Reflexo do Aviso Prévio Indenizado]]*40%</f>
        <v>2.2437654320987658E-4</v>
      </c>
      <c r="AL30" s="235">
        <f t="shared" si="3"/>
        <v>3.5000000000000005E-3</v>
      </c>
      <c r="AM30" s="235">
        <f>tabParametros[[#This Row],[Aviso Prévio Trabalhado - APT]]*SUM(tabParametros[[#This Row],[INSS]:[SEBRAE]])</f>
        <v>1.3230000000000004E-3</v>
      </c>
      <c r="AN30" s="235">
        <f t="shared" si="4"/>
        <v>3.0577777777777773E-2</v>
      </c>
      <c r="AO30" s="235">
        <f t="shared" si="5"/>
        <v>8.3333333333333339E-4</v>
      </c>
      <c r="AP30" s="235">
        <f t="shared" si="6"/>
        <v>8.4444444444444437E-3</v>
      </c>
      <c r="AQ30" s="235">
        <f t="shared" si="7"/>
        <v>2.0277777777777777E-3</v>
      </c>
      <c r="AR30" s="235">
        <f t="shared" si="8"/>
        <v>1.7083333333333333E-4</v>
      </c>
      <c r="AS30" s="235">
        <f t="shared" si="9"/>
        <v>2.0833333333333335E-4</v>
      </c>
      <c r="AT30" s="235">
        <f t="shared" si="10"/>
        <v>1.2962962962962963E-3</v>
      </c>
      <c r="AU30" s="237">
        <f>SUM(tabParametros[[#This Row],[Ausência por Doença]:[Férias, Adicional de Férias e 13º  com empregada em gozo de Licença Maternidade]])*SUM(tabParametros[[#This Row],[INSS]:[SEBRAE]])</f>
        <v>4.5918250000000008E-3</v>
      </c>
      <c r="AV30" s="234">
        <f>IF(tabParametros[[#This Row],[Função]]="Porteiro - 220 h",SUM(tabParametros[[#This Row],[Salário Base]:[Adicional de Acúmulo de função]])/220*20*1.5,IF(ISNUMBER(SEARCH("12 x 36",tabParametros[[#This Row],[Função]],1)),SUM(tabParametros[[#This Row],[Salário Base]:[Adicional de Acúmulo de função]])/210*15.5*1.5,0))</f>
        <v>0</v>
      </c>
      <c r="AW30" s="234">
        <f>IF(tabParametros[[#This Row],[Vagas contratadas]]&gt;0,(SUM(tabParametros[[#This Row],[Salário Base]:[Adicional de Acúmulo de função]])*30%+SUM(tabParametros[[#This Row],[Vale - Alimentação]:[Seguro de Vida]]))/tabParametros[[#This Row],[Vagas contratadas]]*tabParametros[[#This Row],[Vagas suspensas]],0)</f>
        <v>0</v>
      </c>
      <c r="AX30" s="234">
        <f>SUMIF(tabUniformes[Cargo],tabParametros[[#This Row],[Função]],tabUniformes[Valor unit. Mensal])</f>
        <v>100.80916666666666</v>
      </c>
      <c r="AY30" s="281">
        <f>IF(ISNUMBER(SEARCH("AUXILIAR DE LIMPEZA - 75 H",tabParametros[[#This Row],[Função]],1)),
SUMIF(tabLimpGeral[TIPO],"Material",tabLimpGeral[VALOR UNITÁRIO P/ HORA (R$)])*75,
IF(ISNUMBER(SEARCH("AUXILIAR DE LIMPEZA - 110 H",tabParametros[[#This Row],[Função]],1)),
SUMIF(tabLimpGeral[TIPO],"Material",tabLimpGeral[VALOR UNITÁRIO P/ HORA (R$)])*110,
IF(ISNUMBER(SEARCH("AUXILIAR DE LIMPEZA - 150 H",tabParametros[[#This Row],[Função]],1)),
SUMIF(tabLimpGeral[TIPO],"Material",tabLimpGeral[VALOR UNITÁRIO P/ HORA (R$)])*150,
IF(ISNUMBER(SEARCH("AUXILIAR DE LIMPEZA - 220 H",tabParametros[[#This Row],[Função]],1)),
SUMIF(tabLimpGeral[TIPO],"Material",tabLimpGeral[VALOR UNITÁRIO P/ HORA (R$)])*220,
IF(ISNUMBER(SEARCH("AUXILIAR DE LIMPEZA - 12 x 36",tabParametros[[#This Row],[Função]],1)),
SUMIF(tabLimpGeral[TIPO],"Material",tabLimpGeral[VALOR UNITÁRIO P/ HORA (R$)])*220,
IF(ISNUMBER(SEARCH("Limpador de vidros - 220 h",tabParametros[[#This Row],[Função]],1)),
SUMIF(tabVidros[TIPO],"Material",tabVidros[VALOR UNITÁRIO P/ POSTO (R$)]),
0))))))</f>
        <v>35.518212958583888</v>
      </c>
      <c r="AZ30" s="281">
        <f>IF(ISNUMBER(SEARCH("AUXILIAR DE LIMPEZA - 75 H",tabParametros[[#This Row],[Função]],1)),
SUMIF(tabLimpGeral[TIPO],"Equipamento",tabLimpGeral[VALOR UNITÁRIO P/ HORA (R$)])*75,
IF(ISNUMBER(SEARCH("AUXILIAR DE LIMPEZA - 110 H",tabParametros[[#This Row],[Função]],1)),
SUMIF(tabLimpGeral[TIPO],"Equipamento",tabLimpGeral[VALOR UNITÁRIO P/ HORA (R$)])*110,
IF(ISNUMBER(SEARCH("AUXILIAR DE LIMPEZA - 150 H",tabParametros[[#This Row],[Função]],1)),
SUMIF(tabLimpGeral[TIPO],"Equipamento",tabLimpGeral[VALOR UNITÁRIO P/ HORA (R$)])*150,
IF(ISNUMBER(SEARCH("AUXILIAR DE LIMPEZA - 220 H",tabParametros[[#This Row],[Função]],1)),
SUMIF(tabLimpGeral[TIPO],"Equipamento",tabLimpGeral[VALOR UNITÁRIO P/ HORA (R$)])*220,
IF(ISNUMBER(SEARCH("AUXILIAR DE LIMPEZA - 12 x 36",tabParametros[[#This Row],[Função]],1)),
SUMIF(tabLimpGeral[TIPO],"Equipamento",tabLimpGeral[VALOR UNITÁRIO P/ HORA (R$)])*220,
IF(ISNUMBER(SEARCH("Limpador de vidros - 220 h",tabParametros[[#This Row],[Função]],1)),
SUMIF(tabVidros[TIPO],"Equipamento",tabVidros[VALOR UNITÁRIO P/ POSTO (R$)]),
0))))))</f>
        <v>64.529393914825576</v>
      </c>
      <c r="BA30" s="281">
        <f>IF(ISNUMBER(SEARCH("AUXILIAR DE LIMPEZA - 75 H",tabParametros[[#This Row],[Função]],1)),
SUMIF(tabLimpGeral[TIPO],"Produto",tabLimpGeral[VALOR UNITÁRIO P/ HORA (R$)])*75,
IF(ISNUMBER(SEARCH("AUXILIAR DE LIMPEZA - 110 H",tabParametros[[#This Row],[Função]],1)),
SUMIF(tabLimpGeral[TIPO],"Produto",tabLimpGeral[VALOR UNITÁRIO P/ HORA (R$)])*110,
IF(ISNUMBER(SEARCH("AUXILIAR DE LIMPEZA - 150 H",tabParametros[[#This Row],[Função]],1)),
SUMIF(tabLimpGeral[TIPO],"Produto",tabLimpGeral[VALOR UNITÁRIO P/ HORA (R$)])*150,
IF(ISNUMBER(SEARCH("AUXILIAR DE LIMPEZA - 220 H",tabParametros[[#This Row],[Função]],1)),
SUMIF(tabLimpGeral[TIPO],"Produto",tabLimpGeral[VALOR UNITÁRIO P/ HORA (R$)])*220,
IF(ISNUMBER(SEARCH("AUXILIAR DE LIMPEZA - 12 x 36",tabParametros[[#This Row],[Função]],1)),
SUMIF(tabLimpGeral[TIPO],"Produto",tabLimpGeral[VALOR UNITÁRIO P/ HORA (R$)])*220,
IF(ISNUMBER(SEARCH("Limpador de vidros - 220 h",tabParametros[[#This Row],[Função]],1)),
SUMIF(tabVidros[TIPO],"Produto",tabVidros[VALOR UNITÁRIO P/ POSTO (R$)]),
0))))))</f>
        <v>690.27153277931654</v>
      </c>
      <c r="BB30" s="281">
        <v>0</v>
      </c>
      <c r="BC30" s="236">
        <f>VLOOKUP(tabParametros[[#Headers],[Custos Indiretos]],tabOutrosCustos[],3,0)</f>
        <v>189.64880140242613</v>
      </c>
      <c r="BD30" s="236">
        <f>VLOOKUP(tabParametros[[#Headers],[Lucro]],tabOutrosCustos[],3,0)</f>
        <v>159.30499317803796</v>
      </c>
      <c r="BE30" s="235">
        <f>VLOOKUP(tabParametros[[#Headers],[COFINS]],tabImpostosNacionais[],2,0)</f>
        <v>7.5999999999999998E-2</v>
      </c>
      <c r="BF30" s="235">
        <f>VLOOKUP(tabParametros[[#Headers],[PIS]],tabImpostosNacionais[],2,0)</f>
        <v>1.6500000000000001E-2</v>
      </c>
      <c r="BG30" s="235">
        <f>VLOOKUP(tabParametros[[#This Row],[Comarca]],tabComarca[],4,0)</f>
        <v>0.05</v>
      </c>
      <c r="BH30" s="238">
        <f>IFERROR(VLOOKUP(tabParametros[[#This Row],[CCT DA CATEGORIA]],tabSindicatos[],11,0),"")</f>
        <v>45658</v>
      </c>
      <c r="BI30" s="289" t="str">
        <f>IFERROR(VLOOKUP(tabParametros[[#This Row],[CCT DA CATEGORIA]],tabSindicatos[],12,0),"")</f>
        <v>-</v>
      </c>
      <c r="BJ30" s="293" t="str">
        <f>IFERROR(VLOOKUP(tabParametros[[#This Row],[CCT DA CATEGORIA]],tabSindicatos[],13,0),"")</f>
        <v>-</v>
      </c>
    </row>
    <row r="31" spans="1:62" x14ac:dyDescent="0.25">
      <c r="A31" s="233" t="s">
        <v>1371</v>
      </c>
      <c r="B31" s="198" t="s">
        <v>31</v>
      </c>
      <c r="C31" s="198" t="s">
        <v>1245</v>
      </c>
      <c r="D31" s="198" t="str">
        <f>VLOOKUP(tabParametros[[#This Row],[Código do Posto]],tabPostos[],4,0)</f>
        <v>SEAC/SINDEAC</v>
      </c>
      <c r="E31" s="289" t="str">
        <f>VLOOKUP(tabParametros[[#This Row],[Código do Posto]],tabPostos[],5,0)</f>
        <v>Limpeza</v>
      </c>
      <c r="F31" s="289" t="str">
        <f>VLOOKUP(tabParametros[[#This Row],[Código do Posto]],tabPostos[],6,0)</f>
        <v>FEPDC</v>
      </c>
      <c r="G31" s="289">
        <f>VLOOKUP(tabParametros[[#This Row],[Código do Posto]],tabPostos[],7,0)</f>
        <v>2</v>
      </c>
      <c r="H31" s="289">
        <f>VLOOKUP(tabParametros[[#This Row],[Código do Posto]],tabPostos[],8,0)</f>
        <v>0</v>
      </c>
      <c r="I31" s="234">
        <f>VLOOKUP(tabParametros[[#This Row],[Código do Posto]],tabPostos[],9,0)</f>
        <v>1649.12</v>
      </c>
      <c r="J31" s="234">
        <f>IF(ISNUMBER(SEARCH("Eletricista",tabParametros[[#This Row],[Função]],1)),0.3*tabParametros[[#This Row],[Salário Base]],0)</f>
        <v>0</v>
      </c>
      <c r="K31" s="234">
        <f>IF(OR(ISNUMBER(SEARCH("Bombeiro Hidraulico",tabParametros[[#This Row],[Função]],1)),ISNUMBER(SEARCH("Jardineiro",tabParametros[[#This Row],[Função]],1)),ISNUMBER(SEARCH("Lavador de Veiculos",tabParametros[[#This Row],[Função]],1)),ISNUMBER(SEARCH("Marceneiro",tabParametros[[#This Row],[Função]],1)),ISNUMBER(SEARCH("Pintor",tabParametros[[#This Row],[Função]],1))),0.2*'BASE GERAL'!$R$4,0)</f>
        <v>0</v>
      </c>
      <c r="L31" s="234">
        <f>IF(AND(ISNUMBER(SEARCH("Noturno",tabParametros[[#This Row],[Função]],1)),tabParametros[[#This Row],[Comarca]]&lt;&gt;"Juiz de Fora"),tabParametros[[#This Row],[Salário Base]]/210*0.39*7*15.5,IF(ISNUMBER(SEARCH("Noturno",tabParametros[[#This Row],[Função]],1)),tabParametros[[#This Row],[Salário Base]]/210*0.2*8*15.5,0))</f>
        <v>0</v>
      </c>
      <c r="M31" s="234">
        <f>IF(ISNUMBER(SEARCH("Motorista II",tabParametros[[#This Row],[Função]],1)),0.25*tabParametros[[#This Row],[Salário Base]],0)</f>
        <v>0</v>
      </c>
      <c r="N31" s="250">
        <v>0</v>
      </c>
      <c r="O31" s="234">
        <f>IF(ISNUMBER(SEARCH("TECNOLOGIA DA INFORMACAO",tabParametros[[#This Row],[Função]],1)),0.0201*tabParametros[[#This Row],[Salário Base]],0)</f>
        <v>0</v>
      </c>
      <c r="P31" s="250" cm="1">
        <f t="array" ref="P31">_xlfn.IFS(
ISNUMBER(SEARCH("Auxiliar de Limpeza - 75 h",tabParametros[[#This Row],[Função]],1)),tabParametros[[#This Row],[Salário Base]]/75*0.75*30*0.12,
ISNUMBER(SEARCH("Auxiliar de Limpeza - 110 h",tabParametros[[#This Row],[Função]],1)),tabParametros[[#This Row],[Salário Base]]/110*1*30*0.12,
ISNUMBER(SEARCH("Auxiliar de Limpeza - 150 h",tabParametros[[#This Row],[Função]],1)),tabParametros[[#This Row],[Salário Base]]/150*1.5*30*0.12,
ISNUMBER(SEARCH("Auxiliar de Limpeza - 220 h",tabParametros[[#This Row],[Função]],1)),tabParametros[[#This Row],[Salário Base]]/220*2*30*0.12,
ISNUMBER(SEARCH("Auxiliar de Limpeza - 12 x 36",tabParametros[[#This Row],[Função]],1)),tabParametros[[#This Row],[Salário Base]]/220*2*30*0.12,
ISNUMBER(SEARCH("Auxiliar de Limpeza - 55 h",tabParametros[[#This Row],[Função]],1))=FALSE,0)</f>
        <v>53.971199999999996</v>
      </c>
      <c r="Q31" s="235">
        <f>VLOOKUP(tabParametros[[#Headers],[INSS]],tabImpostosNacionais[],2,0)</f>
        <v>0.2</v>
      </c>
      <c r="R31" s="235">
        <f>VLOOKUP(tabParametros[[#Headers],[SESI OU SESC]],tabImpostosNacionais[],2,0)</f>
        <v>1.4999999999999999E-2</v>
      </c>
      <c r="S31" s="235">
        <f>VLOOKUP(tabParametros[[#Headers],[SENAI OU SENAC]],tabImpostosNacionais[],2,0)</f>
        <v>0.01</v>
      </c>
      <c r="T31" s="235">
        <f>VLOOKUP(tabParametros[[#Headers],[INCRA]],tabImpostosNacionais[],2,0)</f>
        <v>2E-3</v>
      </c>
      <c r="U31" s="235">
        <f>VLOOKUP(tabParametros[[#Headers],[Salário Educação]],tabImpostosNacionais[],2,0)</f>
        <v>2.5000000000000001E-2</v>
      </c>
      <c r="V31" s="235">
        <f>VLOOKUP(tabParametros[[#Headers],[FGTS]],tabImpostosNacionais[],2,0)</f>
        <v>0.08</v>
      </c>
      <c r="W31" s="235">
        <f>VLOOKUP(tabParametros[[#Headers],[RAT Ajustado]],tabImpostosNacionais[],2,0)</f>
        <v>0.04</v>
      </c>
      <c r="X31" s="235">
        <f>VLOOKUP(tabParametros[[#Headers],[SEBRAE]],tabImpostosNacionais[],2,0)</f>
        <v>6.0000000000000001E-3</v>
      </c>
      <c r="Y31" s="235">
        <f t="shared" si="0"/>
        <v>8.3333333333333329E-2</v>
      </c>
      <c r="Z31" s="251">
        <f t="shared" si="1"/>
        <v>0.1111111111111111</v>
      </c>
      <c r="AA31" s="234">
        <f>VLOOKUP(tabParametros[[#This Row],[Comarca]],tabComarca[],5,0)</f>
        <v>11.25</v>
      </c>
      <c r="AB31" s="234">
        <f>IFERROR(VLOOKUP(tabParametros[[#This Row],[CCT DA CATEGORIA]],tabSindicatos[],6,0),0)</f>
        <v>29.15</v>
      </c>
      <c r="AC31" s="234">
        <f>IFERROR(VLOOKUP(tabParametros[[#This Row],[CCT DA CATEGORIA]],tabSindicatos[],7,0),0)</f>
        <v>0</v>
      </c>
      <c r="AD31" s="234" cm="1">
        <f t="array" ref="AD31">_xlfn.LET(
_xlpm.COMARCA, TRIM(UPPER(SUBSTITUTE(SUBSTITUTE(SUBSTITUTE(SUBSTITUTE(SUBSTITUTE(SUBSTITUTE(SUBSTITUTE(SUBSTITUTE(SUBSTITUTE(SUBSTITUTE(SUBSTITUTE(SUBSTITUTE(SUBSTITUTE(SUBSTITUTE(SUBSTITUTE(SUBSTITUTE(SUBSTITUTE(SUBSTITUTE(SUBSTITUTE(SUBSTITUTE(SUBSTITUTE(SUBSTITUTE(SUBSTITUTE(SUBSTITUTE(SUBSTITUTE(SUBSTITUTE(tabParametros[[#This Row],[Comarca]],"á","a"),"ã","a"),"â","a"),"é","e"),"ê","e"),"í","i"),"ó","o"),"õ","o"),"ô","o"),"ú","u"),"ç","c"),"Á","a"),"Ã","a"),"Â","a"),"É","e"),"Ê","e"),"Í","i"),"Ó","o"),"Õ","o"),"Ô","o"),"Ú","u"),"Ç","c"),"/MG","")," e ",", ")," ",""),".",""))),
_xlpm.MATRIZ_COMARCA, TRIM(UPPER(SUBSTITUTE(SUBSTITUTE(SUBSTITUTE(SUBSTITUTE(SUBSTITUTE(SUBSTITUTE(SUBSTITUTE(SUBSTITUTE(SUBSTITUTE(SUBSTITUTE(SUBSTITUTE(SUBSTITUTE(SUBSTITUTE(SUBSTITUTE(SUBSTITUTE(SUBSTITUTE(SUBSTITUTE(SUBSTITUTE(SUBSTITUTE(SUBSTITUTE(SUBSTITUTE(SUBSTITUTE(SUBSTITUTE(SUBSTITUTE(SUBSTITUTE(SUBSTITUTE(tabSindicatos[COMARCAS PAF],"á","a"),"ã","a"),"â","a"),"é","e"),"ê","e"),"í","i"),"ó","o"),"õ","o"),"ô","o"),"ú","u"),"ç","c"),"Á","a"),"Ã","a"),"Â","a"),"É","e"),"Ê","e"),"Í","i"),"Ó","o"),"Õ","o"),"Ô","o"),"Ú","u"),"Ç","c"),"/MG","")," e ",", ")," ",""),".",""))),
IFERROR(IF(_xlfn.XLOOKUP(tabParametros[[#This Row],[CCT DA CATEGORIA]],tabSindicatos[SINDICATOS],tabSindicatos[COMARCAS PAF])="",
VLOOKUP(tabParametros[[#This Row],[CCT DA CATEGORIA]],tabSindicatos[],8,0),
IF(ISNUMBER(SEARCH(TRIM(_xlpm.COMARCA),_xlfn.XLOOKUP(tabParametros[[#This Row],[CCT DA CATEGORIA]],tabSindicatos[SINDICATOS],_xlpm.MATRIZ_COMARCA),1)),VLOOKUP(tabParametros[[#This Row],[CCT DA CATEGORIA]],tabSindicatos[],8,0),0)
),0)
)</f>
        <v>95.9</v>
      </c>
      <c r="AE31" s="234">
        <f>IFERROR(VLOOKUP(tabParametros[[#This Row],[CCT DA CATEGORIA]],tabSindicatos[],9,0),0)</f>
        <v>0</v>
      </c>
      <c r="AF31" s="234">
        <f>IFERROR(VLOOKUP(tabParametros[[#This Row],[CCT DA CATEGORIA]],tabSindicatos[],10,0),0)</f>
        <v>0</v>
      </c>
      <c r="AG31" s="236">
        <f>VLOOKUP(tabParametros[[#Headers],[Seguro de Vida]],tabOutrosCustos[],3,0)</f>
        <v>3.36</v>
      </c>
      <c r="AH31" s="236">
        <f>IF(ISNUMBER(SEARCH("MOTORISTA",tabParametros[[#This Row],[Função]],1)),VLOOKUP("MOTORISTAS",tabDiarias[],2,0),IF(tabParametros[[#This Row],[Comarca]]="Belo Horizonte",VLOOKUP("LIMPEZA",tabDiarias[],2,0),0))</f>
        <v>10.19</v>
      </c>
      <c r="AI31" s="235">
        <f t="shared" si="2"/>
        <v>7.011766975308642E-3</v>
      </c>
      <c r="AJ31" s="237">
        <f>tabParametros[[#This Row],[FGTS]]*tabParametros[[#This Row],[Aviso Prévio Indenizado (API) e Reflexo do Aviso Prévio Indenizado]]</f>
        <v>5.609413580246914E-4</v>
      </c>
      <c r="AK31" s="237">
        <f>tabParametros[[#This Row],[FGTS]]*tabParametros[[#This Row],[Aviso Prévio Indenizado (API) e Reflexo do Aviso Prévio Indenizado]]*40%</f>
        <v>2.2437654320987658E-4</v>
      </c>
      <c r="AL31" s="235">
        <f t="shared" si="3"/>
        <v>3.5000000000000005E-3</v>
      </c>
      <c r="AM31" s="235">
        <f>tabParametros[[#This Row],[Aviso Prévio Trabalhado - APT]]*SUM(tabParametros[[#This Row],[INSS]:[SEBRAE]])</f>
        <v>1.3230000000000004E-3</v>
      </c>
      <c r="AN31" s="235">
        <f t="shared" si="4"/>
        <v>3.0577777777777773E-2</v>
      </c>
      <c r="AO31" s="235">
        <f t="shared" si="5"/>
        <v>8.3333333333333339E-4</v>
      </c>
      <c r="AP31" s="235">
        <f t="shared" si="6"/>
        <v>8.4444444444444437E-3</v>
      </c>
      <c r="AQ31" s="235">
        <f t="shared" si="7"/>
        <v>2.0277777777777777E-3</v>
      </c>
      <c r="AR31" s="235">
        <f t="shared" si="8"/>
        <v>1.7083333333333333E-4</v>
      </c>
      <c r="AS31" s="235">
        <f t="shared" si="9"/>
        <v>2.0833333333333335E-4</v>
      </c>
      <c r="AT31" s="235">
        <f t="shared" si="10"/>
        <v>1.2962962962962963E-3</v>
      </c>
      <c r="AU31" s="237">
        <f>SUM(tabParametros[[#This Row],[Ausência por Doença]:[Férias, Adicional de Férias e 13º  com empregada em gozo de Licença Maternidade]])*SUM(tabParametros[[#This Row],[INSS]:[SEBRAE]])</f>
        <v>4.5918250000000008E-3</v>
      </c>
      <c r="AV31" s="234">
        <f>IF(tabParametros[[#This Row],[Função]]="Porteiro - 220 h",SUM(tabParametros[[#This Row],[Salário Base]:[Adicional de Acúmulo de função]])/220*20*1.5,IF(ISNUMBER(SEARCH("12 x 36",tabParametros[[#This Row],[Função]],1)),SUM(tabParametros[[#This Row],[Salário Base]:[Adicional de Acúmulo de função]])/210*15.5*1.5,0))</f>
        <v>0</v>
      </c>
      <c r="AW31" s="234">
        <f>IF(tabParametros[[#This Row],[Vagas contratadas]]&gt;0,(SUM(tabParametros[[#This Row],[Salário Base]:[Adicional de Acúmulo de função]])*30%+SUM(tabParametros[[#This Row],[Vale - Alimentação]:[Seguro de Vida]]))/tabParametros[[#This Row],[Vagas contratadas]]*tabParametros[[#This Row],[Vagas suspensas]],0)</f>
        <v>0</v>
      </c>
      <c r="AX31" s="234">
        <f>SUMIF(tabUniformes[Cargo],tabParametros[[#This Row],[Função]],tabUniformes[Valor unit. Mensal])</f>
        <v>100.80916666666666</v>
      </c>
      <c r="AY31" s="281">
        <f>IF(ISNUMBER(SEARCH("AUXILIAR DE LIMPEZA - 75 H",tabParametros[[#This Row],[Função]],1)),
SUMIF(tabLimpGeral[TIPO],"Material",tabLimpGeral[VALOR UNITÁRIO P/ HORA (R$)])*75,
IF(ISNUMBER(SEARCH("AUXILIAR DE LIMPEZA - 110 H",tabParametros[[#This Row],[Função]],1)),
SUMIF(tabLimpGeral[TIPO],"Material",tabLimpGeral[VALOR UNITÁRIO P/ HORA (R$)])*110,
IF(ISNUMBER(SEARCH("AUXILIAR DE LIMPEZA - 150 H",tabParametros[[#This Row],[Função]],1)),
SUMIF(tabLimpGeral[TIPO],"Material",tabLimpGeral[VALOR UNITÁRIO P/ HORA (R$)])*150,
IF(ISNUMBER(SEARCH("AUXILIAR DE LIMPEZA - 220 H",tabParametros[[#This Row],[Função]],1)),
SUMIF(tabLimpGeral[TIPO],"Material",tabLimpGeral[VALOR UNITÁRIO P/ HORA (R$)])*220,
IF(ISNUMBER(SEARCH("AUXILIAR DE LIMPEZA - 12 x 36",tabParametros[[#This Row],[Função]],1)),
SUMIF(tabLimpGeral[TIPO],"Material",tabLimpGeral[VALOR UNITÁRIO P/ HORA (R$)])*220,
IF(ISNUMBER(SEARCH("Limpador de vidros - 220 h",tabParametros[[#This Row],[Função]],1)),
SUMIF(tabVidros[TIPO],"Material",tabVidros[VALOR UNITÁRIO P/ POSTO (R$)]),
0))))))</f>
        <v>35.518212958583888</v>
      </c>
      <c r="AZ31" s="281">
        <f>IF(ISNUMBER(SEARCH("AUXILIAR DE LIMPEZA - 75 H",tabParametros[[#This Row],[Função]],1)),
SUMIF(tabLimpGeral[TIPO],"Equipamento",tabLimpGeral[VALOR UNITÁRIO P/ HORA (R$)])*75,
IF(ISNUMBER(SEARCH("AUXILIAR DE LIMPEZA - 110 H",tabParametros[[#This Row],[Função]],1)),
SUMIF(tabLimpGeral[TIPO],"Equipamento",tabLimpGeral[VALOR UNITÁRIO P/ HORA (R$)])*110,
IF(ISNUMBER(SEARCH("AUXILIAR DE LIMPEZA - 150 H",tabParametros[[#This Row],[Função]],1)),
SUMIF(tabLimpGeral[TIPO],"Equipamento",tabLimpGeral[VALOR UNITÁRIO P/ HORA (R$)])*150,
IF(ISNUMBER(SEARCH("AUXILIAR DE LIMPEZA - 220 H",tabParametros[[#This Row],[Função]],1)),
SUMIF(tabLimpGeral[TIPO],"Equipamento",tabLimpGeral[VALOR UNITÁRIO P/ HORA (R$)])*220,
IF(ISNUMBER(SEARCH("AUXILIAR DE LIMPEZA - 12 x 36",tabParametros[[#This Row],[Função]],1)),
SUMIF(tabLimpGeral[TIPO],"Equipamento",tabLimpGeral[VALOR UNITÁRIO P/ HORA (R$)])*220,
IF(ISNUMBER(SEARCH("Limpador de vidros - 220 h",tabParametros[[#This Row],[Função]],1)),
SUMIF(tabVidros[TIPO],"Equipamento",tabVidros[VALOR UNITÁRIO P/ POSTO (R$)]),
0))))))</f>
        <v>64.529393914825576</v>
      </c>
      <c r="BA31" s="281">
        <f>IF(ISNUMBER(SEARCH("AUXILIAR DE LIMPEZA - 75 H",tabParametros[[#This Row],[Função]],1)),
SUMIF(tabLimpGeral[TIPO],"Produto",tabLimpGeral[VALOR UNITÁRIO P/ HORA (R$)])*75,
IF(ISNUMBER(SEARCH("AUXILIAR DE LIMPEZA - 110 H",tabParametros[[#This Row],[Função]],1)),
SUMIF(tabLimpGeral[TIPO],"Produto",tabLimpGeral[VALOR UNITÁRIO P/ HORA (R$)])*110,
IF(ISNUMBER(SEARCH("AUXILIAR DE LIMPEZA - 150 H",tabParametros[[#This Row],[Função]],1)),
SUMIF(tabLimpGeral[TIPO],"Produto",tabLimpGeral[VALOR UNITÁRIO P/ HORA (R$)])*150,
IF(ISNUMBER(SEARCH("AUXILIAR DE LIMPEZA - 220 H",tabParametros[[#This Row],[Função]],1)),
SUMIF(tabLimpGeral[TIPO],"Produto",tabLimpGeral[VALOR UNITÁRIO P/ HORA (R$)])*220,
IF(ISNUMBER(SEARCH("AUXILIAR DE LIMPEZA - 12 x 36",tabParametros[[#This Row],[Função]],1)),
SUMIF(tabLimpGeral[TIPO],"Produto",tabLimpGeral[VALOR UNITÁRIO P/ HORA (R$)])*220,
IF(ISNUMBER(SEARCH("Limpador de vidros - 220 h",tabParametros[[#This Row],[Função]],1)),
SUMIF(tabVidros[TIPO],"Produto",tabVidros[VALOR UNITÁRIO P/ POSTO (R$)]),
0))))))</f>
        <v>690.27153277931654</v>
      </c>
      <c r="BB31" s="281">
        <v>0</v>
      </c>
      <c r="BC31" s="236">
        <f>VLOOKUP(tabParametros[[#Headers],[Custos Indiretos]],tabOutrosCustos[],3,0)</f>
        <v>189.64880140242613</v>
      </c>
      <c r="BD31" s="236">
        <f>VLOOKUP(tabParametros[[#Headers],[Lucro]],tabOutrosCustos[],3,0)</f>
        <v>159.30499317803796</v>
      </c>
      <c r="BE31" s="235">
        <f>VLOOKUP(tabParametros[[#Headers],[COFINS]],tabImpostosNacionais[],2,0)</f>
        <v>7.5999999999999998E-2</v>
      </c>
      <c r="BF31" s="235">
        <f>VLOOKUP(tabParametros[[#Headers],[PIS]],tabImpostosNacionais[],2,0)</f>
        <v>1.6500000000000001E-2</v>
      </c>
      <c r="BG31" s="235">
        <f>VLOOKUP(tabParametros[[#This Row],[Comarca]],tabComarca[],4,0)</f>
        <v>0.05</v>
      </c>
      <c r="BH31" s="238">
        <f>IFERROR(VLOOKUP(tabParametros[[#This Row],[CCT DA CATEGORIA]],tabSindicatos[],11,0),"")</f>
        <v>45658</v>
      </c>
      <c r="BI31" s="289" t="str">
        <f>IFERROR(VLOOKUP(tabParametros[[#This Row],[CCT DA CATEGORIA]],tabSindicatos[],12,0),"")</f>
        <v>-</v>
      </c>
      <c r="BJ31" s="293" t="str">
        <f>IFERROR(VLOOKUP(tabParametros[[#This Row],[CCT DA CATEGORIA]],tabSindicatos[],13,0),"")</f>
        <v>-</v>
      </c>
    </row>
    <row r="32" spans="1:62" x14ac:dyDescent="0.25">
      <c r="A32" s="233" t="s">
        <v>1372</v>
      </c>
      <c r="B32" s="198" t="s">
        <v>31</v>
      </c>
      <c r="C32" s="198" t="s">
        <v>32</v>
      </c>
      <c r="D32" s="198" t="str">
        <f>VLOOKUP(tabParametros[[#This Row],[Código do Posto]],tabPostos[],4,0)</f>
        <v>SEAC/SINDEAC</v>
      </c>
      <c r="E32" s="289" t="str">
        <f>VLOOKUP(tabParametros[[#This Row],[Código do Posto]],tabPostos[],5,0)</f>
        <v>Limpeza</v>
      </c>
      <c r="F32" s="289" t="str">
        <f>VLOOKUP(tabParametros[[#This Row],[Código do Posto]],tabPostos[],6,0)</f>
        <v>PGJ</v>
      </c>
      <c r="G32" s="289">
        <f>VLOOKUP(tabParametros[[#This Row],[Código do Posto]],tabPostos[],7,0)</f>
        <v>4</v>
      </c>
      <c r="H32" s="289">
        <f>VLOOKUP(tabParametros[[#This Row],[Código do Posto]],tabPostos[],8,0)</f>
        <v>0</v>
      </c>
      <c r="I32" s="234">
        <f>VLOOKUP(tabParametros[[#This Row],[Código do Posto]],tabPostos[],9,0)</f>
        <v>1805.94</v>
      </c>
      <c r="J32" s="234">
        <f>IF(ISNUMBER(SEARCH("Eletricista",tabParametros[[#This Row],[Função]],1)),0.3*tabParametros[[#This Row],[Salário Base]],0)</f>
        <v>0</v>
      </c>
      <c r="K32" s="234">
        <f>IF(OR(ISNUMBER(SEARCH("Bombeiro Hidraulico",tabParametros[[#This Row],[Função]],1)),ISNUMBER(SEARCH("Jardineiro",tabParametros[[#This Row],[Função]],1)),ISNUMBER(SEARCH("Lavador de Veiculos",tabParametros[[#This Row],[Função]],1)),ISNUMBER(SEARCH("Marceneiro",tabParametros[[#This Row],[Função]],1)),ISNUMBER(SEARCH("Pintor",tabParametros[[#This Row],[Função]],1))),0.2*'BASE GERAL'!$R$4,0)</f>
        <v>0</v>
      </c>
      <c r="L32" s="234">
        <f>IF(AND(ISNUMBER(SEARCH("Noturno",tabParametros[[#This Row],[Função]],1)),tabParametros[[#This Row],[Comarca]]&lt;&gt;"Juiz de Fora"),tabParametros[[#This Row],[Salário Base]]/210*0.39*7*15.5,IF(ISNUMBER(SEARCH("Noturno",tabParametros[[#This Row],[Função]],1)),tabParametros[[#This Row],[Salário Base]]/210*0.2*8*15.5,0))</f>
        <v>0</v>
      </c>
      <c r="M32" s="234">
        <f>IF(ISNUMBER(SEARCH("Motorista II",tabParametros[[#This Row],[Função]],1)),0.25*tabParametros[[#This Row],[Salário Base]],0)</f>
        <v>0</v>
      </c>
      <c r="N32" s="250">
        <v>0</v>
      </c>
      <c r="O32" s="234">
        <f>IF(ISNUMBER(SEARCH("TECNOLOGIA DA INFORMACAO",tabParametros[[#This Row],[Função]],1)),0.0201*tabParametros[[#This Row],[Salário Base]],0)</f>
        <v>0</v>
      </c>
      <c r="P32" s="250" cm="1">
        <f t="array" ref="P32">_xlfn.IFS(
ISNUMBER(SEARCH("Auxiliar de Limpeza - 75 h",tabParametros[[#This Row],[Função]],1)),tabParametros[[#This Row],[Salário Base]]/75*0.75*30*0.12,
ISNUMBER(SEARCH("Auxiliar de Limpeza - 110 h",tabParametros[[#This Row],[Função]],1)),tabParametros[[#This Row],[Salário Base]]/110*1*30*0.12,
ISNUMBER(SEARCH("Auxiliar de Limpeza - 150 h",tabParametros[[#This Row],[Função]],1)),tabParametros[[#This Row],[Salário Base]]/150*1.5*30*0.12,
ISNUMBER(SEARCH("Auxiliar de Limpeza - 220 h",tabParametros[[#This Row],[Função]],1)),tabParametros[[#This Row],[Salário Base]]/220*2*30*0.12,
ISNUMBER(SEARCH("Auxiliar de Limpeza - 12 x 36",tabParametros[[#This Row],[Função]],1)),tabParametros[[#This Row],[Salário Base]]/220*2*30*0.12,
ISNUMBER(SEARCH("Auxiliar de Limpeza - 55 h",tabParametros[[#This Row],[Função]],1))=FALSE,0)</f>
        <v>0</v>
      </c>
      <c r="Q32" s="235">
        <f>VLOOKUP(tabParametros[[#Headers],[INSS]],tabImpostosNacionais[],2,0)</f>
        <v>0.2</v>
      </c>
      <c r="R32" s="235">
        <f>VLOOKUP(tabParametros[[#Headers],[SESI OU SESC]],tabImpostosNacionais[],2,0)</f>
        <v>1.4999999999999999E-2</v>
      </c>
      <c r="S32" s="235">
        <f>VLOOKUP(tabParametros[[#Headers],[SENAI OU SENAC]],tabImpostosNacionais[],2,0)</f>
        <v>0.01</v>
      </c>
      <c r="T32" s="235">
        <f>VLOOKUP(tabParametros[[#Headers],[INCRA]],tabImpostosNacionais[],2,0)</f>
        <v>2E-3</v>
      </c>
      <c r="U32" s="235">
        <f>VLOOKUP(tabParametros[[#Headers],[Salário Educação]],tabImpostosNacionais[],2,0)</f>
        <v>2.5000000000000001E-2</v>
      </c>
      <c r="V32" s="235">
        <f>VLOOKUP(tabParametros[[#Headers],[FGTS]],tabImpostosNacionais[],2,0)</f>
        <v>0.08</v>
      </c>
      <c r="W32" s="235">
        <f>VLOOKUP(tabParametros[[#Headers],[RAT Ajustado]],tabImpostosNacionais[],2,0)</f>
        <v>0.04</v>
      </c>
      <c r="X32" s="235">
        <f>VLOOKUP(tabParametros[[#Headers],[SEBRAE]],tabImpostosNacionais[],2,0)</f>
        <v>6.0000000000000001E-3</v>
      </c>
      <c r="Y32" s="235">
        <f t="shared" si="0"/>
        <v>8.3333333333333329E-2</v>
      </c>
      <c r="Z32" s="251">
        <f t="shared" si="1"/>
        <v>0.1111111111111111</v>
      </c>
      <c r="AA32" s="234">
        <f>VLOOKUP(tabParametros[[#This Row],[Comarca]],tabComarca[],5,0)</f>
        <v>11.25</v>
      </c>
      <c r="AB32" s="234">
        <f>IFERROR(VLOOKUP(tabParametros[[#This Row],[CCT DA CATEGORIA]],tabSindicatos[],6,0),0)</f>
        <v>29.15</v>
      </c>
      <c r="AC32" s="234">
        <f>IFERROR(VLOOKUP(tabParametros[[#This Row],[CCT DA CATEGORIA]],tabSindicatos[],7,0),0)</f>
        <v>0</v>
      </c>
      <c r="AD32" s="234" cm="1">
        <f t="array" ref="AD32">_xlfn.LET(
_xlpm.COMARCA, TRIM(UPPER(SUBSTITUTE(SUBSTITUTE(SUBSTITUTE(SUBSTITUTE(SUBSTITUTE(SUBSTITUTE(SUBSTITUTE(SUBSTITUTE(SUBSTITUTE(SUBSTITUTE(SUBSTITUTE(SUBSTITUTE(SUBSTITUTE(SUBSTITUTE(SUBSTITUTE(SUBSTITUTE(SUBSTITUTE(SUBSTITUTE(SUBSTITUTE(SUBSTITUTE(SUBSTITUTE(SUBSTITUTE(SUBSTITUTE(SUBSTITUTE(SUBSTITUTE(SUBSTITUTE(tabParametros[[#This Row],[Comarca]],"á","a"),"ã","a"),"â","a"),"é","e"),"ê","e"),"í","i"),"ó","o"),"õ","o"),"ô","o"),"ú","u"),"ç","c"),"Á","a"),"Ã","a"),"Â","a"),"É","e"),"Ê","e"),"Í","i"),"Ó","o"),"Õ","o"),"Ô","o"),"Ú","u"),"Ç","c"),"/MG","")," e ",", ")," ",""),".",""))),
_xlpm.MATRIZ_COMARCA, TRIM(UPPER(SUBSTITUTE(SUBSTITUTE(SUBSTITUTE(SUBSTITUTE(SUBSTITUTE(SUBSTITUTE(SUBSTITUTE(SUBSTITUTE(SUBSTITUTE(SUBSTITUTE(SUBSTITUTE(SUBSTITUTE(SUBSTITUTE(SUBSTITUTE(SUBSTITUTE(SUBSTITUTE(SUBSTITUTE(SUBSTITUTE(SUBSTITUTE(SUBSTITUTE(SUBSTITUTE(SUBSTITUTE(SUBSTITUTE(SUBSTITUTE(SUBSTITUTE(SUBSTITUTE(tabSindicatos[COMARCAS PAF],"á","a"),"ã","a"),"â","a"),"é","e"),"ê","e"),"í","i"),"ó","o"),"õ","o"),"ô","o"),"ú","u"),"ç","c"),"Á","a"),"Ã","a"),"Â","a"),"É","e"),"Ê","e"),"Í","i"),"Ó","o"),"Õ","o"),"Ô","o"),"Ú","u"),"Ç","c"),"/MG","")," e ",", ")," ",""),".",""))),
IFERROR(IF(_xlfn.XLOOKUP(tabParametros[[#This Row],[CCT DA CATEGORIA]],tabSindicatos[SINDICATOS],tabSindicatos[COMARCAS PAF])="",
VLOOKUP(tabParametros[[#This Row],[CCT DA CATEGORIA]],tabSindicatos[],8,0),
IF(ISNUMBER(SEARCH(TRIM(_xlpm.COMARCA),_xlfn.XLOOKUP(tabParametros[[#This Row],[CCT DA CATEGORIA]],tabSindicatos[SINDICATOS],_xlpm.MATRIZ_COMARCA),1)),VLOOKUP(tabParametros[[#This Row],[CCT DA CATEGORIA]],tabSindicatos[],8,0),0)
),0)
)</f>
        <v>95.9</v>
      </c>
      <c r="AE32" s="234">
        <f>IFERROR(VLOOKUP(tabParametros[[#This Row],[CCT DA CATEGORIA]],tabSindicatos[],9,0),0)</f>
        <v>0</v>
      </c>
      <c r="AF32" s="234">
        <f>IFERROR(VLOOKUP(tabParametros[[#This Row],[CCT DA CATEGORIA]],tabSindicatos[],10,0),0)</f>
        <v>0</v>
      </c>
      <c r="AG32" s="236">
        <f>VLOOKUP(tabParametros[[#Headers],[Seguro de Vida]],tabOutrosCustos[],3,0)</f>
        <v>3.36</v>
      </c>
      <c r="AH32" s="236">
        <f>IF(ISNUMBER(SEARCH("MOTORISTA",tabParametros[[#This Row],[Função]],1)),VLOOKUP("MOTORISTAS",tabDiarias[],2,0),IF(tabParametros[[#This Row],[Comarca]]="Belo Horizonte",VLOOKUP("LIMPEZA",tabDiarias[],2,0),0))</f>
        <v>10.19</v>
      </c>
      <c r="AI32" s="235">
        <f t="shared" si="2"/>
        <v>7.011766975308642E-3</v>
      </c>
      <c r="AJ32" s="237">
        <f>tabParametros[[#This Row],[FGTS]]*tabParametros[[#This Row],[Aviso Prévio Indenizado (API) e Reflexo do Aviso Prévio Indenizado]]</f>
        <v>5.609413580246914E-4</v>
      </c>
      <c r="AK32" s="237">
        <f>tabParametros[[#This Row],[FGTS]]*tabParametros[[#This Row],[Aviso Prévio Indenizado (API) e Reflexo do Aviso Prévio Indenizado]]*40%</f>
        <v>2.2437654320987658E-4</v>
      </c>
      <c r="AL32" s="235">
        <f t="shared" si="3"/>
        <v>3.5000000000000005E-3</v>
      </c>
      <c r="AM32" s="235">
        <f>tabParametros[[#This Row],[Aviso Prévio Trabalhado - APT]]*SUM(tabParametros[[#This Row],[INSS]:[SEBRAE]])</f>
        <v>1.3230000000000004E-3</v>
      </c>
      <c r="AN32" s="235">
        <f t="shared" si="4"/>
        <v>3.0577777777777773E-2</v>
      </c>
      <c r="AO32" s="235">
        <f t="shared" si="5"/>
        <v>8.3333333333333339E-4</v>
      </c>
      <c r="AP32" s="235">
        <f t="shared" si="6"/>
        <v>8.4444444444444437E-3</v>
      </c>
      <c r="AQ32" s="235">
        <f t="shared" si="7"/>
        <v>2.0277777777777777E-3</v>
      </c>
      <c r="AR32" s="235">
        <f t="shared" si="8"/>
        <v>1.7083333333333333E-4</v>
      </c>
      <c r="AS32" s="235">
        <f t="shared" si="9"/>
        <v>2.0833333333333335E-4</v>
      </c>
      <c r="AT32" s="235">
        <f t="shared" si="10"/>
        <v>1.2962962962962963E-3</v>
      </c>
      <c r="AU32" s="237">
        <f>SUM(tabParametros[[#This Row],[Ausência por Doença]:[Férias, Adicional de Férias e 13º  com empregada em gozo de Licença Maternidade]])*SUM(tabParametros[[#This Row],[INSS]:[SEBRAE]])</f>
        <v>4.5918250000000008E-3</v>
      </c>
      <c r="AV32" s="234">
        <f>IF(tabParametros[[#This Row],[Função]]="Porteiro - 220 h",SUM(tabParametros[[#This Row],[Salário Base]:[Adicional de Acúmulo de função]])/220*20*1.5,IF(ISNUMBER(SEARCH("12 x 36",tabParametros[[#This Row],[Função]],1)),SUM(tabParametros[[#This Row],[Salário Base]:[Adicional de Acúmulo de função]])/210*15.5*1.5,0))</f>
        <v>0</v>
      </c>
      <c r="AW32" s="234">
        <f>IF(tabParametros[[#This Row],[Vagas contratadas]]&gt;0,(SUM(tabParametros[[#This Row],[Salário Base]:[Adicional de Acúmulo de função]])*30%+SUM(tabParametros[[#This Row],[Vale - Alimentação]:[Seguro de Vida]]))/tabParametros[[#This Row],[Vagas contratadas]]*tabParametros[[#This Row],[Vagas suspensas]],0)</f>
        <v>0</v>
      </c>
      <c r="AX32" s="234">
        <f>SUMIF(tabUniformes[Cargo],tabParametros[[#This Row],[Função]],tabUniformes[Valor unit. Mensal])</f>
        <v>114.40250000000002</v>
      </c>
      <c r="AY32" s="281">
        <f>IF(ISNUMBER(SEARCH("AUXILIAR DE LIMPEZA - 75 H",tabParametros[[#This Row],[Função]],1)),
SUMIF(tabLimpGeral[TIPO],"Material",tabLimpGeral[VALOR UNITÁRIO P/ HORA (R$)])*75,
IF(ISNUMBER(SEARCH("AUXILIAR DE LIMPEZA - 110 H",tabParametros[[#This Row],[Função]],1)),
SUMIF(tabLimpGeral[TIPO],"Material",tabLimpGeral[VALOR UNITÁRIO P/ HORA (R$)])*110,
IF(ISNUMBER(SEARCH("AUXILIAR DE LIMPEZA - 150 H",tabParametros[[#This Row],[Função]],1)),
SUMIF(tabLimpGeral[TIPO],"Material",tabLimpGeral[VALOR UNITÁRIO P/ HORA (R$)])*150,
IF(ISNUMBER(SEARCH("AUXILIAR DE LIMPEZA - 220 H",tabParametros[[#This Row],[Função]],1)),
SUMIF(tabLimpGeral[TIPO],"Material",tabLimpGeral[VALOR UNITÁRIO P/ HORA (R$)])*220,
IF(ISNUMBER(SEARCH("AUXILIAR DE LIMPEZA - 12 x 36",tabParametros[[#This Row],[Função]],1)),
SUMIF(tabLimpGeral[TIPO],"Material",tabLimpGeral[VALOR UNITÁRIO P/ HORA (R$)])*220,
IF(ISNUMBER(SEARCH("Limpador de vidros - 220 h",tabParametros[[#This Row],[Função]],1)),
SUMIF(tabVidros[TIPO],"Material",tabVidros[VALOR UNITÁRIO P/ POSTO (R$)]),
0))))))</f>
        <v>0</v>
      </c>
      <c r="AZ32" s="281">
        <f>IF(ISNUMBER(SEARCH("AUXILIAR DE LIMPEZA - 75 H",tabParametros[[#This Row],[Função]],1)),
SUMIF(tabLimpGeral[TIPO],"Equipamento",tabLimpGeral[VALOR UNITÁRIO P/ HORA (R$)])*75,
IF(ISNUMBER(SEARCH("AUXILIAR DE LIMPEZA - 110 H",tabParametros[[#This Row],[Função]],1)),
SUMIF(tabLimpGeral[TIPO],"Equipamento",tabLimpGeral[VALOR UNITÁRIO P/ HORA (R$)])*110,
IF(ISNUMBER(SEARCH("AUXILIAR DE LIMPEZA - 150 H",tabParametros[[#This Row],[Função]],1)),
SUMIF(tabLimpGeral[TIPO],"Equipamento",tabLimpGeral[VALOR UNITÁRIO P/ HORA (R$)])*150,
IF(ISNUMBER(SEARCH("AUXILIAR DE LIMPEZA - 220 H",tabParametros[[#This Row],[Função]],1)),
SUMIF(tabLimpGeral[TIPO],"Equipamento",tabLimpGeral[VALOR UNITÁRIO P/ HORA (R$)])*220,
IF(ISNUMBER(SEARCH("AUXILIAR DE LIMPEZA - 12 x 36",tabParametros[[#This Row],[Função]],1)),
SUMIF(tabLimpGeral[TIPO],"Equipamento",tabLimpGeral[VALOR UNITÁRIO P/ HORA (R$)])*220,
IF(ISNUMBER(SEARCH("Limpador de vidros - 220 h",tabParametros[[#This Row],[Função]],1)),
SUMIF(tabVidros[TIPO],"Equipamento",tabVidros[VALOR UNITÁRIO P/ POSTO (R$)]),
0))))))</f>
        <v>6.2216666666666667</v>
      </c>
      <c r="BA32" s="281">
        <f>IF(ISNUMBER(SEARCH("AUXILIAR DE LIMPEZA - 75 H",tabParametros[[#This Row],[Função]],1)),
SUMIF(tabLimpGeral[TIPO],"Produto",tabLimpGeral[VALOR UNITÁRIO P/ HORA (R$)])*75,
IF(ISNUMBER(SEARCH("AUXILIAR DE LIMPEZA - 110 H",tabParametros[[#This Row],[Função]],1)),
SUMIF(tabLimpGeral[TIPO],"Produto",tabLimpGeral[VALOR UNITÁRIO P/ HORA (R$)])*110,
IF(ISNUMBER(SEARCH("AUXILIAR DE LIMPEZA - 150 H",tabParametros[[#This Row],[Função]],1)),
SUMIF(tabLimpGeral[TIPO],"Produto",tabLimpGeral[VALOR UNITÁRIO P/ HORA (R$)])*150,
IF(ISNUMBER(SEARCH("AUXILIAR DE LIMPEZA - 220 H",tabParametros[[#This Row],[Função]],1)),
SUMIF(tabLimpGeral[TIPO],"Produto",tabLimpGeral[VALOR UNITÁRIO P/ HORA (R$)])*220,
IF(ISNUMBER(SEARCH("AUXILIAR DE LIMPEZA - 12 x 36",tabParametros[[#This Row],[Função]],1)),
SUMIF(tabLimpGeral[TIPO],"Produto",tabLimpGeral[VALOR UNITÁRIO P/ HORA (R$)])*220,
IF(ISNUMBER(SEARCH("Limpador de vidros - 220 h",tabParametros[[#This Row],[Função]],1)),
SUMIF(tabVidros[TIPO],"Produto",tabVidros[VALOR UNITÁRIO P/ POSTO (R$)]),
0))))))</f>
        <v>0</v>
      </c>
      <c r="BB32" s="281">
        <v>0</v>
      </c>
      <c r="BC32" s="236">
        <f>VLOOKUP(tabParametros[[#Headers],[Custos Indiretos]],tabOutrosCustos[],3,0)</f>
        <v>189.64880140242613</v>
      </c>
      <c r="BD32" s="236">
        <f>VLOOKUP(tabParametros[[#Headers],[Lucro]],tabOutrosCustos[],3,0)</f>
        <v>159.30499317803796</v>
      </c>
      <c r="BE32" s="235">
        <f>VLOOKUP(tabParametros[[#Headers],[COFINS]],tabImpostosNacionais[],2,0)</f>
        <v>7.5999999999999998E-2</v>
      </c>
      <c r="BF32" s="235">
        <f>VLOOKUP(tabParametros[[#Headers],[PIS]],tabImpostosNacionais[],2,0)</f>
        <v>1.6500000000000001E-2</v>
      </c>
      <c r="BG32" s="235">
        <f>VLOOKUP(tabParametros[[#This Row],[Comarca]],tabComarca[],4,0)</f>
        <v>0.05</v>
      </c>
      <c r="BH32" s="238">
        <f>IFERROR(VLOOKUP(tabParametros[[#This Row],[CCT DA CATEGORIA]],tabSindicatos[],11,0),"")</f>
        <v>45658</v>
      </c>
      <c r="BI32" s="289" t="str">
        <f>IFERROR(VLOOKUP(tabParametros[[#This Row],[CCT DA CATEGORIA]],tabSindicatos[],12,0),"")</f>
        <v>-</v>
      </c>
      <c r="BJ32" s="293" t="str">
        <f>IFERROR(VLOOKUP(tabParametros[[#This Row],[CCT DA CATEGORIA]],tabSindicatos[],13,0),"")</f>
        <v>-</v>
      </c>
    </row>
    <row r="33" spans="1:62" x14ac:dyDescent="0.25">
      <c r="A33" s="233" t="s">
        <v>1373</v>
      </c>
      <c r="B33" s="198" t="s">
        <v>34</v>
      </c>
      <c r="C33" s="198" t="s">
        <v>1244</v>
      </c>
      <c r="D33" s="198" t="str">
        <f>VLOOKUP(tabParametros[[#This Row],[Código do Posto]],tabPostos[],4,0)</f>
        <v>Sind - Asseio</v>
      </c>
      <c r="E33" s="289" t="str">
        <f>VLOOKUP(tabParametros[[#This Row],[Código do Posto]],tabPostos[],5,0)</f>
        <v>Limpeza</v>
      </c>
      <c r="F33" s="289" t="str">
        <f>VLOOKUP(tabParametros[[#This Row],[Código do Posto]],tabPostos[],6,0)</f>
        <v>PGJ</v>
      </c>
      <c r="G33" s="289">
        <f>VLOOKUP(tabParametros[[#This Row],[Código do Posto]],tabPostos[],7,0)</f>
        <v>1</v>
      </c>
      <c r="H33" s="289">
        <f>VLOOKUP(tabParametros[[#This Row],[Código do Posto]],tabPostos[],8,0)</f>
        <v>0</v>
      </c>
      <c r="I33" s="234">
        <f>VLOOKUP(tabParametros[[#This Row],[Código do Posto]],tabPostos[],9,0)</f>
        <v>824.56</v>
      </c>
      <c r="J33" s="234">
        <f>IF(ISNUMBER(SEARCH("Eletricista",tabParametros[[#This Row],[Função]],1)),0.3*tabParametros[[#This Row],[Salário Base]],0)</f>
        <v>0</v>
      </c>
      <c r="K33" s="234">
        <f>IF(OR(ISNUMBER(SEARCH("Bombeiro Hidraulico",tabParametros[[#This Row],[Função]],1)),ISNUMBER(SEARCH("Jardineiro",tabParametros[[#This Row],[Função]],1)),ISNUMBER(SEARCH("Lavador de Veiculos",tabParametros[[#This Row],[Função]],1)),ISNUMBER(SEARCH("Marceneiro",tabParametros[[#This Row],[Função]],1)),ISNUMBER(SEARCH("Pintor",tabParametros[[#This Row],[Função]],1))),0.2*'BASE GERAL'!$R$4,0)</f>
        <v>0</v>
      </c>
      <c r="L33" s="234">
        <f>IF(AND(ISNUMBER(SEARCH("Noturno",tabParametros[[#This Row],[Função]],1)),tabParametros[[#This Row],[Comarca]]&lt;&gt;"Juiz de Fora"),tabParametros[[#This Row],[Salário Base]]/210*0.39*7*15.5,IF(ISNUMBER(SEARCH("Noturno",tabParametros[[#This Row],[Função]],1)),tabParametros[[#This Row],[Salário Base]]/210*0.2*8*15.5,0))</f>
        <v>0</v>
      </c>
      <c r="M33" s="234">
        <f>IF(ISNUMBER(SEARCH("Motorista II",tabParametros[[#This Row],[Função]],1)),0.25*tabParametros[[#This Row],[Salário Base]],0)</f>
        <v>0</v>
      </c>
      <c r="N33" s="250">
        <v>0</v>
      </c>
      <c r="O33" s="234">
        <f>IF(ISNUMBER(SEARCH("TECNOLOGIA DA INFORMACAO",tabParametros[[#This Row],[Função]],1)),0.0201*tabParametros[[#This Row],[Salário Base]],0)</f>
        <v>0</v>
      </c>
      <c r="P33" s="250" cm="1">
        <f t="array" ref="P33">_xlfn.IFS(
ISNUMBER(SEARCH("Auxiliar de Limpeza - 75 h",tabParametros[[#This Row],[Função]],1)),tabParametros[[#This Row],[Salário Base]]/75*0.75*30*0.12,
ISNUMBER(SEARCH("Auxiliar de Limpeza - 110 h",tabParametros[[#This Row],[Função]],1)),tabParametros[[#This Row],[Salário Base]]/110*1*30*0.12,
ISNUMBER(SEARCH("Auxiliar de Limpeza - 150 h",tabParametros[[#This Row],[Função]],1)),tabParametros[[#This Row],[Salário Base]]/150*1.5*30*0.12,
ISNUMBER(SEARCH("Auxiliar de Limpeza - 220 h",tabParametros[[#This Row],[Função]],1)),tabParametros[[#This Row],[Salário Base]]/220*2*30*0.12,
ISNUMBER(SEARCH("Auxiliar de Limpeza - 12 x 36",tabParametros[[#This Row],[Função]],1)),tabParametros[[#This Row],[Salário Base]]/220*2*30*0.12,
ISNUMBER(SEARCH("Auxiliar de Limpeza - 55 h",tabParametros[[#This Row],[Função]],1))=FALSE,0)</f>
        <v>26.985599999999998</v>
      </c>
      <c r="Q33" s="235">
        <f>VLOOKUP(tabParametros[[#Headers],[INSS]],tabImpostosNacionais[],2,0)</f>
        <v>0.2</v>
      </c>
      <c r="R33" s="235">
        <f>VLOOKUP(tabParametros[[#Headers],[SESI OU SESC]],tabImpostosNacionais[],2,0)</f>
        <v>1.4999999999999999E-2</v>
      </c>
      <c r="S33" s="235">
        <f>VLOOKUP(tabParametros[[#Headers],[SENAI OU SENAC]],tabImpostosNacionais[],2,0)</f>
        <v>0.01</v>
      </c>
      <c r="T33" s="235">
        <f>VLOOKUP(tabParametros[[#Headers],[INCRA]],tabImpostosNacionais[],2,0)</f>
        <v>2E-3</v>
      </c>
      <c r="U33" s="235">
        <f>VLOOKUP(tabParametros[[#Headers],[Salário Educação]],tabImpostosNacionais[],2,0)</f>
        <v>2.5000000000000001E-2</v>
      </c>
      <c r="V33" s="235">
        <f>VLOOKUP(tabParametros[[#Headers],[FGTS]],tabImpostosNacionais[],2,0)</f>
        <v>0.08</v>
      </c>
      <c r="W33" s="235">
        <f>VLOOKUP(tabParametros[[#Headers],[RAT Ajustado]],tabImpostosNacionais[],2,0)</f>
        <v>0.04</v>
      </c>
      <c r="X33" s="235">
        <f>VLOOKUP(tabParametros[[#Headers],[SEBRAE]],tabImpostosNacionais[],2,0)</f>
        <v>6.0000000000000001E-3</v>
      </c>
      <c r="Y33" s="235">
        <f t="shared" si="0"/>
        <v>8.3333333333333329E-2</v>
      </c>
      <c r="Z33" s="251">
        <f t="shared" si="1"/>
        <v>0.1111111111111111</v>
      </c>
      <c r="AA33" s="234">
        <f>VLOOKUP(tabParametros[[#This Row],[Comarca]],tabComarca[],5,0)</f>
        <v>6.4</v>
      </c>
      <c r="AB33" s="234">
        <f>IFERROR(VLOOKUP(tabParametros[[#This Row],[CCT DA CATEGORIA]],tabSindicatos[],6,0),0)</f>
        <v>29.15</v>
      </c>
      <c r="AC33" s="234">
        <f>IFERROR(VLOOKUP(tabParametros[[#This Row],[CCT DA CATEGORIA]],tabSindicatos[],7,0),0)</f>
        <v>0</v>
      </c>
      <c r="AD33" s="234" cm="1">
        <f t="array" ref="AD33">_xlfn.LET(
_xlpm.COMARCA, TRIM(UPPER(SUBSTITUTE(SUBSTITUTE(SUBSTITUTE(SUBSTITUTE(SUBSTITUTE(SUBSTITUTE(SUBSTITUTE(SUBSTITUTE(SUBSTITUTE(SUBSTITUTE(SUBSTITUTE(SUBSTITUTE(SUBSTITUTE(SUBSTITUTE(SUBSTITUTE(SUBSTITUTE(SUBSTITUTE(SUBSTITUTE(SUBSTITUTE(SUBSTITUTE(SUBSTITUTE(SUBSTITUTE(SUBSTITUTE(SUBSTITUTE(SUBSTITUTE(SUBSTITUTE(tabParametros[[#This Row],[Comarca]],"á","a"),"ã","a"),"â","a"),"é","e"),"ê","e"),"í","i"),"ó","o"),"õ","o"),"ô","o"),"ú","u"),"ç","c"),"Á","a"),"Ã","a"),"Â","a"),"É","e"),"Ê","e"),"Í","i"),"Ó","o"),"Õ","o"),"Ô","o"),"Ú","u"),"Ç","c"),"/MG","")," e ",", ")," ",""),".",""))),
_xlpm.MATRIZ_COMARCA, TRIM(UPPER(SUBSTITUTE(SUBSTITUTE(SUBSTITUTE(SUBSTITUTE(SUBSTITUTE(SUBSTITUTE(SUBSTITUTE(SUBSTITUTE(SUBSTITUTE(SUBSTITUTE(SUBSTITUTE(SUBSTITUTE(SUBSTITUTE(SUBSTITUTE(SUBSTITUTE(SUBSTITUTE(SUBSTITUTE(SUBSTITUTE(SUBSTITUTE(SUBSTITUTE(SUBSTITUTE(SUBSTITUTE(SUBSTITUTE(SUBSTITUTE(SUBSTITUTE(SUBSTITUTE(tabSindicatos[COMARCAS PAF],"á","a"),"ã","a"),"â","a"),"é","e"),"ê","e"),"í","i"),"ó","o"),"õ","o"),"ô","o"),"ú","u"),"ç","c"),"Á","a"),"Ã","a"),"Â","a"),"É","e"),"Ê","e"),"Í","i"),"Ó","o"),"Õ","o"),"Ô","o"),"Ú","u"),"Ç","c"),"/MG","")," e ",", ")," ",""),".",""))),
IFERROR(IF(_xlfn.XLOOKUP(tabParametros[[#This Row],[CCT DA CATEGORIA]],tabSindicatos[SINDICATOS],tabSindicatos[COMARCAS PAF])="",
VLOOKUP(tabParametros[[#This Row],[CCT DA CATEGORIA]],tabSindicatos[],8,0),
IF(ISNUMBER(SEARCH(TRIM(_xlpm.COMARCA),_xlfn.XLOOKUP(tabParametros[[#This Row],[CCT DA CATEGORIA]],tabSindicatos[SINDICATOS],_xlpm.MATRIZ_COMARCA),1)),VLOOKUP(tabParametros[[#This Row],[CCT DA CATEGORIA]],tabSindicatos[],8,0),0)
),0)
)</f>
        <v>77.25</v>
      </c>
      <c r="AE33" s="234">
        <f>IFERROR(VLOOKUP(tabParametros[[#This Row],[CCT DA CATEGORIA]],tabSindicatos[],9,0),0)</f>
        <v>0</v>
      </c>
      <c r="AF33" s="234">
        <f>IFERROR(VLOOKUP(tabParametros[[#This Row],[CCT DA CATEGORIA]],tabSindicatos[],10,0),0)</f>
        <v>0</v>
      </c>
      <c r="AG33" s="236">
        <f>VLOOKUP(tabParametros[[#Headers],[Seguro de Vida]],tabOutrosCustos[],3,0)</f>
        <v>3.36</v>
      </c>
      <c r="AH33" s="236">
        <f>IF(ISNUMBER(SEARCH("MOTORISTA",tabParametros[[#This Row],[Função]],1)),VLOOKUP("MOTORISTAS",tabDiarias[],2,0),IF(tabParametros[[#This Row],[Comarca]]="Belo Horizonte",VLOOKUP("LIMPEZA",tabDiarias[],2,0),0))</f>
        <v>0</v>
      </c>
      <c r="AI33" s="235">
        <f t="shared" si="2"/>
        <v>7.011766975308642E-3</v>
      </c>
      <c r="AJ33" s="237">
        <f>tabParametros[[#This Row],[FGTS]]*tabParametros[[#This Row],[Aviso Prévio Indenizado (API) e Reflexo do Aviso Prévio Indenizado]]</f>
        <v>5.609413580246914E-4</v>
      </c>
      <c r="AK33" s="237">
        <f>tabParametros[[#This Row],[FGTS]]*tabParametros[[#This Row],[Aviso Prévio Indenizado (API) e Reflexo do Aviso Prévio Indenizado]]*40%</f>
        <v>2.2437654320987658E-4</v>
      </c>
      <c r="AL33" s="235">
        <f t="shared" si="3"/>
        <v>3.5000000000000005E-3</v>
      </c>
      <c r="AM33" s="235">
        <f>tabParametros[[#This Row],[Aviso Prévio Trabalhado - APT]]*SUM(tabParametros[[#This Row],[INSS]:[SEBRAE]])</f>
        <v>1.3230000000000004E-3</v>
      </c>
      <c r="AN33" s="235">
        <f t="shared" si="4"/>
        <v>3.0577777777777773E-2</v>
      </c>
      <c r="AO33" s="235">
        <f t="shared" si="5"/>
        <v>8.3333333333333339E-4</v>
      </c>
      <c r="AP33" s="235">
        <f t="shared" si="6"/>
        <v>8.4444444444444437E-3</v>
      </c>
      <c r="AQ33" s="235">
        <f t="shared" si="7"/>
        <v>2.0277777777777777E-3</v>
      </c>
      <c r="AR33" s="235">
        <f t="shared" si="8"/>
        <v>1.7083333333333333E-4</v>
      </c>
      <c r="AS33" s="235">
        <f t="shared" si="9"/>
        <v>2.0833333333333335E-4</v>
      </c>
      <c r="AT33" s="235">
        <f t="shared" si="10"/>
        <v>1.2962962962962963E-3</v>
      </c>
      <c r="AU33" s="237">
        <f>SUM(tabParametros[[#This Row],[Ausência por Doença]:[Férias, Adicional de Férias e 13º  com empregada em gozo de Licença Maternidade]])*SUM(tabParametros[[#This Row],[INSS]:[SEBRAE]])</f>
        <v>4.5918250000000008E-3</v>
      </c>
      <c r="AV33" s="234">
        <f>IF(tabParametros[[#This Row],[Função]]="Porteiro - 220 h",SUM(tabParametros[[#This Row],[Salário Base]:[Adicional de Acúmulo de função]])/220*20*1.5,IF(ISNUMBER(SEARCH("12 x 36",tabParametros[[#This Row],[Função]],1)),SUM(tabParametros[[#This Row],[Salário Base]:[Adicional de Acúmulo de função]])/210*15.5*1.5,0))</f>
        <v>0</v>
      </c>
      <c r="AW33" s="234">
        <f>IF(tabParametros[[#This Row],[Vagas contratadas]]&gt;0,(SUM(tabParametros[[#This Row],[Salário Base]:[Adicional de Acúmulo de função]])*30%+SUM(tabParametros[[#This Row],[Vale - Alimentação]:[Seguro de Vida]]))/tabParametros[[#This Row],[Vagas contratadas]]*tabParametros[[#This Row],[Vagas suspensas]],0)</f>
        <v>0</v>
      </c>
      <c r="AX33" s="234">
        <f>SUMIF(tabUniformes[Cargo],tabParametros[[#This Row],[Função]],tabUniformes[Valor unit. Mensal])</f>
        <v>62.806666666666665</v>
      </c>
      <c r="AY33" s="281">
        <f>IF(ISNUMBER(SEARCH("AUXILIAR DE LIMPEZA - 75 H",tabParametros[[#This Row],[Função]],1)),
SUMIF(tabLimpGeral[TIPO],"Material",tabLimpGeral[VALOR UNITÁRIO P/ HORA (R$)])*75,
IF(ISNUMBER(SEARCH("AUXILIAR DE LIMPEZA - 110 H",tabParametros[[#This Row],[Função]],1)),
SUMIF(tabLimpGeral[TIPO],"Material",tabLimpGeral[VALOR UNITÁRIO P/ HORA (R$)])*110,
IF(ISNUMBER(SEARCH("AUXILIAR DE LIMPEZA - 150 H",tabParametros[[#This Row],[Função]],1)),
SUMIF(tabLimpGeral[TIPO],"Material",tabLimpGeral[VALOR UNITÁRIO P/ HORA (R$)])*150,
IF(ISNUMBER(SEARCH("AUXILIAR DE LIMPEZA - 220 H",tabParametros[[#This Row],[Função]],1)),
SUMIF(tabLimpGeral[TIPO],"Material",tabLimpGeral[VALOR UNITÁRIO P/ HORA (R$)])*220,
IF(ISNUMBER(SEARCH("AUXILIAR DE LIMPEZA - 12 x 36",tabParametros[[#This Row],[Função]],1)),
SUMIF(tabLimpGeral[TIPO],"Material",tabLimpGeral[VALOR UNITÁRIO P/ HORA (R$)])*220,
IF(ISNUMBER(SEARCH("Limpador de vidros - 220 h",tabParametros[[#This Row],[Função]],1)),
SUMIF(tabVidros[TIPO],"Material",tabVidros[VALOR UNITÁRIO P/ POSTO (R$)]),
0))))))</f>
        <v>17.759106479291944</v>
      </c>
      <c r="AZ33" s="281">
        <f>IF(ISNUMBER(SEARCH("AUXILIAR DE LIMPEZA - 75 H",tabParametros[[#This Row],[Função]],1)),
SUMIF(tabLimpGeral[TIPO],"Equipamento",tabLimpGeral[VALOR UNITÁRIO P/ HORA (R$)])*75,
IF(ISNUMBER(SEARCH("AUXILIAR DE LIMPEZA - 110 H",tabParametros[[#This Row],[Função]],1)),
SUMIF(tabLimpGeral[TIPO],"Equipamento",tabLimpGeral[VALOR UNITÁRIO P/ HORA (R$)])*110,
IF(ISNUMBER(SEARCH("AUXILIAR DE LIMPEZA - 150 H",tabParametros[[#This Row],[Função]],1)),
SUMIF(tabLimpGeral[TIPO],"Equipamento",tabLimpGeral[VALOR UNITÁRIO P/ HORA (R$)])*150,
IF(ISNUMBER(SEARCH("AUXILIAR DE LIMPEZA - 220 H",tabParametros[[#This Row],[Função]],1)),
SUMIF(tabLimpGeral[TIPO],"Equipamento",tabLimpGeral[VALOR UNITÁRIO P/ HORA (R$)])*220,
IF(ISNUMBER(SEARCH("AUXILIAR DE LIMPEZA - 12 x 36",tabParametros[[#This Row],[Função]],1)),
SUMIF(tabLimpGeral[TIPO],"Equipamento",tabLimpGeral[VALOR UNITÁRIO P/ HORA (R$)])*220,
IF(ISNUMBER(SEARCH("Limpador de vidros - 220 h",tabParametros[[#This Row],[Função]],1)),
SUMIF(tabVidros[TIPO],"Equipamento",tabVidros[VALOR UNITÁRIO P/ POSTO (R$)]),
0))))))</f>
        <v>32.264696957412788</v>
      </c>
      <c r="BA33" s="281">
        <f>IF(ISNUMBER(SEARCH("AUXILIAR DE LIMPEZA - 75 H",tabParametros[[#This Row],[Função]],1)),
SUMIF(tabLimpGeral[TIPO],"Produto",tabLimpGeral[VALOR UNITÁRIO P/ HORA (R$)])*75,
IF(ISNUMBER(SEARCH("AUXILIAR DE LIMPEZA - 110 H",tabParametros[[#This Row],[Função]],1)),
SUMIF(tabLimpGeral[TIPO],"Produto",tabLimpGeral[VALOR UNITÁRIO P/ HORA (R$)])*110,
IF(ISNUMBER(SEARCH("AUXILIAR DE LIMPEZA - 150 H",tabParametros[[#This Row],[Função]],1)),
SUMIF(tabLimpGeral[TIPO],"Produto",tabLimpGeral[VALOR UNITÁRIO P/ HORA (R$)])*150,
IF(ISNUMBER(SEARCH("AUXILIAR DE LIMPEZA - 220 H",tabParametros[[#This Row],[Função]],1)),
SUMIF(tabLimpGeral[TIPO],"Produto",tabLimpGeral[VALOR UNITÁRIO P/ HORA (R$)])*220,
IF(ISNUMBER(SEARCH("AUXILIAR DE LIMPEZA - 12 x 36",tabParametros[[#This Row],[Função]],1)),
SUMIF(tabLimpGeral[TIPO],"Produto",tabLimpGeral[VALOR UNITÁRIO P/ HORA (R$)])*220,
IF(ISNUMBER(SEARCH("Limpador de vidros - 220 h",tabParametros[[#This Row],[Função]],1)),
SUMIF(tabVidros[TIPO],"Produto",tabVidros[VALOR UNITÁRIO P/ POSTO (R$)]),
0))))))</f>
        <v>345.13576638965827</v>
      </c>
      <c r="BB33" s="281">
        <v>0</v>
      </c>
      <c r="BC33" s="236">
        <f>VLOOKUP(tabParametros[[#Headers],[Custos Indiretos]],tabOutrosCustos[],3,0)</f>
        <v>189.64880140242613</v>
      </c>
      <c r="BD33" s="236">
        <f>VLOOKUP(tabParametros[[#Headers],[Lucro]],tabOutrosCustos[],3,0)</f>
        <v>159.30499317803796</v>
      </c>
      <c r="BE33" s="235">
        <f>VLOOKUP(tabParametros[[#Headers],[COFINS]],tabImpostosNacionais[],2,0)</f>
        <v>7.5999999999999998E-2</v>
      </c>
      <c r="BF33" s="235">
        <f>VLOOKUP(tabParametros[[#Headers],[PIS]],tabImpostosNacionais[],2,0)</f>
        <v>1.6500000000000001E-2</v>
      </c>
      <c r="BG33" s="235">
        <f>VLOOKUP(tabParametros[[#This Row],[Comarca]],tabComarca[],4,0)</f>
        <v>3.7999999999999999E-2</v>
      </c>
      <c r="BH33" s="238">
        <f>IFERROR(VLOOKUP(tabParametros[[#This Row],[CCT DA CATEGORIA]],tabSindicatos[],11,0),"")</f>
        <v>45658</v>
      </c>
      <c r="BI33" s="289" t="str">
        <f>IFERROR(VLOOKUP(tabParametros[[#This Row],[CCT DA CATEGORIA]],tabSindicatos[],12,0),"")</f>
        <v>-</v>
      </c>
      <c r="BJ33" s="293" t="str">
        <f>IFERROR(VLOOKUP(tabParametros[[#This Row],[CCT DA CATEGORIA]],tabSindicatos[],13,0),"")</f>
        <v>-</v>
      </c>
    </row>
    <row r="34" spans="1:62" x14ac:dyDescent="0.25">
      <c r="A34" s="233" t="s">
        <v>1374</v>
      </c>
      <c r="B34" s="198" t="s">
        <v>34</v>
      </c>
      <c r="C34" s="198" t="s">
        <v>1245</v>
      </c>
      <c r="D34" s="198" t="str">
        <f>VLOOKUP(tabParametros[[#This Row],[Código do Posto]],tabPostos[],4,0)</f>
        <v>Sind - Asseio</v>
      </c>
      <c r="E34" s="289" t="str">
        <f>VLOOKUP(tabParametros[[#This Row],[Código do Posto]],tabPostos[],5,0)</f>
        <v>Limpeza</v>
      </c>
      <c r="F34" s="289" t="str">
        <f>VLOOKUP(tabParametros[[#This Row],[Código do Posto]],tabPostos[],6,0)</f>
        <v>PGJ</v>
      </c>
      <c r="G34" s="289">
        <f>VLOOKUP(tabParametros[[#This Row],[Código do Posto]],tabPostos[],7,0)</f>
        <v>3</v>
      </c>
      <c r="H34" s="289">
        <f>VLOOKUP(tabParametros[[#This Row],[Código do Posto]],tabPostos[],8,0)</f>
        <v>0</v>
      </c>
      <c r="I34" s="234">
        <f>VLOOKUP(tabParametros[[#This Row],[Código do Posto]],tabPostos[],9,0)</f>
        <v>1649.12</v>
      </c>
      <c r="J34" s="234">
        <f>IF(ISNUMBER(SEARCH("Eletricista",tabParametros[[#This Row],[Função]],1)),0.3*tabParametros[[#This Row],[Salário Base]],0)</f>
        <v>0</v>
      </c>
      <c r="K34" s="234">
        <f>IF(OR(ISNUMBER(SEARCH("Bombeiro Hidraulico",tabParametros[[#This Row],[Função]],1)),ISNUMBER(SEARCH("Jardineiro",tabParametros[[#This Row],[Função]],1)),ISNUMBER(SEARCH("Lavador de Veiculos",tabParametros[[#This Row],[Função]],1)),ISNUMBER(SEARCH("Marceneiro",tabParametros[[#This Row],[Função]],1)),ISNUMBER(SEARCH("Pintor",tabParametros[[#This Row],[Função]],1))),0.2*'BASE GERAL'!$R$4,0)</f>
        <v>0</v>
      </c>
      <c r="L34" s="234">
        <f>IF(AND(ISNUMBER(SEARCH("Noturno",tabParametros[[#This Row],[Função]],1)),tabParametros[[#This Row],[Comarca]]&lt;&gt;"Juiz de Fora"),tabParametros[[#This Row],[Salário Base]]/210*0.39*7*15.5,IF(ISNUMBER(SEARCH("Noturno",tabParametros[[#This Row],[Função]],1)),tabParametros[[#This Row],[Salário Base]]/210*0.2*8*15.5,0))</f>
        <v>0</v>
      </c>
      <c r="M34" s="234">
        <f>IF(ISNUMBER(SEARCH("Motorista II",tabParametros[[#This Row],[Função]],1)),0.25*tabParametros[[#This Row],[Salário Base]],0)</f>
        <v>0</v>
      </c>
      <c r="N34" s="250">
        <v>0</v>
      </c>
      <c r="O34" s="234">
        <f>IF(ISNUMBER(SEARCH("TECNOLOGIA DA INFORMACAO",tabParametros[[#This Row],[Função]],1)),0.0201*tabParametros[[#This Row],[Salário Base]],0)</f>
        <v>0</v>
      </c>
      <c r="P34" s="250" cm="1">
        <f t="array" ref="P34">_xlfn.IFS(
ISNUMBER(SEARCH("Auxiliar de Limpeza - 75 h",tabParametros[[#This Row],[Função]],1)),tabParametros[[#This Row],[Salário Base]]/75*0.75*30*0.12,
ISNUMBER(SEARCH("Auxiliar de Limpeza - 110 h",tabParametros[[#This Row],[Função]],1)),tabParametros[[#This Row],[Salário Base]]/110*1*30*0.12,
ISNUMBER(SEARCH("Auxiliar de Limpeza - 150 h",tabParametros[[#This Row],[Função]],1)),tabParametros[[#This Row],[Salário Base]]/150*1.5*30*0.12,
ISNUMBER(SEARCH("Auxiliar de Limpeza - 220 h",tabParametros[[#This Row],[Função]],1)),tabParametros[[#This Row],[Salário Base]]/220*2*30*0.12,
ISNUMBER(SEARCH("Auxiliar de Limpeza - 12 x 36",tabParametros[[#This Row],[Função]],1)),tabParametros[[#This Row],[Salário Base]]/220*2*30*0.12,
ISNUMBER(SEARCH("Auxiliar de Limpeza - 55 h",tabParametros[[#This Row],[Função]],1))=FALSE,0)</f>
        <v>53.971199999999996</v>
      </c>
      <c r="Q34" s="235">
        <f>VLOOKUP(tabParametros[[#Headers],[INSS]],tabImpostosNacionais[],2,0)</f>
        <v>0.2</v>
      </c>
      <c r="R34" s="235">
        <f>VLOOKUP(tabParametros[[#Headers],[SESI OU SESC]],tabImpostosNacionais[],2,0)</f>
        <v>1.4999999999999999E-2</v>
      </c>
      <c r="S34" s="235">
        <f>VLOOKUP(tabParametros[[#Headers],[SENAI OU SENAC]],tabImpostosNacionais[],2,0)</f>
        <v>0.01</v>
      </c>
      <c r="T34" s="235">
        <f>VLOOKUP(tabParametros[[#Headers],[INCRA]],tabImpostosNacionais[],2,0)</f>
        <v>2E-3</v>
      </c>
      <c r="U34" s="235">
        <f>VLOOKUP(tabParametros[[#Headers],[Salário Educação]],tabImpostosNacionais[],2,0)</f>
        <v>2.5000000000000001E-2</v>
      </c>
      <c r="V34" s="235">
        <f>VLOOKUP(tabParametros[[#Headers],[FGTS]],tabImpostosNacionais[],2,0)</f>
        <v>0.08</v>
      </c>
      <c r="W34" s="235">
        <f>VLOOKUP(tabParametros[[#Headers],[RAT Ajustado]],tabImpostosNacionais[],2,0)</f>
        <v>0.04</v>
      </c>
      <c r="X34" s="235">
        <f>VLOOKUP(tabParametros[[#Headers],[SEBRAE]],tabImpostosNacionais[],2,0)</f>
        <v>6.0000000000000001E-3</v>
      </c>
      <c r="Y34" s="235">
        <f t="shared" si="0"/>
        <v>8.3333333333333329E-2</v>
      </c>
      <c r="Z34" s="251">
        <f t="shared" si="1"/>
        <v>0.1111111111111111</v>
      </c>
      <c r="AA34" s="234">
        <f>VLOOKUP(tabParametros[[#This Row],[Comarca]],tabComarca[],5,0)</f>
        <v>6.4</v>
      </c>
      <c r="AB34" s="234">
        <f>IFERROR(VLOOKUP(tabParametros[[#This Row],[CCT DA CATEGORIA]],tabSindicatos[],6,0),0)</f>
        <v>29.15</v>
      </c>
      <c r="AC34" s="234">
        <f>IFERROR(VLOOKUP(tabParametros[[#This Row],[CCT DA CATEGORIA]],tabSindicatos[],7,0),0)</f>
        <v>0</v>
      </c>
      <c r="AD34" s="234" cm="1">
        <f t="array" ref="AD34">_xlfn.LET(
_xlpm.COMARCA, TRIM(UPPER(SUBSTITUTE(SUBSTITUTE(SUBSTITUTE(SUBSTITUTE(SUBSTITUTE(SUBSTITUTE(SUBSTITUTE(SUBSTITUTE(SUBSTITUTE(SUBSTITUTE(SUBSTITUTE(SUBSTITUTE(SUBSTITUTE(SUBSTITUTE(SUBSTITUTE(SUBSTITUTE(SUBSTITUTE(SUBSTITUTE(SUBSTITUTE(SUBSTITUTE(SUBSTITUTE(SUBSTITUTE(SUBSTITUTE(SUBSTITUTE(SUBSTITUTE(SUBSTITUTE(tabParametros[[#This Row],[Comarca]],"á","a"),"ã","a"),"â","a"),"é","e"),"ê","e"),"í","i"),"ó","o"),"õ","o"),"ô","o"),"ú","u"),"ç","c"),"Á","a"),"Ã","a"),"Â","a"),"É","e"),"Ê","e"),"Í","i"),"Ó","o"),"Õ","o"),"Ô","o"),"Ú","u"),"Ç","c"),"/MG","")," e ",", ")," ",""),".",""))),
_xlpm.MATRIZ_COMARCA, TRIM(UPPER(SUBSTITUTE(SUBSTITUTE(SUBSTITUTE(SUBSTITUTE(SUBSTITUTE(SUBSTITUTE(SUBSTITUTE(SUBSTITUTE(SUBSTITUTE(SUBSTITUTE(SUBSTITUTE(SUBSTITUTE(SUBSTITUTE(SUBSTITUTE(SUBSTITUTE(SUBSTITUTE(SUBSTITUTE(SUBSTITUTE(SUBSTITUTE(SUBSTITUTE(SUBSTITUTE(SUBSTITUTE(SUBSTITUTE(SUBSTITUTE(SUBSTITUTE(SUBSTITUTE(tabSindicatos[COMARCAS PAF],"á","a"),"ã","a"),"â","a"),"é","e"),"ê","e"),"í","i"),"ó","o"),"õ","o"),"ô","o"),"ú","u"),"ç","c"),"Á","a"),"Ã","a"),"Â","a"),"É","e"),"Ê","e"),"Í","i"),"Ó","o"),"Õ","o"),"Ô","o"),"Ú","u"),"Ç","c"),"/MG","")," e ",", ")," ",""),".",""))),
IFERROR(IF(_xlfn.XLOOKUP(tabParametros[[#This Row],[CCT DA CATEGORIA]],tabSindicatos[SINDICATOS],tabSindicatos[COMARCAS PAF])="",
VLOOKUP(tabParametros[[#This Row],[CCT DA CATEGORIA]],tabSindicatos[],8,0),
IF(ISNUMBER(SEARCH(TRIM(_xlpm.COMARCA),_xlfn.XLOOKUP(tabParametros[[#This Row],[CCT DA CATEGORIA]],tabSindicatos[SINDICATOS],_xlpm.MATRIZ_COMARCA),1)),VLOOKUP(tabParametros[[#This Row],[CCT DA CATEGORIA]],tabSindicatos[],8,0),0)
),0)
)</f>
        <v>77.25</v>
      </c>
      <c r="AE34" s="234">
        <f>IFERROR(VLOOKUP(tabParametros[[#This Row],[CCT DA CATEGORIA]],tabSindicatos[],9,0),0)</f>
        <v>0</v>
      </c>
      <c r="AF34" s="234">
        <f>IFERROR(VLOOKUP(tabParametros[[#This Row],[CCT DA CATEGORIA]],tabSindicatos[],10,0),0)</f>
        <v>0</v>
      </c>
      <c r="AG34" s="236">
        <f>VLOOKUP(tabParametros[[#Headers],[Seguro de Vida]],tabOutrosCustos[],3,0)</f>
        <v>3.36</v>
      </c>
      <c r="AH34" s="236">
        <f>IF(ISNUMBER(SEARCH("MOTORISTA",tabParametros[[#This Row],[Função]],1)),VLOOKUP("MOTORISTAS",tabDiarias[],2,0),IF(tabParametros[[#This Row],[Comarca]]="Belo Horizonte",VLOOKUP("LIMPEZA",tabDiarias[],2,0),0))</f>
        <v>0</v>
      </c>
      <c r="AI34" s="235">
        <f t="shared" si="2"/>
        <v>7.011766975308642E-3</v>
      </c>
      <c r="AJ34" s="237">
        <f>tabParametros[[#This Row],[FGTS]]*tabParametros[[#This Row],[Aviso Prévio Indenizado (API) e Reflexo do Aviso Prévio Indenizado]]</f>
        <v>5.609413580246914E-4</v>
      </c>
      <c r="AK34" s="237">
        <f>tabParametros[[#This Row],[FGTS]]*tabParametros[[#This Row],[Aviso Prévio Indenizado (API) e Reflexo do Aviso Prévio Indenizado]]*40%</f>
        <v>2.2437654320987658E-4</v>
      </c>
      <c r="AL34" s="235">
        <f t="shared" si="3"/>
        <v>3.5000000000000005E-3</v>
      </c>
      <c r="AM34" s="235">
        <f>tabParametros[[#This Row],[Aviso Prévio Trabalhado - APT]]*SUM(tabParametros[[#This Row],[INSS]:[SEBRAE]])</f>
        <v>1.3230000000000004E-3</v>
      </c>
      <c r="AN34" s="235">
        <f t="shared" si="4"/>
        <v>3.0577777777777773E-2</v>
      </c>
      <c r="AO34" s="235">
        <f t="shared" si="5"/>
        <v>8.3333333333333339E-4</v>
      </c>
      <c r="AP34" s="235">
        <f t="shared" si="6"/>
        <v>8.4444444444444437E-3</v>
      </c>
      <c r="AQ34" s="235">
        <f t="shared" si="7"/>
        <v>2.0277777777777777E-3</v>
      </c>
      <c r="AR34" s="235">
        <f t="shared" si="8"/>
        <v>1.7083333333333333E-4</v>
      </c>
      <c r="AS34" s="235">
        <f t="shared" si="9"/>
        <v>2.0833333333333335E-4</v>
      </c>
      <c r="AT34" s="235">
        <f t="shared" si="10"/>
        <v>1.2962962962962963E-3</v>
      </c>
      <c r="AU34" s="237">
        <f>SUM(tabParametros[[#This Row],[Ausência por Doença]:[Férias, Adicional de Férias e 13º  com empregada em gozo de Licença Maternidade]])*SUM(tabParametros[[#This Row],[INSS]:[SEBRAE]])</f>
        <v>4.5918250000000008E-3</v>
      </c>
      <c r="AV34" s="234">
        <f>IF(tabParametros[[#This Row],[Função]]="Porteiro - 220 h",SUM(tabParametros[[#This Row],[Salário Base]:[Adicional de Acúmulo de função]])/220*20*1.5,IF(ISNUMBER(SEARCH("12 x 36",tabParametros[[#This Row],[Função]],1)),SUM(tabParametros[[#This Row],[Salário Base]:[Adicional de Acúmulo de função]])/210*15.5*1.5,0))</f>
        <v>0</v>
      </c>
      <c r="AW34" s="234">
        <f>IF(tabParametros[[#This Row],[Vagas contratadas]]&gt;0,(SUM(tabParametros[[#This Row],[Salário Base]:[Adicional de Acúmulo de função]])*30%+SUM(tabParametros[[#This Row],[Vale - Alimentação]:[Seguro de Vida]]))/tabParametros[[#This Row],[Vagas contratadas]]*tabParametros[[#This Row],[Vagas suspensas]],0)</f>
        <v>0</v>
      </c>
      <c r="AX34" s="234">
        <f>SUMIF(tabUniformes[Cargo],tabParametros[[#This Row],[Função]],tabUniformes[Valor unit. Mensal])</f>
        <v>100.80916666666666</v>
      </c>
      <c r="AY34" s="281">
        <f>IF(ISNUMBER(SEARCH("AUXILIAR DE LIMPEZA - 75 H",tabParametros[[#This Row],[Função]],1)),
SUMIF(tabLimpGeral[TIPO],"Material",tabLimpGeral[VALOR UNITÁRIO P/ HORA (R$)])*75,
IF(ISNUMBER(SEARCH("AUXILIAR DE LIMPEZA - 110 H",tabParametros[[#This Row],[Função]],1)),
SUMIF(tabLimpGeral[TIPO],"Material",tabLimpGeral[VALOR UNITÁRIO P/ HORA (R$)])*110,
IF(ISNUMBER(SEARCH("AUXILIAR DE LIMPEZA - 150 H",tabParametros[[#This Row],[Função]],1)),
SUMIF(tabLimpGeral[TIPO],"Material",tabLimpGeral[VALOR UNITÁRIO P/ HORA (R$)])*150,
IF(ISNUMBER(SEARCH("AUXILIAR DE LIMPEZA - 220 H",tabParametros[[#This Row],[Função]],1)),
SUMIF(tabLimpGeral[TIPO],"Material",tabLimpGeral[VALOR UNITÁRIO P/ HORA (R$)])*220,
IF(ISNUMBER(SEARCH("AUXILIAR DE LIMPEZA - 12 x 36",tabParametros[[#This Row],[Função]],1)),
SUMIF(tabLimpGeral[TIPO],"Material",tabLimpGeral[VALOR UNITÁRIO P/ HORA (R$)])*220,
IF(ISNUMBER(SEARCH("Limpador de vidros - 220 h",tabParametros[[#This Row],[Função]],1)),
SUMIF(tabVidros[TIPO],"Material",tabVidros[VALOR UNITÁRIO P/ POSTO (R$)]),
0))))))</f>
        <v>35.518212958583888</v>
      </c>
      <c r="AZ34" s="281">
        <f>IF(ISNUMBER(SEARCH("AUXILIAR DE LIMPEZA - 75 H",tabParametros[[#This Row],[Função]],1)),
SUMIF(tabLimpGeral[TIPO],"Equipamento",tabLimpGeral[VALOR UNITÁRIO P/ HORA (R$)])*75,
IF(ISNUMBER(SEARCH("AUXILIAR DE LIMPEZA - 110 H",tabParametros[[#This Row],[Função]],1)),
SUMIF(tabLimpGeral[TIPO],"Equipamento",tabLimpGeral[VALOR UNITÁRIO P/ HORA (R$)])*110,
IF(ISNUMBER(SEARCH("AUXILIAR DE LIMPEZA - 150 H",tabParametros[[#This Row],[Função]],1)),
SUMIF(tabLimpGeral[TIPO],"Equipamento",tabLimpGeral[VALOR UNITÁRIO P/ HORA (R$)])*150,
IF(ISNUMBER(SEARCH("AUXILIAR DE LIMPEZA - 220 H",tabParametros[[#This Row],[Função]],1)),
SUMIF(tabLimpGeral[TIPO],"Equipamento",tabLimpGeral[VALOR UNITÁRIO P/ HORA (R$)])*220,
IF(ISNUMBER(SEARCH("AUXILIAR DE LIMPEZA - 12 x 36",tabParametros[[#This Row],[Função]],1)),
SUMIF(tabLimpGeral[TIPO],"Equipamento",tabLimpGeral[VALOR UNITÁRIO P/ HORA (R$)])*220,
IF(ISNUMBER(SEARCH("Limpador de vidros - 220 h",tabParametros[[#This Row],[Função]],1)),
SUMIF(tabVidros[TIPO],"Equipamento",tabVidros[VALOR UNITÁRIO P/ POSTO (R$)]),
0))))))</f>
        <v>64.529393914825576</v>
      </c>
      <c r="BA34" s="281">
        <f>IF(ISNUMBER(SEARCH("AUXILIAR DE LIMPEZA - 75 H",tabParametros[[#This Row],[Função]],1)),
SUMIF(tabLimpGeral[TIPO],"Produto",tabLimpGeral[VALOR UNITÁRIO P/ HORA (R$)])*75,
IF(ISNUMBER(SEARCH("AUXILIAR DE LIMPEZA - 110 H",tabParametros[[#This Row],[Função]],1)),
SUMIF(tabLimpGeral[TIPO],"Produto",tabLimpGeral[VALOR UNITÁRIO P/ HORA (R$)])*110,
IF(ISNUMBER(SEARCH("AUXILIAR DE LIMPEZA - 150 H",tabParametros[[#This Row],[Função]],1)),
SUMIF(tabLimpGeral[TIPO],"Produto",tabLimpGeral[VALOR UNITÁRIO P/ HORA (R$)])*150,
IF(ISNUMBER(SEARCH("AUXILIAR DE LIMPEZA - 220 H",tabParametros[[#This Row],[Função]],1)),
SUMIF(tabLimpGeral[TIPO],"Produto",tabLimpGeral[VALOR UNITÁRIO P/ HORA (R$)])*220,
IF(ISNUMBER(SEARCH("AUXILIAR DE LIMPEZA - 12 x 36",tabParametros[[#This Row],[Função]],1)),
SUMIF(tabLimpGeral[TIPO],"Produto",tabLimpGeral[VALOR UNITÁRIO P/ HORA (R$)])*220,
IF(ISNUMBER(SEARCH("Limpador de vidros - 220 h",tabParametros[[#This Row],[Função]],1)),
SUMIF(tabVidros[TIPO],"Produto",tabVidros[VALOR UNITÁRIO P/ POSTO (R$)]),
0))))))</f>
        <v>690.27153277931654</v>
      </c>
      <c r="BB34" s="281">
        <v>0</v>
      </c>
      <c r="BC34" s="236">
        <f>VLOOKUP(tabParametros[[#Headers],[Custos Indiretos]],tabOutrosCustos[],3,0)</f>
        <v>189.64880140242613</v>
      </c>
      <c r="BD34" s="236">
        <f>VLOOKUP(tabParametros[[#Headers],[Lucro]],tabOutrosCustos[],3,0)</f>
        <v>159.30499317803796</v>
      </c>
      <c r="BE34" s="235">
        <f>VLOOKUP(tabParametros[[#Headers],[COFINS]],tabImpostosNacionais[],2,0)</f>
        <v>7.5999999999999998E-2</v>
      </c>
      <c r="BF34" s="235">
        <f>VLOOKUP(tabParametros[[#Headers],[PIS]],tabImpostosNacionais[],2,0)</f>
        <v>1.6500000000000001E-2</v>
      </c>
      <c r="BG34" s="235">
        <f>VLOOKUP(tabParametros[[#This Row],[Comarca]],tabComarca[],4,0)</f>
        <v>3.7999999999999999E-2</v>
      </c>
      <c r="BH34" s="238">
        <f>IFERROR(VLOOKUP(tabParametros[[#This Row],[CCT DA CATEGORIA]],tabSindicatos[],11,0),"")</f>
        <v>45658</v>
      </c>
      <c r="BI34" s="289" t="str">
        <f>IFERROR(VLOOKUP(tabParametros[[#This Row],[CCT DA CATEGORIA]],tabSindicatos[],12,0),"")</f>
        <v>-</v>
      </c>
      <c r="BJ34" s="293" t="str">
        <f>IFERROR(VLOOKUP(tabParametros[[#This Row],[CCT DA CATEGORIA]],tabSindicatos[],13,0),"")</f>
        <v>-</v>
      </c>
    </row>
    <row r="35" spans="1:62" x14ac:dyDescent="0.25">
      <c r="A35" s="233" t="s">
        <v>1375</v>
      </c>
      <c r="B35" s="198" t="s">
        <v>35</v>
      </c>
      <c r="C35" s="198" t="s">
        <v>1247</v>
      </c>
      <c r="D35" s="198" t="str">
        <f>VLOOKUP(tabParametros[[#This Row],[Código do Posto]],tabPostos[],4,0)</f>
        <v>Regiao de Juiz de Fora</v>
      </c>
      <c r="E35" s="289" t="str">
        <f>VLOOKUP(tabParametros[[#This Row],[Código do Posto]],tabPostos[],5,0)</f>
        <v>Limpeza</v>
      </c>
      <c r="F35" s="289" t="str">
        <f>VLOOKUP(tabParametros[[#This Row],[Código do Posto]],tabPostos[],6,0)</f>
        <v>PGJ</v>
      </c>
      <c r="G35" s="289">
        <f>VLOOKUP(tabParametros[[#This Row],[Código do Posto]],tabPostos[],7,0)</f>
        <v>1</v>
      </c>
      <c r="H35" s="289">
        <f>VLOOKUP(tabParametros[[#This Row],[Código do Posto]],tabPostos[],8,0)</f>
        <v>0</v>
      </c>
      <c r="I35" s="234">
        <f>VLOOKUP(tabParametros[[#This Row],[Código do Posto]],tabPostos[],9,0)</f>
        <v>544.17999999999995</v>
      </c>
      <c r="J35" s="234">
        <f>IF(ISNUMBER(SEARCH("Eletricista",tabParametros[[#This Row],[Função]],1)),0.3*tabParametros[[#This Row],[Salário Base]],0)</f>
        <v>0</v>
      </c>
      <c r="K35" s="234">
        <f>IF(OR(ISNUMBER(SEARCH("Bombeiro Hidraulico",tabParametros[[#This Row],[Função]],1)),ISNUMBER(SEARCH("Jardineiro",tabParametros[[#This Row],[Função]],1)),ISNUMBER(SEARCH("Lavador de Veiculos",tabParametros[[#This Row],[Função]],1)),ISNUMBER(SEARCH("Marceneiro",tabParametros[[#This Row],[Função]],1)),ISNUMBER(SEARCH("Pintor",tabParametros[[#This Row],[Função]],1))),0.2*'BASE GERAL'!$R$4,0)</f>
        <v>0</v>
      </c>
      <c r="L35" s="234">
        <f>IF(AND(ISNUMBER(SEARCH("Noturno",tabParametros[[#This Row],[Função]],1)),tabParametros[[#This Row],[Comarca]]&lt;&gt;"Juiz de Fora"),tabParametros[[#This Row],[Salário Base]]/210*0.39*7*15.5,IF(ISNUMBER(SEARCH("Noturno",tabParametros[[#This Row],[Função]],1)),tabParametros[[#This Row],[Salário Base]]/210*0.2*8*15.5,0))</f>
        <v>0</v>
      </c>
      <c r="M35" s="234">
        <f>IF(ISNUMBER(SEARCH("Motorista II",tabParametros[[#This Row],[Função]],1)),0.25*tabParametros[[#This Row],[Salário Base]],0)</f>
        <v>0</v>
      </c>
      <c r="N35" s="250">
        <v>0</v>
      </c>
      <c r="O35" s="234">
        <f>IF(ISNUMBER(SEARCH("TECNOLOGIA DA INFORMACAO",tabParametros[[#This Row],[Função]],1)),0.0201*tabParametros[[#This Row],[Salário Base]],0)</f>
        <v>0</v>
      </c>
      <c r="P35" s="250" cm="1">
        <f t="array" ref="P35">_xlfn.IFS(
ISNUMBER(SEARCH("Auxiliar de Limpeza - 75 h",tabParametros[[#This Row],[Função]],1)),tabParametros[[#This Row],[Salário Base]]/75*0.75*30*0.12,
ISNUMBER(SEARCH("Auxiliar de Limpeza - 110 h",tabParametros[[#This Row],[Função]],1)),tabParametros[[#This Row],[Salário Base]]/110*1*30*0.12,
ISNUMBER(SEARCH("Auxiliar de Limpeza - 150 h",tabParametros[[#This Row],[Função]],1)),tabParametros[[#This Row],[Salário Base]]/150*1.5*30*0.12,
ISNUMBER(SEARCH("Auxiliar de Limpeza - 220 h",tabParametros[[#This Row],[Função]],1)),tabParametros[[#This Row],[Salário Base]]/220*2*30*0.12,
ISNUMBER(SEARCH("Auxiliar de Limpeza - 12 x 36",tabParametros[[#This Row],[Função]],1)),tabParametros[[#This Row],[Salário Base]]/220*2*30*0.12,
ISNUMBER(SEARCH("Auxiliar de Limpeza - 55 h",tabParametros[[#This Row],[Função]],1))=FALSE,0)</f>
        <v>19.590479999999999</v>
      </c>
      <c r="Q35" s="235">
        <f>VLOOKUP(tabParametros[[#Headers],[INSS]],tabImpostosNacionais[],2,0)</f>
        <v>0.2</v>
      </c>
      <c r="R35" s="235">
        <f>VLOOKUP(tabParametros[[#Headers],[SESI OU SESC]],tabImpostosNacionais[],2,0)</f>
        <v>1.4999999999999999E-2</v>
      </c>
      <c r="S35" s="235">
        <f>VLOOKUP(tabParametros[[#Headers],[SENAI OU SENAC]],tabImpostosNacionais[],2,0)</f>
        <v>0.01</v>
      </c>
      <c r="T35" s="235">
        <f>VLOOKUP(tabParametros[[#Headers],[INCRA]],tabImpostosNacionais[],2,0)</f>
        <v>2E-3</v>
      </c>
      <c r="U35" s="235">
        <f>VLOOKUP(tabParametros[[#Headers],[Salário Educação]],tabImpostosNacionais[],2,0)</f>
        <v>2.5000000000000001E-2</v>
      </c>
      <c r="V35" s="235">
        <f>VLOOKUP(tabParametros[[#Headers],[FGTS]],tabImpostosNacionais[],2,0)</f>
        <v>0.08</v>
      </c>
      <c r="W35" s="235">
        <f>VLOOKUP(tabParametros[[#Headers],[RAT Ajustado]],tabImpostosNacionais[],2,0)</f>
        <v>0.04</v>
      </c>
      <c r="X35" s="235">
        <f>VLOOKUP(tabParametros[[#Headers],[SEBRAE]],tabImpostosNacionais[],2,0)</f>
        <v>6.0000000000000001E-3</v>
      </c>
      <c r="Y35" s="235">
        <f t="shared" si="0"/>
        <v>8.3333333333333329E-2</v>
      </c>
      <c r="Z35" s="251">
        <f t="shared" si="1"/>
        <v>0.1111111111111111</v>
      </c>
      <c r="AA35" s="234">
        <f>VLOOKUP(tabParametros[[#This Row],[Comarca]],tabComarca[],5,0)</f>
        <v>6.4</v>
      </c>
      <c r="AB35" s="234">
        <f>IFERROR(VLOOKUP(tabParametros[[#This Row],[CCT DA CATEGORIA]],tabSindicatos[],6,0),0)</f>
        <v>29.15</v>
      </c>
      <c r="AC35" s="234">
        <f>IFERROR(VLOOKUP(tabParametros[[#This Row],[CCT DA CATEGORIA]],tabSindicatos[],7,0),0)</f>
        <v>0</v>
      </c>
      <c r="AD35" s="234" cm="1">
        <f t="array" ref="AD35">_xlfn.LET(
_xlpm.COMARCA, TRIM(UPPER(SUBSTITUTE(SUBSTITUTE(SUBSTITUTE(SUBSTITUTE(SUBSTITUTE(SUBSTITUTE(SUBSTITUTE(SUBSTITUTE(SUBSTITUTE(SUBSTITUTE(SUBSTITUTE(SUBSTITUTE(SUBSTITUTE(SUBSTITUTE(SUBSTITUTE(SUBSTITUTE(SUBSTITUTE(SUBSTITUTE(SUBSTITUTE(SUBSTITUTE(SUBSTITUTE(SUBSTITUTE(SUBSTITUTE(SUBSTITUTE(SUBSTITUTE(SUBSTITUTE(tabParametros[[#This Row],[Comarca]],"á","a"),"ã","a"),"â","a"),"é","e"),"ê","e"),"í","i"),"ó","o"),"õ","o"),"ô","o"),"ú","u"),"ç","c"),"Á","a"),"Ã","a"),"Â","a"),"É","e"),"Ê","e"),"Í","i"),"Ó","o"),"Õ","o"),"Ô","o"),"Ú","u"),"Ç","c"),"/MG","")," e ",", ")," ",""),".",""))),
_xlpm.MATRIZ_COMARCA, TRIM(UPPER(SUBSTITUTE(SUBSTITUTE(SUBSTITUTE(SUBSTITUTE(SUBSTITUTE(SUBSTITUTE(SUBSTITUTE(SUBSTITUTE(SUBSTITUTE(SUBSTITUTE(SUBSTITUTE(SUBSTITUTE(SUBSTITUTE(SUBSTITUTE(SUBSTITUTE(SUBSTITUTE(SUBSTITUTE(SUBSTITUTE(SUBSTITUTE(SUBSTITUTE(SUBSTITUTE(SUBSTITUTE(SUBSTITUTE(SUBSTITUTE(SUBSTITUTE(SUBSTITUTE(tabSindicatos[COMARCAS PAF],"á","a"),"ã","a"),"â","a"),"é","e"),"ê","e"),"í","i"),"ó","o"),"õ","o"),"ô","o"),"ú","u"),"ç","c"),"Á","a"),"Ã","a"),"Â","a"),"É","e"),"Ê","e"),"Í","i"),"Ó","o"),"Õ","o"),"Ô","o"),"Ú","u"),"Ç","c"),"/MG","")," e ",", ")," ",""),".",""))),
IFERROR(IF(_xlfn.XLOOKUP(tabParametros[[#This Row],[CCT DA CATEGORIA]],tabSindicatos[SINDICATOS],tabSindicatos[COMARCAS PAF])="",
VLOOKUP(tabParametros[[#This Row],[CCT DA CATEGORIA]],tabSindicatos[],8,0),
IF(ISNUMBER(SEARCH(TRIM(_xlpm.COMARCA),_xlfn.XLOOKUP(tabParametros[[#This Row],[CCT DA CATEGORIA]],tabSindicatos[SINDICATOS],_xlpm.MATRIZ_COMARCA),1)),VLOOKUP(tabParametros[[#This Row],[CCT DA CATEGORIA]],tabSindicatos[],8,0),0)
),0)
)</f>
        <v>51.88</v>
      </c>
      <c r="AE35" s="234">
        <f>IFERROR(VLOOKUP(tabParametros[[#This Row],[CCT DA CATEGORIA]],tabSindicatos[],9,0),0)</f>
        <v>0</v>
      </c>
      <c r="AF35" s="234">
        <f>IFERROR(VLOOKUP(tabParametros[[#This Row],[CCT DA CATEGORIA]],tabSindicatos[],10,0),0)</f>
        <v>0</v>
      </c>
      <c r="AG35" s="236">
        <f>VLOOKUP(tabParametros[[#Headers],[Seguro de Vida]],tabOutrosCustos[],3,0)</f>
        <v>3.36</v>
      </c>
      <c r="AH35" s="236">
        <f>IF(ISNUMBER(SEARCH("MOTORISTA",tabParametros[[#This Row],[Função]],1)),VLOOKUP("MOTORISTAS",tabDiarias[],2,0),IF(tabParametros[[#This Row],[Comarca]]="Belo Horizonte",VLOOKUP("LIMPEZA",tabDiarias[],2,0),0))</f>
        <v>0</v>
      </c>
      <c r="AI35" s="235">
        <f t="shared" si="2"/>
        <v>7.011766975308642E-3</v>
      </c>
      <c r="AJ35" s="237">
        <f>tabParametros[[#This Row],[FGTS]]*tabParametros[[#This Row],[Aviso Prévio Indenizado (API) e Reflexo do Aviso Prévio Indenizado]]</f>
        <v>5.609413580246914E-4</v>
      </c>
      <c r="AK35" s="237">
        <f>tabParametros[[#This Row],[FGTS]]*tabParametros[[#This Row],[Aviso Prévio Indenizado (API) e Reflexo do Aviso Prévio Indenizado]]*40%</f>
        <v>2.2437654320987658E-4</v>
      </c>
      <c r="AL35" s="235">
        <f t="shared" si="3"/>
        <v>3.5000000000000005E-3</v>
      </c>
      <c r="AM35" s="235">
        <f>tabParametros[[#This Row],[Aviso Prévio Trabalhado - APT]]*SUM(tabParametros[[#This Row],[INSS]:[SEBRAE]])</f>
        <v>1.3230000000000004E-3</v>
      </c>
      <c r="AN35" s="235">
        <f t="shared" si="4"/>
        <v>3.0577777777777773E-2</v>
      </c>
      <c r="AO35" s="235">
        <f t="shared" si="5"/>
        <v>8.3333333333333339E-4</v>
      </c>
      <c r="AP35" s="235">
        <f t="shared" si="6"/>
        <v>8.4444444444444437E-3</v>
      </c>
      <c r="AQ35" s="235">
        <f t="shared" si="7"/>
        <v>2.0277777777777777E-3</v>
      </c>
      <c r="AR35" s="235">
        <f t="shared" si="8"/>
        <v>1.7083333333333333E-4</v>
      </c>
      <c r="AS35" s="235">
        <f t="shared" si="9"/>
        <v>2.0833333333333335E-4</v>
      </c>
      <c r="AT35" s="235">
        <f t="shared" si="10"/>
        <v>1.2962962962962963E-3</v>
      </c>
      <c r="AU35" s="237">
        <f>SUM(tabParametros[[#This Row],[Ausência por Doença]:[Férias, Adicional de Férias e 13º  com empregada em gozo de Licença Maternidade]])*SUM(tabParametros[[#This Row],[INSS]:[SEBRAE]])</f>
        <v>4.5918250000000008E-3</v>
      </c>
      <c r="AV35" s="234">
        <f>IF(tabParametros[[#This Row],[Função]]="Porteiro - 220 h",SUM(tabParametros[[#This Row],[Salário Base]:[Adicional de Acúmulo de função]])/220*20*1.5,IF(ISNUMBER(SEARCH("12 x 36",tabParametros[[#This Row],[Função]],1)),SUM(tabParametros[[#This Row],[Salário Base]:[Adicional de Acúmulo de função]])/210*15.5*1.5,0))</f>
        <v>0</v>
      </c>
      <c r="AW35" s="234">
        <f>IF(tabParametros[[#This Row],[Vagas contratadas]]&gt;0,(SUM(tabParametros[[#This Row],[Salário Base]:[Adicional de Acúmulo de função]])*30%+SUM(tabParametros[[#This Row],[Vale - Alimentação]:[Seguro de Vida]]))/tabParametros[[#This Row],[Vagas contratadas]]*tabParametros[[#This Row],[Vagas suspensas]],0)</f>
        <v>0</v>
      </c>
      <c r="AX35" s="234">
        <f>SUMIF(tabUniformes[Cargo],tabParametros[[#This Row],[Função]],tabUniformes[Valor unit. Mensal])</f>
        <v>62.806666666666665</v>
      </c>
      <c r="AY35" s="281">
        <f>IF(ISNUMBER(SEARCH("AUXILIAR DE LIMPEZA - 75 H",tabParametros[[#This Row],[Função]],1)),
SUMIF(tabLimpGeral[TIPO],"Material",tabLimpGeral[VALOR UNITÁRIO P/ HORA (R$)])*75,
IF(ISNUMBER(SEARCH("AUXILIAR DE LIMPEZA - 110 H",tabParametros[[#This Row],[Função]],1)),
SUMIF(tabLimpGeral[TIPO],"Material",tabLimpGeral[VALOR UNITÁRIO P/ HORA (R$)])*110,
IF(ISNUMBER(SEARCH("AUXILIAR DE LIMPEZA - 150 H",tabParametros[[#This Row],[Função]],1)),
SUMIF(tabLimpGeral[TIPO],"Material",tabLimpGeral[VALOR UNITÁRIO P/ HORA (R$)])*150,
IF(ISNUMBER(SEARCH("AUXILIAR DE LIMPEZA - 220 H",tabParametros[[#This Row],[Função]],1)),
SUMIF(tabLimpGeral[TIPO],"Material",tabLimpGeral[VALOR UNITÁRIO P/ HORA (R$)])*220,
IF(ISNUMBER(SEARCH("AUXILIAR DE LIMPEZA - 12 x 36",tabParametros[[#This Row],[Função]],1)),
SUMIF(tabLimpGeral[TIPO],"Material",tabLimpGeral[VALOR UNITÁRIO P/ HORA (R$)])*220,
IF(ISNUMBER(SEARCH("Limpador de vidros - 220 h",tabParametros[[#This Row],[Função]],1)),
SUMIF(tabVidros[TIPO],"Material",tabVidros[VALOR UNITÁRIO P/ POSTO (R$)]),
0))))))</f>
        <v>12.108481690426325</v>
      </c>
      <c r="AZ35" s="281">
        <f>IF(ISNUMBER(SEARCH("AUXILIAR DE LIMPEZA - 75 H",tabParametros[[#This Row],[Função]],1)),
SUMIF(tabLimpGeral[TIPO],"Equipamento",tabLimpGeral[VALOR UNITÁRIO P/ HORA (R$)])*75,
IF(ISNUMBER(SEARCH("AUXILIAR DE LIMPEZA - 110 H",tabParametros[[#This Row],[Função]],1)),
SUMIF(tabLimpGeral[TIPO],"Equipamento",tabLimpGeral[VALOR UNITÁRIO P/ HORA (R$)])*110,
IF(ISNUMBER(SEARCH("AUXILIAR DE LIMPEZA - 150 H",tabParametros[[#This Row],[Função]],1)),
SUMIF(tabLimpGeral[TIPO],"Equipamento",tabLimpGeral[VALOR UNITÁRIO P/ HORA (R$)])*150,
IF(ISNUMBER(SEARCH("AUXILIAR DE LIMPEZA - 220 H",tabParametros[[#This Row],[Função]],1)),
SUMIF(tabLimpGeral[TIPO],"Equipamento",tabLimpGeral[VALOR UNITÁRIO P/ HORA (R$)])*220,
IF(ISNUMBER(SEARCH("AUXILIAR DE LIMPEZA - 12 x 36",tabParametros[[#This Row],[Função]],1)),
SUMIF(tabLimpGeral[TIPO],"Equipamento",tabLimpGeral[VALOR UNITÁRIO P/ HORA (R$)])*220,
IF(ISNUMBER(SEARCH("Limpador de vidros - 220 h",tabParametros[[#This Row],[Função]],1)),
SUMIF(tabVidros[TIPO],"Equipamento",tabVidros[VALOR UNITÁRIO P/ POSTO (R$)]),
0))))))</f>
        <v>21.998657016417809</v>
      </c>
      <c r="BA35" s="281">
        <f>IF(ISNUMBER(SEARCH("AUXILIAR DE LIMPEZA - 75 H",tabParametros[[#This Row],[Função]],1)),
SUMIF(tabLimpGeral[TIPO],"Produto",tabLimpGeral[VALOR UNITÁRIO P/ HORA (R$)])*75,
IF(ISNUMBER(SEARCH("AUXILIAR DE LIMPEZA - 110 H",tabParametros[[#This Row],[Função]],1)),
SUMIF(tabLimpGeral[TIPO],"Produto",tabLimpGeral[VALOR UNITÁRIO P/ HORA (R$)])*110,
IF(ISNUMBER(SEARCH("AUXILIAR DE LIMPEZA - 150 H",tabParametros[[#This Row],[Função]],1)),
SUMIF(tabLimpGeral[TIPO],"Produto",tabLimpGeral[VALOR UNITÁRIO P/ HORA (R$)])*150,
IF(ISNUMBER(SEARCH("AUXILIAR DE LIMPEZA - 220 H",tabParametros[[#This Row],[Função]],1)),
SUMIF(tabLimpGeral[TIPO],"Produto",tabLimpGeral[VALOR UNITÁRIO P/ HORA (R$)])*220,
IF(ISNUMBER(SEARCH("AUXILIAR DE LIMPEZA - 12 x 36",tabParametros[[#This Row],[Função]],1)),
SUMIF(tabLimpGeral[TIPO],"Produto",tabLimpGeral[VALOR UNITÁRIO P/ HORA (R$)])*220,
IF(ISNUMBER(SEARCH("Limpador de vidros - 220 h",tabParametros[[#This Row],[Função]],1)),
SUMIF(tabVidros[TIPO],"Produto",tabVidros[VALOR UNITÁRIO P/ POSTO (R$)]),
0))))))</f>
        <v>235.31984072022155</v>
      </c>
      <c r="BB35" s="281">
        <v>0</v>
      </c>
      <c r="BC35" s="236">
        <f>VLOOKUP(tabParametros[[#Headers],[Custos Indiretos]],tabOutrosCustos[],3,0)</f>
        <v>189.64880140242613</v>
      </c>
      <c r="BD35" s="236">
        <f>VLOOKUP(tabParametros[[#Headers],[Lucro]],tabOutrosCustos[],3,0)</f>
        <v>159.30499317803796</v>
      </c>
      <c r="BE35" s="235">
        <f>VLOOKUP(tabParametros[[#Headers],[COFINS]],tabImpostosNacionais[],2,0)</f>
        <v>7.5999999999999998E-2</v>
      </c>
      <c r="BF35" s="235">
        <f>VLOOKUP(tabParametros[[#Headers],[PIS]],tabImpostosNacionais[],2,0)</f>
        <v>1.6500000000000001E-2</v>
      </c>
      <c r="BG35" s="235">
        <f>VLOOKUP(tabParametros[[#This Row],[Comarca]],tabComarca[],4,0)</f>
        <v>0.02</v>
      </c>
      <c r="BH35" s="238">
        <f>IFERROR(VLOOKUP(tabParametros[[#This Row],[CCT DA CATEGORIA]],tabSindicatos[],11,0),"")</f>
        <v>45658</v>
      </c>
      <c r="BI35" s="289" t="str">
        <f>IFERROR(VLOOKUP(tabParametros[[#This Row],[CCT DA CATEGORIA]],tabSindicatos[],12,0),"")</f>
        <v>-</v>
      </c>
      <c r="BJ35" s="293" t="str">
        <f>IFERROR(VLOOKUP(tabParametros[[#This Row],[CCT DA CATEGORIA]],tabSindicatos[],13,0),"")</f>
        <v>-</v>
      </c>
    </row>
    <row r="36" spans="1:62" x14ac:dyDescent="0.25">
      <c r="A36" s="233" t="s">
        <v>1376</v>
      </c>
      <c r="B36" s="198" t="s">
        <v>36</v>
      </c>
      <c r="C36" s="198" t="s">
        <v>1244</v>
      </c>
      <c r="D36" s="198" t="str">
        <f>VLOOKUP(tabParametros[[#This Row],[Código do Posto]],tabPostos[],4,0)</f>
        <v>Regiao de Sao Lourenco</v>
      </c>
      <c r="E36" s="289" t="str">
        <f>VLOOKUP(tabParametros[[#This Row],[Código do Posto]],tabPostos[],5,0)</f>
        <v>Limpeza</v>
      </c>
      <c r="F36" s="289" t="str">
        <f>VLOOKUP(tabParametros[[#This Row],[Código do Posto]],tabPostos[],6,0)</f>
        <v>PGJ</v>
      </c>
      <c r="G36" s="289">
        <f>VLOOKUP(tabParametros[[#This Row],[Código do Posto]],tabPostos[],7,0)</f>
        <v>1</v>
      </c>
      <c r="H36" s="289">
        <f>VLOOKUP(tabParametros[[#This Row],[Código do Posto]],tabPostos[],8,0)</f>
        <v>0</v>
      </c>
      <c r="I36" s="234">
        <f>VLOOKUP(tabParametros[[#This Row],[Código do Posto]],tabPostos[],9,0)</f>
        <v>798.14</v>
      </c>
      <c r="J36" s="234">
        <f>IF(ISNUMBER(SEARCH("Eletricista",tabParametros[[#This Row],[Função]],1)),0.3*tabParametros[[#This Row],[Salário Base]],0)</f>
        <v>0</v>
      </c>
      <c r="K36" s="234">
        <f>IF(OR(ISNUMBER(SEARCH("Bombeiro Hidraulico",tabParametros[[#This Row],[Função]],1)),ISNUMBER(SEARCH("Jardineiro",tabParametros[[#This Row],[Função]],1)),ISNUMBER(SEARCH("Lavador de Veiculos",tabParametros[[#This Row],[Função]],1)),ISNUMBER(SEARCH("Marceneiro",tabParametros[[#This Row],[Função]],1)),ISNUMBER(SEARCH("Pintor",tabParametros[[#This Row],[Função]],1))),0.2*'BASE GERAL'!$R$4,0)</f>
        <v>0</v>
      </c>
      <c r="L36" s="234">
        <f>IF(AND(ISNUMBER(SEARCH("Noturno",tabParametros[[#This Row],[Função]],1)),tabParametros[[#This Row],[Comarca]]&lt;&gt;"Juiz de Fora"),tabParametros[[#This Row],[Salário Base]]/210*0.39*7*15.5,IF(ISNUMBER(SEARCH("Noturno",tabParametros[[#This Row],[Função]],1)),tabParametros[[#This Row],[Salário Base]]/210*0.2*8*15.5,0))</f>
        <v>0</v>
      </c>
      <c r="M36" s="234">
        <f>IF(ISNUMBER(SEARCH("Motorista II",tabParametros[[#This Row],[Função]],1)),0.25*tabParametros[[#This Row],[Salário Base]],0)</f>
        <v>0</v>
      </c>
      <c r="N36" s="250">
        <v>0</v>
      </c>
      <c r="O36" s="234">
        <f>IF(ISNUMBER(SEARCH("TECNOLOGIA DA INFORMACAO",tabParametros[[#This Row],[Função]],1)),0.0201*tabParametros[[#This Row],[Salário Base]],0)</f>
        <v>0</v>
      </c>
      <c r="P36" s="250" cm="1">
        <f t="array" ref="P36">_xlfn.IFS(
ISNUMBER(SEARCH("Auxiliar de Limpeza - 75 h",tabParametros[[#This Row],[Função]],1)),tabParametros[[#This Row],[Salário Base]]/75*0.75*30*0.12,
ISNUMBER(SEARCH("Auxiliar de Limpeza - 110 h",tabParametros[[#This Row],[Função]],1)),tabParametros[[#This Row],[Salário Base]]/110*1*30*0.12,
ISNUMBER(SEARCH("Auxiliar de Limpeza - 150 h",tabParametros[[#This Row],[Função]],1)),tabParametros[[#This Row],[Salário Base]]/150*1.5*30*0.12,
ISNUMBER(SEARCH("Auxiliar de Limpeza - 220 h",tabParametros[[#This Row],[Função]],1)),tabParametros[[#This Row],[Salário Base]]/220*2*30*0.12,
ISNUMBER(SEARCH("Auxiliar de Limpeza - 12 x 36",tabParametros[[#This Row],[Função]],1)),tabParametros[[#This Row],[Salário Base]]/220*2*30*0.12,
ISNUMBER(SEARCH("Auxiliar de Limpeza - 55 h",tabParametros[[#This Row],[Função]],1))=FALSE,0)</f>
        <v>26.120945454545453</v>
      </c>
      <c r="Q36" s="235">
        <f>VLOOKUP(tabParametros[[#Headers],[INSS]],tabImpostosNacionais[],2,0)</f>
        <v>0.2</v>
      </c>
      <c r="R36" s="235">
        <f>VLOOKUP(tabParametros[[#Headers],[SESI OU SESC]],tabImpostosNacionais[],2,0)</f>
        <v>1.4999999999999999E-2</v>
      </c>
      <c r="S36" s="235">
        <f>VLOOKUP(tabParametros[[#Headers],[SENAI OU SENAC]],tabImpostosNacionais[],2,0)</f>
        <v>0.01</v>
      </c>
      <c r="T36" s="235">
        <f>VLOOKUP(tabParametros[[#Headers],[INCRA]],tabImpostosNacionais[],2,0)</f>
        <v>2E-3</v>
      </c>
      <c r="U36" s="235">
        <f>VLOOKUP(tabParametros[[#Headers],[Salário Educação]],tabImpostosNacionais[],2,0)</f>
        <v>2.5000000000000001E-2</v>
      </c>
      <c r="V36" s="235">
        <f>VLOOKUP(tabParametros[[#Headers],[FGTS]],tabImpostosNacionais[],2,0)</f>
        <v>0.08</v>
      </c>
      <c r="W36" s="235">
        <f>VLOOKUP(tabParametros[[#Headers],[RAT Ajustado]],tabImpostosNacionais[],2,0)</f>
        <v>0.04</v>
      </c>
      <c r="X36" s="235">
        <f>VLOOKUP(tabParametros[[#Headers],[SEBRAE]],tabImpostosNacionais[],2,0)</f>
        <v>6.0000000000000001E-3</v>
      </c>
      <c r="Y36" s="235">
        <f t="shared" si="0"/>
        <v>8.3333333333333329E-2</v>
      </c>
      <c r="Z36" s="251">
        <f t="shared" si="1"/>
        <v>0.1111111111111111</v>
      </c>
      <c r="AA36" s="234">
        <f>VLOOKUP(tabParametros[[#This Row],[Comarca]],tabComarca[],5,0)</f>
        <v>6.4</v>
      </c>
      <c r="AB36" s="234">
        <f>IFERROR(VLOOKUP(tabParametros[[#This Row],[CCT DA CATEGORIA]],tabSindicatos[],6,0),0)</f>
        <v>29.15</v>
      </c>
      <c r="AC36" s="234">
        <f>IFERROR(VLOOKUP(tabParametros[[#This Row],[CCT DA CATEGORIA]],tabSindicatos[],7,0),0)</f>
        <v>0</v>
      </c>
      <c r="AD36" s="234" cm="1">
        <f t="array" ref="AD36">_xlfn.LET(
_xlpm.COMARCA, TRIM(UPPER(SUBSTITUTE(SUBSTITUTE(SUBSTITUTE(SUBSTITUTE(SUBSTITUTE(SUBSTITUTE(SUBSTITUTE(SUBSTITUTE(SUBSTITUTE(SUBSTITUTE(SUBSTITUTE(SUBSTITUTE(SUBSTITUTE(SUBSTITUTE(SUBSTITUTE(SUBSTITUTE(SUBSTITUTE(SUBSTITUTE(SUBSTITUTE(SUBSTITUTE(SUBSTITUTE(SUBSTITUTE(SUBSTITUTE(SUBSTITUTE(SUBSTITUTE(SUBSTITUTE(tabParametros[[#This Row],[Comarca]],"á","a"),"ã","a"),"â","a"),"é","e"),"ê","e"),"í","i"),"ó","o"),"õ","o"),"ô","o"),"ú","u"),"ç","c"),"Á","a"),"Ã","a"),"Â","a"),"É","e"),"Ê","e"),"Í","i"),"Ó","o"),"Õ","o"),"Ô","o"),"Ú","u"),"Ç","c"),"/MG","")," e ",", ")," ",""),".",""))),
_xlpm.MATRIZ_COMARCA, TRIM(UPPER(SUBSTITUTE(SUBSTITUTE(SUBSTITUTE(SUBSTITUTE(SUBSTITUTE(SUBSTITUTE(SUBSTITUTE(SUBSTITUTE(SUBSTITUTE(SUBSTITUTE(SUBSTITUTE(SUBSTITUTE(SUBSTITUTE(SUBSTITUTE(SUBSTITUTE(SUBSTITUTE(SUBSTITUTE(SUBSTITUTE(SUBSTITUTE(SUBSTITUTE(SUBSTITUTE(SUBSTITUTE(SUBSTITUTE(SUBSTITUTE(SUBSTITUTE(SUBSTITUTE(tabSindicatos[COMARCAS PAF],"á","a"),"ã","a"),"â","a"),"é","e"),"ê","e"),"í","i"),"ó","o"),"õ","o"),"ô","o"),"ú","u"),"ç","c"),"Á","a"),"Ã","a"),"Â","a"),"É","e"),"Ê","e"),"Í","i"),"Ó","o"),"Õ","o"),"Ô","o"),"Ú","u"),"Ç","c"),"/MG","")," e ",", ")," ",""),".",""))),
IFERROR(IF(_xlfn.XLOOKUP(tabParametros[[#This Row],[CCT DA CATEGORIA]],tabSindicatos[SINDICATOS],tabSindicatos[COMARCAS PAF])="",
VLOOKUP(tabParametros[[#This Row],[CCT DA CATEGORIA]],tabSindicatos[],8,0),
IF(ISNUMBER(SEARCH(TRIM(_xlpm.COMARCA),_xlfn.XLOOKUP(tabParametros[[#This Row],[CCT DA CATEGORIA]],tabSindicatos[SINDICATOS],_xlpm.MATRIZ_COMARCA),1)),VLOOKUP(tabParametros[[#This Row],[CCT DA CATEGORIA]],tabSindicatos[],8,0),0)
),0)
)</f>
        <v>0</v>
      </c>
      <c r="AE36" s="234">
        <f>IFERROR(VLOOKUP(tabParametros[[#This Row],[CCT DA CATEGORIA]],tabSindicatos[],9,0),0)</f>
        <v>0</v>
      </c>
      <c r="AF36" s="234">
        <f>IFERROR(VLOOKUP(tabParametros[[#This Row],[CCT DA CATEGORIA]],tabSindicatos[],10,0),0)</f>
        <v>0</v>
      </c>
      <c r="AG36" s="236">
        <f>VLOOKUP(tabParametros[[#Headers],[Seguro de Vida]],tabOutrosCustos[],3,0)</f>
        <v>3.36</v>
      </c>
      <c r="AH36" s="236">
        <f>IF(ISNUMBER(SEARCH("MOTORISTA",tabParametros[[#This Row],[Função]],1)),VLOOKUP("MOTORISTAS",tabDiarias[],2,0),IF(tabParametros[[#This Row],[Comarca]]="Belo Horizonte",VLOOKUP("LIMPEZA",tabDiarias[],2,0),0))</f>
        <v>0</v>
      </c>
      <c r="AI36" s="235">
        <f t="shared" si="2"/>
        <v>7.011766975308642E-3</v>
      </c>
      <c r="AJ36" s="237">
        <f>tabParametros[[#This Row],[FGTS]]*tabParametros[[#This Row],[Aviso Prévio Indenizado (API) e Reflexo do Aviso Prévio Indenizado]]</f>
        <v>5.609413580246914E-4</v>
      </c>
      <c r="AK36" s="237">
        <f>tabParametros[[#This Row],[FGTS]]*tabParametros[[#This Row],[Aviso Prévio Indenizado (API) e Reflexo do Aviso Prévio Indenizado]]*40%</f>
        <v>2.2437654320987658E-4</v>
      </c>
      <c r="AL36" s="235">
        <f t="shared" si="3"/>
        <v>3.5000000000000005E-3</v>
      </c>
      <c r="AM36" s="235">
        <f>tabParametros[[#This Row],[Aviso Prévio Trabalhado - APT]]*SUM(tabParametros[[#This Row],[INSS]:[SEBRAE]])</f>
        <v>1.3230000000000004E-3</v>
      </c>
      <c r="AN36" s="235">
        <f t="shared" si="4"/>
        <v>3.0577777777777773E-2</v>
      </c>
      <c r="AO36" s="235">
        <f t="shared" si="5"/>
        <v>8.3333333333333339E-4</v>
      </c>
      <c r="AP36" s="235">
        <f t="shared" si="6"/>
        <v>8.4444444444444437E-3</v>
      </c>
      <c r="AQ36" s="235">
        <f t="shared" si="7"/>
        <v>2.0277777777777777E-3</v>
      </c>
      <c r="AR36" s="235">
        <f t="shared" si="8"/>
        <v>1.7083333333333333E-4</v>
      </c>
      <c r="AS36" s="235">
        <f t="shared" si="9"/>
        <v>2.0833333333333335E-4</v>
      </c>
      <c r="AT36" s="235">
        <f t="shared" si="10"/>
        <v>1.2962962962962963E-3</v>
      </c>
      <c r="AU36" s="237">
        <f>SUM(tabParametros[[#This Row],[Ausência por Doença]:[Férias, Adicional de Férias e 13º  com empregada em gozo de Licença Maternidade]])*SUM(tabParametros[[#This Row],[INSS]:[SEBRAE]])</f>
        <v>4.5918250000000008E-3</v>
      </c>
      <c r="AV36" s="234">
        <f>IF(tabParametros[[#This Row],[Função]]="Porteiro - 220 h",SUM(tabParametros[[#This Row],[Salário Base]:[Adicional de Acúmulo de função]])/220*20*1.5,IF(ISNUMBER(SEARCH("12 x 36",tabParametros[[#This Row],[Função]],1)),SUM(tabParametros[[#This Row],[Salário Base]:[Adicional de Acúmulo de função]])/210*15.5*1.5,0))</f>
        <v>0</v>
      </c>
      <c r="AW36" s="234">
        <f>IF(tabParametros[[#This Row],[Vagas contratadas]]&gt;0,(SUM(tabParametros[[#This Row],[Salário Base]:[Adicional de Acúmulo de função]])*30%+SUM(tabParametros[[#This Row],[Vale - Alimentação]:[Seguro de Vida]]))/tabParametros[[#This Row],[Vagas contratadas]]*tabParametros[[#This Row],[Vagas suspensas]],0)</f>
        <v>0</v>
      </c>
      <c r="AX36" s="234">
        <f>SUMIF(tabUniformes[Cargo],tabParametros[[#This Row],[Função]],tabUniformes[Valor unit. Mensal])</f>
        <v>62.806666666666665</v>
      </c>
      <c r="AY36" s="281">
        <f>IF(ISNUMBER(SEARCH("AUXILIAR DE LIMPEZA - 75 H",tabParametros[[#This Row],[Função]],1)),
SUMIF(tabLimpGeral[TIPO],"Material",tabLimpGeral[VALOR UNITÁRIO P/ HORA (R$)])*75,
IF(ISNUMBER(SEARCH("AUXILIAR DE LIMPEZA - 110 H",tabParametros[[#This Row],[Função]],1)),
SUMIF(tabLimpGeral[TIPO],"Material",tabLimpGeral[VALOR UNITÁRIO P/ HORA (R$)])*110,
IF(ISNUMBER(SEARCH("AUXILIAR DE LIMPEZA - 150 H",tabParametros[[#This Row],[Função]],1)),
SUMIF(tabLimpGeral[TIPO],"Material",tabLimpGeral[VALOR UNITÁRIO P/ HORA (R$)])*150,
IF(ISNUMBER(SEARCH("AUXILIAR DE LIMPEZA - 220 H",tabParametros[[#This Row],[Função]],1)),
SUMIF(tabLimpGeral[TIPO],"Material",tabLimpGeral[VALOR UNITÁRIO P/ HORA (R$)])*220,
IF(ISNUMBER(SEARCH("AUXILIAR DE LIMPEZA - 12 x 36",tabParametros[[#This Row],[Função]],1)),
SUMIF(tabLimpGeral[TIPO],"Material",tabLimpGeral[VALOR UNITÁRIO P/ HORA (R$)])*220,
IF(ISNUMBER(SEARCH("Limpador de vidros - 220 h",tabParametros[[#This Row],[Função]],1)),
SUMIF(tabVidros[TIPO],"Material",tabVidros[VALOR UNITÁRIO P/ POSTO (R$)]),
0))))))</f>
        <v>17.759106479291944</v>
      </c>
      <c r="AZ36" s="281">
        <f>IF(ISNUMBER(SEARCH("AUXILIAR DE LIMPEZA - 75 H",tabParametros[[#This Row],[Função]],1)),
SUMIF(tabLimpGeral[TIPO],"Equipamento",tabLimpGeral[VALOR UNITÁRIO P/ HORA (R$)])*75,
IF(ISNUMBER(SEARCH("AUXILIAR DE LIMPEZA - 110 H",tabParametros[[#This Row],[Função]],1)),
SUMIF(tabLimpGeral[TIPO],"Equipamento",tabLimpGeral[VALOR UNITÁRIO P/ HORA (R$)])*110,
IF(ISNUMBER(SEARCH("AUXILIAR DE LIMPEZA - 150 H",tabParametros[[#This Row],[Função]],1)),
SUMIF(tabLimpGeral[TIPO],"Equipamento",tabLimpGeral[VALOR UNITÁRIO P/ HORA (R$)])*150,
IF(ISNUMBER(SEARCH("AUXILIAR DE LIMPEZA - 220 H",tabParametros[[#This Row],[Função]],1)),
SUMIF(tabLimpGeral[TIPO],"Equipamento",tabLimpGeral[VALOR UNITÁRIO P/ HORA (R$)])*220,
IF(ISNUMBER(SEARCH("AUXILIAR DE LIMPEZA - 12 x 36",tabParametros[[#This Row],[Função]],1)),
SUMIF(tabLimpGeral[TIPO],"Equipamento",tabLimpGeral[VALOR UNITÁRIO P/ HORA (R$)])*220,
IF(ISNUMBER(SEARCH("Limpador de vidros - 220 h",tabParametros[[#This Row],[Função]],1)),
SUMIF(tabVidros[TIPO],"Equipamento",tabVidros[VALOR UNITÁRIO P/ POSTO (R$)]),
0))))))</f>
        <v>32.264696957412788</v>
      </c>
      <c r="BA36" s="281">
        <f>IF(ISNUMBER(SEARCH("AUXILIAR DE LIMPEZA - 75 H",tabParametros[[#This Row],[Função]],1)),
SUMIF(tabLimpGeral[TIPO],"Produto",tabLimpGeral[VALOR UNITÁRIO P/ HORA (R$)])*75,
IF(ISNUMBER(SEARCH("AUXILIAR DE LIMPEZA - 110 H",tabParametros[[#This Row],[Função]],1)),
SUMIF(tabLimpGeral[TIPO],"Produto",tabLimpGeral[VALOR UNITÁRIO P/ HORA (R$)])*110,
IF(ISNUMBER(SEARCH("AUXILIAR DE LIMPEZA - 150 H",tabParametros[[#This Row],[Função]],1)),
SUMIF(tabLimpGeral[TIPO],"Produto",tabLimpGeral[VALOR UNITÁRIO P/ HORA (R$)])*150,
IF(ISNUMBER(SEARCH("AUXILIAR DE LIMPEZA - 220 H",tabParametros[[#This Row],[Função]],1)),
SUMIF(tabLimpGeral[TIPO],"Produto",tabLimpGeral[VALOR UNITÁRIO P/ HORA (R$)])*220,
IF(ISNUMBER(SEARCH("AUXILIAR DE LIMPEZA - 12 x 36",tabParametros[[#This Row],[Função]],1)),
SUMIF(tabLimpGeral[TIPO],"Produto",tabLimpGeral[VALOR UNITÁRIO P/ HORA (R$)])*220,
IF(ISNUMBER(SEARCH("Limpador de vidros - 220 h",tabParametros[[#This Row],[Função]],1)),
SUMIF(tabVidros[TIPO],"Produto",tabVidros[VALOR UNITÁRIO P/ POSTO (R$)]),
0))))))</f>
        <v>345.13576638965827</v>
      </c>
      <c r="BB36" s="281">
        <v>0</v>
      </c>
      <c r="BC36" s="236">
        <f>VLOOKUP(tabParametros[[#Headers],[Custos Indiretos]],tabOutrosCustos[],3,0)</f>
        <v>189.64880140242613</v>
      </c>
      <c r="BD36" s="236">
        <f>VLOOKUP(tabParametros[[#Headers],[Lucro]],tabOutrosCustos[],3,0)</f>
        <v>159.30499317803796</v>
      </c>
      <c r="BE36" s="235">
        <f>VLOOKUP(tabParametros[[#Headers],[COFINS]],tabImpostosNacionais[],2,0)</f>
        <v>7.5999999999999998E-2</v>
      </c>
      <c r="BF36" s="235">
        <f>VLOOKUP(tabParametros[[#Headers],[PIS]],tabImpostosNacionais[],2,0)</f>
        <v>1.6500000000000001E-2</v>
      </c>
      <c r="BG36" s="235">
        <f>VLOOKUP(tabParametros[[#This Row],[Comarca]],tabComarca[],4,0)</f>
        <v>0.04</v>
      </c>
      <c r="BH36" s="238">
        <f>IFERROR(VLOOKUP(tabParametros[[#This Row],[CCT DA CATEGORIA]],tabSindicatos[],11,0),"")</f>
        <v>45658</v>
      </c>
      <c r="BI36" s="289" t="str">
        <f>IFERROR(VLOOKUP(tabParametros[[#This Row],[CCT DA CATEGORIA]],tabSindicatos[],12,0),"")</f>
        <v>-</v>
      </c>
      <c r="BJ36" s="293" t="str">
        <f>IFERROR(VLOOKUP(tabParametros[[#This Row],[CCT DA CATEGORIA]],tabSindicatos[],13,0),"")</f>
        <v>-</v>
      </c>
    </row>
    <row r="37" spans="1:62" x14ac:dyDescent="0.25">
      <c r="A37" s="233" t="s">
        <v>1377</v>
      </c>
      <c r="B37" s="198" t="s">
        <v>37</v>
      </c>
      <c r="C37" s="198" t="s">
        <v>1245</v>
      </c>
      <c r="D37" s="198" t="str">
        <f>VLOOKUP(tabParametros[[#This Row],[Código do Posto]],tabPostos[],4,0)</f>
        <v>Sethac Norte de Minas</v>
      </c>
      <c r="E37" s="289" t="str">
        <f>VLOOKUP(tabParametros[[#This Row],[Código do Posto]],tabPostos[],5,0)</f>
        <v>Limpeza</v>
      </c>
      <c r="F37" s="289" t="str">
        <f>VLOOKUP(tabParametros[[#This Row],[Código do Posto]],tabPostos[],6,0)</f>
        <v>PGJ</v>
      </c>
      <c r="G37" s="289">
        <f>VLOOKUP(tabParametros[[#This Row],[Código do Posto]],tabPostos[],7,0)</f>
        <v>1</v>
      </c>
      <c r="H37" s="289">
        <f>VLOOKUP(tabParametros[[#This Row],[Código do Posto]],tabPostos[],8,0)</f>
        <v>0</v>
      </c>
      <c r="I37" s="234">
        <f>VLOOKUP(tabParametros[[#This Row],[Código do Posto]],tabPostos[],9,0)</f>
        <v>1596.28</v>
      </c>
      <c r="J37" s="234">
        <f>IF(ISNUMBER(SEARCH("Eletricista",tabParametros[[#This Row],[Função]],1)),0.3*tabParametros[[#This Row],[Salário Base]],0)</f>
        <v>0</v>
      </c>
      <c r="K37" s="234">
        <f>IF(OR(ISNUMBER(SEARCH("Bombeiro Hidraulico",tabParametros[[#This Row],[Função]],1)),ISNUMBER(SEARCH("Jardineiro",tabParametros[[#This Row],[Função]],1)),ISNUMBER(SEARCH("Lavador de Veiculos",tabParametros[[#This Row],[Função]],1)),ISNUMBER(SEARCH("Marceneiro",tabParametros[[#This Row],[Função]],1)),ISNUMBER(SEARCH("Pintor",tabParametros[[#This Row],[Função]],1))),0.2*'BASE GERAL'!$R$4,0)</f>
        <v>0</v>
      </c>
      <c r="L37" s="234">
        <f>IF(AND(ISNUMBER(SEARCH("Noturno",tabParametros[[#This Row],[Função]],1)),tabParametros[[#This Row],[Comarca]]&lt;&gt;"Juiz de Fora"),tabParametros[[#This Row],[Salário Base]]/210*0.39*7*15.5,IF(ISNUMBER(SEARCH("Noturno",tabParametros[[#This Row],[Função]],1)),tabParametros[[#This Row],[Salário Base]]/210*0.2*8*15.5,0))</f>
        <v>0</v>
      </c>
      <c r="M37" s="234">
        <f>IF(ISNUMBER(SEARCH("Motorista II",tabParametros[[#This Row],[Função]],1)),0.25*tabParametros[[#This Row],[Salário Base]],0)</f>
        <v>0</v>
      </c>
      <c r="N37" s="250">
        <v>0</v>
      </c>
      <c r="O37" s="234">
        <f>IF(ISNUMBER(SEARCH("TECNOLOGIA DA INFORMACAO",tabParametros[[#This Row],[Função]],1)),0.0201*tabParametros[[#This Row],[Salário Base]],0)</f>
        <v>0</v>
      </c>
      <c r="P37" s="250" cm="1">
        <f t="array" ref="P37">_xlfn.IFS(
ISNUMBER(SEARCH("Auxiliar de Limpeza - 75 h",tabParametros[[#This Row],[Função]],1)),tabParametros[[#This Row],[Salário Base]]/75*0.75*30*0.12,
ISNUMBER(SEARCH("Auxiliar de Limpeza - 110 h",tabParametros[[#This Row],[Função]],1)),tabParametros[[#This Row],[Salário Base]]/110*1*30*0.12,
ISNUMBER(SEARCH("Auxiliar de Limpeza - 150 h",tabParametros[[#This Row],[Função]],1)),tabParametros[[#This Row],[Salário Base]]/150*1.5*30*0.12,
ISNUMBER(SEARCH("Auxiliar de Limpeza - 220 h",tabParametros[[#This Row],[Função]],1)),tabParametros[[#This Row],[Salário Base]]/220*2*30*0.12,
ISNUMBER(SEARCH("Auxiliar de Limpeza - 12 x 36",tabParametros[[#This Row],[Função]],1)),tabParametros[[#This Row],[Salário Base]]/220*2*30*0.12,
ISNUMBER(SEARCH("Auxiliar de Limpeza - 55 h",tabParametros[[#This Row],[Função]],1))=FALSE,0)</f>
        <v>52.241890909090905</v>
      </c>
      <c r="Q37" s="235">
        <f>VLOOKUP(tabParametros[[#Headers],[INSS]],tabImpostosNacionais[],2,0)</f>
        <v>0.2</v>
      </c>
      <c r="R37" s="235">
        <f>VLOOKUP(tabParametros[[#Headers],[SESI OU SESC]],tabImpostosNacionais[],2,0)</f>
        <v>1.4999999999999999E-2</v>
      </c>
      <c r="S37" s="235">
        <f>VLOOKUP(tabParametros[[#Headers],[SENAI OU SENAC]],tabImpostosNacionais[],2,0)</f>
        <v>0.01</v>
      </c>
      <c r="T37" s="235">
        <f>VLOOKUP(tabParametros[[#Headers],[INCRA]],tabImpostosNacionais[],2,0)</f>
        <v>2E-3</v>
      </c>
      <c r="U37" s="235">
        <f>VLOOKUP(tabParametros[[#Headers],[Salário Educação]],tabImpostosNacionais[],2,0)</f>
        <v>2.5000000000000001E-2</v>
      </c>
      <c r="V37" s="235">
        <f>VLOOKUP(tabParametros[[#Headers],[FGTS]],tabImpostosNacionais[],2,0)</f>
        <v>0.08</v>
      </c>
      <c r="W37" s="235">
        <f>VLOOKUP(tabParametros[[#Headers],[RAT Ajustado]],tabImpostosNacionais[],2,0)</f>
        <v>0.04</v>
      </c>
      <c r="X37" s="235">
        <f>VLOOKUP(tabParametros[[#Headers],[SEBRAE]],tabImpostosNacionais[],2,0)</f>
        <v>6.0000000000000001E-3</v>
      </c>
      <c r="Y37" s="235">
        <f t="shared" si="0"/>
        <v>8.3333333333333329E-2</v>
      </c>
      <c r="Z37" s="251">
        <f t="shared" si="1"/>
        <v>0.1111111111111111</v>
      </c>
      <c r="AA37" s="234">
        <f>VLOOKUP(tabParametros[[#This Row],[Comarca]],tabComarca[],5,0)</f>
        <v>6.4</v>
      </c>
      <c r="AB37" s="234">
        <f>IFERROR(VLOOKUP(tabParametros[[#This Row],[CCT DA CATEGORIA]],tabSindicatos[],6,0),0)</f>
        <v>29.15</v>
      </c>
      <c r="AC37" s="234">
        <f>IFERROR(VLOOKUP(tabParametros[[#This Row],[CCT DA CATEGORIA]],tabSindicatos[],7,0),0)</f>
        <v>0</v>
      </c>
      <c r="AD37" s="234" cm="1">
        <f t="array" ref="AD37">_xlfn.LET(
_xlpm.COMARCA, TRIM(UPPER(SUBSTITUTE(SUBSTITUTE(SUBSTITUTE(SUBSTITUTE(SUBSTITUTE(SUBSTITUTE(SUBSTITUTE(SUBSTITUTE(SUBSTITUTE(SUBSTITUTE(SUBSTITUTE(SUBSTITUTE(SUBSTITUTE(SUBSTITUTE(SUBSTITUTE(SUBSTITUTE(SUBSTITUTE(SUBSTITUTE(SUBSTITUTE(SUBSTITUTE(SUBSTITUTE(SUBSTITUTE(SUBSTITUTE(SUBSTITUTE(SUBSTITUTE(SUBSTITUTE(tabParametros[[#This Row],[Comarca]],"á","a"),"ã","a"),"â","a"),"é","e"),"ê","e"),"í","i"),"ó","o"),"õ","o"),"ô","o"),"ú","u"),"ç","c"),"Á","a"),"Ã","a"),"Â","a"),"É","e"),"Ê","e"),"Í","i"),"Ó","o"),"Õ","o"),"Ô","o"),"Ú","u"),"Ç","c"),"/MG","")," e ",", ")," ",""),".",""))),
_xlpm.MATRIZ_COMARCA, TRIM(UPPER(SUBSTITUTE(SUBSTITUTE(SUBSTITUTE(SUBSTITUTE(SUBSTITUTE(SUBSTITUTE(SUBSTITUTE(SUBSTITUTE(SUBSTITUTE(SUBSTITUTE(SUBSTITUTE(SUBSTITUTE(SUBSTITUTE(SUBSTITUTE(SUBSTITUTE(SUBSTITUTE(SUBSTITUTE(SUBSTITUTE(SUBSTITUTE(SUBSTITUTE(SUBSTITUTE(SUBSTITUTE(SUBSTITUTE(SUBSTITUTE(SUBSTITUTE(SUBSTITUTE(tabSindicatos[COMARCAS PAF],"á","a"),"ã","a"),"â","a"),"é","e"),"ê","e"),"í","i"),"ó","o"),"õ","o"),"ô","o"),"ú","u"),"ç","c"),"Á","a"),"Ã","a"),"Â","a"),"É","e"),"Ê","e"),"Í","i"),"Ó","o"),"Õ","o"),"Ô","o"),"Ú","u"),"Ç","c"),"/MG","")," e ",", ")," ",""),".",""))),
IFERROR(IF(_xlfn.XLOOKUP(tabParametros[[#This Row],[CCT DA CATEGORIA]],tabSindicatos[SINDICATOS],tabSindicatos[COMARCAS PAF])="",
VLOOKUP(tabParametros[[#This Row],[CCT DA CATEGORIA]],tabSindicatos[],8,0),
IF(ISNUMBER(SEARCH(TRIM(_xlpm.COMARCA),_xlfn.XLOOKUP(tabParametros[[#This Row],[CCT DA CATEGORIA]],tabSindicatos[SINDICATOS],_xlpm.MATRIZ_COMARCA),1)),VLOOKUP(tabParametros[[#This Row],[CCT DA CATEGORIA]],tabSindicatos[],8,0),0)
),0)
)</f>
        <v>51.86</v>
      </c>
      <c r="AE37" s="234">
        <f>IFERROR(VLOOKUP(tabParametros[[#This Row],[CCT DA CATEGORIA]],tabSindicatos[],9,0),0)</f>
        <v>0</v>
      </c>
      <c r="AF37" s="234">
        <f>IFERROR(VLOOKUP(tabParametros[[#This Row],[CCT DA CATEGORIA]],tabSindicatos[],10,0),0)</f>
        <v>0</v>
      </c>
      <c r="AG37" s="236">
        <f>VLOOKUP(tabParametros[[#Headers],[Seguro de Vida]],tabOutrosCustos[],3,0)</f>
        <v>3.36</v>
      </c>
      <c r="AH37" s="236">
        <f>IF(ISNUMBER(SEARCH("MOTORISTA",tabParametros[[#This Row],[Função]],1)),VLOOKUP("MOTORISTAS",tabDiarias[],2,0),IF(tabParametros[[#This Row],[Comarca]]="Belo Horizonte",VLOOKUP("LIMPEZA",tabDiarias[],2,0),0))</f>
        <v>0</v>
      </c>
      <c r="AI37" s="235">
        <f t="shared" si="2"/>
        <v>7.011766975308642E-3</v>
      </c>
      <c r="AJ37" s="237">
        <f>tabParametros[[#This Row],[FGTS]]*tabParametros[[#This Row],[Aviso Prévio Indenizado (API) e Reflexo do Aviso Prévio Indenizado]]</f>
        <v>5.609413580246914E-4</v>
      </c>
      <c r="AK37" s="237">
        <f>tabParametros[[#This Row],[FGTS]]*tabParametros[[#This Row],[Aviso Prévio Indenizado (API) e Reflexo do Aviso Prévio Indenizado]]*40%</f>
        <v>2.2437654320987658E-4</v>
      </c>
      <c r="AL37" s="235">
        <f t="shared" si="3"/>
        <v>3.5000000000000005E-3</v>
      </c>
      <c r="AM37" s="235">
        <f>tabParametros[[#This Row],[Aviso Prévio Trabalhado - APT]]*SUM(tabParametros[[#This Row],[INSS]:[SEBRAE]])</f>
        <v>1.3230000000000004E-3</v>
      </c>
      <c r="AN37" s="235">
        <f t="shared" si="4"/>
        <v>3.0577777777777773E-2</v>
      </c>
      <c r="AO37" s="235">
        <f t="shared" si="5"/>
        <v>8.3333333333333339E-4</v>
      </c>
      <c r="AP37" s="235">
        <f t="shared" si="6"/>
        <v>8.4444444444444437E-3</v>
      </c>
      <c r="AQ37" s="235">
        <f t="shared" si="7"/>
        <v>2.0277777777777777E-3</v>
      </c>
      <c r="AR37" s="235">
        <f t="shared" si="8"/>
        <v>1.7083333333333333E-4</v>
      </c>
      <c r="AS37" s="235">
        <f t="shared" si="9"/>
        <v>2.0833333333333335E-4</v>
      </c>
      <c r="AT37" s="235">
        <f t="shared" si="10"/>
        <v>1.2962962962962963E-3</v>
      </c>
      <c r="AU37" s="237">
        <f>SUM(tabParametros[[#This Row],[Ausência por Doença]:[Férias, Adicional de Férias e 13º  com empregada em gozo de Licença Maternidade]])*SUM(tabParametros[[#This Row],[INSS]:[SEBRAE]])</f>
        <v>4.5918250000000008E-3</v>
      </c>
      <c r="AV37" s="234">
        <f>IF(tabParametros[[#This Row],[Função]]="Porteiro - 220 h",SUM(tabParametros[[#This Row],[Salário Base]:[Adicional de Acúmulo de função]])/220*20*1.5,IF(ISNUMBER(SEARCH("12 x 36",tabParametros[[#This Row],[Função]],1)),SUM(tabParametros[[#This Row],[Salário Base]:[Adicional de Acúmulo de função]])/210*15.5*1.5,0))</f>
        <v>0</v>
      </c>
      <c r="AW37" s="234">
        <f>IF(tabParametros[[#This Row],[Vagas contratadas]]&gt;0,(SUM(tabParametros[[#This Row],[Salário Base]:[Adicional de Acúmulo de função]])*30%+SUM(tabParametros[[#This Row],[Vale - Alimentação]:[Seguro de Vida]]))/tabParametros[[#This Row],[Vagas contratadas]]*tabParametros[[#This Row],[Vagas suspensas]],0)</f>
        <v>0</v>
      </c>
      <c r="AX37" s="234">
        <f>SUMIF(tabUniformes[Cargo],tabParametros[[#This Row],[Função]],tabUniformes[Valor unit. Mensal])</f>
        <v>100.80916666666666</v>
      </c>
      <c r="AY37" s="281">
        <f>IF(ISNUMBER(SEARCH("AUXILIAR DE LIMPEZA - 75 H",tabParametros[[#This Row],[Função]],1)),
SUMIF(tabLimpGeral[TIPO],"Material",tabLimpGeral[VALOR UNITÁRIO P/ HORA (R$)])*75,
IF(ISNUMBER(SEARCH("AUXILIAR DE LIMPEZA - 110 H",tabParametros[[#This Row],[Função]],1)),
SUMIF(tabLimpGeral[TIPO],"Material",tabLimpGeral[VALOR UNITÁRIO P/ HORA (R$)])*110,
IF(ISNUMBER(SEARCH("AUXILIAR DE LIMPEZA - 150 H",tabParametros[[#This Row],[Função]],1)),
SUMIF(tabLimpGeral[TIPO],"Material",tabLimpGeral[VALOR UNITÁRIO P/ HORA (R$)])*150,
IF(ISNUMBER(SEARCH("AUXILIAR DE LIMPEZA - 220 H",tabParametros[[#This Row],[Função]],1)),
SUMIF(tabLimpGeral[TIPO],"Material",tabLimpGeral[VALOR UNITÁRIO P/ HORA (R$)])*220,
IF(ISNUMBER(SEARCH("AUXILIAR DE LIMPEZA - 12 x 36",tabParametros[[#This Row],[Função]],1)),
SUMIF(tabLimpGeral[TIPO],"Material",tabLimpGeral[VALOR UNITÁRIO P/ HORA (R$)])*220,
IF(ISNUMBER(SEARCH("Limpador de vidros - 220 h",tabParametros[[#This Row],[Função]],1)),
SUMIF(tabVidros[TIPO],"Material",tabVidros[VALOR UNITÁRIO P/ POSTO (R$)]),
0))))))</f>
        <v>35.518212958583888</v>
      </c>
      <c r="AZ37" s="281">
        <f>IF(ISNUMBER(SEARCH("AUXILIAR DE LIMPEZA - 75 H",tabParametros[[#This Row],[Função]],1)),
SUMIF(tabLimpGeral[TIPO],"Equipamento",tabLimpGeral[VALOR UNITÁRIO P/ HORA (R$)])*75,
IF(ISNUMBER(SEARCH("AUXILIAR DE LIMPEZA - 110 H",tabParametros[[#This Row],[Função]],1)),
SUMIF(tabLimpGeral[TIPO],"Equipamento",tabLimpGeral[VALOR UNITÁRIO P/ HORA (R$)])*110,
IF(ISNUMBER(SEARCH("AUXILIAR DE LIMPEZA - 150 H",tabParametros[[#This Row],[Função]],1)),
SUMIF(tabLimpGeral[TIPO],"Equipamento",tabLimpGeral[VALOR UNITÁRIO P/ HORA (R$)])*150,
IF(ISNUMBER(SEARCH("AUXILIAR DE LIMPEZA - 220 H",tabParametros[[#This Row],[Função]],1)),
SUMIF(tabLimpGeral[TIPO],"Equipamento",tabLimpGeral[VALOR UNITÁRIO P/ HORA (R$)])*220,
IF(ISNUMBER(SEARCH("AUXILIAR DE LIMPEZA - 12 x 36",tabParametros[[#This Row],[Função]],1)),
SUMIF(tabLimpGeral[TIPO],"Equipamento",tabLimpGeral[VALOR UNITÁRIO P/ HORA (R$)])*220,
IF(ISNUMBER(SEARCH("Limpador de vidros - 220 h",tabParametros[[#This Row],[Função]],1)),
SUMIF(tabVidros[TIPO],"Equipamento",tabVidros[VALOR UNITÁRIO P/ POSTO (R$)]),
0))))))</f>
        <v>64.529393914825576</v>
      </c>
      <c r="BA37" s="281">
        <f>IF(ISNUMBER(SEARCH("AUXILIAR DE LIMPEZA - 75 H",tabParametros[[#This Row],[Função]],1)),
SUMIF(tabLimpGeral[TIPO],"Produto",tabLimpGeral[VALOR UNITÁRIO P/ HORA (R$)])*75,
IF(ISNUMBER(SEARCH("AUXILIAR DE LIMPEZA - 110 H",tabParametros[[#This Row],[Função]],1)),
SUMIF(tabLimpGeral[TIPO],"Produto",tabLimpGeral[VALOR UNITÁRIO P/ HORA (R$)])*110,
IF(ISNUMBER(SEARCH("AUXILIAR DE LIMPEZA - 150 H",tabParametros[[#This Row],[Função]],1)),
SUMIF(tabLimpGeral[TIPO],"Produto",tabLimpGeral[VALOR UNITÁRIO P/ HORA (R$)])*150,
IF(ISNUMBER(SEARCH("AUXILIAR DE LIMPEZA - 220 H",tabParametros[[#This Row],[Função]],1)),
SUMIF(tabLimpGeral[TIPO],"Produto",tabLimpGeral[VALOR UNITÁRIO P/ HORA (R$)])*220,
IF(ISNUMBER(SEARCH("AUXILIAR DE LIMPEZA - 12 x 36",tabParametros[[#This Row],[Função]],1)),
SUMIF(tabLimpGeral[TIPO],"Produto",tabLimpGeral[VALOR UNITÁRIO P/ HORA (R$)])*220,
IF(ISNUMBER(SEARCH("Limpador de vidros - 220 h",tabParametros[[#This Row],[Função]],1)),
SUMIF(tabVidros[TIPO],"Produto",tabVidros[VALOR UNITÁRIO P/ POSTO (R$)]),
0))))))</f>
        <v>690.27153277931654</v>
      </c>
      <c r="BB37" s="281">
        <v>0</v>
      </c>
      <c r="BC37" s="236">
        <f>VLOOKUP(tabParametros[[#Headers],[Custos Indiretos]],tabOutrosCustos[],3,0)</f>
        <v>189.64880140242613</v>
      </c>
      <c r="BD37" s="236">
        <f>VLOOKUP(tabParametros[[#Headers],[Lucro]],tabOutrosCustos[],3,0)</f>
        <v>159.30499317803796</v>
      </c>
      <c r="BE37" s="235">
        <f>VLOOKUP(tabParametros[[#Headers],[COFINS]],tabImpostosNacionais[],2,0)</f>
        <v>7.5999999999999998E-2</v>
      </c>
      <c r="BF37" s="235">
        <f>VLOOKUP(tabParametros[[#Headers],[PIS]],tabImpostosNacionais[],2,0)</f>
        <v>1.6500000000000001E-2</v>
      </c>
      <c r="BG37" s="235">
        <f>VLOOKUP(tabParametros[[#This Row],[Comarca]],tabComarca[],4,0)</f>
        <v>0.05</v>
      </c>
      <c r="BH37" s="238">
        <f>IFERROR(VLOOKUP(tabParametros[[#This Row],[CCT DA CATEGORIA]],tabSindicatos[],11,0),"")</f>
        <v>45658</v>
      </c>
      <c r="BI37" s="289" t="str">
        <f>IFERROR(VLOOKUP(tabParametros[[#This Row],[CCT DA CATEGORIA]],tabSindicatos[],12,0),"")</f>
        <v>-</v>
      </c>
      <c r="BJ37" s="293" t="str">
        <f>IFERROR(VLOOKUP(tabParametros[[#This Row],[CCT DA CATEGORIA]],tabSindicatos[],13,0),"")</f>
        <v>-</v>
      </c>
    </row>
    <row r="38" spans="1:62" x14ac:dyDescent="0.25">
      <c r="A38" s="233" t="s">
        <v>1378</v>
      </c>
      <c r="B38" s="198" t="s">
        <v>38</v>
      </c>
      <c r="C38" s="198" t="s">
        <v>1245</v>
      </c>
      <c r="D38" s="198" t="str">
        <f>VLOOKUP(tabParametros[[#This Row],[Código do Posto]],tabPostos[],4,0)</f>
        <v>Fethemg Interior</v>
      </c>
      <c r="E38" s="289" t="str">
        <f>VLOOKUP(tabParametros[[#This Row],[Código do Posto]],tabPostos[],5,0)</f>
        <v>Limpeza</v>
      </c>
      <c r="F38" s="289" t="str">
        <f>VLOOKUP(tabParametros[[#This Row],[Código do Posto]],tabPostos[],6,0)</f>
        <v>PGJ</v>
      </c>
      <c r="G38" s="289">
        <f>VLOOKUP(tabParametros[[#This Row],[Código do Posto]],tabPostos[],7,0)</f>
        <v>1</v>
      </c>
      <c r="H38" s="289">
        <f>VLOOKUP(tabParametros[[#This Row],[Código do Posto]],tabPostos[],8,0)</f>
        <v>0</v>
      </c>
      <c r="I38" s="234">
        <f>VLOOKUP(tabParametros[[#This Row],[Código do Posto]],tabPostos[],9,0)</f>
        <v>1596.28</v>
      </c>
      <c r="J38" s="234">
        <f>IF(ISNUMBER(SEARCH("Eletricista",tabParametros[[#This Row],[Função]],1)),0.3*tabParametros[[#This Row],[Salário Base]],0)</f>
        <v>0</v>
      </c>
      <c r="K38" s="234">
        <f>IF(OR(ISNUMBER(SEARCH("Bombeiro Hidraulico",tabParametros[[#This Row],[Função]],1)),ISNUMBER(SEARCH("Jardineiro",tabParametros[[#This Row],[Função]],1)),ISNUMBER(SEARCH("Lavador de Veiculos",tabParametros[[#This Row],[Função]],1)),ISNUMBER(SEARCH("Marceneiro",tabParametros[[#This Row],[Função]],1)),ISNUMBER(SEARCH("Pintor",tabParametros[[#This Row],[Função]],1))),0.2*'BASE GERAL'!$R$4,0)</f>
        <v>0</v>
      </c>
      <c r="L38" s="234">
        <f>IF(AND(ISNUMBER(SEARCH("Noturno",tabParametros[[#This Row],[Função]],1)),tabParametros[[#This Row],[Comarca]]&lt;&gt;"Juiz de Fora"),tabParametros[[#This Row],[Salário Base]]/210*0.39*7*15.5,IF(ISNUMBER(SEARCH("Noturno",tabParametros[[#This Row],[Função]],1)),tabParametros[[#This Row],[Salário Base]]/210*0.2*8*15.5,0))</f>
        <v>0</v>
      </c>
      <c r="M38" s="234">
        <f>IF(ISNUMBER(SEARCH("Motorista II",tabParametros[[#This Row],[Função]],1)),0.25*tabParametros[[#This Row],[Salário Base]],0)</f>
        <v>0</v>
      </c>
      <c r="N38" s="250">
        <v>0</v>
      </c>
      <c r="O38" s="234">
        <f>IF(ISNUMBER(SEARCH("TECNOLOGIA DA INFORMACAO",tabParametros[[#This Row],[Função]],1)),0.0201*tabParametros[[#This Row],[Salário Base]],0)</f>
        <v>0</v>
      </c>
      <c r="P38" s="250" cm="1">
        <f t="array" ref="P38">_xlfn.IFS(
ISNUMBER(SEARCH("Auxiliar de Limpeza - 75 h",tabParametros[[#This Row],[Função]],1)),tabParametros[[#This Row],[Salário Base]]/75*0.75*30*0.12,
ISNUMBER(SEARCH("Auxiliar de Limpeza - 110 h",tabParametros[[#This Row],[Função]],1)),tabParametros[[#This Row],[Salário Base]]/110*1*30*0.12,
ISNUMBER(SEARCH("Auxiliar de Limpeza - 150 h",tabParametros[[#This Row],[Função]],1)),tabParametros[[#This Row],[Salário Base]]/150*1.5*30*0.12,
ISNUMBER(SEARCH("Auxiliar de Limpeza - 220 h",tabParametros[[#This Row],[Função]],1)),tabParametros[[#This Row],[Salário Base]]/220*2*30*0.12,
ISNUMBER(SEARCH("Auxiliar de Limpeza - 12 x 36",tabParametros[[#This Row],[Função]],1)),tabParametros[[#This Row],[Salário Base]]/220*2*30*0.12,
ISNUMBER(SEARCH("Auxiliar de Limpeza - 55 h",tabParametros[[#This Row],[Função]],1))=FALSE,0)</f>
        <v>52.241890909090905</v>
      </c>
      <c r="Q38" s="235">
        <f>VLOOKUP(tabParametros[[#Headers],[INSS]],tabImpostosNacionais[],2,0)</f>
        <v>0.2</v>
      </c>
      <c r="R38" s="235">
        <f>VLOOKUP(tabParametros[[#Headers],[SESI OU SESC]],tabImpostosNacionais[],2,0)</f>
        <v>1.4999999999999999E-2</v>
      </c>
      <c r="S38" s="235">
        <f>VLOOKUP(tabParametros[[#Headers],[SENAI OU SENAC]],tabImpostosNacionais[],2,0)</f>
        <v>0.01</v>
      </c>
      <c r="T38" s="235">
        <f>VLOOKUP(tabParametros[[#Headers],[INCRA]],tabImpostosNacionais[],2,0)</f>
        <v>2E-3</v>
      </c>
      <c r="U38" s="235">
        <f>VLOOKUP(tabParametros[[#Headers],[Salário Educação]],tabImpostosNacionais[],2,0)</f>
        <v>2.5000000000000001E-2</v>
      </c>
      <c r="V38" s="235">
        <f>VLOOKUP(tabParametros[[#Headers],[FGTS]],tabImpostosNacionais[],2,0)</f>
        <v>0.08</v>
      </c>
      <c r="W38" s="235">
        <f>VLOOKUP(tabParametros[[#Headers],[RAT Ajustado]],tabImpostosNacionais[],2,0)</f>
        <v>0.04</v>
      </c>
      <c r="X38" s="235">
        <f>VLOOKUP(tabParametros[[#Headers],[SEBRAE]],tabImpostosNacionais[],2,0)</f>
        <v>6.0000000000000001E-3</v>
      </c>
      <c r="Y38" s="235">
        <f t="shared" si="0"/>
        <v>8.3333333333333329E-2</v>
      </c>
      <c r="Z38" s="251">
        <f t="shared" si="1"/>
        <v>0.1111111111111111</v>
      </c>
      <c r="AA38" s="234">
        <f>VLOOKUP(tabParametros[[#This Row],[Comarca]],tabComarca[],5,0)</f>
        <v>6.4</v>
      </c>
      <c r="AB38" s="234">
        <f>IFERROR(VLOOKUP(tabParametros[[#This Row],[CCT DA CATEGORIA]],tabSindicatos[],6,0),0)</f>
        <v>29.15</v>
      </c>
      <c r="AC38" s="234">
        <f>IFERROR(VLOOKUP(tabParametros[[#This Row],[CCT DA CATEGORIA]],tabSindicatos[],7,0),0)</f>
        <v>0</v>
      </c>
      <c r="AD38" s="234" cm="1">
        <f t="array" ref="AD38">_xlfn.LET(
_xlpm.COMARCA, TRIM(UPPER(SUBSTITUTE(SUBSTITUTE(SUBSTITUTE(SUBSTITUTE(SUBSTITUTE(SUBSTITUTE(SUBSTITUTE(SUBSTITUTE(SUBSTITUTE(SUBSTITUTE(SUBSTITUTE(SUBSTITUTE(SUBSTITUTE(SUBSTITUTE(SUBSTITUTE(SUBSTITUTE(SUBSTITUTE(SUBSTITUTE(SUBSTITUTE(SUBSTITUTE(SUBSTITUTE(SUBSTITUTE(SUBSTITUTE(SUBSTITUTE(SUBSTITUTE(SUBSTITUTE(tabParametros[[#This Row],[Comarca]],"á","a"),"ã","a"),"â","a"),"é","e"),"ê","e"),"í","i"),"ó","o"),"õ","o"),"ô","o"),"ú","u"),"ç","c"),"Á","a"),"Ã","a"),"Â","a"),"É","e"),"Ê","e"),"Í","i"),"Ó","o"),"Õ","o"),"Ô","o"),"Ú","u"),"Ç","c"),"/MG","")," e ",", ")," ",""),".",""))),
_xlpm.MATRIZ_COMARCA, TRIM(UPPER(SUBSTITUTE(SUBSTITUTE(SUBSTITUTE(SUBSTITUTE(SUBSTITUTE(SUBSTITUTE(SUBSTITUTE(SUBSTITUTE(SUBSTITUTE(SUBSTITUTE(SUBSTITUTE(SUBSTITUTE(SUBSTITUTE(SUBSTITUTE(SUBSTITUTE(SUBSTITUTE(SUBSTITUTE(SUBSTITUTE(SUBSTITUTE(SUBSTITUTE(SUBSTITUTE(SUBSTITUTE(SUBSTITUTE(SUBSTITUTE(SUBSTITUTE(SUBSTITUTE(tabSindicatos[COMARCAS PAF],"á","a"),"ã","a"),"â","a"),"é","e"),"ê","e"),"í","i"),"ó","o"),"õ","o"),"ô","o"),"ú","u"),"ç","c"),"Á","a"),"Ã","a"),"Â","a"),"É","e"),"Ê","e"),"Í","i"),"Ó","o"),"Õ","o"),"Ô","o"),"Ú","u"),"Ç","c"),"/MG","")," e ",", ")," ",""),".",""))),
IFERROR(IF(_xlfn.XLOOKUP(tabParametros[[#This Row],[CCT DA CATEGORIA]],tabSindicatos[SINDICATOS],tabSindicatos[COMARCAS PAF])="",
VLOOKUP(tabParametros[[#This Row],[CCT DA CATEGORIA]],tabSindicatos[],8,0),
IF(ISNUMBER(SEARCH(TRIM(_xlpm.COMARCA),_xlfn.XLOOKUP(tabParametros[[#This Row],[CCT DA CATEGORIA]],tabSindicatos[SINDICATOS],_xlpm.MATRIZ_COMARCA),1)),VLOOKUP(tabParametros[[#This Row],[CCT DA CATEGORIA]],tabSindicatos[],8,0),0)
),0)
)</f>
        <v>0</v>
      </c>
      <c r="AE38" s="234">
        <f>IFERROR(VLOOKUP(tabParametros[[#This Row],[CCT DA CATEGORIA]],tabSindicatos[],9,0),0)</f>
        <v>15.07</v>
      </c>
      <c r="AF38" s="234">
        <f>IFERROR(VLOOKUP(tabParametros[[#This Row],[CCT DA CATEGORIA]],tabSindicatos[],10,0),0)</f>
        <v>0</v>
      </c>
      <c r="AG38" s="236">
        <f>VLOOKUP(tabParametros[[#Headers],[Seguro de Vida]],tabOutrosCustos[],3,0)</f>
        <v>3.36</v>
      </c>
      <c r="AH38" s="236">
        <f>IF(ISNUMBER(SEARCH("MOTORISTA",tabParametros[[#This Row],[Função]],1)),VLOOKUP("MOTORISTAS",tabDiarias[],2,0),IF(tabParametros[[#This Row],[Comarca]]="Belo Horizonte",VLOOKUP("LIMPEZA",tabDiarias[],2,0),0))</f>
        <v>0</v>
      </c>
      <c r="AI38" s="235">
        <f t="shared" si="2"/>
        <v>7.011766975308642E-3</v>
      </c>
      <c r="AJ38" s="237">
        <f>tabParametros[[#This Row],[FGTS]]*tabParametros[[#This Row],[Aviso Prévio Indenizado (API) e Reflexo do Aviso Prévio Indenizado]]</f>
        <v>5.609413580246914E-4</v>
      </c>
      <c r="AK38" s="237">
        <f>tabParametros[[#This Row],[FGTS]]*tabParametros[[#This Row],[Aviso Prévio Indenizado (API) e Reflexo do Aviso Prévio Indenizado]]*40%</f>
        <v>2.2437654320987658E-4</v>
      </c>
      <c r="AL38" s="235">
        <f t="shared" si="3"/>
        <v>3.5000000000000005E-3</v>
      </c>
      <c r="AM38" s="235">
        <f>tabParametros[[#This Row],[Aviso Prévio Trabalhado - APT]]*SUM(tabParametros[[#This Row],[INSS]:[SEBRAE]])</f>
        <v>1.3230000000000004E-3</v>
      </c>
      <c r="AN38" s="235">
        <f t="shared" si="4"/>
        <v>3.0577777777777773E-2</v>
      </c>
      <c r="AO38" s="235">
        <f t="shared" si="5"/>
        <v>8.3333333333333339E-4</v>
      </c>
      <c r="AP38" s="235">
        <f t="shared" si="6"/>
        <v>8.4444444444444437E-3</v>
      </c>
      <c r="AQ38" s="235">
        <f t="shared" si="7"/>
        <v>2.0277777777777777E-3</v>
      </c>
      <c r="AR38" s="235">
        <f t="shared" si="8"/>
        <v>1.7083333333333333E-4</v>
      </c>
      <c r="AS38" s="235">
        <f t="shared" si="9"/>
        <v>2.0833333333333335E-4</v>
      </c>
      <c r="AT38" s="235">
        <f t="shared" si="10"/>
        <v>1.2962962962962963E-3</v>
      </c>
      <c r="AU38" s="237">
        <f>SUM(tabParametros[[#This Row],[Ausência por Doença]:[Férias, Adicional de Férias e 13º  com empregada em gozo de Licença Maternidade]])*SUM(tabParametros[[#This Row],[INSS]:[SEBRAE]])</f>
        <v>4.5918250000000008E-3</v>
      </c>
      <c r="AV38" s="234">
        <f>IF(tabParametros[[#This Row],[Função]]="Porteiro - 220 h",SUM(tabParametros[[#This Row],[Salário Base]:[Adicional de Acúmulo de função]])/220*20*1.5,IF(ISNUMBER(SEARCH("12 x 36",tabParametros[[#This Row],[Função]],1)),SUM(tabParametros[[#This Row],[Salário Base]:[Adicional de Acúmulo de função]])/210*15.5*1.5,0))</f>
        <v>0</v>
      </c>
      <c r="AW38" s="234">
        <f>IF(tabParametros[[#This Row],[Vagas contratadas]]&gt;0,(SUM(tabParametros[[#This Row],[Salário Base]:[Adicional de Acúmulo de função]])*30%+SUM(tabParametros[[#This Row],[Vale - Alimentação]:[Seguro de Vida]]))/tabParametros[[#This Row],[Vagas contratadas]]*tabParametros[[#This Row],[Vagas suspensas]],0)</f>
        <v>0</v>
      </c>
      <c r="AX38" s="234">
        <f>SUMIF(tabUniformes[Cargo],tabParametros[[#This Row],[Função]],tabUniformes[Valor unit. Mensal])</f>
        <v>100.80916666666666</v>
      </c>
      <c r="AY38" s="281">
        <f>IF(ISNUMBER(SEARCH("AUXILIAR DE LIMPEZA - 75 H",tabParametros[[#This Row],[Função]],1)),
SUMIF(tabLimpGeral[TIPO],"Material",tabLimpGeral[VALOR UNITÁRIO P/ HORA (R$)])*75,
IF(ISNUMBER(SEARCH("AUXILIAR DE LIMPEZA - 110 H",tabParametros[[#This Row],[Função]],1)),
SUMIF(tabLimpGeral[TIPO],"Material",tabLimpGeral[VALOR UNITÁRIO P/ HORA (R$)])*110,
IF(ISNUMBER(SEARCH("AUXILIAR DE LIMPEZA - 150 H",tabParametros[[#This Row],[Função]],1)),
SUMIF(tabLimpGeral[TIPO],"Material",tabLimpGeral[VALOR UNITÁRIO P/ HORA (R$)])*150,
IF(ISNUMBER(SEARCH("AUXILIAR DE LIMPEZA - 220 H",tabParametros[[#This Row],[Função]],1)),
SUMIF(tabLimpGeral[TIPO],"Material",tabLimpGeral[VALOR UNITÁRIO P/ HORA (R$)])*220,
IF(ISNUMBER(SEARCH("AUXILIAR DE LIMPEZA - 12 x 36",tabParametros[[#This Row],[Função]],1)),
SUMIF(tabLimpGeral[TIPO],"Material",tabLimpGeral[VALOR UNITÁRIO P/ HORA (R$)])*220,
IF(ISNUMBER(SEARCH("Limpador de vidros - 220 h",tabParametros[[#This Row],[Função]],1)),
SUMIF(tabVidros[TIPO],"Material",tabVidros[VALOR UNITÁRIO P/ POSTO (R$)]),
0))))))</f>
        <v>35.518212958583888</v>
      </c>
      <c r="AZ38" s="281">
        <f>IF(ISNUMBER(SEARCH("AUXILIAR DE LIMPEZA - 75 H",tabParametros[[#This Row],[Função]],1)),
SUMIF(tabLimpGeral[TIPO],"Equipamento",tabLimpGeral[VALOR UNITÁRIO P/ HORA (R$)])*75,
IF(ISNUMBER(SEARCH("AUXILIAR DE LIMPEZA - 110 H",tabParametros[[#This Row],[Função]],1)),
SUMIF(tabLimpGeral[TIPO],"Equipamento",tabLimpGeral[VALOR UNITÁRIO P/ HORA (R$)])*110,
IF(ISNUMBER(SEARCH("AUXILIAR DE LIMPEZA - 150 H",tabParametros[[#This Row],[Função]],1)),
SUMIF(tabLimpGeral[TIPO],"Equipamento",tabLimpGeral[VALOR UNITÁRIO P/ HORA (R$)])*150,
IF(ISNUMBER(SEARCH("AUXILIAR DE LIMPEZA - 220 H",tabParametros[[#This Row],[Função]],1)),
SUMIF(tabLimpGeral[TIPO],"Equipamento",tabLimpGeral[VALOR UNITÁRIO P/ HORA (R$)])*220,
IF(ISNUMBER(SEARCH("AUXILIAR DE LIMPEZA - 12 x 36",tabParametros[[#This Row],[Função]],1)),
SUMIF(tabLimpGeral[TIPO],"Equipamento",tabLimpGeral[VALOR UNITÁRIO P/ HORA (R$)])*220,
IF(ISNUMBER(SEARCH("Limpador de vidros - 220 h",tabParametros[[#This Row],[Função]],1)),
SUMIF(tabVidros[TIPO],"Equipamento",tabVidros[VALOR UNITÁRIO P/ POSTO (R$)]),
0))))))</f>
        <v>64.529393914825576</v>
      </c>
      <c r="BA38" s="281">
        <f>IF(ISNUMBER(SEARCH("AUXILIAR DE LIMPEZA - 75 H",tabParametros[[#This Row],[Função]],1)),
SUMIF(tabLimpGeral[TIPO],"Produto",tabLimpGeral[VALOR UNITÁRIO P/ HORA (R$)])*75,
IF(ISNUMBER(SEARCH("AUXILIAR DE LIMPEZA - 110 H",tabParametros[[#This Row],[Função]],1)),
SUMIF(tabLimpGeral[TIPO],"Produto",tabLimpGeral[VALOR UNITÁRIO P/ HORA (R$)])*110,
IF(ISNUMBER(SEARCH("AUXILIAR DE LIMPEZA - 150 H",tabParametros[[#This Row],[Função]],1)),
SUMIF(tabLimpGeral[TIPO],"Produto",tabLimpGeral[VALOR UNITÁRIO P/ HORA (R$)])*150,
IF(ISNUMBER(SEARCH("AUXILIAR DE LIMPEZA - 220 H",tabParametros[[#This Row],[Função]],1)),
SUMIF(tabLimpGeral[TIPO],"Produto",tabLimpGeral[VALOR UNITÁRIO P/ HORA (R$)])*220,
IF(ISNUMBER(SEARCH("AUXILIAR DE LIMPEZA - 12 x 36",tabParametros[[#This Row],[Função]],1)),
SUMIF(tabLimpGeral[TIPO],"Produto",tabLimpGeral[VALOR UNITÁRIO P/ HORA (R$)])*220,
IF(ISNUMBER(SEARCH("Limpador de vidros - 220 h",tabParametros[[#This Row],[Função]],1)),
SUMIF(tabVidros[TIPO],"Produto",tabVidros[VALOR UNITÁRIO P/ POSTO (R$)]),
0))))))</f>
        <v>690.27153277931654</v>
      </c>
      <c r="BB38" s="281">
        <v>0</v>
      </c>
      <c r="BC38" s="236">
        <f>VLOOKUP(tabParametros[[#Headers],[Custos Indiretos]],tabOutrosCustos[],3,0)</f>
        <v>189.64880140242613</v>
      </c>
      <c r="BD38" s="236">
        <f>VLOOKUP(tabParametros[[#Headers],[Lucro]],tabOutrosCustos[],3,0)</f>
        <v>159.30499317803796</v>
      </c>
      <c r="BE38" s="235">
        <f>VLOOKUP(tabParametros[[#Headers],[COFINS]],tabImpostosNacionais[],2,0)</f>
        <v>7.5999999999999998E-2</v>
      </c>
      <c r="BF38" s="235">
        <f>VLOOKUP(tabParametros[[#Headers],[PIS]],tabImpostosNacionais[],2,0)</f>
        <v>1.6500000000000001E-2</v>
      </c>
      <c r="BG38" s="235">
        <f>VLOOKUP(tabParametros[[#This Row],[Comarca]],tabComarca[],4,0)</f>
        <v>0.03</v>
      </c>
      <c r="BH38" s="238">
        <f>IFERROR(VLOOKUP(tabParametros[[#This Row],[CCT DA CATEGORIA]],tabSindicatos[],11,0),"")</f>
        <v>45658</v>
      </c>
      <c r="BI38" s="289" t="str">
        <f>IFERROR(VLOOKUP(tabParametros[[#This Row],[CCT DA CATEGORIA]],tabSindicatos[],12,0),"")</f>
        <v>-</v>
      </c>
      <c r="BJ38" s="293" t="str">
        <f>IFERROR(VLOOKUP(tabParametros[[#This Row],[CCT DA CATEGORIA]],tabSindicatos[],13,0),"")</f>
        <v>-</v>
      </c>
    </row>
    <row r="39" spans="1:62" x14ac:dyDescent="0.25">
      <c r="A39" s="233" t="s">
        <v>1379</v>
      </c>
      <c r="B39" s="198" t="s">
        <v>39</v>
      </c>
      <c r="C39" s="198" t="s">
        <v>1247</v>
      </c>
      <c r="D39" s="198" t="str">
        <f>VLOOKUP(tabParametros[[#This Row],[Código do Posto]],tabPostos[],4,0)</f>
        <v>Regiao de Sao Lourenco</v>
      </c>
      <c r="E39" s="289" t="str">
        <f>VLOOKUP(tabParametros[[#This Row],[Código do Posto]],tabPostos[],5,0)</f>
        <v>Limpeza</v>
      </c>
      <c r="F39" s="289" t="str">
        <f>VLOOKUP(tabParametros[[#This Row],[Código do Posto]],tabPostos[],6,0)</f>
        <v>PGJ</v>
      </c>
      <c r="G39" s="289">
        <f>VLOOKUP(tabParametros[[#This Row],[Código do Posto]],tabPostos[],7,0)</f>
        <v>1</v>
      </c>
      <c r="H39" s="289">
        <f>VLOOKUP(tabParametros[[#This Row],[Código do Posto]],tabPostos[],8,0)</f>
        <v>0</v>
      </c>
      <c r="I39" s="234">
        <f>VLOOKUP(tabParametros[[#This Row],[Código do Posto]],tabPostos[],9,0)</f>
        <v>544.17999999999995</v>
      </c>
      <c r="J39" s="234">
        <f>IF(ISNUMBER(SEARCH("Eletricista",tabParametros[[#This Row],[Função]],1)),0.3*tabParametros[[#This Row],[Salário Base]],0)</f>
        <v>0</v>
      </c>
      <c r="K39" s="234">
        <f>IF(OR(ISNUMBER(SEARCH("Bombeiro Hidraulico",tabParametros[[#This Row],[Função]],1)),ISNUMBER(SEARCH("Jardineiro",tabParametros[[#This Row],[Função]],1)),ISNUMBER(SEARCH("Lavador de Veiculos",tabParametros[[#This Row],[Função]],1)),ISNUMBER(SEARCH("Marceneiro",tabParametros[[#This Row],[Função]],1)),ISNUMBER(SEARCH("Pintor",tabParametros[[#This Row],[Função]],1))),0.2*'BASE GERAL'!$R$4,0)</f>
        <v>0</v>
      </c>
      <c r="L39" s="234">
        <f>IF(AND(ISNUMBER(SEARCH("Noturno",tabParametros[[#This Row],[Função]],1)),tabParametros[[#This Row],[Comarca]]&lt;&gt;"Juiz de Fora"),tabParametros[[#This Row],[Salário Base]]/210*0.39*7*15.5,IF(ISNUMBER(SEARCH("Noturno",tabParametros[[#This Row],[Função]],1)),tabParametros[[#This Row],[Salário Base]]/210*0.2*8*15.5,0))</f>
        <v>0</v>
      </c>
      <c r="M39" s="234">
        <f>IF(ISNUMBER(SEARCH("Motorista II",tabParametros[[#This Row],[Função]],1)),0.25*tabParametros[[#This Row],[Salário Base]],0)</f>
        <v>0</v>
      </c>
      <c r="N39" s="250">
        <v>0</v>
      </c>
      <c r="O39" s="234">
        <f>IF(ISNUMBER(SEARCH("TECNOLOGIA DA INFORMACAO",tabParametros[[#This Row],[Função]],1)),0.0201*tabParametros[[#This Row],[Salário Base]],0)</f>
        <v>0</v>
      </c>
      <c r="P39" s="250" cm="1">
        <f t="array" ref="P39">_xlfn.IFS(
ISNUMBER(SEARCH("Auxiliar de Limpeza - 75 h",tabParametros[[#This Row],[Função]],1)),tabParametros[[#This Row],[Salário Base]]/75*0.75*30*0.12,
ISNUMBER(SEARCH("Auxiliar de Limpeza - 110 h",tabParametros[[#This Row],[Função]],1)),tabParametros[[#This Row],[Salário Base]]/110*1*30*0.12,
ISNUMBER(SEARCH("Auxiliar de Limpeza - 150 h",tabParametros[[#This Row],[Função]],1)),tabParametros[[#This Row],[Salário Base]]/150*1.5*30*0.12,
ISNUMBER(SEARCH("Auxiliar de Limpeza - 220 h",tabParametros[[#This Row],[Função]],1)),tabParametros[[#This Row],[Salário Base]]/220*2*30*0.12,
ISNUMBER(SEARCH("Auxiliar de Limpeza - 12 x 36",tabParametros[[#This Row],[Função]],1)),tabParametros[[#This Row],[Salário Base]]/220*2*30*0.12,
ISNUMBER(SEARCH("Auxiliar de Limpeza - 55 h",tabParametros[[#This Row],[Função]],1))=FALSE,0)</f>
        <v>19.590479999999999</v>
      </c>
      <c r="Q39" s="235">
        <f>VLOOKUP(tabParametros[[#Headers],[INSS]],tabImpostosNacionais[],2,0)</f>
        <v>0.2</v>
      </c>
      <c r="R39" s="235">
        <f>VLOOKUP(tabParametros[[#Headers],[SESI OU SESC]],tabImpostosNacionais[],2,0)</f>
        <v>1.4999999999999999E-2</v>
      </c>
      <c r="S39" s="235">
        <f>VLOOKUP(tabParametros[[#Headers],[SENAI OU SENAC]],tabImpostosNacionais[],2,0)</f>
        <v>0.01</v>
      </c>
      <c r="T39" s="235">
        <f>VLOOKUP(tabParametros[[#Headers],[INCRA]],tabImpostosNacionais[],2,0)</f>
        <v>2E-3</v>
      </c>
      <c r="U39" s="235">
        <f>VLOOKUP(tabParametros[[#Headers],[Salário Educação]],tabImpostosNacionais[],2,0)</f>
        <v>2.5000000000000001E-2</v>
      </c>
      <c r="V39" s="235">
        <f>VLOOKUP(tabParametros[[#Headers],[FGTS]],tabImpostosNacionais[],2,0)</f>
        <v>0.08</v>
      </c>
      <c r="W39" s="235">
        <f>VLOOKUP(tabParametros[[#Headers],[RAT Ajustado]],tabImpostosNacionais[],2,0)</f>
        <v>0.04</v>
      </c>
      <c r="X39" s="235">
        <f>VLOOKUP(tabParametros[[#Headers],[SEBRAE]],tabImpostosNacionais[],2,0)</f>
        <v>6.0000000000000001E-3</v>
      </c>
      <c r="Y39" s="235">
        <f t="shared" si="0"/>
        <v>8.3333333333333329E-2</v>
      </c>
      <c r="Z39" s="251">
        <f t="shared" si="1"/>
        <v>0.1111111111111111</v>
      </c>
      <c r="AA39" s="234">
        <f>VLOOKUP(tabParametros[[#This Row],[Comarca]],tabComarca[],5,0)</f>
        <v>6.4</v>
      </c>
      <c r="AB39" s="234">
        <f>IFERROR(VLOOKUP(tabParametros[[#This Row],[CCT DA CATEGORIA]],tabSindicatos[],6,0),0)</f>
        <v>29.15</v>
      </c>
      <c r="AC39" s="234">
        <f>IFERROR(VLOOKUP(tabParametros[[#This Row],[CCT DA CATEGORIA]],tabSindicatos[],7,0),0)</f>
        <v>0</v>
      </c>
      <c r="AD39" s="234" cm="1">
        <f t="array" ref="AD39">_xlfn.LET(
_xlpm.COMARCA, TRIM(UPPER(SUBSTITUTE(SUBSTITUTE(SUBSTITUTE(SUBSTITUTE(SUBSTITUTE(SUBSTITUTE(SUBSTITUTE(SUBSTITUTE(SUBSTITUTE(SUBSTITUTE(SUBSTITUTE(SUBSTITUTE(SUBSTITUTE(SUBSTITUTE(SUBSTITUTE(SUBSTITUTE(SUBSTITUTE(SUBSTITUTE(SUBSTITUTE(SUBSTITUTE(SUBSTITUTE(SUBSTITUTE(SUBSTITUTE(SUBSTITUTE(SUBSTITUTE(SUBSTITUTE(tabParametros[[#This Row],[Comarca]],"á","a"),"ã","a"),"â","a"),"é","e"),"ê","e"),"í","i"),"ó","o"),"õ","o"),"ô","o"),"ú","u"),"ç","c"),"Á","a"),"Ã","a"),"Â","a"),"É","e"),"Ê","e"),"Í","i"),"Ó","o"),"Õ","o"),"Ô","o"),"Ú","u"),"Ç","c"),"/MG","")," e ",", ")," ",""),".",""))),
_xlpm.MATRIZ_COMARCA, TRIM(UPPER(SUBSTITUTE(SUBSTITUTE(SUBSTITUTE(SUBSTITUTE(SUBSTITUTE(SUBSTITUTE(SUBSTITUTE(SUBSTITUTE(SUBSTITUTE(SUBSTITUTE(SUBSTITUTE(SUBSTITUTE(SUBSTITUTE(SUBSTITUTE(SUBSTITUTE(SUBSTITUTE(SUBSTITUTE(SUBSTITUTE(SUBSTITUTE(SUBSTITUTE(SUBSTITUTE(SUBSTITUTE(SUBSTITUTE(SUBSTITUTE(SUBSTITUTE(SUBSTITUTE(tabSindicatos[COMARCAS PAF],"á","a"),"ã","a"),"â","a"),"é","e"),"ê","e"),"í","i"),"ó","o"),"õ","o"),"ô","o"),"ú","u"),"ç","c"),"Á","a"),"Ã","a"),"Â","a"),"É","e"),"Ê","e"),"Í","i"),"Ó","o"),"Õ","o"),"Ô","o"),"Ú","u"),"Ç","c"),"/MG","")," e ",", ")," ",""),".",""))),
IFERROR(IF(_xlfn.XLOOKUP(tabParametros[[#This Row],[CCT DA CATEGORIA]],tabSindicatos[SINDICATOS],tabSindicatos[COMARCAS PAF])="",
VLOOKUP(tabParametros[[#This Row],[CCT DA CATEGORIA]],tabSindicatos[],8,0),
IF(ISNUMBER(SEARCH(TRIM(_xlpm.COMARCA),_xlfn.XLOOKUP(tabParametros[[#This Row],[CCT DA CATEGORIA]],tabSindicatos[SINDICATOS],_xlpm.MATRIZ_COMARCA),1)),VLOOKUP(tabParametros[[#This Row],[CCT DA CATEGORIA]],tabSindicatos[],8,0),0)
),0)
)</f>
        <v>0</v>
      </c>
      <c r="AE39" s="234">
        <f>IFERROR(VLOOKUP(tabParametros[[#This Row],[CCT DA CATEGORIA]],tabSindicatos[],9,0),0)</f>
        <v>0</v>
      </c>
      <c r="AF39" s="234">
        <f>IFERROR(VLOOKUP(tabParametros[[#This Row],[CCT DA CATEGORIA]],tabSindicatos[],10,0),0)</f>
        <v>0</v>
      </c>
      <c r="AG39" s="236">
        <f>VLOOKUP(tabParametros[[#Headers],[Seguro de Vida]],tabOutrosCustos[],3,0)</f>
        <v>3.36</v>
      </c>
      <c r="AH39" s="236">
        <f>IF(ISNUMBER(SEARCH("MOTORISTA",tabParametros[[#This Row],[Função]],1)),VLOOKUP("MOTORISTAS",tabDiarias[],2,0),IF(tabParametros[[#This Row],[Comarca]]="Belo Horizonte",VLOOKUP("LIMPEZA",tabDiarias[],2,0),0))</f>
        <v>0</v>
      </c>
      <c r="AI39" s="235">
        <f t="shared" si="2"/>
        <v>7.011766975308642E-3</v>
      </c>
      <c r="AJ39" s="237">
        <f>tabParametros[[#This Row],[FGTS]]*tabParametros[[#This Row],[Aviso Prévio Indenizado (API) e Reflexo do Aviso Prévio Indenizado]]</f>
        <v>5.609413580246914E-4</v>
      </c>
      <c r="AK39" s="237">
        <f>tabParametros[[#This Row],[FGTS]]*tabParametros[[#This Row],[Aviso Prévio Indenizado (API) e Reflexo do Aviso Prévio Indenizado]]*40%</f>
        <v>2.2437654320987658E-4</v>
      </c>
      <c r="AL39" s="235">
        <f t="shared" si="3"/>
        <v>3.5000000000000005E-3</v>
      </c>
      <c r="AM39" s="235">
        <f>tabParametros[[#This Row],[Aviso Prévio Trabalhado - APT]]*SUM(tabParametros[[#This Row],[INSS]:[SEBRAE]])</f>
        <v>1.3230000000000004E-3</v>
      </c>
      <c r="AN39" s="235">
        <f t="shared" si="4"/>
        <v>3.0577777777777773E-2</v>
      </c>
      <c r="AO39" s="235">
        <f t="shared" si="5"/>
        <v>8.3333333333333339E-4</v>
      </c>
      <c r="AP39" s="235">
        <f t="shared" si="6"/>
        <v>8.4444444444444437E-3</v>
      </c>
      <c r="AQ39" s="235">
        <f t="shared" si="7"/>
        <v>2.0277777777777777E-3</v>
      </c>
      <c r="AR39" s="235">
        <f t="shared" si="8"/>
        <v>1.7083333333333333E-4</v>
      </c>
      <c r="AS39" s="235">
        <f t="shared" si="9"/>
        <v>2.0833333333333335E-4</v>
      </c>
      <c r="AT39" s="235">
        <f t="shared" si="10"/>
        <v>1.2962962962962963E-3</v>
      </c>
      <c r="AU39" s="237">
        <f>SUM(tabParametros[[#This Row],[Ausência por Doença]:[Férias, Adicional de Férias e 13º  com empregada em gozo de Licença Maternidade]])*SUM(tabParametros[[#This Row],[INSS]:[SEBRAE]])</f>
        <v>4.5918250000000008E-3</v>
      </c>
      <c r="AV39" s="234">
        <f>IF(tabParametros[[#This Row],[Função]]="Porteiro - 220 h",SUM(tabParametros[[#This Row],[Salário Base]:[Adicional de Acúmulo de função]])/220*20*1.5,IF(ISNUMBER(SEARCH("12 x 36",tabParametros[[#This Row],[Função]],1)),SUM(tabParametros[[#This Row],[Salário Base]:[Adicional de Acúmulo de função]])/210*15.5*1.5,0))</f>
        <v>0</v>
      </c>
      <c r="AW39" s="234">
        <f>IF(tabParametros[[#This Row],[Vagas contratadas]]&gt;0,(SUM(tabParametros[[#This Row],[Salário Base]:[Adicional de Acúmulo de função]])*30%+SUM(tabParametros[[#This Row],[Vale - Alimentação]:[Seguro de Vida]]))/tabParametros[[#This Row],[Vagas contratadas]]*tabParametros[[#This Row],[Vagas suspensas]],0)</f>
        <v>0</v>
      </c>
      <c r="AX39" s="234">
        <f>SUMIF(tabUniformes[Cargo],tabParametros[[#This Row],[Função]],tabUniformes[Valor unit. Mensal])</f>
        <v>62.806666666666665</v>
      </c>
      <c r="AY39" s="281">
        <f>IF(ISNUMBER(SEARCH("AUXILIAR DE LIMPEZA - 75 H",tabParametros[[#This Row],[Função]],1)),
SUMIF(tabLimpGeral[TIPO],"Material",tabLimpGeral[VALOR UNITÁRIO P/ HORA (R$)])*75,
IF(ISNUMBER(SEARCH("AUXILIAR DE LIMPEZA - 110 H",tabParametros[[#This Row],[Função]],1)),
SUMIF(tabLimpGeral[TIPO],"Material",tabLimpGeral[VALOR UNITÁRIO P/ HORA (R$)])*110,
IF(ISNUMBER(SEARCH("AUXILIAR DE LIMPEZA - 150 H",tabParametros[[#This Row],[Função]],1)),
SUMIF(tabLimpGeral[TIPO],"Material",tabLimpGeral[VALOR UNITÁRIO P/ HORA (R$)])*150,
IF(ISNUMBER(SEARCH("AUXILIAR DE LIMPEZA - 220 H",tabParametros[[#This Row],[Função]],1)),
SUMIF(tabLimpGeral[TIPO],"Material",tabLimpGeral[VALOR UNITÁRIO P/ HORA (R$)])*220,
IF(ISNUMBER(SEARCH("AUXILIAR DE LIMPEZA - 12 x 36",tabParametros[[#This Row],[Função]],1)),
SUMIF(tabLimpGeral[TIPO],"Material",tabLimpGeral[VALOR UNITÁRIO P/ HORA (R$)])*220,
IF(ISNUMBER(SEARCH("Limpador de vidros - 220 h",tabParametros[[#This Row],[Função]],1)),
SUMIF(tabVidros[TIPO],"Material",tabVidros[VALOR UNITÁRIO P/ POSTO (R$)]),
0))))))</f>
        <v>12.108481690426325</v>
      </c>
      <c r="AZ39" s="281">
        <f>IF(ISNUMBER(SEARCH("AUXILIAR DE LIMPEZA - 75 H",tabParametros[[#This Row],[Função]],1)),
SUMIF(tabLimpGeral[TIPO],"Equipamento",tabLimpGeral[VALOR UNITÁRIO P/ HORA (R$)])*75,
IF(ISNUMBER(SEARCH("AUXILIAR DE LIMPEZA - 110 H",tabParametros[[#This Row],[Função]],1)),
SUMIF(tabLimpGeral[TIPO],"Equipamento",tabLimpGeral[VALOR UNITÁRIO P/ HORA (R$)])*110,
IF(ISNUMBER(SEARCH("AUXILIAR DE LIMPEZA - 150 H",tabParametros[[#This Row],[Função]],1)),
SUMIF(tabLimpGeral[TIPO],"Equipamento",tabLimpGeral[VALOR UNITÁRIO P/ HORA (R$)])*150,
IF(ISNUMBER(SEARCH("AUXILIAR DE LIMPEZA - 220 H",tabParametros[[#This Row],[Função]],1)),
SUMIF(tabLimpGeral[TIPO],"Equipamento",tabLimpGeral[VALOR UNITÁRIO P/ HORA (R$)])*220,
IF(ISNUMBER(SEARCH("AUXILIAR DE LIMPEZA - 12 x 36",tabParametros[[#This Row],[Função]],1)),
SUMIF(tabLimpGeral[TIPO],"Equipamento",tabLimpGeral[VALOR UNITÁRIO P/ HORA (R$)])*220,
IF(ISNUMBER(SEARCH("Limpador de vidros - 220 h",tabParametros[[#This Row],[Função]],1)),
SUMIF(tabVidros[TIPO],"Equipamento",tabVidros[VALOR UNITÁRIO P/ POSTO (R$)]),
0))))))</f>
        <v>21.998657016417809</v>
      </c>
      <c r="BA39" s="281">
        <f>IF(ISNUMBER(SEARCH("AUXILIAR DE LIMPEZA - 75 H",tabParametros[[#This Row],[Função]],1)),
SUMIF(tabLimpGeral[TIPO],"Produto",tabLimpGeral[VALOR UNITÁRIO P/ HORA (R$)])*75,
IF(ISNUMBER(SEARCH("AUXILIAR DE LIMPEZA - 110 H",tabParametros[[#This Row],[Função]],1)),
SUMIF(tabLimpGeral[TIPO],"Produto",tabLimpGeral[VALOR UNITÁRIO P/ HORA (R$)])*110,
IF(ISNUMBER(SEARCH("AUXILIAR DE LIMPEZA - 150 H",tabParametros[[#This Row],[Função]],1)),
SUMIF(tabLimpGeral[TIPO],"Produto",tabLimpGeral[VALOR UNITÁRIO P/ HORA (R$)])*150,
IF(ISNUMBER(SEARCH("AUXILIAR DE LIMPEZA - 220 H",tabParametros[[#This Row],[Função]],1)),
SUMIF(tabLimpGeral[TIPO],"Produto",tabLimpGeral[VALOR UNITÁRIO P/ HORA (R$)])*220,
IF(ISNUMBER(SEARCH("AUXILIAR DE LIMPEZA - 12 x 36",tabParametros[[#This Row],[Função]],1)),
SUMIF(tabLimpGeral[TIPO],"Produto",tabLimpGeral[VALOR UNITÁRIO P/ HORA (R$)])*220,
IF(ISNUMBER(SEARCH("Limpador de vidros - 220 h",tabParametros[[#This Row],[Função]],1)),
SUMIF(tabVidros[TIPO],"Produto",tabVidros[VALOR UNITÁRIO P/ POSTO (R$)]),
0))))))</f>
        <v>235.31984072022155</v>
      </c>
      <c r="BB39" s="281">
        <v>0</v>
      </c>
      <c r="BC39" s="236">
        <f>VLOOKUP(tabParametros[[#Headers],[Custos Indiretos]],tabOutrosCustos[],3,0)</f>
        <v>189.64880140242613</v>
      </c>
      <c r="BD39" s="236">
        <f>VLOOKUP(tabParametros[[#Headers],[Lucro]],tabOutrosCustos[],3,0)</f>
        <v>159.30499317803796</v>
      </c>
      <c r="BE39" s="235">
        <f>VLOOKUP(tabParametros[[#Headers],[COFINS]],tabImpostosNacionais[],2,0)</f>
        <v>7.5999999999999998E-2</v>
      </c>
      <c r="BF39" s="235">
        <f>VLOOKUP(tabParametros[[#Headers],[PIS]],tabImpostosNacionais[],2,0)</f>
        <v>1.6500000000000001E-2</v>
      </c>
      <c r="BG39" s="235">
        <f>VLOOKUP(tabParametros[[#This Row],[Comarca]],tabComarca[],4,0)</f>
        <v>0.03</v>
      </c>
      <c r="BH39" s="238">
        <f>IFERROR(VLOOKUP(tabParametros[[#This Row],[CCT DA CATEGORIA]],tabSindicatos[],11,0),"")</f>
        <v>45658</v>
      </c>
      <c r="BI39" s="289" t="str">
        <f>IFERROR(VLOOKUP(tabParametros[[#This Row],[CCT DA CATEGORIA]],tabSindicatos[],12,0),"")</f>
        <v>-</v>
      </c>
      <c r="BJ39" s="293" t="str">
        <f>IFERROR(VLOOKUP(tabParametros[[#This Row],[CCT DA CATEGORIA]],tabSindicatos[],13,0),"")</f>
        <v>-</v>
      </c>
    </row>
    <row r="40" spans="1:62" x14ac:dyDescent="0.25">
      <c r="A40" s="233" t="s">
        <v>1380</v>
      </c>
      <c r="B40" s="198" t="s">
        <v>40</v>
      </c>
      <c r="C40" s="198" t="s">
        <v>1247</v>
      </c>
      <c r="D40" s="198" t="str">
        <f>VLOOKUP(tabParametros[[#This Row],[Código do Posto]],tabPostos[],4,0)</f>
        <v>Regiao de Divinopolis</v>
      </c>
      <c r="E40" s="289" t="str">
        <f>VLOOKUP(tabParametros[[#This Row],[Código do Posto]],tabPostos[],5,0)</f>
        <v>Limpeza</v>
      </c>
      <c r="F40" s="289" t="str">
        <f>VLOOKUP(tabParametros[[#This Row],[Código do Posto]],tabPostos[],6,0)</f>
        <v>PGJ</v>
      </c>
      <c r="G40" s="289">
        <f>VLOOKUP(tabParametros[[#This Row],[Código do Posto]],tabPostos[],7,0)</f>
        <v>1</v>
      </c>
      <c r="H40" s="289">
        <f>VLOOKUP(tabParametros[[#This Row],[Código do Posto]],tabPostos[],8,0)</f>
        <v>0</v>
      </c>
      <c r="I40" s="234">
        <f>VLOOKUP(tabParametros[[#This Row],[Código do Posto]],tabPostos[],9,0)</f>
        <v>544.17999999999995</v>
      </c>
      <c r="J40" s="234">
        <f>IF(ISNUMBER(SEARCH("Eletricista",tabParametros[[#This Row],[Função]],1)),0.3*tabParametros[[#This Row],[Salário Base]],0)</f>
        <v>0</v>
      </c>
      <c r="K40" s="234">
        <f>IF(OR(ISNUMBER(SEARCH("Bombeiro Hidraulico",tabParametros[[#This Row],[Função]],1)),ISNUMBER(SEARCH("Jardineiro",tabParametros[[#This Row],[Função]],1)),ISNUMBER(SEARCH("Lavador de Veiculos",tabParametros[[#This Row],[Função]],1)),ISNUMBER(SEARCH("Marceneiro",tabParametros[[#This Row],[Função]],1)),ISNUMBER(SEARCH("Pintor",tabParametros[[#This Row],[Função]],1))),0.2*'BASE GERAL'!$R$4,0)</f>
        <v>0</v>
      </c>
      <c r="L40" s="234">
        <f>IF(AND(ISNUMBER(SEARCH("Noturno",tabParametros[[#This Row],[Função]],1)),tabParametros[[#This Row],[Comarca]]&lt;&gt;"Juiz de Fora"),tabParametros[[#This Row],[Salário Base]]/210*0.39*7*15.5,IF(ISNUMBER(SEARCH("Noturno",tabParametros[[#This Row],[Função]],1)),tabParametros[[#This Row],[Salário Base]]/210*0.2*8*15.5,0))</f>
        <v>0</v>
      </c>
      <c r="M40" s="234">
        <f>IF(ISNUMBER(SEARCH("Motorista II",tabParametros[[#This Row],[Função]],1)),0.25*tabParametros[[#This Row],[Salário Base]],0)</f>
        <v>0</v>
      </c>
      <c r="N40" s="250">
        <v>0</v>
      </c>
      <c r="O40" s="234">
        <f>IF(ISNUMBER(SEARCH("TECNOLOGIA DA INFORMACAO",tabParametros[[#This Row],[Função]],1)),0.0201*tabParametros[[#This Row],[Salário Base]],0)</f>
        <v>0</v>
      </c>
      <c r="P40" s="250" cm="1">
        <f t="array" ref="P40">_xlfn.IFS(
ISNUMBER(SEARCH("Auxiliar de Limpeza - 75 h",tabParametros[[#This Row],[Função]],1)),tabParametros[[#This Row],[Salário Base]]/75*0.75*30*0.12,
ISNUMBER(SEARCH("Auxiliar de Limpeza - 110 h",tabParametros[[#This Row],[Função]],1)),tabParametros[[#This Row],[Salário Base]]/110*1*30*0.12,
ISNUMBER(SEARCH("Auxiliar de Limpeza - 150 h",tabParametros[[#This Row],[Função]],1)),tabParametros[[#This Row],[Salário Base]]/150*1.5*30*0.12,
ISNUMBER(SEARCH("Auxiliar de Limpeza - 220 h",tabParametros[[#This Row],[Função]],1)),tabParametros[[#This Row],[Salário Base]]/220*2*30*0.12,
ISNUMBER(SEARCH("Auxiliar de Limpeza - 12 x 36",tabParametros[[#This Row],[Função]],1)),tabParametros[[#This Row],[Salário Base]]/220*2*30*0.12,
ISNUMBER(SEARCH("Auxiliar de Limpeza - 55 h",tabParametros[[#This Row],[Função]],1))=FALSE,0)</f>
        <v>19.590479999999999</v>
      </c>
      <c r="Q40" s="235">
        <f>VLOOKUP(tabParametros[[#Headers],[INSS]],tabImpostosNacionais[],2,0)</f>
        <v>0.2</v>
      </c>
      <c r="R40" s="235">
        <f>VLOOKUP(tabParametros[[#Headers],[SESI OU SESC]],tabImpostosNacionais[],2,0)</f>
        <v>1.4999999999999999E-2</v>
      </c>
      <c r="S40" s="235">
        <f>VLOOKUP(tabParametros[[#Headers],[SENAI OU SENAC]],tabImpostosNacionais[],2,0)</f>
        <v>0.01</v>
      </c>
      <c r="T40" s="235">
        <f>VLOOKUP(tabParametros[[#Headers],[INCRA]],tabImpostosNacionais[],2,0)</f>
        <v>2E-3</v>
      </c>
      <c r="U40" s="235">
        <f>VLOOKUP(tabParametros[[#Headers],[Salário Educação]],tabImpostosNacionais[],2,0)</f>
        <v>2.5000000000000001E-2</v>
      </c>
      <c r="V40" s="235">
        <f>VLOOKUP(tabParametros[[#Headers],[FGTS]],tabImpostosNacionais[],2,0)</f>
        <v>0.08</v>
      </c>
      <c r="W40" s="235">
        <f>VLOOKUP(tabParametros[[#Headers],[RAT Ajustado]],tabImpostosNacionais[],2,0)</f>
        <v>0.04</v>
      </c>
      <c r="X40" s="235">
        <f>VLOOKUP(tabParametros[[#Headers],[SEBRAE]],tabImpostosNacionais[],2,0)</f>
        <v>6.0000000000000001E-3</v>
      </c>
      <c r="Y40" s="235">
        <f t="shared" si="0"/>
        <v>8.3333333333333329E-2</v>
      </c>
      <c r="Z40" s="251">
        <f t="shared" si="1"/>
        <v>0.1111111111111111</v>
      </c>
      <c r="AA40" s="234">
        <f>VLOOKUP(tabParametros[[#This Row],[Comarca]],tabComarca[],5,0)</f>
        <v>6.4</v>
      </c>
      <c r="AB40" s="234">
        <f>IFERROR(VLOOKUP(tabParametros[[#This Row],[CCT DA CATEGORIA]],tabSindicatos[],6,0),0)</f>
        <v>29.15</v>
      </c>
      <c r="AC40" s="234">
        <f>IFERROR(VLOOKUP(tabParametros[[#This Row],[CCT DA CATEGORIA]],tabSindicatos[],7,0),0)</f>
        <v>0</v>
      </c>
      <c r="AD40" s="234" cm="1">
        <f t="array" ref="AD40">_xlfn.LET(
_xlpm.COMARCA, TRIM(UPPER(SUBSTITUTE(SUBSTITUTE(SUBSTITUTE(SUBSTITUTE(SUBSTITUTE(SUBSTITUTE(SUBSTITUTE(SUBSTITUTE(SUBSTITUTE(SUBSTITUTE(SUBSTITUTE(SUBSTITUTE(SUBSTITUTE(SUBSTITUTE(SUBSTITUTE(SUBSTITUTE(SUBSTITUTE(SUBSTITUTE(SUBSTITUTE(SUBSTITUTE(SUBSTITUTE(SUBSTITUTE(SUBSTITUTE(SUBSTITUTE(SUBSTITUTE(SUBSTITUTE(tabParametros[[#This Row],[Comarca]],"á","a"),"ã","a"),"â","a"),"é","e"),"ê","e"),"í","i"),"ó","o"),"õ","o"),"ô","o"),"ú","u"),"ç","c"),"Á","a"),"Ã","a"),"Â","a"),"É","e"),"Ê","e"),"Í","i"),"Ó","o"),"Õ","o"),"Ô","o"),"Ú","u"),"Ç","c"),"/MG","")," e ",", ")," ",""),".",""))),
_xlpm.MATRIZ_COMARCA, TRIM(UPPER(SUBSTITUTE(SUBSTITUTE(SUBSTITUTE(SUBSTITUTE(SUBSTITUTE(SUBSTITUTE(SUBSTITUTE(SUBSTITUTE(SUBSTITUTE(SUBSTITUTE(SUBSTITUTE(SUBSTITUTE(SUBSTITUTE(SUBSTITUTE(SUBSTITUTE(SUBSTITUTE(SUBSTITUTE(SUBSTITUTE(SUBSTITUTE(SUBSTITUTE(SUBSTITUTE(SUBSTITUTE(SUBSTITUTE(SUBSTITUTE(SUBSTITUTE(SUBSTITUTE(tabSindicatos[COMARCAS PAF],"á","a"),"ã","a"),"â","a"),"é","e"),"ê","e"),"í","i"),"ó","o"),"õ","o"),"ô","o"),"ú","u"),"ç","c"),"Á","a"),"Ã","a"),"Â","a"),"É","e"),"Ê","e"),"Í","i"),"Ó","o"),"Õ","o"),"Ô","o"),"Ú","u"),"Ç","c"),"/MG","")," e ",", ")," ",""),".",""))),
IFERROR(IF(_xlfn.XLOOKUP(tabParametros[[#This Row],[CCT DA CATEGORIA]],tabSindicatos[SINDICATOS],tabSindicatos[COMARCAS PAF])="",
VLOOKUP(tabParametros[[#This Row],[CCT DA CATEGORIA]],tabSindicatos[],8,0),
IF(ISNUMBER(SEARCH(TRIM(_xlpm.COMARCA),_xlfn.XLOOKUP(tabParametros[[#This Row],[CCT DA CATEGORIA]],tabSindicatos[SINDICATOS],_xlpm.MATRIZ_COMARCA),1)),VLOOKUP(tabParametros[[#This Row],[CCT DA CATEGORIA]],tabSindicatos[],8,0),0)
),0)
)</f>
        <v>0</v>
      </c>
      <c r="AE40" s="234">
        <f>IFERROR(VLOOKUP(tabParametros[[#This Row],[CCT DA CATEGORIA]],tabSindicatos[],9,0),0)</f>
        <v>0</v>
      </c>
      <c r="AF40" s="234">
        <f>IFERROR(VLOOKUP(tabParametros[[#This Row],[CCT DA CATEGORIA]],tabSindicatos[],10,0),0)</f>
        <v>0</v>
      </c>
      <c r="AG40" s="236">
        <f>VLOOKUP(tabParametros[[#Headers],[Seguro de Vida]],tabOutrosCustos[],3,0)</f>
        <v>3.36</v>
      </c>
      <c r="AH40" s="236">
        <f>IF(ISNUMBER(SEARCH("MOTORISTA",tabParametros[[#This Row],[Função]],1)),VLOOKUP("MOTORISTAS",tabDiarias[],2,0),IF(tabParametros[[#This Row],[Comarca]]="Belo Horizonte",VLOOKUP("LIMPEZA",tabDiarias[],2,0),0))</f>
        <v>0</v>
      </c>
      <c r="AI40" s="235">
        <f t="shared" si="2"/>
        <v>7.011766975308642E-3</v>
      </c>
      <c r="AJ40" s="237">
        <f>tabParametros[[#This Row],[FGTS]]*tabParametros[[#This Row],[Aviso Prévio Indenizado (API) e Reflexo do Aviso Prévio Indenizado]]</f>
        <v>5.609413580246914E-4</v>
      </c>
      <c r="AK40" s="237">
        <f>tabParametros[[#This Row],[FGTS]]*tabParametros[[#This Row],[Aviso Prévio Indenizado (API) e Reflexo do Aviso Prévio Indenizado]]*40%</f>
        <v>2.2437654320987658E-4</v>
      </c>
      <c r="AL40" s="235">
        <f t="shared" si="3"/>
        <v>3.5000000000000005E-3</v>
      </c>
      <c r="AM40" s="235">
        <f>tabParametros[[#This Row],[Aviso Prévio Trabalhado - APT]]*SUM(tabParametros[[#This Row],[INSS]:[SEBRAE]])</f>
        <v>1.3230000000000004E-3</v>
      </c>
      <c r="AN40" s="235">
        <f t="shared" si="4"/>
        <v>3.0577777777777773E-2</v>
      </c>
      <c r="AO40" s="235">
        <f t="shared" si="5"/>
        <v>8.3333333333333339E-4</v>
      </c>
      <c r="AP40" s="235">
        <f t="shared" si="6"/>
        <v>8.4444444444444437E-3</v>
      </c>
      <c r="AQ40" s="235">
        <f t="shared" si="7"/>
        <v>2.0277777777777777E-3</v>
      </c>
      <c r="AR40" s="235">
        <f t="shared" si="8"/>
        <v>1.7083333333333333E-4</v>
      </c>
      <c r="AS40" s="235">
        <f t="shared" si="9"/>
        <v>2.0833333333333335E-4</v>
      </c>
      <c r="AT40" s="235">
        <f t="shared" si="10"/>
        <v>1.2962962962962963E-3</v>
      </c>
      <c r="AU40" s="237">
        <f>SUM(tabParametros[[#This Row],[Ausência por Doença]:[Férias, Adicional de Férias e 13º  com empregada em gozo de Licença Maternidade]])*SUM(tabParametros[[#This Row],[INSS]:[SEBRAE]])</f>
        <v>4.5918250000000008E-3</v>
      </c>
      <c r="AV40" s="234">
        <f>IF(tabParametros[[#This Row],[Função]]="Porteiro - 220 h",SUM(tabParametros[[#This Row],[Salário Base]:[Adicional de Acúmulo de função]])/220*20*1.5,IF(ISNUMBER(SEARCH("12 x 36",tabParametros[[#This Row],[Função]],1)),SUM(tabParametros[[#This Row],[Salário Base]:[Adicional de Acúmulo de função]])/210*15.5*1.5,0))</f>
        <v>0</v>
      </c>
      <c r="AW40" s="234">
        <f>IF(tabParametros[[#This Row],[Vagas contratadas]]&gt;0,(SUM(tabParametros[[#This Row],[Salário Base]:[Adicional de Acúmulo de função]])*30%+SUM(tabParametros[[#This Row],[Vale - Alimentação]:[Seguro de Vida]]))/tabParametros[[#This Row],[Vagas contratadas]]*tabParametros[[#This Row],[Vagas suspensas]],0)</f>
        <v>0</v>
      </c>
      <c r="AX40" s="234">
        <f>SUMIF(tabUniformes[Cargo],tabParametros[[#This Row],[Função]],tabUniformes[Valor unit. Mensal])</f>
        <v>62.806666666666665</v>
      </c>
      <c r="AY40" s="281">
        <f>IF(ISNUMBER(SEARCH("AUXILIAR DE LIMPEZA - 75 H",tabParametros[[#This Row],[Função]],1)),
SUMIF(tabLimpGeral[TIPO],"Material",tabLimpGeral[VALOR UNITÁRIO P/ HORA (R$)])*75,
IF(ISNUMBER(SEARCH("AUXILIAR DE LIMPEZA - 110 H",tabParametros[[#This Row],[Função]],1)),
SUMIF(tabLimpGeral[TIPO],"Material",tabLimpGeral[VALOR UNITÁRIO P/ HORA (R$)])*110,
IF(ISNUMBER(SEARCH("AUXILIAR DE LIMPEZA - 150 H",tabParametros[[#This Row],[Função]],1)),
SUMIF(tabLimpGeral[TIPO],"Material",tabLimpGeral[VALOR UNITÁRIO P/ HORA (R$)])*150,
IF(ISNUMBER(SEARCH("AUXILIAR DE LIMPEZA - 220 H",tabParametros[[#This Row],[Função]],1)),
SUMIF(tabLimpGeral[TIPO],"Material",tabLimpGeral[VALOR UNITÁRIO P/ HORA (R$)])*220,
IF(ISNUMBER(SEARCH("AUXILIAR DE LIMPEZA - 12 x 36",tabParametros[[#This Row],[Função]],1)),
SUMIF(tabLimpGeral[TIPO],"Material",tabLimpGeral[VALOR UNITÁRIO P/ HORA (R$)])*220,
IF(ISNUMBER(SEARCH("Limpador de vidros - 220 h",tabParametros[[#This Row],[Função]],1)),
SUMIF(tabVidros[TIPO],"Material",tabVidros[VALOR UNITÁRIO P/ POSTO (R$)]),
0))))))</f>
        <v>12.108481690426325</v>
      </c>
      <c r="AZ40" s="281">
        <f>IF(ISNUMBER(SEARCH("AUXILIAR DE LIMPEZA - 75 H",tabParametros[[#This Row],[Função]],1)),
SUMIF(tabLimpGeral[TIPO],"Equipamento",tabLimpGeral[VALOR UNITÁRIO P/ HORA (R$)])*75,
IF(ISNUMBER(SEARCH("AUXILIAR DE LIMPEZA - 110 H",tabParametros[[#This Row],[Função]],1)),
SUMIF(tabLimpGeral[TIPO],"Equipamento",tabLimpGeral[VALOR UNITÁRIO P/ HORA (R$)])*110,
IF(ISNUMBER(SEARCH("AUXILIAR DE LIMPEZA - 150 H",tabParametros[[#This Row],[Função]],1)),
SUMIF(tabLimpGeral[TIPO],"Equipamento",tabLimpGeral[VALOR UNITÁRIO P/ HORA (R$)])*150,
IF(ISNUMBER(SEARCH("AUXILIAR DE LIMPEZA - 220 H",tabParametros[[#This Row],[Função]],1)),
SUMIF(tabLimpGeral[TIPO],"Equipamento",tabLimpGeral[VALOR UNITÁRIO P/ HORA (R$)])*220,
IF(ISNUMBER(SEARCH("AUXILIAR DE LIMPEZA - 12 x 36",tabParametros[[#This Row],[Função]],1)),
SUMIF(tabLimpGeral[TIPO],"Equipamento",tabLimpGeral[VALOR UNITÁRIO P/ HORA (R$)])*220,
IF(ISNUMBER(SEARCH("Limpador de vidros - 220 h",tabParametros[[#This Row],[Função]],1)),
SUMIF(tabVidros[TIPO],"Equipamento",tabVidros[VALOR UNITÁRIO P/ POSTO (R$)]),
0))))))</f>
        <v>21.998657016417809</v>
      </c>
      <c r="BA40" s="281">
        <f>IF(ISNUMBER(SEARCH("AUXILIAR DE LIMPEZA - 75 H",tabParametros[[#This Row],[Função]],1)),
SUMIF(tabLimpGeral[TIPO],"Produto",tabLimpGeral[VALOR UNITÁRIO P/ HORA (R$)])*75,
IF(ISNUMBER(SEARCH("AUXILIAR DE LIMPEZA - 110 H",tabParametros[[#This Row],[Função]],1)),
SUMIF(tabLimpGeral[TIPO],"Produto",tabLimpGeral[VALOR UNITÁRIO P/ HORA (R$)])*110,
IF(ISNUMBER(SEARCH("AUXILIAR DE LIMPEZA - 150 H",tabParametros[[#This Row],[Função]],1)),
SUMIF(tabLimpGeral[TIPO],"Produto",tabLimpGeral[VALOR UNITÁRIO P/ HORA (R$)])*150,
IF(ISNUMBER(SEARCH("AUXILIAR DE LIMPEZA - 220 H",tabParametros[[#This Row],[Função]],1)),
SUMIF(tabLimpGeral[TIPO],"Produto",tabLimpGeral[VALOR UNITÁRIO P/ HORA (R$)])*220,
IF(ISNUMBER(SEARCH("AUXILIAR DE LIMPEZA - 12 x 36",tabParametros[[#This Row],[Função]],1)),
SUMIF(tabLimpGeral[TIPO],"Produto",tabLimpGeral[VALOR UNITÁRIO P/ HORA (R$)])*220,
IF(ISNUMBER(SEARCH("Limpador de vidros - 220 h",tabParametros[[#This Row],[Função]],1)),
SUMIF(tabVidros[TIPO],"Produto",tabVidros[VALOR UNITÁRIO P/ POSTO (R$)]),
0))))))</f>
        <v>235.31984072022155</v>
      </c>
      <c r="BB40" s="281">
        <v>0</v>
      </c>
      <c r="BC40" s="236">
        <f>VLOOKUP(tabParametros[[#Headers],[Custos Indiretos]],tabOutrosCustos[],3,0)</f>
        <v>189.64880140242613</v>
      </c>
      <c r="BD40" s="236">
        <f>VLOOKUP(tabParametros[[#Headers],[Lucro]],tabOutrosCustos[],3,0)</f>
        <v>159.30499317803796</v>
      </c>
      <c r="BE40" s="235">
        <f>VLOOKUP(tabParametros[[#Headers],[COFINS]],tabImpostosNacionais[],2,0)</f>
        <v>7.5999999999999998E-2</v>
      </c>
      <c r="BF40" s="235">
        <f>VLOOKUP(tabParametros[[#Headers],[PIS]],tabImpostosNacionais[],2,0)</f>
        <v>1.6500000000000001E-2</v>
      </c>
      <c r="BG40" s="235">
        <f>VLOOKUP(tabParametros[[#This Row],[Comarca]],tabComarca[],4,0)</f>
        <v>0.02</v>
      </c>
      <c r="BH40" s="238">
        <f>IFERROR(VLOOKUP(tabParametros[[#This Row],[CCT DA CATEGORIA]],tabSindicatos[],11,0),"")</f>
        <v>45658</v>
      </c>
      <c r="BI40" s="289" t="str">
        <f>IFERROR(VLOOKUP(tabParametros[[#This Row],[CCT DA CATEGORIA]],tabSindicatos[],12,0),"")</f>
        <v>-</v>
      </c>
      <c r="BJ40" s="293" t="str">
        <f>IFERROR(VLOOKUP(tabParametros[[#This Row],[CCT DA CATEGORIA]],tabSindicatos[],13,0),"")</f>
        <v>-</v>
      </c>
    </row>
    <row r="41" spans="1:62" x14ac:dyDescent="0.25">
      <c r="A41" s="233" t="s">
        <v>1381</v>
      </c>
      <c r="B41" s="198" t="s">
        <v>1348</v>
      </c>
      <c r="C41" s="198" t="s">
        <v>1244</v>
      </c>
      <c r="D41" s="198" t="str">
        <f>VLOOKUP(tabParametros[[#This Row],[Código do Posto]],tabPostos[],4,0)</f>
        <v>Fethemg Interior</v>
      </c>
      <c r="E41" s="289" t="str">
        <f>VLOOKUP(tabParametros[[#This Row],[Código do Posto]],tabPostos[],5,0)</f>
        <v>Limpeza</v>
      </c>
      <c r="F41" s="289" t="str">
        <f>VLOOKUP(tabParametros[[#This Row],[Código do Posto]],tabPostos[],6,0)</f>
        <v>PGJ</v>
      </c>
      <c r="G41" s="289">
        <f>VLOOKUP(tabParametros[[#This Row],[Código do Posto]],tabPostos[],7,0)</f>
        <v>1</v>
      </c>
      <c r="H41" s="289">
        <f>VLOOKUP(tabParametros[[#This Row],[Código do Posto]],tabPostos[],8,0)</f>
        <v>0</v>
      </c>
      <c r="I41" s="234">
        <f>VLOOKUP(tabParametros[[#This Row],[Código do Posto]],tabPostos[],9,0)</f>
        <v>798.14</v>
      </c>
      <c r="J41" s="234">
        <f>IF(ISNUMBER(SEARCH("Eletricista",tabParametros[[#This Row],[Função]],1)),0.3*tabParametros[[#This Row],[Salário Base]],0)</f>
        <v>0</v>
      </c>
      <c r="K41" s="234">
        <f>IF(OR(ISNUMBER(SEARCH("Bombeiro Hidraulico",tabParametros[[#This Row],[Função]],1)),ISNUMBER(SEARCH("Jardineiro",tabParametros[[#This Row],[Função]],1)),ISNUMBER(SEARCH("Lavador de Veiculos",tabParametros[[#This Row],[Função]],1)),ISNUMBER(SEARCH("Marceneiro",tabParametros[[#This Row],[Função]],1)),ISNUMBER(SEARCH("Pintor",tabParametros[[#This Row],[Função]],1))),0.2*'BASE GERAL'!$R$4,0)</f>
        <v>0</v>
      </c>
      <c r="L41" s="234">
        <f>IF(AND(ISNUMBER(SEARCH("Noturno",tabParametros[[#This Row],[Função]],1)),tabParametros[[#This Row],[Comarca]]&lt;&gt;"Juiz de Fora"),tabParametros[[#This Row],[Salário Base]]/210*0.39*7*15.5,IF(ISNUMBER(SEARCH("Noturno",tabParametros[[#This Row],[Função]],1)),tabParametros[[#This Row],[Salário Base]]/210*0.2*8*15.5,0))</f>
        <v>0</v>
      </c>
      <c r="M41" s="234">
        <f>IF(ISNUMBER(SEARCH("Motorista II",tabParametros[[#This Row],[Função]],1)),0.25*tabParametros[[#This Row],[Salário Base]],0)</f>
        <v>0</v>
      </c>
      <c r="N41" s="250">
        <v>0</v>
      </c>
      <c r="O41" s="234">
        <f>IF(ISNUMBER(SEARCH("TECNOLOGIA DA INFORMACAO",tabParametros[[#This Row],[Função]],1)),0.0201*tabParametros[[#This Row],[Salário Base]],0)</f>
        <v>0</v>
      </c>
      <c r="P41" s="250" cm="1">
        <f t="array" ref="P41">_xlfn.IFS(
ISNUMBER(SEARCH("Auxiliar de Limpeza - 75 h",tabParametros[[#This Row],[Função]],1)),tabParametros[[#This Row],[Salário Base]]/75*0.75*30*0.12,
ISNUMBER(SEARCH("Auxiliar de Limpeza - 110 h",tabParametros[[#This Row],[Função]],1)),tabParametros[[#This Row],[Salário Base]]/110*1*30*0.12,
ISNUMBER(SEARCH("Auxiliar de Limpeza - 150 h",tabParametros[[#This Row],[Função]],1)),tabParametros[[#This Row],[Salário Base]]/150*1.5*30*0.12,
ISNUMBER(SEARCH("Auxiliar de Limpeza - 220 h",tabParametros[[#This Row],[Função]],1)),tabParametros[[#This Row],[Salário Base]]/220*2*30*0.12,
ISNUMBER(SEARCH("Auxiliar de Limpeza - 12 x 36",tabParametros[[#This Row],[Função]],1)),tabParametros[[#This Row],[Salário Base]]/220*2*30*0.12,
ISNUMBER(SEARCH("Auxiliar de Limpeza - 55 h",tabParametros[[#This Row],[Função]],1))=FALSE,0)</f>
        <v>26.120945454545453</v>
      </c>
      <c r="Q41" s="235">
        <f>VLOOKUP(tabParametros[[#Headers],[INSS]],tabImpostosNacionais[],2,0)</f>
        <v>0.2</v>
      </c>
      <c r="R41" s="235">
        <f>VLOOKUP(tabParametros[[#Headers],[SESI OU SESC]],tabImpostosNacionais[],2,0)</f>
        <v>1.4999999999999999E-2</v>
      </c>
      <c r="S41" s="235">
        <f>VLOOKUP(tabParametros[[#Headers],[SENAI OU SENAC]],tabImpostosNacionais[],2,0)</f>
        <v>0.01</v>
      </c>
      <c r="T41" s="235">
        <f>VLOOKUP(tabParametros[[#Headers],[INCRA]],tabImpostosNacionais[],2,0)</f>
        <v>2E-3</v>
      </c>
      <c r="U41" s="235">
        <f>VLOOKUP(tabParametros[[#Headers],[Salário Educação]],tabImpostosNacionais[],2,0)</f>
        <v>2.5000000000000001E-2</v>
      </c>
      <c r="V41" s="235">
        <f>VLOOKUP(tabParametros[[#Headers],[FGTS]],tabImpostosNacionais[],2,0)</f>
        <v>0.08</v>
      </c>
      <c r="W41" s="235">
        <f>VLOOKUP(tabParametros[[#Headers],[RAT Ajustado]],tabImpostosNacionais[],2,0)</f>
        <v>0.04</v>
      </c>
      <c r="X41" s="235">
        <f>VLOOKUP(tabParametros[[#Headers],[SEBRAE]],tabImpostosNacionais[],2,0)</f>
        <v>6.0000000000000001E-3</v>
      </c>
      <c r="Y41" s="235">
        <f t="shared" si="0"/>
        <v>8.3333333333333329E-2</v>
      </c>
      <c r="Z41" s="251">
        <f t="shared" si="1"/>
        <v>0.1111111111111111</v>
      </c>
      <c r="AA41" s="234">
        <f>VLOOKUP(tabParametros[[#This Row],[Comarca]],tabComarca[],5,0)</f>
        <v>6.4</v>
      </c>
      <c r="AB41" s="234">
        <f>IFERROR(VLOOKUP(tabParametros[[#This Row],[CCT DA CATEGORIA]],tabSindicatos[],6,0),0)</f>
        <v>29.15</v>
      </c>
      <c r="AC41" s="234">
        <f>IFERROR(VLOOKUP(tabParametros[[#This Row],[CCT DA CATEGORIA]],tabSindicatos[],7,0),0)</f>
        <v>0</v>
      </c>
      <c r="AD41" s="234" cm="1">
        <f t="array" ref="AD41">_xlfn.LET(
_xlpm.COMARCA, TRIM(UPPER(SUBSTITUTE(SUBSTITUTE(SUBSTITUTE(SUBSTITUTE(SUBSTITUTE(SUBSTITUTE(SUBSTITUTE(SUBSTITUTE(SUBSTITUTE(SUBSTITUTE(SUBSTITUTE(SUBSTITUTE(SUBSTITUTE(SUBSTITUTE(SUBSTITUTE(SUBSTITUTE(SUBSTITUTE(SUBSTITUTE(SUBSTITUTE(SUBSTITUTE(SUBSTITUTE(SUBSTITUTE(SUBSTITUTE(SUBSTITUTE(SUBSTITUTE(SUBSTITUTE(tabParametros[[#This Row],[Comarca]],"á","a"),"ã","a"),"â","a"),"é","e"),"ê","e"),"í","i"),"ó","o"),"õ","o"),"ô","o"),"ú","u"),"ç","c"),"Á","a"),"Ã","a"),"Â","a"),"É","e"),"Ê","e"),"Í","i"),"Ó","o"),"Õ","o"),"Ô","o"),"Ú","u"),"Ç","c"),"/MG","")," e ",", ")," ",""),".",""))),
_xlpm.MATRIZ_COMARCA, TRIM(UPPER(SUBSTITUTE(SUBSTITUTE(SUBSTITUTE(SUBSTITUTE(SUBSTITUTE(SUBSTITUTE(SUBSTITUTE(SUBSTITUTE(SUBSTITUTE(SUBSTITUTE(SUBSTITUTE(SUBSTITUTE(SUBSTITUTE(SUBSTITUTE(SUBSTITUTE(SUBSTITUTE(SUBSTITUTE(SUBSTITUTE(SUBSTITUTE(SUBSTITUTE(SUBSTITUTE(SUBSTITUTE(SUBSTITUTE(SUBSTITUTE(SUBSTITUTE(SUBSTITUTE(tabSindicatos[COMARCAS PAF],"á","a"),"ã","a"),"â","a"),"é","e"),"ê","e"),"í","i"),"ó","o"),"õ","o"),"ô","o"),"ú","u"),"ç","c"),"Á","a"),"Ã","a"),"Â","a"),"É","e"),"Ê","e"),"Í","i"),"Ó","o"),"Õ","o"),"Ô","o"),"Ú","u"),"Ç","c"),"/MG","")," e ",", ")," ",""),".",""))),
IFERROR(IF(_xlfn.XLOOKUP(tabParametros[[#This Row],[CCT DA CATEGORIA]],tabSindicatos[SINDICATOS],tabSindicatos[COMARCAS PAF])="",
VLOOKUP(tabParametros[[#This Row],[CCT DA CATEGORIA]],tabSindicatos[],8,0),
IF(ISNUMBER(SEARCH(TRIM(_xlpm.COMARCA),_xlfn.XLOOKUP(tabParametros[[#This Row],[CCT DA CATEGORIA]],tabSindicatos[SINDICATOS],_xlpm.MATRIZ_COMARCA),1)),VLOOKUP(tabParametros[[#This Row],[CCT DA CATEGORIA]],tabSindicatos[],8,0),0)
),0)
)</f>
        <v>0</v>
      </c>
      <c r="AE41" s="234">
        <f>IFERROR(VLOOKUP(tabParametros[[#This Row],[CCT DA CATEGORIA]],tabSindicatos[],9,0),0)</f>
        <v>15.07</v>
      </c>
      <c r="AF41" s="234">
        <f>IFERROR(VLOOKUP(tabParametros[[#This Row],[CCT DA CATEGORIA]],tabSindicatos[],10,0),0)</f>
        <v>0</v>
      </c>
      <c r="AG41" s="236">
        <f>VLOOKUP(tabParametros[[#Headers],[Seguro de Vida]],tabOutrosCustos[],3,0)</f>
        <v>3.36</v>
      </c>
      <c r="AH41" s="236">
        <f>IF(ISNUMBER(SEARCH("MOTORISTA",tabParametros[[#This Row],[Função]],1)),VLOOKUP("MOTORISTAS",tabDiarias[],2,0),IF(tabParametros[[#This Row],[Comarca]]="Belo Horizonte",VLOOKUP("LIMPEZA",tabDiarias[],2,0),0))</f>
        <v>0</v>
      </c>
      <c r="AI41" s="235">
        <f t="shared" si="2"/>
        <v>7.011766975308642E-3</v>
      </c>
      <c r="AJ41" s="237">
        <f>tabParametros[[#This Row],[FGTS]]*tabParametros[[#This Row],[Aviso Prévio Indenizado (API) e Reflexo do Aviso Prévio Indenizado]]</f>
        <v>5.609413580246914E-4</v>
      </c>
      <c r="AK41" s="237">
        <f>tabParametros[[#This Row],[FGTS]]*tabParametros[[#This Row],[Aviso Prévio Indenizado (API) e Reflexo do Aviso Prévio Indenizado]]*40%</f>
        <v>2.2437654320987658E-4</v>
      </c>
      <c r="AL41" s="235">
        <f t="shared" si="3"/>
        <v>3.5000000000000005E-3</v>
      </c>
      <c r="AM41" s="235">
        <f>tabParametros[[#This Row],[Aviso Prévio Trabalhado - APT]]*SUM(tabParametros[[#This Row],[INSS]:[SEBRAE]])</f>
        <v>1.3230000000000004E-3</v>
      </c>
      <c r="AN41" s="235">
        <f t="shared" si="4"/>
        <v>3.0577777777777773E-2</v>
      </c>
      <c r="AO41" s="235">
        <f t="shared" si="5"/>
        <v>8.3333333333333339E-4</v>
      </c>
      <c r="AP41" s="235">
        <f t="shared" si="6"/>
        <v>8.4444444444444437E-3</v>
      </c>
      <c r="AQ41" s="235">
        <f t="shared" si="7"/>
        <v>2.0277777777777777E-3</v>
      </c>
      <c r="AR41" s="235">
        <f t="shared" si="8"/>
        <v>1.7083333333333333E-4</v>
      </c>
      <c r="AS41" s="235">
        <f t="shared" si="9"/>
        <v>2.0833333333333335E-4</v>
      </c>
      <c r="AT41" s="235">
        <f t="shared" si="10"/>
        <v>1.2962962962962963E-3</v>
      </c>
      <c r="AU41" s="237">
        <f>SUM(tabParametros[[#This Row],[Ausência por Doença]:[Férias, Adicional de Férias e 13º  com empregada em gozo de Licença Maternidade]])*SUM(tabParametros[[#This Row],[INSS]:[SEBRAE]])</f>
        <v>4.5918250000000008E-3</v>
      </c>
      <c r="AV41" s="234">
        <f>IF(tabParametros[[#This Row],[Função]]="Porteiro - 220 h",SUM(tabParametros[[#This Row],[Salário Base]:[Adicional de Acúmulo de função]])/220*20*1.5,IF(ISNUMBER(SEARCH("12 x 36",tabParametros[[#This Row],[Função]],1)),SUM(tabParametros[[#This Row],[Salário Base]:[Adicional de Acúmulo de função]])/210*15.5*1.5,0))</f>
        <v>0</v>
      </c>
      <c r="AW41" s="234">
        <f>IF(tabParametros[[#This Row],[Vagas contratadas]]&gt;0,(SUM(tabParametros[[#This Row],[Salário Base]:[Adicional de Acúmulo de função]])*30%+SUM(tabParametros[[#This Row],[Vale - Alimentação]:[Seguro de Vida]]))/tabParametros[[#This Row],[Vagas contratadas]]*tabParametros[[#This Row],[Vagas suspensas]],0)</f>
        <v>0</v>
      </c>
      <c r="AX41" s="234">
        <f>SUMIF(tabUniformes[Cargo],tabParametros[[#This Row],[Função]],tabUniformes[Valor unit. Mensal])</f>
        <v>62.806666666666665</v>
      </c>
      <c r="AY41" s="281">
        <f>IF(ISNUMBER(SEARCH("AUXILIAR DE LIMPEZA - 75 H",tabParametros[[#This Row],[Função]],1)),
SUMIF(tabLimpGeral[TIPO],"Material",tabLimpGeral[VALOR UNITÁRIO P/ HORA (R$)])*75,
IF(ISNUMBER(SEARCH("AUXILIAR DE LIMPEZA - 110 H",tabParametros[[#This Row],[Função]],1)),
SUMIF(tabLimpGeral[TIPO],"Material",tabLimpGeral[VALOR UNITÁRIO P/ HORA (R$)])*110,
IF(ISNUMBER(SEARCH("AUXILIAR DE LIMPEZA - 150 H",tabParametros[[#This Row],[Função]],1)),
SUMIF(tabLimpGeral[TIPO],"Material",tabLimpGeral[VALOR UNITÁRIO P/ HORA (R$)])*150,
IF(ISNUMBER(SEARCH("AUXILIAR DE LIMPEZA - 220 H",tabParametros[[#This Row],[Função]],1)),
SUMIF(tabLimpGeral[TIPO],"Material",tabLimpGeral[VALOR UNITÁRIO P/ HORA (R$)])*220,
IF(ISNUMBER(SEARCH("AUXILIAR DE LIMPEZA - 12 x 36",tabParametros[[#This Row],[Função]],1)),
SUMIF(tabLimpGeral[TIPO],"Material",tabLimpGeral[VALOR UNITÁRIO P/ HORA (R$)])*220,
IF(ISNUMBER(SEARCH("Limpador de vidros - 220 h",tabParametros[[#This Row],[Função]],1)),
SUMIF(tabVidros[TIPO],"Material",tabVidros[VALOR UNITÁRIO P/ POSTO (R$)]),
0))))))</f>
        <v>17.759106479291944</v>
      </c>
      <c r="AZ41" s="281">
        <f>IF(ISNUMBER(SEARCH("AUXILIAR DE LIMPEZA - 75 H",tabParametros[[#This Row],[Função]],1)),
SUMIF(tabLimpGeral[TIPO],"Equipamento",tabLimpGeral[VALOR UNITÁRIO P/ HORA (R$)])*75,
IF(ISNUMBER(SEARCH("AUXILIAR DE LIMPEZA - 110 H",tabParametros[[#This Row],[Função]],1)),
SUMIF(tabLimpGeral[TIPO],"Equipamento",tabLimpGeral[VALOR UNITÁRIO P/ HORA (R$)])*110,
IF(ISNUMBER(SEARCH("AUXILIAR DE LIMPEZA - 150 H",tabParametros[[#This Row],[Função]],1)),
SUMIF(tabLimpGeral[TIPO],"Equipamento",tabLimpGeral[VALOR UNITÁRIO P/ HORA (R$)])*150,
IF(ISNUMBER(SEARCH("AUXILIAR DE LIMPEZA - 220 H",tabParametros[[#This Row],[Função]],1)),
SUMIF(tabLimpGeral[TIPO],"Equipamento",tabLimpGeral[VALOR UNITÁRIO P/ HORA (R$)])*220,
IF(ISNUMBER(SEARCH("AUXILIAR DE LIMPEZA - 12 x 36",tabParametros[[#This Row],[Função]],1)),
SUMIF(tabLimpGeral[TIPO],"Equipamento",tabLimpGeral[VALOR UNITÁRIO P/ HORA (R$)])*220,
IF(ISNUMBER(SEARCH("Limpador de vidros - 220 h",tabParametros[[#This Row],[Função]],1)),
SUMIF(tabVidros[TIPO],"Equipamento",tabVidros[VALOR UNITÁRIO P/ POSTO (R$)]),
0))))))</f>
        <v>32.264696957412788</v>
      </c>
      <c r="BA41" s="281">
        <f>IF(ISNUMBER(SEARCH("AUXILIAR DE LIMPEZA - 75 H",tabParametros[[#This Row],[Função]],1)),
SUMIF(tabLimpGeral[TIPO],"Produto",tabLimpGeral[VALOR UNITÁRIO P/ HORA (R$)])*75,
IF(ISNUMBER(SEARCH("AUXILIAR DE LIMPEZA - 110 H",tabParametros[[#This Row],[Função]],1)),
SUMIF(tabLimpGeral[TIPO],"Produto",tabLimpGeral[VALOR UNITÁRIO P/ HORA (R$)])*110,
IF(ISNUMBER(SEARCH("AUXILIAR DE LIMPEZA - 150 H",tabParametros[[#This Row],[Função]],1)),
SUMIF(tabLimpGeral[TIPO],"Produto",tabLimpGeral[VALOR UNITÁRIO P/ HORA (R$)])*150,
IF(ISNUMBER(SEARCH("AUXILIAR DE LIMPEZA - 220 H",tabParametros[[#This Row],[Função]],1)),
SUMIF(tabLimpGeral[TIPO],"Produto",tabLimpGeral[VALOR UNITÁRIO P/ HORA (R$)])*220,
IF(ISNUMBER(SEARCH("AUXILIAR DE LIMPEZA - 12 x 36",tabParametros[[#This Row],[Função]],1)),
SUMIF(tabLimpGeral[TIPO],"Produto",tabLimpGeral[VALOR UNITÁRIO P/ HORA (R$)])*220,
IF(ISNUMBER(SEARCH("Limpador de vidros - 220 h",tabParametros[[#This Row],[Função]],1)),
SUMIF(tabVidros[TIPO],"Produto",tabVidros[VALOR UNITÁRIO P/ POSTO (R$)]),
0))))))</f>
        <v>345.13576638965827</v>
      </c>
      <c r="BB41" s="281">
        <v>0</v>
      </c>
      <c r="BC41" s="236">
        <f>VLOOKUP(tabParametros[[#Headers],[Custos Indiretos]],tabOutrosCustos[],3,0)</f>
        <v>189.64880140242613</v>
      </c>
      <c r="BD41" s="236">
        <f>VLOOKUP(tabParametros[[#Headers],[Lucro]],tabOutrosCustos[],3,0)</f>
        <v>159.30499317803796</v>
      </c>
      <c r="BE41" s="235">
        <f>VLOOKUP(tabParametros[[#Headers],[COFINS]],tabImpostosNacionais[],2,0)</f>
        <v>7.5999999999999998E-2</v>
      </c>
      <c r="BF41" s="235">
        <f>VLOOKUP(tabParametros[[#Headers],[PIS]],tabImpostosNacionais[],2,0)</f>
        <v>1.6500000000000001E-2</v>
      </c>
      <c r="BG41" s="235">
        <f>VLOOKUP(tabParametros[[#This Row],[Comarca]],tabComarca[],4,0)</f>
        <v>0.02</v>
      </c>
      <c r="BH41" s="238">
        <f>IFERROR(VLOOKUP(tabParametros[[#This Row],[CCT DA CATEGORIA]],tabSindicatos[],11,0),"")</f>
        <v>45658</v>
      </c>
      <c r="BI41" s="289" t="str">
        <f>IFERROR(VLOOKUP(tabParametros[[#This Row],[CCT DA CATEGORIA]],tabSindicatos[],12,0),"")</f>
        <v>-</v>
      </c>
      <c r="BJ41" s="293" t="str">
        <f>IFERROR(VLOOKUP(tabParametros[[#This Row],[CCT DA CATEGORIA]],tabSindicatos[],13,0),"")</f>
        <v>-</v>
      </c>
    </row>
    <row r="42" spans="1:62" x14ac:dyDescent="0.25">
      <c r="A42" s="233" t="s">
        <v>1382</v>
      </c>
      <c r="B42" s="198" t="s">
        <v>41</v>
      </c>
      <c r="C42" s="198" t="s">
        <v>1244</v>
      </c>
      <c r="D42" s="198" t="str">
        <f>VLOOKUP(tabParametros[[#This Row],[Código do Posto]],tabPostos[],4,0)</f>
        <v>Sethac Norte de Minas</v>
      </c>
      <c r="E42" s="289" t="str">
        <f>VLOOKUP(tabParametros[[#This Row],[Código do Posto]],tabPostos[],5,0)</f>
        <v>Limpeza</v>
      </c>
      <c r="F42" s="289" t="str">
        <f>VLOOKUP(tabParametros[[#This Row],[Código do Posto]],tabPostos[],6,0)</f>
        <v>PGJ</v>
      </c>
      <c r="G42" s="289">
        <f>VLOOKUP(tabParametros[[#This Row],[Código do Posto]],tabPostos[],7,0)</f>
        <v>1</v>
      </c>
      <c r="H42" s="289">
        <f>VLOOKUP(tabParametros[[#This Row],[Código do Posto]],tabPostos[],8,0)</f>
        <v>0</v>
      </c>
      <c r="I42" s="234">
        <f>VLOOKUP(tabParametros[[#This Row],[Código do Posto]],tabPostos[],9,0)</f>
        <v>798.14</v>
      </c>
      <c r="J42" s="234">
        <f>IF(ISNUMBER(SEARCH("Eletricista",tabParametros[[#This Row],[Função]],1)),0.3*tabParametros[[#This Row],[Salário Base]],0)</f>
        <v>0</v>
      </c>
      <c r="K42" s="234">
        <f>IF(OR(ISNUMBER(SEARCH("Bombeiro Hidraulico",tabParametros[[#This Row],[Função]],1)),ISNUMBER(SEARCH("Jardineiro",tabParametros[[#This Row],[Função]],1)),ISNUMBER(SEARCH("Lavador de Veiculos",tabParametros[[#This Row],[Função]],1)),ISNUMBER(SEARCH("Marceneiro",tabParametros[[#This Row],[Função]],1)),ISNUMBER(SEARCH("Pintor",tabParametros[[#This Row],[Função]],1))),0.2*'BASE GERAL'!$R$4,0)</f>
        <v>0</v>
      </c>
      <c r="L42" s="234">
        <f>IF(AND(ISNUMBER(SEARCH("Noturno",tabParametros[[#This Row],[Função]],1)),tabParametros[[#This Row],[Comarca]]&lt;&gt;"Juiz de Fora"),tabParametros[[#This Row],[Salário Base]]/210*0.39*7*15.5,IF(ISNUMBER(SEARCH("Noturno",tabParametros[[#This Row],[Função]],1)),tabParametros[[#This Row],[Salário Base]]/210*0.2*8*15.5,0))</f>
        <v>0</v>
      </c>
      <c r="M42" s="234">
        <f>IF(ISNUMBER(SEARCH("Motorista II",tabParametros[[#This Row],[Função]],1)),0.25*tabParametros[[#This Row],[Salário Base]],0)</f>
        <v>0</v>
      </c>
      <c r="N42" s="250">
        <v>0</v>
      </c>
      <c r="O42" s="234">
        <f>IF(ISNUMBER(SEARCH("TECNOLOGIA DA INFORMACAO",tabParametros[[#This Row],[Função]],1)),0.0201*tabParametros[[#This Row],[Salário Base]],0)</f>
        <v>0</v>
      </c>
      <c r="P42" s="250" cm="1">
        <f t="array" ref="P42">_xlfn.IFS(
ISNUMBER(SEARCH("Auxiliar de Limpeza - 75 h",tabParametros[[#This Row],[Função]],1)),tabParametros[[#This Row],[Salário Base]]/75*0.75*30*0.12,
ISNUMBER(SEARCH("Auxiliar de Limpeza - 110 h",tabParametros[[#This Row],[Função]],1)),tabParametros[[#This Row],[Salário Base]]/110*1*30*0.12,
ISNUMBER(SEARCH("Auxiliar de Limpeza - 150 h",tabParametros[[#This Row],[Função]],1)),tabParametros[[#This Row],[Salário Base]]/150*1.5*30*0.12,
ISNUMBER(SEARCH("Auxiliar de Limpeza - 220 h",tabParametros[[#This Row],[Função]],1)),tabParametros[[#This Row],[Salário Base]]/220*2*30*0.12,
ISNUMBER(SEARCH("Auxiliar de Limpeza - 12 x 36",tabParametros[[#This Row],[Função]],1)),tabParametros[[#This Row],[Salário Base]]/220*2*30*0.12,
ISNUMBER(SEARCH("Auxiliar de Limpeza - 55 h",tabParametros[[#This Row],[Função]],1))=FALSE,0)</f>
        <v>26.120945454545453</v>
      </c>
      <c r="Q42" s="235">
        <f>VLOOKUP(tabParametros[[#Headers],[INSS]],tabImpostosNacionais[],2,0)</f>
        <v>0.2</v>
      </c>
      <c r="R42" s="235">
        <f>VLOOKUP(tabParametros[[#Headers],[SESI OU SESC]],tabImpostosNacionais[],2,0)</f>
        <v>1.4999999999999999E-2</v>
      </c>
      <c r="S42" s="235">
        <f>VLOOKUP(tabParametros[[#Headers],[SENAI OU SENAC]],tabImpostosNacionais[],2,0)</f>
        <v>0.01</v>
      </c>
      <c r="T42" s="235">
        <f>VLOOKUP(tabParametros[[#Headers],[INCRA]],tabImpostosNacionais[],2,0)</f>
        <v>2E-3</v>
      </c>
      <c r="U42" s="235">
        <f>VLOOKUP(tabParametros[[#Headers],[Salário Educação]],tabImpostosNacionais[],2,0)</f>
        <v>2.5000000000000001E-2</v>
      </c>
      <c r="V42" s="235">
        <f>VLOOKUP(tabParametros[[#Headers],[FGTS]],tabImpostosNacionais[],2,0)</f>
        <v>0.08</v>
      </c>
      <c r="W42" s="235">
        <f>VLOOKUP(tabParametros[[#Headers],[RAT Ajustado]],tabImpostosNacionais[],2,0)</f>
        <v>0.04</v>
      </c>
      <c r="X42" s="235">
        <f>VLOOKUP(tabParametros[[#Headers],[SEBRAE]],tabImpostosNacionais[],2,0)</f>
        <v>6.0000000000000001E-3</v>
      </c>
      <c r="Y42" s="235">
        <f t="shared" si="0"/>
        <v>8.3333333333333329E-2</v>
      </c>
      <c r="Z42" s="251">
        <f t="shared" si="1"/>
        <v>0.1111111111111111</v>
      </c>
      <c r="AA42" s="234">
        <f>VLOOKUP(tabParametros[[#This Row],[Comarca]],tabComarca[],5,0)</f>
        <v>6.4</v>
      </c>
      <c r="AB42" s="234">
        <f>IFERROR(VLOOKUP(tabParametros[[#This Row],[CCT DA CATEGORIA]],tabSindicatos[],6,0),0)</f>
        <v>29.15</v>
      </c>
      <c r="AC42" s="234">
        <f>IFERROR(VLOOKUP(tabParametros[[#This Row],[CCT DA CATEGORIA]],tabSindicatos[],7,0),0)</f>
        <v>0</v>
      </c>
      <c r="AD42" s="234" cm="1">
        <f t="array" ref="AD42">_xlfn.LET(
_xlpm.COMARCA, TRIM(UPPER(SUBSTITUTE(SUBSTITUTE(SUBSTITUTE(SUBSTITUTE(SUBSTITUTE(SUBSTITUTE(SUBSTITUTE(SUBSTITUTE(SUBSTITUTE(SUBSTITUTE(SUBSTITUTE(SUBSTITUTE(SUBSTITUTE(SUBSTITUTE(SUBSTITUTE(SUBSTITUTE(SUBSTITUTE(SUBSTITUTE(SUBSTITUTE(SUBSTITUTE(SUBSTITUTE(SUBSTITUTE(SUBSTITUTE(SUBSTITUTE(SUBSTITUTE(SUBSTITUTE(tabParametros[[#This Row],[Comarca]],"á","a"),"ã","a"),"â","a"),"é","e"),"ê","e"),"í","i"),"ó","o"),"õ","o"),"ô","o"),"ú","u"),"ç","c"),"Á","a"),"Ã","a"),"Â","a"),"É","e"),"Ê","e"),"Í","i"),"Ó","o"),"Õ","o"),"Ô","o"),"Ú","u"),"Ç","c"),"/MG","")," e ",", ")," ",""),".",""))),
_xlpm.MATRIZ_COMARCA, TRIM(UPPER(SUBSTITUTE(SUBSTITUTE(SUBSTITUTE(SUBSTITUTE(SUBSTITUTE(SUBSTITUTE(SUBSTITUTE(SUBSTITUTE(SUBSTITUTE(SUBSTITUTE(SUBSTITUTE(SUBSTITUTE(SUBSTITUTE(SUBSTITUTE(SUBSTITUTE(SUBSTITUTE(SUBSTITUTE(SUBSTITUTE(SUBSTITUTE(SUBSTITUTE(SUBSTITUTE(SUBSTITUTE(SUBSTITUTE(SUBSTITUTE(SUBSTITUTE(SUBSTITUTE(tabSindicatos[COMARCAS PAF],"á","a"),"ã","a"),"â","a"),"é","e"),"ê","e"),"í","i"),"ó","o"),"õ","o"),"ô","o"),"ú","u"),"ç","c"),"Á","a"),"Ã","a"),"Â","a"),"É","e"),"Ê","e"),"Í","i"),"Ó","o"),"Õ","o"),"Ô","o"),"Ú","u"),"Ç","c"),"/MG","")," e ",", ")," ",""),".",""))),
IFERROR(IF(_xlfn.XLOOKUP(tabParametros[[#This Row],[CCT DA CATEGORIA]],tabSindicatos[SINDICATOS],tabSindicatos[COMARCAS PAF])="",
VLOOKUP(tabParametros[[#This Row],[CCT DA CATEGORIA]],tabSindicatos[],8,0),
IF(ISNUMBER(SEARCH(TRIM(_xlpm.COMARCA),_xlfn.XLOOKUP(tabParametros[[#This Row],[CCT DA CATEGORIA]],tabSindicatos[SINDICATOS],_xlpm.MATRIZ_COMARCA),1)),VLOOKUP(tabParametros[[#This Row],[CCT DA CATEGORIA]],tabSindicatos[],8,0),0)
),0)
)</f>
        <v>0</v>
      </c>
      <c r="AE42" s="234">
        <f>IFERROR(VLOOKUP(tabParametros[[#This Row],[CCT DA CATEGORIA]],tabSindicatos[],9,0),0)</f>
        <v>0</v>
      </c>
      <c r="AF42" s="234">
        <f>IFERROR(VLOOKUP(tabParametros[[#This Row],[CCT DA CATEGORIA]],tabSindicatos[],10,0),0)</f>
        <v>0</v>
      </c>
      <c r="AG42" s="236">
        <f>VLOOKUP(tabParametros[[#Headers],[Seguro de Vida]],tabOutrosCustos[],3,0)</f>
        <v>3.36</v>
      </c>
      <c r="AH42" s="236">
        <f>IF(ISNUMBER(SEARCH("MOTORISTA",tabParametros[[#This Row],[Função]],1)),VLOOKUP("MOTORISTAS",tabDiarias[],2,0),IF(tabParametros[[#This Row],[Comarca]]="Belo Horizonte",VLOOKUP("LIMPEZA",tabDiarias[],2,0),0))</f>
        <v>0</v>
      </c>
      <c r="AI42" s="235">
        <f t="shared" si="2"/>
        <v>7.011766975308642E-3</v>
      </c>
      <c r="AJ42" s="237">
        <f>tabParametros[[#This Row],[FGTS]]*tabParametros[[#This Row],[Aviso Prévio Indenizado (API) e Reflexo do Aviso Prévio Indenizado]]</f>
        <v>5.609413580246914E-4</v>
      </c>
      <c r="AK42" s="237">
        <f>tabParametros[[#This Row],[FGTS]]*tabParametros[[#This Row],[Aviso Prévio Indenizado (API) e Reflexo do Aviso Prévio Indenizado]]*40%</f>
        <v>2.2437654320987658E-4</v>
      </c>
      <c r="AL42" s="235">
        <f t="shared" si="3"/>
        <v>3.5000000000000005E-3</v>
      </c>
      <c r="AM42" s="235">
        <f>tabParametros[[#This Row],[Aviso Prévio Trabalhado - APT]]*SUM(tabParametros[[#This Row],[INSS]:[SEBRAE]])</f>
        <v>1.3230000000000004E-3</v>
      </c>
      <c r="AN42" s="235">
        <f t="shared" si="4"/>
        <v>3.0577777777777773E-2</v>
      </c>
      <c r="AO42" s="235">
        <f t="shared" si="5"/>
        <v>8.3333333333333339E-4</v>
      </c>
      <c r="AP42" s="235">
        <f t="shared" si="6"/>
        <v>8.4444444444444437E-3</v>
      </c>
      <c r="AQ42" s="235">
        <f t="shared" si="7"/>
        <v>2.0277777777777777E-3</v>
      </c>
      <c r="AR42" s="235">
        <f t="shared" si="8"/>
        <v>1.7083333333333333E-4</v>
      </c>
      <c r="AS42" s="235">
        <f t="shared" si="9"/>
        <v>2.0833333333333335E-4</v>
      </c>
      <c r="AT42" s="235">
        <f t="shared" si="10"/>
        <v>1.2962962962962963E-3</v>
      </c>
      <c r="AU42" s="237">
        <f>SUM(tabParametros[[#This Row],[Ausência por Doença]:[Férias, Adicional de Férias e 13º  com empregada em gozo de Licença Maternidade]])*SUM(tabParametros[[#This Row],[INSS]:[SEBRAE]])</f>
        <v>4.5918250000000008E-3</v>
      </c>
      <c r="AV42" s="234">
        <f>IF(tabParametros[[#This Row],[Função]]="Porteiro - 220 h",SUM(tabParametros[[#This Row],[Salário Base]:[Adicional de Acúmulo de função]])/220*20*1.5,IF(ISNUMBER(SEARCH("12 x 36",tabParametros[[#This Row],[Função]],1)),SUM(tabParametros[[#This Row],[Salário Base]:[Adicional de Acúmulo de função]])/210*15.5*1.5,0))</f>
        <v>0</v>
      </c>
      <c r="AW42" s="234">
        <f>IF(tabParametros[[#This Row],[Vagas contratadas]]&gt;0,(SUM(tabParametros[[#This Row],[Salário Base]:[Adicional de Acúmulo de função]])*30%+SUM(tabParametros[[#This Row],[Vale - Alimentação]:[Seguro de Vida]]))/tabParametros[[#This Row],[Vagas contratadas]]*tabParametros[[#This Row],[Vagas suspensas]],0)</f>
        <v>0</v>
      </c>
      <c r="AX42" s="234">
        <f>SUMIF(tabUniformes[Cargo],tabParametros[[#This Row],[Função]],tabUniformes[Valor unit. Mensal])</f>
        <v>62.806666666666665</v>
      </c>
      <c r="AY42" s="281">
        <f>IF(ISNUMBER(SEARCH("AUXILIAR DE LIMPEZA - 75 H",tabParametros[[#This Row],[Função]],1)),
SUMIF(tabLimpGeral[TIPO],"Material",tabLimpGeral[VALOR UNITÁRIO P/ HORA (R$)])*75,
IF(ISNUMBER(SEARCH("AUXILIAR DE LIMPEZA - 110 H",tabParametros[[#This Row],[Função]],1)),
SUMIF(tabLimpGeral[TIPO],"Material",tabLimpGeral[VALOR UNITÁRIO P/ HORA (R$)])*110,
IF(ISNUMBER(SEARCH("AUXILIAR DE LIMPEZA - 150 H",tabParametros[[#This Row],[Função]],1)),
SUMIF(tabLimpGeral[TIPO],"Material",tabLimpGeral[VALOR UNITÁRIO P/ HORA (R$)])*150,
IF(ISNUMBER(SEARCH("AUXILIAR DE LIMPEZA - 220 H",tabParametros[[#This Row],[Função]],1)),
SUMIF(tabLimpGeral[TIPO],"Material",tabLimpGeral[VALOR UNITÁRIO P/ HORA (R$)])*220,
IF(ISNUMBER(SEARCH("AUXILIAR DE LIMPEZA - 12 x 36",tabParametros[[#This Row],[Função]],1)),
SUMIF(tabLimpGeral[TIPO],"Material",tabLimpGeral[VALOR UNITÁRIO P/ HORA (R$)])*220,
IF(ISNUMBER(SEARCH("Limpador de vidros - 220 h",tabParametros[[#This Row],[Função]],1)),
SUMIF(tabVidros[TIPO],"Material",tabVidros[VALOR UNITÁRIO P/ POSTO (R$)]),
0))))))</f>
        <v>17.759106479291944</v>
      </c>
      <c r="AZ42" s="281">
        <f>IF(ISNUMBER(SEARCH("AUXILIAR DE LIMPEZA - 75 H",tabParametros[[#This Row],[Função]],1)),
SUMIF(tabLimpGeral[TIPO],"Equipamento",tabLimpGeral[VALOR UNITÁRIO P/ HORA (R$)])*75,
IF(ISNUMBER(SEARCH("AUXILIAR DE LIMPEZA - 110 H",tabParametros[[#This Row],[Função]],1)),
SUMIF(tabLimpGeral[TIPO],"Equipamento",tabLimpGeral[VALOR UNITÁRIO P/ HORA (R$)])*110,
IF(ISNUMBER(SEARCH("AUXILIAR DE LIMPEZA - 150 H",tabParametros[[#This Row],[Função]],1)),
SUMIF(tabLimpGeral[TIPO],"Equipamento",tabLimpGeral[VALOR UNITÁRIO P/ HORA (R$)])*150,
IF(ISNUMBER(SEARCH("AUXILIAR DE LIMPEZA - 220 H",tabParametros[[#This Row],[Função]],1)),
SUMIF(tabLimpGeral[TIPO],"Equipamento",tabLimpGeral[VALOR UNITÁRIO P/ HORA (R$)])*220,
IF(ISNUMBER(SEARCH("AUXILIAR DE LIMPEZA - 12 x 36",tabParametros[[#This Row],[Função]],1)),
SUMIF(tabLimpGeral[TIPO],"Equipamento",tabLimpGeral[VALOR UNITÁRIO P/ HORA (R$)])*220,
IF(ISNUMBER(SEARCH("Limpador de vidros - 220 h",tabParametros[[#This Row],[Função]],1)),
SUMIF(tabVidros[TIPO],"Equipamento",tabVidros[VALOR UNITÁRIO P/ POSTO (R$)]),
0))))))</f>
        <v>32.264696957412788</v>
      </c>
      <c r="BA42" s="281">
        <f>IF(ISNUMBER(SEARCH("AUXILIAR DE LIMPEZA - 75 H",tabParametros[[#This Row],[Função]],1)),
SUMIF(tabLimpGeral[TIPO],"Produto",tabLimpGeral[VALOR UNITÁRIO P/ HORA (R$)])*75,
IF(ISNUMBER(SEARCH("AUXILIAR DE LIMPEZA - 110 H",tabParametros[[#This Row],[Função]],1)),
SUMIF(tabLimpGeral[TIPO],"Produto",tabLimpGeral[VALOR UNITÁRIO P/ HORA (R$)])*110,
IF(ISNUMBER(SEARCH("AUXILIAR DE LIMPEZA - 150 H",tabParametros[[#This Row],[Função]],1)),
SUMIF(tabLimpGeral[TIPO],"Produto",tabLimpGeral[VALOR UNITÁRIO P/ HORA (R$)])*150,
IF(ISNUMBER(SEARCH("AUXILIAR DE LIMPEZA - 220 H",tabParametros[[#This Row],[Função]],1)),
SUMIF(tabLimpGeral[TIPO],"Produto",tabLimpGeral[VALOR UNITÁRIO P/ HORA (R$)])*220,
IF(ISNUMBER(SEARCH("AUXILIAR DE LIMPEZA - 12 x 36",tabParametros[[#This Row],[Função]],1)),
SUMIF(tabLimpGeral[TIPO],"Produto",tabLimpGeral[VALOR UNITÁRIO P/ HORA (R$)])*220,
IF(ISNUMBER(SEARCH("Limpador de vidros - 220 h",tabParametros[[#This Row],[Função]],1)),
SUMIF(tabVidros[TIPO],"Produto",tabVidros[VALOR UNITÁRIO P/ POSTO (R$)]),
0))))))</f>
        <v>345.13576638965827</v>
      </c>
      <c r="BB42" s="281">
        <v>0</v>
      </c>
      <c r="BC42" s="236">
        <f>VLOOKUP(tabParametros[[#Headers],[Custos Indiretos]],tabOutrosCustos[],3,0)</f>
        <v>189.64880140242613</v>
      </c>
      <c r="BD42" s="236">
        <f>VLOOKUP(tabParametros[[#Headers],[Lucro]],tabOutrosCustos[],3,0)</f>
        <v>159.30499317803796</v>
      </c>
      <c r="BE42" s="235">
        <f>VLOOKUP(tabParametros[[#Headers],[COFINS]],tabImpostosNacionais[],2,0)</f>
        <v>7.5999999999999998E-2</v>
      </c>
      <c r="BF42" s="235">
        <f>VLOOKUP(tabParametros[[#Headers],[PIS]],tabImpostosNacionais[],2,0)</f>
        <v>1.6500000000000001E-2</v>
      </c>
      <c r="BG42" s="235">
        <f>VLOOKUP(tabParametros[[#This Row],[Comarca]],tabComarca[],4,0)</f>
        <v>0.03</v>
      </c>
      <c r="BH42" s="238">
        <f>IFERROR(VLOOKUP(tabParametros[[#This Row],[CCT DA CATEGORIA]],tabSindicatos[],11,0),"")</f>
        <v>45658</v>
      </c>
      <c r="BI42" s="289" t="str">
        <f>IFERROR(VLOOKUP(tabParametros[[#This Row],[CCT DA CATEGORIA]],tabSindicatos[],12,0),"")</f>
        <v>-</v>
      </c>
      <c r="BJ42" s="293" t="str">
        <f>IFERROR(VLOOKUP(tabParametros[[#This Row],[CCT DA CATEGORIA]],tabSindicatos[],13,0),"")</f>
        <v>-</v>
      </c>
    </row>
    <row r="43" spans="1:62" x14ac:dyDescent="0.25">
      <c r="A43" s="233" t="s">
        <v>1383</v>
      </c>
      <c r="B43" s="198" t="s">
        <v>42</v>
      </c>
      <c r="C43" s="198" t="s">
        <v>1247</v>
      </c>
      <c r="D43" s="198" t="str">
        <f>VLOOKUP(tabParametros[[#This Row],[Código do Posto]],tabPostos[],4,0)</f>
        <v>Fethemg Interior</v>
      </c>
      <c r="E43" s="289" t="str">
        <f>VLOOKUP(tabParametros[[#This Row],[Código do Posto]],tabPostos[],5,0)</f>
        <v>Limpeza</v>
      </c>
      <c r="F43" s="289" t="str">
        <f>VLOOKUP(tabParametros[[#This Row],[Código do Posto]],tabPostos[],6,0)</f>
        <v>PGJ</v>
      </c>
      <c r="G43" s="289">
        <f>VLOOKUP(tabParametros[[#This Row],[Código do Posto]],tabPostos[],7,0)</f>
        <v>1</v>
      </c>
      <c r="H43" s="289">
        <f>VLOOKUP(tabParametros[[#This Row],[Código do Posto]],tabPostos[],8,0)</f>
        <v>0</v>
      </c>
      <c r="I43" s="234">
        <f>VLOOKUP(tabParametros[[#This Row],[Código do Posto]],tabPostos[],9,0)</f>
        <v>544.17999999999995</v>
      </c>
      <c r="J43" s="234">
        <f>IF(ISNUMBER(SEARCH("Eletricista",tabParametros[[#This Row],[Função]],1)),0.3*tabParametros[[#This Row],[Salário Base]],0)</f>
        <v>0</v>
      </c>
      <c r="K43" s="234">
        <f>IF(OR(ISNUMBER(SEARCH("Bombeiro Hidraulico",tabParametros[[#This Row],[Função]],1)),ISNUMBER(SEARCH("Jardineiro",tabParametros[[#This Row],[Função]],1)),ISNUMBER(SEARCH("Lavador de Veiculos",tabParametros[[#This Row],[Função]],1)),ISNUMBER(SEARCH("Marceneiro",tabParametros[[#This Row],[Função]],1)),ISNUMBER(SEARCH("Pintor",tabParametros[[#This Row],[Função]],1))),0.2*'BASE GERAL'!$R$4,0)</f>
        <v>0</v>
      </c>
      <c r="L43" s="234">
        <f>IF(AND(ISNUMBER(SEARCH("Noturno",tabParametros[[#This Row],[Função]],1)),tabParametros[[#This Row],[Comarca]]&lt;&gt;"Juiz de Fora"),tabParametros[[#This Row],[Salário Base]]/210*0.39*7*15.5,IF(ISNUMBER(SEARCH("Noturno",tabParametros[[#This Row],[Função]],1)),tabParametros[[#This Row],[Salário Base]]/210*0.2*8*15.5,0))</f>
        <v>0</v>
      </c>
      <c r="M43" s="234">
        <f>IF(ISNUMBER(SEARCH("Motorista II",tabParametros[[#This Row],[Função]],1)),0.25*tabParametros[[#This Row],[Salário Base]],0)</f>
        <v>0</v>
      </c>
      <c r="N43" s="250">
        <v>0</v>
      </c>
      <c r="O43" s="234">
        <f>IF(ISNUMBER(SEARCH("TECNOLOGIA DA INFORMACAO",tabParametros[[#This Row],[Função]],1)),0.0201*tabParametros[[#This Row],[Salário Base]],0)</f>
        <v>0</v>
      </c>
      <c r="P43" s="250" cm="1">
        <f t="array" ref="P43">_xlfn.IFS(
ISNUMBER(SEARCH("Auxiliar de Limpeza - 75 h",tabParametros[[#This Row],[Função]],1)),tabParametros[[#This Row],[Salário Base]]/75*0.75*30*0.12,
ISNUMBER(SEARCH("Auxiliar de Limpeza - 110 h",tabParametros[[#This Row],[Função]],1)),tabParametros[[#This Row],[Salário Base]]/110*1*30*0.12,
ISNUMBER(SEARCH("Auxiliar de Limpeza - 150 h",tabParametros[[#This Row],[Função]],1)),tabParametros[[#This Row],[Salário Base]]/150*1.5*30*0.12,
ISNUMBER(SEARCH("Auxiliar de Limpeza - 220 h",tabParametros[[#This Row],[Função]],1)),tabParametros[[#This Row],[Salário Base]]/220*2*30*0.12,
ISNUMBER(SEARCH("Auxiliar de Limpeza - 12 x 36",tabParametros[[#This Row],[Função]],1)),tabParametros[[#This Row],[Salário Base]]/220*2*30*0.12,
ISNUMBER(SEARCH("Auxiliar de Limpeza - 55 h",tabParametros[[#This Row],[Função]],1))=FALSE,0)</f>
        <v>19.590479999999999</v>
      </c>
      <c r="Q43" s="235">
        <f>VLOOKUP(tabParametros[[#Headers],[INSS]],tabImpostosNacionais[],2,0)</f>
        <v>0.2</v>
      </c>
      <c r="R43" s="235">
        <f>VLOOKUP(tabParametros[[#Headers],[SESI OU SESC]],tabImpostosNacionais[],2,0)</f>
        <v>1.4999999999999999E-2</v>
      </c>
      <c r="S43" s="235">
        <f>VLOOKUP(tabParametros[[#Headers],[SENAI OU SENAC]],tabImpostosNacionais[],2,0)</f>
        <v>0.01</v>
      </c>
      <c r="T43" s="235">
        <f>VLOOKUP(tabParametros[[#Headers],[INCRA]],tabImpostosNacionais[],2,0)</f>
        <v>2E-3</v>
      </c>
      <c r="U43" s="235">
        <f>VLOOKUP(tabParametros[[#Headers],[Salário Educação]],tabImpostosNacionais[],2,0)</f>
        <v>2.5000000000000001E-2</v>
      </c>
      <c r="V43" s="235">
        <f>VLOOKUP(tabParametros[[#Headers],[FGTS]],tabImpostosNacionais[],2,0)</f>
        <v>0.08</v>
      </c>
      <c r="W43" s="235">
        <f>VLOOKUP(tabParametros[[#Headers],[RAT Ajustado]],tabImpostosNacionais[],2,0)</f>
        <v>0.04</v>
      </c>
      <c r="X43" s="235">
        <f>VLOOKUP(tabParametros[[#Headers],[SEBRAE]],tabImpostosNacionais[],2,0)</f>
        <v>6.0000000000000001E-3</v>
      </c>
      <c r="Y43" s="235">
        <f t="shared" si="0"/>
        <v>8.3333333333333329E-2</v>
      </c>
      <c r="Z43" s="251">
        <f t="shared" si="1"/>
        <v>0.1111111111111111</v>
      </c>
      <c r="AA43" s="234">
        <f>VLOOKUP(tabParametros[[#This Row],[Comarca]],tabComarca[],5,0)</f>
        <v>6.4</v>
      </c>
      <c r="AB43" s="234">
        <f>IFERROR(VLOOKUP(tabParametros[[#This Row],[CCT DA CATEGORIA]],tabSindicatos[],6,0),0)</f>
        <v>29.15</v>
      </c>
      <c r="AC43" s="234">
        <f>IFERROR(VLOOKUP(tabParametros[[#This Row],[CCT DA CATEGORIA]],tabSindicatos[],7,0),0)</f>
        <v>0</v>
      </c>
      <c r="AD43" s="234" cm="1">
        <f t="array" ref="AD43">_xlfn.LET(
_xlpm.COMARCA, TRIM(UPPER(SUBSTITUTE(SUBSTITUTE(SUBSTITUTE(SUBSTITUTE(SUBSTITUTE(SUBSTITUTE(SUBSTITUTE(SUBSTITUTE(SUBSTITUTE(SUBSTITUTE(SUBSTITUTE(SUBSTITUTE(SUBSTITUTE(SUBSTITUTE(SUBSTITUTE(SUBSTITUTE(SUBSTITUTE(SUBSTITUTE(SUBSTITUTE(SUBSTITUTE(SUBSTITUTE(SUBSTITUTE(SUBSTITUTE(SUBSTITUTE(SUBSTITUTE(SUBSTITUTE(tabParametros[[#This Row],[Comarca]],"á","a"),"ã","a"),"â","a"),"é","e"),"ê","e"),"í","i"),"ó","o"),"õ","o"),"ô","o"),"ú","u"),"ç","c"),"Á","a"),"Ã","a"),"Â","a"),"É","e"),"Ê","e"),"Í","i"),"Ó","o"),"Õ","o"),"Ô","o"),"Ú","u"),"Ç","c"),"/MG","")," e ",", ")," ",""),".",""))),
_xlpm.MATRIZ_COMARCA, TRIM(UPPER(SUBSTITUTE(SUBSTITUTE(SUBSTITUTE(SUBSTITUTE(SUBSTITUTE(SUBSTITUTE(SUBSTITUTE(SUBSTITUTE(SUBSTITUTE(SUBSTITUTE(SUBSTITUTE(SUBSTITUTE(SUBSTITUTE(SUBSTITUTE(SUBSTITUTE(SUBSTITUTE(SUBSTITUTE(SUBSTITUTE(SUBSTITUTE(SUBSTITUTE(SUBSTITUTE(SUBSTITUTE(SUBSTITUTE(SUBSTITUTE(SUBSTITUTE(SUBSTITUTE(tabSindicatos[COMARCAS PAF],"á","a"),"ã","a"),"â","a"),"é","e"),"ê","e"),"í","i"),"ó","o"),"õ","o"),"ô","o"),"ú","u"),"ç","c"),"Á","a"),"Ã","a"),"Â","a"),"É","e"),"Ê","e"),"Í","i"),"Ó","o"),"Õ","o"),"Ô","o"),"Ú","u"),"Ç","c"),"/MG","")," e ",", ")," ",""),".",""))),
IFERROR(IF(_xlfn.XLOOKUP(tabParametros[[#This Row],[CCT DA CATEGORIA]],tabSindicatos[SINDICATOS],tabSindicatos[COMARCAS PAF])="",
VLOOKUP(tabParametros[[#This Row],[CCT DA CATEGORIA]],tabSindicatos[],8,0),
IF(ISNUMBER(SEARCH(TRIM(_xlpm.COMARCA),_xlfn.XLOOKUP(tabParametros[[#This Row],[CCT DA CATEGORIA]],tabSindicatos[SINDICATOS],_xlpm.MATRIZ_COMARCA),1)),VLOOKUP(tabParametros[[#This Row],[CCT DA CATEGORIA]],tabSindicatos[],8,0),0)
),0)
)</f>
        <v>0</v>
      </c>
      <c r="AE43" s="234">
        <f>IFERROR(VLOOKUP(tabParametros[[#This Row],[CCT DA CATEGORIA]],tabSindicatos[],9,0),0)</f>
        <v>15.07</v>
      </c>
      <c r="AF43" s="234">
        <f>IFERROR(VLOOKUP(tabParametros[[#This Row],[CCT DA CATEGORIA]],tabSindicatos[],10,0),0)</f>
        <v>0</v>
      </c>
      <c r="AG43" s="236">
        <f>VLOOKUP(tabParametros[[#Headers],[Seguro de Vida]],tabOutrosCustos[],3,0)</f>
        <v>3.36</v>
      </c>
      <c r="AH43" s="236">
        <f>IF(ISNUMBER(SEARCH("MOTORISTA",tabParametros[[#This Row],[Função]],1)),VLOOKUP("MOTORISTAS",tabDiarias[],2,0),IF(tabParametros[[#This Row],[Comarca]]="Belo Horizonte",VLOOKUP("LIMPEZA",tabDiarias[],2,0),0))</f>
        <v>0</v>
      </c>
      <c r="AI43" s="235">
        <f t="shared" si="2"/>
        <v>7.011766975308642E-3</v>
      </c>
      <c r="AJ43" s="237">
        <f>tabParametros[[#This Row],[FGTS]]*tabParametros[[#This Row],[Aviso Prévio Indenizado (API) e Reflexo do Aviso Prévio Indenizado]]</f>
        <v>5.609413580246914E-4</v>
      </c>
      <c r="AK43" s="237">
        <f>tabParametros[[#This Row],[FGTS]]*tabParametros[[#This Row],[Aviso Prévio Indenizado (API) e Reflexo do Aviso Prévio Indenizado]]*40%</f>
        <v>2.2437654320987658E-4</v>
      </c>
      <c r="AL43" s="235">
        <f t="shared" si="3"/>
        <v>3.5000000000000005E-3</v>
      </c>
      <c r="AM43" s="235">
        <f>tabParametros[[#This Row],[Aviso Prévio Trabalhado - APT]]*SUM(tabParametros[[#This Row],[INSS]:[SEBRAE]])</f>
        <v>1.3230000000000004E-3</v>
      </c>
      <c r="AN43" s="235">
        <f t="shared" si="4"/>
        <v>3.0577777777777773E-2</v>
      </c>
      <c r="AO43" s="235">
        <f t="shared" si="5"/>
        <v>8.3333333333333339E-4</v>
      </c>
      <c r="AP43" s="235">
        <f t="shared" si="6"/>
        <v>8.4444444444444437E-3</v>
      </c>
      <c r="AQ43" s="235">
        <f t="shared" si="7"/>
        <v>2.0277777777777777E-3</v>
      </c>
      <c r="AR43" s="235">
        <f t="shared" si="8"/>
        <v>1.7083333333333333E-4</v>
      </c>
      <c r="AS43" s="235">
        <f t="shared" si="9"/>
        <v>2.0833333333333335E-4</v>
      </c>
      <c r="AT43" s="235">
        <f t="shared" si="10"/>
        <v>1.2962962962962963E-3</v>
      </c>
      <c r="AU43" s="237">
        <f>SUM(tabParametros[[#This Row],[Ausência por Doença]:[Férias, Adicional de Férias e 13º  com empregada em gozo de Licença Maternidade]])*SUM(tabParametros[[#This Row],[INSS]:[SEBRAE]])</f>
        <v>4.5918250000000008E-3</v>
      </c>
      <c r="AV43" s="234">
        <f>IF(tabParametros[[#This Row],[Função]]="Porteiro - 220 h",SUM(tabParametros[[#This Row],[Salário Base]:[Adicional de Acúmulo de função]])/220*20*1.5,IF(ISNUMBER(SEARCH("12 x 36",tabParametros[[#This Row],[Função]],1)),SUM(tabParametros[[#This Row],[Salário Base]:[Adicional de Acúmulo de função]])/210*15.5*1.5,0))</f>
        <v>0</v>
      </c>
      <c r="AW43" s="234">
        <f>IF(tabParametros[[#This Row],[Vagas contratadas]]&gt;0,(SUM(tabParametros[[#This Row],[Salário Base]:[Adicional de Acúmulo de função]])*30%+SUM(tabParametros[[#This Row],[Vale - Alimentação]:[Seguro de Vida]]))/tabParametros[[#This Row],[Vagas contratadas]]*tabParametros[[#This Row],[Vagas suspensas]],0)</f>
        <v>0</v>
      </c>
      <c r="AX43" s="234">
        <f>SUMIF(tabUniformes[Cargo],tabParametros[[#This Row],[Função]],tabUniformes[Valor unit. Mensal])</f>
        <v>62.806666666666665</v>
      </c>
      <c r="AY43" s="281">
        <f>IF(ISNUMBER(SEARCH("AUXILIAR DE LIMPEZA - 75 H",tabParametros[[#This Row],[Função]],1)),
SUMIF(tabLimpGeral[TIPO],"Material",tabLimpGeral[VALOR UNITÁRIO P/ HORA (R$)])*75,
IF(ISNUMBER(SEARCH("AUXILIAR DE LIMPEZA - 110 H",tabParametros[[#This Row],[Função]],1)),
SUMIF(tabLimpGeral[TIPO],"Material",tabLimpGeral[VALOR UNITÁRIO P/ HORA (R$)])*110,
IF(ISNUMBER(SEARCH("AUXILIAR DE LIMPEZA - 150 H",tabParametros[[#This Row],[Função]],1)),
SUMIF(tabLimpGeral[TIPO],"Material",tabLimpGeral[VALOR UNITÁRIO P/ HORA (R$)])*150,
IF(ISNUMBER(SEARCH("AUXILIAR DE LIMPEZA - 220 H",tabParametros[[#This Row],[Função]],1)),
SUMIF(tabLimpGeral[TIPO],"Material",tabLimpGeral[VALOR UNITÁRIO P/ HORA (R$)])*220,
IF(ISNUMBER(SEARCH("AUXILIAR DE LIMPEZA - 12 x 36",tabParametros[[#This Row],[Função]],1)),
SUMIF(tabLimpGeral[TIPO],"Material",tabLimpGeral[VALOR UNITÁRIO P/ HORA (R$)])*220,
IF(ISNUMBER(SEARCH("Limpador de vidros - 220 h",tabParametros[[#This Row],[Função]],1)),
SUMIF(tabVidros[TIPO],"Material",tabVidros[VALOR UNITÁRIO P/ POSTO (R$)]),
0))))))</f>
        <v>12.108481690426325</v>
      </c>
      <c r="AZ43" s="281">
        <f>IF(ISNUMBER(SEARCH("AUXILIAR DE LIMPEZA - 75 H",tabParametros[[#This Row],[Função]],1)),
SUMIF(tabLimpGeral[TIPO],"Equipamento",tabLimpGeral[VALOR UNITÁRIO P/ HORA (R$)])*75,
IF(ISNUMBER(SEARCH("AUXILIAR DE LIMPEZA - 110 H",tabParametros[[#This Row],[Função]],1)),
SUMIF(tabLimpGeral[TIPO],"Equipamento",tabLimpGeral[VALOR UNITÁRIO P/ HORA (R$)])*110,
IF(ISNUMBER(SEARCH("AUXILIAR DE LIMPEZA - 150 H",tabParametros[[#This Row],[Função]],1)),
SUMIF(tabLimpGeral[TIPO],"Equipamento",tabLimpGeral[VALOR UNITÁRIO P/ HORA (R$)])*150,
IF(ISNUMBER(SEARCH("AUXILIAR DE LIMPEZA - 220 H",tabParametros[[#This Row],[Função]],1)),
SUMIF(tabLimpGeral[TIPO],"Equipamento",tabLimpGeral[VALOR UNITÁRIO P/ HORA (R$)])*220,
IF(ISNUMBER(SEARCH("AUXILIAR DE LIMPEZA - 12 x 36",tabParametros[[#This Row],[Função]],1)),
SUMIF(tabLimpGeral[TIPO],"Equipamento",tabLimpGeral[VALOR UNITÁRIO P/ HORA (R$)])*220,
IF(ISNUMBER(SEARCH("Limpador de vidros - 220 h",tabParametros[[#This Row],[Função]],1)),
SUMIF(tabVidros[TIPO],"Equipamento",tabVidros[VALOR UNITÁRIO P/ POSTO (R$)]),
0))))))</f>
        <v>21.998657016417809</v>
      </c>
      <c r="BA43" s="281">
        <f>IF(ISNUMBER(SEARCH("AUXILIAR DE LIMPEZA - 75 H",tabParametros[[#This Row],[Função]],1)),
SUMIF(tabLimpGeral[TIPO],"Produto",tabLimpGeral[VALOR UNITÁRIO P/ HORA (R$)])*75,
IF(ISNUMBER(SEARCH("AUXILIAR DE LIMPEZA - 110 H",tabParametros[[#This Row],[Função]],1)),
SUMIF(tabLimpGeral[TIPO],"Produto",tabLimpGeral[VALOR UNITÁRIO P/ HORA (R$)])*110,
IF(ISNUMBER(SEARCH("AUXILIAR DE LIMPEZA - 150 H",tabParametros[[#This Row],[Função]],1)),
SUMIF(tabLimpGeral[TIPO],"Produto",tabLimpGeral[VALOR UNITÁRIO P/ HORA (R$)])*150,
IF(ISNUMBER(SEARCH("AUXILIAR DE LIMPEZA - 220 H",tabParametros[[#This Row],[Função]],1)),
SUMIF(tabLimpGeral[TIPO],"Produto",tabLimpGeral[VALOR UNITÁRIO P/ HORA (R$)])*220,
IF(ISNUMBER(SEARCH("AUXILIAR DE LIMPEZA - 12 x 36",tabParametros[[#This Row],[Função]],1)),
SUMIF(tabLimpGeral[TIPO],"Produto",tabLimpGeral[VALOR UNITÁRIO P/ HORA (R$)])*220,
IF(ISNUMBER(SEARCH("Limpador de vidros - 220 h",tabParametros[[#This Row],[Função]],1)),
SUMIF(tabVidros[TIPO],"Produto",tabVidros[VALOR UNITÁRIO P/ POSTO (R$)]),
0))))))</f>
        <v>235.31984072022155</v>
      </c>
      <c r="BB43" s="281">
        <v>0</v>
      </c>
      <c r="BC43" s="236">
        <f>VLOOKUP(tabParametros[[#Headers],[Custos Indiretos]],tabOutrosCustos[],3,0)</f>
        <v>189.64880140242613</v>
      </c>
      <c r="BD43" s="236">
        <f>VLOOKUP(tabParametros[[#Headers],[Lucro]],tabOutrosCustos[],3,0)</f>
        <v>159.30499317803796</v>
      </c>
      <c r="BE43" s="235">
        <f>VLOOKUP(tabParametros[[#Headers],[COFINS]],tabImpostosNacionais[],2,0)</f>
        <v>7.5999999999999998E-2</v>
      </c>
      <c r="BF43" s="235">
        <f>VLOOKUP(tabParametros[[#Headers],[PIS]],tabImpostosNacionais[],2,0)</f>
        <v>1.6500000000000001E-2</v>
      </c>
      <c r="BG43" s="235">
        <f>VLOOKUP(tabParametros[[#This Row],[Comarca]],tabComarca[],4,0)</f>
        <v>0.02</v>
      </c>
      <c r="BH43" s="238">
        <f>IFERROR(VLOOKUP(tabParametros[[#This Row],[CCT DA CATEGORIA]],tabSindicatos[],11,0),"")</f>
        <v>45658</v>
      </c>
      <c r="BI43" s="289" t="str">
        <f>IFERROR(VLOOKUP(tabParametros[[#This Row],[CCT DA CATEGORIA]],tabSindicatos[],12,0),"")</f>
        <v>-</v>
      </c>
      <c r="BJ43" s="293" t="str">
        <f>IFERROR(VLOOKUP(tabParametros[[#This Row],[CCT DA CATEGORIA]],tabSindicatos[],13,0),"")</f>
        <v>-</v>
      </c>
    </row>
    <row r="44" spans="1:62" x14ac:dyDescent="0.25">
      <c r="A44" s="233" t="s">
        <v>1384</v>
      </c>
      <c r="B44" s="198" t="s">
        <v>43</v>
      </c>
      <c r="C44" s="198" t="s">
        <v>1245</v>
      </c>
      <c r="D44" s="198" t="str">
        <f>VLOOKUP(tabParametros[[#This Row],[Código do Posto]],tabPostos[],4,0)</f>
        <v>Sind - Asseio</v>
      </c>
      <c r="E44" s="289" t="str">
        <f>VLOOKUP(tabParametros[[#This Row],[Código do Posto]],tabPostos[],5,0)</f>
        <v>Limpeza</v>
      </c>
      <c r="F44" s="289" t="str">
        <f>VLOOKUP(tabParametros[[#This Row],[Código do Posto]],tabPostos[],6,0)</f>
        <v>PGJ</v>
      </c>
      <c r="G44" s="289">
        <f>VLOOKUP(tabParametros[[#This Row],[Código do Posto]],tabPostos[],7,0)</f>
        <v>1</v>
      </c>
      <c r="H44" s="289">
        <f>VLOOKUP(tabParametros[[#This Row],[Código do Posto]],tabPostos[],8,0)</f>
        <v>0</v>
      </c>
      <c r="I44" s="234">
        <f>VLOOKUP(tabParametros[[#This Row],[Código do Posto]],tabPostos[],9,0)</f>
        <v>1649.12</v>
      </c>
      <c r="J44" s="234">
        <f>IF(ISNUMBER(SEARCH("Eletricista",tabParametros[[#This Row],[Função]],1)),0.3*tabParametros[[#This Row],[Salário Base]],0)</f>
        <v>0</v>
      </c>
      <c r="K44" s="234">
        <f>IF(OR(ISNUMBER(SEARCH("Bombeiro Hidraulico",tabParametros[[#This Row],[Função]],1)),ISNUMBER(SEARCH("Jardineiro",tabParametros[[#This Row],[Função]],1)),ISNUMBER(SEARCH("Lavador de Veiculos",tabParametros[[#This Row],[Função]],1)),ISNUMBER(SEARCH("Marceneiro",tabParametros[[#This Row],[Função]],1)),ISNUMBER(SEARCH("Pintor",tabParametros[[#This Row],[Função]],1))),0.2*'BASE GERAL'!$R$4,0)</f>
        <v>0</v>
      </c>
      <c r="L44" s="234">
        <f>IF(AND(ISNUMBER(SEARCH("Noturno",tabParametros[[#This Row],[Função]],1)),tabParametros[[#This Row],[Comarca]]&lt;&gt;"Juiz de Fora"),tabParametros[[#This Row],[Salário Base]]/210*0.39*7*15.5,IF(ISNUMBER(SEARCH("Noturno",tabParametros[[#This Row],[Função]],1)),tabParametros[[#This Row],[Salário Base]]/210*0.2*8*15.5,0))</f>
        <v>0</v>
      </c>
      <c r="M44" s="234">
        <f>IF(ISNUMBER(SEARCH("Motorista II",tabParametros[[#This Row],[Função]],1)),0.25*tabParametros[[#This Row],[Salário Base]],0)</f>
        <v>0</v>
      </c>
      <c r="N44" s="250">
        <v>0</v>
      </c>
      <c r="O44" s="234">
        <f>IF(ISNUMBER(SEARCH("TECNOLOGIA DA INFORMACAO",tabParametros[[#This Row],[Função]],1)),0.0201*tabParametros[[#This Row],[Salário Base]],0)</f>
        <v>0</v>
      </c>
      <c r="P44" s="250" cm="1">
        <f t="array" ref="P44">_xlfn.IFS(
ISNUMBER(SEARCH("Auxiliar de Limpeza - 75 h",tabParametros[[#This Row],[Função]],1)),tabParametros[[#This Row],[Salário Base]]/75*0.75*30*0.12,
ISNUMBER(SEARCH("Auxiliar de Limpeza - 110 h",tabParametros[[#This Row],[Função]],1)),tabParametros[[#This Row],[Salário Base]]/110*1*30*0.12,
ISNUMBER(SEARCH("Auxiliar de Limpeza - 150 h",tabParametros[[#This Row],[Função]],1)),tabParametros[[#This Row],[Salário Base]]/150*1.5*30*0.12,
ISNUMBER(SEARCH("Auxiliar de Limpeza - 220 h",tabParametros[[#This Row],[Função]],1)),tabParametros[[#This Row],[Salário Base]]/220*2*30*0.12,
ISNUMBER(SEARCH("Auxiliar de Limpeza - 12 x 36",tabParametros[[#This Row],[Função]],1)),tabParametros[[#This Row],[Salário Base]]/220*2*30*0.12,
ISNUMBER(SEARCH("Auxiliar de Limpeza - 55 h",tabParametros[[#This Row],[Função]],1))=FALSE,0)</f>
        <v>53.971199999999996</v>
      </c>
      <c r="Q44" s="235">
        <f>VLOOKUP(tabParametros[[#Headers],[INSS]],tabImpostosNacionais[],2,0)</f>
        <v>0.2</v>
      </c>
      <c r="R44" s="235">
        <f>VLOOKUP(tabParametros[[#Headers],[SESI OU SESC]],tabImpostosNacionais[],2,0)</f>
        <v>1.4999999999999999E-2</v>
      </c>
      <c r="S44" s="235">
        <f>VLOOKUP(tabParametros[[#Headers],[SENAI OU SENAC]],tabImpostosNacionais[],2,0)</f>
        <v>0.01</v>
      </c>
      <c r="T44" s="235">
        <f>VLOOKUP(tabParametros[[#Headers],[INCRA]],tabImpostosNacionais[],2,0)</f>
        <v>2E-3</v>
      </c>
      <c r="U44" s="235">
        <f>VLOOKUP(tabParametros[[#Headers],[Salário Educação]],tabImpostosNacionais[],2,0)</f>
        <v>2.5000000000000001E-2</v>
      </c>
      <c r="V44" s="235">
        <f>VLOOKUP(tabParametros[[#Headers],[FGTS]],tabImpostosNacionais[],2,0)</f>
        <v>0.08</v>
      </c>
      <c r="W44" s="235">
        <f>VLOOKUP(tabParametros[[#Headers],[RAT Ajustado]],tabImpostosNacionais[],2,0)</f>
        <v>0.04</v>
      </c>
      <c r="X44" s="235">
        <f>VLOOKUP(tabParametros[[#Headers],[SEBRAE]],tabImpostosNacionais[],2,0)</f>
        <v>6.0000000000000001E-3</v>
      </c>
      <c r="Y44" s="235">
        <f t="shared" si="0"/>
        <v>8.3333333333333329E-2</v>
      </c>
      <c r="Z44" s="251">
        <f t="shared" si="1"/>
        <v>0.1111111111111111</v>
      </c>
      <c r="AA44" s="234">
        <f>VLOOKUP(tabParametros[[#This Row],[Comarca]],tabComarca[],5,0)</f>
        <v>6.4</v>
      </c>
      <c r="AB44" s="234">
        <f>IFERROR(VLOOKUP(tabParametros[[#This Row],[CCT DA CATEGORIA]],tabSindicatos[],6,0),0)</f>
        <v>29.15</v>
      </c>
      <c r="AC44" s="234">
        <f>IFERROR(VLOOKUP(tabParametros[[#This Row],[CCT DA CATEGORIA]],tabSindicatos[],7,0),0)</f>
        <v>0</v>
      </c>
      <c r="AD44" s="234" cm="1">
        <f t="array" ref="AD44">_xlfn.LET(
_xlpm.COMARCA, TRIM(UPPER(SUBSTITUTE(SUBSTITUTE(SUBSTITUTE(SUBSTITUTE(SUBSTITUTE(SUBSTITUTE(SUBSTITUTE(SUBSTITUTE(SUBSTITUTE(SUBSTITUTE(SUBSTITUTE(SUBSTITUTE(SUBSTITUTE(SUBSTITUTE(SUBSTITUTE(SUBSTITUTE(SUBSTITUTE(SUBSTITUTE(SUBSTITUTE(SUBSTITUTE(SUBSTITUTE(SUBSTITUTE(SUBSTITUTE(SUBSTITUTE(SUBSTITUTE(SUBSTITUTE(tabParametros[[#This Row],[Comarca]],"á","a"),"ã","a"),"â","a"),"é","e"),"ê","e"),"í","i"),"ó","o"),"õ","o"),"ô","o"),"ú","u"),"ç","c"),"Á","a"),"Ã","a"),"Â","a"),"É","e"),"Ê","e"),"Í","i"),"Ó","o"),"Õ","o"),"Ô","o"),"Ú","u"),"Ç","c"),"/MG","")," e ",", ")," ",""),".",""))),
_xlpm.MATRIZ_COMARCA, TRIM(UPPER(SUBSTITUTE(SUBSTITUTE(SUBSTITUTE(SUBSTITUTE(SUBSTITUTE(SUBSTITUTE(SUBSTITUTE(SUBSTITUTE(SUBSTITUTE(SUBSTITUTE(SUBSTITUTE(SUBSTITUTE(SUBSTITUTE(SUBSTITUTE(SUBSTITUTE(SUBSTITUTE(SUBSTITUTE(SUBSTITUTE(SUBSTITUTE(SUBSTITUTE(SUBSTITUTE(SUBSTITUTE(SUBSTITUTE(SUBSTITUTE(SUBSTITUTE(SUBSTITUTE(tabSindicatos[COMARCAS PAF],"á","a"),"ã","a"),"â","a"),"é","e"),"ê","e"),"í","i"),"ó","o"),"õ","o"),"ô","o"),"ú","u"),"ç","c"),"Á","a"),"Ã","a"),"Â","a"),"É","e"),"Ê","e"),"Í","i"),"Ó","o"),"Õ","o"),"Ô","o"),"Ú","u"),"Ç","c"),"/MG","")," e ",", ")," ",""),".",""))),
IFERROR(IF(_xlfn.XLOOKUP(tabParametros[[#This Row],[CCT DA CATEGORIA]],tabSindicatos[SINDICATOS],tabSindicatos[COMARCAS PAF])="",
VLOOKUP(tabParametros[[#This Row],[CCT DA CATEGORIA]],tabSindicatos[],8,0),
IF(ISNUMBER(SEARCH(TRIM(_xlpm.COMARCA),_xlfn.XLOOKUP(tabParametros[[#This Row],[CCT DA CATEGORIA]],tabSindicatos[SINDICATOS],_xlpm.MATRIZ_COMARCA),1)),VLOOKUP(tabParametros[[#This Row],[CCT DA CATEGORIA]],tabSindicatos[],8,0),0)
),0)
)</f>
        <v>77.25</v>
      </c>
      <c r="AE44" s="234">
        <f>IFERROR(VLOOKUP(tabParametros[[#This Row],[CCT DA CATEGORIA]],tabSindicatos[],9,0),0)</f>
        <v>0</v>
      </c>
      <c r="AF44" s="234">
        <f>IFERROR(VLOOKUP(tabParametros[[#This Row],[CCT DA CATEGORIA]],tabSindicatos[],10,0),0)</f>
        <v>0</v>
      </c>
      <c r="AG44" s="236">
        <f>VLOOKUP(tabParametros[[#Headers],[Seguro de Vida]],tabOutrosCustos[],3,0)</f>
        <v>3.36</v>
      </c>
      <c r="AH44" s="236">
        <f>IF(ISNUMBER(SEARCH("MOTORISTA",tabParametros[[#This Row],[Função]],1)),VLOOKUP("MOTORISTAS",tabDiarias[],2,0),IF(tabParametros[[#This Row],[Comarca]]="Belo Horizonte",VLOOKUP("LIMPEZA",tabDiarias[],2,0),0))</f>
        <v>0</v>
      </c>
      <c r="AI44" s="235">
        <f t="shared" si="2"/>
        <v>7.011766975308642E-3</v>
      </c>
      <c r="AJ44" s="237">
        <f>tabParametros[[#This Row],[FGTS]]*tabParametros[[#This Row],[Aviso Prévio Indenizado (API) e Reflexo do Aviso Prévio Indenizado]]</f>
        <v>5.609413580246914E-4</v>
      </c>
      <c r="AK44" s="237">
        <f>tabParametros[[#This Row],[FGTS]]*tabParametros[[#This Row],[Aviso Prévio Indenizado (API) e Reflexo do Aviso Prévio Indenizado]]*40%</f>
        <v>2.2437654320987658E-4</v>
      </c>
      <c r="AL44" s="235">
        <f t="shared" si="3"/>
        <v>3.5000000000000005E-3</v>
      </c>
      <c r="AM44" s="235">
        <f>tabParametros[[#This Row],[Aviso Prévio Trabalhado - APT]]*SUM(tabParametros[[#This Row],[INSS]:[SEBRAE]])</f>
        <v>1.3230000000000004E-3</v>
      </c>
      <c r="AN44" s="235">
        <f t="shared" si="4"/>
        <v>3.0577777777777773E-2</v>
      </c>
      <c r="AO44" s="235">
        <f t="shared" si="5"/>
        <v>8.3333333333333339E-4</v>
      </c>
      <c r="AP44" s="235">
        <f t="shared" si="6"/>
        <v>8.4444444444444437E-3</v>
      </c>
      <c r="AQ44" s="235">
        <f t="shared" si="7"/>
        <v>2.0277777777777777E-3</v>
      </c>
      <c r="AR44" s="235">
        <f t="shared" si="8"/>
        <v>1.7083333333333333E-4</v>
      </c>
      <c r="AS44" s="235">
        <f t="shared" si="9"/>
        <v>2.0833333333333335E-4</v>
      </c>
      <c r="AT44" s="235">
        <f t="shared" si="10"/>
        <v>1.2962962962962963E-3</v>
      </c>
      <c r="AU44" s="237">
        <f>SUM(tabParametros[[#This Row],[Ausência por Doença]:[Férias, Adicional de Férias e 13º  com empregada em gozo de Licença Maternidade]])*SUM(tabParametros[[#This Row],[INSS]:[SEBRAE]])</f>
        <v>4.5918250000000008E-3</v>
      </c>
      <c r="AV44" s="234">
        <f>IF(tabParametros[[#This Row],[Função]]="Porteiro - 220 h",SUM(tabParametros[[#This Row],[Salário Base]:[Adicional de Acúmulo de função]])/220*20*1.5,IF(ISNUMBER(SEARCH("12 x 36",tabParametros[[#This Row],[Função]],1)),SUM(tabParametros[[#This Row],[Salário Base]:[Adicional de Acúmulo de função]])/210*15.5*1.5,0))</f>
        <v>0</v>
      </c>
      <c r="AW44" s="234">
        <f>IF(tabParametros[[#This Row],[Vagas contratadas]]&gt;0,(SUM(tabParametros[[#This Row],[Salário Base]:[Adicional de Acúmulo de função]])*30%+SUM(tabParametros[[#This Row],[Vale - Alimentação]:[Seguro de Vida]]))/tabParametros[[#This Row],[Vagas contratadas]]*tabParametros[[#This Row],[Vagas suspensas]],0)</f>
        <v>0</v>
      </c>
      <c r="AX44" s="234">
        <f>SUMIF(tabUniformes[Cargo],tabParametros[[#This Row],[Função]],tabUniformes[Valor unit. Mensal])</f>
        <v>100.80916666666666</v>
      </c>
      <c r="AY44" s="281">
        <f>IF(ISNUMBER(SEARCH("AUXILIAR DE LIMPEZA - 75 H",tabParametros[[#This Row],[Função]],1)),
SUMIF(tabLimpGeral[TIPO],"Material",tabLimpGeral[VALOR UNITÁRIO P/ HORA (R$)])*75,
IF(ISNUMBER(SEARCH("AUXILIAR DE LIMPEZA - 110 H",tabParametros[[#This Row],[Função]],1)),
SUMIF(tabLimpGeral[TIPO],"Material",tabLimpGeral[VALOR UNITÁRIO P/ HORA (R$)])*110,
IF(ISNUMBER(SEARCH("AUXILIAR DE LIMPEZA - 150 H",tabParametros[[#This Row],[Função]],1)),
SUMIF(tabLimpGeral[TIPO],"Material",tabLimpGeral[VALOR UNITÁRIO P/ HORA (R$)])*150,
IF(ISNUMBER(SEARCH("AUXILIAR DE LIMPEZA - 220 H",tabParametros[[#This Row],[Função]],1)),
SUMIF(tabLimpGeral[TIPO],"Material",tabLimpGeral[VALOR UNITÁRIO P/ HORA (R$)])*220,
IF(ISNUMBER(SEARCH("AUXILIAR DE LIMPEZA - 12 x 36",tabParametros[[#This Row],[Função]],1)),
SUMIF(tabLimpGeral[TIPO],"Material",tabLimpGeral[VALOR UNITÁRIO P/ HORA (R$)])*220,
IF(ISNUMBER(SEARCH("Limpador de vidros - 220 h",tabParametros[[#This Row],[Função]],1)),
SUMIF(tabVidros[TIPO],"Material",tabVidros[VALOR UNITÁRIO P/ POSTO (R$)]),
0))))))</f>
        <v>35.518212958583888</v>
      </c>
      <c r="AZ44" s="281">
        <f>IF(ISNUMBER(SEARCH("AUXILIAR DE LIMPEZA - 75 H",tabParametros[[#This Row],[Função]],1)),
SUMIF(tabLimpGeral[TIPO],"Equipamento",tabLimpGeral[VALOR UNITÁRIO P/ HORA (R$)])*75,
IF(ISNUMBER(SEARCH("AUXILIAR DE LIMPEZA - 110 H",tabParametros[[#This Row],[Função]],1)),
SUMIF(tabLimpGeral[TIPO],"Equipamento",tabLimpGeral[VALOR UNITÁRIO P/ HORA (R$)])*110,
IF(ISNUMBER(SEARCH("AUXILIAR DE LIMPEZA - 150 H",tabParametros[[#This Row],[Função]],1)),
SUMIF(tabLimpGeral[TIPO],"Equipamento",tabLimpGeral[VALOR UNITÁRIO P/ HORA (R$)])*150,
IF(ISNUMBER(SEARCH("AUXILIAR DE LIMPEZA - 220 H",tabParametros[[#This Row],[Função]],1)),
SUMIF(tabLimpGeral[TIPO],"Equipamento",tabLimpGeral[VALOR UNITÁRIO P/ HORA (R$)])*220,
IF(ISNUMBER(SEARCH("AUXILIAR DE LIMPEZA - 12 x 36",tabParametros[[#This Row],[Função]],1)),
SUMIF(tabLimpGeral[TIPO],"Equipamento",tabLimpGeral[VALOR UNITÁRIO P/ HORA (R$)])*220,
IF(ISNUMBER(SEARCH("Limpador de vidros - 220 h",tabParametros[[#This Row],[Função]],1)),
SUMIF(tabVidros[TIPO],"Equipamento",tabVidros[VALOR UNITÁRIO P/ POSTO (R$)]),
0))))))</f>
        <v>64.529393914825576</v>
      </c>
      <c r="BA44" s="281">
        <f>IF(ISNUMBER(SEARCH("AUXILIAR DE LIMPEZA - 75 H",tabParametros[[#This Row],[Função]],1)),
SUMIF(tabLimpGeral[TIPO],"Produto",tabLimpGeral[VALOR UNITÁRIO P/ HORA (R$)])*75,
IF(ISNUMBER(SEARCH("AUXILIAR DE LIMPEZA - 110 H",tabParametros[[#This Row],[Função]],1)),
SUMIF(tabLimpGeral[TIPO],"Produto",tabLimpGeral[VALOR UNITÁRIO P/ HORA (R$)])*110,
IF(ISNUMBER(SEARCH("AUXILIAR DE LIMPEZA - 150 H",tabParametros[[#This Row],[Função]],1)),
SUMIF(tabLimpGeral[TIPO],"Produto",tabLimpGeral[VALOR UNITÁRIO P/ HORA (R$)])*150,
IF(ISNUMBER(SEARCH("AUXILIAR DE LIMPEZA - 220 H",tabParametros[[#This Row],[Função]],1)),
SUMIF(tabLimpGeral[TIPO],"Produto",tabLimpGeral[VALOR UNITÁRIO P/ HORA (R$)])*220,
IF(ISNUMBER(SEARCH("AUXILIAR DE LIMPEZA - 12 x 36",tabParametros[[#This Row],[Função]],1)),
SUMIF(tabLimpGeral[TIPO],"Produto",tabLimpGeral[VALOR UNITÁRIO P/ HORA (R$)])*220,
IF(ISNUMBER(SEARCH("Limpador de vidros - 220 h",tabParametros[[#This Row],[Função]],1)),
SUMIF(tabVidros[TIPO],"Produto",tabVidros[VALOR UNITÁRIO P/ POSTO (R$)]),
0))))))</f>
        <v>690.27153277931654</v>
      </c>
      <c r="BB44" s="281">
        <v>0</v>
      </c>
      <c r="BC44" s="236">
        <f>VLOOKUP(tabParametros[[#Headers],[Custos Indiretos]],tabOutrosCustos[],3,0)</f>
        <v>189.64880140242613</v>
      </c>
      <c r="BD44" s="236">
        <f>VLOOKUP(tabParametros[[#Headers],[Lucro]],tabOutrosCustos[],3,0)</f>
        <v>159.30499317803796</v>
      </c>
      <c r="BE44" s="235">
        <f>VLOOKUP(tabParametros[[#Headers],[COFINS]],tabImpostosNacionais[],2,0)</f>
        <v>7.5999999999999998E-2</v>
      </c>
      <c r="BF44" s="235">
        <f>VLOOKUP(tabParametros[[#Headers],[PIS]],tabImpostosNacionais[],2,0)</f>
        <v>1.6500000000000001E-2</v>
      </c>
      <c r="BG44" s="235">
        <f>VLOOKUP(tabParametros[[#This Row],[Comarca]],tabComarca[],4,0)</f>
        <v>0.05</v>
      </c>
      <c r="BH44" s="238">
        <f>IFERROR(VLOOKUP(tabParametros[[#This Row],[CCT DA CATEGORIA]],tabSindicatos[],11,0),"")</f>
        <v>45658</v>
      </c>
      <c r="BI44" s="289" t="str">
        <f>IFERROR(VLOOKUP(tabParametros[[#This Row],[CCT DA CATEGORIA]],tabSindicatos[],12,0),"")</f>
        <v>-</v>
      </c>
      <c r="BJ44" s="293" t="str">
        <f>IFERROR(VLOOKUP(tabParametros[[#This Row],[CCT DA CATEGORIA]],tabSindicatos[],13,0),"")</f>
        <v>-</v>
      </c>
    </row>
    <row r="45" spans="1:62" x14ac:dyDescent="0.25">
      <c r="A45" s="233" t="s">
        <v>1385</v>
      </c>
      <c r="B45" s="198" t="s">
        <v>44</v>
      </c>
      <c r="C45" s="198" t="s">
        <v>1247</v>
      </c>
      <c r="D45" s="198" t="str">
        <f>VLOOKUP(tabParametros[[#This Row],[Código do Posto]],tabPostos[],4,0)</f>
        <v>Fethemg Interior</v>
      </c>
      <c r="E45" s="289" t="str">
        <f>VLOOKUP(tabParametros[[#This Row],[Código do Posto]],tabPostos[],5,0)</f>
        <v>Limpeza</v>
      </c>
      <c r="F45" s="289" t="str">
        <f>VLOOKUP(tabParametros[[#This Row],[Código do Posto]],tabPostos[],6,0)</f>
        <v>PGJ</v>
      </c>
      <c r="G45" s="289">
        <f>VLOOKUP(tabParametros[[#This Row],[Código do Posto]],tabPostos[],7,0)</f>
        <v>1</v>
      </c>
      <c r="H45" s="289">
        <f>VLOOKUP(tabParametros[[#This Row],[Código do Posto]],tabPostos[],8,0)</f>
        <v>0</v>
      </c>
      <c r="I45" s="234">
        <f>VLOOKUP(tabParametros[[#This Row],[Código do Posto]],tabPostos[],9,0)</f>
        <v>544.17999999999995</v>
      </c>
      <c r="J45" s="234">
        <f>IF(ISNUMBER(SEARCH("Eletricista",tabParametros[[#This Row],[Função]],1)),0.3*tabParametros[[#This Row],[Salário Base]],0)</f>
        <v>0</v>
      </c>
      <c r="K45" s="234">
        <f>IF(OR(ISNUMBER(SEARCH("Bombeiro Hidraulico",tabParametros[[#This Row],[Função]],1)),ISNUMBER(SEARCH("Jardineiro",tabParametros[[#This Row],[Função]],1)),ISNUMBER(SEARCH("Lavador de Veiculos",tabParametros[[#This Row],[Função]],1)),ISNUMBER(SEARCH("Marceneiro",tabParametros[[#This Row],[Função]],1)),ISNUMBER(SEARCH("Pintor",tabParametros[[#This Row],[Função]],1))),0.2*'BASE GERAL'!$R$4,0)</f>
        <v>0</v>
      </c>
      <c r="L45" s="234">
        <f>IF(AND(ISNUMBER(SEARCH("Noturno",tabParametros[[#This Row],[Função]],1)),tabParametros[[#This Row],[Comarca]]&lt;&gt;"Juiz de Fora"),tabParametros[[#This Row],[Salário Base]]/210*0.39*7*15.5,IF(ISNUMBER(SEARCH("Noturno",tabParametros[[#This Row],[Função]],1)),tabParametros[[#This Row],[Salário Base]]/210*0.2*8*15.5,0))</f>
        <v>0</v>
      </c>
      <c r="M45" s="234">
        <f>IF(ISNUMBER(SEARCH("Motorista II",tabParametros[[#This Row],[Função]],1)),0.25*tabParametros[[#This Row],[Salário Base]],0)</f>
        <v>0</v>
      </c>
      <c r="N45" s="250">
        <v>0</v>
      </c>
      <c r="O45" s="234">
        <f>IF(ISNUMBER(SEARCH("TECNOLOGIA DA INFORMACAO",tabParametros[[#This Row],[Função]],1)),0.0201*tabParametros[[#This Row],[Salário Base]],0)</f>
        <v>0</v>
      </c>
      <c r="P45" s="250" cm="1">
        <f t="array" ref="P45">_xlfn.IFS(
ISNUMBER(SEARCH("Auxiliar de Limpeza - 75 h",tabParametros[[#This Row],[Função]],1)),tabParametros[[#This Row],[Salário Base]]/75*0.75*30*0.12,
ISNUMBER(SEARCH("Auxiliar de Limpeza - 110 h",tabParametros[[#This Row],[Função]],1)),tabParametros[[#This Row],[Salário Base]]/110*1*30*0.12,
ISNUMBER(SEARCH("Auxiliar de Limpeza - 150 h",tabParametros[[#This Row],[Função]],1)),tabParametros[[#This Row],[Salário Base]]/150*1.5*30*0.12,
ISNUMBER(SEARCH("Auxiliar de Limpeza - 220 h",tabParametros[[#This Row],[Função]],1)),tabParametros[[#This Row],[Salário Base]]/220*2*30*0.12,
ISNUMBER(SEARCH("Auxiliar de Limpeza - 12 x 36",tabParametros[[#This Row],[Função]],1)),tabParametros[[#This Row],[Salário Base]]/220*2*30*0.12,
ISNUMBER(SEARCH("Auxiliar de Limpeza - 55 h",tabParametros[[#This Row],[Função]],1))=FALSE,0)</f>
        <v>19.590479999999999</v>
      </c>
      <c r="Q45" s="235">
        <f>VLOOKUP(tabParametros[[#Headers],[INSS]],tabImpostosNacionais[],2,0)</f>
        <v>0.2</v>
      </c>
      <c r="R45" s="235">
        <f>VLOOKUP(tabParametros[[#Headers],[SESI OU SESC]],tabImpostosNacionais[],2,0)</f>
        <v>1.4999999999999999E-2</v>
      </c>
      <c r="S45" s="235">
        <f>VLOOKUP(tabParametros[[#Headers],[SENAI OU SENAC]],tabImpostosNacionais[],2,0)</f>
        <v>0.01</v>
      </c>
      <c r="T45" s="235">
        <f>VLOOKUP(tabParametros[[#Headers],[INCRA]],tabImpostosNacionais[],2,0)</f>
        <v>2E-3</v>
      </c>
      <c r="U45" s="235">
        <f>VLOOKUP(tabParametros[[#Headers],[Salário Educação]],tabImpostosNacionais[],2,0)</f>
        <v>2.5000000000000001E-2</v>
      </c>
      <c r="V45" s="235">
        <f>VLOOKUP(tabParametros[[#Headers],[FGTS]],tabImpostosNacionais[],2,0)</f>
        <v>0.08</v>
      </c>
      <c r="W45" s="235">
        <f>VLOOKUP(tabParametros[[#Headers],[RAT Ajustado]],tabImpostosNacionais[],2,0)</f>
        <v>0.04</v>
      </c>
      <c r="X45" s="235">
        <f>VLOOKUP(tabParametros[[#Headers],[SEBRAE]],tabImpostosNacionais[],2,0)</f>
        <v>6.0000000000000001E-3</v>
      </c>
      <c r="Y45" s="235">
        <f t="shared" si="0"/>
        <v>8.3333333333333329E-2</v>
      </c>
      <c r="Z45" s="251">
        <f t="shared" si="1"/>
        <v>0.1111111111111111</v>
      </c>
      <c r="AA45" s="234">
        <f>VLOOKUP(tabParametros[[#This Row],[Comarca]],tabComarca[],5,0)</f>
        <v>6.4</v>
      </c>
      <c r="AB45" s="234">
        <f>IFERROR(VLOOKUP(tabParametros[[#This Row],[CCT DA CATEGORIA]],tabSindicatos[],6,0),0)</f>
        <v>29.15</v>
      </c>
      <c r="AC45" s="234">
        <f>IFERROR(VLOOKUP(tabParametros[[#This Row],[CCT DA CATEGORIA]],tabSindicatos[],7,0),0)</f>
        <v>0</v>
      </c>
      <c r="AD45" s="234" cm="1">
        <f t="array" ref="AD45">_xlfn.LET(
_xlpm.COMARCA, TRIM(UPPER(SUBSTITUTE(SUBSTITUTE(SUBSTITUTE(SUBSTITUTE(SUBSTITUTE(SUBSTITUTE(SUBSTITUTE(SUBSTITUTE(SUBSTITUTE(SUBSTITUTE(SUBSTITUTE(SUBSTITUTE(SUBSTITUTE(SUBSTITUTE(SUBSTITUTE(SUBSTITUTE(SUBSTITUTE(SUBSTITUTE(SUBSTITUTE(SUBSTITUTE(SUBSTITUTE(SUBSTITUTE(SUBSTITUTE(SUBSTITUTE(SUBSTITUTE(SUBSTITUTE(tabParametros[[#This Row],[Comarca]],"á","a"),"ã","a"),"â","a"),"é","e"),"ê","e"),"í","i"),"ó","o"),"õ","o"),"ô","o"),"ú","u"),"ç","c"),"Á","a"),"Ã","a"),"Â","a"),"É","e"),"Ê","e"),"Í","i"),"Ó","o"),"Õ","o"),"Ô","o"),"Ú","u"),"Ç","c"),"/MG","")," e ",", ")," ",""),".",""))),
_xlpm.MATRIZ_COMARCA, TRIM(UPPER(SUBSTITUTE(SUBSTITUTE(SUBSTITUTE(SUBSTITUTE(SUBSTITUTE(SUBSTITUTE(SUBSTITUTE(SUBSTITUTE(SUBSTITUTE(SUBSTITUTE(SUBSTITUTE(SUBSTITUTE(SUBSTITUTE(SUBSTITUTE(SUBSTITUTE(SUBSTITUTE(SUBSTITUTE(SUBSTITUTE(SUBSTITUTE(SUBSTITUTE(SUBSTITUTE(SUBSTITUTE(SUBSTITUTE(SUBSTITUTE(SUBSTITUTE(SUBSTITUTE(tabSindicatos[COMARCAS PAF],"á","a"),"ã","a"),"â","a"),"é","e"),"ê","e"),"í","i"),"ó","o"),"õ","o"),"ô","o"),"ú","u"),"ç","c"),"Á","a"),"Ã","a"),"Â","a"),"É","e"),"Ê","e"),"Í","i"),"Ó","o"),"Õ","o"),"Ô","o"),"Ú","u"),"Ç","c"),"/MG","")," e ",", ")," ",""),".",""))),
IFERROR(IF(_xlfn.XLOOKUP(tabParametros[[#This Row],[CCT DA CATEGORIA]],tabSindicatos[SINDICATOS],tabSindicatos[COMARCAS PAF])="",
VLOOKUP(tabParametros[[#This Row],[CCT DA CATEGORIA]],tabSindicatos[],8,0),
IF(ISNUMBER(SEARCH(TRIM(_xlpm.COMARCA),_xlfn.XLOOKUP(tabParametros[[#This Row],[CCT DA CATEGORIA]],tabSindicatos[SINDICATOS],_xlpm.MATRIZ_COMARCA),1)),VLOOKUP(tabParametros[[#This Row],[CCT DA CATEGORIA]],tabSindicatos[],8,0),0)
),0)
)</f>
        <v>0</v>
      </c>
      <c r="AE45" s="234">
        <f>IFERROR(VLOOKUP(tabParametros[[#This Row],[CCT DA CATEGORIA]],tabSindicatos[],9,0),0)</f>
        <v>15.07</v>
      </c>
      <c r="AF45" s="234">
        <f>IFERROR(VLOOKUP(tabParametros[[#This Row],[CCT DA CATEGORIA]],tabSindicatos[],10,0),0)</f>
        <v>0</v>
      </c>
      <c r="AG45" s="236">
        <f>VLOOKUP(tabParametros[[#Headers],[Seguro de Vida]],tabOutrosCustos[],3,0)</f>
        <v>3.36</v>
      </c>
      <c r="AH45" s="236">
        <f>IF(ISNUMBER(SEARCH("MOTORISTA",tabParametros[[#This Row],[Função]],1)),VLOOKUP("MOTORISTAS",tabDiarias[],2,0),IF(tabParametros[[#This Row],[Comarca]]="Belo Horizonte",VLOOKUP("LIMPEZA",tabDiarias[],2,0),0))</f>
        <v>0</v>
      </c>
      <c r="AI45" s="235">
        <f t="shared" si="2"/>
        <v>7.011766975308642E-3</v>
      </c>
      <c r="AJ45" s="237">
        <f>tabParametros[[#This Row],[FGTS]]*tabParametros[[#This Row],[Aviso Prévio Indenizado (API) e Reflexo do Aviso Prévio Indenizado]]</f>
        <v>5.609413580246914E-4</v>
      </c>
      <c r="AK45" s="237">
        <f>tabParametros[[#This Row],[FGTS]]*tabParametros[[#This Row],[Aviso Prévio Indenizado (API) e Reflexo do Aviso Prévio Indenizado]]*40%</f>
        <v>2.2437654320987658E-4</v>
      </c>
      <c r="AL45" s="235">
        <f t="shared" si="3"/>
        <v>3.5000000000000005E-3</v>
      </c>
      <c r="AM45" s="235">
        <f>tabParametros[[#This Row],[Aviso Prévio Trabalhado - APT]]*SUM(tabParametros[[#This Row],[INSS]:[SEBRAE]])</f>
        <v>1.3230000000000004E-3</v>
      </c>
      <c r="AN45" s="235">
        <f t="shared" si="4"/>
        <v>3.0577777777777773E-2</v>
      </c>
      <c r="AO45" s="235">
        <f t="shared" si="5"/>
        <v>8.3333333333333339E-4</v>
      </c>
      <c r="AP45" s="235">
        <f t="shared" si="6"/>
        <v>8.4444444444444437E-3</v>
      </c>
      <c r="AQ45" s="235">
        <f t="shared" si="7"/>
        <v>2.0277777777777777E-3</v>
      </c>
      <c r="AR45" s="235">
        <f t="shared" si="8"/>
        <v>1.7083333333333333E-4</v>
      </c>
      <c r="AS45" s="235">
        <f t="shared" si="9"/>
        <v>2.0833333333333335E-4</v>
      </c>
      <c r="AT45" s="235">
        <f t="shared" si="10"/>
        <v>1.2962962962962963E-3</v>
      </c>
      <c r="AU45" s="237">
        <f>SUM(tabParametros[[#This Row],[Ausência por Doença]:[Férias, Adicional de Férias e 13º  com empregada em gozo de Licença Maternidade]])*SUM(tabParametros[[#This Row],[INSS]:[SEBRAE]])</f>
        <v>4.5918250000000008E-3</v>
      </c>
      <c r="AV45" s="234">
        <f>IF(tabParametros[[#This Row],[Função]]="Porteiro - 220 h",SUM(tabParametros[[#This Row],[Salário Base]:[Adicional de Acúmulo de função]])/220*20*1.5,IF(ISNUMBER(SEARCH("12 x 36",tabParametros[[#This Row],[Função]],1)),SUM(tabParametros[[#This Row],[Salário Base]:[Adicional de Acúmulo de função]])/210*15.5*1.5,0))</f>
        <v>0</v>
      </c>
      <c r="AW45" s="234">
        <f>IF(tabParametros[[#This Row],[Vagas contratadas]]&gt;0,(SUM(tabParametros[[#This Row],[Salário Base]:[Adicional de Acúmulo de função]])*30%+SUM(tabParametros[[#This Row],[Vale - Alimentação]:[Seguro de Vida]]))/tabParametros[[#This Row],[Vagas contratadas]]*tabParametros[[#This Row],[Vagas suspensas]],0)</f>
        <v>0</v>
      </c>
      <c r="AX45" s="234">
        <f>SUMIF(tabUniformes[Cargo],tabParametros[[#This Row],[Função]],tabUniformes[Valor unit. Mensal])</f>
        <v>62.806666666666665</v>
      </c>
      <c r="AY45" s="281">
        <f>IF(ISNUMBER(SEARCH("AUXILIAR DE LIMPEZA - 75 H",tabParametros[[#This Row],[Função]],1)),
SUMIF(tabLimpGeral[TIPO],"Material",tabLimpGeral[VALOR UNITÁRIO P/ HORA (R$)])*75,
IF(ISNUMBER(SEARCH("AUXILIAR DE LIMPEZA - 110 H",tabParametros[[#This Row],[Função]],1)),
SUMIF(tabLimpGeral[TIPO],"Material",tabLimpGeral[VALOR UNITÁRIO P/ HORA (R$)])*110,
IF(ISNUMBER(SEARCH("AUXILIAR DE LIMPEZA - 150 H",tabParametros[[#This Row],[Função]],1)),
SUMIF(tabLimpGeral[TIPO],"Material",tabLimpGeral[VALOR UNITÁRIO P/ HORA (R$)])*150,
IF(ISNUMBER(SEARCH("AUXILIAR DE LIMPEZA - 220 H",tabParametros[[#This Row],[Função]],1)),
SUMIF(tabLimpGeral[TIPO],"Material",tabLimpGeral[VALOR UNITÁRIO P/ HORA (R$)])*220,
IF(ISNUMBER(SEARCH("AUXILIAR DE LIMPEZA - 12 x 36",tabParametros[[#This Row],[Função]],1)),
SUMIF(tabLimpGeral[TIPO],"Material",tabLimpGeral[VALOR UNITÁRIO P/ HORA (R$)])*220,
IF(ISNUMBER(SEARCH("Limpador de vidros - 220 h",tabParametros[[#This Row],[Função]],1)),
SUMIF(tabVidros[TIPO],"Material",tabVidros[VALOR UNITÁRIO P/ POSTO (R$)]),
0))))))</f>
        <v>12.108481690426325</v>
      </c>
      <c r="AZ45" s="281">
        <f>IF(ISNUMBER(SEARCH("AUXILIAR DE LIMPEZA - 75 H",tabParametros[[#This Row],[Função]],1)),
SUMIF(tabLimpGeral[TIPO],"Equipamento",tabLimpGeral[VALOR UNITÁRIO P/ HORA (R$)])*75,
IF(ISNUMBER(SEARCH("AUXILIAR DE LIMPEZA - 110 H",tabParametros[[#This Row],[Função]],1)),
SUMIF(tabLimpGeral[TIPO],"Equipamento",tabLimpGeral[VALOR UNITÁRIO P/ HORA (R$)])*110,
IF(ISNUMBER(SEARCH("AUXILIAR DE LIMPEZA - 150 H",tabParametros[[#This Row],[Função]],1)),
SUMIF(tabLimpGeral[TIPO],"Equipamento",tabLimpGeral[VALOR UNITÁRIO P/ HORA (R$)])*150,
IF(ISNUMBER(SEARCH("AUXILIAR DE LIMPEZA - 220 H",tabParametros[[#This Row],[Função]],1)),
SUMIF(tabLimpGeral[TIPO],"Equipamento",tabLimpGeral[VALOR UNITÁRIO P/ HORA (R$)])*220,
IF(ISNUMBER(SEARCH("AUXILIAR DE LIMPEZA - 12 x 36",tabParametros[[#This Row],[Função]],1)),
SUMIF(tabLimpGeral[TIPO],"Equipamento",tabLimpGeral[VALOR UNITÁRIO P/ HORA (R$)])*220,
IF(ISNUMBER(SEARCH("Limpador de vidros - 220 h",tabParametros[[#This Row],[Função]],1)),
SUMIF(tabVidros[TIPO],"Equipamento",tabVidros[VALOR UNITÁRIO P/ POSTO (R$)]),
0))))))</f>
        <v>21.998657016417809</v>
      </c>
      <c r="BA45" s="281">
        <f>IF(ISNUMBER(SEARCH("AUXILIAR DE LIMPEZA - 75 H",tabParametros[[#This Row],[Função]],1)),
SUMIF(tabLimpGeral[TIPO],"Produto",tabLimpGeral[VALOR UNITÁRIO P/ HORA (R$)])*75,
IF(ISNUMBER(SEARCH("AUXILIAR DE LIMPEZA - 110 H",tabParametros[[#This Row],[Função]],1)),
SUMIF(tabLimpGeral[TIPO],"Produto",tabLimpGeral[VALOR UNITÁRIO P/ HORA (R$)])*110,
IF(ISNUMBER(SEARCH("AUXILIAR DE LIMPEZA - 150 H",tabParametros[[#This Row],[Função]],1)),
SUMIF(tabLimpGeral[TIPO],"Produto",tabLimpGeral[VALOR UNITÁRIO P/ HORA (R$)])*150,
IF(ISNUMBER(SEARCH("AUXILIAR DE LIMPEZA - 220 H",tabParametros[[#This Row],[Função]],1)),
SUMIF(tabLimpGeral[TIPO],"Produto",tabLimpGeral[VALOR UNITÁRIO P/ HORA (R$)])*220,
IF(ISNUMBER(SEARCH("AUXILIAR DE LIMPEZA - 12 x 36",tabParametros[[#This Row],[Função]],1)),
SUMIF(tabLimpGeral[TIPO],"Produto",tabLimpGeral[VALOR UNITÁRIO P/ HORA (R$)])*220,
IF(ISNUMBER(SEARCH("Limpador de vidros - 220 h",tabParametros[[#This Row],[Função]],1)),
SUMIF(tabVidros[TIPO],"Produto",tabVidros[VALOR UNITÁRIO P/ POSTO (R$)]),
0))))))</f>
        <v>235.31984072022155</v>
      </c>
      <c r="BB45" s="281">
        <v>0</v>
      </c>
      <c r="BC45" s="236">
        <f>VLOOKUP(tabParametros[[#Headers],[Custos Indiretos]],tabOutrosCustos[],3,0)</f>
        <v>189.64880140242613</v>
      </c>
      <c r="BD45" s="236">
        <f>VLOOKUP(tabParametros[[#Headers],[Lucro]],tabOutrosCustos[],3,0)</f>
        <v>159.30499317803796</v>
      </c>
      <c r="BE45" s="235">
        <f>VLOOKUP(tabParametros[[#Headers],[COFINS]],tabImpostosNacionais[],2,0)</f>
        <v>7.5999999999999998E-2</v>
      </c>
      <c r="BF45" s="235">
        <f>VLOOKUP(tabParametros[[#Headers],[PIS]],tabImpostosNacionais[],2,0)</f>
        <v>1.6500000000000001E-2</v>
      </c>
      <c r="BG45" s="235">
        <f>VLOOKUP(tabParametros[[#This Row],[Comarca]],tabComarca[],4,0)</f>
        <v>0.02</v>
      </c>
      <c r="BH45" s="238">
        <f>IFERROR(VLOOKUP(tabParametros[[#This Row],[CCT DA CATEGORIA]],tabSindicatos[],11,0),"")</f>
        <v>45658</v>
      </c>
      <c r="BI45" s="289" t="str">
        <f>IFERROR(VLOOKUP(tabParametros[[#This Row],[CCT DA CATEGORIA]],tabSindicatos[],12,0),"")</f>
        <v>-</v>
      </c>
      <c r="BJ45" s="293" t="str">
        <f>IFERROR(VLOOKUP(tabParametros[[#This Row],[CCT DA CATEGORIA]],tabSindicatos[],13,0),"")</f>
        <v>-</v>
      </c>
    </row>
    <row r="46" spans="1:62" x14ac:dyDescent="0.25">
      <c r="A46" s="233" t="s">
        <v>1386</v>
      </c>
      <c r="B46" s="198" t="s">
        <v>45</v>
      </c>
      <c r="C46" s="198" t="s">
        <v>1244</v>
      </c>
      <c r="D46" s="198" t="str">
        <f>VLOOKUP(tabParametros[[#This Row],[Código do Posto]],tabPostos[],4,0)</f>
        <v>Fethemg Interior</v>
      </c>
      <c r="E46" s="289" t="str">
        <f>VLOOKUP(tabParametros[[#This Row],[Código do Posto]],tabPostos[],5,0)</f>
        <v>Limpeza</v>
      </c>
      <c r="F46" s="289" t="str">
        <f>VLOOKUP(tabParametros[[#This Row],[Código do Posto]],tabPostos[],6,0)</f>
        <v>PGJ</v>
      </c>
      <c r="G46" s="289">
        <f>VLOOKUP(tabParametros[[#This Row],[Código do Posto]],tabPostos[],7,0)</f>
        <v>1</v>
      </c>
      <c r="H46" s="289">
        <f>VLOOKUP(tabParametros[[#This Row],[Código do Posto]],tabPostos[],8,0)</f>
        <v>0</v>
      </c>
      <c r="I46" s="234">
        <f>VLOOKUP(tabParametros[[#This Row],[Código do Posto]],tabPostos[],9,0)</f>
        <v>798.14</v>
      </c>
      <c r="J46" s="234">
        <f>IF(ISNUMBER(SEARCH("Eletricista",tabParametros[[#This Row],[Função]],1)),0.3*tabParametros[[#This Row],[Salário Base]],0)</f>
        <v>0</v>
      </c>
      <c r="K46" s="234">
        <f>IF(OR(ISNUMBER(SEARCH("Bombeiro Hidraulico",tabParametros[[#This Row],[Função]],1)),ISNUMBER(SEARCH("Jardineiro",tabParametros[[#This Row],[Função]],1)),ISNUMBER(SEARCH("Lavador de Veiculos",tabParametros[[#This Row],[Função]],1)),ISNUMBER(SEARCH("Marceneiro",tabParametros[[#This Row],[Função]],1)),ISNUMBER(SEARCH("Pintor",tabParametros[[#This Row],[Função]],1))),0.2*'BASE GERAL'!$R$4,0)</f>
        <v>0</v>
      </c>
      <c r="L46" s="234">
        <f>IF(AND(ISNUMBER(SEARCH("Noturno",tabParametros[[#This Row],[Função]],1)),tabParametros[[#This Row],[Comarca]]&lt;&gt;"Juiz de Fora"),tabParametros[[#This Row],[Salário Base]]/210*0.39*7*15.5,IF(ISNUMBER(SEARCH("Noturno",tabParametros[[#This Row],[Função]],1)),tabParametros[[#This Row],[Salário Base]]/210*0.2*8*15.5,0))</f>
        <v>0</v>
      </c>
      <c r="M46" s="234">
        <f>IF(ISNUMBER(SEARCH("Motorista II",tabParametros[[#This Row],[Função]],1)),0.25*tabParametros[[#This Row],[Salário Base]],0)</f>
        <v>0</v>
      </c>
      <c r="N46" s="250">
        <v>0</v>
      </c>
      <c r="O46" s="234">
        <f>IF(ISNUMBER(SEARCH("TECNOLOGIA DA INFORMACAO",tabParametros[[#This Row],[Função]],1)),0.0201*tabParametros[[#This Row],[Salário Base]],0)</f>
        <v>0</v>
      </c>
      <c r="P46" s="250" cm="1">
        <f t="array" ref="P46">_xlfn.IFS(
ISNUMBER(SEARCH("Auxiliar de Limpeza - 75 h",tabParametros[[#This Row],[Função]],1)),tabParametros[[#This Row],[Salário Base]]/75*0.75*30*0.12,
ISNUMBER(SEARCH("Auxiliar de Limpeza - 110 h",tabParametros[[#This Row],[Função]],1)),tabParametros[[#This Row],[Salário Base]]/110*1*30*0.12,
ISNUMBER(SEARCH("Auxiliar de Limpeza - 150 h",tabParametros[[#This Row],[Função]],1)),tabParametros[[#This Row],[Salário Base]]/150*1.5*30*0.12,
ISNUMBER(SEARCH("Auxiliar de Limpeza - 220 h",tabParametros[[#This Row],[Função]],1)),tabParametros[[#This Row],[Salário Base]]/220*2*30*0.12,
ISNUMBER(SEARCH("Auxiliar de Limpeza - 12 x 36",tabParametros[[#This Row],[Função]],1)),tabParametros[[#This Row],[Salário Base]]/220*2*30*0.12,
ISNUMBER(SEARCH("Auxiliar de Limpeza - 55 h",tabParametros[[#This Row],[Função]],1))=FALSE,0)</f>
        <v>26.120945454545453</v>
      </c>
      <c r="Q46" s="235">
        <f>VLOOKUP(tabParametros[[#Headers],[INSS]],tabImpostosNacionais[],2,0)</f>
        <v>0.2</v>
      </c>
      <c r="R46" s="235">
        <f>VLOOKUP(tabParametros[[#Headers],[SESI OU SESC]],tabImpostosNacionais[],2,0)</f>
        <v>1.4999999999999999E-2</v>
      </c>
      <c r="S46" s="235">
        <f>VLOOKUP(tabParametros[[#Headers],[SENAI OU SENAC]],tabImpostosNacionais[],2,0)</f>
        <v>0.01</v>
      </c>
      <c r="T46" s="235">
        <f>VLOOKUP(tabParametros[[#Headers],[INCRA]],tabImpostosNacionais[],2,0)</f>
        <v>2E-3</v>
      </c>
      <c r="U46" s="235">
        <f>VLOOKUP(tabParametros[[#Headers],[Salário Educação]],tabImpostosNacionais[],2,0)</f>
        <v>2.5000000000000001E-2</v>
      </c>
      <c r="V46" s="235">
        <f>VLOOKUP(tabParametros[[#Headers],[FGTS]],tabImpostosNacionais[],2,0)</f>
        <v>0.08</v>
      </c>
      <c r="W46" s="235">
        <f>VLOOKUP(tabParametros[[#Headers],[RAT Ajustado]],tabImpostosNacionais[],2,0)</f>
        <v>0.04</v>
      </c>
      <c r="X46" s="235">
        <f>VLOOKUP(tabParametros[[#Headers],[SEBRAE]],tabImpostosNacionais[],2,0)</f>
        <v>6.0000000000000001E-3</v>
      </c>
      <c r="Y46" s="235">
        <f t="shared" si="0"/>
        <v>8.3333333333333329E-2</v>
      </c>
      <c r="Z46" s="251">
        <f t="shared" si="1"/>
        <v>0.1111111111111111</v>
      </c>
      <c r="AA46" s="234">
        <f>VLOOKUP(tabParametros[[#This Row],[Comarca]],tabComarca[],5,0)</f>
        <v>6.4</v>
      </c>
      <c r="AB46" s="234">
        <f>IFERROR(VLOOKUP(tabParametros[[#This Row],[CCT DA CATEGORIA]],tabSindicatos[],6,0),0)</f>
        <v>29.15</v>
      </c>
      <c r="AC46" s="234">
        <f>IFERROR(VLOOKUP(tabParametros[[#This Row],[CCT DA CATEGORIA]],tabSindicatos[],7,0),0)</f>
        <v>0</v>
      </c>
      <c r="AD46" s="234" cm="1">
        <f t="array" ref="AD46">_xlfn.LET(
_xlpm.COMARCA, TRIM(UPPER(SUBSTITUTE(SUBSTITUTE(SUBSTITUTE(SUBSTITUTE(SUBSTITUTE(SUBSTITUTE(SUBSTITUTE(SUBSTITUTE(SUBSTITUTE(SUBSTITUTE(SUBSTITUTE(SUBSTITUTE(SUBSTITUTE(SUBSTITUTE(SUBSTITUTE(SUBSTITUTE(SUBSTITUTE(SUBSTITUTE(SUBSTITUTE(SUBSTITUTE(SUBSTITUTE(SUBSTITUTE(SUBSTITUTE(SUBSTITUTE(SUBSTITUTE(SUBSTITUTE(tabParametros[[#This Row],[Comarca]],"á","a"),"ã","a"),"â","a"),"é","e"),"ê","e"),"í","i"),"ó","o"),"õ","o"),"ô","o"),"ú","u"),"ç","c"),"Á","a"),"Ã","a"),"Â","a"),"É","e"),"Ê","e"),"Í","i"),"Ó","o"),"Õ","o"),"Ô","o"),"Ú","u"),"Ç","c"),"/MG","")," e ",", ")," ",""),".",""))),
_xlpm.MATRIZ_COMARCA, TRIM(UPPER(SUBSTITUTE(SUBSTITUTE(SUBSTITUTE(SUBSTITUTE(SUBSTITUTE(SUBSTITUTE(SUBSTITUTE(SUBSTITUTE(SUBSTITUTE(SUBSTITUTE(SUBSTITUTE(SUBSTITUTE(SUBSTITUTE(SUBSTITUTE(SUBSTITUTE(SUBSTITUTE(SUBSTITUTE(SUBSTITUTE(SUBSTITUTE(SUBSTITUTE(SUBSTITUTE(SUBSTITUTE(SUBSTITUTE(SUBSTITUTE(SUBSTITUTE(SUBSTITUTE(tabSindicatos[COMARCAS PAF],"á","a"),"ã","a"),"â","a"),"é","e"),"ê","e"),"í","i"),"ó","o"),"õ","o"),"ô","o"),"ú","u"),"ç","c"),"Á","a"),"Ã","a"),"Â","a"),"É","e"),"Ê","e"),"Í","i"),"Ó","o"),"Õ","o"),"Ô","o"),"Ú","u"),"Ç","c"),"/MG","")," e ",", ")," ",""),".",""))),
IFERROR(IF(_xlfn.XLOOKUP(tabParametros[[#This Row],[CCT DA CATEGORIA]],tabSindicatos[SINDICATOS],tabSindicatos[COMARCAS PAF])="",
VLOOKUP(tabParametros[[#This Row],[CCT DA CATEGORIA]],tabSindicatos[],8,0),
IF(ISNUMBER(SEARCH(TRIM(_xlpm.COMARCA),_xlfn.XLOOKUP(tabParametros[[#This Row],[CCT DA CATEGORIA]],tabSindicatos[SINDICATOS],_xlpm.MATRIZ_COMARCA),1)),VLOOKUP(tabParametros[[#This Row],[CCT DA CATEGORIA]],tabSindicatos[],8,0),0)
),0)
)</f>
        <v>0</v>
      </c>
      <c r="AE46" s="234">
        <f>IFERROR(VLOOKUP(tabParametros[[#This Row],[CCT DA CATEGORIA]],tabSindicatos[],9,0),0)</f>
        <v>15.07</v>
      </c>
      <c r="AF46" s="234">
        <f>IFERROR(VLOOKUP(tabParametros[[#This Row],[CCT DA CATEGORIA]],tabSindicatos[],10,0),0)</f>
        <v>0</v>
      </c>
      <c r="AG46" s="236">
        <f>VLOOKUP(tabParametros[[#Headers],[Seguro de Vida]],tabOutrosCustos[],3,0)</f>
        <v>3.36</v>
      </c>
      <c r="AH46" s="236">
        <f>IF(ISNUMBER(SEARCH("MOTORISTA",tabParametros[[#This Row],[Função]],1)),VLOOKUP("MOTORISTAS",tabDiarias[],2,0),IF(tabParametros[[#This Row],[Comarca]]="Belo Horizonte",VLOOKUP("LIMPEZA",tabDiarias[],2,0),0))</f>
        <v>0</v>
      </c>
      <c r="AI46" s="235">
        <f t="shared" si="2"/>
        <v>7.011766975308642E-3</v>
      </c>
      <c r="AJ46" s="237">
        <f>tabParametros[[#This Row],[FGTS]]*tabParametros[[#This Row],[Aviso Prévio Indenizado (API) e Reflexo do Aviso Prévio Indenizado]]</f>
        <v>5.609413580246914E-4</v>
      </c>
      <c r="AK46" s="237">
        <f>tabParametros[[#This Row],[FGTS]]*tabParametros[[#This Row],[Aviso Prévio Indenizado (API) e Reflexo do Aviso Prévio Indenizado]]*40%</f>
        <v>2.2437654320987658E-4</v>
      </c>
      <c r="AL46" s="235">
        <f t="shared" si="3"/>
        <v>3.5000000000000005E-3</v>
      </c>
      <c r="AM46" s="235">
        <f>tabParametros[[#This Row],[Aviso Prévio Trabalhado - APT]]*SUM(tabParametros[[#This Row],[INSS]:[SEBRAE]])</f>
        <v>1.3230000000000004E-3</v>
      </c>
      <c r="AN46" s="235">
        <f t="shared" si="4"/>
        <v>3.0577777777777773E-2</v>
      </c>
      <c r="AO46" s="235">
        <f t="shared" si="5"/>
        <v>8.3333333333333339E-4</v>
      </c>
      <c r="AP46" s="235">
        <f t="shared" si="6"/>
        <v>8.4444444444444437E-3</v>
      </c>
      <c r="AQ46" s="235">
        <f t="shared" si="7"/>
        <v>2.0277777777777777E-3</v>
      </c>
      <c r="AR46" s="235">
        <f t="shared" si="8"/>
        <v>1.7083333333333333E-4</v>
      </c>
      <c r="AS46" s="235">
        <f t="shared" si="9"/>
        <v>2.0833333333333335E-4</v>
      </c>
      <c r="AT46" s="235">
        <f t="shared" si="10"/>
        <v>1.2962962962962963E-3</v>
      </c>
      <c r="AU46" s="237">
        <f>SUM(tabParametros[[#This Row],[Ausência por Doença]:[Férias, Adicional de Férias e 13º  com empregada em gozo de Licença Maternidade]])*SUM(tabParametros[[#This Row],[INSS]:[SEBRAE]])</f>
        <v>4.5918250000000008E-3</v>
      </c>
      <c r="AV46" s="234">
        <f>IF(tabParametros[[#This Row],[Função]]="Porteiro - 220 h",SUM(tabParametros[[#This Row],[Salário Base]:[Adicional de Acúmulo de função]])/220*20*1.5,IF(ISNUMBER(SEARCH("12 x 36",tabParametros[[#This Row],[Função]],1)),SUM(tabParametros[[#This Row],[Salário Base]:[Adicional de Acúmulo de função]])/210*15.5*1.5,0))</f>
        <v>0</v>
      </c>
      <c r="AW46" s="234">
        <f>IF(tabParametros[[#This Row],[Vagas contratadas]]&gt;0,(SUM(tabParametros[[#This Row],[Salário Base]:[Adicional de Acúmulo de função]])*30%+SUM(tabParametros[[#This Row],[Vale - Alimentação]:[Seguro de Vida]]))/tabParametros[[#This Row],[Vagas contratadas]]*tabParametros[[#This Row],[Vagas suspensas]],0)</f>
        <v>0</v>
      </c>
      <c r="AX46" s="234">
        <f>SUMIF(tabUniformes[Cargo],tabParametros[[#This Row],[Função]],tabUniformes[Valor unit. Mensal])</f>
        <v>62.806666666666665</v>
      </c>
      <c r="AY46" s="281">
        <f>IF(ISNUMBER(SEARCH("AUXILIAR DE LIMPEZA - 75 H",tabParametros[[#This Row],[Função]],1)),
SUMIF(tabLimpGeral[TIPO],"Material",tabLimpGeral[VALOR UNITÁRIO P/ HORA (R$)])*75,
IF(ISNUMBER(SEARCH("AUXILIAR DE LIMPEZA - 110 H",tabParametros[[#This Row],[Função]],1)),
SUMIF(tabLimpGeral[TIPO],"Material",tabLimpGeral[VALOR UNITÁRIO P/ HORA (R$)])*110,
IF(ISNUMBER(SEARCH("AUXILIAR DE LIMPEZA - 150 H",tabParametros[[#This Row],[Função]],1)),
SUMIF(tabLimpGeral[TIPO],"Material",tabLimpGeral[VALOR UNITÁRIO P/ HORA (R$)])*150,
IF(ISNUMBER(SEARCH("AUXILIAR DE LIMPEZA - 220 H",tabParametros[[#This Row],[Função]],1)),
SUMIF(tabLimpGeral[TIPO],"Material",tabLimpGeral[VALOR UNITÁRIO P/ HORA (R$)])*220,
IF(ISNUMBER(SEARCH("AUXILIAR DE LIMPEZA - 12 x 36",tabParametros[[#This Row],[Função]],1)),
SUMIF(tabLimpGeral[TIPO],"Material",tabLimpGeral[VALOR UNITÁRIO P/ HORA (R$)])*220,
IF(ISNUMBER(SEARCH("Limpador de vidros - 220 h",tabParametros[[#This Row],[Função]],1)),
SUMIF(tabVidros[TIPO],"Material",tabVidros[VALOR UNITÁRIO P/ POSTO (R$)]),
0))))))</f>
        <v>17.759106479291944</v>
      </c>
      <c r="AZ46" s="281">
        <f>IF(ISNUMBER(SEARCH("AUXILIAR DE LIMPEZA - 75 H",tabParametros[[#This Row],[Função]],1)),
SUMIF(tabLimpGeral[TIPO],"Equipamento",tabLimpGeral[VALOR UNITÁRIO P/ HORA (R$)])*75,
IF(ISNUMBER(SEARCH("AUXILIAR DE LIMPEZA - 110 H",tabParametros[[#This Row],[Função]],1)),
SUMIF(tabLimpGeral[TIPO],"Equipamento",tabLimpGeral[VALOR UNITÁRIO P/ HORA (R$)])*110,
IF(ISNUMBER(SEARCH("AUXILIAR DE LIMPEZA - 150 H",tabParametros[[#This Row],[Função]],1)),
SUMIF(tabLimpGeral[TIPO],"Equipamento",tabLimpGeral[VALOR UNITÁRIO P/ HORA (R$)])*150,
IF(ISNUMBER(SEARCH("AUXILIAR DE LIMPEZA - 220 H",tabParametros[[#This Row],[Função]],1)),
SUMIF(tabLimpGeral[TIPO],"Equipamento",tabLimpGeral[VALOR UNITÁRIO P/ HORA (R$)])*220,
IF(ISNUMBER(SEARCH("AUXILIAR DE LIMPEZA - 12 x 36",tabParametros[[#This Row],[Função]],1)),
SUMIF(tabLimpGeral[TIPO],"Equipamento",tabLimpGeral[VALOR UNITÁRIO P/ HORA (R$)])*220,
IF(ISNUMBER(SEARCH("Limpador de vidros - 220 h",tabParametros[[#This Row],[Função]],1)),
SUMIF(tabVidros[TIPO],"Equipamento",tabVidros[VALOR UNITÁRIO P/ POSTO (R$)]),
0))))))</f>
        <v>32.264696957412788</v>
      </c>
      <c r="BA46" s="281">
        <f>IF(ISNUMBER(SEARCH("AUXILIAR DE LIMPEZA - 75 H",tabParametros[[#This Row],[Função]],1)),
SUMIF(tabLimpGeral[TIPO],"Produto",tabLimpGeral[VALOR UNITÁRIO P/ HORA (R$)])*75,
IF(ISNUMBER(SEARCH("AUXILIAR DE LIMPEZA - 110 H",tabParametros[[#This Row],[Função]],1)),
SUMIF(tabLimpGeral[TIPO],"Produto",tabLimpGeral[VALOR UNITÁRIO P/ HORA (R$)])*110,
IF(ISNUMBER(SEARCH("AUXILIAR DE LIMPEZA - 150 H",tabParametros[[#This Row],[Função]],1)),
SUMIF(tabLimpGeral[TIPO],"Produto",tabLimpGeral[VALOR UNITÁRIO P/ HORA (R$)])*150,
IF(ISNUMBER(SEARCH("AUXILIAR DE LIMPEZA - 220 H",tabParametros[[#This Row],[Função]],1)),
SUMIF(tabLimpGeral[TIPO],"Produto",tabLimpGeral[VALOR UNITÁRIO P/ HORA (R$)])*220,
IF(ISNUMBER(SEARCH("AUXILIAR DE LIMPEZA - 12 x 36",tabParametros[[#This Row],[Função]],1)),
SUMIF(tabLimpGeral[TIPO],"Produto",tabLimpGeral[VALOR UNITÁRIO P/ HORA (R$)])*220,
IF(ISNUMBER(SEARCH("Limpador de vidros - 220 h",tabParametros[[#This Row],[Função]],1)),
SUMIF(tabVidros[TIPO],"Produto",tabVidros[VALOR UNITÁRIO P/ POSTO (R$)]),
0))))))</f>
        <v>345.13576638965827</v>
      </c>
      <c r="BB46" s="281">
        <v>0</v>
      </c>
      <c r="BC46" s="236">
        <f>VLOOKUP(tabParametros[[#Headers],[Custos Indiretos]],tabOutrosCustos[],3,0)</f>
        <v>189.64880140242613</v>
      </c>
      <c r="BD46" s="236">
        <f>VLOOKUP(tabParametros[[#Headers],[Lucro]],tabOutrosCustos[],3,0)</f>
        <v>159.30499317803796</v>
      </c>
      <c r="BE46" s="235">
        <f>VLOOKUP(tabParametros[[#Headers],[COFINS]],tabImpostosNacionais[],2,0)</f>
        <v>7.5999999999999998E-2</v>
      </c>
      <c r="BF46" s="235">
        <f>VLOOKUP(tabParametros[[#Headers],[PIS]],tabImpostosNacionais[],2,0)</f>
        <v>1.6500000000000001E-2</v>
      </c>
      <c r="BG46" s="235">
        <f>VLOOKUP(tabParametros[[#This Row],[Comarca]],tabComarca[],4,0)</f>
        <v>0.02</v>
      </c>
      <c r="BH46" s="238">
        <f>IFERROR(VLOOKUP(tabParametros[[#This Row],[CCT DA CATEGORIA]],tabSindicatos[],11,0),"")</f>
        <v>45658</v>
      </c>
      <c r="BI46" s="289" t="str">
        <f>IFERROR(VLOOKUP(tabParametros[[#This Row],[CCT DA CATEGORIA]],tabSindicatos[],12,0),"")</f>
        <v>-</v>
      </c>
      <c r="BJ46" s="293" t="str">
        <f>IFERROR(VLOOKUP(tabParametros[[#This Row],[CCT DA CATEGORIA]],tabSindicatos[],13,0),"")</f>
        <v>-</v>
      </c>
    </row>
    <row r="47" spans="1:62" x14ac:dyDescent="0.25">
      <c r="A47" s="233" t="s">
        <v>1387</v>
      </c>
      <c r="B47" s="198" t="s">
        <v>46</v>
      </c>
      <c r="C47" s="198" t="s">
        <v>1247</v>
      </c>
      <c r="D47" s="198" t="str">
        <f>VLOOKUP(tabParametros[[#This Row],[Código do Posto]],tabPostos[],4,0)</f>
        <v>Fethemg Interior</v>
      </c>
      <c r="E47" s="289" t="str">
        <f>VLOOKUP(tabParametros[[#This Row],[Código do Posto]],tabPostos[],5,0)</f>
        <v>Limpeza</v>
      </c>
      <c r="F47" s="289" t="str">
        <f>VLOOKUP(tabParametros[[#This Row],[Código do Posto]],tabPostos[],6,0)</f>
        <v>PGJ</v>
      </c>
      <c r="G47" s="289">
        <f>VLOOKUP(tabParametros[[#This Row],[Código do Posto]],tabPostos[],7,0)</f>
        <v>1</v>
      </c>
      <c r="H47" s="289">
        <f>VLOOKUP(tabParametros[[#This Row],[Código do Posto]],tabPostos[],8,0)</f>
        <v>0</v>
      </c>
      <c r="I47" s="234">
        <f>VLOOKUP(tabParametros[[#This Row],[Código do Posto]],tabPostos[],9,0)</f>
        <v>544.17999999999995</v>
      </c>
      <c r="J47" s="234">
        <f>IF(ISNUMBER(SEARCH("Eletricista",tabParametros[[#This Row],[Função]],1)),0.3*tabParametros[[#This Row],[Salário Base]],0)</f>
        <v>0</v>
      </c>
      <c r="K47" s="234">
        <f>IF(OR(ISNUMBER(SEARCH("Bombeiro Hidraulico",tabParametros[[#This Row],[Função]],1)),ISNUMBER(SEARCH("Jardineiro",tabParametros[[#This Row],[Função]],1)),ISNUMBER(SEARCH("Lavador de Veiculos",tabParametros[[#This Row],[Função]],1)),ISNUMBER(SEARCH("Marceneiro",tabParametros[[#This Row],[Função]],1)),ISNUMBER(SEARCH("Pintor",tabParametros[[#This Row],[Função]],1))),0.2*'BASE GERAL'!$R$4,0)</f>
        <v>0</v>
      </c>
      <c r="L47" s="234">
        <f>IF(AND(ISNUMBER(SEARCH("Noturno",tabParametros[[#This Row],[Função]],1)),tabParametros[[#This Row],[Comarca]]&lt;&gt;"Juiz de Fora"),tabParametros[[#This Row],[Salário Base]]/210*0.39*7*15.5,IF(ISNUMBER(SEARCH("Noturno",tabParametros[[#This Row],[Função]],1)),tabParametros[[#This Row],[Salário Base]]/210*0.2*8*15.5,0))</f>
        <v>0</v>
      </c>
      <c r="M47" s="234">
        <f>IF(ISNUMBER(SEARCH("Motorista II",tabParametros[[#This Row],[Função]],1)),0.25*tabParametros[[#This Row],[Salário Base]],0)</f>
        <v>0</v>
      </c>
      <c r="N47" s="250">
        <v>0</v>
      </c>
      <c r="O47" s="234">
        <f>IF(ISNUMBER(SEARCH("TECNOLOGIA DA INFORMACAO",tabParametros[[#This Row],[Função]],1)),0.0201*tabParametros[[#This Row],[Salário Base]],0)</f>
        <v>0</v>
      </c>
      <c r="P47" s="250" cm="1">
        <f t="array" ref="P47">_xlfn.IFS(
ISNUMBER(SEARCH("Auxiliar de Limpeza - 75 h",tabParametros[[#This Row],[Função]],1)),tabParametros[[#This Row],[Salário Base]]/75*0.75*30*0.12,
ISNUMBER(SEARCH("Auxiliar de Limpeza - 110 h",tabParametros[[#This Row],[Função]],1)),tabParametros[[#This Row],[Salário Base]]/110*1*30*0.12,
ISNUMBER(SEARCH("Auxiliar de Limpeza - 150 h",tabParametros[[#This Row],[Função]],1)),tabParametros[[#This Row],[Salário Base]]/150*1.5*30*0.12,
ISNUMBER(SEARCH("Auxiliar de Limpeza - 220 h",tabParametros[[#This Row],[Função]],1)),tabParametros[[#This Row],[Salário Base]]/220*2*30*0.12,
ISNUMBER(SEARCH("Auxiliar de Limpeza - 12 x 36",tabParametros[[#This Row],[Função]],1)),tabParametros[[#This Row],[Salário Base]]/220*2*30*0.12,
ISNUMBER(SEARCH("Auxiliar de Limpeza - 55 h",tabParametros[[#This Row],[Função]],1))=FALSE,0)</f>
        <v>19.590479999999999</v>
      </c>
      <c r="Q47" s="235">
        <f>VLOOKUP(tabParametros[[#Headers],[INSS]],tabImpostosNacionais[],2,0)</f>
        <v>0.2</v>
      </c>
      <c r="R47" s="235">
        <f>VLOOKUP(tabParametros[[#Headers],[SESI OU SESC]],tabImpostosNacionais[],2,0)</f>
        <v>1.4999999999999999E-2</v>
      </c>
      <c r="S47" s="235">
        <f>VLOOKUP(tabParametros[[#Headers],[SENAI OU SENAC]],tabImpostosNacionais[],2,0)</f>
        <v>0.01</v>
      </c>
      <c r="T47" s="235">
        <f>VLOOKUP(tabParametros[[#Headers],[INCRA]],tabImpostosNacionais[],2,0)</f>
        <v>2E-3</v>
      </c>
      <c r="U47" s="235">
        <f>VLOOKUP(tabParametros[[#Headers],[Salário Educação]],tabImpostosNacionais[],2,0)</f>
        <v>2.5000000000000001E-2</v>
      </c>
      <c r="V47" s="235">
        <f>VLOOKUP(tabParametros[[#Headers],[FGTS]],tabImpostosNacionais[],2,0)</f>
        <v>0.08</v>
      </c>
      <c r="W47" s="235">
        <f>VLOOKUP(tabParametros[[#Headers],[RAT Ajustado]],tabImpostosNacionais[],2,0)</f>
        <v>0.04</v>
      </c>
      <c r="X47" s="235">
        <f>VLOOKUP(tabParametros[[#Headers],[SEBRAE]],tabImpostosNacionais[],2,0)</f>
        <v>6.0000000000000001E-3</v>
      </c>
      <c r="Y47" s="235">
        <f t="shared" si="0"/>
        <v>8.3333333333333329E-2</v>
      </c>
      <c r="Z47" s="251">
        <f t="shared" si="1"/>
        <v>0.1111111111111111</v>
      </c>
      <c r="AA47" s="234">
        <f>VLOOKUP(tabParametros[[#This Row],[Comarca]],tabComarca[],5,0)</f>
        <v>6.4</v>
      </c>
      <c r="AB47" s="234">
        <f>IFERROR(VLOOKUP(tabParametros[[#This Row],[CCT DA CATEGORIA]],tabSindicatos[],6,0),0)</f>
        <v>29.15</v>
      </c>
      <c r="AC47" s="234">
        <f>IFERROR(VLOOKUP(tabParametros[[#This Row],[CCT DA CATEGORIA]],tabSindicatos[],7,0),0)</f>
        <v>0</v>
      </c>
      <c r="AD47" s="234" cm="1">
        <f t="array" ref="AD47">_xlfn.LET(
_xlpm.COMARCA, TRIM(UPPER(SUBSTITUTE(SUBSTITUTE(SUBSTITUTE(SUBSTITUTE(SUBSTITUTE(SUBSTITUTE(SUBSTITUTE(SUBSTITUTE(SUBSTITUTE(SUBSTITUTE(SUBSTITUTE(SUBSTITUTE(SUBSTITUTE(SUBSTITUTE(SUBSTITUTE(SUBSTITUTE(SUBSTITUTE(SUBSTITUTE(SUBSTITUTE(SUBSTITUTE(SUBSTITUTE(SUBSTITUTE(SUBSTITUTE(SUBSTITUTE(SUBSTITUTE(SUBSTITUTE(tabParametros[[#This Row],[Comarca]],"á","a"),"ã","a"),"â","a"),"é","e"),"ê","e"),"í","i"),"ó","o"),"õ","o"),"ô","o"),"ú","u"),"ç","c"),"Á","a"),"Ã","a"),"Â","a"),"É","e"),"Ê","e"),"Í","i"),"Ó","o"),"Õ","o"),"Ô","o"),"Ú","u"),"Ç","c"),"/MG","")," e ",", ")," ",""),".",""))),
_xlpm.MATRIZ_COMARCA, TRIM(UPPER(SUBSTITUTE(SUBSTITUTE(SUBSTITUTE(SUBSTITUTE(SUBSTITUTE(SUBSTITUTE(SUBSTITUTE(SUBSTITUTE(SUBSTITUTE(SUBSTITUTE(SUBSTITUTE(SUBSTITUTE(SUBSTITUTE(SUBSTITUTE(SUBSTITUTE(SUBSTITUTE(SUBSTITUTE(SUBSTITUTE(SUBSTITUTE(SUBSTITUTE(SUBSTITUTE(SUBSTITUTE(SUBSTITUTE(SUBSTITUTE(SUBSTITUTE(SUBSTITUTE(tabSindicatos[COMARCAS PAF],"á","a"),"ã","a"),"â","a"),"é","e"),"ê","e"),"í","i"),"ó","o"),"õ","o"),"ô","o"),"ú","u"),"ç","c"),"Á","a"),"Ã","a"),"Â","a"),"É","e"),"Ê","e"),"Í","i"),"Ó","o"),"Õ","o"),"Ô","o"),"Ú","u"),"Ç","c"),"/MG","")," e ",", ")," ",""),".",""))),
IFERROR(IF(_xlfn.XLOOKUP(tabParametros[[#This Row],[CCT DA CATEGORIA]],tabSindicatos[SINDICATOS],tabSindicatos[COMARCAS PAF])="",
VLOOKUP(tabParametros[[#This Row],[CCT DA CATEGORIA]],tabSindicatos[],8,0),
IF(ISNUMBER(SEARCH(TRIM(_xlpm.COMARCA),_xlfn.XLOOKUP(tabParametros[[#This Row],[CCT DA CATEGORIA]],tabSindicatos[SINDICATOS],_xlpm.MATRIZ_COMARCA),1)),VLOOKUP(tabParametros[[#This Row],[CCT DA CATEGORIA]],tabSindicatos[],8,0),0)
),0)
)</f>
        <v>0</v>
      </c>
      <c r="AE47" s="234">
        <f>IFERROR(VLOOKUP(tabParametros[[#This Row],[CCT DA CATEGORIA]],tabSindicatos[],9,0),0)</f>
        <v>15.07</v>
      </c>
      <c r="AF47" s="234">
        <f>IFERROR(VLOOKUP(tabParametros[[#This Row],[CCT DA CATEGORIA]],tabSindicatos[],10,0),0)</f>
        <v>0</v>
      </c>
      <c r="AG47" s="236">
        <f>VLOOKUP(tabParametros[[#Headers],[Seguro de Vida]],tabOutrosCustos[],3,0)</f>
        <v>3.36</v>
      </c>
      <c r="AH47" s="236">
        <f>IF(ISNUMBER(SEARCH("MOTORISTA",tabParametros[[#This Row],[Função]],1)),VLOOKUP("MOTORISTAS",tabDiarias[],2,0),IF(tabParametros[[#This Row],[Comarca]]="Belo Horizonte",VLOOKUP("LIMPEZA",tabDiarias[],2,0),0))</f>
        <v>0</v>
      </c>
      <c r="AI47" s="235">
        <f t="shared" si="2"/>
        <v>7.011766975308642E-3</v>
      </c>
      <c r="AJ47" s="237">
        <f>tabParametros[[#This Row],[FGTS]]*tabParametros[[#This Row],[Aviso Prévio Indenizado (API) e Reflexo do Aviso Prévio Indenizado]]</f>
        <v>5.609413580246914E-4</v>
      </c>
      <c r="AK47" s="237">
        <f>tabParametros[[#This Row],[FGTS]]*tabParametros[[#This Row],[Aviso Prévio Indenizado (API) e Reflexo do Aviso Prévio Indenizado]]*40%</f>
        <v>2.2437654320987658E-4</v>
      </c>
      <c r="AL47" s="235">
        <f t="shared" si="3"/>
        <v>3.5000000000000005E-3</v>
      </c>
      <c r="AM47" s="235">
        <f>tabParametros[[#This Row],[Aviso Prévio Trabalhado - APT]]*SUM(tabParametros[[#This Row],[INSS]:[SEBRAE]])</f>
        <v>1.3230000000000004E-3</v>
      </c>
      <c r="AN47" s="235">
        <f t="shared" si="4"/>
        <v>3.0577777777777773E-2</v>
      </c>
      <c r="AO47" s="235">
        <f t="shared" si="5"/>
        <v>8.3333333333333339E-4</v>
      </c>
      <c r="AP47" s="235">
        <f t="shared" si="6"/>
        <v>8.4444444444444437E-3</v>
      </c>
      <c r="AQ47" s="235">
        <f t="shared" si="7"/>
        <v>2.0277777777777777E-3</v>
      </c>
      <c r="AR47" s="235">
        <f t="shared" si="8"/>
        <v>1.7083333333333333E-4</v>
      </c>
      <c r="AS47" s="235">
        <f t="shared" si="9"/>
        <v>2.0833333333333335E-4</v>
      </c>
      <c r="AT47" s="235">
        <f t="shared" si="10"/>
        <v>1.2962962962962963E-3</v>
      </c>
      <c r="AU47" s="237">
        <f>SUM(tabParametros[[#This Row],[Ausência por Doença]:[Férias, Adicional de Férias e 13º  com empregada em gozo de Licença Maternidade]])*SUM(tabParametros[[#This Row],[INSS]:[SEBRAE]])</f>
        <v>4.5918250000000008E-3</v>
      </c>
      <c r="AV47" s="234">
        <f>IF(tabParametros[[#This Row],[Função]]="Porteiro - 220 h",SUM(tabParametros[[#This Row],[Salário Base]:[Adicional de Acúmulo de função]])/220*20*1.5,IF(ISNUMBER(SEARCH("12 x 36",tabParametros[[#This Row],[Função]],1)),SUM(tabParametros[[#This Row],[Salário Base]:[Adicional de Acúmulo de função]])/210*15.5*1.5,0))</f>
        <v>0</v>
      </c>
      <c r="AW47" s="234">
        <f>IF(tabParametros[[#This Row],[Vagas contratadas]]&gt;0,(SUM(tabParametros[[#This Row],[Salário Base]:[Adicional de Acúmulo de função]])*30%+SUM(tabParametros[[#This Row],[Vale - Alimentação]:[Seguro de Vida]]))/tabParametros[[#This Row],[Vagas contratadas]]*tabParametros[[#This Row],[Vagas suspensas]],0)</f>
        <v>0</v>
      </c>
      <c r="AX47" s="234">
        <f>SUMIF(tabUniformes[Cargo],tabParametros[[#This Row],[Função]],tabUniformes[Valor unit. Mensal])</f>
        <v>62.806666666666665</v>
      </c>
      <c r="AY47" s="281">
        <f>IF(ISNUMBER(SEARCH("AUXILIAR DE LIMPEZA - 75 H",tabParametros[[#This Row],[Função]],1)),
SUMIF(tabLimpGeral[TIPO],"Material",tabLimpGeral[VALOR UNITÁRIO P/ HORA (R$)])*75,
IF(ISNUMBER(SEARCH("AUXILIAR DE LIMPEZA - 110 H",tabParametros[[#This Row],[Função]],1)),
SUMIF(tabLimpGeral[TIPO],"Material",tabLimpGeral[VALOR UNITÁRIO P/ HORA (R$)])*110,
IF(ISNUMBER(SEARCH("AUXILIAR DE LIMPEZA - 150 H",tabParametros[[#This Row],[Função]],1)),
SUMIF(tabLimpGeral[TIPO],"Material",tabLimpGeral[VALOR UNITÁRIO P/ HORA (R$)])*150,
IF(ISNUMBER(SEARCH("AUXILIAR DE LIMPEZA - 220 H",tabParametros[[#This Row],[Função]],1)),
SUMIF(tabLimpGeral[TIPO],"Material",tabLimpGeral[VALOR UNITÁRIO P/ HORA (R$)])*220,
IF(ISNUMBER(SEARCH("AUXILIAR DE LIMPEZA - 12 x 36",tabParametros[[#This Row],[Função]],1)),
SUMIF(tabLimpGeral[TIPO],"Material",tabLimpGeral[VALOR UNITÁRIO P/ HORA (R$)])*220,
IF(ISNUMBER(SEARCH("Limpador de vidros - 220 h",tabParametros[[#This Row],[Função]],1)),
SUMIF(tabVidros[TIPO],"Material",tabVidros[VALOR UNITÁRIO P/ POSTO (R$)]),
0))))))</f>
        <v>12.108481690426325</v>
      </c>
      <c r="AZ47" s="281">
        <f>IF(ISNUMBER(SEARCH("AUXILIAR DE LIMPEZA - 75 H",tabParametros[[#This Row],[Função]],1)),
SUMIF(tabLimpGeral[TIPO],"Equipamento",tabLimpGeral[VALOR UNITÁRIO P/ HORA (R$)])*75,
IF(ISNUMBER(SEARCH("AUXILIAR DE LIMPEZA - 110 H",tabParametros[[#This Row],[Função]],1)),
SUMIF(tabLimpGeral[TIPO],"Equipamento",tabLimpGeral[VALOR UNITÁRIO P/ HORA (R$)])*110,
IF(ISNUMBER(SEARCH("AUXILIAR DE LIMPEZA - 150 H",tabParametros[[#This Row],[Função]],1)),
SUMIF(tabLimpGeral[TIPO],"Equipamento",tabLimpGeral[VALOR UNITÁRIO P/ HORA (R$)])*150,
IF(ISNUMBER(SEARCH("AUXILIAR DE LIMPEZA - 220 H",tabParametros[[#This Row],[Função]],1)),
SUMIF(tabLimpGeral[TIPO],"Equipamento",tabLimpGeral[VALOR UNITÁRIO P/ HORA (R$)])*220,
IF(ISNUMBER(SEARCH("AUXILIAR DE LIMPEZA - 12 x 36",tabParametros[[#This Row],[Função]],1)),
SUMIF(tabLimpGeral[TIPO],"Equipamento",tabLimpGeral[VALOR UNITÁRIO P/ HORA (R$)])*220,
IF(ISNUMBER(SEARCH("Limpador de vidros - 220 h",tabParametros[[#This Row],[Função]],1)),
SUMIF(tabVidros[TIPO],"Equipamento",tabVidros[VALOR UNITÁRIO P/ POSTO (R$)]),
0))))))</f>
        <v>21.998657016417809</v>
      </c>
      <c r="BA47" s="281">
        <f>IF(ISNUMBER(SEARCH("AUXILIAR DE LIMPEZA - 75 H",tabParametros[[#This Row],[Função]],1)),
SUMIF(tabLimpGeral[TIPO],"Produto",tabLimpGeral[VALOR UNITÁRIO P/ HORA (R$)])*75,
IF(ISNUMBER(SEARCH("AUXILIAR DE LIMPEZA - 110 H",tabParametros[[#This Row],[Função]],1)),
SUMIF(tabLimpGeral[TIPO],"Produto",tabLimpGeral[VALOR UNITÁRIO P/ HORA (R$)])*110,
IF(ISNUMBER(SEARCH("AUXILIAR DE LIMPEZA - 150 H",tabParametros[[#This Row],[Função]],1)),
SUMIF(tabLimpGeral[TIPO],"Produto",tabLimpGeral[VALOR UNITÁRIO P/ HORA (R$)])*150,
IF(ISNUMBER(SEARCH("AUXILIAR DE LIMPEZA - 220 H",tabParametros[[#This Row],[Função]],1)),
SUMIF(tabLimpGeral[TIPO],"Produto",tabLimpGeral[VALOR UNITÁRIO P/ HORA (R$)])*220,
IF(ISNUMBER(SEARCH("AUXILIAR DE LIMPEZA - 12 x 36",tabParametros[[#This Row],[Função]],1)),
SUMIF(tabLimpGeral[TIPO],"Produto",tabLimpGeral[VALOR UNITÁRIO P/ HORA (R$)])*220,
IF(ISNUMBER(SEARCH("Limpador de vidros - 220 h",tabParametros[[#This Row],[Função]],1)),
SUMIF(tabVidros[TIPO],"Produto",tabVidros[VALOR UNITÁRIO P/ POSTO (R$)]),
0))))))</f>
        <v>235.31984072022155</v>
      </c>
      <c r="BB47" s="281">
        <v>0</v>
      </c>
      <c r="BC47" s="236">
        <f>VLOOKUP(tabParametros[[#Headers],[Custos Indiretos]],tabOutrosCustos[],3,0)</f>
        <v>189.64880140242613</v>
      </c>
      <c r="BD47" s="236">
        <f>VLOOKUP(tabParametros[[#Headers],[Lucro]],tabOutrosCustos[],3,0)</f>
        <v>159.30499317803796</v>
      </c>
      <c r="BE47" s="235">
        <f>VLOOKUP(tabParametros[[#Headers],[COFINS]],tabImpostosNacionais[],2,0)</f>
        <v>7.5999999999999998E-2</v>
      </c>
      <c r="BF47" s="235">
        <f>VLOOKUP(tabParametros[[#Headers],[PIS]],tabImpostosNacionais[],2,0)</f>
        <v>1.6500000000000001E-2</v>
      </c>
      <c r="BG47" s="235">
        <f>VLOOKUP(tabParametros[[#This Row],[Comarca]],tabComarca[],4,0)</f>
        <v>0.03</v>
      </c>
      <c r="BH47" s="238">
        <f>IFERROR(VLOOKUP(tabParametros[[#This Row],[CCT DA CATEGORIA]],tabSindicatos[],11,0),"")</f>
        <v>45658</v>
      </c>
      <c r="BI47" s="289" t="str">
        <f>IFERROR(VLOOKUP(tabParametros[[#This Row],[CCT DA CATEGORIA]],tabSindicatos[],12,0),"")</f>
        <v>-</v>
      </c>
      <c r="BJ47" s="293" t="str">
        <f>IFERROR(VLOOKUP(tabParametros[[#This Row],[CCT DA CATEGORIA]],tabSindicatos[],13,0),"")</f>
        <v>-</v>
      </c>
    </row>
    <row r="48" spans="1:62" x14ac:dyDescent="0.25">
      <c r="A48" s="233" t="s">
        <v>1388</v>
      </c>
      <c r="B48" s="198" t="s">
        <v>47</v>
      </c>
      <c r="C48" s="198" t="s">
        <v>1245</v>
      </c>
      <c r="D48" s="198" t="str">
        <f>VLOOKUP(tabParametros[[#This Row],[Código do Posto]],tabPostos[],4,0)</f>
        <v>Fethemg RM</v>
      </c>
      <c r="E48" s="289" t="str">
        <f>VLOOKUP(tabParametros[[#This Row],[Código do Posto]],tabPostos[],5,0)</f>
        <v>Limpeza</v>
      </c>
      <c r="F48" s="289" t="str">
        <f>VLOOKUP(tabParametros[[#This Row],[Código do Posto]],tabPostos[],6,0)</f>
        <v>PGJ</v>
      </c>
      <c r="G48" s="289">
        <f>VLOOKUP(tabParametros[[#This Row],[Código do Posto]],tabPostos[],7,0)</f>
        <v>1</v>
      </c>
      <c r="H48" s="289">
        <f>VLOOKUP(tabParametros[[#This Row],[Código do Posto]],tabPostos[],8,0)</f>
        <v>0</v>
      </c>
      <c r="I48" s="234">
        <f>VLOOKUP(tabParametros[[#This Row],[Código do Posto]],tabPostos[],9,0)</f>
        <v>1649.12</v>
      </c>
      <c r="J48" s="234">
        <f>IF(ISNUMBER(SEARCH("Eletricista",tabParametros[[#This Row],[Função]],1)),0.3*tabParametros[[#This Row],[Salário Base]],0)</f>
        <v>0</v>
      </c>
      <c r="K48" s="234">
        <f>IF(OR(ISNUMBER(SEARCH("Bombeiro Hidraulico",tabParametros[[#This Row],[Função]],1)),ISNUMBER(SEARCH("Jardineiro",tabParametros[[#This Row],[Função]],1)),ISNUMBER(SEARCH("Lavador de Veiculos",tabParametros[[#This Row],[Função]],1)),ISNUMBER(SEARCH("Marceneiro",tabParametros[[#This Row],[Função]],1)),ISNUMBER(SEARCH("Pintor",tabParametros[[#This Row],[Função]],1))),0.2*'BASE GERAL'!$R$4,0)</f>
        <v>0</v>
      </c>
      <c r="L48" s="234">
        <f>IF(AND(ISNUMBER(SEARCH("Noturno",tabParametros[[#This Row],[Função]],1)),tabParametros[[#This Row],[Comarca]]&lt;&gt;"Juiz de Fora"),tabParametros[[#This Row],[Salário Base]]/210*0.39*7*15.5,IF(ISNUMBER(SEARCH("Noturno",tabParametros[[#This Row],[Função]],1)),tabParametros[[#This Row],[Salário Base]]/210*0.2*8*15.5,0))</f>
        <v>0</v>
      </c>
      <c r="M48" s="234">
        <f>IF(ISNUMBER(SEARCH("Motorista II",tabParametros[[#This Row],[Função]],1)),0.25*tabParametros[[#This Row],[Salário Base]],0)</f>
        <v>0</v>
      </c>
      <c r="N48" s="250">
        <v>0</v>
      </c>
      <c r="O48" s="234">
        <f>IF(ISNUMBER(SEARCH("TECNOLOGIA DA INFORMACAO",tabParametros[[#This Row],[Função]],1)),0.0201*tabParametros[[#This Row],[Salário Base]],0)</f>
        <v>0</v>
      </c>
      <c r="P48" s="250" cm="1">
        <f t="array" ref="P48">_xlfn.IFS(
ISNUMBER(SEARCH("Auxiliar de Limpeza - 75 h",tabParametros[[#This Row],[Função]],1)),tabParametros[[#This Row],[Salário Base]]/75*0.75*30*0.12,
ISNUMBER(SEARCH("Auxiliar de Limpeza - 110 h",tabParametros[[#This Row],[Função]],1)),tabParametros[[#This Row],[Salário Base]]/110*1*30*0.12,
ISNUMBER(SEARCH("Auxiliar de Limpeza - 150 h",tabParametros[[#This Row],[Função]],1)),tabParametros[[#This Row],[Salário Base]]/150*1.5*30*0.12,
ISNUMBER(SEARCH("Auxiliar de Limpeza - 220 h",tabParametros[[#This Row],[Função]],1)),tabParametros[[#This Row],[Salário Base]]/220*2*30*0.12,
ISNUMBER(SEARCH("Auxiliar de Limpeza - 12 x 36",tabParametros[[#This Row],[Função]],1)),tabParametros[[#This Row],[Salário Base]]/220*2*30*0.12,
ISNUMBER(SEARCH("Auxiliar de Limpeza - 55 h",tabParametros[[#This Row],[Função]],1))=FALSE,0)</f>
        <v>53.971199999999996</v>
      </c>
      <c r="Q48" s="235">
        <f>VLOOKUP(tabParametros[[#Headers],[INSS]],tabImpostosNacionais[],2,0)</f>
        <v>0.2</v>
      </c>
      <c r="R48" s="235">
        <f>VLOOKUP(tabParametros[[#Headers],[SESI OU SESC]],tabImpostosNacionais[],2,0)</f>
        <v>1.4999999999999999E-2</v>
      </c>
      <c r="S48" s="235">
        <f>VLOOKUP(tabParametros[[#Headers],[SENAI OU SENAC]],tabImpostosNacionais[],2,0)</f>
        <v>0.01</v>
      </c>
      <c r="T48" s="235">
        <f>VLOOKUP(tabParametros[[#Headers],[INCRA]],tabImpostosNacionais[],2,0)</f>
        <v>2E-3</v>
      </c>
      <c r="U48" s="235">
        <f>VLOOKUP(tabParametros[[#Headers],[Salário Educação]],tabImpostosNacionais[],2,0)</f>
        <v>2.5000000000000001E-2</v>
      </c>
      <c r="V48" s="235">
        <f>VLOOKUP(tabParametros[[#Headers],[FGTS]],tabImpostosNacionais[],2,0)</f>
        <v>0.08</v>
      </c>
      <c r="W48" s="235">
        <f>VLOOKUP(tabParametros[[#Headers],[RAT Ajustado]],tabImpostosNacionais[],2,0)</f>
        <v>0.04</v>
      </c>
      <c r="X48" s="235">
        <f>VLOOKUP(tabParametros[[#Headers],[SEBRAE]],tabImpostosNacionais[],2,0)</f>
        <v>6.0000000000000001E-3</v>
      </c>
      <c r="Y48" s="235">
        <f t="shared" si="0"/>
        <v>8.3333333333333329E-2</v>
      </c>
      <c r="Z48" s="251">
        <f t="shared" si="1"/>
        <v>0.1111111111111111</v>
      </c>
      <c r="AA48" s="234">
        <f>VLOOKUP(tabParametros[[#This Row],[Comarca]],tabComarca[],5,0)</f>
        <v>6.4</v>
      </c>
      <c r="AB48" s="234">
        <f>IFERROR(VLOOKUP(tabParametros[[#This Row],[CCT DA CATEGORIA]],tabSindicatos[],6,0),0)</f>
        <v>29.15</v>
      </c>
      <c r="AC48" s="234">
        <f>IFERROR(VLOOKUP(tabParametros[[#This Row],[CCT DA CATEGORIA]],tabSindicatos[],7,0),0)</f>
        <v>0</v>
      </c>
      <c r="AD48" s="234" cm="1">
        <f t="array" ref="AD48">_xlfn.LET(
_xlpm.COMARCA, TRIM(UPPER(SUBSTITUTE(SUBSTITUTE(SUBSTITUTE(SUBSTITUTE(SUBSTITUTE(SUBSTITUTE(SUBSTITUTE(SUBSTITUTE(SUBSTITUTE(SUBSTITUTE(SUBSTITUTE(SUBSTITUTE(SUBSTITUTE(SUBSTITUTE(SUBSTITUTE(SUBSTITUTE(SUBSTITUTE(SUBSTITUTE(SUBSTITUTE(SUBSTITUTE(SUBSTITUTE(SUBSTITUTE(SUBSTITUTE(SUBSTITUTE(SUBSTITUTE(SUBSTITUTE(tabParametros[[#This Row],[Comarca]],"á","a"),"ã","a"),"â","a"),"é","e"),"ê","e"),"í","i"),"ó","o"),"õ","o"),"ô","o"),"ú","u"),"ç","c"),"Á","a"),"Ã","a"),"Â","a"),"É","e"),"Ê","e"),"Í","i"),"Ó","o"),"Õ","o"),"Ô","o"),"Ú","u"),"Ç","c"),"/MG","")," e ",", ")," ",""),".",""))),
_xlpm.MATRIZ_COMARCA, TRIM(UPPER(SUBSTITUTE(SUBSTITUTE(SUBSTITUTE(SUBSTITUTE(SUBSTITUTE(SUBSTITUTE(SUBSTITUTE(SUBSTITUTE(SUBSTITUTE(SUBSTITUTE(SUBSTITUTE(SUBSTITUTE(SUBSTITUTE(SUBSTITUTE(SUBSTITUTE(SUBSTITUTE(SUBSTITUTE(SUBSTITUTE(SUBSTITUTE(SUBSTITUTE(SUBSTITUTE(SUBSTITUTE(SUBSTITUTE(SUBSTITUTE(SUBSTITUTE(SUBSTITUTE(tabSindicatos[COMARCAS PAF],"á","a"),"ã","a"),"â","a"),"é","e"),"ê","e"),"í","i"),"ó","o"),"õ","o"),"ô","o"),"ú","u"),"ç","c"),"Á","a"),"Ã","a"),"Â","a"),"É","e"),"Ê","e"),"Í","i"),"Ó","o"),"Õ","o"),"Ô","o"),"Ú","u"),"Ç","c"),"/MG","")," e ",", ")," ",""),".",""))),
IFERROR(IF(_xlfn.XLOOKUP(tabParametros[[#This Row],[CCT DA CATEGORIA]],tabSindicatos[SINDICATOS],tabSindicatos[COMARCAS PAF])="",
VLOOKUP(tabParametros[[#This Row],[CCT DA CATEGORIA]],tabSindicatos[],8,0),
IF(ISNUMBER(SEARCH(TRIM(_xlpm.COMARCA),_xlfn.XLOOKUP(tabParametros[[#This Row],[CCT DA CATEGORIA]],tabSindicatos[SINDICATOS],_xlpm.MATRIZ_COMARCA),1)),VLOOKUP(tabParametros[[#This Row],[CCT DA CATEGORIA]],tabSindicatos[],8,0),0)
),0)
)</f>
        <v>0</v>
      </c>
      <c r="AE48" s="234">
        <f>IFERROR(VLOOKUP(tabParametros[[#This Row],[CCT DA CATEGORIA]],tabSindicatos[],9,0),0)</f>
        <v>15.07</v>
      </c>
      <c r="AF48" s="234">
        <f>IFERROR(VLOOKUP(tabParametros[[#This Row],[CCT DA CATEGORIA]],tabSindicatos[],10,0),0)</f>
        <v>0</v>
      </c>
      <c r="AG48" s="236">
        <f>VLOOKUP(tabParametros[[#Headers],[Seguro de Vida]],tabOutrosCustos[],3,0)</f>
        <v>3.36</v>
      </c>
      <c r="AH48" s="236">
        <f>IF(ISNUMBER(SEARCH("MOTORISTA",tabParametros[[#This Row],[Função]],1)),VLOOKUP("MOTORISTAS",tabDiarias[],2,0),IF(tabParametros[[#This Row],[Comarca]]="Belo Horizonte",VLOOKUP("LIMPEZA",tabDiarias[],2,0),0))</f>
        <v>0</v>
      </c>
      <c r="AI48" s="235">
        <f t="shared" si="2"/>
        <v>7.011766975308642E-3</v>
      </c>
      <c r="AJ48" s="237">
        <f>tabParametros[[#This Row],[FGTS]]*tabParametros[[#This Row],[Aviso Prévio Indenizado (API) e Reflexo do Aviso Prévio Indenizado]]</f>
        <v>5.609413580246914E-4</v>
      </c>
      <c r="AK48" s="237">
        <f>tabParametros[[#This Row],[FGTS]]*tabParametros[[#This Row],[Aviso Prévio Indenizado (API) e Reflexo do Aviso Prévio Indenizado]]*40%</f>
        <v>2.2437654320987658E-4</v>
      </c>
      <c r="AL48" s="235">
        <f t="shared" si="3"/>
        <v>3.5000000000000005E-3</v>
      </c>
      <c r="AM48" s="235">
        <f>tabParametros[[#This Row],[Aviso Prévio Trabalhado - APT]]*SUM(tabParametros[[#This Row],[INSS]:[SEBRAE]])</f>
        <v>1.3230000000000004E-3</v>
      </c>
      <c r="AN48" s="235">
        <f t="shared" si="4"/>
        <v>3.0577777777777773E-2</v>
      </c>
      <c r="AO48" s="235">
        <f t="shared" si="5"/>
        <v>8.3333333333333339E-4</v>
      </c>
      <c r="AP48" s="235">
        <f t="shared" si="6"/>
        <v>8.4444444444444437E-3</v>
      </c>
      <c r="AQ48" s="235">
        <f t="shared" si="7"/>
        <v>2.0277777777777777E-3</v>
      </c>
      <c r="AR48" s="235">
        <f t="shared" si="8"/>
        <v>1.7083333333333333E-4</v>
      </c>
      <c r="AS48" s="235">
        <f t="shared" si="9"/>
        <v>2.0833333333333335E-4</v>
      </c>
      <c r="AT48" s="235">
        <f t="shared" si="10"/>
        <v>1.2962962962962963E-3</v>
      </c>
      <c r="AU48" s="237">
        <f>SUM(tabParametros[[#This Row],[Ausência por Doença]:[Férias, Adicional de Férias e 13º  com empregada em gozo de Licença Maternidade]])*SUM(tabParametros[[#This Row],[INSS]:[SEBRAE]])</f>
        <v>4.5918250000000008E-3</v>
      </c>
      <c r="AV48" s="234">
        <f>IF(tabParametros[[#This Row],[Função]]="Porteiro - 220 h",SUM(tabParametros[[#This Row],[Salário Base]:[Adicional de Acúmulo de função]])/220*20*1.5,IF(ISNUMBER(SEARCH("12 x 36",tabParametros[[#This Row],[Função]],1)),SUM(tabParametros[[#This Row],[Salário Base]:[Adicional de Acúmulo de função]])/210*15.5*1.5,0))</f>
        <v>0</v>
      </c>
      <c r="AW48" s="234">
        <f>IF(tabParametros[[#This Row],[Vagas contratadas]]&gt;0,(SUM(tabParametros[[#This Row],[Salário Base]:[Adicional de Acúmulo de função]])*30%+SUM(tabParametros[[#This Row],[Vale - Alimentação]:[Seguro de Vida]]))/tabParametros[[#This Row],[Vagas contratadas]]*tabParametros[[#This Row],[Vagas suspensas]],0)</f>
        <v>0</v>
      </c>
      <c r="AX48" s="234">
        <f>SUMIF(tabUniformes[Cargo],tabParametros[[#This Row],[Função]],tabUniformes[Valor unit. Mensal])</f>
        <v>100.80916666666666</v>
      </c>
      <c r="AY48" s="281">
        <f>IF(ISNUMBER(SEARCH("AUXILIAR DE LIMPEZA - 75 H",tabParametros[[#This Row],[Função]],1)),
SUMIF(tabLimpGeral[TIPO],"Material",tabLimpGeral[VALOR UNITÁRIO P/ HORA (R$)])*75,
IF(ISNUMBER(SEARCH("AUXILIAR DE LIMPEZA - 110 H",tabParametros[[#This Row],[Função]],1)),
SUMIF(tabLimpGeral[TIPO],"Material",tabLimpGeral[VALOR UNITÁRIO P/ HORA (R$)])*110,
IF(ISNUMBER(SEARCH("AUXILIAR DE LIMPEZA - 150 H",tabParametros[[#This Row],[Função]],1)),
SUMIF(tabLimpGeral[TIPO],"Material",tabLimpGeral[VALOR UNITÁRIO P/ HORA (R$)])*150,
IF(ISNUMBER(SEARCH("AUXILIAR DE LIMPEZA - 220 H",tabParametros[[#This Row],[Função]],1)),
SUMIF(tabLimpGeral[TIPO],"Material",tabLimpGeral[VALOR UNITÁRIO P/ HORA (R$)])*220,
IF(ISNUMBER(SEARCH("AUXILIAR DE LIMPEZA - 12 x 36",tabParametros[[#This Row],[Função]],1)),
SUMIF(tabLimpGeral[TIPO],"Material",tabLimpGeral[VALOR UNITÁRIO P/ HORA (R$)])*220,
IF(ISNUMBER(SEARCH("Limpador de vidros - 220 h",tabParametros[[#This Row],[Função]],1)),
SUMIF(tabVidros[TIPO],"Material",tabVidros[VALOR UNITÁRIO P/ POSTO (R$)]),
0))))))</f>
        <v>35.518212958583888</v>
      </c>
      <c r="AZ48" s="281">
        <f>IF(ISNUMBER(SEARCH("AUXILIAR DE LIMPEZA - 75 H",tabParametros[[#This Row],[Função]],1)),
SUMIF(tabLimpGeral[TIPO],"Equipamento",tabLimpGeral[VALOR UNITÁRIO P/ HORA (R$)])*75,
IF(ISNUMBER(SEARCH("AUXILIAR DE LIMPEZA - 110 H",tabParametros[[#This Row],[Função]],1)),
SUMIF(tabLimpGeral[TIPO],"Equipamento",tabLimpGeral[VALOR UNITÁRIO P/ HORA (R$)])*110,
IF(ISNUMBER(SEARCH("AUXILIAR DE LIMPEZA - 150 H",tabParametros[[#This Row],[Função]],1)),
SUMIF(tabLimpGeral[TIPO],"Equipamento",tabLimpGeral[VALOR UNITÁRIO P/ HORA (R$)])*150,
IF(ISNUMBER(SEARCH("AUXILIAR DE LIMPEZA - 220 H",tabParametros[[#This Row],[Função]],1)),
SUMIF(tabLimpGeral[TIPO],"Equipamento",tabLimpGeral[VALOR UNITÁRIO P/ HORA (R$)])*220,
IF(ISNUMBER(SEARCH("AUXILIAR DE LIMPEZA - 12 x 36",tabParametros[[#This Row],[Função]],1)),
SUMIF(tabLimpGeral[TIPO],"Equipamento",tabLimpGeral[VALOR UNITÁRIO P/ HORA (R$)])*220,
IF(ISNUMBER(SEARCH("Limpador de vidros - 220 h",tabParametros[[#This Row],[Função]],1)),
SUMIF(tabVidros[TIPO],"Equipamento",tabVidros[VALOR UNITÁRIO P/ POSTO (R$)]),
0))))))</f>
        <v>64.529393914825576</v>
      </c>
      <c r="BA48" s="281">
        <f>IF(ISNUMBER(SEARCH("AUXILIAR DE LIMPEZA - 75 H",tabParametros[[#This Row],[Função]],1)),
SUMIF(tabLimpGeral[TIPO],"Produto",tabLimpGeral[VALOR UNITÁRIO P/ HORA (R$)])*75,
IF(ISNUMBER(SEARCH("AUXILIAR DE LIMPEZA - 110 H",tabParametros[[#This Row],[Função]],1)),
SUMIF(tabLimpGeral[TIPO],"Produto",tabLimpGeral[VALOR UNITÁRIO P/ HORA (R$)])*110,
IF(ISNUMBER(SEARCH("AUXILIAR DE LIMPEZA - 150 H",tabParametros[[#This Row],[Função]],1)),
SUMIF(tabLimpGeral[TIPO],"Produto",tabLimpGeral[VALOR UNITÁRIO P/ HORA (R$)])*150,
IF(ISNUMBER(SEARCH("AUXILIAR DE LIMPEZA - 220 H",tabParametros[[#This Row],[Função]],1)),
SUMIF(tabLimpGeral[TIPO],"Produto",tabLimpGeral[VALOR UNITÁRIO P/ HORA (R$)])*220,
IF(ISNUMBER(SEARCH("AUXILIAR DE LIMPEZA - 12 x 36",tabParametros[[#This Row],[Função]],1)),
SUMIF(tabLimpGeral[TIPO],"Produto",tabLimpGeral[VALOR UNITÁRIO P/ HORA (R$)])*220,
IF(ISNUMBER(SEARCH("Limpador de vidros - 220 h",tabParametros[[#This Row],[Função]],1)),
SUMIF(tabVidros[TIPO],"Produto",tabVidros[VALOR UNITÁRIO P/ POSTO (R$)]),
0))))))</f>
        <v>690.27153277931654</v>
      </c>
      <c r="BB48" s="281">
        <v>0</v>
      </c>
      <c r="BC48" s="236">
        <f>VLOOKUP(tabParametros[[#Headers],[Custos Indiretos]],tabOutrosCustos[],3,0)</f>
        <v>189.64880140242613</v>
      </c>
      <c r="BD48" s="236">
        <f>VLOOKUP(tabParametros[[#Headers],[Lucro]],tabOutrosCustos[],3,0)</f>
        <v>159.30499317803796</v>
      </c>
      <c r="BE48" s="235">
        <f>VLOOKUP(tabParametros[[#Headers],[COFINS]],tabImpostosNacionais[],2,0)</f>
        <v>7.5999999999999998E-2</v>
      </c>
      <c r="BF48" s="235">
        <f>VLOOKUP(tabParametros[[#Headers],[PIS]],tabImpostosNacionais[],2,0)</f>
        <v>1.6500000000000001E-2</v>
      </c>
      <c r="BG48" s="235">
        <f>VLOOKUP(tabParametros[[#This Row],[Comarca]],tabComarca[],4,0)</f>
        <v>0.03</v>
      </c>
      <c r="BH48" s="238">
        <f>IFERROR(VLOOKUP(tabParametros[[#This Row],[CCT DA CATEGORIA]],tabSindicatos[],11,0),"")</f>
        <v>45658</v>
      </c>
      <c r="BI48" s="289" t="str">
        <f>IFERROR(VLOOKUP(tabParametros[[#This Row],[CCT DA CATEGORIA]],tabSindicatos[],12,0),"")</f>
        <v>-</v>
      </c>
      <c r="BJ48" s="293" t="str">
        <f>IFERROR(VLOOKUP(tabParametros[[#This Row],[CCT DA CATEGORIA]],tabSindicatos[],13,0),"")</f>
        <v>-</v>
      </c>
    </row>
    <row r="49" spans="1:62" x14ac:dyDescent="0.25">
      <c r="A49" s="233" t="s">
        <v>1389</v>
      </c>
      <c r="B49" s="198" t="s">
        <v>48</v>
      </c>
      <c r="C49" s="198" t="s">
        <v>1247</v>
      </c>
      <c r="D49" s="198" t="str">
        <f>VLOOKUP(tabParametros[[#This Row],[Código do Posto]],tabPostos[],4,0)</f>
        <v>Regiao de Sao Lourenco</v>
      </c>
      <c r="E49" s="289" t="str">
        <f>VLOOKUP(tabParametros[[#This Row],[Código do Posto]],tabPostos[],5,0)</f>
        <v>Limpeza</v>
      </c>
      <c r="F49" s="289" t="str">
        <f>VLOOKUP(tabParametros[[#This Row],[Código do Posto]],tabPostos[],6,0)</f>
        <v>PGJ</v>
      </c>
      <c r="G49" s="289">
        <f>VLOOKUP(tabParametros[[#This Row],[Código do Posto]],tabPostos[],7,0)</f>
        <v>1</v>
      </c>
      <c r="H49" s="289">
        <f>VLOOKUP(tabParametros[[#This Row],[Código do Posto]],tabPostos[],8,0)</f>
        <v>0</v>
      </c>
      <c r="I49" s="234">
        <f>VLOOKUP(tabParametros[[#This Row],[Código do Posto]],tabPostos[],9,0)</f>
        <v>544.17999999999995</v>
      </c>
      <c r="J49" s="234">
        <f>IF(ISNUMBER(SEARCH("Eletricista",tabParametros[[#This Row],[Função]],1)),0.3*tabParametros[[#This Row],[Salário Base]],0)</f>
        <v>0</v>
      </c>
      <c r="K49" s="234">
        <f>IF(OR(ISNUMBER(SEARCH("Bombeiro Hidraulico",tabParametros[[#This Row],[Função]],1)),ISNUMBER(SEARCH("Jardineiro",tabParametros[[#This Row],[Função]],1)),ISNUMBER(SEARCH("Lavador de Veiculos",tabParametros[[#This Row],[Função]],1)),ISNUMBER(SEARCH("Marceneiro",tabParametros[[#This Row],[Função]],1)),ISNUMBER(SEARCH("Pintor",tabParametros[[#This Row],[Função]],1))),0.2*'BASE GERAL'!$R$4,0)</f>
        <v>0</v>
      </c>
      <c r="L49" s="234">
        <f>IF(AND(ISNUMBER(SEARCH("Noturno",tabParametros[[#This Row],[Função]],1)),tabParametros[[#This Row],[Comarca]]&lt;&gt;"Juiz de Fora"),tabParametros[[#This Row],[Salário Base]]/210*0.39*7*15.5,IF(ISNUMBER(SEARCH("Noturno",tabParametros[[#This Row],[Função]],1)),tabParametros[[#This Row],[Salário Base]]/210*0.2*8*15.5,0))</f>
        <v>0</v>
      </c>
      <c r="M49" s="234">
        <f>IF(ISNUMBER(SEARCH("Motorista II",tabParametros[[#This Row],[Função]],1)),0.25*tabParametros[[#This Row],[Salário Base]],0)</f>
        <v>0</v>
      </c>
      <c r="N49" s="250">
        <v>0</v>
      </c>
      <c r="O49" s="234">
        <f>IF(ISNUMBER(SEARCH("TECNOLOGIA DA INFORMACAO",tabParametros[[#This Row],[Função]],1)),0.0201*tabParametros[[#This Row],[Salário Base]],0)</f>
        <v>0</v>
      </c>
      <c r="P49" s="250" cm="1">
        <f t="array" ref="P49">_xlfn.IFS(
ISNUMBER(SEARCH("Auxiliar de Limpeza - 75 h",tabParametros[[#This Row],[Função]],1)),tabParametros[[#This Row],[Salário Base]]/75*0.75*30*0.12,
ISNUMBER(SEARCH("Auxiliar de Limpeza - 110 h",tabParametros[[#This Row],[Função]],1)),tabParametros[[#This Row],[Salário Base]]/110*1*30*0.12,
ISNUMBER(SEARCH("Auxiliar de Limpeza - 150 h",tabParametros[[#This Row],[Função]],1)),tabParametros[[#This Row],[Salário Base]]/150*1.5*30*0.12,
ISNUMBER(SEARCH("Auxiliar de Limpeza - 220 h",tabParametros[[#This Row],[Função]],1)),tabParametros[[#This Row],[Salário Base]]/220*2*30*0.12,
ISNUMBER(SEARCH("Auxiliar de Limpeza - 12 x 36",tabParametros[[#This Row],[Função]],1)),tabParametros[[#This Row],[Salário Base]]/220*2*30*0.12,
ISNUMBER(SEARCH("Auxiliar de Limpeza - 55 h",tabParametros[[#This Row],[Função]],1))=FALSE,0)</f>
        <v>19.590479999999999</v>
      </c>
      <c r="Q49" s="235">
        <f>VLOOKUP(tabParametros[[#Headers],[INSS]],tabImpostosNacionais[],2,0)</f>
        <v>0.2</v>
      </c>
      <c r="R49" s="235">
        <f>VLOOKUP(tabParametros[[#Headers],[SESI OU SESC]],tabImpostosNacionais[],2,0)</f>
        <v>1.4999999999999999E-2</v>
      </c>
      <c r="S49" s="235">
        <f>VLOOKUP(tabParametros[[#Headers],[SENAI OU SENAC]],tabImpostosNacionais[],2,0)</f>
        <v>0.01</v>
      </c>
      <c r="T49" s="235">
        <f>VLOOKUP(tabParametros[[#Headers],[INCRA]],tabImpostosNacionais[],2,0)</f>
        <v>2E-3</v>
      </c>
      <c r="U49" s="235">
        <f>VLOOKUP(tabParametros[[#Headers],[Salário Educação]],tabImpostosNacionais[],2,0)</f>
        <v>2.5000000000000001E-2</v>
      </c>
      <c r="V49" s="235">
        <f>VLOOKUP(tabParametros[[#Headers],[FGTS]],tabImpostosNacionais[],2,0)</f>
        <v>0.08</v>
      </c>
      <c r="W49" s="235">
        <f>VLOOKUP(tabParametros[[#Headers],[RAT Ajustado]],tabImpostosNacionais[],2,0)</f>
        <v>0.04</v>
      </c>
      <c r="X49" s="235">
        <f>VLOOKUP(tabParametros[[#Headers],[SEBRAE]],tabImpostosNacionais[],2,0)</f>
        <v>6.0000000000000001E-3</v>
      </c>
      <c r="Y49" s="235">
        <f t="shared" si="0"/>
        <v>8.3333333333333329E-2</v>
      </c>
      <c r="Z49" s="251">
        <f t="shared" si="1"/>
        <v>0.1111111111111111</v>
      </c>
      <c r="AA49" s="234">
        <f>VLOOKUP(tabParametros[[#This Row],[Comarca]],tabComarca[],5,0)</f>
        <v>6.4</v>
      </c>
      <c r="AB49" s="234">
        <f>IFERROR(VLOOKUP(tabParametros[[#This Row],[CCT DA CATEGORIA]],tabSindicatos[],6,0),0)</f>
        <v>29.15</v>
      </c>
      <c r="AC49" s="234">
        <f>IFERROR(VLOOKUP(tabParametros[[#This Row],[CCT DA CATEGORIA]],tabSindicatos[],7,0),0)</f>
        <v>0</v>
      </c>
      <c r="AD49" s="234" cm="1">
        <f t="array" ref="AD49">_xlfn.LET(
_xlpm.COMARCA, TRIM(UPPER(SUBSTITUTE(SUBSTITUTE(SUBSTITUTE(SUBSTITUTE(SUBSTITUTE(SUBSTITUTE(SUBSTITUTE(SUBSTITUTE(SUBSTITUTE(SUBSTITUTE(SUBSTITUTE(SUBSTITUTE(SUBSTITUTE(SUBSTITUTE(SUBSTITUTE(SUBSTITUTE(SUBSTITUTE(SUBSTITUTE(SUBSTITUTE(SUBSTITUTE(SUBSTITUTE(SUBSTITUTE(SUBSTITUTE(SUBSTITUTE(SUBSTITUTE(SUBSTITUTE(tabParametros[[#This Row],[Comarca]],"á","a"),"ã","a"),"â","a"),"é","e"),"ê","e"),"í","i"),"ó","o"),"õ","o"),"ô","o"),"ú","u"),"ç","c"),"Á","a"),"Ã","a"),"Â","a"),"É","e"),"Ê","e"),"Í","i"),"Ó","o"),"Õ","o"),"Ô","o"),"Ú","u"),"Ç","c"),"/MG","")," e ",", ")," ",""),".",""))),
_xlpm.MATRIZ_COMARCA, TRIM(UPPER(SUBSTITUTE(SUBSTITUTE(SUBSTITUTE(SUBSTITUTE(SUBSTITUTE(SUBSTITUTE(SUBSTITUTE(SUBSTITUTE(SUBSTITUTE(SUBSTITUTE(SUBSTITUTE(SUBSTITUTE(SUBSTITUTE(SUBSTITUTE(SUBSTITUTE(SUBSTITUTE(SUBSTITUTE(SUBSTITUTE(SUBSTITUTE(SUBSTITUTE(SUBSTITUTE(SUBSTITUTE(SUBSTITUTE(SUBSTITUTE(SUBSTITUTE(SUBSTITUTE(tabSindicatos[COMARCAS PAF],"á","a"),"ã","a"),"â","a"),"é","e"),"ê","e"),"í","i"),"ó","o"),"õ","o"),"ô","o"),"ú","u"),"ç","c"),"Á","a"),"Ã","a"),"Â","a"),"É","e"),"Ê","e"),"Í","i"),"Ó","o"),"Õ","o"),"Ô","o"),"Ú","u"),"Ç","c"),"/MG","")," e ",", ")," ",""),".",""))),
IFERROR(IF(_xlfn.XLOOKUP(tabParametros[[#This Row],[CCT DA CATEGORIA]],tabSindicatos[SINDICATOS],tabSindicatos[COMARCAS PAF])="",
VLOOKUP(tabParametros[[#This Row],[CCT DA CATEGORIA]],tabSindicatos[],8,0),
IF(ISNUMBER(SEARCH(TRIM(_xlpm.COMARCA),_xlfn.XLOOKUP(tabParametros[[#This Row],[CCT DA CATEGORIA]],tabSindicatos[SINDICATOS],_xlpm.MATRIZ_COMARCA),1)),VLOOKUP(tabParametros[[#This Row],[CCT DA CATEGORIA]],tabSindicatos[],8,0),0)
),0)
)</f>
        <v>0</v>
      </c>
      <c r="AE49" s="234">
        <f>IFERROR(VLOOKUP(tabParametros[[#This Row],[CCT DA CATEGORIA]],tabSindicatos[],9,0),0)</f>
        <v>0</v>
      </c>
      <c r="AF49" s="234">
        <f>IFERROR(VLOOKUP(tabParametros[[#This Row],[CCT DA CATEGORIA]],tabSindicatos[],10,0),0)</f>
        <v>0</v>
      </c>
      <c r="AG49" s="236">
        <f>VLOOKUP(tabParametros[[#Headers],[Seguro de Vida]],tabOutrosCustos[],3,0)</f>
        <v>3.36</v>
      </c>
      <c r="AH49" s="236">
        <f>IF(ISNUMBER(SEARCH("MOTORISTA",tabParametros[[#This Row],[Função]],1)),VLOOKUP("MOTORISTAS",tabDiarias[],2,0),IF(tabParametros[[#This Row],[Comarca]]="Belo Horizonte",VLOOKUP("LIMPEZA",tabDiarias[],2,0),0))</f>
        <v>0</v>
      </c>
      <c r="AI49" s="235">
        <f t="shared" si="2"/>
        <v>7.011766975308642E-3</v>
      </c>
      <c r="AJ49" s="237">
        <f>tabParametros[[#This Row],[FGTS]]*tabParametros[[#This Row],[Aviso Prévio Indenizado (API) e Reflexo do Aviso Prévio Indenizado]]</f>
        <v>5.609413580246914E-4</v>
      </c>
      <c r="AK49" s="237">
        <f>tabParametros[[#This Row],[FGTS]]*tabParametros[[#This Row],[Aviso Prévio Indenizado (API) e Reflexo do Aviso Prévio Indenizado]]*40%</f>
        <v>2.2437654320987658E-4</v>
      </c>
      <c r="AL49" s="235">
        <f t="shared" si="3"/>
        <v>3.5000000000000005E-3</v>
      </c>
      <c r="AM49" s="235">
        <f>tabParametros[[#This Row],[Aviso Prévio Trabalhado - APT]]*SUM(tabParametros[[#This Row],[INSS]:[SEBRAE]])</f>
        <v>1.3230000000000004E-3</v>
      </c>
      <c r="AN49" s="235">
        <f t="shared" si="4"/>
        <v>3.0577777777777773E-2</v>
      </c>
      <c r="AO49" s="235">
        <f t="shared" si="5"/>
        <v>8.3333333333333339E-4</v>
      </c>
      <c r="AP49" s="235">
        <f t="shared" si="6"/>
        <v>8.4444444444444437E-3</v>
      </c>
      <c r="AQ49" s="235">
        <f t="shared" si="7"/>
        <v>2.0277777777777777E-3</v>
      </c>
      <c r="AR49" s="235">
        <f t="shared" si="8"/>
        <v>1.7083333333333333E-4</v>
      </c>
      <c r="AS49" s="235">
        <f t="shared" si="9"/>
        <v>2.0833333333333335E-4</v>
      </c>
      <c r="AT49" s="235">
        <f t="shared" si="10"/>
        <v>1.2962962962962963E-3</v>
      </c>
      <c r="AU49" s="237">
        <f>SUM(tabParametros[[#This Row],[Ausência por Doença]:[Férias, Adicional de Férias e 13º  com empregada em gozo de Licença Maternidade]])*SUM(tabParametros[[#This Row],[INSS]:[SEBRAE]])</f>
        <v>4.5918250000000008E-3</v>
      </c>
      <c r="AV49" s="234">
        <f>IF(tabParametros[[#This Row],[Função]]="Porteiro - 220 h",SUM(tabParametros[[#This Row],[Salário Base]:[Adicional de Acúmulo de função]])/220*20*1.5,IF(ISNUMBER(SEARCH("12 x 36",tabParametros[[#This Row],[Função]],1)),SUM(tabParametros[[#This Row],[Salário Base]:[Adicional de Acúmulo de função]])/210*15.5*1.5,0))</f>
        <v>0</v>
      </c>
      <c r="AW49" s="234">
        <f>IF(tabParametros[[#This Row],[Vagas contratadas]]&gt;0,(SUM(tabParametros[[#This Row],[Salário Base]:[Adicional de Acúmulo de função]])*30%+SUM(tabParametros[[#This Row],[Vale - Alimentação]:[Seguro de Vida]]))/tabParametros[[#This Row],[Vagas contratadas]]*tabParametros[[#This Row],[Vagas suspensas]],0)</f>
        <v>0</v>
      </c>
      <c r="AX49" s="234">
        <f>SUMIF(tabUniformes[Cargo],tabParametros[[#This Row],[Função]],tabUniformes[Valor unit. Mensal])</f>
        <v>62.806666666666665</v>
      </c>
      <c r="AY49" s="281">
        <f>IF(ISNUMBER(SEARCH("AUXILIAR DE LIMPEZA - 75 H",tabParametros[[#This Row],[Função]],1)),
SUMIF(tabLimpGeral[TIPO],"Material",tabLimpGeral[VALOR UNITÁRIO P/ HORA (R$)])*75,
IF(ISNUMBER(SEARCH("AUXILIAR DE LIMPEZA - 110 H",tabParametros[[#This Row],[Função]],1)),
SUMIF(tabLimpGeral[TIPO],"Material",tabLimpGeral[VALOR UNITÁRIO P/ HORA (R$)])*110,
IF(ISNUMBER(SEARCH("AUXILIAR DE LIMPEZA - 150 H",tabParametros[[#This Row],[Função]],1)),
SUMIF(tabLimpGeral[TIPO],"Material",tabLimpGeral[VALOR UNITÁRIO P/ HORA (R$)])*150,
IF(ISNUMBER(SEARCH("AUXILIAR DE LIMPEZA - 220 H",tabParametros[[#This Row],[Função]],1)),
SUMIF(tabLimpGeral[TIPO],"Material",tabLimpGeral[VALOR UNITÁRIO P/ HORA (R$)])*220,
IF(ISNUMBER(SEARCH("AUXILIAR DE LIMPEZA - 12 x 36",tabParametros[[#This Row],[Função]],1)),
SUMIF(tabLimpGeral[TIPO],"Material",tabLimpGeral[VALOR UNITÁRIO P/ HORA (R$)])*220,
IF(ISNUMBER(SEARCH("Limpador de vidros - 220 h",tabParametros[[#This Row],[Função]],1)),
SUMIF(tabVidros[TIPO],"Material",tabVidros[VALOR UNITÁRIO P/ POSTO (R$)]),
0))))))</f>
        <v>12.108481690426325</v>
      </c>
      <c r="AZ49" s="281">
        <f>IF(ISNUMBER(SEARCH("AUXILIAR DE LIMPEZA - 75 H",tabParametros[[#This Row],[Função]],1)),
SUMIF(tabLimpGeral[TIPO],"Equipamento",tabLimpGeral[VALOR UNITÁRIO P/ HORA (R$)])*75,
IF(ISNUMBER(SEARCH("AUXILIAR DE LIMPEZA - 110 H",tabParametros[[#This Row],[Função]],1)),
SUMIF(tabLimpGeral[TIPO],"Equipamento",tabLimpGeral[VALOR UNITÁRIO P/ HORA (R$)])*110,
IF(ISNUMBER(SEARCH("AUXILIAR DE LIMPEZA - 150 H",tabParametros[[#This Row],[Função]],1)),
SUMIF(tabLimpGeral[TIPO],"Equipamento",tabLimpGeral[VALOR UNITÁRIO P/ HORA (R$)])*150,
IF(ISNUMBER(SEARCH("AUXILIAR DE LIMPEZA - 220 H",tabParametros[[#This Row],[Função]],1)),
SUMIF(tabLimpGeral[TIPO],"Equipamento",tabLimpGeral[VALOR UNITÁRIO P/ HORA (R$)])*220,
IF(ISNUMBER(SEARCH("AUXILIAR DE LIMPEZA - 12 x 36",tabParametros[[#This Row],[Função]],1)),
SUMIF(tabLimpGeral[TIPO],"Equipamento",tabLimpGeral[VALOR UNITÁRIO P/ HORA (R$)])*220,
IF(ISNUMBER(SEARCH("Limpador de vidros - 220 h",tabParametros[[#This Row],[Função]],1)),
SUMIF(tabVidros[TIPO],"Equipamento",tabVidros[VALOR UNITÁRIO P/ POSTO (R$)]),
0))))))</f>
        <v>21.998657016417809</v>
      </c>
      <c r="BA49" s="281">
        <f>IF(ISNUMBER(SEARCH("AUXILIAR DE LIMPEZA - 75 H",tabParametros[[#This Row],[Função]],1)),
SUMIF(tabLimpGeral[TIPO],"Produto",tabLimpGeral[VALOR UNITÁRIO P/ HORA (R$)])*75,
IF(ISNUMBER(SEARCH("AUXILIAR DE LIMPEZA - 110 H",tabParametros[[#This Row],[Função]],1)),
SUMIF(tabLimpGeral[TIPO],"Produto",tabLimpGeral[VALOR UNITÁRIO P/ HORA (R$)])*110,
IF(ISNUMBER(SEARCH("AUXILIAR DE LIMPEZA - 150 H",tabParametros[[#This Row],[Função]],1)),
SUMIF(tabLimpGeral[TIPO],"Produto",tabLimpGeral[VALOR UNITÁRIO P/ HORA (R$)])*150,
IF(ISNUMBER(SEARCH("AUXILIAR DE LIMPEZA - 220 H",tabParametros[[#This Row],[Função]],1)),
SUMIF(tabLimpGeral[TIPO],"Produto",tabLimpGeral[VALOR UNITÁRIO P/ HORA (R$)])*220,
IF(ISNUMBER(SEARCH("AUXILIAR DE LIMPEZA - 12 x 36",tabParametros[[#This Row],[Função]],1)),
SUMIF(tabLimpGeral[TIPO],"Produto",tabLimpGeral[VALOR UNITÁRIO P/ HORA (R$)])*220,
IF(ISNUMBER(SEARCH("Limpador de vidros - 220 h",tabParametros[[#This Row],[Função]],1)),
SUMIF(tabVidros[TIPO],"Produto",tabVidros[VALOR UNITÁRIO P/ POSTO (R$)]),
0))))))</f>
        <v>235.31984072022155</v>
      </c>
      <c r="BB49" s="281">
        <v>0</v>
      </c>
      <c r="BC49" s="236">
        <f>VLOOKUP(tabParametros[[#Headers],[Custos Indiretos]],tabOutrosCustos[],3,0)</f>
        <v>189.64880140242613</v>
      </c>
      <c r="BD49" s="236">
        <f>VLOOKUP(tabParametros[[#Headers],[Lucro]],tabOutrosCustos[],3,0)</f>
        <v>159.30499317803796</v>
      </c>
      <c r="BE49" s="235">
        <f>VLOOKUP(tabParametros[[#Headers],[COFINS]],tabImpostosNacionais[],2,0)</f>
        <v>7.5999999999999998E-2</v>
      </c>
      <c r="BF49" s="235">
        <f>VLOOKUP(tabParametros[[#Headers],[PIS]],tabImpostosNacionais[],2,0)</f>
        <v>1.6500000000000001E-2</v>
      </c>
      <c r="BG49" s="235">
        <f>VLOOKUP(tabParametros[[#This Row],[Comarca]],tabComarca[],4,0)</f>
        <v>0.03</v>
      </c>
      <c r="BH49" s="238">
        <f>IFERROR(VLOOKUP(tabParametros[[#This Row],[CCT DA CATEGORIA]],tabSindicatos[],11,0),"")</f>
        <v>45658</v>
      </c>
      <c r="BI49" s="289" t="str">
        <f>IFERROR(VLOOKUP(tabParametros[[#This Row],[CCT DA CATEGORIA]],tabSindicatos[],12,0),"")</f>
        <v>-</v>
      </c>
      <c r="BJ49" s="293" t="str">
        <f>IFERROR(VLOOKUP(tabParametros[[#This Row],[CCT DA CATEGORIA]],tabSindicatos[],13,0),"")</f>
        <v>-</v>
      </c>
    </row>
    <row r="50" spans="1:62" x14ac:dyDescent="0.25">
      <c r="A50" s="233" t="s">
        <v>1390</v>
      </c>
      <c r="B50" s="198" t="s">
        <v>49</v>
      </c>
      <c r="C50" s="198" t="s">
        <v>1247</v>
      </c>
      <c r="D50" s="198" t="str">
        <f>VLOOKUP(tabParametros[[#This Row],[Código do Posto]],tabPostos[],4,0)</f>
        <v>Fethemg Interior</v>
      </c>
      <c r="E50" s="289" t="str">
        <f>VLOOKUP(tabParametros[[#This Row],[Código do Posto]],tabPostos[],5,0)</f>
        <v>Limpeza</v>
      </c>
      <c r="F50" s="289" t="str">
        <f>VLOOKUP(tabParametros[[#This Row],[Código do Posto]],tabPostos[],6,0)</f>
        <v>PGJ</v>
      </c>
      <c r="G50" s="289">
        <f>VLOOKUP(tabParametros[[#This Row],[Código do Posto]],tabPostos[],7,0)</f>
        <v>1</v>
      </c>
      <c r="H50" s="289">
        <f>VLOOKUP(tabParametros[[#This Row],[Código do Posto]],tabPostos[],8,0)</f>
        <v>0</v>
      </c>
      <c r="I50" s="234">
        <f>VLOOKUP(tabParametros[[#This Row],[Código do Posto]],tabPostos[],9,0)</f>
        <v>544.17999999999995</v>
      </c>
      <c r="J50" s="234">
        <f>IF(ISNUMBER(SEARCH("Eletricista",tabParametros[[#This Row],[Função]],1)),0.3*tabParametros[[#This Row],[Salário Base]],0)</f>
        <v>0</v>
      </c>
      <c r="K50" s="234">
        <f>IF(OR(ISNUMBER(SEARCH("Bombeiro Hidraulico",tabParametros[[#This Row],[Função]],1)),ISNUMBER(SEARCH("Jardineiro",tabParametros[[#This Row],[Função]],1)),ISNUMBER(SEARCH("Lavador de Veiculos",tabParametros[[#This Row],[Função]],1)),ISNUMBER(SEARCH("Marceneiro",tabParametros[[#This Row],[Função]],1)),ISNUMBER(SEARCH("Pintor",tabParametros[[#This Row],[Função]],1))),0.2*'BASE GERAL'!$R$4,0)</f>
        <v>0</v>
      </c>
      <c r="L50" s="234">
        <f>IF(AND(ISNUMBER(SEARCH("Noturno",tabParametros[[#This Row],[Função]],1)),tabParametros[[#This Row],[Comarca]]&lt;&gt;"Juiz de Fora"),tabParametros[[#This Row],[Salário Base]]/210*0.39*7*15.5,IF(ISNUMBER(SEARCH("Noturno",tabParametros[[#This Row],[Função]],1)),tabParametros[[#This Row],[Salário Base]]/210*0.2*8*15.5,0))</f>
        <v>0</v>
      </c>
      <c r="M50" s="234">
        <f>IF(ISNUMBER(SEARCH("Motorista II",tabParametros[[#This Row],[Função]],1)),0.25*tabParametros[[#This Row],[Salário Base]],0)</f>
        <v>0</v>
      </c>
      <c r="N50" s="250">
        <v>0</v>
      </c>
      <c r="O50" s="234">
        <f>IF(ISNUMBER(SEARCH("TECNOLOGIA DA INFORMACAO",tabParametros[[#This Row],[Função]],1)),0.0201*tabParametros[[#This Row],[Salário Base]],0)</f>
        <v>0</v>
      </c>
      <c r="P50" s="250" cm="1">
        <f t="array" ref="P50">_xlfn.IFS(
ISNUMBER(SEARCH("Auxiliar de Limpeza - 75 h",tabParametros[[#This Row],[Função]],1)),tabParametros[[#This Row],[Salário Base]]/75*0.75*30*0.12,
ISNUMBER(SEARCH("Auxiliar de Limpeza - 110 h",tabParametros[[#This Row],[Função]],1)),tabParametros[[#This Row],[Salário Base]]/110*1*30*0.12,
ISNUMBER(SEARCH("Auxiliar de Limpeza - 150 h",tabParametros[[#This Row],[Função]],1)),tabParametros[[#This Row],[Salário Base]]/150*1.5*30*0.12,
ISNUMBER(SEARCH("Auxiliar de Limpeza - 220 h",tabParametros[[#This Row],[Função]],1)),tabParametros[[#This Row],[Salário Base]]/220*2*30*0.12,
ISNUMBER(SEARCH("Auxiliar de Limpeza - 12 x 36",tabParametros[[#This Row],[Função]],1)),tabParametros[[#This Row],[Salário Base]]/220*2*30*0.12,
ISNUMBER(SEARCH("Auxiliar de Limpeza - 55 h",tabParametros[[#This Row],[Função]],1))=FALSE,0)</f>
        <v>19.590479999999999</v>
      </c>
      <c r="Q50" s="235">
        <f>VLOOKUP(tabParametros[[#Headers],[INSS]],tabImpostosNacionais[],2,0)</f>
        <v>0.2</v>
      </c>
      <c r="R50" s="235">
        <f>VLOOKUP(tabParametros[[#Headers],[SESI OU SESC]],tabImpostosNacionais[],2,0)</f>
        <v>1.4999999999999999E-2</v>
      </c>
      <c r="S50" s="235">
        <f>VLOOKUP(tabParametros[[#Headers],[SENAI OU SENAC]],tabImpostosNacionais[],2,0)</f>
        <v>0.01</v>
      </c>
      <c r="T50" s="235">
        <f>VLOOKUP(tabParametros[[#Headers],[INCRA]],tabImpostosNacionais[],2,0)</f>
        <v>2E-3</v>
      </c>
      <c r="U50" s="235">
        <f>VLOOKUP(tabParametros[[#Headers],[Salário Educação]],tabImpostosNacionais[],2,0)</f>
        <v>2.5000000000000001E-2</v>
      </c>
      <c r="V50" s="235">
        <f>VLOOKUP(tabParametros[[#Headers],[FGTS]],tabImpostosNacionais[],2,0)</f>
        <v>0.08</v>
      </c>
      <c r="W50" s="235">
        <f>VLOOKUP(tabParametros[[#Headers],[RAT Ajustado]],tabImpostosNacionais[],2,0)</f>
        <v>0.04</v>
      </c>
      <c r="X50" s="235">
        <f>VLOOKUP(tabParametros[[#Headers],[SEBRAE]],tabImpostosNacionais[],2,0)</f>
        <v>6.0000000000000001E-3</v>
      </c>
      <c r="Y50" s="235">
        <f t="shared" si="0"/>
        <v>8.3333333333333329E-2</v>
      </c>
      <c r="Z50" s="251">
        <f t="shared" si="1"/>
        <v>0.1111111111111111</v>
      </c>
      <c r="AA50" s="234">
        <f>VLOOKUP(tabParametros[[#This Row],[Comarca]],tabComarca[],5,0)</f>
        <v>6.4</v>
      </c>
      <c r="AB50" s="234">
        <f>IFERROR(VLOOKUP(tabParametros[[#This Row],[CCT DA CATEGORIA]],tabSindicatos[],6,0),0)</f>
        <v>29.15</v>
      </c>
      <c r="AC50" s="234">
        <f>IFERROR(VLOOKUP(tabParametros[[#This Row],[CCT DA CATEGORIA]],tabSindicatos[],7,0),0)</f>
        <v>0</v>
      </c>
      <c r="AD50" s="234" cm="1">
        <f t="array" ref="AD50">_xlfn.LET(
_xlpm.COMARCA, TRIM(UPPER(SUBSTITUTE(SUBSTITUTE(SUBSTITUTE(SUBSTITUTE(SUBSTITUTE(SUBSTITUTE(SUBSTITUTE(SUBSTITUTE(SUBSTITUTE(SUBSTITUTE(SUBSTITUTE(SUBSTITUTE(SUBSTITUTE(SUBSTITUTE(SUBSTITUTE(SUBSTITUTE(SUBSTITUTE(SUBSTITUTE(SUBSTITUTE(SUBSTITUTE(SUBSTITUTE(SUBSTITUTE(SUBSTITUTE(SUBSTITUTE(SUBSTITUTE(SUBSTITUTE(tabParametros[[#This Row],[Comarca]],"á","a"),"ã","a"),"â","a"),"é","e"),"ê","e"),"í","i"),"ó","o"),"õ","o"),"ô","o"),"ú","u"),"ç","c"),"Á","a"),"Ã","a"),"Â","a"),"É","e"),"Ê","e"),"Í","i"),"Ó","o"),"Õ","o"),"Ô","o"),"Ú","u"),"Ç","c"),"/MG","")," e ",", ")," ",""),".",""))),
_xlpm.MATRIZ_COMARCA, TRIM(UPPER(SUBSTITUTE(SUBSTITUTE(SUBSTITUTE(SUBSTITUTE(SUBSTITUTE(SUBSTITUTE(SUBSTITUTE(SUBSTITUTE(SUBSTITUTE(SUBSTITUTE(SUBSTITUTE(SUBSTITUTE(SUBSTITUTE(SUBSTITUTE(SUBSTITUTE(SUBSTITUTE(SUBSTITUTE(SUBSTITUTE(SUBSTITUTE(SUBSTITUTE(SUBSTITUTE(SUBSTITUTE(SUBSTITUTE(SUBSTITUTE(SUBSTITUTE(SUBSTITUTE(tabSindicatos[COMARCAS PAF],"á","a"),"ã","a"),"â","a"),"é","e"),"ê","e"),"í","i"),"ó","o"),"õ","o"),"ô","o"),"ú","u"),"ç","c"),"Á","a"),"Ã","a"),"Â","a"),"É","e"),"Ê","e"),"Í","i"),"Ó","o"),"Õ","o"),"Ô","o"),"Ú","u"),"Ç","c"),"/MG","")," e ",", ")," ",""),".",""))),
IFERROR(IF(_xlfn.XLOOKUP(tabParametros[[#This Row],[CCT DA CATEGORIA]],tabSindicatos[SINDICATOS],tabSindicatos[COMARCAS PAF])="",
VLOOKUP(tabParametros[[#This Row],[CCT DA CATEGORIA]],tabSindicatos[],8,0),
IF(ISNUMBER(SEARCH(TRIM(_xlpm.COMARCA),_xlfn.XLOOKUP(tabParametros[[#This Row],[CCT DA CATEGORIA]],tabSindicatos[SINDICATOS],_xlpm.MATRIZ_COMARCA),1)),VLOOKUP(tabParametros[[#This Row],[CCT DA CATEGORIA]],tabSindicatos[],8,0),0)
),0)
)</f>
        <v>0</v>
      </c>
      <c r="AE50" s="234">
        <f>IFERROR(VLOOKUP(tabParametros[[#This Row],[CCT DA CATEGORIA]],tabSindicatos[],9,0),0)</f>
        <v>15.07</v>
      </c>
      <c r="AF50" s="234">
        <f>IFERROR(VLOOKUP(tabParametros[[#This Row],[CCT DA CATEGORIA]],tabSindicatos[],10,0),0)</f>
        <v>0</v>
      </c>
      <c r="AG50" s="236">
        <f>VLOOKUP(tabParametros[[#Headers],[Seguro de Vida]],tabOutrosCustos[],3,0)</f>
        <v>3.36</v>
      </c>
      <c r="AH50" s="236">
        <f>IF(ISNUMBER(SEARCH("MOTORISTA",tabParametros[[#This Row],[Função]],1)),VLOOKUP("MOTORISTAS",tabDiarias[],2,0),IF(tabParametros[[#This Row],[Comarca]]="Belo Horizonte",VLOOKUP("LIMPEZA",tabDiarias[],2,0),0))</f>
        <v>0</v>
      </c>
      <c r="AI50" s="235">
        <f t="shared" si="2"/>
        <v>7.011766975308642E-3</v>
      </c>
      <c r="AJ50" s="237">
        <f>tabParametros[[#This Row],[FGTS]]*tabParametros[[#This Row],[Aviso Prévio Indenizado (API) e Reflexo do Aviso Prévio Indenizado]]</f>
        <v>5.609413580246914E-4</v>
      </c>
      <c r="AK50" s="237">
        <f>tabParametros[[#This Row],[FGTS]]*tabParametros[[#This Row],[Aviso Prévio Indenizado (API) e Reflexo do Aviso Prévio Indenizado]]*40%</f>
        <v>2.2437654320987658E-4</v>
      </c>
      <c r="AL50" s="235">
        <f t="shared" si="3"/>
        <v>3.5000000000000005E-3</v>
      </c>
      <c r="AM50" s="235">
        <f>tabParametros[[#This Row],[Aviso Prévio Trabalhado - APT]]*SUM(tabParametros[[#This Row],[INSS]:[SEBRAE]])</f>
        <v>1.3230000000000004E-3</v>
      </c>
      <c r="AN50" s="235">
        <f t="shared" si="4"/>
        <v>3.0577777777777773E-2</v>
      </c>
      <c r="AO50" s="235">
        <f t="shared" si="5"/>
        <v>8.3333333333333339E-4</v>
      </c>
      <c r="AP50" s="235">
        <f t="shared" si="6"/>
        <v>8.4444444444444437E-3</v>
      </c>
      <c r="AQ50" s="235">
        <f t="shared" si="7"/>
        <v>2.0277777777777777E-3</v>
      </c>
      <c r="AR50" s="235">
        <f t="shared" si="8"/>
        <v>1.7083333333333333E-4</v>
      </c>
      <c r="AS50" s="235">
        <f t="shared" si="9"/>
        <v>2.0833333333333335E-4</v>
      </c>
      <c r="AT50" s="235">
        <f t="shared" si="10"/>
        <v>1.2962962962962963E-3</v>
      </c>
      <c r="AU50" s="237">
        <f>SUM(tabParametros[[#This Row],[Ausência por Doença]:[Férias, Adicional de Férias e 13º  com empregada em gozo de Licença Maternidade]])*SUM(tabParametros[[#This Row],[INSS]:[SEBRAE]])</f>
        <v>4.5918250000000008E-3</v>
      </c>
      <c r="AV50" s="234">
        <f>IF(tabParametros[[#This Row],[Função]]="Porteiro - 220 h",SUM(tabParametros[[#This Row],[Salário Base]:[Adicional de Acúmulo de função]])/220*20*1.5,IF(ISNUMBER(SEARCH("12 x 36",tabParametros[[#This Row],[Função]],1)),SUM(tabParametros[[#This Row],[Salário Base]:[Adicional de Acúmulo de função]])/210*15.5*1.5,0))</f>
        <v>0</v>
      </c>
      <c r="AW50" s="234">
        <f>IF(tabParametros[[#This Row],[Vagas contratadas]]&gt;0,(SUM(tabParametros[[#This Row],[Salário Base]:[Adicional de Acúmulo de função]])*30%+SUM(tabParametros[[#This Row],[Vale - Alimentação]:[Seguro de Vida]]))/tabParametros[[#This Row],[Vagas contratadas]]*tabParametros[[#This Row],[Vagas suspensas]],0)</f>
        <v>0</v>
      </c>
      <c r="AX50" s="234">
        <f>SUMIF(tabUniformes[Cargo],tabParametros[[#This Row],[Função]],tabUniformes[Valor unit. Mensal])</f>
        <v>62.806666666666665</v>
      </c>
      <c r="AY50" s="281">
        <f>IF(ISNUMBER(SEARCH("AUXILIAR DE LIMPEZA - 75 H",tabParametros[[#This Row],[Função]],1)),
SUMIF(tabLimpGeral[TIPO],"Material",tabLimpGeral[VALOR UNITÁRIO P/ HORA (R$)])*75,
IF(ISNUMBER(SEARCH("AUXILIAR DE LIMPEZA - 110 H",tabParametros[[#This Row],[Função]],1)),
SUMIF(tabLimpGeral[TIPO],"Material",tabLimpGeral[VALOR UNITÁRIO P/ HORA (R$)])*110,
IF(ISNUMBER(SEARCH("AUXILIAR DE LIMPEZA - 150 H",tabParametros[[#This Row],[Função]],1)),
SUMIF(tabLimpGeral[TIPO],"Material",tabLimpGeral[VALOR UNITÁRIO P/ HORA (R$)])*150,
IF(ISNUMBER(SEARCH("AUXILIAR DE LIMPEZA - 220 H",tabParametros[[#This Row],[Função]],1)),
SUMIF(tabLimpGeral[TIPO],"Material",tabLimpGeral[VALOR UNITÁRIO P/ HORA (R$)])*220,
IF(ISNUMBER(SEARCH("AUXILIAR DE LIMPEZA - 12 x 36",tabParametros[[#This Row],[Função]],1)),
SUMIF(tabLimpGeral[TIPO],"Material",tabLimpGeral[VALOR UNITÁRIO P/ HORA (R$)])*220,
IF(ISNUMBER(SEARCH("Limpador de vidros - 220 h",tabParametros[[#This Row],[Função]],1)),
SUMIF(tabVidros[TIPO],"Material",tabVidros[VALOR UNITÁRIO P/ POSTO (R$)]),
0))))))</f>
        <v>12.108481690426325</v>
      </c>
      <c r="AZ50" s="281">
        <f>IF(ISNUMBER(SEARCH("AUXILIAR DE LIMPEZA - 75 H",tabParametros[[#This Row],[Função]],1)),
SUMIF(tabLimpGeral[TIPO],"Equipamento",tabLimpGeral[VALOR UNITÁRIO P/ HORA (R$)])*75,
IF(ISNUMBER(SEARCH("AUXILIAR DE LIMPEZA - 110 H",tabParametros[[#This Row],[Função]],1)),
SUMIF(tabLimpGeral[TIPO],"Equipamento",tabLimpGeral[VALOR UNITÁRIO P/ HORA (R$)])*110,
IF(ISNUMBER(SEARCH("AUXILIAR DE LIMPEZA - 150 H",tabParametros[[#This Row],[Função]],1)),
SUMIF(tabLimpGeral[TIPO],"Equipamento",tabLimpGeral[VALOR UNITÁRIO P/ HORA (R$)])*150,
IF(ISNUMBER(SEARCH("AUXILIAR DE LIMPEZA - 220 H",tabParametros[[#This Row],[Função]],1)),
SUMIF(tabLimpGeral[TIPO],"Equipamento",tabLimpGeral[VALOR UNITÁRIO P/ HORA (R$)])*220,
IF(ISNUMBER(SEARCH("AUXILIAR DE LIMPEZA - 12 x 36",tabParametros[[#This Row],[Função]],1)),
SUMIF(tabLimpGeral[TIPO],"Equipamento",tabLimpGeral[VALOR UNITÁRIO P/ HORA (R$)])*220,
IF(ISNUMBER(SEARCH("Limpador de vidros - 220 h",tabParametros[[#This Row],[Função]],1)),
SUMIF(tabVidros[TIPO],"Equipamento",tabVidros[VALOR UNITÁRIO P/ POSTO (R$)]),
0))))))</f>
        <v>21.998657016417809</v>
      </c>
      <c r="BA50" s="281">
        <f>IF(ISNUMBER(SEARCH("AUXILIAR DE LIMPEZA - 75 H",tabParametros[[#This Row],[Função]],1)),
SUMIF(tabLimpGeral[TIPO],"Produto",tabLimpGeral[VALOR UNITÁRIO P/ HORA (R$)])*75,
IF(ISNUMBER(SEARCH("AUXILIAR DE LIMPEZA - 110 H",tabParametros[[#This Row],[Função]],1)),
SUMIF(tabLimpGeral[TIPO],"Produto",tabLimpGeral[VALOR UNITÁRIO P/ HORA (R$)])*110,
IF(ISNUMBER(SEARCH("AUXILIAR DE LIMPEZA - 150 H",tabParametros[[#This Row],[Função]],1)),
SUMIF(tabLimpGeral[TIPO],"Produto",tabLimpGeral[VALOR UNITÁRIO P/ HORA (R$)])*150,
IF(ISNUMBER(SEARCH("AUXILIAR DE LIMPEZA - 220 H",tabParametros[[#This Row],[Função]],1)),
SUMIF(tabLimpGeral[TIPO],"Produto",tabLimpGeral[VALOR UNITÁRIO P/ HORA (R$)])*220,
IF(ISNUMBER(SEARCH("AUXILIAR DE LIMPEZA - 12 x 36",tabParametros[[#This Row],[Função]],1)),
SUMIF(tabLimpGeral[TIPO],"Produto",tabLimpGeral[VALOR UNITÁRIO P/ HORA (R$)])*220,
IF(ISNUMBER(SEARCH("Limpador de vidros - 220 h",tabParametros[[#This Row],[Função]],1)),
SUMIF(tabVidros[TIPO],"Produto",tabVidros[VALOR UNITÁRIO P/ POSTO (R$)]),
0))))))</f>
        <v>235.31984072022155</v>
      </c>
      <c r="BB50" s="281">
        <v>0</v>
      </c>
      <c r="BC50" s="236">
        <f>VLOOKUP(tabParametros[[#Headers],[Custos Indiretos]],tabOutrosCustos[],3,0)</f>
        <v>189.64880140242613</v>
      </c>
      <c r="BD50" s="236">
        <f>VLOOKUP(tabParametros[[#Headers],[Lucro]],tabOutrosCustos[],3,0)</f>
        <v>159.30499317803796</v>
      </c>
      <c r="BE50" s="235">
        <f>VLOOKUP(tabParametros[[#Headers],[COFINS]],tabImpostosNacionais[],2,0)</f>
        <v>7.5999999999999998E-2</v>
      </c>
      <c r="BF50" s="235">
        <f>VLOOKUP(tabParametros[[#Headers],[PIS]],tabImpostosNacionais[],2,0)</f>
        <v>1.6500000000000001E-2</v>
      </c>
      <c r="BG50" s="235">
        <f>VLOOKUP(tabParametros[[#This Row],[Comarca]],tabComarca[],4,0)</f>
        <v>0.02</v>
      </c>
      <c r="BH50" s="238">
        <f>IFERROR(VLOOKUP(tabParametros[[#This Row],[CCT DA CATEGORIA]],tabSindicatos[],11,0),"")</f>
        <v>45658</v>
      </c>
      <c r="BI50" s="289" t="str">
        <f>IFERROR(VLOOKUP(tabParametros[[#This Row],[CCT DA CATEGORIA]],tabSindicatos[],12,0),"")</f>
        <v>-</v>
      </c>
      <c r="BJ50" s="293" t="str">
        <f>IFERROR(VLOOKUP(tabParametros[[#This Row],[CCT DA CATEGORIA]],tabSindicatos[],13,0),"")</f>
        <v>-</v>
      </c>
    </row>
    <row r="51" spans="1:62" x14ac:dyDescent="0.25">
      <c r="A51" s="233" t="s">
        <v>1391</v>
      </c>
      <c r="B51" s="198" t="s">
        <v>50</v>
      </c>
      <c r="C51" s="198" t="s">
        <v>1247</v>
      </c>
      <c r="D51" s="198" t="str">
        <f>VLOOKUP(tabParametros[[#This Row],[Código do Posto]],tabPostos[],4,0)</f>
        <v>Fethemg Interior</v>
      </c>
      <c r="E51" s="289" t="str">
        <f>VLOOKUP(tabParametros[[#This Row],[Código do Posto]],tabPostos[],5,0)</f>
        <v>Limpeza</v>
      </c>
      <c r="F51" s="289" t="str">
        <f>VLOOKUP(tabParametros[[#This Row],[Código do Posto]],tabPostos[],6,0)</f>
        <v>PGJ</v>
      </c>
      <c r="G51" s="289">
        <f>VLOOKUP(tabParametros[[#This Row],[Código do Posto]],tabPostos[],7,0)</f>
        <v>1</v>
      </c>
      <c r="H51" s="289">
        <f>VLOOKUP(tabParametros[[#This Row],[Código do Posto]],tabPostos[],8,0)</f>
        <v>0</v>
      </c>
      <c r="I51" s="234">
        <f>VLOOKUP(tabParametros[[#This Row],[Código do Posto]],tabPostos[],9,0)</f>
        <v>544.17999999999995</v>
      </c>
      <c r="J51" s="234">
        <f>IF(ISNUMBER(SEARCH("Eletricista",tabParametros[[#This Row],[Função]],1)),0.3*tabParametros[[#This Row],[Salário Base]],0)</f>
        <v>0</v>
      </c>
      <c r="K51" s="234">
        <f>IF(OR(ISNUMBER(SEARCH("Bombeiro Hidraulico",tabParametros[[#This Row],[Função]],1)),ISNUMBER(SEARCH("Jardineiro",tabParametros[[#This Row],[Função]],1)),ISNUMBER(SEARCH("Lavador de Veiculos",tabParametros[[#This Row],[Função]],1)),ISNUMBER(SEARCH("Marceneiro",tabParametros[[#This Row],[Função]],1)),ISNUMBER(SEARCH("Pintor",tabParametros[[#This Row],[Função]],1))),0.2*'BASE GERAL'!$R$4,0)</f>
        <v>0</v>
      </c>
      <c r="L51" s="234">
        <f>IF(AND(ISNUMBER(SEARCH("Noturno",tabParametros[[#This Row],[Função]],1)),tabParametros[[#This Row],[Comarca]]&lt;&gt;"Juiz de Fora"),tabParametros[[#This Row],[Salário Base]]/210*0.39*7*15.5,IF(ISNUMBER(SEARCH("Noturno",tabParametros[[#This Row],[Função]],1)),tabParametros[[#This Row],[Salário Base]]/210*0.2*8*15.5,0))</f>
        <v>0</v>
      </c>
      <c r="M51" s="234">
        <f>IF(ISNUMBER(SEARCH("Motorista II",tabParametros[[#This Row],[Função]],1)),0.25*tabParametros[[#This Row],[Salário Base]],0)</f>
        <v>0</v>
      </c>
      <c r="N51" s="250">
        <v>0</v>
      </c>
      <c r="O51" s="234">
        <f>IF(ISNUMBER(SEARCH("TECNOLOGIA DA INFORMACAO",tabParametros[[#This Row],[Função]],1)),0.0201*tabParametros[[#This Row],[Salário Base]],0)</f>
        <v>0</v>
      </c>
      <c r="P51" s="250" cm="1">
        <f t="array" ref="P51">_xlfn.IFS(
ISNUMBER(SEARCH("Auxiliar de Limpeza - 75 h",tabParametros[[#This Row],[Função]],1)),tabParametros[[#This Row],[Salário Base]]/75*0.75*30*0.12,
ISNUMBER(SEARCH("Auxiliar de Limpeza - 110 h",tabParametros[[#This Row],[Função]],1)),tabParametros[[#This Row],[Salário Base]]/110*1*30*0.12,
ISNUMBER(SEARCH("Auxiliar de Limpeza - 150 h",tabParametros[[#This Row],[Função]],1)),tabParametros[[#This Row],[Salário Base]]/150*1.5*30*0.12,
ISNUMBER(SEARCH("Auxiliar de Limpeza - 220 h",tabParametros[[#This Row],[Função]],1)),tabParametros[[#This Row],[Salário Base]]/220*2*30*0.12,
ISNUMBER(SEARCH("Auxiliar de Limpeza - 12 x 36",tabParametros[[#This Row],[Função]],1)),tabParametros[[#This Row],[Salário Base]]/220*2*30*0.12,
ISNUMBER(SEARCH("Auxiliar de Limpeza - 55 h",tabParametros[[#This Row],[Função]],1))=FALSE,0)</f>
        <v>19.590479999999999</v>
      </c>
      <c r="Q51" s="235">
        <f>VLOOKUP(tabParametros[[#Headers],[INSS]],tabImpostosNacionais[],2,0)</f>
        <v>0.2</v>
      </c>
      <c r="R51" s="235">
        <f>VLOOKUP(tabParametros[[#Headers],[SESI OU SESC]],tabImpostosNacionais[],2,0)</f>
        <v>1.4999999999999999E-2</v>
      </c>
      <c r="S51" s="235">
        <f>VLOOKUP(tabParametros[[#Headers],[SENAI OU SENAC]],tabImpostosNacionais[],2,0)</f>
        <v>0.01</v>
      </c>
      <c r="T51" s="235">
        <f>VLOOKUP(tabParametros[[#Headers],[INCRA]],tabImpostosNacionais[],2,0)</f>
        <v>2E-3</v>
      </c>
      <c r="U51" s="235">
        <f>VLOOKUP(tabParametros[[#Headers],[Salário Educação]],tabImpostosNacionais[],2,0)</f>
        <v>2.5000000000000001E-2</v>
      </c>
      <c r="V51" s="235">
        <f>VLOOKUP(tabParametros[[#Headers],[FGTS]],tabImpostosNacionais[],2,0)</f>
        <v>0.08</v>
      </c>
      <c r="W51" s="235">
        <f>VLOOKUP(tabParametros[[#Headers],[RAT Ajustado]],tabImpostosNacionais[],2,0)</f>
        <v>0.04</v>
      </c>
      <c r="X51" s="235">
        <f>VLOOKUP(tabParametros[[#Headers],[SEBRAE]],tabImpostosNacionais[],2,0)</f>
        <v>6.0000000000000001E-3</v>
      </c>
      <c r="Y51" s="235">
        <f t="shared" si="0"/>
        <v>8.3333333333333329E-2</v>
      </c>
      <c r="Z51" s="251">
        <f t="shared" si="1"/>
        <v>0.1111111111111111</v>
      </c>
      <c r="AA51" s="234">
        <f>VLOOKUP(tabParametros[[#This Row],[Comarca]],tabComarca[],5,0)</f>
        <v>6.4</v>
      </c>
      <c r="AB51" s="234">
        <f>IFERROR(VLOOKUP(tabParametros[[#This Row],[CCT DA CATEGORIA]],tabSindicatos[],6,0),0)</f>
        <v>29.15</v>
      </c>
      <c r="AC51" s="234">
        <f>IFERROR(VLOOKUP(tabParametros[[#This Row],[CCT DA CATEGORIA]],tabSindicatos[],7,0),0)</f>
        <v>0</v>
      </c>
      <c r="AD51" s="234" cm="1">
        <f t="array" ref="AD51">_xlfn.LET(
_xlpm.COMARCA, TRIM(UPPER(SUBSTITUTE(SUBSTITUTE(SUBSTITUTE(SUBSTITUTE(SUBSTITUTE(SUBSTITUTE(SUBSTITUTE(SUBSTITUTE(SUBSTITUTE(SUBSTITUTE(SUBSTITUTE(SUBSTITUTE(SUBSTITUTE(SUBSTITUTE(SUBSTITUTE(SUBSTITUTE(SUBSTITUTE(SUBSTITUTE(SUBSTITUTE(SUBSTITUTE(SUBSTITUTE(SUBSTITUTE(SUBSTITUTE(SUBSTITUTE(SUBSTITUTE(SUBSTITUTE(tabParametros[[#This Row],[Comarca]],"á","a"),"ã","a"),"â","a"),"é","e"),"ê","e"),"í","i"),"ó","o"),"õ","o"),"ô","o"),"ú","u"),"ç","c"),"Á","a"),"Ã","a"),"Â","a"),"É","e"),"Ê","e"),"Í","i"),"Ó","o"),"Õ","o"),"Ô","o"),"Ú","u"),"Ç","c"),"/MG","")," e ",", ")," ",""),".",""))),
_xlpm.MATRIZ_COMARCA, TRIM(UPPER(SUBSTITUTE(SUBSTITUTE(SUBSTITUTE(SUBSTITUTE(SUBSTITUTE(SUBSTITUTE(SUBSTITUTE(SUBSTITUTE(SUBSTITUTE(SUBSTITUTE(SUBSTITUTE(SUBSTITUTE(SUBSTITUTE(SUBSTITUTE(SUBSTITUTE(SUBSTITUTE(SUBSTITUTE(SUBSTITUTE(SUBSTITUTE(SUBSTITUTE(SUBSTITUTE(SUBSTITUTE(SUBSTITUTE(SUBSTITUTE(SUBSTITUTE(SUBSTITUTE(tabSindicatos[COMARCAS PAF],"á","a"),"ã","a"),"â","a"),"é","e"),"ê","e"),"í","i"),"ó","o"),"õ","o"),"ô","o"),"ú","u"),"ç","c"),"Á","a"),"Ã","a"),"Â","a"),"É","e"),"Ê","e"),"Í","i"),"Ó","o"),"Õ","o"),"Ô","o"),"Ú","u"),"Ç","c"),"/MG","")," e ",", ")," ",""),".",""))),
IFERROR(IF(_xlfn.XLOOKUP(tabParametros[[#This Row],[CCT DA CATEGORIA]],tabSindicatos[SINDICATOS],tabSindicatos[COMARCAS PAF])="",
VLOOKUP(tabParametros[[#This Row],[CCT DA CATEGORIA]],tabSindicatos[],8,0),
IF(ISNUMBER(SEARCH(TRIM(_xlpm.COMARCA),_xlfn.XLOOKUP(tabParametros[[#This Row],[CCT DA CATEGORIA]],tabSindicatos[SINDICATOS],_xlpm.MATRIZ_COMARCA),1)),VLOOKUP(tabParametros[[#This Row],[CCT DA CATEGORIA]],tabSindicatos[],8,0),0)
),0)
)</f>
        <v>0</v>
      </c>
      <c r="AE51" s="234">
        <f>IFERROR(VLOOKUP(tabParametros[[#This Row],[CCT DA CATEGORIA]],tabSindicatos[],9,0),0)</f>
        <v>15.07</v>
      </c>
      <c r="AF51" s="234">
        <f>IFERROR(VLOOKUP(tabParametros[[#This Row],[CCT DA CATEGORIA]],tabSindicatos[],10,0),0)</f>
        <v>0</v>
      </c>
      <c r="AG51" s="236">
        <f>VLOOKUP(tabParametros[[#Headers],[Seguro de Vida]],tabOutrosCustos[],3,0)</f>
        <v>3.36</v>
      </c>
      <c r="AH51" s="236">
        <f>IF(ISNUMBER(SEARCH("MOTORISTA",tabParametros[[#This Row],[Função]],1)),VLOOKUP("MOTORISTAS",tabDiarias[],2,0),IF(tabParametros[[#This Row],[Comarca]]="Belo Horizonte",VLOOKUP("LIMPEZA",tabDiarias[],2,0),0))</f>
        <v>0</v>
      </c>
      <c r="AI51" s="235">
        <f t="shared" si="2"/>
        <v>7.011766975308642E-3</v>
      </c>
      <c r="AJ51" s="237">
        <f>tabParametros[[#This Row],[FGTS]]*tabParametros[[#This Row],[Aviso Prévio Indenizado (API) e Reflexo do Aviso Prévio Indenizado]]</f>
        <v>5.609413580246914E-4</v>
      </c>
      <c r="AK51" s="237">
        <f>tabParametros[[#This Row],[FGTS]]*tabParametros[[#This Row],[Aviso Prévio Indenizado (API) e Reflexo do Aviso Prévio Indenizado]]*40%</f>
        <v>2.2437654320987658E-4</v>
      </c>
      <c r="AL51" s="235">
        <f t="shared" si="3"/>
        <v>3.5000000000000005E-3</v>
      </c>
      <c r="AM51" s="235">
        <f>tabParametros[[#This Row],[Aviso Prévio Trabalhado - APT]]*SUM(tabParametros[[#This Row],[INSS]:[SEBRAE]])</f>
        <v>1.3230000000000004E-3</v>
      </c>
      <c r="AN51" s="235">
        <f t="shared" si="4"/>
        <v>3.0577777777777773E-2</v>
      </c>
      <c r="AO51" s="235">
        <f t="shared" si="5"/>
        <v>8.3333333333333339E-4</v>
      </c>
      <c r="AP51" s="235">
        <f t="shared" si="6"/>
        <v>8.4444444444444437E-3</v>
      </c>
      <c r="AQ51" s="235">
        <f t="shared" si="7"/>
        <v>2.0277777777777777E-3</v>
      </c>
      <c r="AR51" s="235">
        <f t="shared" si="8"/>
        <v>1.7083333333333333E-4</v>
      </c>
      <c r="AS51" s="235">
        <f t="shared" si="9"/>
        <v>2.0833333333333335E-4</v>
      </c>
      <c r="AT51" s="235">
        <f t="shared" si="10"/>
        <v>1.2962962962962963E-3</v>
      </c>
      <c r="AU51" s="237">
        <f>SUM(tabParametros[[#This Row],[Ausência por Doença]:[Férias, Adicional de Férias e 13º  com empregada em gozo de Licença Maternidade]])*SUM(tabParametros[[#This Row],[INSS]:[SEBRAE]])</f>
        <v>4.5918250000000008E-3</v>
      </c>
      <c r="AV51" s="234">
        <f>IF(tabParametros[[#This Row],[Função]]="Porteiro - 220 h",SUM(tabParametros[[#This Row],[Salário Base]:[Adicional de Acúmulo de função]])/220*20*1.5,IF(ISNUMBER(SEARCH("12 x 36",tabParametros[[#This Row],[Função]],1)),SUM(tabParametros[[#This Row],[Salário Base]:[Adicional de Acúmulo de função]])/210*15.5*1.5,0))</f>
        <v>0</v>
      </c>
      <c r="AW51" s="234">
        <f>IF(tabParametros[[#This Row],[Vagas contratadas]]&gt;0,(SUM(tabParametros[[#This Row],[Salário Base]:[Adicional de Acúmulo de função]])*30%+SUM(tabParametros[[#This Row],[Vale - Alimentação]:[Seguro de Vida]]))/tabParametros[[#This Row],[Vagas contratadas]]*tabParametros[[#This Row],[Vagas suspensas]],0)</f>
        <v>0</v>
      </c>
      <c r="AX51" s="234">
        <f>SUMIF(tabUniformes[Cargo],tabParametros[[#This Row],[Função]],tabUniformes[Valor unit. Mensal])</f>
        <v>62.806666666666665</v>
      </c>
      <c r="AY51" s="281">
        <f>IF(ISNUMBER(SEARCH("AUXILIAR DE LIMPEZA - 75 H",tabParametros[[#This Row],[Função]],1)),
SUMIF(tabLimpGeral[TIPO],"Material",tabLimpGeral[VALOR UNITÁRIO P/ HORA (R$)])*75,
IF(ISNUMBER(SEARCH("AUXILIAR DE LIMPEZA - 110 H",tabParametros[[#This Row],[Função]],1)),
SUMIF(tabLimpGeral[TIPO],"Material",tabLimpGeral[VALOR UNITÁRIO P/ HORA (R$)])*110,
IF(ISNUMBER(SEARCH("AUXILIAR DE LIMPEZA - 150 H",tabParametros[[#This Row],[Função]],1)),
SUMIF(tabLimpGeral[TIPO],"Material",tabLimpGeral[VALOR UNITÁRIO P/ HORA (R$)])*150,
IF(ISNUMBER(SEARCH("AUXILIAR DE LIMPEZA - 220 H",tabParametros[[#This Row],[Função]],1)),
SUMIF(tabLimpGeral[TIPO],"Material",tabLimpGeral[VALOR UNITÁRIO P/ HORA (R$)])*220,
IF(ISNUMBER(SEARCH("AUXILIAR DE LIMPEZA - 12 x 36",tabParametros[[#This Row],[Função]],1)),
SUMIF(tabLimpGeral[TIPO],"Material",tabLimpGeral[VALOR UNITÁRIO P/ HORA (R$)])*220,
IF(ISNUMBER(SEARCH("Limpador de vidros - 220 h",tabParametros[[#This Row],[Função]],1)),
SUMIF(tabVidros[TIPO],"Material",tabVidros[VALOR UNITÁRIO P/ POSTO (R$)]),
0))))))</f>
        <v>12.108481690426325</v>
      </c>
      <c r="AZ51" s="281">
        <f>IF(ISNUMBER(SEARCH("AUXILIAR DE LIMPEZA - 75 H",tabParametros[[#This Row],[Função]],1)),
SUMIF(tabLimpGeral[TIPO],"Equipamento",tabLimpGeral[VALOR UNITÁRIO P/ HORA (R$)])*75,
IF(ISNUMBER(SEARCH("AUXILIAR DE LIMPEZA - 110 H",tabParametros[[#This Row],[Função]],1)),
SUMIF(tabLimpGeral[TIPO],"Equipamento",tabLimpGeral[VALOR UNITÁRIO P/ HORA (R$)])*110,
IF(ISNUMBER(SEARCH("AUXILIAR DE LIMPEZA - 150 H",tabParametros[[#This Row],[Função]],1)),
SUMIF(tabLimpGeral[TIPO],"Equipamento",tabLimpGeral[VALOR UNITÁRIO P/ HORA (R$)])*150,
IF(ISNUMBER(SEARCH("AUXILIAR DE LIMPEZA - 220 H",tabParametros[[#This Row],[Função]],1)),
SUMIF(tabLimpGeral[TIPO],"Equipamento",tabLimpGeral[VALOR UNITÁRIO P/ HORA (R$)])*220,
IF(ISNUMBER(SEARCH("AUXILIAR DE LIMPEZA - 12 x 36",tabParametros[[#This Row],[Função]],1)),
SUMIF(tabLimpGeral[TIPO],"Equipamento",tabLimpGeral[VALOR UNITÁRIO P/ HORA (R$)])*220,
IF(ISNUMBER(SEARCH("Limpador de vidros - 220 h",tabParametros[[#This Row],[Função]],1)),
SUMIF(tabVidros[TIPO],"Equipamento",tabVidros[VALOR UNITÁRIO P/ POSTO (R$)]),
0))))))</f>
        <v>21.998657016417809</v>
      </c>
      <c r="BA51" s="281">
        <f>IF(ISNUMBER(SEARCH("AUXILIAR DE LIMPEZA - 75 H",tabParametros[[#This Row],[Função]],1)),
SUMIF(tabLimpGeral[TIPO],"Produto",tabLimpGeral[VALOR UNITÁRIO P/ HORA (R$)])*75,
IF(ISNUMBER(SEARCH("AUXILIAR DE LIMPEZA - 110 H",tabParametros[[#This Row],[Função]],1)),
SUMIF(tabLimpGeral[TIPO],"Produto",tabLimpGeral[VALOR UNITÁRIO P/ HORA (R$)])*110,
IF(ISNUMBER(SEARCH("AUXILIAR DE LIMPEZA - 150 H",tabParametros[[#This Row],[Função]],1)),
SUMIF(tabLimpGeral[TIPO],"Produto",tabLimpGeral[VALOR UNITÁRIO P/ HORA (R$)])*150,
IF(ISNUMBER(SEARCH("AUXILIAR DE LIMPEZA - 220 H",tabParametros[[#This Row],[Função]],1)),
SUMIF(tabLimpGeral[TIPO],"Produto",tabLimpGeral[VALOR UNITÁRIO P/ HORA (R$)])*220,
IF(ISNUMBER(SEARCH("AUXILIAR DE LIMPEZA - 12 x 36",tabParametros[[#This Row],[Função]],1)),
SUMIF(tabLimpGeral[TIPO],"Produto",tabLimpGeral[VALOR UNITÁRIO P/ HORA (R$)])*220,
IF(ISNUMBER(SEARCH("Limpador de vidros - 220 h",tabParametros[[#This Row],[Função]],1)),
SUMIF(tabVidros[TIPO],"Produto",tabVidros[VALOR UNITÁRIO P/ POSTO (R$)]),
0))))))</f>
        <v>235.31984072022155</v>
      </c>
      <c r="BB51" s="281">
        <v>0</v>
      </c>
      <c r="BC51" s="236">
        <f>VLOOKUP(tabParametros[[#Headers],[Custos Indiretos]],tabOutrosCustos[],3,0)</f>
        <v>189.64880140242613</v>
      </c>
      <c r="BD51" s="236">
        <f>VLOOKUP(tabParametros[[#Headers],[Lucro]],tabOutrosCustos[],3,0)</f>
        <v>159.30499317803796</v>
      </c>
      <c r="BE51" s="235">
        <f>VLOOKUP(tabParametros[[#Headers],[COFINS]],tabImpostosNacionais[],2,0)</f>
        <v>7.5999999999999998E-2</v>
      </c>
      <c r="BF51" s="235">
        <f>VLOOKUP(tabParametros[[#Headers],[PIS]],tabImpostosNacionais[],2,0)</f>
        <v>1.6500000000000001E-2</v>
      </c>
      <c r="BG51" s="235">
        <f>VLOOKUP(tabParametros[[#This Row],[Comarca]],tabComarca[],4,0)</f>
        <v>0.03</v>
      </c>
      <c r="BH51" s="238">
        <f>IFERROR(VLOOKUP(tabParametros[[#This Row],[CCT DA CATEGORIA]],tabSindicatos[],11,0),"")</f>
        <v>45658</v>
      </c>
      <c r="BI51" s="289" t="str">
        <f>IFERROR(VLOOKUP(tabParametros[[#This Row],[CCT DA CATEGORIA]],tabSindicatos[],12,0),"")</f>
        <v>-</v>
      </c>
      <c r="BJ51" s="293" t="str">
        <f>IFERROR(VLOOKUP(tabParametros[[#This Row],[CCT DA CATEGORIA]],tabSindicatos[],13,0),"")</f>
        <v>-</v>
      </c>
    </row>
    <row r="52" spans="1:62" x14ac:dyDescent="0.25">
      <c r="A52" s="233" t="s">
        <v>1392</v>
      </c>
      <c r="B52" s="198" t="s">
        <v>51</v>
      </c>
      <c r="C52" s="198" t="s">
        <v>1244</v>
      </c>
      <c r="D52" s="198" t="str">
        <f>VLOOKUP(tabParametros[[#This Row],[Código do Posto]],tabPostos[],4,0)</f>
        <v>Regiao de Sao Lourenco</v>
      </c>
      <c r="E52" s="289" t="str">
        <f>VLOOKUP(tabParametros[[#This Row],[Código do Posto]],tabPostos[],5,0)</f>
        <v>Limpeza</v>
      </c>
      <c r="F52" s="289" t="str">
        <f>VLOOKUP(tabParametros[[#This Row],[Código do Posto]],tabPostos[],6,0)</f>
        <v>PGJ</v>
      </c>
      <c r="G52" s="289">
        <f>VLOOKUP(tabParametros[[#This Row],[Código do Posto]],tabPostos[],7,0)</f>
        <v>1</v>
      </c>
      <c r="H52" s="289">
        <f>VLOOKUP(tabParametros[[#This Row],[Código do Posto]],tabPostos[],8,0)</f>
        <v>0</v>
      </c>
      <c r="I52" s="234">
        <f>VLOOKUP(tabParametros[[#This Row],[Código do Posto]],tabPostos[],9,0)</f>
        <v>798.14</v>
      </c>
      <c r="J52" s="234">
        <f>IF(ISNUMBER(SEARCH("Eletricista",tabParametros[[#This Row],[Função]],1)),0.3*tabParametros[[#This Row],[Salário Base]],0)</f>
        <v>0</v>
      </c>
      <c r="K52" s="234">
        <f>IF(OR(ISNUMBER(SEARCH("Bombeiro Hidraulico",tabParametros[[#This Row],[Função]],1)),ISNUMBER(SEARCH("Jardineiro",tabParametros[[#This Row],[Função]],1)),ISNUMBER(SEARCH("Lavador de Veiculos",tabParametros[[#This Row],[Função]],1)),ISNUMBER(SEARCH("Marceneiro",tabParametros[[#This Row],[Função]],1)),ISNUMBER(SEARCH("Pintor",tabParametros[[#This Row],[Função]],1))),0.2*'BASE GERAL'!$R$4,0)</f>
        <v>0</v>
      </c>
      <c r="L52" s="234">
        <f>IF(AND(ISNUMBER(SEARCH("Noturno",tabParametros[[#This Row],[Função]],1)),tabParametros[[#This Row],[Comarca]]&lt;&gt;"Juiz de Fora"),tabParametros[[#This Row],[Salário Base]]/210*0.39*7*15.5,IF(ISNUMBER(SEARCH("Noturno",tabParametros[[#This Row],[Função]],1)),tabParametros[[#This Row],[Salário Base]]/210*0.2*8*15.5,0))</f>
        <v>0</v>
      </c>
      <c r="M52" s="234">
        <f>IF(ISNUMBER(SEARCH("Motorista II",tabParametros[[#This Row],[Função]],1)),0.25*tabParametros[[#This Row],[Salário Base]],0)</f>
        <v>0</v>
      </c>
      <c r="N52" s="250">
        <v>0</v>
      </c>
      <c r="O52" s="234">
        <f>IF(ISNUMBER(SEARCH("TECNOLOGIA DA INFORMACAO",tabParametros[[#This Row],[Função]],1)),0.0201*tabParametros[[#This Row],[Salário Base]],0)</f>
        <v>0</v>
      </c>
      <c r="P52" s="250" cm="1">
        <f t="array" ref="P52">_xlfn.IFS(
ISNUMBER(SEARCH("Auxiliar de Limpeza - 75 h",tabParametros[[#This Row],[Função]],1)),tabParametros[[#This Row],[Salário Base]]/75*0.75*30*0.12,
ISNUMBER(SEARCH("Auxiliar de Limpeza - 110 h",tabParametros[[#This Row],[Função]],1)),tabParametros[[#This Row],[Salário Base]]/110*1*30*0.12,
ISNUMBER(SEARCH("Auxiliar de Limpeza - 150 h",tabParametros[[#This Row],[Função]],1)),tabParametros[[#This Row],[Salário Base]]/150*1.5*30*0.12,
ISNUMBER(SEARCH("Auxiliar de Limpeza - 220 h",tabParametros[[#This Row],[Função]],1)),tabParametros[[#This Row],[Salário Base]]/220*2*30*0.12,
ISNUMBER(SEARCH("Auxiliar de Limpeza - 12 x 36",tabParametros[[#This Row],[Função]],1)),tabParametros[[#This Row],[Salário Base]]/220*2*30*0.12,
ISNUMBER(SEARCH("Auxiliar de Limpeza - 55 h",tabParametros[[#This Row],[Função]],1))=FALSE,0)</f>
        <v>26.120945454545453</v>
      </c>
      <c r="Q52" s="235">
        <f>VLOOKUP(tabParametros[[#Headers],[INSS]],tabImpostosNacionais[],2,0)</f>
        <v>0.2</v>
      </c>
      <c r="R52" s="235">
        <f>VLOOKUP(tabParametros[[#Headers],[SESI OU SESC]],tabImpostosNacionais[],2,0)</f>
        <v>1.4999999999999999E-2</v>
      </c>
      <c r="S52" s="235">
        <f>VLOOKUP(tabParametros[[#Headers],[SENAI OU SENAC]],tabImpostosNacionais[],2,0)</f>
        <v>0.01</v>
      </c>
      <c r="T52" s="235">
        <f>VLOOKUP(tabParametros[[#Headers],[INCRA]],tabImpostosNacionais[],2,0)</f>
        <v>2E-3</v>
      </c>
      <c r="U52" s="235">
        <f>VLOOKUP(tabParametros[[#Headers],[Salário Educação]],tabImpostosNacionais[],2,0)</f>
        <v>2.5000000000000001E-2</v>
      </c>
      <c r="V52" s="235">
        <f>VLOOKUP(tabParametros[[#Headers],[FGTS]],tabImpostosNacionais[],2,0)</f>
        <v>0.08</v>
      </c>
      <c r="W52" s="235">
        <f>VLOOKUP(tabParametros[[#Headers],[RAT Ajustado]],tabImpostosNacionais[],2,0)</f>
        <v>0.04</v>
      </c>
      <c r="X52" s="235">
        <f>VLOOKUP(tabParametros[[#Headers],[SEBRAE]],tabImpostosNacionais[],2,0)</f>
        <v>6.0000000000000001E-3</v>
      </c>
      <c r="Y52" s="235">
        <f t="shared" si="0"/>
        <v>8.3333333333333329E-2</v>
      </c>
      <c r="Z52" s="251">
        <f t="shared" si="1"/>
        <v>0.1111111111111111</v>
      </c>
      <c r="AA52" s="234">
        <f>VLOOKUP(tabParametros[[#This Row],[Comarca]],tabComarca[],5,0)</f>
        <v>6.4</v>
      </c>
      <c r="AB52" s="234">
        <f>IFERROR(VLOOKUP(tabParametros[[#This Row],[CCT DA CATEGORIA]],tabSindicatos[],6,0),0)</f>
        <v>29.15</v>
      </c>
      <c r="AC52" s="234">
        <f>IFERROR(VLOOKUP(tabParametros[[#This Row],[CCT DA CATEGORIA]],tabSindicatos[],7,0),0)</f>
        <v>0</v>
      </c>
      <c r="AD52" s="234" cm="1">
        <f t="array" ref="AD52">_xlfn.LET(
_xlpm.COMARCA, TRIM(UPPER(SUBSTITUTE(SUBSTITUTE(SUBSTITUTE(SUBSTITUTE(SUBSTITUTE(SUBSTITUTE(SUBSTITUTE(SUBSTITUTE(SUBSTITUTE(SUBSTITUTE(SUBSTITUTE(SUBSTITUTE(SUBSTITUTE(SUBSTITUTE(SUBSTITUTE(SUBSTITUTE(SUBSTITUTE(SUBSTITUTE(SUBSTITUTE(SUBSTITUTE(SUBSTITUTE(SUBSTITUTE(SUBSTITUTE(SUBSTITUTE(SUBSTITUTE(SUBSTITUTE(tabParametros[[#This Row],[Comarca]],"á","a"),"ã","a"),"â","a"),"é","e"),"ê","e"),"í","i"),"ó","o"),"õ","o"),"ô","o"),"ú","u"),"ç","c"),"Á","a"),"Ã","a"),"Â","a"),"É","e"),"Ê","e"),"Í","i"),"Ó","o"),"Õ","o"),"Ô","o"),"Ú","u"),"Ç","c"),"/MG","")," e ",", ")," ",""),".",""))),
_xlpm.MATRIZ_COMARCA, TRIM(UPPER(SUBSTITUTE(SUBSTITUTE(SUBSTITUTE(SUBSTITUTE(SUBSTITUTE(SUBSTITUTE(SUBSTITUTE(SUBSTITUTE(SUBSTITUTE(SUBSTITUTE(SUBSTITUTE(SUBSTITUTE(SUBSTITUTE(SUBSTITUTE(SUBSTITUTE(SUBSTITUTE(SUBSTITUTE(SUBSTITUTE(SUBSTITUTE(SUBSTITUTE(SUBSTITUTE(SUBSTITUTE(SUBSTITUTE(SUBSTITUTE(SUBSTITUTE(SUBSTITUTE(tabSindicatos[COMARCAS PAF],"á","a"),"ã","a"),"â","a"),"é","e"),"ê","e"),"í","i"),"ó","o"),"õ","o"),"ô","o"),"ú","u"),"ç","c"),"Á","a"),"Ã","a"),"Â","a"),"É","e"),"Ê","e"),"Í","i"),"Ó","o"),"Õ","o"),"Ô","o"),"Ú","u"),"Ç","c"),"/MG","")," e ",", ")," ",""),".",""))),
IFERROR(IF(_xlfn.XLOOKUP(tabParametros[[#This Row],[CCT DA CATEGORIA]],tabSindicatos[SINDICATOS],tabSindicatos[COMARCAS PAF])="",
VLOOKUP(tabParametros[[#This Row],[CCT DA CATEGORIA]],tabSindicatos[],8,0),
IF(ISNUMBER(SEARCH(TRIM(_xlpm.COMARCA),_xlfn.XLOOKUP(tabParametros[[#This Row],[CCT DA CATEGORIA]],tabSindicatos[SINDICATOS],_xlpm.MATRIZ_COMARCA),1)),VLOOKUP(tabParametros[[#This Row],[CCT DA CATEGORIA]],tabSindicatos[],8,0),0)
),0)
)</f>
        <v>0</v>
      </c>
      <c r="AE52" s="234">
        <f>IFERROR(VLOOKUP(tabParametros[[#This Row],[CCT DA CATEGORIA]],tabSindicatos[],9,0),0)</f>
        <v>0</v>
      </c>
      <c r="AF52" s="234">
        <f>IFERROR(VLOOKUP(tabParametros[[#This Row],[CCT DA CATEGORIA]],tabSindicatos[],10,0),0)</f>
        <v>0</v>
      </c>
      <c r="AG52" s="236">
        <f>VLOOKUP(tabParametros[[#Headers],[Seguro de Vida]],tabOutrosCustos[],3,0)</f>
        <v>3.36</v>
      </c>
      <c r="AH52" s="236">
        <f>IF(ISNUMBER(SEARCH("MOTORISTA",tabParametros[[#This Row],[Função]],1)),VLOOKUP("MOTORISTAS",tabDiarias[],2,0),IF(tabParametros[[#This Row],[Comarca]]="Belo Horizonte",VLOOKUP("LIMPEZA",tabDiarias[],2,0),0))</f>
        <v>0</v>
      </c>
      <c r="AI52" s="235">
        <f t="shared" si="2"/>
        <v>7.011766975308642E-3</v>
      </c>
      <c r="AJ52" s="237">
        <f>tabParametros[[#This Row],[FGTS]]*tabParametros[[#This Row],[Aviso Prévio Indenizado (API) e Reflexo do Aviso Prévio Indenizado]]</f>
        <v>5.609413580246914E-4</v>
      </c>
      <c r="AK52" s="237">
        <f>tabParametros[[#This Row],[FGTS]]*tabParametros[[#This Row],[Aviso Prévio Indenizado (API) e Reflexo do Aviso Prévio Indenizado]]*40%</f>
        <v>2.2437654320987658E-4</v>
      </c>
      <c r="AL52" s="235">
        <f t="shared" si="3"/>
        <v>3.5000000000000005E-3</v>
      </c>
      <c r="AM52" s="235">
        <f>tabParametros[[#This Row],[Aviso Prévio Trabalhado - APT]]*SUM(tabParametros[[#This Row],[INSS]:[SEBRAE]])</f>
        <v>1.3230000000000004E-3</v>
      </c>
      <c r="AN52" s="235">
        <f t="shared" si="4"/>
        <v>3.0577777777777773E-2</v>
      </c>
      <c r="AO52" s="235">
        <f t="shared" si="5"/>
        <v>8.3333333333333339E-4</v>
      </c>
      <c r="AP52" s="235">
        <f t="shared" si="6"/>
        <v>8.4444444444444437E-3</v>
      </c>
      <c r="AQ52" s="235">
        <f t="shared" si="7"/>
        <v>2.0277777777777777E-3</v>
      </c>
      <c r="AR52" s="235">
        <f t="shared" si="8"/>
        <v>1.7083333333333333E-4</v>
      </c>
      <c r="AS52" s="235">
        <f t="shared" si="9"/>
        <v>2.0833333333333335E-4</v>
      </c>
      <c r="AT52" s="235">
        <f t="shared" si="10"/>
        <v>1.2962962962962963E-3</v>
      </c>
      <c r="AU52" s="237">
        <f>SUM(tabParametros[[#This Row],[Ausência por Doença]:[Férias, Adicional de Férias e 13º  com empregada em gozo de Licença Maternidade]])*SUM(tabParametros[[#This Row],[INSS]:[SEBRAE]])</f>
        <v>4.5918250000000008E-3</v>
      </c>
      <c r="AV52" s="234">
        <f>IF(tabParametros[[#This Row],[Função]]="Porteiro - 220 h",SUM(tabParametros[[#This Row],[Salário Base]:[Adicional de Acúmulo de função]])/220*20*1.5,IF(ISNUMBER(SEARCH("12 x 36",tabParametros[[#This Row],[Função]],1)),SUM(tabParametros[[#This Row],[Salário Base]:[Adicional de Acúmulo de função]])/210*15.5*1.5,0))</f>
        <v>0</v>
      </c>
      <c r="AW52" s="234">
        <f>IF(tabParametros[[#This Row],[Vagas contratadas]]&gt;0,(SUM(tabParametros[[#This Row],[Salário Base]:[Adicional de Acúmulo de função]])*30%+SUM(tabParametros[[#This Row],[Vale - Alimentação]:[Seguro de Vida]]))/tabParametros[[#This Row],[Vagas contratadas]]*tabParametros[[#This Row],[Vagas suspensas]],0)</f>
        <v>0</v>
      </c>
      <c r="AX52" s="234">
        <f>SUMIF(tabUniformes[Cargo],tabParametros[[#This Row],[Função]],tabUniformes[Valor unit. Mensal])</f>
        <v>62.806666666666665</v>
      </c>
      <c r="AY52" s="281">
        <f>IF(ISNUMBER(SEARCH("AUXILIAR DE LIMPEZA - 75 H",tabParametros[[#This Row],[Função]],1)),
SUMIF(tabLimpGeral[TIPO],"Material",tabLimpGeral[VALOR UNITÁRIO P/ HORA (R$)])*75,
IF(ISNUMBER(SEARCH("AUXILIAR DE LIMPEZA - 110 H",tabParametros[[#This Row],[Função]],1)),
SUMIF(tabLimpGeral[TIPO],"Material",tabLimpGeral[VALOR UNITÁRIO P/ HORA (R$)])*110,
IF(ISNUMBER(SEARCH("AUXILIAR DE LIMPEZA - 150 H",tabParametros[[#This Row],[Função]],1)),
SUMIF(tabLimpGeral[TIPO],"Material",tabLimpGeral[VALOR UNITÁRIO P/ HORA (R$)])*150,
IF(ISNUMBER(SEARCH("AUXILIAR DE LIMPEZA - 220 H",tabParametros[[#This Row],[Função]],1)),
SUMIF(tabLimpGeral[TIPO],"Material",tabLimpGeral[VALOR UNITÁRIO P/ HORA (R$)])*220,
IF(ISNUMBER(SEARCH("AUXILIAR DE LIMPEZA - 12 x 36",tabParametros[[#This Row],[Função]],1)),
SUMIF(tabLimpGeral[TIPO],"Material",tabLimpGeral[VALOR UNITÁRIO P/ HORA (R$)])*220,
IF(ISNUMBER(SEARCH("Limpador de vidros - 220 h",tabParametros[[#This Row],[Função]],1)),
SUMIF(tabVidros[TIPO],"Material",tabVidros[VALOR UNITÁRIO P/ POSTO (R$)]),
0))))))</f>
        <v>17.759106479291944</v>
      </c>
      <c r="AZ52" s="281">
        <f>IF(ISNUMBER(SEARCH("AUXILIAR DE LIMPEZA - 75 H",tabParametros[[#This Row],[Função]],1)),
SUMIF(tabLimpGeral[TIPO],"Equipamento",tabLimpGeral[VALOR UNITÁRIO P/ HORA (R$)])*75,
IF(ISNUMBER(SEARCH("AUXILIAR DE LIMPEZA - 110 H",tabParametros[[#This Row],[Função]],1)),
SUMIF(tabLimpGeral[TIPO],"Equipamento",tabLimpGeral[VALOR UNITÁRIO P/ HORA (R$)])*110,
IF(ISNUMBER(SEARCH("AUXILIAR DE LIMPEZA - 150 H",tabParametros[[#This Row],[Função]],1)),
SUMIF(tabLimpGeral[TIPO],"Equipamento",tabLimpGeral[VALOR UNITÁRIO P/ HORA (R$)])*150,
IF(ISNUMBER(SEARCH("AUXILIAR DE LIMPEZA - 220 H",tabParametros[[#This Row],[Função]],1)),
SUMIF(tabLimpGeral[TIPO],"Equipamento",tabLimpGeral[VALOR UNITÁRIO P/ HORA (R$)])*220,
IF(ISNUMBER(SEARCH("AUXILIAR DE LIMPEZA - 12 x 36",tabParametros[[#This Row],[Função]],1)),
SUMIF(tabLimpGeral[TIPO],"Equipamento",tabLimpGeral[VALOR UNITÁRIO P/ HORA (R$)])*220,
IF(ISNUMBER(SEARCH("Limpador de vidros - 220 h",tabParametros[[#This Row],[Função]],1)),
SUMIF(tabVidros[TIPO],"Equipamento",tabVidros[VALOR UNITÁRIO P/ POSTO (R$)]),
0))))))</f>
        <v>32.264696957412788</v>
      </c>
      <c r="BA52" s="281">
        <f>IF(ISNUMBER(SEARCH("AUXILIAR DE LIMPEZA - 75 H",tabParametros[[#This Row],[Função]],1)),
SUMIF(tabLimpGeral[TIPO],"Produto",tabLimpGeral[VALOR UNITÁRIO P/ HORA (R$)])*75,
IF(ISNUMBER(SEARCH("AUXILIAR DE LIMPEZA - 110 H",tabParametros[[#This Row],[Função]],1)),
SUMIF(tabLimpGeral[TIPO],"Produto",tabLimpGeral[VALOR UNITÁRIO P/ HORA (R$)])*110,
IF(ISNUMBER(SEARCH("AUXILIAR DE LIMPEZA - 150 H",tabParametros[[#This Row],[Função]],1)),
SUMIF(tabLimpGeral[TIPO],"Produto",tabLimpGeral[VALOR UNITÁRIO P/ HORA (R$)])*150,
IF(ISNUMBER(SEARCH("AUXILIAR DE LIMPEZA - 220 H",tabParametros[[#This Row],[Função]],1)),
SUMIF(tabLimpGeral[TIPO],"Produto",tabLimpGeral[VALOR UNITÁRIO P/ HORA (R$)])*220,
IF(ISNUMBER(SEARCH("AUXILIAR DE LIMPEZA - 12 x 36",tabParametros[[#This Row],[Função]],1)),
SUMIF(tabLimpGeral[TIPO],"Produto",tabLimpGeral[VALOR UNITÁRIO P/ HORA (R$)])*220,
IF(ISNUMBER(SEARCH("Limpador de vidros - 220 h",tabParametros[[#This Row],[Função]],1)),
SUMIF(tabVidros[TIPO],"Produto",tabVidros[VALOR UNITÁRIO P/ POSTO (R$)]),
0))))))</f>
        <v>345.13576638965827</v>
      </c>
      <c r="BB52" s="281">
        <v>0</v>
      </c>
      <c r="BC52" s="236">
        <f>VLOOKUP(tabParametros[[#Headers],[Custos Indiretos]],tabOutrosCustos[],3,0)</f>
        <v>189.64880140242613</v>
      </c>
      <c r="BD52" s="236">
        <f>VLOOKUP(tabParametros[[#Headers],[Lucro]],tabOutrosCustos[],3,0)</f>
        <v>159.30499317803796</v>
      </c>
      <c r="BE52" s="235">
        <f>VLOOKUP(tabParametros[[#Headers],[COFINS]],tabImpostosNacionais[],2,0)</f>
        <v>7.5999999999999998E-2</v>
      </c>
      <c r="BF52" s="235">
        <f>VLOOKUP(tabParametros[[#Headers],[PIS]],tabImpostosNacionais[],2,0)</f>
        <v>1.6500000000000001E-2</v>
      </c>
      <c r="BG52" s="235">
        <f>VLOOKUP(tabParametros[[#This Row],[Comarca]],tabComarca[],4,0)</f>
        <v>0.03</v>
      </c>
      <c r="BH52" s="238">
        <f>IFERROR(VLOOKUP(tabParametros[[#This Row],[CCT DA CATEGORIA]],tabSindicatos[],11,0),"")</f>
        <v>45658</v>
      </c>
      <c r="BI52" s="289" t="str">
        <f>IFERROR(VLOOKUP(tabParametros[[#This Row],[CCT DA CATEGORIA]],tabSindicatos[],12,0),"")</f>
        <v>-</v>
      </c>
      <c r="BJ52" s="293" t="str">
        <f>IFERROR(VLOOKUP(tabParametros[[#This Row],[CCT DA CATEGORIA]],tabSindicatos[],13,0),"")</f>
        <v>-</v>
      </c>
    </row>
    <row r="53" spans="1:62" x14ac:dyDescent="0.25">
      <c r="A53" s="233" t="s">
        <v>1393</v>
      </c>
      <c r="B53" s="198" t="s">
        <v>52</v>
      </c>
      <c r="C53" s="198" t="s">
        <v>1244</v>
      </c>
      <c r="D53" s="198" t="str">
        <f>VLOOKUP(tabParametros[[#This Row],[Código do Posto]],tabPostos[],4,0)</f>
        <v>Regiao de Sao Lourenco</v>
      </c>
      <c r="E53" s="289" t="str">
        <f>VLOOKUP(tabParametros[[#This Row],[Código do Posto]],tabPostos[],5,0)</f>
        <v>Limpeza</v>
      </c>
      <c r="F53" s="289" t="str">
        <f>VLOOKUP(tabParametros[[#This Row],[Código do Posto]],tabPostos[],6,0)</f>
        <v>PGJ</v>
      </c>
      <c r="G53" s="289">
        <f>VLOOKUP(tabParametros[[#This Row],[Código do Posto]],tabPostos[],7,0)</f>
        <v>1</v>
      </c>
      <c r="H53" s="289">
        <f>VLOOKUP(tabParametros[[#This Row],[Código do Posto]],tabPostos[],8,0)</f>
        <v>0</v>
      </c>
      <c r="I53" s="234">
        <f>VLOOKUP(tabParametros[[#This Row],[Código do Posto]],tabPostos[],9,0)</f>
        <v>798.14</v>
      </c>
      <c r="J53" s="234">
        <f>IF(ISNUMBER(SEARCH("Eletricista",tabParametros[[#This Row],[Função]],1)),0.3*tabParametros[[#This Row],[Salário Base]],0)</f>
        <v>0</v>
      </c>
      <c r="K53" s="234">
        <f>IF(OR(ISNUMBER(SEARCH("Bombeiro Hidraulico",tabParametros[[#This Row],[Função]],1)),ISNUMBER(SEARCH("Jardineiro",tabParametros[[#This Row],[Função]],1)),ISNUMBER(SEARCH("Lavador de Veiculos",tabParametros[[#This Row],[Função]],1)),ISNUMBER(SEARCH("Marceneiro",tabParametros[[#This Row],[Função]],1)),ISNUMBER(SEARCH("Pintor",tabParametros[[#This Row],[Função]],1))),0.2*'BASE GERAL'!$R$4,0)</f>
        <v>0</v>
      </c>
      <c r="L53" s="234">
        <f>IF(AND(ISNUMBER(SEARCH("Noturno",tabParametros[[#This Row],[Função]],1)),tabParametros[[#This Row],[Comarca]]&lt;&gt;"Juiz de Fora"),tabParametros[[#This Row],[Salário Base]]/210*0.39*7*15.5,IF(ISNUMBER(SEARCH("Noturno",tabParametros[[#This Row],[Função]],1)),tabParametros[[#This Row],[Salário Base]]/210*0.2*8*15.5,0))</f>
        <v>0</v>
      </c>
      <c r="M53" s="234">
        <f>IF(ISNUMBER(SEARCH("Motorista II",tabParametros[[#This Row],[Função]],1)),0.25*tabParametros[[#This Row],[Salário Base]],0)</f>
        <v>0</v>
      </c>
      <c r="N53" s="250">
        <v>0</v>
      </c>
      <c r="O53" s="234">
        <f>IF(ISNUMBER(SEARCH("TECNOLOGIA DA INFORMACAO",tabParametros[[#This Row],[Função]],1)),0.0201*tabParametros[[#This Row],[Salário Base]],0)</f>
        <v>0</v>
      </c>
      <c r="P53" s="250" cm="1">
        <f t="array" ref="P53">_xlfn.IFS(
ISNUMBER(SEARCH("Auxiliar de Limpeza - 75 h",tabParametros[[#This Row],[Função]],1)),tabParametros[[#This Row],[Salário Base]]/75*0.75*30*0.12,
ISNUMBER(SEARCH("Auxiliar de Limpeza - 110 h",tabParametros[[#This Row],[Função]],1)),tabParametros[[#This Row],[Salário Base]]/110*1*30*0.12,
ISNUMBER(SEARCH("Auxiliar de Limpeza - 150 h",tabParametros[[#This Row],[Função]],1)),tabParametros[[#This Row],[Salário Base]]/150*1.5*30*0.12,
ISNUMBER(SEARCH("Auxiliar de Limpeza - 220 h",tabParametros[[#This Row],[Função]],1)),tabParametros[[#This Row],[Salário Base]]/220*2*30*0.12,
ISNUMBER(SEARCH("Auxiliar de Limpeza - 12 x 36",tabParametros[[#This Row],[Função]],1)),tabParametros[[#This Row],[Salário Base]]/220*2*30*0.12,
ISNUMBER(SEARCH("Auxiliar de Limpeza - 55 h",tabParametros[[#This Row],[Função]],1))=FALSE,0)</f>
        <v>26.120945454545453</v>
      </c>
      <c r="Q53" s="235">
        <f>VLOOKUP(tabParametros[[#Headers],[INSS]],tabImpostosNacionais[],2,0)</f>
        <v>0.2</v>
      </c>
      <c r="R53" s="235">
        <f>VLOOKUP(tabParametros[[#Headers],[SESI OU SESC]],tabImpostosNacionais[],2,0)</f>
        <v>1.4999999999999999E-2</v>
      </c>
      <c r="S53" s="235">
        <f>VLOOKUP(tabParametros[[#Headers],[SENAI OU SENAC]],tabImpostosNacionais[],2,0)</f>
        <v>0.01</v>
      </c>
      <c r="T53" s="235">
        <f>VLOOKUP(tabParametros[[#Headers],[INCRA]],tabImpostosNacionais[],2,0)</f>
        <v>2E-3</v>
      </c>
      <c r="U53" s="235">
        <f>VLOOKUP(tabParametros[[#Headers],[Salário Educação]],tabImpostosNacionais[],2,0)</f>
        <v>2.5000000000000001E-2</v>
      </c>
      <c r="V53" s="235">
        <f>VLOOKUP(tabParametros[[#Headers],[FGTS]],tabImpostosNacionais[],2,0)</f>
        <v>0.08</v>
      </c>
      <c r="W53" s="235">
        <f>VLOOKUP(tabParametros[[#Headers],[RAT Ajustado]],tabImpostosNacionais[],2,0)</f>
        <v>0.04</v>
      </c>
      <c r="X53" s="235">
        <f>VLOOKUP(tabParametros[[#Headers],[SEBRAE]],tabImpostosNacionais[],2,0)</f>
        <v>6.0000000000000001E-3</v>
      </c>
      <c r="Y53" s="235">
        <f t="shared" si="0"/>
        <v>8.3333333333333329E-2</v>
      </c>
      <c r="Z53" s="251">
        <f t="shared" si="1"/>
        <v>0.1111111111111111</v>
      </c>
      <c r="AA53" s="234">
        <f>VLOOKUP(tabParametros[[#This Row],[Comarca]],tabComarca[],5,0)</f>
        <v>6.4</v>
      </c>
      <c r="AB53" s="234">
        <f>IFERROR(VLOOKUP(tabParametros[[#This Row],[CCT DA CATEGORIA]],tabSindicatos[],6,0),0)</f>
        <v>29.15</v>
      </c>
      <c r="AC53" s="234">
        <f>IFERROR(VLOOKUP(tabParametros[[#This Row],[CCT DA CATEGORIA]],tabSindicatos[],7,0),0)</f>
        <v>0</v>
      </c>
      <c r="AD53" s="234" cm="1">
        <f t="array" ref="AD53">_xlfn.LET(
_xlpm.COMARCA, TRIM(UPPER(SUBSTITUTE(SUBSTITUTE(SUBSTITUTE(SUBSTITUTE(SUBSTITUTE(SUBSTITUTE(SUBSTITUTE(SUBSTITUTE(SUBSTITUTE(SUBSTITUTE(SUBSTITUTE(SUBSTITUTE(SUBSTITUTE(SUBSTITUTE(SUBSTITUTE(SUBSTITUTE(SUBSTITUTE(SUBSTITUTE(SUBSTITUTE(SUBSTITUTE(SUBSTITUTE(SUBSTITUTE(SUBSTITUTE(SUBSTITUTE(SUBSTITUTE(SUBSTITUTE(tabParametros[[#This Row],[Comarca]],"á","a"),"ã","a"),"â","a"),"é","e"),"ê","e"),"í","i"),"ó","o"),"õ","o"),"ô","o"),"ú","u"),"ç","c"),"Á","a"),"Ã","a"),"Â","a"),"É","e"),"Ê","e"),"Í","i"),"Ó","o"),"Õ","o"),"Ô","o"),"Ú","u"),"Ç","c"),"/MG","")," e ",", ")," ",""),".",""))),
_xlpm.MATRIZ_COMARCA, TRIM(UPPER(SUBSTITUTE(SUBSTITUTE(SUBSTITUTE(SUBSTITUTE(SUBSTITUTE(SUBSTITUTE(SUBSTITUTE(SUBSTITUTE(SUBSTITUTE(SUBSTITUTE(SUBSTITUTE(SUBSTITUTE(SUBSTITUTE(SUBSTITUTE(SUBSTITUTE(SUBSTITUTE(SUBSTITUTE(SUBSTITUTE(SUBSTITUTE(SUBSTITUTE(SUBSTITUTE(SUBSTITUTE(SUBSTITUTE(SUBSTITUTE(SUBSTITUTE(SUBSTITUTE(tabSindicatos[COMARCAS PAF],"á","a"),"ã","a"),"â","a"),"é","e"),"ê","e"),"í","i"),"ó","o"),"õ","o"),"ô","o"),"ú","u"),"ç","c"),"Á","a"),"Ã","a"),"Â","a"),"É","e"),"Ê","e"),"Í","i"),"Ó","o"),"Õ","o"),"Ô","o"),"Ú","u"),"Ç","c"),"/MG","")," e ",", ")," ",""),".",""))),
IFERROR(IF(_xlfn.XLOOKUP(tabParametros[[#This Row],[CCT DA CATEGORIA]],tabSindicatos[SINDICATOS],tabSindicatos[COMARCAS PAF])="",
VLOOKUP(tabParametros[[#This Row],[CCT DA CATEGORIA]],tabSindicatos[],8,0),
IF(ISNUMBER(SEARCH(TRIM(_xlpm.COMARCA),_xlfn.XLOOKUP(tabParametros[[#This Row],[CCT DA CATEGORIA]],tabSindicatos[SINDICATOS],_xlpm.MATRIZ_COMARCA),1)),VLOOKUP(tabParametros[[#This Row],[CCT DA CATEGORIA]],tabSindicatos[],8,0),0)
),0)
)</f>
        <v>0</v>
      </c>
      <c r="AE53" s="234">
        <f>IFERROR(VLOOKUP(tabParametros[[#This Row],[CCT DA CATEGORIA]],tabSindicatos[],9,0),0)</f>
        <v>0</v>
      </c>
      <c r="AF53" s="234">
        <f>IFERROR(VLOOKUP(tabParametros[[#This Row],[CCT DA CATEGORIA]],tabSindicatos[],10,0),0)</f>
        <v>0</v>
      </c>
      <c r="AG53" s="236">
        <f>VLOOKUP(tabParametros[[#Headers],[Seguro de Vida]],tabOutrosCustos[],3,0)</f>
        <v>3.36</v>
      </c>
      <c r="AH53" s="236">
        <f>IF(ISNUMBER(SEARCH("MOTORISTA",tabParametros[[#This Row],[Função]],1)),VLOOKUP("MOTORISTAS",tabDiarias[],2,0),IF(tabParametros[[#This Row],[Comarca]]="Belo Horizonte",VLOOKUP("LIMPEZA",tabDiarias[],2,0),0))</f>
        <v>0</v>
      </c>
      <c r="AI53" s="235">
        <f t="shared" si="2"/>
        <v>7.011766975308642E-3</v>
      </c>
      <c r="AJ53" s="237">
        <f>tabParametros[[#This Row],[FGTS]]*tabParametros[[#This Row],[Aviso Prévio Indenizado (API) e Reflexo do Aviso Prévio Indenizado]]</f>
        <v>5.609413580246914E-4</v>
      </c>
      <c r="AK53" s="237">
        <f>tabParametros[[#This Row],[FGTS]]*tabParametros[[#This Row],[Aviso Prévio Indenizado (API) e Reflexo do Aviso Prévio Indenizado]]*40%</f>
        <v>2.2437654320987658E-4</v>
      </c>
      <c r="AL53" s="235">
        <f t="shared" si="3"/>
        <v>3.5000000000000005E-3</v>
      </c>
      <c r="AM53" s="235">
        <f>tabParametros[[#This Row],[Aviso Prévio Trabalhado - APT]]*SUM(tabParametros[[#This Row],[INSS]:[SEBRAE]])</f>
        <v>1.3230000000000004E-3</v>
      </c>
      <c r="AN53" s="235">
        <f t="shared" si="4"/>
        <v>3.0577777777777773E-2</v>
      </c>
      <c r="AO53" s="235">
        <f t="shared" si="5"/>
        <v>8.3333333333333339E-4</v>
      </c>
      <c r="AP53" s="235">
        <f t="shared" si="6"/>
        <v>8.4444444444444437E-3</v>
      </c>
      <c r="AQ53" s="235">
        <f t="shared" si="7"/>
        <v>2.0277777777777777E-3</v>
      </c>
      <c r="AR53" s="235">
        <f t="shared" si="8"/>
        <v>1.7083333333333333E-4</v>
      </c>
      <c r="AS53" s="235">
        <f t="shared" si="9"/>
        <v>2.0833333333333335E-4</v>
      </c>
      <c r="AT53" s="235">
        <f t="shared" si="10"/>
        <v>1.2962962962962963E-3</v>
      </c>
      <c r="AU53" s="237">
        <f>SUM(tabParametros[[#This Row],[Ausência por Doença]:[Férias, Adicional de Férias e 13º  com empregada em gozo de Licença Maternidade]])*SUM(tabParametros[[#This Row],[INSS]:[SEBRAE]])</f>
        <v>4.5918250000000008E-3</v>
      </c>
      <c r="AV53" s="234">
        <f>IF(tabParametros[[#This Row],[Função]]="Porteiro - 220 h",SUM(tabParametros[[#This Row],[Salário Base]:[Adicional de Acúmulo de função]])/220*20*1.5,IF(ISNUMBER(SEARCH("12 x 36",tabParametros[[#This Row],[Função]],1)),SUM(tabParametros[[#This Row],[Salário Base]:[Adicional de Acúmulo de função]])/210*15.5*1.5,0))</f>
        <v>0</v>
      </c>
      <c r="AW53" s="234">
        <f>IF(tabParametros[[#This Row],[Vagas contratadas]]&gt;0,(SUM(tabParametros[[#This Row],[Salário Base]:[Adicional de Acúmulo de função]])*30%+SUM(tabParametros[[#This Row],[Vale - Alimentação]:[Seguro de Vida]]))/tabParametros[[#This Row],[Vagas contratadas]]*tabParametros[[#This Row],[Vagas suspensas]],0)</f>
        <v>0</v>
      </c>
      <c r="AX53" s="234">
        <f>SUMIF(tabUniformes[Cargo],tabParametros[[#This Row],[Função]],tabUniformes[Valor unit. Mensal])</f>
        <v>62.806666666666665</v>
      </c>
      <c r="AY53" s="281">
        <f>IF(ISNUMBER(SEARCH("AUXILIAR DE LIMPEZA - 75 H",tabParametros[[#This Row],[Função]],1)),
SUMIF(tabLimpGeral[TIPO],"Material",tabLimpGeral[VALOR UNITÁRIO P/ HORA (R$)])*75,
IF(ISNUMBER(SEARCH("AUXILIAR DE LIMPEZA - 110 H",tabParametros[[#This Row],[Função]],1)),
SUMIF(tabLimpGeral[TIPO],"Material",tabLimpGeral[VALOR UNITÁRIO P/ HORA (R$)])*110,
IF(ISNUMBER(SEARCH("AUXILIAR DE LIMPEZA - 150 H",tabParametros[[#This Row],[Função]],1)),
SUMIF(tabLimpGeral[TIPO],"Material",tabLimpGeral[VALOR UNITÁRIO P/ HORA (R$)])*150,
IF(ISNUMBER(SEARCH("AUXILIAR DE LIMPEZA - 220 H",tabParametros[[#This Row],[Função]],1)),
SUMIF(tabLimpGeral[TIPO],"Material",tabLimpGeral[VALOR UNITÁRIO P/ HORA (R$)])*220,
IF(ISNUMBER(SEARCH("AUXILIAR DE LIMPEZA - 12 x 36",tabParametros[[#This Row],[Função]],1)),
SUMIF(tabLimpGeral[TIPO],"Material",tabLimpGeral[VALOR UNITÁRIO P/ HORA (R$)])*220,
IF(ISNUMBER(SEARCH("Limpador de vidros - 220 h",tabParametros[[#This Row],[Função]],1)),
SUMIF(tabVidros[TIPO],"Material",tabVidros[VALOR UNITÁRIO P/ POSTO (R$)]),
0))))))</f>
        <v>17.759106479291944</v>
      </c>
      <c r="AZ53" s="281">
        <f>IF(ISNUMBER(SEARCH("AUXILIAR DE LIMPEZA - 75 H",tabParametros[[#This Row],[Função]],1)),
SUMIF(tabLimpGeral[TIPO],"Equipamento",tabLimpGeral[VALOR UNITÁRIO P/ HORA (R$)])*75,
IF(ISNUMBER(SEARCH("AUXILIAR DE LIMPEZA - 110 H",tabParametros[[#This Row],[Função]],1)),
SUMIF(tabLimpGeral[TIPO],"Equipamento",tabLimpGeral[VALOR UNITÁRIO P/ HORA (R$)])*110,
IF(ISNUMBER(SEARCH("AUXILIAR DE LIMPEZA - 150 H",tabParametros[[#This Row],[Função]],1)),
SUMIF(tabLimpGeral[TIPO],"Equipamento",tabLimpGeral[VALOR UNITÁRIO P/ HORA (R$)])*150,
IF(ISNUMBER(SEARCH("AUXILIAR DE LIMPEZA - 220 H",tabParametros[[#This Row],[Função]],1)),
SUMIF(tabLimpGeral[TIPO],"Equipamento",tabLimpGeral[VALOR UNITÁRIO P/ HORA (R$)])*220,
IF(ISNUMBER(SEARCH("AUXILIAR DE LIMPEZA - 12 x 36",tabParametros[[#This Row],[Função]],1)),
SUMIF(tabLimpGeral[TIPO],"Equipamento",tabLimpGeral[VALOR UNITÁRIO P/ HORA (R$)])*220,
IF(ISNUMBER(SEARCH("Limpador de vidros - 220 h",tabParametros[[#This Row],[Função]],1)),
SUMIF(tabVidros[TIPO],"Equipamento",tabVidros[VALOR UNITÁRIO P/ POSTO (R$)]),
0))))))</f>
        <v>32.264696957412788</v>
      </c>
      <c r="BA53" s="281">
        <f>IF(ISNUMBER(SEARCH("AUXILIAR DE LIMPEZA - 75 H",tabParametros[[#This Row],[Função]],1)),
SUMIF(tabLimpGeral[TIPO],"Produto",tabLimpGeral[VALOR UNITÁRIO P/ HORA (R$)])*75,
IF(ISNUMBER(SEARCH("AUXILIAR DE LIMPEZA - 110 H",tabParametros[[#This Row],[Função]],1)),
SUMIF(tabLimpGeral[TIPO],"Produto",tabLimpGeral[VALOR UNITÁRIO P/ HORA (R$)])*110,
IF(ISNUMBER(SEARCH("AUXILIAR DE LIMPEZA - 150 H",tabParametros[[#This Row],[Função]],1)),
SUMIF(tabLimpGeral[TIPO],"Produto",tabLimpGeral[VALOR UNITÁRIO P/ HORA (R$)])*150,
IF(ISNUMBER(SEARCH("AUXILIAR DE LIMPEZA - 220 H",tabParametros[[#This Row],[Função]],1)),
SUMIF(tabLimpGeral[TIPO],"Produto",tabLimpGeral[VALOR UNITÁRIO P/ HORA (R$)])*220,
IF(ISNUMBER(SEARCH("AUXILIAR DE LIMPEZA - 12 x 36",tabParametros[[#This Row],[Função]],1)),
SUMIF(tabLimpGeral[TIPO],"Produto",tabLimpGeral[VALOR UNITÁRIO P/ HORA (R$)])*220,
IF(ISNUMBER(SEARCH("Limpador de vidros - 220 h",tabParametros[[#This Row],[Função]],1)),
SUMIF(tabVidros[TIPO],"Produto",tabVidros[VALOR UNITÁRIO P/ POSTO (R$)]),
0))))))</f>
        <v>345.13576638965827</v>
      </c>
      <c r="BB53" s="281">
        <v>0</v>
      </c>
      <c r="BC53" s="236">
        <f>VLOOKUP(tabParametros[[#Headers],[Custos Indiretos]],tabOutrosCustos[],3,0)</f>
        <v>189.64880140242613</v>
      </c>
      <c r="BD53" s="236">
        <f>VLOOKUP(tabParametros[[#Headers],[Lucro]],tabOutrosCustos[],3,0)</f>
        <v>159.30499317803796</v>
      </c>
      <c r="BE53" s="235">
        <f>VLOOKUP(tabParametros[[#Headers],[COFINS]],tabImpostosNacionais[],2,0)</f>
        <v>7.5999999999999998E-2</v>
      </c>
      <c r="BF53" s="235">
        <f>VLOOKUP(tabParametros[[#Headers],[PIS]],tabImpostosNacionais[],2,0)</f>
        <v>1.6500000000000001E-2</v>
      </c>
      <c r="BG53" s="235">
        <f>VLOOKUP(tabParametros[[#This Row],[Comarca]],tabComarca[],4,0)</f>
        <v>0.03</v>
      </c>
      <c r="BH53" s="238">
        <f>IFERROR(VLOOKUP(tabParametros[[#This Row],[CCT DA CATEGORIA]],tabSindicatos[],11,0),"")</f>
        <v>45658</v>
      </c>
      <c r="BI53" s="289" t="str">
        <f>IFERROR(VLOOKUP(tabParametros[[#This Row],[CCT DA CATEGORIA]],tabSindicatos[],12,0),"")</f>
        <v>-</v>
      </c>
      <c r="BJ53" s="293" t="str">
        <f>IFERROR(VLOOKUP(tabParametros[[#This Row],[CCT DA CATEGORIA]],tabSindicatos[],13,0),"")</f>
        <v>-</v>
      </c>
    </row>
    <row r="54" spans="1:62" x14ac:dyDescent="0.25">
      <c r="A54" s="233" t="s">
        <v>1394</v>
      </c>
      <c r="B54" s="198" t="s">
        <v>52</v>
      </c>
      <c r="C54" s="198" t="s">
        <v>1245</v>
      </c>
      <c r="D54" s="198" t="str">
        <f>VLOOKUP(tabParametros[[#This Row],[Código do Posto]],tabPostos[],4,0)</f>
        <v>Regiao de Sao Lourenco</v>
      </c>
      <c r="E54" s="289" t="str">
        <f>VLOOKUP(tabParametros[[#This Row],[Código do Posto]],tabPostos[],5,0)</f>
        <v>Limpeza</v>
      </c>
      <c r="F54" s="289" t="str">
        <f>VLOOKUP(tabParametros[[#This Row],[Código do Posto]],tabPostos[],6,0)</f>
        <v>PGJ</v>
      </c>
      <c r="G54" s="289">
        <f>VLOOKUP(tabParametros[[#This Row],[Código do Posto]],tabPostos[],7,0)</f>
        <v>1</v>
      </c>
      <c r="H54" s="289">
        <f>VLOOKUP(tabParametros[[#This Row],[Código do Posto]],tabPostos[],8,0)</f>
        <v>0</v>
      </c>
      <c r="I54" s="234">
        <f>VLOOKUP(tabParametros[[#This Row],[Código do Posto]],tabPostos[],9,0)</f>
        <v>1596.28</v>
      </c>
      <c r="J54" s="234">
        <f>IF(ISNUMBER(SEARCH("Eletricista",tabParametros[[#This Row],[Função]],1)),0.3*tabParametros[[#This Row],[Salário Base]],0)</f>
        <v>0</v>
      </c>
      <c r="K54" s="234">
        <f>IF(OR(ISNUMBER(SEARCH("Bombeiro Hidraulico",tabParametros[[#This Row],[Função]],1)),ISNUMBER(SEARCH("Jardineiro",tabParametros[[#This Row],[Função]],1)),ISNUMBER(SEARCH("Lavador de Veiculos",tabParametros[[#This Row],[Função]],1)),ISNUMBER(SEARCH("Marceneiro",tabParametros[[#This Row],[Função]],1)),ISNUMBER(SEARCH("Pintor",tabParametros[[#This Row],[Função]],1))),0.2*'BASE GERAL'!$R$4,0)</f>
        <v>0</v>
      </c>
      <c r="L54" s="234">
        <f>IF(AND(ISNUMBER(SEARCH("Noturno",tabParametros[[#This Row],[Função]],1)),tabParametros[[#This Row],[Comarca]]&lt;&gt;"Juiz de Fora"),tabParametros[[#This Row],[Salário Base]]/210*0.39*7*15.5,IF(ISNUMBER(SEARCH("Noturno",tabParametros[[#This Row],[Função]],1)),tabParametros[[#This Row],[Salário Base]]/210*0.2*8*15.5,0))</f>
        <v>0</v>
      </c>
      <c r="M54" s="234">
        <f>IF(ISNUMBER(SEARCH("Motorista II",tabParametros[[#This Row],[Função]],1)),0.25*tabParametros[[#This Row],[Salário Base]],0)</f>
        <v>0</v>
      </c>
      <c r="N54" s="250">
        <v>0</v>
      </c>
      <c r="O54" s="234">
        <f>IF(ISNUMBER(SEARCH("TECNOLOGIA DA INFORMACAO",tabParametros[[#This Row],[Função]],1)),0.0201*tabParametros[[#This Row],[Salário Base]],0)</f>
        <v>0</v>
      </c>
      <c r="P54" s="250" cm="1">
        <f t="array" ref="P54">_xlfn.IFS(
ISNUMBER(SEARCH("Auxiliar de Limpeza - 75 h",tabParametros[[#This Row],[Função]],1)),tabParametros[[#This Row],[Salário Base]]/75*0.75*30*0.12,
ISNUMBER(SEARCH("Auxiliar de Limpeza - 110 h",tabParametros[[#This Row],[Função]],1)),tabParametros[[#This Row],[Salário Base]]/110*1*30*0.12,
ISNUMBER(SEARCH("Auxiliar de Limpeza - 150 h",tabParametros[[#This Row],[Função]],1)),tabParametros[[#This Row],[Salário Base]]/150*1.5*30*0.12,
ISNUMBER(SEARCH("Auxiliar de Limpeza - 220 h",tabParametros[[#This Row],[Função]],1)),tabParametros[[#This Row],[Salário Base]]/220*2*30*0.12,
ISNUMBER(SEARCH("Auxiliar de Limpeza - 12 x 36",tabParametros[[#This Row],[Função]],1)),tabParametros[[#This Row],[Salário Base]]/220*2*30*0.12,
ISNUMBER(SEARCH("Auxiliar de Limpeza - 55 h",tabParametros[[#This Row],[Função]],1))=FALSE,0)</f>
        <v>52.241890909090905</v>
      </c>
      <c r="Q54" s="235">
        <f>VLOOKUP(tabParametros[[#Headers],[INSS]],tabImpostosNacionais[],2,0)</f>
        <v>0.2</v>
      </c>
      <c r="R54" s="235">
        <f>VLOOKUP(tabParametros[[#Headers],[SESI OU SESC]],tabImpostosNacionais[],2,0)</f>
        <v>1.4999999999999999E-2</v>
      </c>
      <c r="S54" s="235">
        <f>VLOOKUP(tabParametros[[#Headers],[SENAI OU SENAC]],tabImpostosNacionais[],2,0)</f>
        <v>0.01</v>
      </c>
      <c r="T54" s="235">
        <f>VLOOKUP(tabParametros[[#Headers],[INCRA]],tabImpostosNacionais[],2,0)</f>
        <v>2E-3</v>
      </c>
      <c r="U54" s="235">
        <f>VLOOKUP(tabParametros[[#Headers],[Salário Educação]],tabImpostosNacionais[],2,0)</f>
        <v>2.5000000000000001E-2</v>
      </c>
      <c r="V54" s="235">
        <f>VLOOKUP(tabParametros[[#Headers],[FGTS]],tabImpostosNacionais[],2,0)</f>
        <v>0.08</v>
      </c>
      <c r="W54" s="235">
        <f>VLOOKUP(tabParametros[[#Headers],[RAT Ajustado]],tabImpostosNacionais[],2,0)</f>
        <v>0.04</v>
      </c>
      <c r="X54" s="235">
        <f>VLOOKUP(tabParametros[[#Headers],[SEBRAE]],tabImpostosNacionais[],2,0)</f>
        <v>6.0000000000000001E-3</v>
      </c>
      <c r="Y54" s="235">
        <f t="shared" si="0"/>
        <v>8.3333333333333329E-2</v>
      </c>
      <c r="Z54" s="251">
        <f t="shared" si="1"/>
        <v>0.1111111111111111</v>
      </c>
      <c r="AA54" s="234">
        <f>VLOOKUP(tabParametros[[#This Row],[Comarca]],tabComarca[],5,0)</f>
        <v>6.4</v>
      </c>
      <c r="AB54" s="234">
        <f>IFERROR(VLOOKUP(tabParametros[[#This Row],[CCT DA CATEGORIA]],tabSindicatos[],6,0),0)</f>
        <v>29.15</v>
      </c>
      <c r="AC54" s="234">
        <f>IFERROR(VLOOKUP(tabParametros[[#This Row],[CCT DA CATEGORIA]],tabSindicatos[],7,0),0)</f>
        <v>0</v>
      </c>
      <c r="AD54" s="234" cm="1">
        <f t="array" ref="AD54">_xlfn.LET(
_xlpm.COMARCA, TRIM(UPPER(SUBSTITUTE(SUBSTITUTE(SUBSTITUTE(SUBSTITUTE(SUBSTITUTE(SUBSTITUTE(SUBSTITUTE(SUBSTITUTE(SUBSTITUTE(SUBSTITUTE(SUBSTITUTE(SUBSTITUTE(SUBSTITUTE(SUBSTITUTE(SUBSTITUTE(SUBSTITUTE(SUBSTITUTE(SUBSTITUTE(SUBSTITUTE(SUBSTITUTE(SUBSTITUTE(SUBSTITUTE(SUBSTITUTE(SUBSTITUTE(SUBSTITUTE(SUBSTITUTE(tabParametros[[#This Row],[Comarca]],"á","a"),"ã","a"),"â","a"),"é","e"),"ê","e"),"í","i"),"ó","o"),"õ","o"),"ô","o"),"ú","u"),"ç","c"),"Á","a"),"Ã","a"),"Â","a"),"É","e"),"Ê","e"),"Í","i"),"Ó","o"),"Õ","o"),"Ô","o"),"Ú","u"),"Ç","c"),"/MG","")," e ",", ")," ",""),".",""))),
_xlpm.MATRIZ_COMARCA, TRIM(UPPER(SUBSTITUTE(SUBSTITUTE(SUBSTITUTE(SUBSTITUTE(SUBSTITUTE(SUBSTITUTE(SUBSTITUTE(SUBSTITUTE(SUBSTITUTE(SUBSTITUTE(SUBSTITUTE(SUBSTITUTE(SUBSTITUTE(SUBSTITUTE(SUBSTITUTE(SUBSTITUTE(SUBSTITUTE(SUBSTITUTE(SUBSTITUTE(SUBSTITUTE(SUBSTITUTE(SUBSTITUTE(SUBSTITUTE(SUBSTITUTE(SUBSTITUTE(SUBSTITUTE(tabSindicatos[COMARCAS PAF],"á","a"),"ã","a"),"â","a"),"é","e"),"ê","e"),"í","i"),"ó","o"),"õ","o"),"ô","o"),"ú","u"),"ç","c"),"Á","a"),"Ã","a"),"Â","a"),"É","e"),"Ê","e"),"Í","i"),"Ó","o"),"Õ","o"),"Ô","o"),"Ú","u"),"Ç","c"),"/MG","")," e ",", ")," ",""),".",""))),
IFERROR(IF(_xlfn.XLOOKUP(tabParametros[[#This Row],[CCT DA CATEGORIA]],tabSindicatos[SINDICATOS],tabSindicatos[COMARCAS PAF])="",
VLOOKUP(tabParametros[[#This Row],[CCT DA CATEGORIA]],tabSindicatos[],8,0),
IF(ISNUMBER(SEARCH(TRIM(_xlpm.COMARCA),_xlfn.XLOOKUP(tabParametros[[#This Row],[CCT DA CATEGORIA]],tabSindicatos[SINDICATOS],_xlpm.MATRIZ_COMARCA),1)),VLOOKUP(tabParametros[[#This Row],[CCT DA CATEGORIA]],tabSindicatos[],8,0),0)
),0)
)</f>
        <v>0</v>
      </c>
      <c r="AE54" s="234">
        <f>IFERROR(VLOOKUP(tabParametros[[#This Row],[CCT DA CATEGORIA]],tabSindicatos[],9,0),0)</f>
        <v>0</v>
      </c>
      <c r="AF54" s="234">
        <f>IFERROR(VLOOKUP(tabParametros[[#This Row],[CCT DA CATEGORIA]],tabSindicatos[],10,0),0)</f>
        <v>0</v>
      </c>
      <c r="AG54" s="236">
        <f>VLOOKUP(tabParametros[[#Headers],[Seguro de Vida]],tabOutrosCustos[],3,0)</f>
        <v>3.36</v>
      </c>
      <c r="AH54" s="236">
        <f>IF(ISNUMBER(SEARCH("MOTORISTA",tabParametros[[#This Row],[Função]],1)),VLOOKUP("MOTORISTAS",tabDiarias[],2,0),IF(tabParametros[[#This Row],[Comarca]]="Belo Horizonte",VLOOKUP("LIMPEZA",tabDiarias[],2,0),0))</f>
        <v>0</v>
      </c>
      <c r="AI54" s="235">
        <f t="shared" si="2"/>
        <v>7.011766975308642E-3</v>
      </c>
      <c r="AJ54" s="237">
        <f>tabParametros[[#This Row],[FGTS]]*tabParametros[[#This Row],[Aviso Prévio Indenizado (API) e Reflexo do Aviso Prévio Indenizado]]</f>
        <v>5.609413580246914E-4</v>
      </c>
      <c r="AK54" s="237">
        <f>tabParametros[[#This Row],[FGTS]]*tabParametros[[#This Row],[Aviso Prévio Indenizado (API) e Reflexo do Aviso Prévio Indenizado]]*40%</f>
        <v>2.2437654320987658E-4</v>
      </c>
      <c r="AL54" s="235">
        <f t="shared" si="3"/>
        <v>3.5000000000000005E-3</v>
      </c>
      <c r="AM54" s="235">
        <f>tabParametros[[#This Row],[Aviso Prévio Trabalhado - APT]]*SUM(tabParametros[[#This Row],[INSS]:[SEBRAE]])</f>
        <v>1.3230000000000004E-3</v>
      </c>
      <c r="AN54" s="235">
        <f t="shared" si="4"/>
        <v>3.0577777777777773E-2</v>
      </c>
      <c r="AO54" s="235">
        <f t="shared" si="5"/>
        <v>8.3333333333333339E-4</v>
      </c>
      <c r="AP54" s="235">
        <f t="shared" si="6"/>
        <v>8.4444444444444437E-3</v>
      </c>
      <c r="AQ54" s="235">
        <f t="shared" si="7"/>
        <v>2.0277777777777777E-3</v>
      </c>
      <c r="AR54" s="235">
        <f t="shared" si="8"/>
        <v>1.7083333333333333E-4</v>
      </c>
      <c r="AS54" s="235">
        <f t="shared" si="9"/>
        <v>2.0833333333333335E-4</v>
      </c>
      <c r="AT54" s="235">
        <f t="shared" si="10"/>
        <v>1.2962962962962963E-3</v>
      </c>
      <c r="AU54" s="237">
        <f>SUM(tabParametros[[#This Row],[Ausência por Doença]:[Férias, Adicional de Férias e 13º  com empregada em gozo de Licença Maternidade]])*SUM(tabParametros[[#This Row],[INSS]:[SEBRAE]])</f>
        <v>4.5918250000000008E-3</v>
      </c>
      <c r="AV54" s="234">
        <f>IF(tabParametros[[#This Row],[Função]]="Porteiro - 220 h",SUM(tabParametros[[#This Row],[Salário Base]:[Adicional de Acúmulo de função]])/220*20*1.5,IF(ISNUMBER(SEARCH("12 x 36",tabParametros[[#This Row],[Função]],1)),SUM(tabParametros[[#This Row],[Salário Base]:[Adicional de Acúmulo de função]])/210*15.5*1.5,0))</f>
        <v>0</v>
      </c>
      <c r="AW54" s="234">
        <f>IF(tabParametros[[#This Row],[Vagas contratadas]]&gt;0,(SUM(tabParametros[[#This Row],[Salário Base]:[Adicional de Acúmulo de função]])*30%+SUM(tabParametros[[#This Row],[Vale - Alimentação]:[Seguro de Vida]]))/tabParametros[[#This Row],[Vagas contratadas]]*tabParametros[[#This Row],[Vagas suspensas]],0)</f>
        <v>0</v>
      </c>
      <c r="AX54" s="234">
        <f>SUMIF(tabUniformes[Cargo],tabParametros[[#This Row],[Função]],tabUniformes[Valor unit. Mensal])</f>
        <v>100.80916666666666</v>
      </c>
      <c r="AY54" s="281">
        <f>IF(ISNUMBER(SEARCH("AUXILIAR DE LIMPEZA - 75 H",tabParametros[[#This Row],[Função]],1)),
SUMIF(tabLimpGeral[TIPO],"Material",tabLimpGeral[VALOR UNITÁRIO P/ HORA (R$)])*75,
IF(ISNUMBER(SEARCH("AUXILIAR DE LIMPEZA - 110 H",tabParametros[[#This Row],[Função]],1)),
SUMIF(tabLimpGeral[TIPO],"Material",tabLimpGeral[VALOR UNITÁRIO P/ HORA (R$)])*110,
IF(ISNUMBER(SEARCH("AUXILIAR DE LIMPEZA - 150 H",tabParametros[[#This Row],[Função]],1)),
SUMIF(tabLimpGeral[TIPO],"Material",tabLimpGeral[VALOR UNITÁRIO P/ HORA (R$)])*150,
IF(ISNUMBER(SEARCH("AUXILIAR DE LIMPEZA - 220 H",tabParametros[[#This Row],[Função]],1)),
SUMIF(tabLimpGeral[TIPO],"Material",tabLimpGeral[VALOR UNITÁRIO P/ HORA (R$)])*220,
IF(ISNUMBER(SEARCH("AUXILIAR DE LIMPEZA - 12 x 36",tabParametros[[#This Row],[Função]],1)),
SUMIF(tabLimpGeral[TIPO],"Material",tabLimpGeral[VALOR UNITÁRIO P/ HORA (R$)])*220,
IF(ISNUMBER(SEARCH("Limpador de vidros - 220 h",tabParametros[[#This Row],[Função]],1)),
SUMIF(tabVidros[TIPO],"Material",tabVidros[VALOR UNITÁRIO P/ POSTO (R$)]),
0))))))</f>
        <v>35.518212958583888</v>
      </c>
      <c r="AZ54" s="281">
        <f>IF(ISNUMBER(SEARCH("AUXILIAR DE LIMPEZA - 75 H",tabParametros[[#This Row],[Função]],1)),
SUMIF(tabLimpGeral[TIPO],"Equipamento",tabLimpGeral[VALOR UNITÁRIO P/ HORA (R$)])*75,
IF(ISNUMBER(SEARCH("AUXILIAR DE LIMPEZA - 110 H",tabParametros[[#This Row],[Função]],1)),
SUMIF(tabLimpGeral[TIPO],"Equipamento",tabLimpGeral[VALOR UNITÁRIO P/ HORA (R$)])*110,
IF(ISNUMBER(SEARCH("AUXILIAR DE LIMPEZA - 150 H",tabParametros[[#This Row],[Função]],1)),
SUMIF(tabLimpGeral[TIPO],"Equipamento",tabLimpGeral[VALOR UNITÁRIO P/ HORA (R$)])*150,
IF(ISNUMBER(SEARCH("AUXILIAR DE LIMPEZA - 220 H",tabParametros[[#This Row],[Função]],1)),
SUMIF(tabLimpGeral[TIPO],"Equipamento",tabLimpGeral[VALOR UNITÁRIO P/ HORA (R$)])*220,
IF(ISNUMBER(SEARCH("AUXILIAR DE LIMPEZA - 12 x 36",tabParametros[[#This Row],[Função]],1)),
SUMIF(tabLimpGeral[TIPO],"Equipamento",tabLimpGeral[VALOR UNITÁRIO P/ HORA (R$)])*220,
IF(ISNUMBER(SEARCH("Limpador de vidros - 220 h",tabParametros[[#This Row],[Função]],1)),
SUMIF(tabVidros[TIPO],"Equipamento",tabVidros[VALOR UNITÁRIO P/ POSTO (R$)]),
0))))))</f>
        <v>64.529393914825576</v>
      </c>
      <c r="BA54" s="281">
        <f>IF(ISNUMBER(SEARCH("AUXILIAR DE LIMPEZA - 75 H",tabParametros[[#This Row],[Função]],1)),
SUMIF(tabLimpGeral[TIPO],"Produto",tabLimpGeral[VALOR UNITÁRIO P/ HORA (R$)])*75,
IF(ISNUMBER(SEARCH("AUXILIAR DE LIMPEZA - 110 H",tabParametros[[#This Row],[Função]],1)),
SUMIF(tabLimpGeral[TIPO],"Produto",tabLimpGeral[VALOR UNITÁRIO P/ HORA (R$)])*110,
IF(ISNUMBER(SEARCH("AUXILIAR DE LIMPEZA - 150 H",tabParametros[[#This Row],[Função]],1)),
SUMIF(tabLimpGeral[TIPO],"Produto",tabLimpGeral[VALOR UNITÁRIO P/ HORA (R$)])*150,
IF(ISNUMBER(SEARCH("AUXILIAR DE LIMPEZA - 220 H",tabParametros[[#This Row],[Função]],1)),
SUMIF(tabLimpGeral[TIPO],"Produto",tabLimpGeral[VALOR UNITÁRIO P/ HORA (R$)])*220,
IF(ISNUMBER(SEARCH("AUXILIAR DE LIMPEZA - 12 x 36",tabParametros[[#This Row],[Função]],1)),
SUMIF(tabLimpGeral[TIPO],"Produto",tabLimpGeral[VALOR UNITÁRIO P/ HORA (R$)])*220,
IF(ISNUMBER(SEARCH("Limpador de vidros - 220 h",tabParametros[[#This Row],[Função]],1)),
SUMIF(tabVidros[TIPO],"Produto",tabVidros[VALOR UNITÁRIO P/ POSTO (R$)]),
0))))))</f>
        <v>690.27153277931654</v>
      </c>
      <c r="BB54" s="281">
        <v>0</v>
      </c>
      <c r="BC54" s="236">
        <f>VLOOKUP(tabParametros[[#Headers],[Custos Indiretos]],tabOutrosCustos[],3,0)</f>
        <v>189.64880140242613</v>
      </c>
      <c r="BD54" s="236">
        <f>VLOOKUP(tabParametros[[#Headers],[Lucro]],tabOutrosCustos[],3,0)</f>
        <v>159.30499317803796</v>
      </c>
      <c r="BE54" s="235">
        <f>VLOOKUP(tabParametros[[#Headers],[COFINS]],tabImpostosNacionais[],2,0)</f>
        <v>7.5999999999999998E-2</v>
      </c>
      <c r="BF54" s="235">
        <f>VLOOKUP(tabParametros[[#Headers],[PIS]],tabImpostosNacionais[],2,0)</f>
        <v>1.6500000000000001E-2</v>
      </c>
      <c r="BG54" s="235">
        <f>VLOOKUP(tabParametros[[#This Row],[Comarca]],tabComarca[],4,0)</f>
        <v>0.03</v>
      </c>
      <c r="BH54" s="238">
        <f>IFERROR(VLOOKUP(tabParametros[[#This Row],[CCT DA CATEGORIA]],tabSindicatos[],11,0),"")</f>
        <v>45658</v>
      </c>
      <c r="BI54" s="289" t="str">
        <f>IFERROR(VLOOKUP(tabParametros[[#This Row],[CCT DA CATEGORIA]],tabSindicatos[],12,0),"")</f>
        <v>-</v>
      </c>
      <c r="BJ54" s="293" t="str">
        <f>IFERROR(VLOOKUP(tabParametros[[#This Row],[CCT DA CATEGORIA]],tabSindicatos[],13,0),"")</f>
        <v>-</v>
      </c>
    </row>
    <row r="55" spans="1:62" x14ac:dyDescent="0.25">
      <c r="A55" s="233" t="s">
        <v>1395</v>
      </c>
      <c r="B55" s="198" t="s">
        <v>53</v>
      </c>
      <c r="C55" s="198" t="s">
        <v>1247</v>
      </c>
      <c r="D55" s="198" t="str">
        <f>VLOOKUP(tabParametros[[#This Row],[Código do Posto]],tabPostos[],4,0)</f>
        <v>Alto Paranaiba</v>
      </c>
      <c r="E55" s="289" t="str">
        <f>VLOOKUP(tabParametros[[#This Row],[Código do Posto]],tabPostos[],5,0)</f>
        <v>Limpeza</v>
      </c>
      <c r="F55" s="289" t="str">
        <f>VLOOKUP(tabParametros[[#This Row],[Código do Posto]],tabPostos[],6,0)</f>
        <v>PGJ</v>
      </c>
      <c r="G55" s="289">
        <f>VLOOKUP(tabParametros[[#This Row],[Código do Posto]],tabPostos[],7,0)</f>
        <v>1</v>
      </c>
      <c r="H55" s="289">
        <f>VLOOKUP(tabParametros[[#This Row],[Código do Posto]],tabPostos[],8,0)</f>
        <v>0</v>
      </c>
      <c r="I55" s="234">
        <f>VLOOKUP(tabParametros[[#This Row],[Código do Posto]],tabPostos[],9,0)</f>
        <v>544.17999999999995</v>
      </c>
      <c r="J55" s="234">
        <f>IF(ISNUMBER(SEARCH("Eletricista",tabParametros[[#This Row],[Função]],1)),0.3*tabParametros[[#This Row],[Salário Base]],0)</f>
        <v>0</v>
      </c>
      <c r="K55" s="234">
        <f>IF(OR(ISNUMBER(SEARCH("Bombeiro Hidraulico",tabParametros[[#This Row],[Função]],1)),ISNUMBER(SEARCH("Jardineiro",tabParametros[[#This Row],[Função]],1)),ISNUMBER(SEARCH("Lavador de Veiculos",tabParametros[[#This Row],[Função]],1)),ISNUMBER(SEARCH("Marceneiro",tabParametros[[#This Row],[Função]],1)),ISNUMBER(SEARCH("Pintor",tabParametros[[#This Row],[Função]],1))),0.2*'BASE GERAL'!$R$4,0)</f>
        <v>0</v>
      </c>
      <c r="L55" s="234">
        <f>IF(AND(ISNUMBER(SEARCH("Noturno",tabParametros[[#This Row],[Função]],1)),tabParametros[[#This Row],[Comarca]]&lt;&gt;"Juiz de Fora"),tabParametros[[#This Row],[Salário Base]]/210*0.39*7*15.5,IF(ISNUMBER(SEARCH("Noturno",tabParametros[[#This Row],[Função]],1)),tabParametros[[#This Row],[Salário Base]]/210*0.2*8*15.5,0))</f>
        <v>0</v>
      </c>
      <c r="M55" s="234">
        <f>IF(ISNUMBER(SEARCH("Motorista II",tabParametros[[#This Row],[Função]],1)),0.25*tabParametros[[#This Row],[Salário Base]],0)</f>
        <v>0</v>
      </c>
      <c r="N55" s="250">
        <v>0</v>
      </c>
      <c r="O55" s="234">
        <f>IF(ISNUMBER(SEARCH("TECNOLOGIA DA INFORMACAO",tabParametros[[#This Row],[Função]],1)),0.0201*tabParametros[[#This Row],[Salário Base]],0)</f>
        <v>0</v>
      </c>
      <c r="P55" s="250" cm="1">
        <f t="array" ref="P55">_xlfn.IFS(
ISNUMBER(SEARCH("Auxiliar de Limpeza - 75 h",tabParametros[[#This Row],[Função]],1)),tabParametros[[#This Row],[Salário Base]]/75*0.75*30*0.12,
ISNUMBER(SEARCH("Auxiliar de Limpeza - 110 h",tabParametros[[#This Row],[Função]],1)),tabParametros[[#This Row],[Salário Base]]/110*1*30*0.12,
ISNUMBER(SEARCH("Auxiliar de Limpeza - 150 h",tabParametros[[#This Row],[Função]],1)),tabParametros[[#This Row],[Salário Base]]/150*1.5*30*0.12,
ISNUMBER(SEARCH("Auxiliar de Limpeza - 220 h",tabParametros[[#This Row],[Função]],1)),tabParametros[[#This Row],[Salário Base]]/220*2*30*0.12,
ISNUMBER(SEARCH("Auxiliar de Limpeza - 12 x 36",tabParametros[[#This Row],[Função]],1)),tabParametros[[#This Row],[Salário Base]]/220*2*30*0.12,
ISNUMBER(SEARCH("Auxiliar de Limpeza - 55 h",tabParametros[[#This Row],[Função]],1))=FALSE,0)</f>
        <v>19.590479999999999</v>
      </c>
      <c r="Q55" s="235">
        <f>VLOOKUP(tabParametros[[#Headers],[INSS]],tabImpostosNacionais[],2,0)</f>
        <v>0.2</v>
      </c>
      <c r="R55" s="235">
        <f>VLOOKUP(tabParametros[[#Headers],[SESI OU SESC]],tabImpostosNacionais[],2,0)</f>
        <v>1.4999999999999999E-2</v>
      </c>
      <c r="S55" s="235">
        <f>VLOOKUP(tabParametros[[#Headers],[SENAI OU SENAC]],tabImpostosNacionais[],2,0)</f>
        <v>0.01</v>
      </c>
      <c r="T55" s="235">
        <f>VLOOKUP(tabParametros[[#Headers],[INCRA]],tabImpostosNacionais[],2,0)</f>
        <v>2E-3</v>
      </c>
      <c r="U55" s="235">
        <f>VLOOKUP(tabParametros[[#Headers],[Salário Educação]],tabImpostosNacionais[],2,0)</f>
        <v>2.5000000000000001E-2</v>
      </c>
      <c r="V55" s="235">
        <f>VLOOKUP(tabParametros[[#Headers],[FGTS]],tabImpostosNacionais[],2,0)</f>
        <v>0.08</v>
      </c>
      <c r="W55" s="235">
        <f>VLOOKUP(tabParametros[[#Headers],[RAT Ajustado]],tabImpostosNacionais[],2,0)</f>
        <v>0.04</v>
      </c>
      <c r="X55" s="235">
        <f>VLOOKUP(tabParametros[[#Headers],[SEBRAE]],tabImpostosNacionais[],2,0)</f>
        <v>6.0000000000000001E-3</v>
      </c>
      <c r="Y55" s="235">
        <f t="shared" si="0"/>
        <v>8.3333333333333329E-2</v>
      </c>
      <c r="Z55" s="251">
        <f t="shared" si="1"/>
        <v>0.1111111111111111</v>
      </c>
      <c r="AA55" s="234">
        <f>VLOOKUP(tabParametros[[#This Row],[Comarca]],tabComarca[],5,0)</f>
        <v>6.4</v>
      </c>
      <c r="AB55" s="234">
        <f>IFERROR(VLOOKUP(tabParametros[[#This Row],[CCT DA CATEGORIA]],tabSindicatos[],6,0),0)</f>
        <v>0</v>
      </c>
      <c r="AC55" s="234">
        <f>IFERROR(VLOOKUP(tabParametros[[#This Row],[CCT DA CATEGORIA]],tabSindicatos[],7,0),0)</f>
        <v>387.79</v>
      </c>
      <c r="AD55" s="234" cm="1">
        <f t="array" ref="AD55">_xlfn.LET(
_xlpm.COMARCA, TRIM(UPPER(SUBSTITUTE(SUBSTITUTE(SUBSTITUTE(SUBSTITUTE(SUBSTITUTE(SUBSTITUTE(SUBSTITUTE(SUBSTITUTE(SUBSTITUTE(SUBSTITUTE(SUBSTITUTE(SUBSTITUTE(SUBSTITUTE(SUBSTITUTE(SUBSTITUTE(SUBSTITUTE(SUBSTITUTE(SUBSTITUTE(SUBSTITUTE(SUBSTITUTE(SUBSTITUTE(SUBSTITUTE(SUBSTITUTE(SUBSTITUTE(SUBSTITUTE(SUBSTITUTE(tabParametros[[#This Row],[Comarca]],"á","a"),"ã","a"),"â","a"),"é","e"),"ê","e"),"í","i"),"ó","o"),"õ","o"),"ô","o"),"ú","u"),"ç","c"),"Á","a"),"Ã","a"),"Â","a"),"É","e"),"Ê","e"),"Í","i"),"Ó","o"),"Õ","o"),"Ô","o"),"Ú","u"),"Ç","c"),"/MG","")," e ",", ")," ",""),".",""))),
_xlpm.MATRIZ_COMARCA, TRIM(UPPER(SUBSTITUTE(SUBSTITUTE(SUBSTITUTE(SUBSTITUTE(SUBSTITUTE(SUBSTITUTE(SUBSTITUTE(SUBSTITUTE(SUBSTITUTE(SUBSTITUTE(SUBSTITUTE(SUBSTITUTE(SUBSTITUTE(SUBSTITUTE(SUBSTITUTE(SUBSTITUTE(SUBSTITUTE(SUBSTITUTE(SUBSTITUTE(SUBSTITUTE(SUBSTITUTE(SUBSTITUTE(SUBSTITUTE(SUBSTITUTE(SUBSTITUTE(SUBSTITUTE(tabSindicatos[COMARCAS PAF],"á","a"),"ã","a"),"â","a"),"é","e"),"ê","e"),"í","i"),"ó","o"),"õ","o"),"ô","o"),"ú","u"),"ç","c"),"Á","a"),"Ã","a"),"Â","a"),"É","e"),"Ê","e"),"Í","i"),"Ó","o"),"Õ","o"),"Ô","o"),"Ú","u"),"Ç","c"),"/MG","")," e ",", ")," ",""),".",""))),
IFERROR(IF(_xlfn.XLOOKUP(tabParametros[[#This Row],[CCT DA CATEGORIA]],tabSindicatos[SINDICATOS],tabSindicatos[COMARCAS PAF])="",
VLOOKUP(tabParametros[[#This Row],[CCT DA CATEGORIA]],tabSindicatos[],8,0),
IF(ISNUMBER(SEARCH(TRIM(_xlpm.COMARCA),_xlfn.XLOOKUP(tabParametros[[#This Row],[CCT DA CATEGORIA]],tabSindicatos[SINDICATOS],_xlpm.MATRIZ_COMARCA),1)),VLOOKUP(tabParametros[[#This Row],[CCT DA CATEGORIA]],tabSindicatos[],8,0),0)
),0)
)</f>
        <v>42.97</v>
      </c>
      <c r="AE55" s="234">
        <f>IFERROR(VLOOKUP(tabParametros[[#This Row],[CCT DA CATEGORIA]],tabSindicatos[],9,0),0)</f>
        <v>0</v>
      </c>
      <c r="AF55" s="234">
        <f>IFERROR(VLOOKUP(tabParametros[[#This Row],[CCT DA CATEGORIA]],tabSindicatos[],10,0),0)</f>
        <v>0</v>
      </c>
      <c r="AG55" s="236">
        <f>VLOOKUP(tabParametros[[#Headers],[Seguro de Vida]],tabOutrosCustos[],3,0)</f>
        <v>3.36</v>
      </c>
      <c r="AH55" s="236">
        <f>IF(ISNUMBER(SEARCH("MOTORISTA",tabParametros[[#This Row],[Função]],1)),VLOOKUP("MOTORISTAS",tabDiarias[],2,0),IF(tabParametros[[#This Row],[Comarca]]="Belo Horizonte",VLOOKUP("LIMPEZA",tabDiarias[],2,0),0))</f>
        <v>0</v>
      </c>
      <c r="AI55" s="235">
        <f t="shared" si="2"/>
        <v>7.011766975308642E-3</v>
      </c>
      <c r="AJ55" s="237">
        <f>tabParametros[[#This Row],[FGTS]]*tabParametros[[#This Row],[Aviso Prévio Indenizado (API) e Reflexo do Aviso Prévio Indenizado]]</f>
        <v>5.609413580246914E-4</v>
      </c>
      <c r="AK55" s="237">
        <f>tabParametros[[#This Row],[FGTS]]*tabParametros[[#This Row],[Aviso Prévio Indenizado (API) e Reflexo do Aviso Prévio Indenizado]]*40%</f>
        <v>2.2437654320987658E-4</v>
      </c>
      <c r="AL55" s="235">
        <f t="shared" si="3"/>
        <v>3.5000000000000005E-3</v>
      </c>
      <c r="AM55" s="235">
        <f>tabParametros[[#This Row],[Aviso Prévio Trabalhado - APT]]*SUM(tabParametros[[#This Row],[INSS]:[SEBRAE]])</f>
        <v>1.3230000000000004E-3</v>
      </c>
      <c r="AN55" s="235">
        <f t="shared" si="4"/>
        <v>3.0577777777777773E-2</v>
      </c>
      <c r="AO55" s="235">
        <f t="shared" si="5"/>
        <v>8.3333333333333339E-4</v>
      </c>
      <c r="AP55" s="235">
        <f t="shared" si="6"/>
        <v>8.4444444444444437E-3</v>
      </c>
      <c r="AQ55" s="235">
        <f t="shared" si="7"/>
        <v>2.0277777777777777E-3</v>
      </c>
      <c r="AR55" s="235">
        <f t="shared" si="8"/>
        <v>1.7083333333333333E-4</v>
      </c>
      <c r="AS55" s="235">
        <f t="shared" si="9"/>
        <v>2.0833333333333335E-4</v>
      </c>
      <c r="AT55" s="235">
        <f t="shared" si="10"/>
        <v>1.2962962962962963E-3</v>
      </c>
      <c r="AU55" s="237">
        <f>SUM(tabParametros[[#This Row],[Ausência por Doença]:[Férias, Adicional de Férias e 13º  com empregada em gozo de Licença Maternidade]])*SUM(tabParametros[[#This Row],[INSS]:[SEBRAE]])</f>
        <v>4.5918250000000008E-3</v>
      </c>
      <c r="AV55" s="234">
        <f>IF(tabParametros[[#This Row],[Função]]="Porteiro - 220 h",SUM(tabParametros[[#This Row],[Salário Base]:[Adicional de Acúmulo de função]])/220*20*1.5,IF(ISNUMBER(SEARCH("12 x 36",tabParametros[[#This Row],[Função]],1)),SUM(tabParametros[[#This Row],[Salário Base]:[Adicional de Acúmulo de função]])/210*15.5*1.5,0))</f>
        <v>0</v>
      </c>
      <c r="AW55" s="234">
        <f>IF(tabParametros[[#This Row],[Vagas contratadas]]&gt;0,(SUM(tabParametros[[#This Row],[Salário Base]:[Adicional de Acúmulo de função]])*30%+SUM(tabParametros[[#This Row],[Vale - Alimentação]:[Seguro de Vida]]))/tabParametros[[#This Row],[Vagas contratadas]]*tabParametros[[#This Row],[Vagas suspensas]],0)</f>
        <v>0</v>
      </c>
      <c r="AX55" s="234">
        <f>SUMIF(tabUniformes[Cargo],tabParametros[[#This Row],[Função]],tabUniformes[Valor unit. Mensal])</f>
        <v>62.806666666666665</v>
      </c>
      <c r="AY55" s="281">
        <f>IF(ISNUMBER(SEARCH("AUXILIAR DE LIMPEZA - 75 H",tabParametros[[#This Row],[Função]],1)),
SUMIF(tabLimpGeral[TIPO],"Material",tabLimpGeral[VALOR UNITÁRIO P/ HORA (R$)])*75,
IF(ISNUMBER(SEARCH("AUXILIAR DE LIMPEZA - 110 H",tabParametros[[#This Row],[Função]],1)),
SUMIF(tabLimpGeral[TIPO],"Material",tabLimpGeral[VALOR UNITÁRIO P/ HORA (R$)])*110,
IF(ISNUMBER(SEARCH("AUXILIAR DE LIMPEZA - 150 H",tabParametros[[#This Row],[Função]],1)),
SUMIF(tabLimpGeral[TIPO],"Material",tabLimpGeral[VALOR UNITÁRIO P/ HORA (R$)])*150,
IF(ISNUMBER(SEARCH("AUXILIAR DE LIMPEZA - 220 H",tabParametros[[#This Row],[Função]],1)),
SUMIF(tabLimpGeral[TIPO],"Material",tabLimpGeral[VALOR UNITÁRIO P/ HORA (R$)])*220,
IF(ISNUMBER(SEARCH("AUXILIAR DE LIMPEZA - 12 x 36",tabParametros[[#This Row],[Função]],1)),
SUMIF(tabLimpGeral[TIPO],"Material",tabLimpGeral[VALOR UNITÁRIO P/ HORA (R$)])*220,
IF(ISNUMBER(SEARCH("Limpador de vidros - 220 h",tabParametros[[#This Row],[Função]],1)),
SUMIF(tabVidros[TIPO],"Material",tabVidros[VALOR UNITÁRIO P/ POSTO (R$)]),
0))))))</f>
        <v>12.108481690426325</v>
      </c>
      <c r="AZ55" s="281">
        <f>IF(ISNUMBER(SEARCH("AUXILIAR DE LIMPEZA - 75 H",tabParametros[[#This Row],[Função]],1)),
SUMIF(tabLimpGeral[TIPO],"Equipamento",tabLimpGeral[VALOR UNITÁRIO P/ HORA (R$)])*75,
IF(ISNUMBER(SEARCH("AUXILIAR DE LIMPEZA - 110 H",tabParametros[[#This Row],[Função]],1)),
SUMIF(tabLimpGeral[TIPO],"Equipamento",tabLimpGeral[VALOR UNITÁRIO P/ HORA (R$)])*110,
IF(ISNUMBER(SEARCH("AUXILIAR DE LIMPEZA - 150 H",tabParametros[[#This Row],[Função]],1)),
SUMIF(tabLimpGeral[TIPO],"Equipamento",tabLimpGeral[VALOR UNITÁRIO P/ HORA (R$)])*150,
IF(ISNUMBER(SEARCH("AUXILIAR DE LIMPEZA - 220 H",tabParametros[[#This Row],[Função]],1)),
SUMIF(tabLimpGeral[TIPO],"Equipamento",tabLimpGeral[VALOR UNITÁRIO P/ HORA (R$)])*220,
IF(ISNUMBER(SEARCH("AUXILIAR DE LIMPEZA - 12 x 36",tabParametros[[#This Row],[Função]],1)),
SUMIF(tabLimpGeral[TIPO],"Equipamento",tabLimpGeral[VALOR UNITÁRIO P/ HORA (R$)])*220,
IF(ISNUMBER(SEARCH("Limpador de vidros - 220 h",tabParametros[[#This Row],[Função]],1)),
SUMIF(tabVidros[TIPO],"Equipamento",tabVidros[VALOR UNITÁRIO P/ POSTO (R$)]),
0))))))</f>
        <v>21.998657016417809</v>
      </c>
      <c r="BA55" s="281">
        <f>IF(ISNUMBER(SEARCH("AUXILIAR DE LIMPEZA - 75 H",tabParametros[[#This Row],[Função]],1)),
SUMIF(tabLimpGeral[TIPO],"Produto",tabLimpGeral[VALOR UNITÁRIO P/ HORA (R$)])*75,
IF(ISNUMBER(SEARCH("AUXILIAR DE LIMPEZA - 110 H",tabParametros[[#This Row],[Função]],1)),
SUMIF(tabLimpGeral[TIPO],"Produto",tabLimpGeral[VALOR UNITÁRIO P/ HORA (R$)])*110,
IF(ISNUMBER(SEARCH("AUXILIAR DE LIMPEZA - 150 H",tabParametros[[#This Row],[Função]],1)),
SUMIF(tabLimpGeral[TIPO],"Produto",tabLimpGeral[VALOR UNITÁRIO P/ HORA (R$)])*150,
IF(ISNUMBER(SEARCH("AUXILIAR DE LIMPEZA - 220 H",tabParametros[[#This Row],[Função]],1)),
SUMIF(tabLimpGeral[TIPO],"Produto",tabLimpGeral[VALOR UNITÁRIO P/ HORA (R$)])*220,
IF(ISNUMBER(SEARCH("AUXILIAR DE LIMPEZA - 12 x 36",tabParametros[[#This Row],[Função]],1)),
SUMIF(tabLimpGeral[TIPO],"Produto",tabLimpGeral[VALOR UNITÁRIO P/ HORA (R$)])*220,
IF(ISNUMBER(SEARCH("Limpador de vidros - 220 h",tabParametros[[#This Row],[Função]],1)),
SUMIF(tabVidros[TIPO],"Produto",tabVidros[VALOR UNITÁRIO P/ POSTO (R$)]),
0))))))</f>
        <v>235.31984072022155</v>
      </c>
      <c r="BB55" s="281">
        <v>0</v>
      </c>
      <c r="BC55" s="236">
        <f>VLOOKUP(tabParametros[[#Headers],[Custos Indiretos]],tabOutrosCustos[],3,0)</f>
        <v>189.64880140242613</v>
      </c>
      <c r="BD55" s="236">
        <f>VLOOKUP(tabParametros[[#Headers],[Lucro]],tabOutrosCustos[],3,0)</f>
        <v>159.30499317803796</v>
      </c>
      <c r="BE55" s="235">
        <f>VLOOKUP(tabParametros[[#Headers],[COFINS]],tabImpostosNacionais[],2,0)</f>
        <v>7.5999999999999998E-2</v>
      </c>
      <c r="BF55" s="235">
        <f>VLOOKUP(tabParametros[[#Headers],[PIS]],tabImpostosNacionais[],2,0)</f>
        <v>1.6500000000000001E-2</v>
      </c>
      <c r="BG55" s="235">
        <f>VLOOKUP(tabParametros[[#This Row],[Comarca]],tabComarca[],4,0)</f>
        <v>0.03</v>
      </c>
      <c r="BH55" s="238">
        <f>IFERROR(VLOOKUP(tabParametros[[#This Row],[CCT DA CATEGORIA]],tabSindicatos[],11,0),"")</f>
        <v>45658</v>
      </c>
      <c r="BI55" s="289" t="str">
        <f>IFERROR(VLOOKUP(tabParametros[[#This Row],[CCT DA CATEGORIA]],tabSindicatos[],12,0),"")</f>
        <v>-</v>
      </c>
      <c r="BJ55" s="293" t="str">
        <f>IFERROR(VLOOKUP(tabParametros[[#This Row],[CCT DA CATEGORIA]],tabSindicatos[],13,0),"")</f>
        <v>-</v>
      </c>
    </row>
    <row r="56" spans="1:62" x14ac:dyDescent="0.25">
      <c r="A56" s="233" t="s">
        <v>1396</v>
      </c>
      <c r="B56" s="198" t="s">
        <v>54</v>
      </c>
      <c r="C56" s="198" t="s">
        <v>1244</v>
      </c>
      <c r="D56" s="198" t="str">
        <f>VLOOKUP(tabParametros[[#This Row],[Código do Posto]],tabPostos[],4,0)</f>
        <v>Regiao de Sao Lourenco</v>
      </c>
      <c r="E56" s="289" t="str">
        <f>VLOOKUP(tabParametros[[#This Row],[Código do Posto]],tabPostos[],5,0)</f>
        <v>Limpeza</v>
      </c>
      <c r="F56" s="289" t="str">
        <f>VLOOKUP(tabParametros[[#This Row],[Código do Posto]],tabPostos[],6,0)</f>
        <v>PGJ</v>
      </c>
      <c r="G56" s="289">
        <f>VLOOKUP(tabParametros[[#This Row],[Código do Posto]],tabPostos[],7,0)</f>
        <v>1</v>
      </c>
      <c r="H56" s="289">
        <f>VLOOKUP(tabParametros[[#This Row],[Código do Posto]],tabPostos[],8,0)</f>
        <v>0</v>
      </c>
      <c r="I56" s="234">
        <f>VLOOKUP(tabParametros[[#This Row],[Código do Posto]],tabPostos[],9,0)</f>
        <v>798.14</v>
      </c>
      <c r="J56" s="234">
        <f>IF(ISNUMBER(SEARCH("Eletricista",tabParametros[[#This Row],[Função]],1)),0.3*tabParametros[[#This Row],[Salário Base]],0)</f>
        <v>0</v>
      </c>
      <c r="K56" s="234">
        <f>IF(OR(ISNUMBER(SEARCH("Bombeiro Hidraulico",tabParametros[[#This Row],[Função]],1)),ISNUMBER(SEARCH("Jardineiro",tabParametros[[#This Row],[Função]],1)),ISNUMBER(SEARCH("Lavador de Veiculos",tabParametros[[#This Row],[Função]],1)),ISNUMBER(SEARCH("Marceneiro",tabParametros[[#This Row],[Função]],1)),ISNUMBER(SEARCH("Pintor",tabParametros[[#This Row],[Função]],1))),0.2*'BASE GERAL'!$R$4,0)</f>
        <v>0</v>
      </c>
      <c r="L56" s="234">
        <f>IF(AND(ISNUMBER(SEARCH("Noturno",tabParametros[[#This Row],[Função]],1)),tabParametros[[#This Row],[Comarca]]&lt;&gt;"Juiz de Fora"),tabParametros[[#This Row],[Salário Base]]/210*0.39*7*15.5,IF(ISNUMBER(SEARCH("Noturno",tabParametros[[#This Row],[Função]],1)),tabParametros[[#This Row],[Salário Base]]/210*0.2*8*15.5,0))</f>
        <v>0</v>
      </c>
      <c r="M56" s="234">
        <f>IF(ISNUMBER(SEARCH("Motorista II",tabParametros[[#This Row],[Função]],1)),0.25*tabParametros[[#This Row],[Salário Base]],0)</f>
        <v>0</v>
      </c>
      <c r="N56" s="250">
        <v>0</v>
      </c>
      <c r="O56" s="234">
        <f>IF(ISNUMBER(SEARCH("TECNOLOGIA DA INFORMACAO",tabParametros[[#This Row],[Função]],1)),0.0201*tabParametros[[#This Row],[Salário Base]],0)</f>
        <v>0</v>
      </c>
      <c r="P56" s="250" cm="1">
        <f t="array" ref="P56">_xlfn.IFS(
ISNUMBER(SEARCH("Auxiliar de Limpeza - 75 h",tabParametros[[#This Row],[Função]],1)),tabParametros[[#This Row],[Salário Base]]/75*0.75*30*0.12,
ISNUMBER(SEARCH("Auxiliar de Limpeza - 110 h",tabParametros[[#This Row],[Função]],1)),tabParametros[[#This Row],[Salário Base]]/110*1*30*0.12,
ISNUMBER(SEARCH("Auxiliar de Limpeza - 150 h",tabParametros[[#This Row],[Função]],1)),tabParametros[[#This Row],[Salário Base]]/150*1.5*30*0.12,
ISNUMBER(SEARCH("Auxiliar de Limpeza - 220 h",tabParametros[[#This Row],[Função]],1)),tabParametros[[#This Row],[Salário Base]]/220*2*30*0.12,
ISNUMBER(SEARCH("Auxiliar de Limpeza - 12 x 36",tabParametros[[#This Row],[Função]],1)),tabParametros[[#This Row],[Salário Base]]/220*2*30*0.12,
ISNUMBER(SEARCH("Auxiliar de Limpeza - 55 h",tabParametros[[#This Row],[Função]],1))=FALSE,0)</f>
        <v>26.120945454545453</v>
      </c>
      <c r="Q56" s="235">
        <f>VLOOKUP(tabParametros[[#Headers],[INSS]],tabImpostosNacionais[],2,0)</f>
        <v>0.2</v>
      </c>
      <c r="R56" s="235">
        <f>VLOOKUP(tabParametros[[#Headers],[SESI OU SESC]],tabImpostosNacionais[],2,0)</f>
        <v>1.4999999999999999E-2</v>
      </c>
      <c r="S56" s="235">
        <f>VLOOKUP(tabParametros[[#Headers],[SENAI OU SENAC]],tabImpostosNacionais[],2,0)</f>
        <v>0.01</v>
      </c>
      <c r="T56" s="235">
        <f>VLOOKUP(tabParametros[[#Headers],[INCRA]],tabImpostosNacionais[],2,0)</f>
        <v>2E-3</v>
      </c>
      <c r="U56" s="235">
        <f>VLOOKUP(tabParametros[[#Headers],[Salário Educação]],tabImpostosNacionais[],2,0)</f>
        <v>2.5000000000000001E-2</v>
      </c>
      <c r="V56" s="235">
        <f>VLOOKUP(tabParametros[[#Headers],[FGTS]],tabImpostosNacionais[],2,0)</f>
        <v>0.08</v>
      </c>
      <c r="W56" s="235">
        <f>VLOOKUP(tabParametros[[#Headers],[RAT Ajustado]],tabImpostosNacionais[],2,0)</f>
        <v>0.04</v>
      </c>
      <c r="X56" s="235">
        <f>VLOOKUP(tabParametros[[#Headers],[SEBRAE]],tabImpostosNacionais[],2,0)</f>
        <v>6.0000000000000001E-3</v>
      </c>
      <c r="Y56" s="235">
        <f t="shared" si="0"/>
        <v>8.3333333333333329E-2</v>
      </c>
      <c r="Z56" s="251">
        <f t="shared" si="1"/>
        <v>0.1111111111111111</v>
      </c>
      <c r="AA56" s="234">
        <f>VLOOKUP(tabParametros[[#This Row],[Comarca]],tabComarca[],5,0)</f>
        <v>6.4</v>
      </c>
      <c r="AB56" s="234">
        <f>IFERROR(VLOOKUP(tabParametros[[#This Row],[CCT DA CATEGORIA]],tabSindicatos[],6,0),0)</f>
        <v>29.15</v>
      </c>
      <c r="AC56" s="234">
        <f>IFERROR(VLOOKUP(tabParametros[[#This Row],[CCT DA CATEGORIA]],tabSindicatos[],7,0),0)</f>
        <v>0</v>
      </c>
      <c r="AD56" s="234" cm="1">
        <f t="array" ref="AD56">_xlfn.LET(
_xlpm.COMARCA, TRIM(UPPER(SUBSTITUTE(SUBSTITUTE(SUBSTITUTE(SUBSTITUTE(SUBSTITUTE(SUBSTITUTE(SUBSTITUTE(SUBSTITUTE(SUBSTITUTE(SUBSTITUTE(SUBSTITUTE(SUBSTITUTE(SUBSTITUTE(SUBSTITUTE(SUBSTITUTE(SUBSTITUTE(SUBSTITUTE(SUBSTITUTE(SUBSTITUTE(SUBSTITUTE(SUBSTITUTE(SUBSTITUTE(SUBSTITUTE(SUBSTITUTE(SUBSTITUTE(SUBSTITUTE(tabParametros[[#This Row],[Comarca]],"á","a"),"ã","a"),"â","a"),"é","e"),"ê","e"),"í","i"),"ó","o"),"õ","o"),"ô","o"),"ú","u"),"ç","c"),"Á","a"),"Ã","a"),"Â","a"),"É","e"),"Ê","e"),"Í","i"),"Ó","o"),"Õ","o"),"Ô","o"),"Ú","u"),"Ç","c"),"/MG","")," e ",", ")," ",""),".",""))),
_xlpm.MATRIZ_COMARCA, TRIM(UPPER(SUBSTITUTE(SUBSTITUTE(SUBSTITUTE(SUBSTITUTE(SUBSTITUTE(SUBSTITUTE(SUBSTITUTE(SUBSTITUTE(SUBSTITUTE(SUBSTITUTE(SUBSTITUTE(SUBSTITUTE(SUBSTITUTE(SUBSTITUTE(SUBSTITUTE(SUBSTITUTE(SUBSTITUTE(SUBSTITUTE(SUBSTITUTE(SUBSTITUTE(SUBSTITUTE(SUBSTITUTE(SUBSTITUTE(SUBSTITUTE(SUBSTITUTE(SUBSTITUTE(tabSindicatos[COMARCAS PAF],"á","a"),"ã","a"),"â","a"),"é","e"),"ê","e"),"í","i"),"ó","o"),"õ","o"),"ô","o"),"ú","u"),"ç","c"),"Á","a"),"Ã","a"),"Â","a"),"É","e"),"Ê","e"),"Í","i"),"Ó","o"),"Õ","o"),"Ô","o"),"Ú","u"),"Ç","c"),"/MG","")," e ",", ")," ",""),".",""))),
IFERROR(IF(_xlfn.XLOOKUP(tabParametros[[#This Row],[CCT DA CATEGORIA]],tabSindicatos[SINDICATOS],tabSindicatos[COMARCAS PAF])="",
VLOOKUP(tabParametros[[#This Row],[CCT DA CATEGORIA]],tabSindicatos[],8,0),
IF(ISNUMBER(SEARCH(TRIM(_xlpm.COMARCA),_xlfn.XLOOKUP(tabParametros[[#This Row],[CCT DA CATEGORIA]],tabSindicatos[SINDICATOS],_xlpm.MATRIZ_COMARCA),1)),VLOOKUP(tabParametros[[#This Row],[CCT DA CATEGORIA]],tabSindicatos[],8,0),0)
),0)
)</f>
        <v>0</v>
      </c>
      <c r="AE56" s="234">
        <f>IFERROR(VLOOKUP(tabParametros[[#This Row],[CCT DA CATEGORIA]],tabSindicatos[],9,0),0)</f>
        <v>0</v>
      </c>
      <c r="AF56" s="234">
        <f>IFERROR(VLOOKUP(tabParametros[[#This Row],[CCT DA CATEGORIA]],tabSindicatos[],10,0),0)</f>
        <v>0</v>
      </c>
      <c r="AG56" s="236">
        <f>VLOOKUP(tabParametros[[#Headers],[Seguro de Vida]],tabOutrosCustos[],3,0)</f>
        <v>3.36</v>
      </c>
      <c r="AH56" s="236">
        <f>IF(ISNUMBER(SEARCH("MOTORISTA",tabParametros[[#This Row],[Função]],1)),VLOOKUP("MOTORISTAS",tabDiarias[],2,0),IF(tabParametros[[#This Row],[Comarca]]="Belo Horizonte",VLOOKUP("LIMPEZA",tabDiarias[],2,0),0))</f>
        <v>0</v>
      </c>
      <c r="AI56" s="235">
        <f t="shared" si="2"/>
        <v>7.011766975308642E-3</v>
      </c>
      <c r="AJ56" s="237">
        <f>tabParametros[[#This Row],[FGTS]]*tabParametros[[#This Row],[Aviso Prévio Indenizado (API) e Reflexo do Aviso Prévio Indenizado]]</f>
        <v>5.609413580246914E-4</v>
      </c>
      <c r="AK56" s="237">
        <f>tabParametros[[#This Row],[FGTS]]*tabParametros[[#This Row],[Aviso Prévio Indenizado (API) e Reflexo do Aviso Prévio Indenizado]]*40%</f>
        <v>2.2437654320987658E-4</v>
      </c>
      <c r="AL56" s="235">
        <f t="shared" si="3"/>
        <v>3.5000000000000005E-3</v>
      </c>
      <c r="AM56" s="235">
        <f>tabParametros[[#This Row],[Aviso Prévio Trabalhado - APT]]*SUM(tabParametros[[#This Row],[INSS]:[SEBRAE]])</f>
        <v>1.3230000000000004E-3</v>
      </c>
      <c r="AN56" s="235">
        <f t="shared" si="4"/>
        <v>3.0577777777777773E-2</v>
      </c>
      <c r="AO56" s="235">
        <f t="shared" si="5"/>
        <v>8.3333333333333339E-4</v>
      </c>
      <c r="AP56" s="235">
        <f t="shared" si="6"/>
        <v>8.4444444444444437E-3</v>
      </c>
      <c r="AQ56" s="235">
        <f t="shared" si="7"/>
        <v>2.0277777777777777E-3</v>
      </c>
      <c r="AR56" s="235">
        <f t="shared" si="8"/>
        <v>1.7083333333333333E-4</v>
      </c>
      <c r="AS56" s="235">
        <f t="shared" si="9"/>
        <v>2.0833333333333335E-4</v>
      </c>
      <c r="AT56" s="235">
        <f t="shared" si="10"/>
        <v>1.2962962962962963E-3</v>
      </c>
      <c r="AU56" s="237">
        <f>SUM(tabParametros[[#This Row],[Ausência por Doença]:[Férias, Adicional de Férias e 13º  com empregada em gozo de Licença Maternidade]])*SUM(tabParametros[[#This Row],[INSS]:[SEBRAE]])</f>
        <v>4.5918250000000008E-3</v>
      </c>
      <c r="AV56" s="234">
        <f>IF(tabParametros[[#This Row],[Função]]="Porteiro - 220 h",SUM(tabParametros[[#This Row],[Salário Base]:[Adicional de Acúmulo de função]])/220*20*1.5,IF(ISNUMBER(SEARCH("12 x 36",tabParametros[[#This Row],[Função]],1)),SUM(tabParametros[[#This Row],[Salário Base]:[Adicional de Acúmulo de função]])/210*15.5*1.5,0))</f>
        <v>0</v>
      </c>
      <c r="AW56" s="234">
        <f>IF(tabParametros[[#This Row],[Vagas contratadas]]&gt;0,(SUM(tabParametros[[#This Row],[Salário Base]:[Adicional de Acúmulo de função]])*30%+SUM(tabParametros[[#This Row],[Vale - Alimentação]:[Seguro de Vida]]))/tabParametros[[#This Row],[Vagas contratadas]]*tabParametros[[#This Row],[Vagas suspensas]],0)</f>
        <v>0</v>
      </c>
      <c r="AX56" s="234">
        <f>SUMIF(tabUniformes[Cargo],tabParametros[[#This Row],[Função]],tabUniformes[Valor unit. Mensal])</f>
        <v>62.806666666666665</v>
      </c>
      <c r="AY56" s="281">
        <f>IF(ISNUMBER(SEARCH("AUXILIAR DE LIMPEZA - 75 H",tabParametros[[#This Row],[Função]],1)),
SUMIF(tabLimpGeral[TIPO],"Material",tabLimpGeral[VALOR UNITÁRIO P/ HORA (R$)])*75,
IF(ISNUMBER(SEARCH("AUXILIAR DE LIMPEZA - 110 H",tabParametros[[#This Row],[Função]],1)),
SUMIF(tabLimpGeral[TIPO],"Material",tabLimpGeral[VALOR UNITÁRIO P/ HORA (R$)])*110,
IF(ISNUMBER(SEARCH("AUXILIAR DE LIMPEZA - 150 H",tabParametros[[#This Row],[Função]],1)),
SUMIF(tabLimpGeral[TIPO],"Material",tabLimpGeral[VALOR UNITÁRIO P/ HORA (R$)])*150,
IF(ISNUMBER(SEARCH("AUXILIAR DE LIMPEZA - 220 H",tabParametros[[#This Row],[Função]],1)),
SUMIF(tabLimpGeral[TIPO],"Material",tabLimpGeral[VALOR UNITÁRIO P/ HORA (R$)])*220,
IF(ISNUMBER(SEARCH("AUXILIAR DE LIMPEZA - 12 x 36",tabParametros[[#This Row],[Função]],1)),
SUMIF(tabLimpGeral[TIPO],"Material",tabLimpGeral[VALOR UNITÁRIO P/ HORA (R$)])*220,
IF(ISNUMBER(SEARCH("Limpador de vidros - 220 h",tabParametros[[#This Row],[Função]],1)),
SUMIF(tabVidros[TIPO],"Material",tabVidros[VALOR UNITÁRIO P/ POSTO (R$)]),
0))))))</f>
        <v>17.759106479291944</v>
      </c>
      <c r="AZ56" s="281">
        <f>IF(ISNUMBER(SEARCH("AUXILIAR DE LIMPEZA - 75 H",tabParametros[[#This Row],[Função]],1)),
SUMIF(tabLimpGeral[TIPO],"Equipamento",tabLimpGeral[VALOR UNITÁRIO P/ HORA (R$)])*75,
IF(ISNUMBER(SEARCH("AUXILIAR DE LIMPEZA - 110 H",tabParametros[[#This Row],[Função]],1)),
SUMIF(tabLimpGeral[TIPO],"Equipamento",tabLimpGeral[VALOR UNITÁRIO P/ HORA (R$)])*110,
IF(ISNUMBER(SEARCH("AUXILIAR DE LIMPEZA - 150 H",tabParametros[[#This Row],[Função]],1)),
SUMIF(tabLimpGeral[TIPO],"Equipamento",tabLimpGeral[VALOR UNITÁRIO P/ HORA (R$)])*150,
IF(ISNUMBER(SEARCH("AUXILIAR DE LIMPEZA - 220 H",tabParametros[[#This Row],[Função]],1)),
SUMIF(tabLimpGeral[TIPO],"Equipamento",tabLimpGeral[VALOR UNITÁRIO P/ HORA (R$)])*220,
IF(ISNUMBER(SEARCH("AUXILIAR DE LIMPEZA - 12 x 36",tabParametros[[#This Row],[Função]],1)),
SUMIF(tabLimpGeral[TIPO],"Equipamento",tabLimpGeral[VALOR UNITÁRIO P/ HORA (R$)])*220,
IF(ISNUMBER(SEARCH("Limpador de vidros - 220 h",tabParametros[[#This Row],[Função]],1)),
SUMIF(tabVidros[TIPO],"Equipamento",tabVidros[VALOR UNITÁRIO P/ POSTO (R$)]),
0))))))</f>
        <v>32.264696957412788</v>
      </c>
      <c r="BA56" s="281">
        <f>IF(ISNUMBER(SEARCH("AUXILIAR DE LIMPEZA - 75 H",tabParametros[[#This Row],[Função]],1)),
SUMIF(tabLimpGeral[TIPO],"Produto",tabLimpGeral[VALOR UNITÁRIO P/ HORA (R$)])*75,
IF(ISNUMBER(SEARCH("AUXILIAR DE LIMPEZA - 110 H",tabParametros[[#This Row],[Função]],1)),
SUMIF(tabLimpGeral[TIPO],"Produto",tabLimpGeral[VALOR UNITÁRIO P/ HORA (R$)])*110,
IF(ISNUMBER(SEARCH("AUXILIAR DE LIMPEZA - 150 H",tabParametros[[#This Row],[Função]],1)),
SUMIF(tabLimpGeral[TIPO],"Produto",tabLimpGeral[VALOR UNITÁRIO P/ HORA (R$)])*150,
IF(ISNUMBER(SEARCH("AUXILIAR DE LIMPEZA - 220 H",tabParametros[[#This Row],[Função]],1)),
SUMIF(tabLimpGeral[TIPO],"Produto",tabLimpGeral[VALOR UNITÁRIO P/ HORA (R$)])*220,
IF(ISNUMBER(SEARCH("AUXILIAR DE LIMPEZA - 12 x 36",tabParametros[[#This Row],[Função]],1)),
SUMIF(tabLimpGeral[TIPO],"Produto",tabLimpGeral[VALOR UNITÁRIO P/ HORA (R$)])*220,
IF(ISNUMBER(SEARCH("Limpador de vidros - 220 h",tabParametros[[#This Row],[Função]],1)),
SUMIF(tabVidros[TIPO],"Produto",tabVidros[VALOR UNITÁRIO P/ POSTO (R$)]),
0))))))</f>
        <v>345.13576638965827</v>
      </c>
      <c r="BB56" s="281">
        <v>0</v>
      </c>
      <c r="BC56" s="236">
        <f>VLOOKUP(tabParametros[[#Headers],[Custos Indiretos]],tabOutrosCustos[],3,0)</f>
        <v>189.64880140242613</v>
      </c>
      <c r="BD56" s="236">
        <f>VLOOKUP(tabParametros[[#Headers],[Lucro]],tabOutrosCustos[],3,0)</f>
        <v>159.30499317803796</v>
      </c>
      <c r="BE56" s="235">
        <f>VLOOKUP(tabParametros[[#Headers],[COFINS]],tabImpostosNacionais[],2,0)</f>
        <v>7.5999999999999998E-2</v>
      </c>
      <c r="BF56" s="235">
        <f>VLOOKUP(tabParametros[[#Headers],[PIS]],tabImpostosNacionais[],2,0)</f>
        <v>1.6500000000000001E-2</v>
      </c>
      <c r="BG56" s="235">
        <f>VLOOKUP(tabParametros[[#This Row],[Comarca]],tabComarca[],4,0)</f>
        <v>0.02</v>
      </c>
      <c r="BH56" s="238">
        <f>IFERROR(VLOOKUP(tabParametros[[#This Row],[CCT DA CATEGORIA]],tabSindicatos[],11,0),"")</f>
        <v>45658</v>
      </c>
      <c r="BI56" s="289" t="str">
        <f>IFERROR(VLOOKUP(tabParametros[[#This Row],[CCT DA CATEGORIA]],tabSindicatos[],12,0),"")</f>
        <v>-</v>
      </c>
      <c r="BJ56" s="293" t="str">
        <f>IFERROR(VLOOKUP(tabParametros[[#This Row],[CCT DA CATEGORIA]],tabSindicatos[],13,0),"")</f>
        <v>-</v>
      </c>
    </row>
    <row r="57" spans="1:62" x14ac:dyDescent="0.25">
      <c r="A57" s="233" t="s">
        <v>1397</v>
      </c>
      <c r="B57" s="198" t="s">
        <v>55</v>
      </c>
      <c r="C57" s="198" t="s">
        <v>1247</v>
      </c>
      <c r="D57" s="198" t="str">
        <f>VLOOKUP(tabParametros[[#This Row],[Código do Posto]],tabPostos[],4,0)</f>
        <v>Alto Paranaiba</v>
      </c>
      <c r="E57" s="289" t="str">
        <f>VLOOKUP(tabParametros[[#This Row],[Código do Posto]],tabPostos[],5,0)</f>
        <v>Limpeza</v>
      </c>
      <c r="F57" s="289" t="str">
        <f>VLOOKUP(tabParametros[[#This Row],[Código do Posto]],tabPostos[],6,0)</f>
        <v>PGJ</v>
      </c>
      <c r="G57" s="289">
        <f>VLOOKUP(tabParametros[[#This Row],[Código do Posto]],tabPostos[],7,0)</f>
        <v>1</v>
      </c>
      <c r="H57" s="289">
        <f>VLOOKUP(tabParametros[[#This Row],[Código do Posto]],tabPostos[],8,0)</f>
        <v>0</v>
      </c>
      <c r="I57" s="234">
        <f>VLOOKUP(tabParametros[[#This Row],[Código do Posto]],tabPostos[],9,0)</f>
        <v>544.17999999999995</v>
      </c>
      <c r="J57" s="234">
        <f>IF(ISNUMBER(SEARCH("Eletricista",tabParametros[[#This Row],[Função]],1)),0.3*tabParametros[[#This Row],[Salário Base]],0)</f>
        <v>0</v>
      </c>
      <c r="K57" s="234">
        <f>IF(OR(ISNUMBER(SEARCH("Bombeiro Hidraulico",tabParametros[[#This Row],[Função]],1)),ISNUMBER(SEARCH("Jardineiro",tabParametros[[#This Row],[Função]],1)),ISNUMBER(SEARCH("Lavador de Veiculos",tabParametros[[#This Row],[Função]],1)),ISNUMBER(SEARCH("Marceneiro",tabParametros[[#This Row],[Função]],1)),ISNUMBER(SEARCH("Pintor",tabParametros[[#This Row],[Função]],1))),0.2*'BASE GERAL'!$R$4,0)</f>
        <v>0</v>
      </c>
      <c r="L57" s="234">
        <f>IF(AND(ISNUMBER(SEARCH("Noturno",tabParametros[[#This Row],[Função]],1)),tabParametros[[#This Row],[Comarca]]&lt;&gt;"Juiz de Fora"),tabParametros[[#This Row],[Salário Base]]/210*0.39*7*15.5,IF(ISNUMBER(SEARCH("Noturno",tabParametros[[#This Row],[Função]],1)),tabParametros[[#This Row],[Salário Base]]/210*0.2*8*15.5,0))</f>
        <v>0</v>
      </c>
      <c r="M57" s="234">
        <f>IF(ISNUMBER(SEARCH("Motorista II",tabParametros[[#This Row],[Função]],1)),0.25*tabParametros[[#This Row],[Salário Base]],0)</f>
        <v>0</v>
      </c>
      <c r="N57" s="250">
        <v>0</v>
      </c>
      <c r="O57" s="234">
        <f>IF(ISNUMBER(SEARCH("TECNOLOGIA DA INFORMACAO",tabParametros[[#This Row],[Função]],1)),0.0201*tabParametros[[#This Row],[Salário Base]],0)</f>
        <v>0</v>
      </c>
      <c r="P57" s="250" cm="1">
        <f t="array" ref="P57">_xlfn.IFS(
ISNUMBER(SEARCH("Auxiliar de Limpeza - 75 h",tabParametros[[#This Row],[Função]],1)),tabParametros[[#This Row],[Salário Base]]/75*0.75*30*0.12,
ISNUMBER(SEARCH("Auxiliar de Limpeza - 110 h",tabParametros[[#This Row],[Função]],1)),tabParametros[[#This Row],[Salário Base]]/110*1*30*0.12,
ISNUMBER(SEARCH("Auxiliar de Limpeza - 150 h",tabParametros[[#This Row],[Função]],1)),tabParametros[[#This Row],[Salário Base]]/150*1.5*30*0.12,
ISNUMBER(SEARCH("Auxiliar de Limpeza - 220 h",tabParametros[[#This Row],[Função]],1)),tabParametros[[#This Row],[Salário Base]]/220*2*30*0.12,
ISNUMBER(SEARCH("Auxiliar de Limpeza - 12 x 36",tabParametros[[#This Row],[Função]],1)),tabParametros[[#This Row],[Salário Base]]/220*2*30*0.12,
ISNUMBER(SEARCH("Auxiliar de Limpeza - 55 h",tabParametros[[#This Row],[Função]],1))=FALSE,0)</f>
        <v>19.590479999999999</v>
      </c>
      <c r="Q57" s="235">
        <f>VLOOKUP(tabParametros[[#Headers],[INSS]],tabImpostosNacionais[],2,0)</f>
        <v>0.2</v>
      </c>
      <c r="R57" s="235">
        <f>VLOOKUP(tabParametros[[#Headers],[SESI OU SESC]],tabImpostosNacionais[],2,0)</f>
        <v>1.4999999999999999E-2</v>
      </c>
      <c r="S57" s="235">
        <f>VLOOKUP(tabParametros[[#Headers],[SENAI OU SENAC]],tabImpostosNacionais[],2,0)</f>
        <v>0.01</v>
      </c>
      <c r="T57" s="235">
        <f>VLOOKUP(tabParametros[[#Headers],[INCRA]],tabImpostosNacionais[],2,0)</f>
        <v>2E-3</v>
      </c>
      <c r="U57" s="235">
        <f>VLOOKUP(tabParametros[[#Headers],[Salário Educação]],tabImpostosNacionais[],2,0)</f>
        <v>2.5000000000000001E-2</v>
      </c>
      <c r="V57" s="235">
        <f>VLOOKUP(tabParametros[[#Headers],[FGTS]],tabImpostosNacionais[],2,0)</f>
        <v>0.08</v>
      </c>
      <c r="W57" s="235">
        <f>VLOOKUP(tabParametros[[#Headers],[RAT Ajustado]],tabImpostosNacionais[],2,0)</f>
        <v>0.04</v>
      </c>
      <c r="X57" s="235">
        <f>VLOOKUP(tabParametros[[#Headers],[SEBRAE]],tabImpostosNacionais[],2,0)</f>
        <v>6.0000000000000001E-3</v>
      </c>
      <c r="Y57" s="235">
        <f t="shared" si="0"/>
        <v>8.3333333333333329E-2</v>
      </c>
      <c r="Z57" s="251">
        <f t="shared" si="1"/>
        <v>0.1111111111111111</v>
      </c>
      <c r="AA57" s="234">
        <f>VLOOKUP(tabParametros[[#This Row],[Comarca]],tabComarca[],5,0)</f>
        <v>6.4</v>
      </c>
      <c r="AB57" s="234">
        <f>IFERROR(VLOOKUP(tabParametros[[#This Row],[CCT DA CATEGORIA]],tabSindicatos[],6,0),0)</f>
        <v>0</v>
      </c>
      <c r="AC57" s="234">
        <f>IFERROR(VLOOKUP(tabParametros[[#This Row],[CCT DA CATEGORIA]],tabSindicatos[],7,0),0)</f>
        <v>387.79</v>
      </c>
      <c r="AD57" s="234" cm="1">
        <f t="array" ref="AD57">_xlfn.LET(
_xlpm.COMARCA, TRIM(UPPER(SUBSTITUTE(SUBSTITUTE(SUBSTITUTE(SUBSTITUTE(SUBSTITUTE(SUBSTITUTE(SUBSTITUTE(SUBSTITUTE(SUBSTITUTE(SUBSTITUTE(SUBSTITUTE(SUBSTITUTE(SUBSTITUTE(SUBSTITUTE(SUBSTITUTE(SUBSTITUTE(SUBSTITUTE(SUBSTITUTE(SUBSTITUTE(SUBSTITUTE(SUBSTITUTE(SUBSTITUTE(SUBSTITUTE(SUBSTITUTE(SUBSTITUTE(SUBSTITUTE(tabParametros[[#This Row],[Comarca]],"á","a"),"ã","a"),"â","a"),"é","e"),"ê","e"),"í","i"),"ó","o"),"õ","o"),"ô","o"),"ú","u"),"ç","c"),"Á","a"),"Ã","a"),"Â","a"),"É","e"),"Ê","e"),"Í","i"),"Ó","o"),"Õ","o"),"Ô","o"),"Ú","u"),"Ç","c"),"/MG","")," e ",", ")," ",""),".",""))),
_xlpm.MATRIZ_COMARCA, TRIM(UPPER(SUBSTITUTE(SUBSTITUTE(SUBSTITUTE(SUBSTITUTE(SUBSTITUTE(SUBSTITUTE(SUBSTITUTE(SUBSTITUTE(SUBSTITUTE(SUBSTITUTE(SUBSTITUTE(SUBSTITUTE(SUBSTITUTE(SUBSTITUTE(SUBSTITUTE(SUBSTITUTE(SUBSTITUTE(SUBSTITUTE(SUBSTITUTE(SUBSTITUTE(SUBSTITUTE(SUBSTITUTE(SUBSTITUTE(SUBSTITUTE(SUBSTITUTE(SUBSTITUTE(tabSindicatos[COMARCAS PAF],"á","a"),"ã","a"),"â","a"),"é","e"),"ê","e"),"í","i"),"ó","o"),"õ","o"),"ô","o"),"ú","u"),"ç","c"),"Á","a"),"Ã","a"),"Â","a"),"É","e"),"Ê","e"),"Í","i"),"Ó","o"),"Õ","o"),"Ô","o"),"Ú","u"),"Ç","c"),"/MG","")," e ",", ")," ",""),".",""))),
IFERROR(IF(_xlfn.XLOOKUP(tabParametros[[#This Row],[CCT DA CATEGORIA]],tabSindicatos[SINDICATOS],tabSindicatos[COMARCAS PAF])="",
VLOOKUP(tabParametros[[#This Row],[CCT DA CATEGORIA]],tabSindicatos[],8,0),
IF(ISNUMBER(SEARCH(TRIM(_xlpm.COMARCA),_xlfn.XLOOKUP(tabParametros[[#This Row],[CCT DA CATEGORIA]],tabSindicatos[SINDICATOS],_xlpm.MATRIZ_COMARCA),1)),VLOOKUP(tabParametros[[#This Row],[CCT DA CATEGORIA]],tabSindicatos[],8,0),0)
),0)
)</f>
        <v>42.97</v>
      </c>
      <c r="AE57" s="234">
        <f>IFERROR(VLOOKUP(tabParametros[[#This Row],[CCT DA CATEGORIA]],tabSindicatos[],9,0),0)</f>
        <v>0</v>
      </c>
      <c r="AF57" s="234">
        <f>IFERROR(VLOOKUP(tabParametros[[#This Row],[CCT DA CATEGORIA]],tabSindicatos[],10,0),0)</f>
        <v>0</v>
      </c>
      <c r="AG57" s="236">
        <f>VLOOKUP(tabParametros[[#Headers],[Seguro de Vida]],tabOutrosCustos[],3,0)</f>
        <v>3.36</v>
      </c>
      <c r="AH57" s="236">
        <f>IF(ISNUMBER(SEARCH("MOTORISTA",tabParametros[[#This Row],[Função]],1)),VLOOKUP("MOTORISTAS",tabDiarias[],2,0),IF(tabParametros[[#This Row],[Comarca]]="Belo Horizonte",VLOOKUP("LIMPEZA",tabDiarias[],2,0),0))</f>
        <v>0</v>
      </c>
      <c r="AI57" s="235">
        <f t="shared" si="2"/>
        <v>7.011766975308642E-3</v>
      </c>
      <c r="AJ57" s="237">
        <f>tabParametros[[#This Row],[FGTS]]*tabParametros[[#This Row],[Aviso Prévio Indenizado (API) e Reflexo do Aviso Prévio Indenizado]]</f>
        <v>5.609413580246914E-4</v>
      </c>
      <c r="AK57" s="237">
        <f>tabParametros[[#This Row],[FGTS]]*tabParametros[[#This Row],[Aviso Prévio Indenizado (API) e Reflexo do Aviso Prévio Indenizado]]*40%</f>
        <v>2.2437654320987658E-4</v>
      </c>
      <c r="AL57" s="235">
        <f t="shared" si="3"/>
        <v>3.5000000000000005E-3</v>
      </c>
      <c r="AM57" s="235">
        <f>tabParametros[[#This Row],[Aviso Prévio Trabalhado - APT]]*SUM(tabParametros[[#This Row],[INSS]:[SEBRAE]])</f>
        <v>1.3230000000000004E-3</v>
      </c>
      <c r="AN57" s="235">
        <f t="shared" si="4"/>
        <v>3.0577777777777773E-2</v>
      </c>
      <c r="AO57" s="235">
        <f t="shared" si="5"/>
        <v>8.3333333333333339E-4</v>
      </c>
      <c r="AP57" s="235">
        <f t="shared" si="6"/>
        <v>8.4444444444444437E-3</v>
      </c>
      <c r="AQ57" s="235">
        <f t="shared" si="7"/>
        <v>2.0277777777777777E-3</v>
      </c>
      <c r="AR57" s="235">
        <f t="shared" si="8"/>
        <v>1.7083333333333333E-4</v>
      </c>
      <c r="AS57" s="235">
        <f t="shared" si="9"/>
        <v>2.0833333333333335E-4</v>
      </c>
      <c r="AT57" s="235">
        <f t="shared" si="10"/>
        <v>1.2962962962962963E-3</v>
      </c>
      <c r="AU57" s="237">
        <f>SUM(tabParametros[[#This Row],[Ausência por Doença]:[Férias, Adicional de Férias e 13º  com empregada em gozo de Licença Maternidade]])*SUM(tabParametros[[#This Row],[INSS]:[SEBRAE]])</f>
        <v>4.5918250000000008E-3</v>
      </c>
      <c r="AV57" s="234">
        <f>IF(tabParametros[[#This Row],[Função]]="Porteiro - 220 h",SUM(tabParametros[[#This Row],[Salário Base]:[Adicional de Acúmulo de função]])/220*20*1.5,IF(ISNUMBER(SEARCH("12 x 36",tabParametros[[#This Row],[Função]],1)),SUM(tabParametros[[#This Row],[Salário Base]:[Adicional de Acúmulo de função]])/210*15.5*1.5,0))</f>
        <v>0</v>
      </c>
      <c r="AW57" s="234">
        <f>IF(tabParametros[[#This Row],[Vagas contratadas]]&gt;0,(SUM(tabParametros[[#This Row],[Salário Base]:[Adicional de Acúmulo de função]])*30%+SUM(tabParametros[[#This Row],[Vale - Alimentação]:[Seguro de Vida]]))/tabParametros[[#This Row],[Vagas contratadas]]*tabParametros[[#This Row],[Vagas suspensas]],0)</f>
        <v>0</v>
      </c>
      <c r="AX57" s="234">
        <f>SUMIF(tabUniformes[Cargo],tabParametros[[#This Row],[Função]],tabUniformes[Valor unit. Mensal])</f>
        <v>62.806666666666665</v>
      </c>
      <c r="AY57" s="281">
        <f>IF(ISNUMBER(SEARCH("AUXILIAR DE LIMPEZA - 75 H",tabParametros[[#This Row],[Função]],1)),
SUMIF(tabLimpGeral[TIPO],"Material",tabLimpGeral[VALOR UNITÁRIO P/ HORA (R$)])*75,
IF(ISNUMBER(SEARCH("AUXILIAR DE LIMPEZA - 110 H",tabParametros[[#This Row],[Função]],1)),
SUMIF(tabLimpGeral[TIPO],"Material",tabLimpGeral[VALOR UNITÁRIO P/ HORA (R$)])*110,
IF(ISNUMBER(SEARCH("AUXILIAR DE LIMPEZA - 150 H",tabParametros[[#This Row],[Função]],1)),
SUMIF(tabLimpGeral[TIPO],"Material",tabLimpGeral[VALOR UNITÁRIO P/ HORA (R$)])*150,
IF(ISNUMBER(SEARCH("AUXILIAR DE LIMPEZA - 220 H",tabParametros[[#This Row],[Função]],1)),
SUMIF(tabLimpGeral[TIPO],"Material",tabLimpGeral[VALOR UNITÁRIO P/ HORA (R$)])*220,
IF(ISNUMBER(SEARCH("AUXILIAR DE LIMPEZA - 12 x 36",tabParametros[[#This Row],[Função]],1)),
SUMIF(tabLimpGeral[TIPO],"Material",tabLimpGeral[VALOR UNITÁRIO P/ HORA (R$)])*220,
IF(ISNUMBER(SEARCH("Limpador de vidros - 220 h",tabParametros[[#This Row],[Função]],1)),
SUMIF(tabVidros[TIPO],"Material",tabVidros[VALOR UNITÁRIO P/ POSTO (R$)]),
0))))))</f>
        <v>12.108481690426325</v>
      </c>
      <c r="AZ57" s="281">
        <f>IF(ISNUMBER(SEARCH("AUXILIAR DE LIMPEZA - 75 H",tabParametros[[#This Row],[Função]],1)),
SUMIF(tabLimpGeral[TIPO],"Equipamento",tabLimpGeral[VALOR UNITÁRIO P/ HORA (R$)])*75,
IF(ISNUMBER(SEARCH("AUXILIAR DE LIMPEZA - 110 H",tabParametros[[#This Row],[Função]],1)),
SUMIF(tabLimpGeral[TIPO],"Equipamento",tabLimpGeral[VALOR UNITÁRIO P/ HORA (R$)])*110,
IF(ISNUMBER(SEARCH("AUXILIAR DE LIMPEZA - 150 H",tabParametros[[#This Row],[Função]],1)),
SUMIF(tabLimpGeral[TIPO],"Equipamento",tabLimpGeral[VALOR UNITÁRIO P/ HORA (R$)])*150,
IF(ISNUMBER(SEARCH("AUXILIAR DE LIMPEZA - 220 H",tabParametros[[#This Row],[Função]],1)),
SUMIF(tabLimpGeral[TIPO],"Equipamento",tabLimpGeral[VALOR UNITÁRIO P/ HORA (R$)])*220,
IF(ISNUMBER(SEARCH("AUXILIAR DE LIMPEZA - 12 x 36",tabParametros[[#This Row],[Função]],1)),
SUMIF(tabLimpGeral[TIPO],"Equipamento",tabLimpGeral[VALOR UNITÁRIO P/ HORA (R$)])*220,
IF(ISNUMBER(SEARCH("Limpador de vidros - 220 h",tabParametros[[#This Row],[Função]],1)),
SUMIF(tabVidros[TIPO],"Equipamento",tabVidros[VALOR UNITÁRIO P/ POSTO (R$)]),
0))))))</f>
        <v>21.998657016417809</v>
      </c>
      <c r="BA57" s="281">
        <f>IF(ISNUMBER(SEARCH("AUXILIAR DE LIMPEZA - 75 H",tabParametros[[#This Row],[Função]],1)),
SUMIF(tabLimpGeral[TIPO],"Produto",tabLimpGeral[VALOR UNITÁRIO P/ HORA (R$)])*75,
IF(ISNUMBER(SEARCH("AUXILIAR DE LIMPEZA - 110 H",tabParametros[[#This Row],[Função]],1)),
SUMIF(tabLimpGeral[TIPO],"Produto",tabLimpGeral[VALOR UNITÁRIO P/ HORA (R$)])*110,
IF(ISNUMBER(SEARCH("AUXILIAR DE LIMPEZA - 150 H",tabParametros[[#This Row],[Função]],1)),
SUMIF(tabLimpGeral[TIPO],"Produto",tabLimpGeral[VALOR UNITÁRIO P/ HORA (R$)])*150,
IF(ISNUMBER(SEARCH("AUXILIAR DE LIMPEZA - 220 H",tabParametros[[#This Row],[Função]],1)),
SUMIF(tabLimpGeral[TIPO],"Produto",tabLimpGeral[VALOR UNITÁRIO P/ HORA (R$)])*220,
IF(ISNUMBER(SEARCH("AUXILIAR DE LIMPEZA - 12 x 36",tabParametros[[#This Row],[Função]],1)),
SUMIF(tabLimpGeral[TIPO],"Produto",tabLimpGeral[VALOR UNITÁRIO P/ HORA (R$)])*220,
IF(ISNUMBER(SEARCH("Limpador de vidros - 220 h",tabParametros[[#This Row],[Função]],1)),
SUMIF(tabVidros[TIPO],"Produto",tabVidros[VALOR UNITÁRIO P/ POSTO (R$)]),
0))))))</f>
        <v>235.31984072022155</v>
      </c>
      <c r="BB57" s="281">
        <v>0</v>
      </c>
      <c r="BC57" s="236">
        <f>VLOOKUP(tabParametros[[#Headers],[Custos Indiretos]],tabOutrosCustos[],3,0)</f>
        <v>189.64880140242613</v>
      </c>
      <c r="BD57" s="236">
        <f>VLOOKUP(tabParametros[[#Headers],[Lucro]],tabOutrosCustos[],3,0)</f>
        <v>159.30499317803796</v>
      </c>
      <c r="BE57" s="235">
        <f>VLOOKUP(tabParametros[[#Headers],[COFINS]],tabImpostosNacionais[],2,0)</f>
        <v>7.5999999999999998E-2</v>
      </c>
      <c r="BF57" s="235">
        <f>VLOOKUP(tabParametros[[#Headers],[PIS]],tabImpostosNacionais[],2,0)</f>
        <v>1.6500000000000001E-2</v>
      </c>
      <c r="BG57" s="235">
        <f>VLOOKUP(tabParametros[[#This Row],[Comarca]],tabComarca[],4,0)</f>
        <v>0.05</v>
      </c>
      <c r="BH57" s="238">
        <f>IFERROR(VLOOKUP(tabParametros[[#This Row],[CCT DA CATEGORIA]],tabSindicatos[],11,0),"")</f>
        <v>45658</v>
      </c>
      <c r="BI57" s="289" t="str">
        <f>IFERROR(VLOOKUP(tabParametros[[#This Row],[CCT DA CATEGORIA]],tabSindicatos[],12,0),"")</f>
        <v>-</v>
      </c>
      <c r="BJ57" s="293" t="str">
        <f>IFERROR(VLOOKUP(tabParametros[[#This Row],[CCT DA CATEGORIA]],tabSindicatos[],13,0),"")</f>
        <v>-</v>
      </c>
    </row>
    <row r="58" spans="1:62" x14ac:dyDescent="0.25">
      <c r="A58" s="233" t="s">
        <v>1398</v>
      </c>
      <c r="B58" s="198" t="s">
        <v>56</v>
      </c>
      <c r="C58" s="198" t="s">
        <v>1246</v>
      </c>
      <c r="D58" s="198" t="str">
        <f>VLOOKUP(tabParametros[[#This Row],[Código do Posto]],tabPostos[],4,0)</f>
        <v>Regiao de Sao Lourenco</v>
      </c>
      <c r="E58" s="289" t="str">
        <f>VLOOKUP(tabParametros[[#This Row],[Código do Posto]],tabPostos[],5,0)</f>
        <v>Limpeza</v>
      </c>
      <c r="F58" s="289" t="str">
        <f>VLOOKUP(tabParametros[[#This Row],[Código do Posto]],tabPostos[],6,0)</f>
        <v>PGJ</v>
      </c>
      <c r="G58" s="289">
        <f>VLOOKUP(tabParametros[[#This Row],[Código do Posto]],tabPostos[],7,0)</f>
        <v>1</v>
      </c>
      <c r="H58" s="289">
        <f>VLOOKUP(tabParametros[[#This Row],[Código do Posto]],tabPostos[],8,0)</f>
        <v>0</v>
      </c>
      <c r="I58" s="234">
        <f>VLOOKUP(tabParametros[[#This Row],[Código do Posto]],tabPostos[],9,0)</f>
        <v>1088.3699999999999</v>
      </c>
      <c r="J58" s="234">
        <f>IF(ISNUMBER(SEARCH("Eletricista",tabParametros[[#This Row],[Função]],1)),0.3*tabParametros[[#This Row],[Salário Base]],0)</f>
        <v>0</v>
      </c>
      <c r="K58" s="234">
        <f>IF(OR(ISNUMBER(SEARCH("Bombeiro Hidraulico",tabParametros[[#This Row],[Função]],1)),ISNUMBER(SEARCH("Jardineiro",tabParametros[[#This Row],[Função]],1)),ISNUMBER(SEARCH("Lavador de Veiculos",tabParametros[[#This Row],[Função]],1)),ISNUMBER(SEARCH("Marceneiro",tabParametros[[#This Row],[Função]],1)),ISNUMBER(SEARCH("Pintor",tabParametros[[#This Row],[Função]],1))),0.2*'BASE GERAL'!$R$4,0)</f>
        <v>0</v>
      </c>
      <c r="L58" s="234">
        <f>IF(AND(ISNUMBER(SEARCH("Noturno",tabParametros[[#This Row],[Função]],1)),tabParametros[[#This Row],[Comarca]]&lt;&gt;"Juiz de Fora"),tabParametros[[#This Row],[Salário Base]]/210*0.39*7*15.5,IF(ISNUMBER(SEARCH("Noturno",tabParametros[[#This Row],[Função]],1)),tabParametros[[#This Row],[Salário Base]]/210*0.2*8*15.5,0))</f>
        <v>0</v>
      </c>
      <c r="M58" s="234">
        <f>IF(ISNUMBER(SEARCH("Motorista II",tabParametros[[#This Row],[Função]],1)),0.25*tabParametros[[#This Row],[Salário Base]],0)</f>
        <v>0</v>
      </c>
      <c r="N58" s="250">
        <v>0</v>
      </c>
      <c r="O58" s="234">
        <f>IF(ISNUMBER(SEARCH("TECNOLOGIA DA INFORMACAO",tabParametros[[#This Row],[Função]],1)),0.0201*tabParametros[[#This Row],[Salário Base]],0)</f>
        <v>0</v>
      </c>
      <c r="P58" s="250" cm="1">
        <f t="array" ref="P58">_xlfn.IFS(
ISNUMBER(SEARCH("Auxiliar de Limpeza - 75 h",tabParametros[[#This Row],[Função]],1)),tabParametros[[#This Row],[Salário Base]]/75*0.75*30*0.12,
ISNUMBER(SEARCH("Auxiliar de Limpeza - 110 h",tabParametros[[#This Row],[Função]],1)),tabParametros[[#This Row],[Salário Base]]/110*1*30*0.12,
ISNUMBER(SEARCH("Auxiliar de Limpeza - 150 h",tabParametros[[#This Row],[Função]],1)),tabParametros[[#This Row],[Salário Base]]/150*1.5*30*0.12,
ISNUMBER(SEARCH("Auxiliar de Limpeza - 220 h",tabParametros[[#This Row],[Função]],1)),tabParametros[[#This Row],[Salário Base]]/220*2*30*0.12,
ISNUMBER(SEARCH("Auxiliar de Limpeza - 12 x 36",tabParametros[[#This Row],[Função]],1)),tabParametros[[#This Row],[Salário Base]]/220*2*30*0.12,
ISNUMBER(SEARCH("Auxiliar de Limpeza - 55 h",tabParametros[[#This Row],[Função]],1))=FALSE,0)</f>
        <v>39.181319999999985</v>
      </c>
      <c r="Q58" s="235">
        <f>VLOOKUP(tabParametros[[#Headers],[INSS]],tabImpostosNacionais[],2,0)</f>
        <v>0.2</v>
      </c>
      <c r="R58" s="235">
        <f>VLOOKUP(tabParametros[[#Headers],[SESI OU SESC]],tabImpostosNacionais[],2,0)</f>
        <v>1.4999999999999999E-2</v>
      </c>
      <c r="S58" s="235">
        <f>VLOOKUP(tabParametros[[#Headers],[SENAI OU SENAC]],tabImpostosNacionais[],2,0)</f>
        <v>0.01</v>
      </c>
      <c r="T58" s="235">
        <f>VLOOKUP(tabParametros[[#Headers],[INCRA]],tabImpostosNacionais[],2,0)</f>
        <v>2E-3</v>
      </c>
      <c r="U58" s="235">
        <f>VLOOKUP(tabParametros[[#Headers],[Salário Educação]],tabImpostosNacionais[],2,0)</f>
        <v>2.5000000000000001E-2</v>
      </c>
      <c r="V58" s="235">
        <f>VLOOKUP(tabParametros[[#Headers],[FGTS]],tabImpostosNacionais[],2,0)</f>
        <v>0.08</v>
      </c>
      <c r="W58" s="235">
        <f>VLOOKUP(tabParametros[[#Headers],[RAT Ajustado]],tabImpostosNacionais[],2,0)</f>
        <v>0.04</v>
      </c>
      <c r="X58" s="235">
        <f>VLOOKUP(tabParametros[[#Headers],[SEBRAE]],tabImpostosNacionais[],2,0)</f>
        <v>6.0000000000000001E-3</v>
      </c>
      <c r="Y58" s="235">
        <f t="shared" si="0"/>
        <v>8.3333333333333329E-2</v>
      </c>
      <c r="Z58" s="251">
        <f t="shared" si="1"/>
        <v>0.1111111111111111</v>
      </c>
      <c r="AA58" s="234">
        <f>VLOOKUP(tabParametros[[#This Row],[Comarca]],tabComarca[],5,0)</f>
        <v>6.4</v>
      </c>
      <c r="AB58" s="234">
        <f>IFERROR(VLOOKUP(tabParametros[[#This Row],[CCT DA CATEGORIA]],tabSindicatos[],6,0),0)</f>
        <v>29.15</v>
      </c>
      <c r="AC58" s="234">
        <f>IFERROR(VLOOKUP(tabParametros[[#This Row],[CCT DA CATEGORIA]],tabSindicatos[],7,0),0)</f>
        <v>0</v>
      </c>
      <c r="AD58" s="234" cm="1">
        <f t="array" ref="AD58">_xlfn.LET(
_xlpm.COMARCA, TRIM(UPPER(SUBSTITUTE(SUBSTITUTE(SUBSTITUTE(SUBSTITUTE(SUBSTITUTE(SUBSTITUTE(SUBSTITUTE(SUBSTITUTE(SUBSTITUTE(SUBSTITUTE(SUBSTITUTE(SUBSTITUTE(SUBSTITUTE(SUBSTITUTE(SUBSTITUTE(SUBSTITUTE(SUBSTITUTE(SUBSTITUTE(SUBSTITUTE(SUBSTITUTE(SUBSTITUTE(SUBSTITUTE(SUBSTITUTE(SUBSTITUTE(SUBSTITUTE(SUBSTITUTE(tabParametros[[#This Row],[Comarca]],"á","a"),"ã","a"),"â","a"),"é","e"),"ê","e"),"í","i"),"ó","o"),"õ","o"),"ô","o"),"ú","u"),"ç","c"),"Á","a"),"Ã","a"),"Â","a"),"É","e"),"Ê","e"),"Í","i"),"Ó","o"),"Õ","o"),"Ô","o"),"Ú","u"),"Ç","c"),"/MG","")," e ",", ")," ",""),".",""))),
_xlpm.MATRIZ_COMARCA, TRIM(UPPER(SUBSTITUTE(SUBSTITUTE(SUBSTITUTE(SUBSTITUTE(SUBSTITUTE(SUBSTITUTE(SUBSTITUTE(SUBSTITUTE(SUBSTITUTE(SUBSTITUTE(SUBSTITUTE(SUBSTITUTE(SUBSTITUTE(SUBSTITUTE(SUBSTITUTE(SUBSTITUTE(SUBSTITUTE(SUBSTITUTE(SUBSTITUTE(SUBSTITUTE(SUBSTITUTE(SUBSTITUTE(SUBSTITUTE(SUBSTITUTE(SUBSTITUTE(SUBSTITUTE(tabSindicatos[COMARCAS PAF],"á","a"),"ã","a"),"â","a"),"é","e"),"ê","e"),"í","i"),"ó","o"),"õ","o"),"ô","o"),"ú","u"),"ç","c"),"Á","a"),"Ã","a"),"Â","a"),"É","e"),"Ê","e"),"Í","i"),"Ó","o"),"Õ","o"),"Ô","o"),"Ú","u"),"Ç","c"),"/MG","")," e ",", ")," ",""),".",""))),
IFERROR(IF(_xlfn.XLOOKUP(tabParametros[[#This Row],[CCT DA CATEGORIA]],tabSindicatos[SINDICATOS],tabSindicatos[COMARCAS PAF])="",
VLOOKUP(tabParametros[[#This Row],[CCT DA CATEGORIA]],tabSindicatos[],8,0),
IF(ISNUMBER(SEARCH(TRIM(_xlpm.COMARCA),_xlfn.XLOOKUP(tabParametros[[#This Row],[CCT DA CATEGORIA]],tabSindicatos[SINDICATOS],_xlpm.MATRIZ_COMARCA),1)),VLOOKUP(tabParametros[[#This Row],[CCT DA CATEGORIA]],tabSindicatos[],8,0),0)
),0)
)</f>
        <v>0</v>
      </c>
      <c r="AE58" s="234">
        <f>IFERROR(VLOOKUP(tabParametros[[#This Row],[CCT DA CATEGORIA]],tabSindicatos[],9,0),0)</f>
        <v>0</v>
      </c>
      <c r="AF58" s="234">
        <f>IFERROR(VLOOKUP(tabParametros[[#This Row],[CCT DA CATEGORIA]],tabSindicatos[],10,0),0)</f>
        <v>0</v>
      </c>
      <c r="AG58" s="236">
        <f>VLOOKUP(tabParametros[[#Headers],[Seguro de Vida]],tabOutrosCustos[],3,0)</f>
        <v>3.36</v>
      </c>
      <c r="AH58" s="236">
        <f>IF(ISNUMBER(SEARCH("MOTORISTA",tabParametros[[#This Row],[Função]],1)),VLOOKUP("MOTORISTAS",tabDiarias[],2,0),IF(tabParametros[[#This Row],[Comarca]]="Belo Horizonte",VLOOKUP("LIMPEZA",tabDiarias[],2,0),0))</f>
        <v>0</v>
      </c>
      <c r="AI58" s="235">
        <f t="shared" si="2"/>
        <v>7.011766975308642E-3</v>
      </c>
      <c r="AJ58" s="237">
        <f>tabParametros[[#This Row],[FGTS]]*tabParametros[[#This Row],[Aviso Prévio Indenizado (API) e Reflexo do Aviso Prévio Indenizado]]</f>
        <v>5.609413580246914E-4</v>
      </c>
      <c r="AK58" s="237">
        <f>tabParametros[[#This Row],[FGTS]]*tabParametros[[#This Row],[Aviso Prévio Indenizado (API) e Reflexo do Aviso Prévio Indenizado]]*40%</f>
        <v>2.2437654320987658E-4</v>
      </c>
      <c r="AL58" s="235">
        <f t="shared" si="3"/>
        <v>3.5000000000000005E-3</v>
      </c>
      <c r="AM58" s="235">
        <f>tabParametros[[#This Row],[Aviso Prévio Trabalhado - APT]]*SUM(tabParametros[[#This Row],[INSS]:[SEBRAE]])</f>
        <v>1.3230000000000004E-3</v>
      </c>
      <c r="AN58" s="235">
        <f t="shared" si="4"/>
        <v>3.0577777777777773E-2</v>
      </c>
      <c r="AO58" s="235">
        <f t="shared" si="5"/>
        <v>8.3333333333333339E-4</v>
      </c>
      <c r="AP58" s="235">
        <f t="shared" si="6"/>
        <v>8.4444444444444437E-3</v>
      </c>
      <c r="AQ58" s="235">
        <f t="shared" si="7"/>
        <v>2.0277777777777777E-3</v>
      </c>
      <c r="AR58" s="235">
        <f t="shared" si="8"/>
        <v>1.7083333333333333E-4</v>
      </c>
      <c r="AS58" s="235">
        <f t="shared" si="9"/>
        <v>2.0833333333333335E-4</v>
      </c>
      <c r="AT58" s="235">
        <f t="shared" si="10"/>
        <v>1.2962962962962963E-3</v>
      </c>
      <c r="AU58" s="237">
        <f>SUM(tabParametros[[#This Row],[Ausência por Doença]:[Férias, Adicional de Férias e 13º  com empregada em gozo de Licença Maternidade]])*SUM(tabParametros[[#This Row],[INSS]:[SEBRAE]])</f>
        <v>4.5918250000000008E-3</v>
      </c>
      <c r="AV58" s="234">
        <f>IF(tabParametros[[#This Row],[Função]]="Porteiro - 220 h",SUM(tabParametros[[#This Row],[Salário Base]:[Adicional de Acúmulo de função]])/220*20*1.5,IF(ISNUMBER(SEARCH("12 x 36",tabParametros[[#This Row],[Função]],1)),SUM(tabParametros[[#This Row],[Salário Base]:[Adicional de Acúmulo de função]])/210*15.5*1.5,0))</f>
        <v>0</v>
      </c>
      <c r="AW58" s="234">
        <f>IF(tabParametros[[#This Row],[Vagas contratadas]]&gt;0,(SUM(tabParametros[[#This Row],[Salário Base]:[Adicional de Acúmulo de função]])*30%+SUM(tabParametros[[#This Row],[Vale - Alimentação]:[Seguro de Vida]]))/tabParametros[[#This Row],[Vagas contratadas]]*tabParametros[[#This Row],[Vagas suspensas]],0)</f>
        <v>0</v>
      </c>
      <c r="AX58" s="234">
        <f>SUMIF(tabUniformes[Cargo],tabParametros[[#This Row],[Função]],tabUniformes[Valor unit. Mensal])</f>
        <v>100.80916666666666</v>
      </c>
      <c r="AY58" s="281">
        <f>IF(ISNUMBER(SEARCH("AUXILIAR DE LIMPEZA - 75 H",tabParametros[[#This Row],[Função]],1)),
SUMIF(tabLimpGeral[TIPO],"Material",tabLimpGeral[VALOR UNITÁRIO P/ HORA (R$)])*75,
IF(ISNUMBER(SEARCH("AUXILIAR DE LIMPEZA - 110 H",tabParametros[[#This Row],[Função]],1)),
SUMIF(tabLimpGeral[TIPO],"Material",tabLimpGeral[VALOR UNITÁRIO P/ HORA (R$)])*110,
IF(ISNUMBER(SEARCH("AUXILIAR DE LIMPEZA - 150 H",tabParametros[[#This Row],[Função]],1)),
SUMIF(tabLimpGeral[TIPO],"Material",tabLimpGeral[VALOR UNITÁRIO P/ HORA (R$)])*150,
IF(ISNUMBER(SEARCH("AUXILIAR DE LIMPEZA - 220 H",tabParametros[[#This Row],[Função]],1)),
SUMIF(tabLimpGeral[TIPO],"Material",tabLimpGeral[VALOR UNITÁRIO P/ HORA (R$)])*220,
IF(ISNUMBER(SEARCH("AUXILIAR DE LIMPEZA - 12 x 36",tabParametros[[#This Row],[Função]],1)),
SUMIF(tabLimpGeral[TIPO],"Material",tabLimpGeral[VALOR UNITÁRIO P/ HORA (R$)])*220,
IF(ISNUMBER(SEARCH("Limpador de vidros - 220 h",tabParametros[[#This Row],[Função]],1)),
SUMIF(tabVidros[TIPO],"Material",tabVidros[VALOR UNITÁRIO P/ POSTO (R$)]),
0))))))</f>
        <v>24.216963380852651</v>
      </c>
      <c r="AZ58" s="281">
        <f>IF(ISNUMBER(SEARCH("AUXILIAR DE LIMPEZA - 75 H",tabParametros[[#This Row],[Função]],1)),
SUMIF(tabLimpGeral[TIPO],"Equipamento",tabLimpGeral[VALOR UNITÁRIO P/ HORA (R$)])*75,
IF(ISNUMBER(SEARCH("AUXILIAR DE LIMPEZA - 110 H",tabParametros[[#This Row],[Função]],1)),
SUMIF(tabLimpGeral[TIPO],"Equipamento",tabLimpGeral[VALOR UNITÁRIO P/ HORA (R$)])*110,
IF(ISNUMBER(SEARCH("AUXILIAR DE LIMPEZA - 150 H",tabParametros[[#This Row],[Função]],1)),
SUMIF(tabLimpGeral[TIPO],"Equipamento",tabLimpGeral[VALOR UNITÁRIO P/ HORA (R$)])*150,
IF(ISNUMBER(SEARCH("AUXILIAR DE LIMPEZA - 220 H",tabParametros[[#This Row],[Função]],1)),
SUMIF(tabLimpGeral[TIPO],"Equipamento",tabLimpGeral[VALOR UNITÁRIO P/ HORA (R$)])*220,
IF(ISNUMBER(SEARCH("AUXILIAR DE LIMPEZA - 12 x 36",tabParametros[[#This Row],[Função]],1)),
SUMIF(tabLimpGeral[TIPO],"Equipamento",tabLimpGeral[VALOR UNITÁRIO P/ HORA (R$)])*220,
IF(ISNUMBER(SEARCH("Limpador de vidros - 220 h",tabParametros[[#This Row],[Função]],1)),
SUMIF(tabVidros[TIPO],"Equipamento",tabVidros[VALOR UNITÁRIO P/ POSTO (R$)]),
0))))))</f>
        <v>43.997314032835618</v>
      </c>
      <c r="BA58" s="281">
        <f>IF(ISNUMBER(SEARCH("AUXILIAR DE LIMPEZA - 75 H",tabParametros[[#This Row],[Função]],1)),
SUMIF(tabLimpGeral[TIPO],"Produto",tabLimpGeral[VALOR UNITÁRIO P/ HORA (R$)])*75,
IF(ISNUMBER(SEARCH("AUXILIAR DE LIMPEZA - 110 H",tabParametros[[#This Row],[Função]],1)),
SUMIF(tabLimpGeral[TIPO],"Produto",tabLimpGeral[VALOR UNITÁRIO P/ HORA (R$)])*110,
IF(ISNUMBER(SEARCH("AUXILIAR DE LIMPEZA - 150 H",tabParametros[[#This Row],[Função]],1)),
SUMIF(tabLimpGeral[TIPO],"Produto",tabLimpGeral[VALOR UNITÁRIO P/ HORA (R$)])*150,
IF(ISNUMBER(SEARCH("AUXILIAR DE LIMPEZA - 220 H",tabParametros[[#This Row],[Função]],1)),
SUMIF(tabLimpGeral[TIPO],"Produto",tabLimpGeral[VALOR UNITÁRIO P/ HORA (R$)])*220,
IF(ISNUMBER(SEARCH("AUXILIAR DE LIMPEZA - 12 x 36",tabParametros[[#This Row],[Função]],1)),
SUMIF(tabLimpGeral[TIPO],"Produto",tabLimpGeral[VALOR UNITÁRIO P/ HORA (R$)])*220,
IF(ISNUMBER(SEARCH("Limpador de vidros - 220 h",tabParametros[[#This Row],[Função]],1)),
SUMIF(tabVidros[TIPO],"Produto",tabVidros[VALOR UNITÁRIO P/ POSTO (R$)]),
0))))))</f>
        <v>470.6396814404431</v>
      </c>
      <c r="BB58" s="281">
        <v>0</v>
      </c>
      <c r="BC58" s="236">
        <f>VLOOKUP(tabParametros[[#Headers],[Custos Indiretos]],tabOutrosCustos[],3,0)</f>
        <v>189.64880140242613</v>
      </c>
      <c r="BD58" s="236">
        <f>VLOOKUP(tabParametros[[#Headers],[Lucro]],tabOutrosCustos[],3,0)</f>
        <v>159.30499317803796</v>
      </c>
      <c r="BE58" s="235">
        <f>VLOOKUP(tabParametros[[#Headers],[COFINS]],tabImpostosNacionais[],2,0)</f>
        <v>7.5999999999999998E-2</v>
      </c>
      <c r="BF58" s="235">
        <f>VLOOKUP(tabParametros[[#Headers],[PIS]],tabImpostosNacionais[],2,0)</f>
        <v>1.6500000000000001E-2</v>
      </c>
      <c r="BG58" s="235">
        <f>VLOOKUP(tabParametros[[#This Row],[Comarca]],tabComarca[],4,0)</f>
        <v>0.02</v>
      </c>
      <c r="BH58" s="238">
        <f>IFERROR(VLOOKUP(tabParametros[[#This Row],[CCT DA CATEGORIA]],tabSindicatos[],11,0),"")</f>
        <v>45658</v>
      </c>
      <c r="BI58" s="289" t="str">
        <f>IFERROR(VLOOKUP(tabParametros[[#This Row],[CCT DA CATEGORIA]],tabSindicatos[],12,0),"")</f>
        <v>-</v>
      </c>
      <c r="BJ58" s="293" t="str">
        <f>IFERROR(VLOOKUP(tabParametros[[#This Row],[CCT DA CATEGORIA]],tabSindicatos[],13,0),"")</f>
        <v>-</v>
      </c>
    </row>
    <row r="59" spans="1:62" x14ac:dyDescent="0.25">
      <c r="A59" s="233" t="s">
        <v>1399</v>
      </c>
      <c r="B59" s="198" t="s">
        <v>57</v>
      </c>
      <c r="C59" s="198" t="s">
        <v>1244</v>
      </c>
      <c r="D59" s="198" t="str">
        <f>VLOOKUP(tabParametros[[#This Row],[Código do Posto]],tabPostos[],4,0)</f>
        <v>Regiao de Teofilo Otoni</v>
      </c>
      <c r="E59" s="289" t="str">
        <f>VLOOKUP(tabParametros[[#This Row],[Código do Posto]],tabPostos[],5,0)</f>
        <v>Limpeza</v>
      </c>
      <c r="F59" s="289" t="str">
        <f>VLOOKUP(tabParametros[[#This Row],[Código do Posto]],tabPostos[],6,0)</f>
        <v>PGJ</v>
      </c>
      <c r="G59" s="289">
        <f>VLOOKUP(tabParametros[[#This Row],[Código do Posto]],tabPostos[],7,0)</f>
        <v>1</v>
      </c>
      <c r="H59" s="289">
        <f>VLOOKUP(tabParametros[[#This Row],[Código do Posto]],tabPostos[],8,0)</f>
        <v>0</v>
      </c>
      <c r="I59" s="234">
        <f>VLOOKUP(tabParametros[[#This Row],[Código do Posto]],tabPostos[],9,0)</f>
        <v>798.14</v>
      </c>
      <c r="J59" s="234">
        <f>IF(ISNUMBER(SEARCH("Eletricista",tabParametros[[#This Row],[Função]],1)),0.3*tabParametros[[#This Row],[Salário Base]],0)</f>
        <v>0</v>
      </c>
      <c r="K59" s="234">
        <f>IF(OR(ISNUMBER(SEARCH("Bombeiro Hidraulico",tabParametros[[#This Row],[Função]],1)),ISNUMBER(SEARCH("Jardineiro",tabParametros[[#This Row],[Função]],1)),ISNUMBER(SEARCH("Lavador de Veiculos",tabParametros[[#This Row],[Função]],1)),ISNUMBER(SEARCH("Marceneiro",tabParametros[[#This Row],[Função]],1)),ISNUMBER(SEARCH("Pintor",tabParametros[[#This Row],[Função]],1))),0.2*'BASE GERAL'!$R$4,0)</f>
        <v>0</v>
      </c>
      <c r="L59" s="234">
        <f>IF(AND(ISNUMBER(SEARCH("Noturno",tabParametros[[#This Row],[Função]],1)),tabParametros[[#This Row],[Comarca]]&lt;&gt;"Juiz de Fora"),tabParametros[[#This Row],[Salário Base]]/210*0.39*7*15.5,IF(ISNUMBER(SEARCH("Noturno",tabParametros[[#This Row],[Função]],1)),tabParametros[[#This Row],[Salário Base]]/210*0.2*8*15.5,0))</f>
        <v>0</v>
      </c>
      <c r="M59" s="234">
        <f>IF(ISNUMBER(SEARCH("Motorista II",tabParametros[[#This Row],[Função]],1)),0.25*tabParametros[[#This Row],[Salário Base]],0)</f>
        <v>0</v>
      </c>
      <c r="N59" s="250">
        <v>0</v>
      </c>
      <c r="O59" s="234">
        <f>IF(ISNUMBER(SEARCH("TECNOLOGIA DA INFORMACAO",tabParametros[[#This Row],[Função]],1)),0.0201*tabParametros[[#This Row],[Salário Base]],0)</f>
        <v>0</v>
      </c>
      <c r="P59" s="250" cm="1">
        <f t="array" ref="P59">_xlfn.IFS(
ISNUMBER(SEARCH("Auxiliar de Limpeza - 75 h",tabParametros[[#This Row],[Função]],1)),tabParametros[[#This Row],[Salário Base]]/75*0.75*30*0.12,
ISNUMBER(SEARCH("Auxiliar de Limpeza - 110 h",tabParametros[[#This Row],[Função]],1)),tabParametros[[#This Row],[Salário Base]]/110*1*30*0.12,
ISNUMBER(SEARCH("Auxiliar de Limpeza - 150 h",tabParametros[[#This Row],[Função]],1)),tabParametros[[#This Row],[Salário Base]]/150*1.5*30*0.12,
ISNUMBER(SEARCH("Auxiliar de Limpeza - 220 h",tabParametros[[#This Row],[Função]],1)),tabParametros[[#This Row],[Salário Base]]/220*2*30*0.12,
ISNUMBER(SEARCH("Auxiliar de Limpeza - 12 x 36",tabParametros[[#This Row],[Função]],1)),tabParametros[[#This Row],[Salário Base]]/220*2*30*0.12,
ISNUMBER(SEARCH("Auxiliar de Limpeza - 55 h",tabParametros[[#This Row],[Função]],1))=FALSE,0)</f>
        <v>26.120945454545453</v>
      </c>
      <c r="Q59" s="235">
        <f>VLOOKUP(tabParametros[[#Headers],[INSS]],tabImpostosNacionais[],2,0)</f>
        <v>0.2</v>
      </c>
      <c r="R59" s="235">
        <f>VLOOKUP(tabParametros[[#Headers],[SESI OU SESC]],tabImpostosNacionais[],2,0)</f>
        <v>1.4999999999999999E-2</v>
      </c>
      <c r="S59" s="235">
        <f>VLOOKUP(tabParametros[[#Headers],[SENAI OU SENAC]],tabImpostosNacionais[],2,0)</f>
        <v>0.01</v>
      </c>
      <c r="T59" s="235">
        <f>VLOOKUP(tabParametros[[#Headers],[INCRA]],tabImpostosNacionais[],2,0)</f>
        <v>2E-3</v>
      </c>
      <c r="U59" s="235">
        <f>VLOOKUP(tabParametros[[#Headers],[Salário Educação]],tabImpostosNacionais[],2,0)</f>
        <v>2.5000000000000001E-2</v>
      </c>
      <c r="V59" s="235">
        <f>VLOOKUP(tabParametros[[#Headers],[FGTS]],tabImpostosNacionais[],2,0)</f>
        <v>0.08</v>
      </c>
      <c r="W59" s="235">
        <f>VLOOKUP(tabParametros[[#Headers],[RAT Ajustado]],tabImpostosNacionais[],2,0)</f>
        <v>0.04</v>
      </c>
      <c r="X59" s="235">
        <f>VLOOKUP(tabParametros[[#Headers],[SEBRAE]],tabImpostosNacionais[],2,0)</f>
        <v>6.0000000000000001E-3</v>
      </c>
      <c r="Y59" s="235">
        <f t="shared" si="0"/>
        <v>8.3333333333333329E-2</v>
      </c>
      <c r="Z59" s="251">
        <f t="shared" si="1"/>
        <v>0.1111111111111111</v>
      </c>
      <c r="AA59" s="234">
        <f>VLOOKUP(tabParametros[[#This Row],[Comarca]],tabComarca[],5,0)</f>
        <v>6.4</v>
      </c>
      <c r="AB59" s="234">
        <f>IFERROR(VLOOKUP(tabParametros[[#This Row],[CCT DA CATEGORIA]],tabSindicatos[],6,0),0)</f>
        <v>29.15</v>
      </c>
      <c r="AC59" s="234">
        <f>IFERROR(VLOOKUP(tabParametros[[#This Row],[CCT DA CATEGORIA]],tabSindicatos[],7,0),0)</f>
        <v>0</v>
      </c>
      <c r="AD59" s="234" cm="1">
        <f t="array" ref="AD59">_xlfn.LET(
_xlpm.COMARCA, TRIM(UPPER(SUBSTITUTE(SUBSTITUTE(SUBSTITUTE(SUBSTITUTE(SUBSTITUTE(SUBSTITUTE(SUBSTITUTE(SUBSTITUTE(SUBSTITUTE(SUBSTITUTE(SUBSTITUTE(SUBSTITUTE(SUBSTITUTE(SUBSTITUTE(SUBSTITUTE(SUBSTITUTE(SUBSTITUTE(SUBSTITUTE(SUBSTITUTE(SUBSTITUTE(SUBSTITUTE(SUBSTITUTE(SUBSTITUTE(SUBSTITUTE(SUBSTITUTE(SUBSTITUTE(tabParametros[[#This Row],[Comarca]],"á","a"),"ã","a"),"â","a"),"é","e"),"ê","e"),"í","i"),"ó","o"),"õ","o"),"ô","o"),"ú","u"),"ç","c"),"Á","a"),"Ã","a"),"Â","a"),"É","e"),"Ê","e"),"Í","i"),"Ó","o"),"Õ","o"),"Ô","o"),"Ú","u"),"Ç","c"),"/MG","")," e ",", ")," ",""),".",""))),
_xlpm.MATRIZ_COMARCA, TRIM(UPPER(SUBSTITUTE(SUBSTITUTE(SUBSTITUTE(SUBSTITUTE(SUBSTITUTE(SUBSTITUTE(SUBSTITUTE(SUBSTITUTE(SUBSTITUTE(SUBSTITUTE(SUBSTITUTE(SUBSTITUTE(SUBSTITUTE(SUBSTITUTE(SUBSTITUTE(SUBSTITUTE(SUBSTITUTE(SUBSTITUTE(SUBSTITUTE(SUBSTITUTE(SUBSTITUTE(SUBSTITUTE(SUBSTITUTE(SUBSTITUTE(SUBSTITUTE(SUBSTITUTE(tabSindicatos[COMARCAS PAF],"á","a"),"ã","a"),"â","a"),"é","e"),"ê","e"),"í","i"),"ó","o"),"õ","o"),"ô","o"),"ú","u"),"ç","c"),"Á","a"),"Ã","a"),"Â","a"),"É","e"),"Ê","e"),"Í","i"),"Ó","o"),"Õ","o"),"Ô","o"),"Ú","u"),"Ç","c"),"/MG","")," e ",", ")," ",""),".",""))),
IFERROR(IF(_xlfn.XLOOKUP(tabParametros[[#This Row],[CCT DA CATEGORIA]],tabSindicatos[SINDICATOS],tabSindicatos[COMARCAS PAF])="",
VLOOKUP(tabParametros[[#This Row],[CCT DA CATEGORIA]],tabSindicatos[],8,0),
IF(ISNUMBER(SEARCH(TRIM(_xlpm.COMARCA),_xlfn.XLOOKUP(tabParametros[[#This Row],[CCT DA CATEGORIA]],tabSindicatos[SINDICATOS],_xlpm.MATRIZ_COMARCA),1)),VLOOKUP(tabParametros[[#This Row],[CCT DA CATEGORIA]],tabSindicatos[],8,0),0)
),0)
)</f>
        <v>0</v>
      </c>
      <c r="AE59" s="234">
        <f>IFERROR(VLOOKUP(tabParametros[[#This Row],[CCT DA CATEGORIA]],tabSindicatos[],9,0),0)</f>
        <v>15.07</v>
      </c>
      <c r="AF59" s="234">
        <f>IFERROR(VLOOKUP(tabParametros[[#This Row],[CCT DA CATEGORIA]],tabSindicatos[],10,0),0)</f>
        <v>0</v>
      </c>
      <c r="AG59" s="236">
        <f>VLOOKUP(tabParametros[[#Headers],[Seguro de Vida]],tabOutrosCustos[],3,0)</f>
        <v>3.36</v>
      </c>
      <c r="AH59" s="236">
        <f>IF(ISNUMBER(SEARCH("MOTORISTA",tabParametros[[#This Row],[Função]],1)),VLOOKUP("MOTORISTAS",tabDiarias[],2,0),IF(tabParametros[[#This Row],[Comarca]]="Belo Horizonte",VLOOKUP("LIMPEZA",tabDiarias[],2,0),0))</f>
        <v>0</v>
      </c>
      <c r="AI59" s="235">
        <f t="shared" si="2"/>
        <v>7.011766975308642E-3</v>
      </c>
      <c r="AJ59" s="237">
        <f>tabParametros[[#This Row],[FGTS]]*tabParametros[[#This Row],[Aviso Prévio Indenizado (API) e Reflexo do Aviso Prévio Indenizado]]</f>
        <v>5.609413580246914E-4</v>
      </c>
      <c r="AK59" s="237">
        <f>tabParametros[[#This Row],[FGTS]]*tabParametros[[#This Row],[Aviso Prévio Indenizado (API) e Reflexo do Aviso Prévio Indenizado]]*40%</f>
        <v>2.2437654320987658E-4</v>
      </c>
      <c r="AL59" s="235">
        <f t="shared" si="3"/>
        <v>3.5000000000000005E-3</v>
      </c>
      <c r="AM59" s="235">
        <f>tabParametros[[#This Row],[Aviso Prévio Trabalhado - APT]]*SUM(tabParametros[[#This Row],[INSS]:[SEBRAE]])</f>
        <v>1.3230000000000004E-3</v>
      </c>
      <c r="AN59" s="235">
        <f t="shared" si="4"/>
        <v>3.0577777777777773E-2</v>
      </c>
      <c r="AO59" s="235">
        <f t="shared" si="5"/>
        <v>8.3333333333333339E-4</v>
      </c>
      <c r="AP59" s="235">
        <f t="shared" si="6"/>
        <v>8.4444444444444437E-3</v>
      </c>
      <c r="AQ59" s="235">
        <f t="shared" si="7"/>
        <v>2.0277777777777777E-3</v>
      </c>
      <c r="AR59" s="235">
        <f t="shared" si="8"/>
        <v>1.7083333333333333E-4</v>
      </c>
      <c r="AS59" s="235">
        <f t="shared" si="9"/>
        <v>2.0833333333333335E-4</v>
      </c>
      <c r="AT59" s="235">
        <f t="shared" si="10"/>
        <v>1.2962962962962963E-3</v>
      </c>
      <c r="AU59" s="237">
        <f>SUM(tabParametros[[#This Row],[Ausência por Doença]:[Férias, Adicional de Férias e 13º  com empregada em gozo de Licença Maternidade]])*SUM(tabParametros[[#This Row],[INSS]:[SEBRAE]])</f>
        <v>4.5918250000000008E-3</v>
      </c>
      <c r="AV59" s="234">
        <f>IF(tabParametros[[#This Row],[Função]]="Porteiro - 220 h",SUM(tabParametros[[#This Row],[Salário Base]:[Adicional de Acúmulo de função]])/220*20*1.5,IF(ISNUMBER(SEARCH("12 x 36",tabParametros[[#This Row],[Função]],1)),SUM(tabParametros[[#This Row],[Salário Base]:[Adicional de Acúmulo de função]])/210*15.5*1.5,0))</f>
        <v>0</v>
      </c>
      <c r="AW59" s="234">
        <f>IF(tabParametros[[#This Row],[Vagas contratadas]]&gt;0,(SUM(tabParametros[[#This Row],[Salário Base]:[Adicional de Acúmulo de função]])*30%+SUM(tabParametros[[#This Row],[Vale - Alimentação]:[Seguro de Vida]]))/tabParametros[[#This Row],[Vagas contratadas]]*tabParametros[[#This Row],[Vagas suspensas]],0)</f>
        <v>0</v>
      </c>
      <c r="AX59" s="234">
        <f>SUMIF(tabUniformes[Cargo],tabParametros[[#This Row],[Função]],tabUniformes[Valor unit. Mensal])</f>
        <v>62.806666666666665</v>
      </c>
      <c r="AY59" s="281">
        <f>IF(ISNUMBER(SEARCH("AUXILIAR DE LIMPEZA - 75 H",tabParametros[[#This Row],[Função]],1)),
SUMIF(tabLimpGeral[TIPO],"Material",tabLimpGeral[VALOR UNITÁRIO P/ HORA (R$)])*75,
IF(ISNUMBER(SEARCH("AUXILIAR DE LIMPEZA - 110 H",tabParametros[[#This Row],[Função]],1)),
SUMIF(tabLimpGeral[TIPO],"Material",tabLimpGeral[VALOR UNITÁRIO P/ HORA (R$)])*110,
IF(ISNUMBER(SEARCH("AUXILIAR DE LIMPEZA - 150 H",tabParametros[[#This Row],[Função]],1)),
SUMIF(tabLimpGeral[TIPO],"Material",tabLimpGeral[VALOR UNITÁRIO P/ HORA (R$)])*150,
IF(ISNUMBER(SEARCH("AUXILIAR DE LIMPEZA - 220 H",tabParametros[[#This Row],[Função]],1)),
SUMIF(tabLimpGeral[TIPO],"Material",tabLimpGeral[VALOR UNITÁRIO P/ HORA (R$)])*220,
IF(ISNUMBER(SEARCH("AUXILIAR DE LIMPEZA - 12 x 36",tabParametros[[#This Row],[Função]],1)),
SUMIF(tabLimpGeral[TIPO],"Material",tabLimpGeral[VALOR UNITÁRIO P/ HORA (R$)])*220,
IF(ISNUMBER(SEARCH("Limpador de vidros - 220 h",tabParametros[[#This Row],[Função]],1)),
SUMIF(tabVidros[TIPO],"Material",tabVidros[VALOR UNITÁRIO P/ POSTO (R$)]),
0))))))</f>
        <v>17.759106479291944</v>
      </c>
      <c r="AZ59" s="281">
        <f>IF(ISNUMBER(SEARCH("AUXILIAR DE LIMPEZA - 75 H",tabParametros[[#This Row],[Função]],1)),
SUMIF(tabLimpGeral[TIPO],"Equipamento",tabLimpGeral[VALOR UNITÁRIO P/ HORA (R$)])*75,
IF(ISNUMBER(SEARCH("AUXILIAR DE LIMPEZA - 110 H",tabParametros[[#This Row],[Função]],1)),
SUMIF(tabLimpGeral[TIPO],"Equipamento",tabLimpGeral[VALOR UNITÁRIO P/ HORA (R$)])*110,
IF(ISNUMBER(SEARCH("AUXILIAR DE LIMPEZA - 150 H",tabParametros[[#This Row],[Função]],1)),
SUMIF(tabLimpGeral[TIPO],"Equipamento",tabLimpGeral[VALOR UNITÁRIO P/ HORA (R$)])*150,
IF(ISNUMBER(SEARCH("AUXILIAR DE LIMPEZA - 220 H",tabParametros[[#This Row],[Função]],1)),
SUMIF(tabLimpGeral[TIPO],"Equipamento",tabLimpGeral[VALOR UNITÁRIO P/ HORA (R$)])*220,
IF(ISNUMBER(SEARCH("AUXILIAR DE LIMPEZA - 12 x 36",tabParametros[[#This Row],[Função]],1)),
SUMIF(tabLimpGeral[TIPO],"Equipamento",tabLimpGeral[VALOR UNITÁRIO P/ HORA (R$)])*220,
IF(ISNUMBER(SEARCH("Limpador de vidros - 220 h",tabParametros[[#This Row],[Função]],1)),
SUMIF(tabVidros[TIPO],"Equipamento",tabVidros[VALOR UNITÁRIO P/ POSTO (R$)]),
0))))))</f>
        <v>32.264696957412788</v>
      </c>
      <c r="BA59" s="281">
        <f>IF(ISNUMBER(SEARCH("AUXILIAR DE LIMPEZA - 75 H",tabParametros[[#This Row],[Função]],1)),
SUMIF(tabLimpGeral[TIPO],"Produto",tabLimpGeral[VALOR UNITÁRIO P/ HORA (R$)])*75,
IF(ISNUMBER(SEARCH("AUXILIAR DE LIMPEZA - 110 H",tabParametros[[#This Row],[Função]],1)),
SUMIF(tabLimpGeral[TIPO],"Produto",tabLimpGeral[VALOR UNITÁRIO P/ HORA (R$)])*110,
IF(ISNUMBER(SEARCH("AUXILIAR DE LIMPEZA - 150 H",tabParametros[[#This Row],[Função]],1)),
SUMIF(tabLimpGeral[TIPO],"Produto",tabLimpGeral[VALOR UNITÁRIO P/ HORA (R$)])*150,
IF(ISNUMBER(SEARCH("AUXILIAR DE LIMPEZA - 220 H",tabParametros[[#This Row],[Função]],1)),
SUMIF(tabLimpGeral[TIPO],"Produto",tabLimpGeral[VALOR UNITÁRIO P/ HORA (R$)])*220,
IF(ISNUMBER(SEARCH("AUXILIAR DE LIMPEZA - 12 x 36",tabParametros[[#This Row],[Função]],1)),
SUMIF(tabLimpGeral[TIPO],"Produto",tabLimpGeral[VALOR UNITÁRIO P/ HORA (R$)])*220,
IF(ISNUMBER(SEARCH("Limpador de vidros - 220 h",tabParametros[[#This Row],[Função]],1)),
SUMIF(tabVidros[TIPO],"Produto",tabVidros[VALOR UNITÁRIO P/ POSTO (R$)]),
0))))))</f>
        <v>345.13576638965827</v>
      </c>
      <c r="BB59" s="281">
        <v>0</v>
      </c>
      <c r="BC59" s="236">
        <f>VLOOKUP(tabParametros[[#Headers],[Custos Indiretos]],tabOutrosCustos[],3,0)</f>
        <v>189.64880140242613</v>
      </c>
      <c r="BD59" s="236">
        <f>VLOOKUP(tabParametros[[#Headers],[Lucro]],tabOutrosCustos[],3,0)</f>
        <v>159.30499317803796</v>
      </c>
      <c r="BE59" s="235">
        <f>VLOOKUP(tabParametros[[#Headers],[COFINS]],tabImpostosNacionais[],2,0)</f>
        <v>7.5999999999999998E-2</v>
      </c>
      <c r="BF59" s="235">
        <f>VLOOKUP(tabParametros[[#Headers],[PIS]],tabImpostosNacionais[],2,0)</f>
        <v>1.6500000000000001E-2</v>
      </c>
      <c r="BG59" s="235">
        <f>VLOOKUP(tabParametros[[#This Row],[Comarca]],tabComarca[],4,0)</f>
        <v>0.03</v>
      </c>
      <c r="BH59" s="238">
        <f>IFERROR(VLOOKUP(tabParametros[[#This Row],[CCT DA CATEGORIA]],tabSindicatos[],11,0),"")</f>
        <v>45658</v>
      </c>
      <c r="BI59" s="289" t="str">
        <f>IFERROR(VLOOKUP(tabParametros[[#This Row],[CCT DA CATEGORIA]],tabSindicatos[],12,0),"")</f>
        <v>-</v>
      </c>
      <c r="BJ59" s="293" t="str">
        <f>IFERROR(VLOOKUP(tabParametros[[#This Row],[CCT DA CATEGORIA]],tabSindicatos[],13,0),"")</f>
        <v>-</v>
      </c>
    </row>
    <row r="60" spans="1:62" x14ac:dyDescent="0.25">
      <c r="A60" s="233" t="s">
        <v>1400</v>
      </c>
      <c r="B60" s="198" t="s">
        <v>58</v>
      </c>
      <c r="C60" s="198" t="s">
        <v>1247</v>
      </c>
      <c r="D60" s="198" t="str">
        <f>VLOOKUP(tabParametros[[#This Row],[Código do Posto]],tabPostos[],4,0)</f>
        <v>Fethemg Interior</v>
      </c>
      <c r="E60" s="289" t="str">
        <f>VLOOKUP(tabParametros[[#This Row],[Código do Posto]],tabPostos[],5,0)</f>
        <v>Limpeza</v>
      </c>
      <c r="F60" s="289" t="str">
        <f>VLOOKUP(tabParametros[[#This Row],[Código do Posto]],tabPostos[],6,0)</f>
        <v>PGJ</v>
      </c>
      <c r="G60" s="289">
        <f>VLOOKUP(tabParametros[[#This Row],[Código do Posto]],tabPostos[],7,0)</f>
        <v>1</v>
      </c>
      <c r="H60" s="289">
        <f>VLOOKUP(tabParametros[[#This Row],[Código do Posto]],tabPostos[],8,0)</f>
        <v>0</v>
      </c>
      <c r="I60" s="234">
        <f>VLOOKUP(tabParametros[[#This Row],[Código do Posto]],tabPostos[],9,0)</f>
        <v>544.17999999999995</v>
      </c>
      <c r="J60" s="234">
        <f>IF(ISNUMBER(SEARCH("Eletricista",tabParametros[[#This Row],[Função]],1)),0.3*tabParametros[[#This Row],[Salário Base]],0)</f>
        <v>0</v>
      </c>
      <c r="K60" s="234">
        <f>IF(OR(ISNUMBER(SEARCH("Bombeiro Hidraulico",tabParametros[[#This Row],[Função]],1)),ISNUMBER(SEARCH("Jardineiro",tabParametros[[#This Row],[Função]],1)),ISNUMBER(SEARCH("Lavador de Veiculos",tabParametros[[#This Row],[Função]],1)),ISNUMBER(SEARCH("Marceneiro",tabParametros[[#This Row],[Função]],1)),ISNUMBER(SEARCH("Pintor",tabParametros[[#This Row],[Função]],1))),0.2*'BASE GERAL'!$R$4,0)</f>
        <v>0</v>
      </c>
      <c r="L60" s="234">
        <f>IF(AND(ISNUMBER(SEARCH("Noturno",tabParametros[[#This Row],[Função]],1)),tabParametros[[#This Row],[Comarca]]&lt;&gt;"Juiz de Fora"),tabParametros[[#This Row],[Salário Base]]/210*0.39*7*15.5,IF(ISNUMBER(SEARCH("Noturno",tabParametros[[#This Row],[Função]],1)),tabParametros[[#This Row],[Salário Base]]/210*0.2*8*15.5,0))</f>
        <v>0</v>
      </c>
      <c r="M60" s="234">
        <f>IF(ISNUMBER(SEARCH("Motorista II",tabParametros[[#This Row],[Função]],1)),0.25*tabParametros[[#This Row],[Salário Base]],0)</f>
        <v>0</v>
      </c>
      <c r="N60" s="250">
        <v>0</v>
      </c>
      <c r="O60" s="234">
        <f>IF(ISNUMBER(SEARCH("TECNOLOGIA DA INFORMACAO",tabParametros[[#This Row],[Função]],1)),0.0201*tabParametros[[#This Row],[Salário Base]],0)</f>
        <v>0</v>
      </c>
      <c r="P60" s="250" cm="1">
        <f t="array" ref="P60">_xlfn.IFS(
ISNUMBER(SEARCH("Auxiliar de Limpeza - 75 h",tabParametros[[#This Row],[Função]],1)),tabParametros[[#This Row],[Salário Base]]/75*0.75*30*0.12,
ISNUMBER(SEARCH("Auxiliar de Limpeza - 110 h",tabParametros[[#This Row],[Função]],1)),tabParametros[[#This Row],[Salário Base]]/110*1*30*0.12,
ISNUMBER(SEARCH("Auxiliar de Limpeza - 150 h",tabParametros[[#This Row],[Função]],1)),tabParametros[[#This Row],[Salário Base]]/150*1.5*30*0.12,
ISNUMBER(SEARCH("Auxiliar de Limpeza - 220 h",tabParametros[[#This Row],[Função]],1)),tabParametros[[#This Row],[Salário Base]]/220*2*30*0.12,
ISNUMBER(SEARCH("Auxiliar de Limpeza - 12 x 36",tabParametros[[#This Row],[Função]],1)),tabParametros[[#This Row],[Salário Base]]/220*2*30*0.12,
ISNUMBER(SEARCH("Auxiliar de Limpeza - 55 h",tabParametros[[#This Row],[Função]],1))=FALSE,0)</f>
        <v>19.590479999999999</v>
      </c>
      <c r="Q60" s="235">
        <f>VLOOKUP(tabParametros[[#Headers],[INSS]],tabImpostosNacionais[],2,0)</f>
        <v>0.2</v>
      </c>
      <c r="R60" s="235">
        <f>VLOOKUP(tabParametros[[#Headers],[SESI OU SESC]],tabImpostosNacionais[],2,0)</f>
        <v>1.4999999999999999E-2</v>
      </c>
      <c r="S60" s="235">
        <f>VLOOKUP(tabParametros[[#Headers],[SENAI OU SENAC]],tabImpostosNacionais[],2,0)</f>
        <v>0.01</v>
      </c>
      <c r="T60" s="235">
        <f>VLOOKUP(tabParametros[[#Headers],[INCRA]],tabImpostosNacionais[],2,0)</f>
        <v>2E-3</v>
      </c>
      <c r="U60" s="235">
        <f>VLOOKUP(tabParametros[[#Headers],[Salário Educação]],tabImpostosNacionais[],2,0)</f>
        <v>2.5000000000000001E-2</v>
      </c>
      <c r="V60" s="235">
        <f>VLOOKUP(tabParametros[[#Headers],[FGTS]],tabImpostosNacionais[],2,0)</f>
        <v>0.08</v>
      </c>
      <c r="W60" s="235">
        <f>VLOOKUP(tabParametros[[#Headers],[RAT Ajustado]],tabImpostosNacionais[],2,0)</f>
        <v>0.04</v>
      </c>
      <c r="X60" s="235">
        <f>VLOOKUP(tabParametros[[#Headers],[SEBRAE]],tabImpostosNacionais[],2,0)</f>
        <v>6.0000000000000001E-3</v>
      </c>
      <c r="Y60" s="235">
        <f t="shared" si="0"/>
        <v>8.3333333333333329E-2</v>
      </c>
      <c r="Z60" s="251">
        <f t="shared" si="1"/>
        <v>0.1111111111111111</v>
      </c>
      <c r="AA60" s="234">
        <f>VLOOKUP(tabParametros[[#This Row],[Comarca]],tabComarca[],5,0)</f>
        <v>6.4</v>
      </c>
      <c r="AB60" s="234">
        <f>IFERROR(VLOOKUP(tabParametros[[#This Row],[CCT DA CATEGORIA]],tabSindicatos[],6,0),0)</f>
        <v>29.15</v>
      </c>
      <c r="AC60" s="234">
        <f>IFERROR(VLOOKUP(tabParametros[[#This Row],[CCT DA CATEGORIA]],tabSindicatos[],7,0),0)</f>
        <v>0</v>
      </c>
      <c r="AD60" s="234" cm="1">
        <f t="array" ref="AD60">_xlfn.LET(
_xlpm.COMARCA, TRIM(UPPER(SUBSTITUTE(SUBSTITUTE(SUBSTITUTE(SUBSTITUTE(SUBSTITUTE(SUBSTITUTE(SUBSTITUTE(SUBSTITUTE(SUBSTITUTE(SUBSTITUTE(SUBSTITUTE(SUBSTITUTE(SUBSTITUTE(SUBSTITUTE(SUBSTITUTE(SUBSTITUTE(SUBSTITUTE(SUBSTITUTE(SUBSTITUTE(SUBSTITUTE(SUBSTITUTE(SUBSTITUTE(SUBSTITUTE(SUBSTITUTE(SUBSTITUTE(SUBSTITUTE(tabParametros[[#This Row],[Comarca]],"á","a"),"ã","a"),"â","a"),"é","e"),"ê","e"),"í","i"),"ó","o"),"õ","o"),"ô","o"),"ú","u"),"ç","c"),"Á","a"),"Ã","a"),"Â","a"),"É","e"),"Ê","e"),"Í","i"),"Ó","o"),"Õ","o"),"Ô","o"),"Ú","u"),"Ç","c"),"/MG","")," e ",", ")," ",""),".",""))),
_xlpm.MATRIZ_COMARCA, TRIM(UPPER(SUBSTITUTE(SUBSTITUTE(SUBSTITUTE(SUBSTITUTE(SUBSTITUTE(SUBSTITUTE(SUBSTITUTE(SUBSTITUTE(SUBSTITUTE(SUBSTITUTE(SUBSTITUTE(SUBSTITUTE(SUBSTITUTE(SUBSTITUTE(SUBSTITUTE(SUBSTITUTE(SUBSTITUTE(SUBSTITUTE(SUBSTITUTE(SUBSTITUTE(SUBSTITUTE(SUBSTITUTE(SUBSTITUTE(SUBSTITUTE(SUBSTITUTE(SUBSTITUTE(tabSindicatos[COMARCAS PAF],"á","a"),"ã","a"),"â","a"),"é","e"),"ê","e"),"í","i"),"ó","o"),"õ","o"),"ô","o"),"ú","u"),"ç","c"),"Á","a"),"Ã","a"),"Â","a"),"É","e"),"Ê","e"),"Í","i"),"Ó","o"),"Õ","o"),"Ô","o"),"Ú","u"),"Ç","c"),"/MG","")," e ",", ")," ",""),".",""))),
IFERROR(IF(_xlfn.XLOOKUP(tabParametros[[#This Row],[CCT DA CATEGORIA]],tabSindicatos[SINDICATOS],tabSindicatos[COMARCAS PAF])="",
VLOOKUP(tabParametros[[#This Row],[CCT DA CATEGORIA]],tabSindicatos[],8,0),
IF(ISNUMBER(SEARCH(TRIM(_xlpm.COMARCA),_xlfn.XLOOKUP(tabParametros[[#This Row],[CCT DA CATEGORIA]],tabSindicatos[SINDICATOS],_xlpm.MATRIZ_COMARCA),1)),VLOOKUP(tabParametros[[#This Row],[CCT DA CATEGORIA]],tabSindicatos[],8,0),0)
),0)
)</f>
        <v>0</v>
      </c>
      <c r="AE60" s="234">
        <f>IFERROR(VLOOKUP(tabParametros[[#This Row],[CCT DA CATEGORIA]],tabSindicatos[],9,0),0)</f>
        <v>15.07</v>
      </c>
      <c r="AF60" s="234">
        <f>IFERROR(VLOOKUP(tabParametros[[#This Row],[CCT DA CATEGORIA]],tabSindicatos[],10,0),0)</f>
        <v>0</v>
      </c>
      <c r="AG60" s="236">
        <f>VLOOKUP(tabParametros[[#Headers],[Seguro de Vida]],tabOutrosCustos[],3,0)</f>
        <v>3.36</v>
      </c>
      <c r="AH60" s="236">
        <f>IF(ISNUMBER(SEARCH("MOTORISTA",tabParametros[[#This Row],[Função]],1)),VLOOKUP("MOTORISTAS",tabDiarias[],2,0),IF(tabParametros[[#This Row],[Comarca]]="Belo Horizonte",VLOOKUP("LIMPEZA",tabDiarias[],2,0),0))</f>
        <v>0</v>
      </c>
      <c r="AI60" s="235">
        <f t="shared" si="2"/>
        <v>7.011766975308642E-3</v>
      </c>
      <c r="AJ60" s="237">
        <f>tabParametros[[#This Row],[FGTS]]*tabParametros[[#This Row],[Aviso Prévio Indenizado (API) e Reflexo do Aviso Prévio Indenizado]]</f>
        <v>5.609413580246914E-4</v>
      </c>
      <c r="AK60" s="237">
        <f>tabParametros[[#This Row],[FGTS]]*tabParametros[[#This Row],[Aviso Prévio Indenizado (API) e Reflexo do Aviso Prévio Indenizado]]*40%</f>
        <v>2.2437654320987658E-4</v>
      </c>
      <c r="AL60" s="235">
        <f t="shared" si="3"/>
        <v>3.5000000000000005E-3</v>
      </c>
      <c r="AM60" s="235">
        <f>tabParametros[[#This Row],[Aviso Prévio Trabalhado - APT]]*SUM(tabParametros[[#This Row],[INSS]:[SEBRAE]])</f>
        <v>1.3230000000000004E-3</v>
      </c>
      <c r="AN60" s="235">
        <f t="shared" si="4"/>
        <v>3.0577777777777773E-2</v>
      </c>
      <c r="AO60" s="235">
        <f t="shared" si="5"/>
        <v>8.3333333333333339E-4</v>
      </c>
      <c r="AP60" s="235">
        <f t="shared" si="6"/>
        <v>8.4444444444444437E-3</v>
      </c>
      <c r="AQ60" s="235">
        <f t="shared" si="7"/>
        <v>2.0277777777777777E-3</v>
      </c>
      <c r="AR60" s="235">
        <f t="shared" si="8"/>
        <v>1.7083333333333333E-4</v>
      </c>
      <c r="AS60" s="235">
        <f t="shared" si="9"/>
        <v>2.0833333333333335E-4</v>
      </c>
      <c r="AT60" s="235">
        <f t="shared" si="10"/>
        <v>1.2962962962962963E-3</v>
      </c>
      <c r="AU60" s="237">
        <f>SUM(tabParametros[[#This Row],[Ausência por Doença]:[Férias, Adicional de Férias e 13º  com empregada em gozo de Licença Maternidade]])*SUM(tabParametros[[#This Row],[INSS]:[SEBRAE]])</f>
        <v>4.5918250000000008E-3</v>
      </c>
      <c r="AV60" s="234">
        <f>IF(tabParametros[[#This Row],[Função]]="Porteiro - 220 h",SUM(tabParametros[[#This Row],[Salário Base]:[Adicional de Acúmulo de função]])/220*20*1.5,IF(ISNUMBER(SEARCH("12 x 36",tabParametros[[#This Row],[Função]],1)),SUM(tabParametros[[#This Row],[Salário Base]:[Adicional de Acúmulo de função]])/210*15.5*1.5,0))</f>
        <v>0</v>
      </c>
      <c r="AW60" s="234">
        <f>IF(tabParametros[[#This Row],[Vagas contratadas]]&gt;0,(SUM(tabParametros[[#This Row],[Salário Base]:[Adicional de Acúmulo de função]])*30%+SUM(tabParametros[[#This Row],[Vale - Alimentação]:[Seguro de Vida]]))/tabParametros[[#This Row],[Vagas contratadas]]*tabParametros[[#This Row],[Vagas suspensas]],0)</f>
        <v>0</v>
      </c>
      <c r="AX60" s="234">
        <f>SUMIF(tabUniformes[Cargo],tabParametros[[#This Row],[Função]],tabUniformes[Valor unit. Mensal])</f>
        <v>62.806666666666665</v>
      </c>
      <c r="AY60" s="281">
        <f>IF(ISNUMBER(SEARCH("AUXILIAR DE LIMPEZA - 75 H",tabParametros[[#This Row],[Função]],1)),
SUMIF(tabLimpGeral[TIPO],"Material",tabLimpGeral[VALOR UNITÁRIO P/ HORA (R$)])*75,
IF(ISNUMBER(SEARCH("AUXILIAR DE LIMPEZA - 110 H",tabParametros[[#This Row],[Função]],1)),
SUMIF(tabLimpGeral[TIPO],"Material",tabLimpGeral[VALOR UNITÁRIO P/ HORA (R$)])*110,
IF(ISNUMBER(SEARCH("AUXILIAR DE LIMPEZA - 150 H",tabParametros[[#This Row],[Função]],1)),
SUMIF(tabLimpGeral[TIPO],"Material",tabLimpGeral[VALOR UNITÁRIO P/ HORA (R$)])*150,
IF(ISNUMBER(SEARCH("AUXILIAR DE LIMPEZA - 220 H",tabParametros[[#This Row],[Função]],1)),
SUMIF(tabLimpGeral[TIPO],"Material",tabLimpGeral[VALOR UNITÁRIO P/ HORA (R$)])*220,
IF(ISNUMBER(SEARCH("AUXILIAR DE LIMPEZA - 12 x 36",tabParametros[[#This Row],[Função]],1)),
SUMIF(tabLimpGeral[TIPO],"Material",tabLimpGeral[VALOR UNITÁRIO P/ HORA (R$)])*220,
IF(ISNUMBER(SEARCH("Limpador de vidros - 220 h",tabParametros[[#This Row],[Função]],1)),
SUMIF(tabVidros[TIPO],"Material",tabVidros[VALOR UNITÁRIO P/ POSTO (R$)]),
0))))))</f>
        <v>12.108481690426325</v>
      </c>
      <c r="AZ60" s="281">
        <f>IF(ISNUMBER(SEARCH("AUXILIAR DE LIMPEZA - 75 H",tabParametros[[#This Row],[Função]],1)),
SUMIF(tabLimpGeral[TIPO],"Equipamento",tabLimpGeral[VALOR UNITÁRIO P/ HORA (R$)])*75,
IF(ISNUMBER(SEARCH("AUXILIAR DE LIMPEZA - 110 H",tabParametros[[#This Row],[Função]],1)),
SUMIF(tabLimpGeral[TIPO],"Equipamento",tabLimpGeral[VALOR UNITÁRIO P/ HORA (R$)])*110,
IF(ISNUMBER(SEARCH("AUXILIAR DE LIMPEZA - 150 H",tabParametros[[#This Row],[Função]],1)),
SUMIF(tabLimpGeral[TIPO],"Equipamento",tabLimpGeral[VALOR UNITÁRIO P/ HORA (R$)])*150,
IF(ISNUMBER(SEARCH("AUXILIAR DE LIMPEZA - 220 H",tabParametros[[#This Row],[Função]],1)),
SUMIF(tabLimpGeral[TIPO],"Equipamento",tabLimpGeral[VALOR UNITÁRIO P/ HORA (R$)])*220,
IF(ISNUMBER(SEARCH("AUXILIAR DE LIMPEZA - 12 x 36",tabParametros[[#This Row],[Função]],1)),
SUMIF(tabLimpGeral[TIPO],"Equipamento",tabLimpGeral[VALOR UNITÁRIO P/ HORA (R$)])*220,
IF(ISNUMBER(SEARCH("Limpador de vidros - 220 h",tabParametros[[#This Row],[Função]],1)),
SUMIF(tabVidros[TIPO],"Equipamento",tabVidros[VALOR UNITÁRIO P/ POSTO (R$)]),
0))))))</f>
        <v>21.998657016417809</v>
      </c>
      <c r="BA60" s="281">
        <f>IF(ISNUMBER(SEARCH("AUXILIAR DE LIMPEZA - 75 H",tabParametros[[#This Row],[Função]],1)),
SUMIF(tabLimpGeral[TIPO],"Produto",tabLimpGeral[VALOR UNITÁRIO P/ HORA (R$)])*75,
IF(ISNUMBER(SEARCH("AUXILIAR DE LIMPEZA - 110 H",tabParametros[[#This Row],[Função]],1)),
SUMIF(tabLimpGeral[TIPO],"Produto",tabLimpGeral[VALOR UNITÁRIO P/ HORA (R$)])*110,
IF(ISNUMBER(SEARCH("AUXILIAR DE LIMPEZA - 150 H",tabParametros[[#This Row],[Função]],1)),
SUMIF(tabLimpGeral[TIPO],"Produto",tabLimpGeral[VALOR UNITÁRIO P/ HORA (R$)])*150,
IF(ISNUMBER(SEARCH("AUXILIAR DE LIMPEZA - 220 H",tabParametros[[#This Row],[Função]],1)),
SUMIF(tabLimpGeral[TIPO],"Produto",tabLimpGeral[VALOR UNITÁRIO P/ HORA (R$)])*220,
IF(ISNUMBER(SEARCH("AUXILIAR DE LIMPEZA - 12 x 36",tabParametros[[#This Row],[Função]],1)),
SUMIF(tabLimpGeral[TIPO],"Produto",tabLimpGeral[VALOR UNITÁRIO P/ HORA (R$)])*220,
IF(ISNUMBER(SEARCH("Limpador de vidros - 220 h",tabParametros[[#This Row],[Função]],1)),
SUMIF(tabVidros[TIPO],"Produto",tabVidros[VALOR UNITÁRIO P/ POSTO (R$)]),
0))))))</f>
        <v>235.31984072022155</v>
      </c>
      <c r="BB60" s="281">
        <v>0</v>
      </c>
      <c r="BC60" s="236">
        <f>VLOOKUP(tabParametros[[#Headers],[Custos Indiretos]],tabOutrosCustos[],3,0)</f>
        <v>189.64880140242613</v>
      </c>
      <c r="BD60" s="236">
        <f>VLOOKUP(tabParametros[[#Headers],[Lucro]],tabOutrosCustos[],3,0)</f>
        <v>159.30499317803796</v>
      </c>
      <c r="BE60" s="235">
        <f>VLOOKUP(tabParametros[[#Headers],[COFINS]],tabImpostosNacionais[],2,0)</f>
        <v>7.5999999999999998E-2</v>
      </c>
      <c r="BF60" s="235">
        <f>VLOOKUP(tabParametros[[#Headers],[PIS]],tabImpostosNacionais[],2,0)</f>
        <v>1.6500000000000001E-2</v>
      </c>
      <c r="BG60" s="235">
        <f>VLOOKUP(tabParametros[[#This Row],[Comarca]],tabComarca[],4,0)</f>
        <v>0.05</v>
      </c>
      <c r="BH60" s="238">
        <f>IFERROR(VLOOKUP(tabParametros[[#This Row],[CCT DA CATEGORIA]],tabSindicatos[],11,0),"")</f>
        <v>45658</v>
      </c>
      <c r="BI60" s="289" t="str">
        <f>IFERROR(VLOOKUP(tabParametros[[#This Row],[CCT DA CATEGORIA]],tabSindicatos[],12,0),"")</f>
        <v>-</v>
      </c>
      <c r="BJ60" s="293" t="str">
        <f>IFERROR(VLOOKUP(tabParametros[[#This Row],[CCT DA CATEGORIA]],tabSindicatos[],13,0),"")</f>
        <v>-</v>
      </c>
    </row>
    <row r="61" spans="1:62" x14ac:dyDescent="0.25">
      <c r="A61" s="233" t="s">
        <v>1401</v>
      </c>
      <c r="B61" s="198" t="s">
        <v>59</v>
      </c>
      <c r="C61" s="198" t="s">
        <v>1245</v>
      </c>
      <c r="D61" s="198" t="str">
        <f>VLOOKUP(tabParametros[[#This Row],[Código do Posto]],tabPostos[],4,0)</f>
        <v>Regiao de Juiz de Fora</v>
      </c>
      <c r="E61" s="289" t="str">
        <f>VLOOKUP(tabParametros[[#This Row],[Código do Posto]],tabPostos[],5,0)</f>
        <v>Limpeza</v>
      </c>
      <c r="F61" s="289" t="str">
        <f>VLOOKUP(tabParametros[[#This Row],[Código do Posto]],tabPostos[],6,0)</f>
        <v>PGJ</v>
      </c>
      <c r="G61" s="289">
        <f>VLOOKUP(tabParametros[[#This Row],[Código do Posto]],tabPostos[],7,0)</f>
        <v>1</v>
      </c>
      <c r="H61" s="289">
        <f>VLOOKUP(tabParametros[[#This Row],[Código do Posto]],tabPostos[],8,0)</f>
        <v>0</v>
      </c>
      <c r="I61" s="234">
        <f>VLOOKUP(tabParametros[[#This Row],[Código do Posto]],tabPostos[],9,0)</f>
        <v>1596.28</v>
      </c>
      <c r="J61" s="234">
        <f>IF(ISNUMBER(SEARCH("Eletricista",tabParametros[[#This Row],[Função]],1)),0.3*tabParametros[[#This Row],[Salário Base]],0)</f>
        <v>0</v>
      </c>
      <c r="K61" s="234">
        <f>IF(OR(ISNUMBER(SEARCH("Bombeiro Hidraulico",tabParametros[[#This Row],[Função]],1)),ISNUMBER(SEARCH("Jardineiro",tabParametros[[#This Row],[Função]],1)),ISNUMBER(SEARCH("Lavador de Veiculos",tabParametros[[#This Row],[Função]],1)),ISNUMBER(SEARCH("Marceneiro",tabParametros[[#This Row],[Função]],1)),ISNUMBER(SEARCH("Pintor",tabParametros[[#This Row],[Função]],1))),0.2*'BASE GERAL'!$R$4,0)</f>
        <v>0</v>
      </c>
      <c r="L61" s="234">
        <f>IF(AND(ISNUMBER(SEARCH("Noturno",tabParametros[[#This Row],[Função]],1)),tabParametros[[#This Row],[Comarca]]&lt;&gt;"Juiz de Fora"),tabParametros[[#This Row],[Salário Base]]/210*0.39*7*15.5,IF(ISNUMBER(SEARCH("Noturno",tabParametros[[#This Row],[Função]],1)),tabParametros[[#This Row],[Salário Base]]/210*0.2*8*15.5,0))</f>
        <v>0</v>
      </c>
      <c r="M61" s="234">
        <f>IF(ISNUMBER(SEARCH("Motorista II",tabParametros[[#This Row],[Função]],1)),0.25*tabParametros[[#This Row],[Salário Base]],0)</f>
        <v>0</v>
      </c>
      <c r="N61" s="250">
        <v>0</v>
      </c>
      <c r="O61" s="234">
        <f>IF(ISNUMBER(SEARCH("TECNOLOGIA DA INFORMACAO",tabParametros[[#This Row],[Função]],1)),0.0201*tabParametros[[#This Row],[Salário Base]],0)</f>
        <v>0</v>
      </c>
      <c r="P61" s="250" cm="1">
        <f t="array" ref="P61">_xlfn.IFS(
ISNUMBER(SEARCH("Auxiliar de Limpeza - 75 h",tabParametros[[#This Row],[Função]],1)),tabParametros[[#This Row],[Salário Base]]/75*0.75*30*0.12,
ISNUMBER(SEARCH("Auxiliar de Limpeza - 110 h",tabParametros[[#This Row],[Função]],1)),tabParametros[[#This Row],[Salário Base]]/110*1*30*0.12,
ISNUMBER(SEARCH("Auxiliar de Limpeza - 150 h",tabParametros[[#This Row],[Função]],1)),tabParametros[[#This Row],[Salário Base]]/150*1.5*30*0.12,
ISNUMBER(SEARCH("Auxiliar de Limpeza - 220 h",tabParametros[[#This Row],[Função]],1)),tabParametros[[#This Row],[Salário Base]]/220*2*30*0.12,
ISNUMBER(SEARCH("Auxiliar de Limpeza - 12 x 36",tabParametros[[#This Row],[Função]],1)),tabParametros[[#This Row],[Salário Base]]/220*2*30*0.12,
ISNUMBER(SEARCH("Auxiliar de Limpeza - 55 h",tabParametros[[#This Row],[Função]],1))=FALSE,0)</f>
        <v>52.241890909090905</v>
      </c>
      <c r="Q61" s="235">
        <f>VLOOKUP(tabParametros[[#Headers],[INSS]],tabImpostosNacionais[],2,0)</f>
        <v>0.2</v>
      </c>
      <c r="R61" s="235">
        <f>VLOOKUP(tabParametros[[#Headers],[SESI OU SESC]],tabImpostosNacionais[],2,0)</f>
        <v>1.4999999999999999E-2</v>
      </c>
      <c r="S61" s="235">
        <f>VLOOKUP(tabParametros[[#Headers],[SENAI OU SENAC]],tabImpostosNacionais[],2,0)</f>
        <v>0.01</v>
      </c>
      <c r="T61" s="235">
        <f>VLOOKUP(tabParametros[[#Headers],[INCRA]],tabImpostosNacionais[],2,0)</f>
        <v>2E-3</v>
      </c>
      <c r="U61" s="235">
        <f>VLOOKUP(tabParametros[[#Headers],[Salário Educação]],tabImpostosNacionais[],2,0)</f>
        <v>2.5000000000000001E-2</v>
      </c>
      <c r="V61" s="235">
        <f>VLOOKUP(tabParametros[[#Headers],[FGTS]],tabImpostosNacionais[],2,0)</f>
        <v>0.08</v>
      </c>
      <c r="W61" s="235">
        <f>VLOOKUP(tabParametros[[#Headers],[RAT Ajustado]],tabImpostosNacionais[],2,0)</f>
        <v>0.04</v>
      </c>
      <c r="X61" s="235">
        <f>VLOOKUP(tabParametros[[#Headers],[SEBRAE]],tabImpostosNacionais[],2,0)</f>
        <v>6.0000000000000001E-3</v>
      </c>
      <c r="Y61" s="235">
        <f t="shared" si="0"/>
        <v>8.3333333333333329E-2</v>
      </c>
      <c r="Z61" s="251">
        <f t="shared" si="1"/>
        <v>0.1111111111111111</v>
      </c>
      <c r="AA61" s="234">
        <f>VLOOKUP(tabParametros[[#This Row],[Comarca]],tabComarca[],5,0)</f>
        <v>6.4</v>
      </c>
      <c r="AB61" s="234">
        <f>IFERROR(VLOOKUP(tabParametros[[#This Row],[CCT DA CATEGORIA]],tabSindicatos[],6,0),0)</f>
        <v>29.15</v>
      </c>
      <c r="AC61" s="234">
        <f>IFERROR(VLOOKUP(tabParametros[[#This Row],[CCT DA CATEGORIA]],tabSindicatos[],7,0),0)</f>
        <v>0</v>
      </c>
      <c r="AD61" s="234" cm="1">
        <f t="array" ref="AD61">_xlfn.LET(
_xlpm.COMARCA, TRIM(UPPER(SUBSTITUTE(SUBSTITUTE(SUBSTITUTE(SUBSTITUTE(SUBSTITUTE(SUBSTITUTE(SUBSTITUTE(SUBSTITUTE(SUBSTITUTE(SUBSTITUTE(SUBSTITUTE(SUBSTITUTE(SUBSTITUTE(SUBSTITUTE(SUBSTITUTE(SUBSTITUTE(SUBSTITUTE(SUBSTITUTE(SUBSTITUTE(SUBSTITUTE(SUBSTITUTE(SUBSTITUTE(SUBSTITUTE(SUBSTITUTE(SUBSTITUTE(SUBSTITUTE(tabParametros[[#This Row],[Comarca]],"á","a"),"ã","a"),"â","a"),"é","e"),"ê","e"),"í","i"),"ó","o"),"õ","o"),"ô","o"),"ú","u"),"ç","c"),"Á","a"),"Ã","a"),"Â","a"),"É","e"),"Ê","e"),"Í","i"),"Ó","o"),"Õ","o"),"Ô","o"),"Ú","u"),"Ç","c"),"/MG","")," e ",", ")," ",""),".",""))),
_xlpm.MATRIZ_COMARCA, TRIM(UPPER(SUBSTITUTE(SUBSTITUTE(SUBSTITUTE(SUBSTITUTE(SUBSTITUTE(SUBSTITUTE(SUBSTITUTE(SUBSTITUTE(SUBSTITUTE(SUBSTITUTE(SUBSTITUTE(SUBSTITUTE(SUBSTITUTE(SUBSTITUTE(SUBSTITUTE(SUBSTITUTE(SUBSTITUTE(SUBSTITUTE(SUBSTITUTE(SUBSTITUTE(SUBSTITUTE(SUBSTITUTE(SUBSTITUTE(SUBSTITUTE(SUBSTITUTE(SUBSTITUTE(tabSindicatos[COMARCAS PAF],"á","a"),"ã","a"),"â","a"),"é","e"),"ê","e"),"í","i"),"ó","o"),"õ","o"),"ô","o"),"ú","u"),"ç","c"),"Á","a"),"Ã","a"),"Â","a"),"É","e"),"Ê","e"),"Í","i"),"Ó","o"),"Õ","o"),"Ô","o"),"Ú","u"),"Ç","c"),"/MG","")," e ",", ")," ",""),".",""))),
IFERROR(IF(_xlfn.XLOOKUP(tabParametros[[#This Row],[CCT DA CATEGORIA]],tabSindicatos[SINDICATOS],tabSindicatos[COMARCAS PAF])="",
VLOOKUP(tabParametros[[#This Row],[CCT DA CATEGORIA]],tabSindicatos[],8,0),
IF(ISNUMBER(SEARCH(TRIM(_xlpm.COMARCA),_xlfn.XLOOKUP(tabParametros[[#This Row],[CCT DA CATEGORIA]],tabSindicatos[SINDICATOS],_xlpm.MATRIZ_COMARCA),1)),VLOOKUP(tabParametros[[#This Row],[CCT DA CATEGORIA]],tabSindicatos[],8,0),0)
),0)
)</f>
        <v>51.88</v>
      </c>
      <c r="AE61" s="234">
        <f>IFERROR(VLOOKUP(tabParametros[[#This Row],[CCT DA CATEGORIA]],tabSindicatos[],9,0),0)</f>
        <v>0</v>
      </c>
      <c r="AF61" s="234">
        <f>IFERROR(VLOOKUP(tabParametros[[#This Row],[CCT DA CATEGORIA]],tabSindicatos[],10,0),0)</f>
        <v>0</v>
      </c>
      <c r="AG61" s="236">
        <f>VLOOKUP(tabParametros[[#Headers],[Seguro de Vida]],tabOutrosCustos[],3,0)</f>
        <v>3.36</v>
      </c>
      <c r="AH61" s="236">
        <f>IF(ISNUMBER(SEARCH("MOTORISTA",tabParametros[[#This Row],[Função]],1)),VLOOKUP("MOTORISTAS",tabDiarias[],2,0),IF(tabParametros[[#This Row],[Comarca]]="Belo Horizonte",VLOOKUP("LIMPEZA",tabDiarias[],2,0),0))</f>
        <v>0</v>
      </c>
      <c r="AI61" s="235">
        <f t="shared" si="2"/>
        <v>7.011766975308642E-3</v>
      </c>
      <c r="AJ61" s="237">
        <f>tabParametros[[#This Row],[FGTS]]*tabParametros[[#This Row],[Aviso Prévio Indenizado (API) e Reflexo do Aviso Prévio Indenizado]]</f>
        <v>5.609413580246914E-4</v>
      </c>
      <c r="AK61" s="237">
        <f>tabParametros[[#This Row],[FGTS]]*tabParametros[[#This Row],[Aviso Prévio Indenizado (API) e Reflexo do Aviso Prévio Indenizado]]*40%</f>
        <v>2.2437654320987658E-4</v>
      </c>
      <c r="AL61" s="235">
        <f t="shared" si="3"/>
        <v>3.5000000000000005E-3</v>
      </c>
      <c r="AM61" s="235">
        <f>tabParametros[[#This Row],[Aviso Prévio Trabalhado - APT]]*SUM(tabParametros[[#This Row],[INSS]:[SEBRAE]])</f>
        <v>1.3230000000000004E-3</v>
      </c>
      <c r="AN61" s="235">
        <f t="shared" si="4"/>
        <v>3.0577777777777773E-2</v>
      </c>
      <c r="AO61" s="235">
        <f t="shared" si="5"/>
        <v>8.3333333333333339E-4</v>
      </c>
      <c r="AP61" s="235">
        <f t="shared" si="6"/>
        <v>8.4444444444444437E-3</v>
      </c>
      <c r="AQ61" s="235">
        <f t="shared" si="7"/>
        <v>2.0277777777777777E-3</v>
      </c>
      <c r="AR61" s="235">
        <f t="shared" si="8"/>
        <v>1.7083333333333333E-4</v>
      </c>
      <c r="AS61" s="235">
        <f t="shared" si="9"/>
        <v>2.0833333333333335E-4</v>
      </c>
      <c r="AT61" s="235">
        <f t="shared" si="10"/>
        <v>1.2962962962962963E-3</v>
      </c>
      <c r="AU61" s="237">
        <f>SUM(tabParametros[[#This Row],[Ausência por Doença]:[Férias, Adicional de Férias e 13º  com empregada em gozo de Licença Maternidade]])*SUM(tabParametros[[#This Row],[INSS]:[SEBRAE]])</f>
        <v>4.5918250000000008E-3</v>
      </c>
      <c r="AV61" s="234">
        <f>IF(tabParametros[[#This Row],[Função]]="Porteiro - 220 h",SUM(tabParametros[[#This Row],[Salário Base]:[Adicional de Acúmulo de função]])/220*20*1.5,IF(ISNUMBER(SEARCH("12 x 36",tabParametros[[#This Row],[Função]],1)),SUM(tabParametros[[#This Row],[Salário Base]:[Adicional de Acúmulo de função]])/210*15.5*1.5,0))</f>
        <v>0</v>
      </c>
      <c r="AW61" s="234">
        <f>IF(tabParametros[[#This Row],[Vagas contratadas]]&gt;0,(SUM(tabParametros[[#This Row],[Salário Base]:[Adicional de Acúmulo de função]])*30%+SUM(tabParametros[[#This Row],[Vale - Alimentação]:[Seguro de Vida]]))/tabParametros[[#This Row],[Vagas contratadas]]*tabParametros[[#This Row],[Vagas suspensas]],0)</f>
        <v>0</v>
      </c>
      <c r="AX61" s="234">
        <f>SUMIF(tabUniformes[Cargo],tabParametros[[#This Row],[Função]],tabUniformes[Valor unit. Mensal])</f>
        <v>100.80916666666666</v>
      </c>
      <c r="AY61" s="281">
        <f>IF(ISNUMBER(SEARCH("AUXILIAR DE LIMPEZA - 75 H",tabParametros[[#This Row],[Função]],1)),
SUMIF(tabLimpGeral[TIPO],"Material",tabLimpGeral[VALOR UNITÁRIO P/ HORA (R$)])*75,
IF(ISNUMBER(SEARCH("AUXILIAR DE LIMPEZA - 110 H",tabParametros[[#This Row],[Função]],1)),
SUMIF(tabLimpGeral[TIPO],"Material",tabLimpGeral[VALOR UNITÁRIO P/ HORA (R$)])*110,
IF(ISNUMBER(SEARCH("AUXILIAR DE LIMPEZA - 150 H",tabParametros[[#This Row],[Função]],1)),
SUMIF(tabLimpGeral[TIPO],"Material",tabLimpGeral[VALOR UNITÁRIO P/ HORA (R$)])*150,
IF(ISNUMBER(SEARCH("AUXILIAR DE LIMPEZA - 220 H",tabParametros[[#This Row],[Função]],1)),
SUMIF(tabLimpGeral[TIPO],"Material",tabLimpGeral[VALOR UNITÁRIO P/ HORA (R$)])*220,
IF(ISNUMBER(SEARCH("AUXILIAR DE LIMPEZA - 12 x 36",tabParametros[[#This Row],[Função]],1)),
SUMIF(tabLimpGeral[TIPO],"Material",tabLimpGeral[VALOR UNITÁRIO P/ HORA (R$)])*220,
IF(ISNUMBER(SEARCH("Limpador de vidros - 220 h",tabParametros[[#This Row],[Função]],1)),
SUMIF(tabVidros[TIPO],"Material",tabVidros[VALOR UNITÁRIO P/ POSTO (R$)]),
0))))))</f>
        <v>35.518212958583888</v>
      </c>
      <c r="AZ61" s="281">
        <f>IF(ISNUMBER(SEARCH("AUXILIAR DE LIMPEZA - 75 H",tabParametros[[#This Row],[Função]],1)),
SUMIF(tabLimpGeral[TIPO],"Equipamento",tabLimpGeral[VALOR UNITÁRIO P/ HORA (R$)])*75,
IF(ISNUMBER(SEARCH("AUXILIAR DE LIMPEZA - 110 H",tabParametros[[#This Row],[Função]],1)),
SUMIF(tabLimpGeral[TIPO],"Equipamento",tabLimpGeral[VALOR UNITÁRIO P/ HORA (R$)])*110,
IF(ISNUMBER(SEARCH("AUXILIAR DE LIMPEZA - 150 H",tabParametros[[#This Row],[Função]],1)),
SUMIF(tabLimpGeral[TIPO],"Equipamento",tabLimpGeral[VALOR UNITÁRIO P/ HORA (R$)])*150,
IF(ISNUMBER(SEARCH("AUXILIAR DE LIMPEZA - 220 H",tabParametros[[#This Row],[Função]],1)),
SUMIF(tabLimpGeral[TIPO],"Equipamento",tabLimpGeral[VALOR UNITÁRIO P/ HORA (R$)])*220,
IF(ISNUMBER(SEARCH("AUXILIAR DE LIMPEZA - 12 x 36",tabParametros[[#This Row],[Função]],1)),
SUMIF(tabLimpGeral[TIPO],"Equipamento",tabLimpGeral[VALOR UNITÁRIO P/ HORA (R$)])*220,
IF(ISNUMBER(SEARCH("Limpador de vidros - 220 h",tabParametros[[#This Row],[Função]],1)),
SUMIF(tabVidros[TIPO],"Equipamento",tabVidros[VALOR UNITÁRIO P/ POSTO (R$)]),
0))))))</f>
        <v>64.529393914825576</v>
      </c>
      <c r="BA61" s="281">
        <f>IF(ISNUMBER(SEARCH("AUXILIAR DE LIMPEZA - 75 H",tabParametros[[#This Row],[Função]],1)),
SUMIF(tabLimpGeral[TIPO],"Produto",tabLimpGeral[VALOR UNITÁRIO P/ HORA (R$)])*75,
IF(ISNUMBER(SEARCH("AUXILIAR DE LIMPEZA - 110 H",tabParametros[[#This Row],[Função]],1)),
SUMIF(tabLimpGeral[TIPO],"Produto",tabLimpGeral[VALOR UNITÁRIO P/ HORA (R$)])*110,
IF(ISNUMBER(SEARCH("AUXILIAR DE LIMPEZA - 150 H",tabParametros[[#This Row],[Função]],1)),
SUMIF(tabLimpGeral[TIPO],"Produto",tabLimpGeral[VALOR UNITÁRIO P/ HORA (R$)])*150,
IF(ISNUMBER(SEARCH("AUXILIAR DE LIMPEZA - 220 H",tabParametros[[#This Row],[Função]],1)),
SUMIF(tabLimpGeral[TIPO],"Produto",tabLimpGeral[VALOR UNITÁRIO P/ HORA (R$)])*220,
IF(ISNUMBER(SEARCH("AUXILIAR DE LIMPEZA - 12 x 36",tabParametros[[#This Row],[Função]],1)),
SUMIF(tabLimpGeral[TIPO],"Produto",tabLimpGeral[VALOR UNITÁRIO P/ HORA (R$)])*220,
IF(ISNUMBER(SEARCH("Limpador de vidros - 220 h",tabParametros[[#This Row],[Função]],1)),
SUMIF(tabVidros[TIPO],"Produto",tabVidros[VALOR UNITÁRIO P/ POSTO (R$)]),
0))))))</f>
        <v>690.27153277931654</v>
      </c>
      <c r="BB61" s="281">
        <v>0</v>
      </c>
      <c r="BC61" s="236">
        <f>VLOOKUP(tabParametros[[#Headers],[Custos Indiretos]],tabOutrosCustos[],3,0)</f>
        <v>189.64880140242613</v>
      </c>
      <c r="BD61" s="236">
        <f>VLOOKUP(tabParametros[[#Headers],[Lucro]],tabOutrosCustos[],3,0)</f>
        <v>159.30499317803796</v>
      </c>
      <c r="BE61" s="235">
        <f>VLOOKUP(tabParametros[[#Headers],[COFINS]],tabImpostosNacionais[],2,0)</f>
        <v>7.5999999999999998E-2</v>
      </c>
      <c r="BF61" s="235">
        <f>VLOOKUP(tabParametros[[#Headers],[PIS]],tabImpostosNacionais[],2,0)</f>
        <v>1.6500000000000001E-2</v>
      </c>
      <c r="BG61" s="235">
        <f>VLOOKUP(tabParametros[[#This Row],[Comarca]],tabComarca[],4,0)</f>
        <v>0.05</v>
      </c>
      <c r="BH61" s="238">
        <f>IFERROR(VLOOKUP(tabParametros[[#This Row],[CCT DA CATEGORIA]],tabSindicatos[],11,0),"")</f>
        <v>45658</v>
      </c>
      <c r="BI61" s="289" t="str">
        <f>IFERROR(VLOOKUP(tabParametros[[#This Row],[CCT DA CATEGORIA]],tabSindicatos[],12,0),"")</f>
        <v>-</v>
      </c>
      <c r="BJ61" s="293" t="str">
        <f>IFERROR(VLOOKUP(tabParametros[[#This Row],[CCT DA CATEGORIA]],tabSindicatos[],13,0),"")</f>
        <v>-</v>
      </c>
    </row>
    <row r="62" spans="1:62" x14ac:dyDescent="0.25">
      <c r="A62" s="233" t="s">
        <v>1402</v>
      </c>
      <c r="B62" s="198" t="s">
        <v>60</v>
      </c>
      <c r="C62" s="198" t="s">
        <v>1245</v>
      </c>
      <c r="D62" s="198" t="str">
        <f>VLOOKUP(tabParametros[[#This Row],[Código do Posto]],tabPostos[],4,0)</f>
        <v>Seethur</v>
      </c>
      <c r="E62" s="289" t="str">
        <f>VLOOKUP(tabParametros[[#This Row],[Código do Posto]],tabPostos[],5,0)</f>
        <v>Limpeza</v>
      </c>
      <c r="F62" s="289" t="str">
        <f>VLOOKUP(tabParametros[[#This Row],[Código do Posto]],tabPostos[],6,0)</f>
        <v>PGJ</v>
      </c>
      <c r="G62" s="289">
        <f>VLOOKUP(tabParametros[[#This Row],[Código do Posto]],tabPostos[],7,0)</f>
        <v>1</v>
      </c>
      <c r="H62" s="289">
        <f>VLOOKUP(tabParametros[[#This Row],[Código do Posto]],tabPostos[],8,0)</f>
        <v>0</v>
      </c>
      <c r="I62" s="234">
        <f>VLOOKUP(tabParametros[[#This Row],[Código do Posto]],tabPostos[],9,0)</f>
        <v>1596.28</v>
      </c>
      <c r="J62" s="234">
        <f>IF(ISNUMBER(SEARCH("Eletricista",tabParametros[[#This Row],[Função]],1)),0.3*tabParametros[[#This Row],[Salário Base]],0)</f>
        <v>0</v>
      </c>
      <c r="K62" s="234">
        <f>IF(OR(ISNUMBER(SEARCH("Bombeiro Hidraulico",tabParametros[[#This Row],[Função]],1)),ISNUMBER(SEARCH("Jardineiro",tabParametros[[#This Row],[Função]],1)),ISNUMBER(SEARCH("Lavador de Veiculos",tabParametros[[#This Row],[Função]],1)),ISNUMBER(SEARCH("Marceneiro",tabParametros[[#This Row],[Função]],1)),ISNUMBER(SEARCH("Pintor",tabParametros[[#This Row],[Função]],1))),0.2*'BASE GERAL'!$R$4,0)</f>
        <v>0</v>
      </c>
      <c r="L62" s="234">
        <f>IF(AND(ISNUMBER(SEARCH("Noturno",tabParametros[[#This Row],[Função]],1)),tabParametros[[#This Row],[Comarca]]&lt;&gt;"Juiz de Fora"),tabParametros[[#This Row],[Salário Base]]/210*0.39*7*15.5,IF(ISNUMBER(SEARCH("Noturno",tabParametros[[#This Row],[Função]],1)),tabParametros[[#This Row],[Salário Base]]/210*0.2*8*15.5,0))</f>
        <v>0</v>
      </c>
      <c r="M62" s="234">
        <f>IF(ISNUMBER(SEARCH("Motorista II",tabParametros[[#This Row],[Função]],1)),0.25*tabParametros[[#This Row],[Salário Base]],0)</f>
        <v>0</v>
      </c>
      <c r="N62" s="250">
        <v>0</v>
      </c>
      <c r="O62" s="234">
        <f>IF(ISNUMBER(SEARCH("TECNOLOGIA DA INFORMACAO",tabParametros[[#This Row],[Função]],1)),0.0201*tabParametros[[#This Row],[Salário Base]],0)</f>
        <v>0</v>
      </c>
      <c r="P62" s="250" cm="1">
        <f t="array" ref="P62">_xlfn.IFS(
ISNUMBER(SEARCH("Auxiliar de Limpeza - 75 h",tabParametros[[#This Row],[Função]],1)),tabParametros[[#This Row],[Salário Base]]/75*0.75*30*0.12,
ISNUMBER(SEARCH("Auxiliar de Limpeza - 110 h",tabParametros[[#This Row],[Função]],1)),tabParametros[[#This Row],[Salário Base]]/110*1*30*0.12,
ISNUMBER(SEARCH("Auxiliar de Limpeza - 150 h",tabParametros[[#This Row],[Função]],1)),tabParametros[[#This Row],[Salário Base]]/150*1.5*30*0.12,
ISNUMBER(SEARCH("Auxiliar de Limpeza - 220 h",tabParametros[[#This Row],[Função]],1)),tabParametros[[#This Row],[Salário Base]]/220*2*30*0.12,
ISNUMBER(SEARCH("Auxiliar de Limpeza - 12 x 36",tabParametros[[#This Row],[Função]],1)),tabParametros[[#This Row],[Salário Base]]/220*2*30*0.12,
ISNUMBER(SEARCH("Auxiliar de Limpeza - 55 h",tabParametros[[#This Row],[Função]],1))=FALSE,0)</f>
        <v>52.241890909090905</v>
      </c>
      <c r="Q62" s="235">
        <f>VLOOKUP(tabParametros[[#Headers],[INSS]],tabImpostosNacionais[],2,0)</f>
        <v>0.2</v>
      </c>
      <c r="R62" s="235">
        <f>VLOOKUP(tabParametros[[#Headers],[SESI OU SESC]],tabImpostosNacionais[],2,0)</f>
        <v>1.4999999999999999E-2</v>
      </c>
      <c r="S62" s="235">
        <f>VLOOKUP(tabParametros[[#Headers],[SENAI OU SENAC]],tabImpostosNacionais[],2,0)</f>
        <v>0.01</v>
      </c>
      <c r="T62" s="235">
        <f>VLOOKUP(tabParametros[[#Headers],[INCRA]],tabImpostosNacionais[],2,0)</f>
        <v>2E-3</v>
      </c>
      <c r="U62" s="235">
        <f>VLOOKUP(tabParametros[[#Headers],[Salário Educação]],tabImpostosNacionais[],2,0)</f>
        <v>2.5000000000000001E-2</v>
      </c>
      <c r="V62" s="235">
        <f>VLOOKUP(tabParametros[[#Headers],[FGTS]],tabImpostosNacionais[],2,0)</f>
        <v>0.08</v>
      </c>
      <c r="W62" s="235">
        <f>VLOOKUP(tabParametros[[#Headers],[RAT Ajustado]],tabImpostosNacionais[],2,0)</f>
        <v>0.04</v>
      </c>
      <c r="X62" s="235">
        <f>VLOOKUP(tabParametros[[#Headers],[SEBRAE]],tabImpostosNacionais[],2,0)</f>
        <v>6.0000000000000001E-3</v>
      </c>
      <c r="Y62" s="235">
        <f t="shared" si="0"/>
        <v>8.3333333333333329E-2</v>
      </c>
      <c r="Z62" s="251">
        <f t="shared" si="1"/>
        <v>0.1111111111111111</v>
      </c>
      <c r="AA62" s="234">
        <f>VLOOKUP(tabParametros[[#This Row],[Comarca]],tabComarca[],5,0)</f>
        <v>6.4</v>
      </c>
      <c r="AB62" s="234">
        <f>IFERROR(VLOOKUP(tabParametros[[#This Row],[CCT DA CATEGORIA]],tabSindicatos[],6,0),0)</f>
        <v>29.15</v>
      </c>
      <c r="AC62" s="234">
        <f>IFERROR(VLOOKUP(tabParametros[[#This Row],[CCT DA CATEGORIA]],tabSindicatos[],7,0),0)</f>
        <v>0</v>
      </c>
      <c r="AD62" s="234" cm="1">
        <f t="array" ref="AD62">_xlfn.LET(
_xlpm.COMARCA, TRIM(UPPER(SUBSTITUTE(SUBSTITUTE(SUBSTITUTE(SUBSTITUTE(SUBSTITUTE(SUBSTITUTE(SUBSTITUTE(SUBSTITUTE(SUBSTITUTE(SUBSTITUTE(SUBSTITUTE(SUBSTITUTE(SUBSTITUTE(SUBSTITUTE(SUBSTITUTE(SUBSTITUTE(SUBSTITUTE(SUBSTITUTE(SUBSTITUTE(SUBSTITUTE(SUBSTITUTE(SUBSTITUTE(SUBSTITUTE(SUBSTITUTE(SUBSTITUTE(SUBSTITUTE(tabParametros[[#This Row],[Comarca]],"á","a"),"ã","a"),"â","a"),"é","e"),"ê","e"),"í","i"),"ó","o"),"õ","o"),"ô","o"),"ú","u"),"ç","c"),"Á","a"),"Ã","a"),"Â","a"),"É","e"),"Ê","e"),"Í","i"),"Ó","o"),"Õ","o"),"Ô","o"),"Ú","u"),"Ç","c"),"/MG","")," e ",", ")," ",""),".",""))),
_xlpm.MATRIZ_COMARCA, TRIM(UPPER(SUBSTITUTE(SUBSTITUTE(SUBSTITUTE(SUBSTITUTE(SUBSTITUTE(SUBSTITUTE(SUBSTITUTE(SUBSTITUTE(SUBSTITUTE(SUBSTITUTE(SUBSTITUTE(SUBSTITUTE(SUBSTITUTE(SUBSTITUTE(SUBSTITUTE(SUBSTITUTE(SUBSTITUTE(SUBSTITUTE(SUBSTITUTE(SUBSTITUTE(SUBSTITUTE(SUBSTITUTE(SUBSTITUTE(SUBSTITUTE(SUBSTITUTE(SUBSTITUTE(tabSindicatos[COMARCAS PAF],"á","a"),"ã","a"),"â","a"),"é","e"),"ê","e"),"í","i"),"ó","o"),"õ","o"),"ô","o"),"ú","u"),"ç","c"),"Á","a"),"Ã","a"),"Â","a"),"É","e"),"Ê","e"),"Í","i"),"Ó","o"),"Õ","o"),"Ô","o"),"Ú","u"),"Ç","c"),"/MG","")," e ",", ")," ",""),".",""))),
IFERROR(IF(_xlfn.XLOOKUP(tabParametros[[#This Row],[CCT DA CATEGORIA]],tabSindicatos[SINDICATOS],tabSindicatos[COMARCAS PAF])="",
VLOOKUP(tabParametros[[#This Row],[CCT DA CATEGORIA]],tabSindicatos[],8,0),
IF(ISNUMBER(SEARCH(TRIM(_xlpm.COMARCA),_xlfn.XLOOKUP(tabParametros[[#This Row],[CCT DA CATEGORIA]],tabSindicatos[SINDICATOS],_xlpm.MATRIZ_COMARCA),1)),VLOOKUP(tabParametros[[#This Row],[CCT DA CATEGORIA]],tabSindicatos[],8,0),0)
),0)
)</f>
        <v>51.86</v>
      </c>
      <c r="AE62" s="234">
        <f>IFERROR(VLOOKUP(tabParametros[[#This Row],[CCT DA CATEGORIA]],tabSindicatos[],9,0),0)</f>
        <v>0</v>
      </c>
      <c r="AF62" s="234">
        <f>IFERROR(VLOOKUP(tabParametros[[#This Row],[CCT DA CATEGORIA]],tabSindicatos[],10,0),0)</f>
        <v>0</v>
      </c>
      <c r="AG62" s="236">
        <f>VLOOKUP(tabParametros[[#Headers],[Seguro de Vida]],tabOutrosCustos[],3,0)</f>
        <v>3.36</v>
      </c>
      <c r="AH62" s="236">
        <f>IF(ISNUMBER(SEARCH("MOTORISTA",tabParametros[[#This Row],[Função]],1)),VLOOKUP("MOTORISTAS",tabDiarias[],2,0),IF(tabParametros[[#This Row],[Comarca]]="Belo Horizonte",VLOOKUP("LIMPEZA",tabDiarias[],2,0),0))</f>
        <v>0</v>
      </c>
      <c r="AI62" s="235">
        <f t="shared" si="2"/>
        <v>7.011766975308642E-3</v>
      </c>
      <c r="AJ62" s="237">
        <f>tabParametros[[#This Row],[FGTS]]*tabParametros[[#This Row],[Aviso Prévio Indenizado (API) e Reflexo do Aviso Prévio Indenizado]]</f>
        <v>5.609413580246914E-4</v>
      </c>
      <c r="AK62" s="237">
        <f>tabParametros[[#This Row],[FGTS]]*tabParametros[[#This Row],[Aviso Prévio Indenizado (API) e Reflexo do Aviso Prévio Indenizado]]*40%</f>
        <v>2.2437654320987658E-4</v>
      </c>
      <c r="AL62" s="235">
        <f t="shared" si="3"/>
        <v>3.5000000000000005E-3</v>
      </c>
      <c r="AM62" s="235">
        <f>tabParametros[[#This Row],[Aviso Prévio Trabalhado - APT]]*SUM(tabParametros[[#This Row],[INSS]:[SEBRAE]])</f>
        <v>1.3230000000000004E-3</v>
      </c>
      <c r="AN62" s="235">
        <f t="shared" si="4"/>
        <v>3.0577777777777773E-2</v>
      </c>
      <c r="AO62" s="235">
        <f t="shared" si="5"/>
        <v>8.3333333333333339E-4</v>
      </c>
      <c r="AP62" s="235">
        <f t="shared" si="6"/>
        <v>8.4444444444444437E-3</v>
      </c>
      <c r="AQ62" s="235">
        <f t="shared" si="7"/>
        <v>2.0277777777777777E-3</v>
      </c>
      <c r="AR62" s="235">
        <f t="shared" si="8"/>
        <v>1.7083333333333333E-4</v>
      </c>
      <c r="AS62" s="235">
        <f t="shared" si="9"/>
        <v>2.0833333333333335E-4</v>
      </c>
      <c r="AT62" s="235">
        <f t="shared" si="10"/>
        <v>1.2962962962962963E-3</v>
      </c>
      <c r="AU62" s="237">
        <f>SUM(tabParametros[[#This Row],[Ausência por Doença]:[Férias, Adicional de Férias e 13º  com empregada em gozo de Licença Maternidade]])*SUM(tabParametros[[#This Row],[INSS]:[SEBRAE]])</f>
        <v>4.5918250000000008E-3</v>
      </c>
      <c r="AV62" s="234">
        <f>IF(tabParametros[[#This Row],[Função]]="Porteiro - 220 h",SUM(tabParametros[[#This Row],[Salário Base]:[Adicional de Acúmulo de função]])/220*20*1.5,IF(ISNUMBER(SEARCH("12 x 36",tabParametros[[#This Row],[Função]],1)),SUM(tabParametros[[#This Row],[Salário Base]:[Adicional de Acúmulo de função]])/210*15.5*1.5,0))</f>
        <v>0</v>
      </c>
      <c r="AW62" s="234">
        <f>IF(tabParametros[[#This Row],[Vagas contratadas]]&gt;0,(SUM(tabParametros[[#This Row],[Salário Base]:[Adicional de Acúmulo de função]])*30%+SUM(tabParametros[[#This Row],[Vale - Alimentação]:[Seguro de Vida]]))/tabParametros[[#This Row],[Vagas contratadas]]*tabParametros[[#This Row],[Vagas suspensas]],0)</f>
        <v>0</v>
      </c>
      <c r="AX62" s="234">
        <f>SUMIF(tabUniformes[Cargo],tabParametros[[#This Row],[Função]],tabUniformes[Valor unit. Mensal])</f>
        <v>100.80916666666666</v>
      </c>
      <c r="AY62" s="281">
        <f>IF(ISNUMBER(SEARCH("AUXILIAR DE LIMPEZA - 75 H",tabParametros[[#This Row],[Função]],1)),
SUMIF(tabLimpGeral[TIPO],"Material",tabLimpGeral[VALOR UNITÁRIO P/ HORA (R$)])*75,
IF(ISNUMBER(SEARCH("AUXILIAR DE LIMPEZA - 110 H",tabParametros[[#This Row],[Função]],1)),
SUMIF(tabLimpGeral[TIPO],"Material",tabLimpGeral[VALOR UNITÁRIO P/ HORA (R$)])*110,
IF(ISNUMBER(SEARCH("AUXILIAR DE LIMPEZA - 150 H",tabParametros[[#This Row],[Função]],1)),
SUMIF(tabLimpGeral[TIPO],"Material",tabLimpGeral[VALOR UNITÁRIO P/ HORA (R$)])*150,
IF(ISNUMBER(SEARCH("AUXILIAR DE LIMPEZA - 220 H",tabParametros[[#This Row],[Função]],1)),
SUMIF(tabLimpGeral[TIPO],"Material",tabLimpGeral[VALOR UNITÁRIO P/ HORA (R$)])*220,
IF(ISNUMBER(SEARCH("AUXILIAR DE LIMPEZA - 12 x 36",tabParametros[[#This Row],[Função]],1)),
SUMIF(tabLimpGeral[TIPO],"Material",tabLimpGeral[VALOR UNITÁRIO P/ HORA (R$)])*220,
IF(ISNUMBER(SEARCH("Limpador de vidros - 220 h",tabParametros[[#This Row],[Função]],1)),
SUMIF(tabVidros[TIPO],"Material",tabVidros[VALOR UNITÁRIO P/ POSTO (R$)]),
0))))))</f>
        <v>35.518212958583888</v>
      </c>
      <c r="AZ62" s="281">
        <f>IF(ISNUMBER(SEARCH("AUXILIAR DE LIMPEZA - 75 H",tabParametros[[#This Row],[Função]],1)),
SUMIF(tabLimpGeral[TIPO],"Equipamento",tabLimpGeral[VALOR UNITÁRIO P/ HORA (R$)])*75,
IF(ISNUMBER(SEARCH("AUXILIAR DE LIMPEZA - 110 H",tabParametros[[#This Row],[Função]],1)),
SUMIF(tabLimpGeral[TIPO],"Equipamento",tabLimpGeral[VALOR UNITÁRIO P/ HORA (R$)])*110,
IF(ISNUMBER(SEARCH("AUXILIAR DE LIMPEZA - 150 H",tabParametros[[#This Row],[Função]],1)),
SUMIF(tabLimpGeral[TIPO],"Equipamento",tabLimpGeral[VALOR UNITÁRIO P/ HORA (R$)])*150,
IF(ISNUMBER(SEARCH("AUXILIAR DE LIMPEZA - 220 H",tabParametros[[#This Row],[Função]],1)),
SUMIF(tabLimpGeral[TIPO],"Equipamento",tabLimpGeral[VALOR UNITÁRIO P/ HORA (R$)])*220,
IF(ISNUMBER(SEARCH("AUXILIAR DE LIMPEZA - 12 x 36",tabParametros[[#This Row],[Função]],1)),
SUMIF(tabLimpGeral[TIPO],"Equipamento",tabLimpGeral[VALOR UNITÁRIO P/ HORA (R$)])*220,
IF(ISNUMBER(SEARCH("Limpador de vidros - 220 h",tabParametros[[#This Row],[Função]],1)),
SUMIF(tabVidros[TIPO],"Equipamento",tabVidros[VALOR UNITÁRIO P/ POSTO (R$)]),
0))))))</f>
        <v>64.529393914825576</v>
      </c>
      <c r="BA62" s="281">
        <f>IF(ISNUMBER(SEARCH("AUXILIAR DE LIMPEZA - 75 H",tabParametros[[#This Row],[Função]],1)),
SUMIF(tabLimpGeral[TIPO],"Produto",tabLimpGeral[VALOR UNITÁRIO P/ HORA (R$)])*75,
IF(ISNUMBER(SEARCH("AUXILIAR DE LIMPEZA - 110 H",tabParametros[[#This Row],[Função]],1)),
SUMIF(tabLimpGeral[TIPO],"Produto",tabLimpGeral[VALOR UNITÁRIO P/ HORA (R$)])*110,
IF(ISNUMBER(SEARCH("AUXILIAR DE LIMPEZA - 150 H",tabParametros[[#This Row],[Função]],1)),
SUMIF(tabLimpGeral[TIPO],"Produto",tabLimpGeral[VALOR UNITÁRIO P/ HORA (R$)])*150,
IF(ISNUMBER(SEARCH("AUXILIAR DE LIMPEZA - 220 H",tabParametros[[#This Row],[Função]],1)),
SUMIF(tabLimpGeral[TIPO],"Produto",tabLimpGeral[VALOR UNITÁRIO P/ HORA (R$)])*220,
IF(ISNUMBER(SEARCH("AUXILIAR DE LIMPEZA - 12 x 36",tabParametros[[#This Row],[Função]],1)),
SUMIF(tabLimpGeral[TIPO],"Produto",tabLimpGeral[VALOR UNITÁRIO P/ HORA (R$)])*220,
IF(ISNUMBER(SEARCH("Limpador de vidros - 220 h",tabParametros[[#This Row],[Função]],1)),
SUMIF(tabVidros[TIPO],"Produto",tabVidros[VALOR UNITÁRIO P/ POSTO (R$)]),
0))))))</f>
        <v>690.27153277931654</v>
      </c>
      <c r="BB62" s="281">
        <v>0</v>
      </c>
      <c r="BC62" s="236">
        <f>VLOOKUP(tabParametros[[#Headers],[Custos Indiretos]],tabOutrosCustos[],3,0)</f>
        <v>189.64880140242613</v>
      </c>
      <c r="BD62" s="236">
        <f>VLOOKUP(tabParametros[[#Headers],[Lucro]],tabOutrosCustos[],3,0)</f>
        <v>159.30499317803796</v>
      </c>
      <c r="BE62" s="235">
        <f>VLOOKUP(tabParametros[[#Headers],[COFINS]],tabImpostosNacionais[],2,0)</f>
        <v>7.5999999999999998E-2</v>
      </c>
      <c r="BF62" s="235">
        <f>VLOOKUP(tabParametros[[#Headers],[PIS]],tabImpostosNacionais[],2,0)</f>
        <v>1.6500000000000001E-2</v>
      </c>
      <c r="BG62" s="235">
        <f>VLOOKUP(tabParametros[[#This Row],[Comarca]],tabComarca[],4,0)</f>
        <v>0.03</v>
      </c>
      <c r="BH62" s="238">
        <f>IFERROR(VLOOKUP(tabParametros[[#This Row],[CCT DA CATEGORIA]],tabSindicatos[],11,0),"")</f>
        <v>45658</v>
      </c>
      <c r="BI62" s="289" t="str">
        <f>IFERROR(VLOOKUP(tabParametros[[#This Row],[CCT DA CATEGORIA]],tabSindicatos[],12,0),"")</f>
        <v>-</v>
      </c>
      <c r="BJ62" s="293" t="str">
        <f>IFERROR(VLOOKUP(tabParametros[[#This Row],[CCT DA CATEGORIA]],tabSindicatos[],13,0),"")</f>
        <v>-</v>
      </c>
    </row>
    <row r="63" spans="1:62" x14ac:dyDescent="0.25">
      <c r="A63" s="233" t="s">
        <v>1403</v>
      </c>
      <c r="B63" s="198" t="s">
        <v>61</v>
      </c>
      <c r="C63" s="198" t="s">
        <v>1247</v>
      </c>
      <c r="D63" s="198" t="str">
        <f>VLOOKUP(tabParametros[[#This Row],[Código do Posto]],tabPostos[],4,0)</f>
        <v>Regiao de Teofilo Otoni</v>
      </c>
      <c r="E63" s="289" t="str">
        <f>VLOOKUP(tabParametros[[#This Row],[Código do Posto]],tabPostos[],5,0)</f>
        <v>Limpeza</v>
      </c>
      <c r="F63" s="289" t="str">
        <f>VLOOKUP(tabParametros[[#This Row],[Código do Posto]],tabPostos[],6,0)</f>
        <v>PGJ</v>
      </c>
      <c r="G63" s="289">
        <f>VLOOKUP(tabParametros[[#This Row],[Código do Posto]],tabPostos[],7,0)</f>
        <v>1</v>
      </c>
      <c r="H63" s="289">
        <f>VLOOKUP(tabParametros[[#This Row],[Código do Posto]],tabPostos[],8,0)</f>
        <v>0</v>
      </c>
      <c r="I63" s="234">
        <f>VLOOKUP(tabParametros[[#This Row],[Código do Posto]],tabPostos[],9,0)</f>
        <v>544.17999999999995</v>
      </c>
      <c r="J63" s="234">
        <f>IF(ISNUMBER(SEARCH("Eletricista",tabParametros[[#This Row],[Função]],1)),0.3*tabParametros[[#This Row],[Salário Base]],0)</f>
        <v>0</v>
      </c>
      <c r="K63" s="234">
        <f>IF(OR(ISNUMBER(SEARCH("Bombeiro Hidraulico",tabParametros[[#This Row],[Função]],1)),ISNUMBER(SEARCH("Jardineiro",tabParametros[[#This Row],[Função]],1)),ISNUMBER(SEARCH("Lavador de Veiculos",tabParametros[[#This Row],[Função]],1)),ISNUMBER(SEARCH("Marceneiro",tabParametros[[#This Row],[Função]],1)),ISNUMBER(SEARCH("Pintor",tabParametros[[#This Row],[Função]],1))),0.2*'BASE GERAL'!$R$4,0)</f>
        <v>0</v>
      </c>
      <c r="L63" s="234">
        <f>IF(AND(ISNUMBER(SEARCH("Noturno",tabParametros[[#This Row],[Função]],1)),tabParametros[[#This Row],[Comarca]]&lt;&gt;"Juiz de Fora"),tabParametros[[#This Row],[Salário Base]]/210*0.39*7*15.5,IF(ISNUMBER(SEARCH("Noturno",tabParametros[[#This Row],[Função]],1)),tabParametros[[#This Row],[Salário Base]]/210*0.2*8*15.5,0))</f>
        <v>0</v>
      </c>
      <c r="M63" s="234">
        <f>IF(ISNUMBER(SEARCH("Motorista II",tabParametros[[#This Row],[Função]],1)),0.25*tabParametros[[#This Row],[Salário Base]],0)</f>
        <v>0</v>
      </c>
      <c r="N63" s="250">
        <v>0</v>
      </c>
      <c r="O63" s="234">
        <f>IF(ISNUMBER(SEARCH("TECNOLOGIA DA INFORMACAO",tabParametros[[#This Row],[Função]],1)),0.0201*tabParametros[[#This Row],[Salário Base]],0)</f>
        <v>0</v>
      </c>
      <c r="P63" s="250" cm="1">
        <f t="array" ref="P63">_xlfn.IFS(
ISNUMBER(SEARCH("Auxiliar de Limpeza - 75 h",tabParametros[[#This Row],[Função]],1)),tabParametros[[#This Row],[Salário Base]]/75*0.75*30*0.12,
ISNUMBER(SEARCH("Auxiliar de Limpeza - 110 h",tabParametros[[#This Row],[Função]],1)),tabParametros[[#This Row],[Salário Base]]/110*1*30*0.12,
ISNUMBER(SEARCH("Auxiliar de Limpeza - 150 h",tabParametros[[#This Row],[Função]],1)),tabParametros[[#This Row],[Salário Base]]/150*1.5*30*0.12,
ISNUMBER(SEARCH("Auxiliar de Limpeza - 220 h",tabParametros[[#This Row],[Função]],1)),tabParametros[[#This Row],[Salário Base]]/220*2*30*0.12,
ISNUMBER(SEARCH("Auxiliar de Limpeza - 12 x 36",tabParametros[[#This Row],[Função]],1)),tabParametros[[#This Row],[Salário Base]]/220*2*30*0.12,
ISNUMBER(SEARCH("Auxiliar de Limpeza - 55 h",tabParametros[[#This Row],[Função]],1))=FALSE,0)</f>
        <v>19.590479999999999</v>
      </c>
      <c r="Q63" s="235">
        <f>VLOOKUP(tabParametros[[#Headers],[INSS]],tabImpostosNacionais[],2,0)</f>
        <v>0.2</v>
      </c>
      <c r="R63" s="235">
        <f>VLOOKUP(tabParametros[[#Headers],[SESI OU SESC]],tabImpostosNacionais[],2,0)</f>
        <v>1.4999999999999999E-2</v>
      </c>
      <c r="S63" s="235">
        <f>VLOOKUP(tabParametros[[#Headers],[SENAI OU SENAC]],tabImpostosNacionais[],2,0)</f>
        <v>0.01</v>
      </c>
      <c r="T63" s="235">
        <f>VLOOKUP(tabParametros[[#Headers],[INCRA]],tabImpostosNacionais[],2,0)</f>
        <v>2E-3</v>
      </c>
      <c r="U63" s="235">
        <f>VLOOKUP(tabParametros[[#Headers],[Salário Educação]],tabImpostosNacionais[],2,0)</f>
        <v>2.5000000000000001E-2</v>
      </c>
      <c r="V63" s="235">
        <f>VLOOKUP(tabParametros[[#Headers],[FGTS]],tabImpostosNacionais[],2,0)</f>
        <v>0.08</v>
      </c>
      <c r="W63" s="235">
        <f>VLOOKUP(tabParametros[[#Headers],[RAT Ajustado]],tabImpostosNacionais[],2,0)</f>
        <v>0.04</v>
      </c>
      <c r="X63" s="235">
        <f>VLOOKUP(tabParametros[[#Headers],[SEBRAE]],tabImpostosNacionais[],2,0)</f>
        <v>6.0000000000000001E-3</v>
      </c>
      <c r="Y63" s="235">
        <f t="shared" si="0"/>
        <v>8.3333333333333329E-2</v>
      </c>
      <c r="Z63" s="251">
        <f t="shared" si="1"/>
        <v>0.1111111111111111</v>
      </c>
      <c r="AA63" s="234">
        <f>VLOOKUP(tabParametros[[#This Row],[Comarca]],tabComarca[],5,0)</f>
        <v>6.4</v>
      </c>
      <c r="AB63" s="234">
        <f>IFERROR(VLOOKUP(tabParametros[[#This Row],[CCT DA CATEGORIA]],tabSindicatos[],6,0),0)</f>
        <v>29.15</v>
      </c>
      <c r="AC63" s="234">
        <f>IFERROR(VLOOKUP(tabParametros[[#This Row],[CCT DA CATEGORIA]],tabSindicatos[],7,0),0)</f>
        <v>0</v>
      </c>
      <c r="AD63" s="234" cm="1">
        <f t="array" ref="AD63">_xlfn.LET(
_xlpm.COMARCA, TRIM(UPPER(SUBSTITUTE(SUBSTITUTE(SUBSTITUTE(SUBSTITUTE(SUBSTITUTE(SUBSTITUTE(SUBSTITUTE(SUBSTITUTE(SUBSTITUTE(SUBSTITUTE(SUBSTITUTE(SUBSTITUTE(SUBSTITUTE(SUBSTITUTE(SUBSTITUTE(SUBSTITUTE(SUBSTITUTE(SUBSTITUTE(SUBSTITUTE(SUBSTITUTE(SUBSTITUTE(SUBSTITUTE(SUBSTITUTE(SUBSTITUTE(SUBSTITUTE(SUBSTITUTE(tabParametros[[#This Row],[Comarca]],"á","a"),"ã","a"),"â","a"),"é","e"),"ê","e"),"í","i"),"ó","o"),"õ","o"),"ô","o"),"ú","u"),"ç","c"),"Á","a"),"Ã","a"),"Â","a"),"É","e"),"Ê","e"),"Í","i"),"Ó","o"),"Õ","o"),"Ô","o"),"Ú","u"),"Ç","c"),"/MG","")," e ",", ")," ",""),".",""))),
_xlpm.MATRIZ_COMARCA, TRIM(UPPER(SUBSTITUTE(SUBSTITUTE(SUBSTITUTE(SUBSTITUTE(SUBSTITUTE(SUBSTITUTE(SUBSTITUTE(SUBSTITUTE(SUBSTITUTE(SUBSTITUTE(SUBSTITUTE(SUBSTITUTE(SUBSTITUTE(SUBSTITUTE(SUBSTITUTE(SUBSTITUTE(SUBSTITUTE(SUBSTITUTE(SUBSTITUTE(SUBSTITUTE(SUBSTITUTE(SUBSTITUTE(SUBSTITUTE(SUBSTITUTE(SUBSTITUTE(SUBSTITUTE(tabSindicatos[COMARCAS PAF],"á","a"),"ã","a"),"â","a"),"é","e"),"ê","e"),"í","i"),"ó","o"),"õ","o"),"ô","o"),"ú","u"),"ç","c"),"Á","a"),"Ã","a"),"Â","a"),"É","e"),"Ê","e"),"Í","i"),"Ó","o"),"Õ","o"),"Ô","o"),"Ú","u"),"Ç","c"),"/MG","")," e ",", ")," ",""),".",""))),
IFERROR(IF(_xlfn.XLOOKUP(tabParametros[[#This Row],[CCT DA CATEGORIA]],tabSindicatos[SINDICATOS],tabSindicatos[COMARCAS PAF])="",
VLOOKUP(tabParametros[[#This Row],[CCT DA CATEGORIA]],tabSindicatos[],8,0),
IF(ISNUMBER(SEARCH(TRIM(_xlpm.COMARCA),_xlfn.XLOOKUP(tabParametros[[#This Row],[CCT DA CATEGORIA]],tabSindicatos[SINDICATOS],_xlpm.MATRIZ_COMARCA),1)),VLOOKUP(tabParametros[[#This Row],[CCT DA CATEGORIA]],tabSindicatos[],8,0),0)
),0)
)</f>
        <v>0</v>
      </c>
      <c r="AE63" s="234">
        <f>IFERROR(VLOOKUP(tabParametros[[#This Row],[CCT DA CATEGORIA]],tabSindicatos[],9,0),0)</f>
        <v>15.07</v>
      </c>
      <c r="AF63" s="234">
        <f>IFERROR(VLOOKUP(tabParametros[[#This Row],[CCT DA CATEGORIA]],tabSindicatos[],10,0),0)</f>
        <v>0</v>
      </c>
      <c r="AG63" s="236">
        <f>VLOOKUP(tabParametros[[#Headers],[Seguro de Vida]],tabOutrosCustos[],3,0)</f>
        <v>3.36</v>
      </c>
      <c r="AH63" s="236">
        <f>IF(ISNUMBER(SEARCH("MOTORISTA",tabParametros[[#This Row],[Função]],1)),VLOOKUP("MOTORISTAS",tabDiarias[],2,0),IF(tabParametros[[#This Row],[Comarca]]="Belo Horizonte",VLOOKUP("LIMPEZA",tabDiarias[],2,0),0))</f>
        <v>0</v>
      </c>
      <c r="AI63" s="235">
        <f t="shared" si="2"/>
        <v>7.011766975308642E-3</v>
      </c>
      <c r="AJ63" s="237">
        <f>tabParametros[[#This Row],[FGTS]]*tabParametros[[#This Row],[Aviso Prévio Indenizado (API) e Reflexo do Aviso Prévio Indenizado]]</f>
        <v>5.609413580246914E-4</v>
      </c>
      <c r="AK63" s="237">
        <f>tabParametros[[#This Row],[FGTS]]*tabParametros[[#This Row],[Aviso Prévio Indenizado (API) e Reflexo do Aviso Prévio Indenizado]]*40%</f>
        <v>2.2437654320987658E-4</v>
      </c>
      <c r="AL63" s="235">
        <f t="shared" si="3"/>
        <v>3.5000000000000005E-3</v>
      </c>
      <c r="AM63" s="235">
        <f>tabParametros[[#This Row],[Aviso Prévio Trabalhado - APT]]*SUM(tabParametros[[#This Row],[INSS]:[SEBRAE]])</f>
        <v>1.3230000000000004E-3</v>
      </c>
      <c r="AN63" s="235">
        <f t="shared" si="4"/>
        <v>3.0577777777777773E-2</v>
      </c>
      <c r="AO63" s="235">
        <f t="shared" si="5"/>
        <v>8.3333333333333339E-4</v>
      </c>
      <c r="AP63" s="235">
        <f t="shared" si="6"/>
        <v>8.4444444444444437E-3</v>
      </c>
      <c r="AQ63" s="235">
        <f t="shared" si="7"/>
        <v>2.0277777777777777E-3</v>
      </c>
      <c r="AR63" s="235">
        <f t="shared" si="8"/>
        <v>1.7083333333333333E-4</v>
      </c>
      <c r="AS63" s="235">
        <f t="shared" si="9"/>
        <v>2.0833333333333335E-4</v>
      </c>
      <c r="AT63" s="235">
        <f t="shared" si="10"/>
        <v>1.2962962962962963E-3</v>
      </c>
      <c r="AU63" s="237">
        <f>SUM(tabParametros[[#This Row],[Ausência por Doença]:[Férias, Adicional de Férias e 13º  com empregada em gozo de Licença Maternidade]])*SUM(tabParametros[[#This Row],[INSS]:[SEBRAE]])</f>
        <v>4.5918250000000008E-3</v>
      </c>
      <c r="AV63" s="234">
        <f>IF(tabParametros[[#This Row],[Função]]="Porteiro - 220 h",SUM(tabParametros[[#This Row],[Salário Base]:[Adicional de Acúmulo de função]])/220*20*1.5,IF(ISNUMBER(SEARCH("12 x 36",tabParametros[[#This Row],[Função]],1)),SUM(tabParametros[[#This Row],[Salário Base]:[Adicional de Acúmulo de função]])/210*15.5*1.5,0))</f>
        <v>0</v>
      </c>
      <c r="AW63" s="234">
        <f>IF(tabParametros[[#This Row],[Vagas contratadas]]&gt;0,(SUM(tabParametros[[#This Row],[Salário Base]:[Adicional de Acúmulo de função]])*30%+SUM(tabParametros[[#This Row],[Vale - Alimentação]:[Seguro de Vida]]))/tabParametros[[#This Row],[Vagas contratadas]]*tabParametros[[#This Row],[Vagas suspensas]],0)</f>
        <v>0</v>
      </c>
      <c r="AX63" s="234">
        <f>SUMIF(tabUniformes[Cargo],tabParametros[[#This Row],[Função]],tabUniformes[Valor unit. Mensal])</f>
        <v>62.806666666666665</v>
      </c>
      <c r="AY63" s="281">
        <f>IF(ISNUMBER(SEARCH("AUXILIAR DE LIMPEZA - 75 H",tabParametros[[#This Row],[Função]],1)),
SUMIF(tabLimpGeral[TIPO],"Material",tabLimpGeral[VALOR UNITÁRIO P/ HORA (R$)])*75,
IF(ISNUMBER(SEARCH("AUXILIAR DE LIMPEZA - 110 H",tabParametros[[#This Row],[Função]],1)),
SUMIF(tabLimpGeral[TIPO],"Material",tabLimpGeral[VALOR UNITÁRIO P/ HORA (R$)])*110,
IF(ISNUMBER(SEARCH("AUXILIAR DE LIMPEZA - 150 H",tabParametros[[#This Row],[Função]],1)),
SUMIF(tabLimpGeral[TIPO],"Material",tabLimpGeral[VALOR UNITÁRIO P/ HORA (R$)])*150,
IF(ISNUMBER(SEARCH("AUXILIAR DE LIMPEZA - 220 H",tabParametros[[#This Row],[Função]],1)),
SUMIF(tabLimpGeral[TIPO],"Material",tabLimpGeral[VALOR UNITÁRIO P/ HORA (R$)])*220,
IF(ISNUMBER(SEARCH("AUXILIAR DE LIMPEZA - 12 x 36",tabParametros[[#This Row],[Função]],1)),
SUMIF(tabLimpGeral[TIPO],"Material",tabLimpGeral[VALOR UNITÁRIO P/ HORA (R$)])*220,
IF(ISNUMBER(SEARCH("Limpador de vidros - 220 h",tabParametros[[#This Row],[Função]],1)),
SUMIF(tabVidros[TIPO],"Material",tabVidros[VALOR UNITÁRIO P/ POSTO (R$)]),
0))))))</f>
        <v>12.108481690426325</v>
      </c>
      <c r="AZ63" s="281">
        <f>IF(ISNUMBER(SEARCH("AUXILIAR DE LIMPEZA - 75 H",tabParametros[[#This Row],[Função]],1)),
SUMIF(tabLimpGeral[TIPO],"Equipamento",tabLimpGeral[VALOR UNITÁRIO P/ HORA (R$)])*75,
IF(ISNUMBER(SEARCH("AUXILIAR DE LIMPEZA - 110 H",tabParametros[[#This Row],[Função]],1)),
SUMIF(tabLimpGeral[TIPO],"Equipamento",tabLimpGeral[VALOR UNITÁRIO P/ HORA (R$)])*110,
IF(ISNUMBER(SEARCH("AUXILIAR DE LIMPEZA - 150 H",tabParametros[[#This Row],[Função]],1)),
SUMIF(tabLimpGeral[TIPO],"Equipamento",tabLimpGeral[VALOR UNITÁRIO P/ HORA (R$)])*150,
IF(ISNUMBER(SEARCH("AUXILIAR DE LIMPEZA - 220 H",tabParametros[[#This Row],[Função]],1)),
SUMIF(tabLimpGeral[TIPO],"Equipamento",tabLimpGeral[VALOR UNITÁRIO P/ HORA (R$)])*220,
IF(ISNUMBER(SEARCH("AUXILIAR DE LIMPEZA - 12 x 36",tabParametros[[#This Row],[Função]],1)),
SUMIF(tabLimpGeral[TIPO],"Equipamento",tabLimpGeral[VALOR UNITÁRIO P/ HORA (R$)])*220,
IF(ISNUMBER(SEARCH("Limpador de vidros - 220 h",tabParametros[[#This Row],[Função]],1)),
SUMIF(tabVidros[TIPO],"Equipamento",tabVidros[VALOR UNITÁRIO P/ POSTO (R$)]),
0))))))</f>
        <v>21.998657016417809</v>
      </c>
      <c r="BA63" s="281">
        <f>IF(ISNUMBER(SEARCH("AUXILIAR DE LIMPEZA - 75 H",tabParametros[[#This Row],[Função]],1)),
SUMIF(tabLimpGeral[TIPO],"Produto",tabLimpGeral[VALOR UNITÁRIO P/ HORA (R$)])*75,
IF(ISNUMBER(SEARCH("AUXILIAR DE LIMPEZA - 110 H",tabParametros[[#This Row],[Função]],1)),
SUMIF(tabLimpGeral[TIPO],"Produto",tabLimpGeral[VALOR UNITÁRIO P/ HORA (R$)])*110,
IF(ISNUMBER(SEARCH("AUXILIAR DE LIMPEZA - 150 H",tabParametros[[#This Row],[Função]],1)),
SUMIF(tabLimpGeral[TIPO],"Produto",tabLimpGeral[VALOR UNITÁRIO P/ HORA (R$)])*150,
IF(ISNUMBER(SEARCH("AUXILIAR DE LIMPEZA - 220 H",tabParametros[[#This Row],[Função]],1)),
SUMIF(tabLimpGeral[TIPO],"Produto",tabLimpGeral[VALOR UNITÁRIO P/ HORA (R$)])*220,
IF(ISNUMBER(SEARCH("AUXILIAR DE LIMPEZA - 12 x 36",tabParametros[[#This Row],[Função]],1)),
SUMIF(tabLimpGeral[TIPO],"Produto",tabLimpGeral[VALOR UNITÁRIO P/ HORA (R$)])*220,
IF(ISNUMBER(SEARCH("Limpador de vidros - 220 h",tabParametros[[#This Row],[Função]],1)),
SUMIF(tabVidros[TIPO],"Produto",tabVidros[VALOR UNITÁRIO P/ POSTO (R$)]),
0))))))</f>
        <v>235.31984072022155</v>
      </c>
      <c r="BB63" s="281">
        <v>0</v>
      </c>
      <c r="BC63" s="236">
        <f>VLOOKUP(tabParametros[[#Headers],[Custos Indiretos]],tabOutrosCustos[],3,0)</f>
        <v>189.64880140242613</v>
      </c>
      <c r="BD63" s="236">
        <f>VLOOKUP(tabParametros[[#Headers],[Lucro]],tabOutrosCustos[],3,0)</f>
        <v>159.30499317803796</v>
      </c>
      <c r="BE63" s="235">
        <f>VLOOKUP(tabParametros[[#Headers],[COFINS]],tabImpostosNacionais[],2,0)</f>
        <v>7.5999999999999998E-2</v>
      </c>
      <c r="BF63" s="235">
        <f>VLOOKUP(tabParametros[[#Headers],[PIS]],tabImpostosNacionais[],2,0)</f>
        <v>1.6500000000000001E-2</v>
      </c>
      <c r="BG63" s="235">
        <f>VLOOKUP(tabParametros[[#This Row],[Comarca]],tabComarca[],4,0)</f>
        <v>0.05</v>
      </c>
      <c r="BH63" s="238">
        <f>IFERROR(VLOOKUP(tabParametros[[#This Row],[CCT DA CATEGORIA]],tabSindicatos[],11,0),"")</f>
        <v>45658</v>
      </c>
      <c r="BI63" s="289" t="str">
        <f>IFERROR(VLOOKUP(tabParametros[[#This Row],[CCT DA CATEGORIA]],tabSindicatos[],12,0),"")</f>
        <v>-</v>
      </c>
      <c r="BJ63" s="293" t="str">
        <f>IFERROR(VLOOKUP(tabParametros[[#This Row],[CCT DA CATEGORIA]],tabSindicatos[],13,0),"")</f>
        <v>-</v>
      </c>
    </row>
    <row r="64" spans="1:62" x14ac:dyDescent="0.25">
      <c r="A64" s="233" t="s">
        <v>1404</v>
      </c>
      <c r="B64" s="198" t="s">
        <v>62</v>
      </c>
      <c r="C64" s="198" t="s">
        <v>1245</v>
      </c>
      <c r="D64" s="198" t="str">
        <f>VLOOKUP(tabParametros[[#This Row],[Código do Posto]],tabPostos[],4,0)</f>
        <v>Alto Paranaiba</v>
      </c>
      <c r="E64" s="289" t="str">
        <f>VLOOKUP(tabParametros[[#This Row],[Código do Posto]],tabPostos[],5,0)</f>
        <v>Limpeza</v>
      </c>
      <c r="F64" s="289" t="str">
        <f>VLOOKUP(tabParametros[[#This Row],[Código do Posto]],tabPostos[],6,0)</f>
        <v>PGJ</v>
      </c>
      <c r="G64" s="289">
        <f>VLOOKUP(tabParametros[[#This Row],[Código do Posto]],tabPostos[],7,0)</f>
        <v>1</v>
      </c>
      <c r="H64" s="289">
        <f>VLOOKUP(tabParametros[[#This Row],[Código do Posto]],tabPostos[],8,0)</f>
        <v>0</v>
      </c>
      <c r="I64" s="234">
        <f>VLOOKUP(tabParametros[[#This Row],[Código do Posto]],tabPostos[],9,0)</f>
        <v>1596.28</v>
      </c>
      <c r="J64" s="234">
        <f>IF(ISNUMBER(SEARCH("Eletricista",tabParametros[[#This Row],[Função]],1)),0.3*tabParametros[[#This Row],[Salário Base]],0)</f>
        <v>0</v>
      </c>
      <c r="K64" s="234">
        <f>IF(OR(ISNUMBER(SEARCH("Bombeiro Hidraulico",tabParametros[[#This Row],[Função]],1)),ISNUMBER(SEARCH("Jardineiro",tabParametros[[#This Row],[Função]],1)),ISNUMBER(SEARCH("Lavador de Veiculos",tabParametros[[#This Row],[Função]],1)),ISNUMBER(SEARCH("Marceneiro",tabParametros[[#This Row],[Função]],1)),ISNUMBER(SEARCH("Pintor",tabParametros[[#This Row],[Função]],1))),0.2*'BASE GERAL'!$R$4,0)</f>
        <v>0</v>
      </c>
      <c r="L64" s="234">
        <f>IF(AND(ISNUMBER(SEARCH("Noturno",tabParametros[[#This Row],[Função]],1)),tabParametros[[#This Row],[Comarca]]&lt;&gt;"Juiz de Fora"),tabParametros[[#This Row],[Salário Base]]/210*0.39*7*15.5,IF(ISNUMBER(SEARCH("Noturno",tabParametros[[#This Row],[Função]],1)),tabParametros[[#This Row],[Salário Base]]/210*0.2*8*15.5,0))</f>
        <v>0</v>
      </c>
      <c r="M64" s="234">
        <f>IF(ISNUMBER(SEARCH("Motorista II",tabParametros[[#This Row],[Função]],1)),0.25*tabParametros[[#This Row],[Salário Base]],0)</f>
        <v>0</v>
      </c>
      <c r="N64" s="250">
        <v>0</v>
      </c>
      <c r="O64" s="234">
        <f>IF(ISNUMBER(SEARCH("TECNOLOGIA DA INFORMACAO",tabParametros[[#This Row],[Função]],1)),0.0201*tabParametros[[#This Row],[Salário Base]],0)</f>
        <v>0</v>
      </c>
      <c r="P64" s="250" cm="1">
        <f t="array" ref="P64">_xlfn.IFS(
ISNUMBER(SEARCH("Auxiliar de Limpeza - 75 h",tabParametros[[#This Row],[Função]],1)),tabParametros[[#This Row],[Salário Base]]/75*0.75*30*0.12,
ISNUMBER(SEARCH("Auxiliar de Limpeza - 110 h",tabParametros[[#This Row],[Função]],1)),tabParametros[[#This Row],[Salário Base]]/110*1*30*0.12,
ISNUMBER(SEARCH("Auxiliar de Limpeza - 150 h",tabParametros[[#This Row],[Função]],1)),tabParametros[[#This Row],[Salário Base]]/150*1.5*30*0.12,
ISNUMBER(SEARCH("Auxiliar de Limpeza - 220 h",tabParametros[[#This Row],[Função]],1)),tabParametros[[#This Row],[Salário Base]]/220*2*30*0.12,
ISNUMBER(SEARCH("Auxiliar de Limpeza - 12 x 36",tabParametros[[#This Row],[Função]],1)),tabParametros[[#This Row],[Salário Base]]/220*2*30*0.12,
ISNUMBER(SEARCH("Auxiliar de Limpeza - 55 h",tabParametros[[#This Row],[Função]],1))=FALSE,0)</f>
        <v>52.241890909090905</v>
      </c>
      <c r="Q64" s="235">
        <f>VLOOKUP(tabParametros[[#Headers],[INSS]],tabImpostosNacionais[],2,0)</f>
        <v>0.2</v>
      </c>
      <c r="R64" s="235">
        <f>VLOOKUP(tabParametros[[#Headers],[SESI OU SESC]],tabImpostosNacionais[],2,0)</f>
        <v>1.4999999999999999E-2</v>
      </c>
      <c r="S64" s="235">
        <f>VLOOKUP(tabParametros[[#Headers],[SENAI OU SENAC]],tabImpostosNacionais[],2,0)</f>
        <v>0.01</v>
      </c>
      <c r="T64" s="235">
        <f>VLOOKUP(tabParametros[[#Headers],[INCRA]],tabImpostosNacionais[],2,0)</f>
        <v>2E-3</v>
      </c>
      <c r="U64" s="235">
        <f>VLOOKUP(tabParametros[[#Headers],[Salário Educação]],tabImpostosNacionais[],2,0)</f>
        <v>2.5000000000000001E-2</v>
      </c>
      <c r="V64" s="235">
        <f>VLOOKUP(tabParametros[[#Headers],[FGTS]],tabImpostosNacionais[],2,0)</f>
        <v>0.08</v>
      </c>
      <c r="W64" s="235">
        <f>VLOOKUP(tabParametros[[#Headers],[RAT Ajustado]],tabImpostosNacionais[],2,0)</f>
        <v>0.04</v>
      </c>
      <c r="X64" s="235">
        <f>VLOOKUP(tabParametros[[#Headers],[SEBRAE]],tabImpostosNacionais[],2,0)</f>
        <v>6.0000000000000001E-3</v>
      </c>
      <c r="Y64" s="235">
        <f t="shared" si="0"/>
        <v>8.3333333333333329E-2</v>
      </c>
      <c r="Z64" s="251">
        <f t="shared" si="1"/>
        <v>0.1111111111111111</v>
      </c>
      <c r="AA64" s="234">
        <f>VLOOKUP(tabParametros[[#This Row],[Comarca]],tabComarca[],5,0)</f>
        <v>6.4</v>
      </c>
      <c r="AB64" s="234">
        <f>IFERROR(VLOOKUP(tabParametros[[#This Row],[CCT DA CATEGORIA]],tabSindicatos[],6,0),0)</f>
        <v>0</v>
      </c>
      <c r="AC64" s="234">
        <f>IFERROR(VLOOKUP(tabParametros[[#This Row],[CCT DA CATEGORIA]],tabSindicatos[],7,0),0)</f>
        <v>387.79</v>
      </c>
      <c r="AD64" s="234" cm="1">
        <f t="array" ref="AD64">_xlfn.LET(
_xlpm.COMARCA, TRIM(UPPER(SUBSTITUTE(SUBSTITUTE(SUBSTITUTE(SUBSTITUTE(SUBSTITUTE(SUBSTITUTE(SUBSTITUTE(SUBSTITUTE(SUBSTITUTE(SUBSTITUTE(SUBSTITUTE(SUBSTITUTE(SUBSTITUTE(SUBSTITUTE(SUBSTITUTE(SUBSTITUTE(SUBSTITUTE(SUBSTITUTE(SUBSTITUTE(SUBSTITUTE(SUBSTITUTE(SUBSTITUTE(SUBSTITUTE(SUBSTITUTE(SUBSTITUTE(SUBSTITUTE(tabParametros[[#This Row],[Comarca]],"á","a"),"ã","a"),"â","a"),"é","e"),"ê","e"),"í","i"),"ó","o"),"õ","o"),"ô","o"),"ú","u"),"ç","c"),"Á","a"),"Ã","a"),"Â","a"),"É","e"),"Ê","e"),"Í","i"),"Ó","o"),"Õ","o"),"Ô","o"),"Ú","u"),"Ç","c"),"/MG","")," e ",", ")," ",""),".",""))),
_xlpm.MATRIZ_COMARCA, TRIM(UPPER(SUBSTITUTE(SUBSTITUTE(SUBSTITUTE(SUBSTITUTE(SUBSTITUTE(SUBSTITUTE(SUBSTITUTE(SUBSTITUTE(SUBSTITUTE(SUBSTITUTE(SUBSTITUTE(SUBSTITUTE(SUBSTITUTE(SUBSTITUTE(SUBSTITUTE(SUBSTITUTE(SUBSTITUTE(SUBSTITUTE(SUBSTITUTE(SUBSTITUTE(SUBSTITUTE(SUBSTITUTE(SUBSTITUTE(SUBSTITUTE(SUBSTITUTE(SUBSTITUTE(tabSindicatos[COMARCAS PAF],"á","a"),"ã","a"),"â","a"),"é","e"),"ê","e"),"í","i"),"ó","o"),"õ","o"),"ô","o"),"ú","u"),"ç","c"),"Á","a"),"Ã","a"),"Â","a"),"É","e"),"Ê","e"),"Í","i"),"Ó","o"),"Õ","o"),"Ô","o"),"Ú","u"),"Ç","c"),"/MG","")," e ",", ")," ",""),".",""))),
IFERROR(IF(_xlfn.XLOOKUP(tabParametros[[#This Row],[CCT DA CATEGORIA]],tabSindicatos[SINDICATOS],tabSindicatos[COMARCAS PAF])="",
VLOOKUP(tabParametros[[#This Row],[CCT DA CATEGORIA]],tabSindicatos[],8,0),
IF(ISNUMBER(SEARCH(TRIM(_xlpm.COMARCA),_xlfn.XLOOKUP(tabParametros[[#This Row],[CCT DA CATEGORIA]],tabSindicatos[SINDICATOS],_xlpm.MATRIZ_COMARCA),1)),VLOOKUP(tabParametros[[#This Row],[CCT DA CATEGORIA]],tabSindicatos[],8,0),0)
),0)
)</f>
        <v>42.97</v>
      </c>
      <c r="AE64" s="234">
        <f>IFERROR(VLOOKUP(tabParametros[[#This Row],[CCT DA CATEGORIA]],tabSindicatos[],9,0),0)</f>
        <v>0</v>
      </c>
      <c r="AF64" s="234">
        <f>IFERROR(VLOOKUP(tabParametros[[#This Row],[CCT DA CATEGORIA]],tabSindicatos[],10,0),0)</f>
        <v>0</v>
      </c>
      <c r="AG64" s="236">
        <f>VLOOKUP(tabParametros[[#Headers],[Seguro de Vida]],tabOutrosCustos[],3,0)</f>
        <v>3.36</v>
      </c>
      <c r="AH64" s="236">
        <f>IF(ISNUMBER(SEARCH("MOTORISTA",tabParametros[[#This Row],[Função]],1)),VLOOKUP("MOTORISTAS",tabDiarias[],2,0),IF(tabParametros[[#This Row],[Comarca]]="Belo Horizonte",VLOOKUP("LIMPEZA",tabDiarias[],2,0),0))</f>
        <v>0</v>
      </c>
      <c r="AI64" s="235">
        <f t="shared" si="2"/>
        <v>7.011766975308642E-3</v>
      </c>
      <c r="AJ64" s="237">
        <f>tabParametros[[#This Row],[FGTS]]*tabParametros[[#This Row],[Aviso Prévio Indenizado (API) e Reflexo do Aviso Prévio Indenizado]]</f>
        <v>5.609413580246914E-4</v>
      </c>
      <c r="AK64" s="237">
        <f>tabParametros[[#This Row],[FGTS]]*tabParametros[[#This Row],[Aviso Prévio Indenizado (API) e Reflexo do Aviso Prévio Indenizado]]*40%</f>
        <v>2.2437654320987658E-4</v>
      </c>
      <c r="AL64" s="235">
        <f t="shared" si="3"/>
        <v>3.5000000000000005E-3</v>
      </c>
      <c r="AM64" s="235">
        <f>tabParametros[[#This Row],[Aviso Prévio Trabalhado - APT]]*SUM(tabParametros[[#This Row],[INSS]:[SEBRAE]])</f>
        <v>1.3230000000000004E-3</v>
      </c>
      <c r="AN64" s="235">
        <f t="shared" si="4"/>
        <v>3.0577777777777773E-2</v>
      </c>
      <c r="AO64" s="235">
        <f t="shared" si="5"/>
        <v>8.3333333333333339E-4</v>
      </c>
      <c r="AP64" s="235">
        <f t="shared" si="6"/>
        <v>8.4444444444444437E-3</v>
      </c>
      <c r="AQ64" s="235">
        <f t="shared" si="7"/>
        <v>2.0277777777777777E-3</v>
      </c>
      <c r="AR64" s="235">
        <f t="shared" si="8"/>
        <v>1.7083333333333333E-4</v>
      </c>
      <c r="AS64" s="235">
        <f t="shared" si="9"/>
        <v>2.0833333333333335E-4</v>
      </c>
      <c r="AT64" s="235">
        <f t="shared" si="10"/>
        <v>1.2962962962962963E-3</v>
      </c>
      <c r="AU64" s="237">
        <f>SUM(tabParametros[[#This Row],[Ausência por Doença]:[Férias, Adicional de Férias e 13º  com empregada em gozo de Licença Maternidade]])*SUM(tabParametros[[#This Row],[INSS]:[SEBRAE]])</f>
        <v>4.5918250000000008E-3</v>
      </c>
      <c r="AV64" s="234">
        <f>IF(tabParametros[[#This Row],[Função]]="Porteiro - 220 h",SUM(tabParametros[[#This Row],[Salário Base]:[Adicional de Acúmulo de função]])/220*20*1.5,IF(ISNUMBER(SEARCH("12 x 36",tabParametros[[#This Row],[Função]],1)),SUM(tabParametros[[#This Row],[Salário Base]:[Adicional de Acúmulo de função]])/210*15.5*1.5,0))</f>
        <v>0</v>
      </c>
      <c r="AW64" s="234">
        <f>IF(tabParametros[[#This Row],[Vagas contratadas]]&gt;0,(SUM(tabParametros[[#This Row],[Salário Base]:[Adicional de Acúmulo de função]])*30%+SUM(tabParametros[[#This Row],[Vale - Alimentação]:[Seguro de Vida]]))/tabParametros[[#This Row],[Vagas contratadas]]*tabParametros[[#This Row],[Vagas suspensas]],0)</f>
        <v>0</v>
      </c>
      <c r="AX64" s="234">
        <f>SUMIF(tabUniformes[Cargo],tabParametros[[#This Row],[Função]],tabUniformes[Valor unit. Mensal])</f>
        <v>100.80916666666666</v>
      </c>
      <c r="AY64" s="281">
        <f>IF(ISNUMBER(SEARCH("AUXILIAR DE LIMPEZA - 75 H",tabParametros[[#This Row],[Função]],1)),
SUMIF(tabLimpGeral[TIPO],"Material",tabLimpGeral[VALOR UNITÁRIO P/ HORA (R$)])*75,
IF(ISNUMBER(SEARCH("AUXILIAR DE LIMPEZA - 110 H",tabParametros[[#This Row],[Função]],1)),
SUMIF(tabLimpGeral[TIPO],"Material",tabLimpGeral[VALOR UNITÁRIO P/ HORA (R$)])*110,
IF(ISNUMBER(SEARCH("AUXILIAR DE LIMPEZA - 150 H",tabParametros[[#This Row],[Função]],1)),
SUMIF(tabLimpGeral[TIPO],"Material",tabLimpGeral[VALOR UNITÁRIO P/ HORA (R$)])*150,
IF(ISNUMBER(SEARCH("AUXILIAR DE LIMPEZA - 220 H",tabParametros[[#This Row],[Função]],1)),
SUMIF(tabLimpGeral[TIPO],"Material",tabLimpGeral[VALOR UNITÁRIO P/ HORA (R$)])*220,
IF(ISNUMBER(SEARCH("AUXILIAR DE LIMPEZA - 12 x 36",tabParametros[[#This Row],[Função]],1)),
SUMIF(tabLimpGeral[TIPO],"Material",tabLimpGeral[VALOR UNITÁRIO P/ HORA (R$)])*220,
IF(ISNUMBER(SEARCH("Limpador de vidros - 220 h",tabParametros[[#This Row],[Função]],1)),
SUMIF(tabVidros[TIPO],"Material",tabVidros[VALOR UNITÁRIO P/ POSTO (R$)]),
0))))))</f>
        <v>35.518212958583888</v>
      </c>
      <c r="AZ64" s="281">
        <f>IF(ISNUMBER(SEARCH("AUXILIAR DE LIMPEZA - 75 H",tabParametros[[#This Row],[Função]],1)),
SUMIF(tabLimpGeral[TIPO],"Equipamento",tabLimpGeral[VALOR UNITÁRIO P/ HORA (R$)])*75,
IF(ISNUMBER(SEARCH("AUXILIAR DE LIMPEZA - 110 H",tabParametros[[#This Row],[Função]],1)),
SUMIF(tabLimpGeral[TIPO],"Equipamento",tabLimpGeral[VALOR UNITÁRIO P/ HORA (R$)])*110,
IF(ISNUMBER(SEARCH("AUXILIAR DE LIMPEZA - 150 H",tabParametros[[#This Row],[Função]],1)),
SUMIF(tabLimpGeral[TIPO],"Equipamento",tabLimpGeral[VALOR UNITÁRIO P/ HORA (R$)])*150,
IF(ISNUMBER(SEARCH("AUXILIAR DE LIMPEZA - 220 H",tabParametros[[#This Row],[Função]],1)),
SUMIF(tabLimpGeral[TIPO],"Equipamento",tabLimpGeral[VALOR UNITÁRIO P/ HORA (R$)])*220,
IF(ISNUMBER(SEARCH("AUXILIAR DE LIMPEZA - 12 x 36",tabParametros[[#This Row],[Função]],1)),
SUMIF(tabLimpGeral[TIPO],"Equipamento",tabLimpGeral[VALOR UNITÁRIO P/ HORA (R$)])*220,
IF(ISNUMBER(SEARCH("Limpador de vidros - 220 h",tabParametros[[#This Row],[Função]],1)),
SUMIF(tabVidros[TIPO],"Equipamento",tabVidros[VALOR UNITÁRIO P/ POSTO (R$)]),
0))))))</f>
        <v>64.529393914825576</v>
      </c>
      <c r="BA64" s="281">
        <f>IF(ISNUMBER(SEARCH("AUXILIAR DE LIMPEZA - 75 H",tabParametros[[#This Row],[Função]],1)),
SUMIF(tabLimpGeral[TIPO],"Produto",tabLimpGeral[VALOR UNITÁRIO P/ HORA (R$)])*75,
IF(ISNUMBER(SEARCH("AUXILIAR DE LIMPEZA - 110 H",tabParametros[[#This Row],[Função]],1)),
SUMIF(tabLimpGeral[TIPO],"Produto",tabLimpGeral[VALOR UNITÁRIO P/ HORA (R$)])*110,
IF(ISNUMBER(SEARCH("AUXILIAR DE LIMPEZA - 150 H",tabParametros[[#This Row],[Função]],1)),
SUMIF(tabLimpGeral[TIPO],"Produto",tabLimpGeral[VALOR UNITÁRIO P/ HORA (R$)])*150,
IF(ISNUMBER(SEARCH("AUXILIAR DE LIMPEZA - 220 H",tabParametros[[#This Row],[Função]],1)),
SUMIF(tabLimpGeral[TIPO],"Produto",tabLimpGeral[VALOR UNITÁRIO P/ HORA (R$)])*220,
IF(ISNUMBER(SEARCH("AUXILIAR DE LIMPEZA - 12 x 36",tabParametros[[#This Row],[Função]],1)),
SUMIF(tabLimpGeral[TIPO],"Produto",tabLimpGeral[VALOR UNITÁRIO P/ HORA (R$)])*220,
IF(ISNUMBER(SEARCH("Limpador de vidros - 220 h",tabParametros[[#This Row],[Função]],1)),
SUMIF(tabVidros[TIPO],"Produto",tabVidros[VALOR UNITÁRIO P/ POSTO (R$)]),
0))))))</f>
        <v>690.27153277931654</v>
      </c>
      <c r="BB64" s="281">
        <v>0</v>
      </c>
      <c r="BC64" s="236">
        <f>VLOOKUP(tabParametros[[#Headers],[Custos Indiretos]],tabOutrosCustos[],3,0)</f>
        <v>189.64880140242613</v>
      </c>
      <c r="BD64" s="236">
        <f>VLOOKUP(tabParametros[[#Headers],[Lucro]],tabOutrosCustos[],3,0)</f>
        <v>159.30499317803796</v>
      </c>
      <c r="BE64" s="235">
        <f>VLOOKUP(tabParametros[[#Headers],[COFINS]],tabImpostosNacionais[],2,0)</f>
        <v>7.5999999999999998E-2</v>
      </c>
      <c r="BF64" s="235">
        <f>VLOOKUP(tabParametros[[#Headers],[PIS]],tabImpostosNacionais[],2,0)</f>
        <v>1.6500000000000001E-2</v>
      </c>
      <c r="BG64" s="235">
        <f>VLOOKUP(tabParametros[[#This Row],[Comarca]],tabComarca[],4,0)</f>
        <v>0.03</v>
      </c>
      <c r="BH64" s="238">
        <f>IFERROR(VLOOKUP(tabParametros[[#This Row],[CCT DA CATEGORIA]],tabSindicatos[],11,0),"")</f>
        <v>45658</v>
      </c>
      <c r="BI64" s="289" t="str">
        <f>IFERROR(VLOOKUP(tabParametros[[#This Row],[CCT DA CATEGORIA]],tabSindicatos[],12,0),"")</f>
        <v>-</v>
      </c>
      <c r="BJ64" s="293" t="str">
        <f>IFERROR(VLOOKUP(tabParametros[[#This Row],[CCT DA CATEGORIA]],tabSindicatos[],13,0),"")</f>
        <v>-</v>
      </c>
    </row>
    <row r="65" spans="1:62" x14ac:dyDescent="0.25">
      <c r="A65" s="233" t="s">
        <v>1405</v>
      </c>
      <c r="B65" s="198" t="s">
        <v>63</v>
      </c>
      <c r="C65" s="198" t="s">
        <v>1245</v>
      </c>
      <c r="D65" s="198" t="str">
        <f>VLOOKUP(tabParametros[[#This Row],[Código do Posto]],tabPostos[],4,0)</f>
        <v>Regiao de Sao Lourenco</v>
      </c>
      <c r="E65" s="289" t="str">
        <f>VLOOKUP(tabParametros[[#This Row],[Código do Posto]],tabPostos[],5,0)</f>
        <v>Limpeza</v>
      </c>
      <c r="F65" s="289" t="str">
        <f>VLOOKUP(tabParametros[[#This Row],[Código do Posto]],tabPostos[],6,0)</f>
        <v>PGJ</v>
      </c>
      <c r="G65" s="289">
        <f>VLOOKUP(tabParametros[[#This Row],[Código do Posto]],tabPostos[],7,0)</f>
        <v>1</v>
      </c>
      <c r="H65" s="289">
        <f>VLOOKUP(tabParametros[[#This Row],[Código do Posto]],tabPostos[],8,0)</f>
        <v>0</v>
      </c>
      <c r="I65" s="234">
        <f>VLOOKUP(tabParametros[[#This Row],[Código do Posto]],tabPostos[],9,0)</f>
        <v>1596.28</v>
      </c>
      <c r="J65" s="234">
        <f>IF(ISNUMBER(SEARCH("Eletricista",tabParametros[[#This Row],[Função]],1)),0.3*tabParametros[[#This Row],[Salário Base]],0)</f>
        <v>0</v>
      </c>
      <c r="K65" s="234">
        <f>IF(OR(ISNUMBER(SEARCH("Bombeiro Hidraulico",tabParametros[[#This Row],[Função]],1)),ISNUMBER(SEARCH("Jardineiro",tabParametros[[#This Row],[Função]],1)),ISNUMBER(SEARCH("Lavador de Veiculos",tabParametros[[#This Row],[Função]],1)),ISNUMBER(SEARCH("Marceneiro",tabParametros[[#This Row],[Função]],1)),ISNUMBER(SEARCH("Pintor",tabParametros[[#This Row],[Função]],1))),0.2*'BASE GERAL'!$R$4,0)</f>
        <v>0</v>
      </c>
      <c r="L65" s="234">
        <f>IF(AND(ISNUMBER(SEARCH("Noturno",tabParametros[[#This Row],[Função]],1)),tabParametros[[#This Row],[Comarca]]&lt;&gt;"Juiz de Fora"),tabParametros[[#This Row],[Salário Base]]/210*0.39*7*15.5,IF(ISNUMBER(SEARCH("Noturno",tabParametros[[#This Row],[Função]],1)),tabParametros[[#This Row],[Salário Base]]/210*0.2*8*15.5,0))</f>
        <v>0</v>
      </c>
      <c r="M65" s="234">
        <f>IF(ISNUMBER(SEARCH("Motorista II",tabParametros[[#This Row],[Função]],1)),0.25*tabParametros[[#This Row],[Salário Base]],0)</f>
        <v>0</v>
      </c>
      <c r="N65" s="250">
        <v>0</v>
      </c>
      <c r="O65" s="234">
        <f>IF(ISNUMBER(SEARCH("TECNOLOGIA DA INFORMACAO",tabParametros[[#This Row],[Função]],1)),0.0201*tabParametros[[#This Row],[Salário Base]],0)</f>
        <v>0</v>
      </c>
      <c r="P65" s="250" cm="1">
        <f t="array" ref="P65">_xlfn.IFS(
ISNUMBER(SEARCH("Auxiliar de Limpeza - 75 h",tabParametros[[#This Row],[Função]],1)),tabParametros[[#This Row],[Salário Base]]/75*0.75*30*0.12,
ISNUMBER(SEARCH("Auxiliar de Limpeza - 110 h",tabParametros[[#This Row],[Função]],1)),tabParametros[[#This Row],[Salário Base]]/110*1*30*0.12,
ISNUMBER(SEARCH("Auxiliar de Limpeza - 150 h",tabParametros[[#This Row],[Função]],1)),tabParametros[[#This Row],[Salário Base]]/150*1.5*30*0.12,
ISNUMBER(SEARCH("Auxiliar de Limpeza - 220 h",tabParametros[[#This Row],[Função]],1)),tabParametros[[#This Row],[Salário Base]]/220*2*30*0.12,
ISNUMBER(SEARCH("Auxiliar de Limpeza - 12 x 36",tabParametros[[#This Row],[Função]],1)),tabParametros[[#This Row],[Salário Base]]/220*2*30*0.12,
ISNUMBER(SEARCH("Auxiliar de Limpeza - 55 h",tabParametros[[#This Row],[Função]],1))=FALSE,0)</f>
        <v>52.241890909090905</v>
      </c>
      <c r="Q65" s="235">
        <f>VLOOKUP(tabParametros[[#Headers],[INSS]],tabImpostosNacionais[],2,0)</f>
        <v>0.2</v>
      </c>
      <c r="R65" s="235">
        <f>VLOOKUP(tabParametros[[#Headers],[SESI OU SESC]],tabImpostosNacionais[],2,0)</f>
        <v>1.4999999999999999E-2</v>
      </c>
      <c r="S65" s="235">
        <f>VLOOKUP(tabParametros[[#Headers],[SENAI OU SENAC]],tabImpostosNacionais[],2,0)</f>
        <v>0.01</v>
      </c>
      <c r="T65" s="235">
        <f>VLOOKUP(tabParametros[[#Headers],[INCRA]],tabImpostosNacionais[],2,0)</f>
        <v>2E-3</v>
      </c>
      <c r="U65" s="235">
        <f>VLOOKUP(tabParametros[[#Headers],[Salário Educação]],tabImpostosNacionais[],2,0)</f>
        <v>2.5000000000000001E-2</v>
      </c>
      <c r="V65" s="235">
        <f>VLOOKUP(tabParametros[[#Headers],[FGTS]],tabImpostosNacionais[],2,0)</f>
        <v>0.08</v>
      </c>
      <c r="W65" s="235">
        <f>VLOOKUP(tabParametros[[#Headers],[RAT Ajustado]],tabImpostosNacionais[],2,0)</f>
        <v>0.04</v>
      </c>
      <c r="X65" s="235">
        <f>VLOOKUP(tabParametros[[#Headers],[SEBRAE]],tabImpostosNacionais[],2,0)</f>
        <v>6.0000000000000001E-3</v>
      </c>
      <c r="Y65" s="235">
        <f t="shared" si="0"/>
        <v>8.3333333333333329E-2</v>
      </c>
      <c r="Z65" s="251">
        <f t="shared" si="1"/>
        <v>0.1111111111111111</v>
      </c>
      <c r="AA65" s="234">
        <f>VLOOKUP(tabParametros[[#This Row],[Comarca]],tabComarca[],5,0)</f>
        <v>6.4</v>
      </c>
      <c r="AB65" s="234">
        <f>IFERROR(VLOOKUP(tabParametros[[#This Row],[CCT DA CATEGORIA]],tabSindicatos[],6,0),0)</f>
        <v>29.15</v>
      </c>
      <c r="AC65" s="234">
        <f>IFERROR(VLOOKUP(tabParametros[[#This Row],[CCT DA CATEGORIA]],tabSindicatos[],7,0),0)</f>
        <v>0</v>
      </c>
      <c r="AD65" s="234" cm="1">
        <f t="array" ref="AD65">_xlfn.LET(
_xlpm.COMARCA, TRIM(UPPER(SUBSTITUTE(SUBSTITUTE(SUBSTITUTE(SUBSTITUTE(SUBSTITUTE(SUBSTITUTE(SUBSTITUTE(SUBSTITUTE(SUBSTITUTE(SUBSTITUTE(SUBSTITUTE(SUBSTITUTE(SUBSTITUTE(SUBSTITUTE(SUBSTITUTE(SUBSTITUTE(SUBSTITUTE(SUBSTITUTE(SUBSTITUTE(SUBSTITUTE(SUBSTITUTE(SUBSTITUTE(SUBSTITUTE(SUBSTITUTE(SUBSTITUTE(SUBSTITUTE(tabParametros[[#This Row],[Comarca]],"á","a"),"ã","a"),"â","a"),"é","e"),"ê","e"),"í","i"),"ó","o"),"õ","o"),"ô","o"),"ú","u"),"ç","c"),"Á","a"),"Ã","a"),"Â","a"),"É","e"),"Ê","e"),"Í","i"),"Ó","o"),"Õ","o"),"Ô","o"),"Ú","u"),"Ç","c"),"/MG","")," e ",", ")," ",""),".",""))),
_xlpm.MATRIZ_COMARCA, TRIM(UPPER(SUBSTITUTE(SUBSTITUTE(SUBSTITUTE(SUBSTITUTE(SUBSTITUTE(SUBSTITUTE(SUBSTITUTE(SUBSTITUTE(SUBSTITUTE(SUBSTITUTE(SUBSTITUTE(SUBSTITUTE(SUBSTITUTE(SUBSTITUTE(SUBSTITUTE(SUBSTITUTE(SUBSTITUTE(SUBSTITUTE(SUBSTITUTE(SUBSTITUTE(SUBSTITUTE(SUBSTITUTE(SUBSTITUTE(SUBSTITUTE(SUBSTITUTE(SUBSTITUTE(tabSindicatos[COMARCAS PAF],"á","a"),"ã","a"),"â","a"),"é","e"),"ê","e"),"í","i"),"ó","o"),"õ","o"),"ô","o"),"ú","u"),"ç","c"),"Á","a"),"Ã","a"),"Â","a"),"É","e"),"Ê","e"),"Í","i"),"Ó","o"),"Õ","o"),"Ô","o"),"Ú","u"),"Ç","c"),"/MG","")," e ",", ")," ",""),".",""))),
IFERROR(IF(_xlfn.XLOOKUP(tabParametros[[#This Row],[CCT DA CATEGORIA]],tabSindicatos[SINDICATOS],tabSindicatos[COMARCAS PAF])="",
VLOOKUP(tabParametros[[#This Row],[CCT DA CATEGORIA]],tabSindicatos[],8,0),
IF(ISNUMBER(SEARCH(TRIM(_xlpm.COMARCA),_xlfn.XLOOKUP(tabParametros[[#This Row],[CCT DA CATEGORIA]],tabSindicatos[SINDICATOS],_xlpm.MATRIZ_COMARCA),1)),VLOOKUP(tabParametros[[#This Row],[CCT DA CATEGORIA]],tabSindicatos[],8,0),0)
),0)
)</f>
        <v>0</v>
      </c>
      <c r="AE65" s="234">
        <f>IFERROR(VLOOKUP(tabParametros[[#This Row],[CCT DA CATEGORIA]],tabSindicatos[],9,0),0)</f>
        <v>0</v>
      </c>
      <c r="AF65" s="234">
        <f>IFERROR(VLOOKUP(tabParametros[[#This Row],[CCT DA CATEGORIA]],tabSindicatos[],10,0),0)</f>
        <v>0</v>
      </c>
      <c r="AG65" s="236">
        <f>VLOOKUP(tabParametros[[#Headers],[Seguro de Vida]],tabOutrosCustos[],3,0)</f>
        <v>3.36</v>
      </c>
      <c r="AH65" s="236">
        <f>IF(ISNUMBER(SEARCH("MOTORISTA",tabParametros[[#This Row],[Função]],1)),VLOOKUP("MOTORISTAS",tabDiarias[],2,0),IF(tabParametros[[#This Row],[Comarca]]="Belo Horizonte",VLOOKUP("LIMPEZA",tabDiarias[],2,0),0))</f>
        <v>0</v>
      </c>
      <c r="AI65" s="235">
        <f t="shared" si="2"/>
        <v>7.011766975308642E-3</v>
      </c>
      <c r="AJ65" s="237">
        <f>tabParametros[[#This Row],[FGTS]]*tabParametros[[#This Row],[Aviso Prévio Indenizado (API) e Reflexo do Aviso Prévio Indenizado]]</f>
        <v>5.609413580246914E-4</v>
      </c>
      <c r="AK65" s="237">
        <f>tabParametros[[#This Row],[FGTS]]*tabParametros[[#This Row],[Aviso Prévio Indenizado (API) e Reflexo do Aviso Prévio Indenizado]]*40%</f>
        <v>2.2437654320987658E-4</v>
      </c>
      <c r="AL65" s="235">
        <f t="shared" si="3"/>
        <v>3.5000000000000005E-3</v>
      </c>
      <c r="AM65" s="235">
        <f>tabParametros[[#This Row],[Aviso Prévio Trabalhado - APT]]*SUM(tabParametros[[#This Row],[INSS]:[SEBRAE]])</f>
        <v>1.3230000000000004E-3</v>
      </c>
      <c r="AN65" s="235">
        <f t="shared" si="4"/>
        <v>3.0577777777777773E-2</v>
      </c>
      <c r="AO65" s="235">
        <f t="shared" si="5"/>
        <v>8.3333333333333339E-4</v>
      </c>
      <c r="AP65" s="235">
        <f t="shared" si="6"/>
        <v>8.4444444444444437E-3</v>
      </c>
      <c r="AQ65" s="235">
        <f t="shared" si="7"/>
        <v>2.0277777777777777E-3</v>
      </c>
      <c r="AR65" s="235">
        <f t="shared" si="8"/>
        <v>1.7083333333333333E-4</v>
      </c>
      <c r="AS65" s="235">
        <f t="shared" si="9"/>
        <v>2.0833333333333335E-4</v>
      </c>
      <c r="AT65" s="235">
        <f t="shared" si="10"/>
        <v>1.2962962962962963E-3</v>
      </c>
      <c r="AU65" s="237">
        <f>SUM(tabParametros[[#This Row],[Ausência por Doença]:[Férias, Adicional de Férias e 13º  com empregada em gozo de Licença Maternidade]])*SUM(tabParametros[[#This Row],[INSS]:[SEBRAE]])</f>
        <v>4.5918250000000008E-3</v>
      </c>
      <c r="AV65" s="234">
        <f>IF(tabParametros[[#This Row],[Função]]="Porteiro - 220 h",SUM(tabParametros[[#This Row],[Salário Base]:[Adicional de Acúmulo de função]])/220*20*1.5,IF(ISNUMBER(SEARCH("12 x 36",tabParametros[[#This Row],[Função]],1)),SUM(tabParametros[[#This Row],[Salário Base]:[Adicional de Acúmulo de função]])/210*15.5*1.5,0))</f>
        <v>0</v>
      </c>
      <c r="AW65" s="234">
        <f>IF(tabParametros[[#This Row],[Vagas contratadas]]&gt;0,(SUM(tabParametros[[#This Row],[Salário Base]:[Adicional de Acúmulo de função]])*30%+SUM(tabParametros[[#This Row],[Vale - Alimentação]:[Seguro de Vida]]))/tabParametros[[#This Row],[Vagas contratadas]]*tabParametros[[#This Row],[Vagas suspensas]],0)</f>
        <v>0</v>
      </c>
      <c r="AX65" s="234">
        <f>SUMIF(tabUniformes[Cargo],tabParametros[[#This Row],[Função]],tabUniformes[Valor unit. Mensal])</f>
        <v>100.80916666666666</v>
      </c>
      <c r="AY65" s="281">
        <f>IF(ISNUMBER(SEARCH("AUXILIAR DE LIMPEZA - 75 H",tabParametros[[#This Row],[Função]],1)),
SUMIF(tabLimpGeral[TIPO],"Material",tabLimpGeral[VALOR UNITÁRIO P/ HORA (R$)])*75,
IF(ISNUMBER(SEARCH("AUXILIAR DE LIMPEZA - 110 H",tabParametros[[#This Row],[Função]],1)),
SUMIF(tabLimpGeral[TIPO],"Material",tabLimpGeral[VALOR UNITÁRIO P/ HORA (R$)])*110,
IF(ISNUMBER(SEARCH("AUXILIAR DE LIMPEZA - 150 H",tabParametros[[#This Row],[Função]],1)),
SUMIF(tabLimpGeral[TIPO],"Material",tabLimpGeral[VALOR UNITÁRIO P/ HORA (R$)])*150,
IF(ISNUMBER(SEARCH("AUXILIAR DE LIMPEZA - 220 H",tabParametros[[#This Row],[Função]],1)),
SUMIF(tabLimpGeral[TIPO],"Material",tabLimpGeral[VALOR UNITÁRIO P/ HORA (R$)])*220,
IF(ISNUMBER(SEARCH("AUXILIAR DE LIMPEZA - 12 x 36",tabParametros[[#This Row],[Função]],1)),
SUMIF(tabLimpGeral[TIPO],"Material",tabLimpGeral[VALOR UNITÁRIO P/ HORA (R$)])*220,
IF(ISNUMBER(SEARCH("Limpador de vidros - 220 h",tabParametros[[#This Row],[Função]],1)),
SUMIF(tabVidros[TIPO],"Material",tabVidros[VALOR UNITÁRIO P/ POSTO (R$)]),
0))))))</f>
        <v>35.518212958583888</v>
      </c>
      <c r="AZ65" s="281">
        <f>IF(ISNUMBER(SEARCH("AUXILIAR DE LIMPEZA - 75 H",tabParametros[[#This Row],[Função]],1)),
SUMIF(tabLimpGeral[TIPO],"Equipamento",tabLimpGeral[VALOR UNITÁRIO P/ HORA (R$)])*75,
IF(ISNUMBER(SEARCH("AUXILIAR DE LIMPEZA - 110 H",tabParametros[[#This Row],[Função]],1)),
SUMIF(tabLimpGeral[TIPO],"Equipamento",tabLimpGeral[VALOR UNITÁRIO P/ HORA (R$)])*110,
IF(ISNUMBER(SEARCH("AUXILIAR DE LIMPEZA - 150 H",tabParametros[[#This Row],[Função]],1)),
SUMIF(tabLimpGeral[TIPO],"Equipamento",tabLimpGeral[VALOR UNITÁRIO P/ HORA (R$)])*150,
IF(ISNUMBER(SEARCH("AUXILIAR DE LIMPEZA - 220 H",tabParametros[[#This Row],[Função]],1)),
SUMIF(tabLimpGeral[TIPO],"Equipamento",tabLimpGeral[VALOR UNITÁRIO P/ HORA (R$)])*220,
IF(ISNUMBER(SEARCH("AUXILIAR DE LIMPEZA - 12 x 36",tabParametros[[#This Row],[Função]],1)),
SUMIF(tabLimpGeral[TIPO],"Equipamento",tabLimpGeral[VALOR UNITÁRIO P/ HORA (R$)])*220,
IF(ISNUMBER(SEARCH("Limpador de vidros - 220 h",tabParametros[[#This Row],[Função]],1)),
SUMIF(tabVidros[TIPO],"Equipamento",tabVidros[VALOR UNITÁRIO P/ POSTO (R$)]),
0))))))</f>
        <v>64.529393914825576</v>
      </c>
      <c r="BA65" s="281">
        <f>IF(ISNUMBER(SEARCH("AUXILIAR DE LIMPEZA - 75 H",tabParametros[[#This Row],[Função]],1)),
SUMIF(tabLimpGeral[TIPO],"Produto",tabLimpGeral[VALOR UNITÁRIO P/ HORA (R$)])*75,
IF(ISNUMBER(SEARCH("AUXILIAR DE LIMPEZA - 110 H",tabParametros[[#This Row],[Função]],1)),
SUMIF(tabLimpGeral[TIPO],"Produto",tabLimpGeral[VALOR UNITÁRIO P/ HORA (R$)])*110,
IF(ISNUMBER(SEARCH("AUXILIAR DE LIMPEZA - 150 H",tabParametros[[#This Row],[Função]],1)),
SUMIF(tabLimpGeral[TIPO],"Produto",tabLimpGeral[VALOR UNITÁRIO P/ HORA (R$)])*150,
IF(ISNUMBER(SEARCH("AUXILIAR DE LIMPEZA - 220 H",tabParametros[[#This Row],[Função]],1)),
SUMIF(tabLimpGeral[TIPO],"Produto",tabLimpGeral[VALOR UNITÁRIO P/ HORA (R$)])*220,
IF(ISNUMBER(SEARCH("AUXILIAR DE LIMPEZA - 12 x 36",tabParametros[[#This Row],[Função]],1)),
SUMIF(tabLimpGeral[TIPO],"Produto",tabLimpGeral[VALOR UNITÁRIO P/ HORA (R$)])*220,
IF(ISNUMBER(SEARCH("Limpador de vidros - 220 h",tabParametros[[#This Row],[Função]],1)),
SUMIF(tabVidros[TIPO],"Produto",tabVidros[VALOR UNITÁRIO P/ POSTO (R$)]),
0))))))</f>
        <v>690.27153277931654</v>
      </c>
      <c r="BB65" s="281">
        <v>0</v>
      </c>
      <c r="BC65" s="236">
        <f>VLOOKUP(tabParametros[[#Headers],[Custos Indiretos]],tabOutrosCustos[],3,0)</f>
        <v>189.64880140242613</v>
      </c>
      <c r="BD65" s="236">
        <f>VLOOKUP(tabParametros[[#Headers],[Lucro]],tabOutrosCustos[],3,0)</f>
        <v>159.30499317803796</v>
      </c>
      <c r="BE65" s="235">
        <f>VLOOKUP(tabParametros[[#Headers],[COFINS]],tabImpostosNacionais[],2,0)</f>
        <v>7.5999999999999998E-2</v>
      </c>
      <c r="BF65" s="235">
        <f>VLOOKUP(tabParametros[[#Headers],[PIS]],tabImpostosNacionais[],2,0)</f>
        <v>1.6500000000000001E-2</v>
      </c>
      <c r="BG65" s="235">
        <f>VLOOKUP(tabParametros[[#This Row],[Comarca]],tabComarca[],4,0)</f>
        <v>0.02</v>
      </c>
      <c r="BH65" s="238">
        <f>IFERROR(VLOOKUP(tabParametros[[#This Row],[CCT DA CATEGORIA]],tabSindicatos[],11,0),"")</f>
        <v>45658</v>
      </c>
      <c r="BI65" s="289" t="str">
        <f>IFERROR(VLOOKUP(tabParametros[[#This Row],[CCT DA CATEGORIA]],tabSindicatos[],12,0),"")</f>
        <v>-</v>
      </c>
      <c r="BJ65" s="293" t="str">
        <f>IFERROR(VLOOKUP(tabParametros[[#This Row],[CCT DA CATEGORIA]],tabSindicatos[],13,0),"")</f>
        <v>-</v>
      </c>
    </row>
    <row r="66" spans="1:62" x14ac:dyDescent="0.25">
      <c r="A66" s="233" t="s">
        <v>1406</v>
      </c>
      <c r="B66" s="198" t="s">
        <v>64</v>
      </c>
      <c r="C66" s="198" t="s">
        <v>1247</v>
      </c>
      <c r="D66" s="198" t="str">
        <f>VLOOKUP(tabParametros[[#This Row],[Código do Posto]],tabPostos[],4,0)</f>
        <v>Fethemg Interior</v>
      </c>
      <c r="E66" s="289" t="str">
        <f>VLOOKUP(tabParametros[[#This Row],[Código do Posto]],tabPostos[],5,0)</f>
        <v>Limpeza</v>
      </c>
      <c r="F66" s="289" t="str">
        <f>VLOOKUP(tabParametros[[#This Row],[Código do Posto]],tabPostos[],6,0)</f>
        <v>PGJ</v>
      </c>
      <c r="G66" s="289">
        <f>VLOOKUP(tabParametros[[#This Row],[Código do Posto]],tabPostos[],7,0)</f>
        <v>1</v>
      </c>
      <c r="H66" s="289">
        <f>VLOOKUP(tabParametros[[#This Row],[Código do Posto]],tabPostos[],8,0)</f>
        <v>0</v>
      </c>
      <c r="I66" s="234">
        <f>VLOOKUP(tabParametros[[#This Row],[Código do Posto]],tabPostos[],9,0)</f>
        <v>544.17999999999995</v>
      </c>
      <c r="J66" s="234">
        <f>IF(ISNUMBER(SEARCH("Eletricista",tabParametros[[#This Row],[Função]],1)),0.3*tabParametros[[#This Row],[Salário Base]],0)</f>
        <v>0</v>
      </c>
      <c r="K66" s="234">
        <f>IF(OR(ISNUMBER(SEARCH("Bombeiro Hidraulico",tabParametros[[#This Row],[Função]],1)),ISNUMBER(SEARCH("Jardineiro",tabParametros[[#This Row],[Função]],1)),ISNUMBER(SEARCH("Lavador de Veiculos",tabParametros[[#This Row],[Função]],1)),ISNUMBER(SEARCH("Marceneiro",tabParametros[[#This Row],[Função]],1)),ISNUMBER(SEARCH("Pintor",tabParametros[[#This Row],[Função]],1))),0.2*'BASE GERAL'!$R$4,0)</f>
        <v>0</v>
      </c>
      <c r="L66" s="234">
        <f>IF(AND(ISNUMBER(SEARCH("Noturno",tabParametros[[#This Row],[Função]],1)),tabParametros[[#This Row],[Comarca]]&lt;&gt;"Juiz de Fora"),tabParametros[[#This Row],[Salário Base]]/210*0.39*7*15.5,IF(ISNUMBER(SEARCH("Noturno",tabParametros[[#This Row],[Função]],1)),tabParametros[[#This Row],[Salário Base]]/210*0.2*8*15.5,0))</f>
        <v>0</v>
      </c>
      <c r="M66" s="234">
        <f>IF(ISNUMBER(SEARCH("Motorista II",tabParametros[[#This Row],[Função]],1)),0.25*tabParametros[[#This Row],[Salário Base]],0)</f>
        <v>0</v>
      </c>
      <c r="N66" s="250">
        <v>0</v>
      </c>
      <c r="O66" s="234">
        <f>IF(ISNUMBER(SEARCH("TECNOLOGIA DA INFORMACAO",tabParametros[[#This Row],[Função]],1)),0.0201*tabParametros[[#This Row],[Salário Base]],0)</f>
        <v>0</v>
      </c>
      <c r="P66" s="250" cm="1">
        <f t="array" ref="P66">_xlfn.IFS(
ISNUMBER(SEARCH("Auxiliar de Limpeza - 75 h",tabParametros[[#This Row],[Função]],1)),tabParametros[[#This Row],[Salário Base]]/75*0.75*30*0.12,
ISNUMBER(SEARCH("Auxiliar de Limpeza - 110 h",tabParametros[[#This Row],[Função]],1)),tabParametros[[#This Row],[Salário Base]]/110*1*30*0.12,
ISNUMBER(SEARCH("Auxiliar de Limpeza - 150 h",tabParametros[[#This Row],[Função]],1)),tabParametros[[#This Row],[Salário Base]]/150*1.5*30*0.12,
ISNUMBER(SEARCH("Auxiliar de Limpeza - 220 h",tabParametros[[#This Row],[Função]],1)),tabParametros[[#This Row],[Salário Base]]/220*2*30*0.12,
ISNUMBER(SEARCH("Auxiliar de Limpeza - 12 x 36",tabParametros[[#This Row],[Função]],1)),tabParametros[[#This Row],[Salário Base]]/220*2*30*0.12,
ISNUMBER(SEARCH("Auxiliar de Limpeza - 55 h",tabParametros[[#This Row],[Função]],1))=FALSE,0)</f>
        <v>19.590479999999999</v>
      </c>
      <c r="Q66" s="235">
        <f>VLOOKUP(tabParametros[[#Headers],[INSS]],tabImpostosNacionais[],2,0)</f>
        <v>0.2</v>
      </c>
      <c r="R66" s="235">
        <f>VLOOKUP(tabParametros[[#Headers],[SESI OU SESC]],tabImpostosNacionais[],2,0)</f>
        <v>1.4999999999999999E-2</v>
      </c>
      <c r="S66" s="235">
        <f>VLOOKUP(tabParametros[[#Headers],[SENAI OU SENAC]],tabImpostosNacionais[],2,0)</f>
        <v>0.01</v>
      </c>
      <c r="T66" s="235">
        <f>VLOOKUP(tabParametros[[#Headers],[INCRA]],tabImpostosNacionais[],2,0)</f>
        <v>2E-3</v>
      </c>
      <c r="U66" s="235">
        <f>VLOOKUP(tabParametros[[#Headers],[Salário Educação]],tabImpostosNacionais[],2,0)</f>
        <v>2.5000000000000001E-2</v>
      </c>
      <c r="V66" s="235">
        <f>VLOOKUP(tabParametros[[#Headers],[FGTS]],tabImpostosNacionais[],2,0)</f>
        <v>0.08</v>
      </c>
      <c r="W66" s="235">
        <f>VLOOKUP(tabParametros[[#Headers],[RAT Ajustado]],tabImpostosNacionais[],2,0)</f>
        <v>0.04</v>
      </c>
      <c r="X66" s="235">
        <f>VLOOKUP(tabParametros[[#Headers],[SEBRAE]],tabImpostosNacionais[],2,0)</f>
        <v>6.0000000000000001E-3</v>
      </c>
      <c r="Y66" s="235">
        <f t="shared" si="0"/>
        <v>8.3333333333333329E-2</v>
      </c>
      <c r="Z66" s="251">
        <f t="shared" si="1"/>
        <v>0.1111111111111111</v>
      </c>
      <c r="AA66" s="234">
        <f>VLOOKUP(tabParametros[[#This Row],[Comarca]],tabComarca[],5,0)</f>
        <v>6.4</v>
      </c>
      <c r="AB66" s="234">
        <f>IFERROR(VLOOKUP(tabParametros[[#This Row],[CCT DA CATEGORIA]],tabSindicatos[],6,0),0)</f>
        <v>29.15</v>
      </c>
      <c r="AC66" s="234">
        <f>IFERROR(VLOOKUP(tabParametros[[#This Row],[CCT DA CATEGORIA]],tabSindicatos[],7,0),0)</f>
        <v>0</v>
      </c>
      <c r="AD66" s="234" cm="1">
        <f t="array" ref="AD66">_xlfn.LET(
_xlpm.COMARCA, TRIM(UPPER(SUBSTITUTE(SUBSTITUTE(SUBSTITUTE(SUBSTITUTE(SUBSTITUTE(SUBSTITUTE(SUBSTITUTE(SUBSTITUTE(SUBSTITUTE(SUBSTITUTE(SUBSTITUTE(SUBSTITUTE(SUBSTITUTE(SUBSTITUTE(SUBSTITUTE(SUBSTITUTE(SUBSTITUTE(SUBSTITUTE(SUBSTITUTE(SUBSTITUTE(SUBSTITUTE(SUBSTITUTE(SUBSTITUTE(SUBSTITUTE(SUBSTITUTE(SUBSTITUTE(tabParametros[[#This Row],[Comarca]],"á","a"),"ã","a"),"â","a"),"é","e"),"ê","e"),"í","i"),"ó","o"),"õ","o"),"ô","o"),"ú","u"),"ç","c"),"Á","a"),"Ã","a"),"Â","a"),"É","e"),"Ê","e"),"Í","i"),"Ó","o"),"Õ","o"),"Ô","o"),"Ú","u"),"Ç","c"),"/MG","")," e ",", ")," ",""),".",""))),
_xlpm.MATRIZ_COMARCA, TRIM(UPPER(SUBSTITUTE(SUBSTITUTE(SUBSTITUTE(SUBSTITUTE(SUBSTITUTE(SUBSTITUTE(SUBSTITUTE(SUBSTITUTE(SUBSTITUTE(SUBSTITUTE(SUBSTITUTE(SUBSTITUTE(SUBSTITUTE(SUBSTITUTE(SUBSTITUTE(SUBSTITUTE(SUBSTITUTE(SUBSTITUTE(SUBSTITUTE(SUBSTITUTE(SUBSTITUTE(SUBSTITUTE(SUBSTITUTE(SUBSTITUTE(SUBSTITUTE(SUBSTITUTE(tabSindicatos[COMARCAS PAF],"á","a"),"ã","a"),"â","a"),"é","e"),"ê","e"),"í","i"),"ó","o"),"õ","o"),"ô","o"),"ú","u"),"ç","c"),"Á","a"),"Ã","a"),"Â","a"),"É","e"),"Ê","e"),"Í","i"),"Ó","o"),"Õ","o"),"Ô","o"),"Ú","u"),"Ç","c"),"/MG","")," e ",", ")," ",""),".",""))),
IFERROR(IF(_xlfn.XLOOKUP(tabParametros[[#This Row],[CCT DA CATEGORIA]],tabSindicatos[SINDICATOS],tabSindicatos[COMARCAS PAF])="",
VLOOKUP(tabParametros[[#This Row],[CCT DA CATEGORIA]],tabSindicatos[],8,0),
IF(ISNUMBER(SEARCH(TRIM(_xlpm.COMARCA),_xlfn.XLOOKUP(tabParametros[[#This Row],[CCT DA CATEGORIA]],tabSindicatos[SINDICATOS],_xlpm.MATRIZ_COMARCA),1)),VLOOKUP(tabParametros[[#This Row],[CCT DA CATEGORIA]],tabSindicatos[],8,0),0)
),0)
)</f>
        <v>0</v>
      </c>
      <c r="AE66" s="234">
        <f>IFERROR(VLOOKUP(tabParametros[[#This Row],[CCT DA CATEGORIA]],tabSindicatos[],9,0),0)</f>
        <v>15.07</v>
      </c>
      <c r="AF66" s="234">
        <f>IFERROR(VLOOKUP(tabParametros[[#This Row],[CCT DA CATEGORIA]],tabSindicatos[],10,0),0)</f>
        <v>0</v>
      </c>
      <c r="AG66" s="236">
        <f>VLOOKUP(tabParametros[[#Headers],[Seguro de Vida]],tabOutrosCustos[],3,0)</f>
        <v>3.36</v>
      </c>
      <c r="AH66" s="236">
        <f>IF(ISNUMBER(SEARCH("MOTORISTA",tabParametros[[#This Row],[Função]],1)),VLOOKUP("MOTORISTAS",tabDiarias[],2,0),IF(tabParametros[[#This Row],[Comarca]]="Belo Horizonte",VLOOKUP("LIMPEZA",tabDiarias[],2,0),0))</f>
        <v>0</v>
      </c>
      <c r="AI66" s="235">
        <f t="shared" si="2"/>
        <v>7.011766975308642E-3</v>
      </c>
      <c r="AJ66" s="237">
        <f>tabParametros[[#This Row],[FGTS]]*tabParametros[[#This Row],[Aviso Prévio Indenizado (API) e Reflexo do Aviso Prévio Indenizado]]</f>
        <v>5.609413580246914E-4</v>
      </c>
      <c r="AK66" s="237">
        <f>tabParametros[[#This Row],[FGTS]]*tabParametros[[#This Row],[Aviso Prévio Indenizado (API) e Reflexo do Aviso Prévio Indenizado]]*40%</f>
        <v>2.2437654320987658E-4</v>
      </c>
      <c r="AL66" s="235">
        <f t="shared" si="3"/>
        <v>3.5000000000000005E-3</v>
      </c>
      <c r="AM66" s="235">
        <f>tabParametros[[#This Row],[Aviso Prévio Trabalhado - APT]]*SUM(tabParametros[[#This Row],[INSS]:[SEBRAE]])</f>
        <v>1.3230000000000004E-3</v>
      </c>
      <c r="AN66" s="235">
        <f t="shared" si="4"/>
        <v>3.0577777777777773E-2</v>
      </c>
      <c r="AO66" s="235">
        <f t="shared" si="5"/>
        <v>8.3333333333333339E-4</v>
      </c>
      <c r="AP66" s="235">
        <f t="shared" si="6"/>
        <v>8.4444444444444437E-3</v>
      </c>
      <c r="AQ66" s="235">
        <f t="shared" si="7"/>
        <v>2.0277777777777777E-3</v>
      </c>
      <c r="AR66" s="235">
        <f t="shared" si="8"/>
        <v>1.7083333333333333E-4</v>
      </c>
      <c r="AS66" s="235">
        <f t="shared" si="9"/>
        <v>2.0833333333333335E-4</v>
      </c>
      <c r="AT66" s="235">
        <f t="shared" si="10"/>
        <v>1.2962962962962963E-3</v>
      </c>
      <c r="AU66" s="237">
        <f>SUM(tabParametros[[#This Row],[Ausência por Doença]:[Férias, Adicional de Férias e 13º  com empregada em gozo de Licença Maternidade]])*SUM(tabParametros[[#This Row],[INSS]:[SEBRAE]])</f>
        <v>4.5918250000000008E-3</v>
      </c>
      <c r="AV66" s="234">
        <f>IF(tabParametros[[#This Row],[Função]]="Porteiro - 220 h",SUM(tabParametros[[#This Row],[Salário Base]:[Adicional de Acúmulo de função]])/220*20*1.5,IF(ISNUMBER(SEARCH("12 x 36",tabParametros[[#This Row],[Função]],1)),SUM(tabParametros[[#This Row],[Salário Base]:[Adicional de Acúmulo de função]])/210*15.5*1.5,0))</f>
        <v>0</v>
      </c>
      <c r="AW66" s="234">
        <f>IF(tabParametros[[#This Row],[Vagas contratadas]]&gt;0,(SUM(tabParametros[[#This Row],[Salário Base]:[Adicional de Acúmulo de função]])*30%+SUM(tabParametros[[#This Row],[Vale - Alimentação]:[Seguro de Vida]]))/tabParametros[[#This Row],[Vagas contratadas]]*tabParametros[[#This Row],[Vagas suspensas]],0)</f>
        <v>0</v>
      </c>
      <c r="AX66" s="234">
        <f>SUMIF(tabUniformes[Cargo],tabParametros[[#This Row],[Função]],tabUniformes[Valor unit. Mensal])</f>
        <v>62.806666666666665</v>
      </c>
      <c r="AY66" s="281">
        <f>IF(ISNUMBER(SEARCH("AUXILIAR DE LIMPEZA - 75 H",tabParametros[[#This Row],[Função]],1)),
SUMIF(tabLimpGeral[TIPO],"Material",tabLimpGeral[VALOR UNITÁRIO P/ HORA (R$)])*75,
IF(ISNUMBER(SEARCH("AUXILIAR DE LIMPEZA - 110 H",tabParametros[[#This Row],[Função]],1)),
SUMIF(tabLimpGeral[TIPO],"Material",tabLimpGeral[VALOR UNITÁRIO P/ HORA (R$)])*110,
IF(ISNUMBER(SEARCH("AUXILIAR DE LIMPEZA - 150 H",tabParametros[[#This Row],[Função]],1)),
SUMIF(tabLimpGeral[TIPO],"Material",tabLimpGeral[VALOR UNITÁRIO P/ HORA (R$)])*150,
IF(ISNUMBER(SEARCH("AUXILIAR DE LIMPEZA - 220 H",tabParametros[[#This Row],[Função]],1)),
SUMIF(tabLimpGeral[TIPO],"Material",tabLimpGeral[VALOR UNITÁRIO P/ HORA (R$)])*220,
IF(ISNUMBER(SEARCH("AUXILIAR DE LIMPEZA - 12 x 36",tabParametros[[#This Row],[Função]],1)),
SUMIF(tabLimpGeral[TIPO],"Material",tabLimpGeral[VALOR UNITÁRIO P/ HORA (R$)])*220,
IF(ISNUMBER(SEARCH("Limpador de vidros - 220 h",tabParametros[[#This Row],[Função]],1)),
SUMIF(tabVidros[TIPO],"Material",tabVidros[VALOR UNITÁRIO P/ POSTO (R$)]),
0))))))</f>
        <v>12.108481690426325</v>
      </c>
      <c r="AZ66" s="281">
        <f>IF(ISNUMBER(SEARCH("AUXILIAR DE LIMPEZA - 75 H",tabParametros[[#This Row],[Função]],1)),
SUMIF(tabLimpGeral[TIPO],"Equipamento",tabLimpGeral[VALOR UNITÁRIO P/ HORA (R$)])*75,
IF(ISNUMBER(SEARCH("AUXILIAR DE LIMPEZA - 110 H",tabParametros[[#This Row],[Função]],1)),
SUMIF(tabLimpGeral[TIPO],"Equipamento",tabLimpGeral[VALOR UNITÁRIO P/ HORA (R$)])*110,
IF(ISNUMBER(SEARCH("AUXILIAR DE LIMPEZA - 150 H",tabParametros[[#This Row],[Função]],1)),
SUMIF(tabLimpGeral[TIPO],"Equipamento",tabLimpGeral[VALOR UNITÁRIO P/ HORA (R$)])*150,
IF(ISNUMBER(SEARCH("AUXILIAR DE LIMPEZA - 220 H",tabParametros[[#This Row],[Função]],1)),
SUMIF(tabLimpGeral[TIPO],"Equipamento",tabLimpGeral[VALOR UNITÁRIO P/ HORA (R$)])*220,
IF(ISNUMBER(SEARCH("AUXILIAR DE LIMPEZA - 12 x 36",tabParametros[[#This Row],[Função]],1)),
SUMIF(tabLimpGeral[TIPO],"Equipamento",tabLimpGeral[VALOR UNITÁRIO P/ HORA (R$)])*220,
IF(ISNUMBER(SEARCH("Limpador de vidros - 220 h",tabParametros[[#This Row],[Função]],1)),
SUMIF(tabVidros[TIPO],"Equipamento",tabVidros[VALOR UNITÁRIO P/ POSTO (R$)]),
0))))))</f>
        <v>21.998657016417809</v>
      </c>
      <c r="BA66" s="281">
        <f>IF(ISNUMBER(SEARCH("AUXILIAR DE LIMPEZA - 75 H",tabParametros[[#This Row],[Função]],1)),
SUMIF(tabLimpGeral[TIPO],"Produto",tabLimpGeral[VALOR UNITÁRIO P/ HORA (R$)])*75,
IF(ISNUMBER(SEARCH("AUXILIAR DE LIMPEZA - 110 H",tabParametros[[#This Row],[Função]],1)),
SUMIF(tabLimpGeral[TIPO],"Produto",tabLimpGeral[VALOR UNITÁRIO P/ HORA (R$)])*110,
IF(ISNUMBER(SEARCH("AUXILIAR DE LIMPEZA - 150 H",tabParametros[[#This Row],[Função]],1)),
SUMIF(tabLimpGeral[TIPO],"Produto",tabLimpGeral[VALOR UNITÁRIO P/ HORA (R$)])*150,
IF(ISNUMBER(SEARCH("AUXILIAR DE LIMPEZA - 220 H",tabParametros[[#This Row],[Função]],1)),
SUMIF(tabLimpGeral[TIPO],"Produto",tabLimpGeral[VALOR UNITÁRIO P/ HORA (R$)])*220,
IF(ISNUMBER(SEARCH("AUXILIAR DE LIMPEZA - 12 x 36",tabParametros[[#This Row],[Função]],1)),
SUMIF(tabLimpGeral[TIPO],"Produto",tabLimpGeral[VALOR UNITÁRIO P/ HORA (R$)])*220,
IF(ISNUMBER(SEARCH("Limpador de vidros - 220 h",tabParametros[[#This Row],[Função]],1)),
SUMIF(tabVidros[TIPO],"Produto",tabVidros[VALOR UNITÁRIO P/ POSTO (R$)]),
0))))))</f>
        <v>235.31984072022155</v>
      </c>
      <c r="BB66" s="281">
        <v>0</v>
      </c>
      <c r="BC66" s="236">
        <f>VLOOKUP(tabParametros[[#Headers],[Custos Indiretos]],tabOutrosCustos[],3,0)</f>
        <v>189.64880140242613</v>
      </c>
      <c r="BD66" s="236">
        <f>VLOOKUP(tabParametros[[#Headers],[Lucro]],tabOutrosCustos[],3,0)</f>
        <v>159.30499317803796</v>
      </c>
      <c r="BE66" s="235">
        <f>VLOOKUP(tabParametros[[#Headers],[COFINS]],tabImpostosNacionais[],2,0)</f>
        <v>7.5999999999999998E-2</v>
      </c>
      <c r="BF66" s="235">
        <f>VLOOKUP(tabParametros[[#Headers],[PIS]],tabImpostosNacionais[],2,0)</f>
        <v>1.6500000000000001E-2</v>
      </c>
      <c r="BG66" s="235">
        <f>VLOOKUP(tabParametros[[#This Row],[Comarca]],tabComarca[],4,0)</f>
        <v>0.05</v>
      </c>
      <c r="BH66" s="238">
        <f>IFERROR(VLOOKUP(tabParametros[[#This Row],[CCT DA CATEGORIA]],tabSindicatos[],11,0),"")</f>
        <v>45658</v>
      </c>
      <c r="BI66" s="289" t="str">
        <f>IFERROR(VLOOKUP(tabParametros[[#This Row],[CCT DA CATEGORIA]],tabSindicatos[],12,0),"")</f>
        <v>-</v>
      </c>
      <c r="BJ66" s="293" t="str">
        <f>IFERROR(VLOOKUP(tabParametros[[#This Row],[CCT DA CATEGORIA]],tabSindicatos[],13,0),"")</f>
        <v>-</v>
      </c>
    </row>
    <row r="67" spans="1:62" x14ac:dyDescent="0.25">
      <c r="A67" s="233" t="s">
        <v>1407</v>
      </c>
      <c r="B67" s="198" t="s">
        <v>65</v>
      </c>
      <c r="C67" s="198" t="s">
        <v>1245</v>
      </c>
      <c r="D67" s="198" t="str">
        <f>VLOOKUP(tabParametros[[#This Row],[Código do Posto]],tabPostos[],4,0)</f>
        <v>Fethemg Interior</v>
      </c>
      <c r="E67" s="289" t="str">
        <f>VLOOKUP(tabParametros[[#This Row],[Código do Posto]],tabPostos[],5,0)</f>
        <v>Limpeza</v>
      </c>
      <c r="F67" s="289" t="str">
        <f>VLOOKUP(tabParametros[[#This Row],[Código do Posto]],tabPostos[],6,0)</f>
        <v>PGJ</v>
      </c>
      <c r="G67" s="289">
        <f>VLOOKUP(tabParametros[[#This Row],[Código do Posto]],tabPostos[],7,0)</f>
        <v>1</v>
      </c>
      <c r="H67" s="289">
        <f>VLOOKUP(tabParametros[[#This Row],[Código do Posto]],tabPostos[],8,0)</f>
        <v>0</v>
      </c>
      <c r="I67" s="234">
        <f>VLOOKUP(tabParametros[[#This Row],[Código do Posto]],tabPostos[],9,0)</f>
        <v>1596.28</v>
      </c>
      <c r="J67" s="234">
        <f>IF(ISNUMBER(SEARCH("Eletricista",tabParametros[[#This Row],[Função]],1)),0.3*tabParametros[[#This Row],[Salário Base]],0)</f>
        <v>0</v>
      </c>
      <c r="K67" s="234">
        <f>IF(OR(ISNUMBER(SEARCH("Bombeiro Hidraulico",tabParametros[[#This Row],[Função]],1)),ISNUMBER(SEARCH("Jardineiro",tabParametros[[#This Row],[Função]],1)),ISNUMBER(SEARCH("Lavador de Veiculos",tabParametros[[#This Row],[Função]],1)),ISNUMBER(SEARCH("Marceneiro",tabParametros[[#This Row],[Função]],1)),ISNUMBER(SEARCH("Pintor",tabParametros[[#This Row],[Função]],1))),0.2*'BASE GERAL'!$R$4,0)</f>
        <v>0</v>
      </c>
      <c r="L67" s="234">
        <f>IF(AND(ISNUMBER(SEARCH("Noturno",tabParametros[[#This Row],[Função]],1)),tabParametros[[#This Row],[Comarca]]&lt;&gt;"Juiz de Fora"),tabParametros[[#This Row],[Salário Base]]/210*0.39*7*15.5,IF(ISNUMBER(SEARCH("Noturno",tabParametros[[#This Row],[Função]],1)),tabParametros[[#This Row],[Salário Base]]/210*0.2*8*15.5,0))</f>
        <v>0</v>
      </c>
      <c r="M67" s="234">
        <f>IF(ISNUMBER(SEARCH("Motorista II",tabParametros[[#This Row],[Função]],1)),0.25*tabParametros[[#This Row],[Salário Base]],0)</f>
        <v>0</v>
      </c>
      <c r="N67" s="250">
        <v>0</v>
      </c>
      <c r="O67" s="234">
        <f>IF(ISNUMBER(SEARCH("TECNOLOGIA DA INFORMACAO",tabParametros[[#This Row],[Função]],1)),0.0201*tabParametros[[#This Row],[Salário Base]],0)</f>
        <v>0</v>
      </c>
      <c r="P67" s="250" cm="1">
        <f t="array" ref="P67">_xlfn.IFS(
ISNUMBER(SEARCH("Auxiliar de Limpeza - 75 h",tabParametros[[#This Row],[Função]],1)),tabParametros[[#This Row],[Salário Base]]/75*0.75*30*0.12,
ISNUMBER(SEARCH("Auxiliar de Limpeza - 110 h",tabParametros[[#This Row],[Função]],1)),tabParametros[[#This Row],[Salário Base]]/110*1*30*0.12,
ISNUMBER(SEARCH("Auxiliar de Limpeza - 150 h",tabParametros[[#This Row],[Função]],1)),tabParametros[[#This Row],[Salário Base]]/150*1.5*30*0.12,
ISNUMBER(SEARCH("Auxiliar de Limpeza - 220 h",tabParametros[[#This Row],[Função]],1)),tabParametros[[#This Row],[Salário Base]]/220*2*30*0.12,
ISNUMBER(SEARCH("Auxiliar de Limpeza - 12 x 36",tabParametros[[#This Row],[Função]],1)),tabParametros[[#This Row],[Salário Base]]/220*2*30*0.12,
ISNUMBER(SEARCH("Auxiliar de Limpeza - 55 h",tabParametros[[#This Row],[Função]],1))=FALSE,0)</f>
        <v>52.241890909090905</v>
      </c>
      <c r="Q67" s="235">
        <f>VLOOKUP(tabParametros[[#Headers],[INSS]],tabImpostosNacionais[],2,0)</f>
        <v>0.2</v>
      </c>
      <c r="R67" s="235">
        <f>VLOOKUP(tabParametros[[#Headers],[SESI OU SESC]],tabImpostosNacionais[],2,0)</f>
        <v>1.4999999999999999E-2</v>
      </c>
      <c r="S67" s="235">
        <f>VLOOKUP(tabParametros[[#Headers],[SENAI OU SENAC]],tabImpostosNacionais[],2,0)</f>
        <v>0.01</v>
      </c>
      <c r="T67" s="235">
        <f>VLOOKUP(tabParametros[[#Headers],[INCRA]],tabImpostosNacionais[],2,0)</f>
        <v>2E-3</v>
      </c>
      <c r="U67" s="235">
        <f>VLOOKUP(tabParametros[[#Headers],[Salário Educação]],tabImpostosNacionais[],2,0)</f>
        <v>2.5000000000000001E-2</v>
      </c>
      <c r="V67" s="235">
        <f>VLOOKUP(tabParametros[[#Headers],[FGTS]],tabImpostosNacionais[],2,0)</f>
        <v>0.08</v>
      </c>
      <c r="W67" s="235">
        <f>VLOOKUP(tabParametros[[#Headers],[RAT Ajustado]],tabImpostosNacionais[],2,0)</f>
        <v>0.04</v>
      </c>
      <c r="X67" s="235">
        <f>VLOOKUP(tabParametros[[#Headers],[SEBRAE]],tabImpostosNacionais[],2,0)</f>
        <v>6.0000000000000001E-3</v>
      </c>
      <c r="Y67" s="235">
        <f t="shared" si="0"/>
        <v>8.3333333333333329E-2</v>
      </c>
      <c r="Z67" s="251">
        <f t="shared" si="1"/>
        <v>0.1111111111111111</v>
      </c>
      <c r="AA67" s="234">
        <f>VLOOKUP(tabParametros[[#This Row],[Comarca]],tabComarca[],5,0)</f>
        <v>6.4</v>
      </c>
      <c r="AB67" s="234">
        <f>IFERROR(VLOOKUP(tabParametros[[#This Row],[CCT DA CATEGORIA]],tabSindicatos[],6,0),0)</f>
        <v>29.15</v>
      </c>
      <c r="AC67" s="234">
        <f>IFERROR(VLOOKUP(tabParametros[[#This Row],[CCT DA CATEGORIA]],tabSindicatos[],7,0),0)</f>
        <v>0</v>
      </c>
      <c r="AD67" s="234" cm="1">
        <f t="array" ref="AD67">_xlfn.LET(
_xlpm.COMARCA, TRIM(UPPER(SUBSTITUTE(SUBSTITUTE(SUBSTITUTE(SUBSTITUTE(SUBSTITUTE(SUBSTITUTE(SUBSTITUTE(SUBSTITUTE(SUBSTITUTE(SUBSTITUTE(SUBSTITUTE(SUBSTITUTE(SUBSTITUTE(SUBSTITUTE(SUBSTITUTE(SUBSTITUTE(SUBSTITUTE(SUBSTITUTE(SUBSTITUTE(SUBSTITUTE(SUBSTITUTE(SUBSTITUTE(SUBSTITUTE(SUBSTITUTE(SUBSTITUTE(SUBSTITUTE(tabParametros[[#This Row],[Comarca]],"á","a"),"ã","a"),"â","a"),"é","e"),"ê","e"),"í","i"),"ó","o"),"õ","o"),"ô","o"),"ú","u"),"ç","c"),"Á","a"),"Ã","a"),"Â","a"),"É","e"),"Ê","e"),"Í","i"),"Ó","o"),"Õ","o"),"Ô","o"),"Ú","u"),"Ç","c"),"/MG","")," e ",", ")," ",""),".",""))),
_xlpm.MATRIZ_COMARCA, TRIM(UPPER(SUBSTITUTE(SUBSTITUTE(SUBSTITUTE(SUBSTITUTE(SUBSTITUTE(SUBSTITUTE(SUBSTITUTE(SUBSTITUTE(SUBSTITUTE(SUBSTITUTE(SUBSTITUTE(SUBSTITUTE(SUBSTITUTE(SUBSTITUTE(SUBSTITUTE(SUBSTITUTE(SUBSTITUTE(SUBSTITUTE(SUBSTITUTE(SUBSTITUTE(SUBSTITUTE(SUBSTITUTE(SUBSTITUTE(SUBSTITUTE(SUBSTITUTE(SUBSTITUTE(tabSindicatos[COMARCAS PAF],"á","a"),"ã","a"),"â","a"),"é","e"),"ê","e"),"í","i"),"ó","o"),"õ","o"),"ô","o"),"ú","u"),"ç","c"),"Á","a"),"Ã","a"),"Â","a"),"É","e"),"Ê","e"),"Í","i"),"Ó","o"),"Õ","o"),"Ô","o"),"Ú","u"),"Ç","c"),"/MG","")," e ",", ")," ",""),".",""))),
IFERROR(IF(_xlfn.XLOOKUP(tabParametros[[#This Row],[CCT DA CATEGORIA]],tabSindicatos[SINDICATOS],tabSindicatos[COMARCAS PAF])="",
VLOOKUP(tabParametros[[#This Row],[CCT DA CATEGORIA]],tabSindicatos[],8,0),
IF(ISNUMBER(SEARCH(TRIM(_xlpm.COMARCA),_xlfn.XLOOKUP(tabParametros[[#This Row],[CCT DA CATEGORIA]],tabSindicatos[SINDICATOS],_xlpm.MATRIZ_COMARCA),1)),VLOOKUP(tabParametros[[#This Row],[CCT DA CATEGORIA]],tabSindicatos[],8,0),0)
),0)
)</f>
        <v>0</v>
      </c>
      <c r="AE67" s="234">
        <f>IFERROR(VLOOKUP(tabParametros[[#This Row],[CCT DA CATEGORIA]],tabSindicatos[],9,0),0)</f>
        <v>15.07</v>
      </c>
      <c r="AF67" s="234">
        <f>IFERROR(VLOOKUP(tabParametros[[#This Row],[CCT DA CATEGORIA]],tabSindicatos[],10,0),0)</f>
        <v>0</v>
      </c>
      <c r="AG67" s="236">
        <f>VLOOKUP(tabParametros[[#Headers],[Seguro de Vida]],tabOutrosCustos[],3,0)</f>
        <v>3.36</v>
      </c>
      <c r="AH67" s="236">
        <f>IF(ISNUMBER(SEARCH("MOTORISTA",tabParametros[[#This Row],[Função]],1)),VLOOKUP("MOTORISTAS",tabDiarias[],2,0),IF(tabParametros[[#This Row],[Comarca]]="Belo Horizonte",VLOOKUP("LIMPEZA",tabDiarias[],2,0),0))</f>
        <v>0</v>
      </c>
      <c r="AI67" s="235">
        <f t="shared" si="2"/>
        <v>7.011766975308642E-3</v>
      </c>
      <c r="AJ67" s="237">
        <f>tabParametros[[#This Row],[FGTS]]*tabParametros[[#This Row],[Aviso Prévio Indenizado (API) e Reflexo do Aviso Prévio Indenizado]]</f>
        <v>5.609413580246914E-4</v>
      </c>
      <c r="AK67" s="237">
        <f>tabParametros[[#This Row],[FGTS]]*tabParametros[[#This Row],[Aviso Prévio Indenizado (API) e Reflexo do Aviso Prévio Indenizado]]*40%</f>
        <v>2.2437654320987658E-4</v>
      </c>
      <c r="AL67" s="235">
        <f t="shared" si="3"/>
        <v>3.5000000000000005E-3</v>
      </c>
      <c r="AM67" s="235">
        <f>tabParametros[[#This Row],[Aviso Prévio Trabalhado - APT]]*SUM(tabParametros[[#This Row],[INSS]:[SEBRAE]])</f>
        <v>1.3230000000000004E-3</v>
      </c>
      <c r="AN67" s="235">
        <f t="shared" si="4"/>
        <v>3.0577777777777773E-2</v>
      </c>
      <c r="AO67" s="235">
        <f t="shared" si="5"/>
        <v>8.3333333333333339E-4</v>
      </c>
      <c r="AP67" s="235">
        <f t="shared" si="6"/>
        <v>8.4444444444444437E-3</v>
      </c>
      <c r="AQ67" s="235">
        <f t="shared" si="7"/>
        <v>2.0277777777777777E-3</v>
      </c>
      <c r="AR67" s="235">
        <f t="shared" si="8"/>
        <v>1.7083333333333333E-4</v>
      </c>
      <c r="AS67" s="235">
        <f t="shared" si="9"/>
        <v>2.0833333333333335E-4</v>
      </c>
      <c r="AT67" s="235">
        <f t="shared" si="10"/>
        <v>1.2962962962962963E-3</v>
      </c>
      <c r="AU67" s="237">
        <f>SUM(tabParametros[[#This Row],[Ausência por Doença]:[Férias, Adicional de Férias e 13º  com empregada em gozo de Licença Maternidade]])*SUM(tabParametros[[#This Row],[INSS]:[SEBRAE]])</f>
        <v>4.5918250000000008E-3</v>
      </c>
      <c r="AV67" s="234">
        <f>IF(tabParametros[[#This Row],[Função]]="Porteiro - 220 h",SUM(tabParametros[[#This Row],[Salário Base]:[Adicional de Acúmulo de função]])/220*20*1.5,IF(ISNUMBER(SEARCH("12 x 36",tabParametros[[#This Row],[Função]],1)),SUM(tabParametros[[#This Row],[Salário Base]:[Adicional de Acúmulo de função]])/210*15.5*1.5,0))</f>
        <v>0</v>
      </c>
      <c r="AW67" s="234">
        <f>IF(tabParametros[[#This Row],[Vagas contratadas]]&gt;0,(SUM(tabParametros[[#This Row],[Salário Base]:[Adicional de Acúmulo de função]])*30%+SUM(tabParametros[[#This Row],[Vale - Alimentação]:[Seguro de Vida]]))/tabParametros[[#This Row],[Vagas contratadas]]*tabParametros[[#This Row],[Vagas suspensas]],0)</f>
        <v>0</v>
      </c>
      <c r="AX67" s="234">
        <f>SUMIF(tabUniformes[Cargo],tabParametros[[#This Row],[Função]],tabUniformes[Valor unit. Mensal])</f>
        <v>100.80916666666666</v>
      </c>
      <c r="AY67" s="281">
        <f>IF(ISNUMBER(SEARCH("AUXILIAR DE LIMPEZA - 75 H",tabParametros[[#This Row],[Função]],1)),
SUMIF(tabLimpGeral[TIPO],"Material",tabLimpGeral[VALOR UNITÁRIO P/ HORA (R$)])*75,
IF(ISNUMBER(SEARCH("AUXILIAR DE LIMPEZA - 110 H",tabParametros[[#This Row],[Função]],1)),
SUMIF(tabLimpGeral[TIPO],"Material",tabLimpGeral[VALOR UNITÁRIO P/ HORA (R$)])*110,
IF(ISNUMBER(SEARCH("AUXILIAR DE LIMPEZA - 150 H",tabParametros[[#This Row],[Função]],1)),
SUMIF(tabLimpGeral[TIPO],"Material",tabLimpGeral[VALOR UNITÁRIO P/ HORA (R$)])*150,
IF(ISNUMBER(SEARCH("AUXILIAR DE LIMPEZA - 220 H",tabParametros[[#This Row],[Função]],1)),
SUMIF(tabLimpGeral[TIPO],"Material",tabLimpGeral[VALOR UNITÁRIO P/ HORA (R$)])*220,
IF(ISNUMBER(SEARCH("AUXILIAR DE LIMPEZA - 12 x 36",tabParametros[[#This Row],[Função]],1)),
SUMIF(tabLimpGeral[TIPO],"Material",tabLimpGeral[VALOR UNITÁRIO P/ HORA (R$)])*220,
IF(ISNUMBER(SEARCH("Limpador de vidros - 220 h",tabParametros[[#This Row],[Função]],1)),
SUMIF(tabVidros[TIPO],"Material",tabVidros[VALOR UNITÁRIO P/ POSTO (R$)]),
0))))))</f>
        <v>35.518212958583888</v>
      </c>
      <c r="AZ67" s="281">
        <f>IF(ISNUMBER(SEARCH("AUXILIAR DE LIMPEZA - 75 H",tabParametros[[#This Row],[Função]],1)),
SUMIF(tabLimpGeral[TIPO],"Equipamento",tabLimpGeral[VALOR UNITÁRIO P/ HORA (R$)])*75,
IF(ISNUMBER(SEARCH("AUXILIAR DE LIMPEZA - 110 H",tabParametros[[#This Row],[Função]],1)),
SUMIF(tabLimpGeral[TIPO],"Equipamento",tabLimpGeral[VALOR UNITÁRIO P/ HORA (R$)])*110,
IF(ISNUMBER(SEARCH("AUXILIAR DE LIMPEZA - 150 H",tabParametros[[#This Row],[Função]],1)),
SUMIF(tabLimpGeral[TIPO],"Equipamento",tabLimpGeral[VALOR UNITÁRIO P/ HORA (R$)])*150,
IF(ISNUMBER(SEARCH("AUXILIAR DE LIMPEZA - 220 H",tabParametros[[#This Row],[Função]],1)),
SUMIF(tabLimpGeral[TIPO],"Equipamento",tabLimpGeral[VALOR UNITÁRIO P/ HORA (R$)])*220,
IF(ISNUMBER(SEARCH("AUXILIAR DE LIMPEZA - 12 x 36",tabParametros[[#This Row],[Função]],1)),
SUMIF(tabLimpGeral[TIPO],"Equipamento",tabLimpGeral[VALOR UNITÁRIO P/ HORA (R$)])*220,
IF(ISNUMBER(SEARCH("Limpador de vidros - 220 h",tabParametros[[#This Row],[Função]],1)),
SUMIF(tabVidros[TIPO],"Equipamento",tabVidros[VALOR UNITÁRIO P/ POSTO (R$)]),
0))))))</f>
        <v>64.529393914825576</v>
      </c>
      <c r="BA67" s="281">
        <f>IF(ISNUMBER(SEARCH("AUXILIAR DE LIMPEZA - 75 H",tabParametros[[#This Row],[Função]],1)),
SUMIF(tabLimpGeral[TIPO],"Produto",tabLimpGeral[VALOR UNITÁRIO P/ HORA (R$)])*75,
IF(ISNUMBER(SEARCH("AUXILIAR DE LIMPEZA - 110 H",tabParametros[[#This Row],[Função]],1)),
SUMIF(tabLimpGeral[TIPO],"Produto",tabLimpGeral[VALOR UNITÁRIO P/ HORA (R$)])*110,
IF(ISNUMBER(SEARCH("AUXILIAR DE LIMPEZA - 150 H",tabParametros[[#This Row],[Função]],1)),
SUMIF(tabLimpGeral[TIPO],"Produto",tabLimpGeral[VALOR UNITÁRIO P/ HORA (R$)])*150,
IF(ISNUMBER(SEARCH("AUXILIAR DE LIMPEZA - 220 H",tabParametros[[#This Row],[Função]],1)),
SUMIF(tabLimpGeral[TIPO],"Produto",tabLimpGeral[VALOR UNITÁRIO P/ HORA (R$)])*220,
IF(ISNUMBER(SEARCH("AUXILIAR DE LIMPEZA - 12 x 36",tabParametros[[#This Row],[Função]],1)),
SUMIF(tabLimpGeral[TIPO],"Produto",tabLimpGeral[VALOR UNITÁRIO P/ HORA (R$)])*220,
IF(ISNUMBER(SEARCH("Limpador de vidros - 220 h",tabParametros[[#This Row],[Função]],1)),
SUMIF(tabVidros[TIPO],"Produto",tabVidros[VALOR UNITÁRIO P/ POSTO (R$)]),
0))))))</f>
        <v>690.27153277931654</v>
      </c>
      <c r="BB67" s="281">
        <v>0</v>
      </c>
      <c r="BC67" s="236">
        <f>VLOOKUP(tabParametros[[#Headers],[Custos Indiretos]],tabOutrosCustos[],3,0)</f>
        <v>189.64880140242613</v>
      </c>
      <c r="BD67" s="236">
        <f>VLOOKUP(tabParametros[[#Headers],[Lucro]],tabOutrosCustos[],3,0)</f>
        <v>159.30499317803796</v>
      </c>
      <c r="BE67" s="235">
        <f>VLOOKUP(tabParametros[[#Headers],[COFINS]],tabImpostosNacionais[],2,0)</f>
        <v>7.5999999999999998E-2</v>
      </c>
      <c r="BF67" s="235">
        <f>VLOOKUP(tabParametros[[#Headers],[PIS]],tabImpostosNacionais[],2,0)</f>
        <v>1.6500000000000001E-2</v>
      </c>
      <c r="BG67" s="235">
        <f>VLOOKUP(tabParametros[[#This Row],[Comarca]],tabComarca[],4,0)</f>
        <v>0.03</v>
      </c>
      <c r="BH67" s="238">
        <f>IFERROR(VLOOKUP(tabParametros[[#This Row],[CCT DA CATEGORIA]],tabSindicatos[],11,0),"")</f>
        <v>45658</v>
      </c>
      <c r="BI67" s="289" t="str">
        <f>IFERROR(VLOOKUP(tabParametros[[#This Row],[CCT DA CATEGORIA]],tabSindicatos[],12,0),"")</f>
        <v>-</v>
      </c>
      <c r="BJ67" s="293" t="str">
        <f>IFERROR(VLOOKUP(tabParametros[[#This Row],[CCT DA CATEGORIA]],tabSindicatos[],13,0),"")</f>
        <v>-</v>
      </c>
    </row>
    <row r="68" spans="1:62" x14ac:dyDescent="0.25">
      <c r="A68" s="233" t="s">
        <v>1408</v>
      </c>
      <c r="B68" s="198" t="s">
        <v>66</v>
      </c>
      <c r="C68" s="198" t="s">
        <v>1244</v>
      </c>
      <c r="D68" s="198" t="str">
        <f>VLOOKUP(tabParametros[[#This Row],[Código do Posto]],tabPostos[],4,0)</f>
        <v>Cataguases</v>
      </c>
      <c r="E68" s="289" t="str">
        <f>VLOOKUP(tabParametros[[#This Row],[Código do Posto]],tabPostos[],5,0)</f>
        <v>Limpeza</v>
      </c>
      <c r="F68" s="289" t="str">
        <f>VLOOKUP(tabParametros[[#This Row],[Código do Posto]],tabPostos[],6,0)</f>
        <v>PGJ</v>
      </c>
      <c r="G68" s="289">
        <f>VLOOKUP(tabParametros[[#This Row],[Código do Posto]],tabPostos[],7,0)</f>
        <v>2</v>
      </c>
      <c r="H68" s="289">
        <f>VLOOKUP(tabParametros[[#This Row],[Código do Posto]],tabPostos[],8,0)</f>
        <v>0</v>
      </c>
      <c r="I68" s="234">
        <f>VLOOKUP(tabParametros[[#This Row],[Código do Posto]],tabPostos[],9,0)</f>
        <v>798.14</v>
      </c>
      <c r="J68" s="234">
        <f>IF(ISNUMBER(SEARCH("Eletricista",tabParametros[[#This Row],[Função]],1)),0.3*tabParametros[[#This Row],[Salário Base]],0)</f>
        <v>0</v>
      </c>
      <c r="K68" s="234">
        <f>IF(OR(ISNUMBER(SEARCH("Bombeiro Hidraulico",tabParametros[[#This Row],[Função]],1)),ISNUMBER(SEARCH("Jardineiro",tabParametros[[#This Row],[Função]],1)),ISNUMBER(SEARCH("Lavador de Veiculos",tabParametros[[#This Row],[Função]],1)),ISNUMBER(SEARCH("Marceneiro",tabParametros[[#This Row],[Função]],1)),ISNUMBER(SEARCH("Pintor",tabParametros[[#This Row],[Função]],1))),0.2*'BASE GERAL'!$R$4,0)</f>
        <v>0</v>
      </c>
      <c r="L68" s="234">
        <f>IF(AND(ISNUMBER(SEARCH("Noturno",tabParametros[[#This Row],[Função]],1)),tabParametros[[#This Row],[Comarca]]&lt;&gt;"Juiz de Fora"),tabParametros[[#This Row],[Salário Base]]/210*0.39*7*15.5,IF(ISNUMBER(SEARCH("Noturno",tabParametros[[#This Row],[Função]],1)),tabParametros[[#This Row],[Salário Base]]/210*0.2*8*15.5,0))</f>
        <v>0</v>
      </c>
      <c r="M68" s="234">
        <f>IF(ISNUMBER(SEARCH("Motorista II",tabParametros[[#This Row],[Função]],1)),0.25*tabParametros[[#This Row],[Salário Base]],0)</f>
        <v>0</v>
      </c>
      <c r="N68" s="250">
        <v>0</v>
      </c>
      <c r="O68" s="234">
        <f>IF(ISNUMBER(SEARCH("TECNOLOGIA DA INFORMACAO",tabParametros[[#This Row],[Função]],1)),0.0201*tabParametros[[#This Row],[Salário Base]],0)</f>
        <v>0</v>
      </c>
      <c r="P68" s="250" cm="1">
        <f t="array" ref="P68">_xlfn.IFS(
ISNUMBER(SEARCH("Auxiliar de Limpeza - 75 h",tabParametros[[#This Row],[Função]],1)),tabParametros[[#This Row],[Salário Base]]/75*0.75*30*0.12,
ISNUMBER(SEARCH("Auxiliar de Limpeza - 110 h",tabParametros[[#This Row],[Função]],1)),tabParametros[[#This Row],[Salário Base]]/110*1*30*0.12,
ISNUMBER(SEARCH("Auxiliar de Limpeza - 150 h",tabParametros[[#This Row],[Função]],1)),tabParametros[[#This Row],[Salário Base]]/150*1.5*30*0.12,
ISNUMBER(SEARCH("Auxiliar de Limpeza - 220 h",tabParametros[[#This Row],[Função]],1)),tabParametros[[#This Row],[Salário Base]]/220*2*30*0.12,
ISNUMBER(SEARCH("Auxiliar de Limpeza - 12 x 36",tabParametros[[#This Row],[Função]],1)),tabParametros[[#This Row],[Salário Base]]/220*2*30*0.12,
ISNUMBER(SEARCH("Auxiliar de Limpeza - 55 h",tabParametros[[#This Row],[Função]],1))=FALSE,0)</f>
        <v>26.120945454545453</v>
      </c>
      <c r="Q68" s="235">
        <f>VLOOKUP(tabParametros[[#Headers],[INSS]],tabImpostosNacionais[],2,0)</f>
        <v>0.2</v>
      </c>
      <c r="R68" s="235">
        <f>VLOOKUP(tabParametros[[#Headers],[SESI OU SESC]],tabImpostosNacionais[],2,0)</f>
        <v>1.4999999999999999E-2</v>
      </c>
      <c r="S68" s="235">
        <f>VLOOKUP(tabParametros[[#Headers],[SENAI OU SENAC]],tabImpostosNacionais[],2,0)</f>
        <v>0.01</v>
      </c>
      <c r="T68" s="235">
        <f>VLOOKUP(tabParametros[[#Headers],[INCRA]],tabImpostosNacionais[],2,0)</f>
        <v>2E-3</v>
      </c>
      <c r="U68" s="235">
        <f>VLOOKUP(tabParametros[[#Headers],[Salário Educação]],tabImpostosNacionais[],2,0)</f>
        <v>2.5000000000000001E-2</v>
      </c>
      <c r="V68" s="235">
        <f>VLOOKUP(tabParametros[[#Headers],[FGTS]],tabImpostosNacionais[],2,0)</f>
        <v>0.08</v>
      </c>
      <c r="W68" s="235">
        <f>VLOOKUP(tabParametros[[#Headers],[RAT Ajustado]],tabImpostosNacionais[],2,0)</f>
        <v>0.04</v>
      </c>
      <c r="X68" s="235">
        <f>VLOOKUP(tabParametros[[#Headers],[SEBRAE]],tabImpostosNacionais[],2,0)</f>
        <v>6.0000000000000001E-3</v>
      </c>
      <c r="Y68" s="235">
        <f t="shared" ref="Y68:Y131" si="11">1/12</f>
        <v>8.3333333333333329E-2</v>
      </c>
      <c r="Z68" s="251">
        <f t="shared" ref="Z68:Z131" si="12">1/12+1/12/3</f>
        <v>0.1111111111111111</v>
      </c>
      <c r="AA68" s="234">
        <f>VLOOKUP(tabParametros[[#This Row],[Comarca]],tabComarca[],5,0)</f>
        <v>6.4</v>
      </c>
      <c r="AB68" s="234">
        <f>IFERROR(VLOOKUP(tabParametros[[#This Row],[CCT DA CATEGORIA]],tabSindicatos[],6,0),0)</f>
        <v>29.15</v>
      </c>
      <c r="AC68" s="234">
        <f>IFERROR(VLOOKUP(tabParametros[[#This Row],[CCT DA CATEGORIA]],tabSindicatos[],7,0),0)</f>
        <v>0</v>
      </c>
      <c r="AD68" s="234" cm="1">
        <f t="array" ref="AD68">_xlfn.LET(
_xlpm.COMARCA, TRIM(UPPER(SUBSTITUTE(SUBSTITUTE(SUBSTITUTE(SUBSTITUTE(SUBSTITUTE(SUBSTITUTE(SUBSTITUTE(SUBSTITUTE(SUBSTITUTE(SUBSTITUTE(SUBSTITUTE(SUBSTITUTE(SUBSTITUTE(SUBSTITUTE(SUBSTITUTE(SUBSTITUTE(SUBSTITUTE(SUBSTITUTE(SUBSTITUTE(SUBSTITUTE(SUBSTITUTE(SUBSTITUTE(SUBSTITUTE(SUBSTITUTE(SUBSTITUTE(SUBSTITUTE(tabParametros[[#This Row],[Comarca]],"á","a"),"ã","a"),"â","a"),"é","e"),"ê","e"),"í","i"),"ó","o"),"õ","o"),"ô","o"),"ú","u"),"ç","c"),"Á","a"),"Ã","a"),"Â","a"),"É","e"),"Ê","e"),"Í","i"),"Ó","o"),"Õ","o"),"Ô","o"),"Ú","u"),"Ç","c"),"/MG","")," e ",", ")," ",""),".",""))),
_xlpm.MATRIZ_COMARCA, TRIM(UPPER(SUBSTITUTE(SUBSTITUTE(SUBSTITUTE(SUBSTITUTE(SUBSTITUTE(SUBSTITUTE(SUBSTITUTE(SUBSTITUTE(SUBSTITUTE(SUBSTITUTE(SUBSTITUTE(SUBSTITUTE(SUBSTITUTE(SUBSTITUTE(SUBSTITUTE(SUBSTITUTE(SUBSTITUTE(SUBSTITUTE(SUBSTITUTE(SUBSTITUTE(SUBSTITUTE(SUBSTITUTE(SUBSTITUTE(SUBSTITUTE(SUBSTITUTE(SUBSTITUTE(tabSindicatos[COMARCAS PAF],"á","a"),"ã","a"),"â","a"),"é","e"),"ê","e"),"í","i"),"ó","o"),"õ","o"),"ô","o"),"ú","u"),"ç","c"),"Á","a"),"Ã","a"),"Â","a"),"É","e"),"Ê","e"),"Í","i"),"Ó","o"),"Õ","o"),"Ô","o"),"Ú","u"),"Ç","c"),"/MG","")," e ",", ")," ",""),".",""))),
IFERROR(IF(_xlfn.XLOOKUP(tabParametros[[#This Row],[CCT DA CATEGORIA]],tabSindicatos[SINDICATOS],tabSindicatos[COMARCAS PAF])="",
VLOOKUP(tabParametros[[#This Row],[CCT DA CATEGORIA]],tabSindicatos[],8,0),
IF(ISNUMBER(SEARCH(TRIM(_xlpm.COMARCA),_xlfn.XLOOKUP(tabParametros[[#This Row],[CCT DA CATEGORIA]],tabSindicatos[SINDICATOS],_xlpm.MATRIZ_COMARCA),1)),VLOOKUP(tabParametros[[#This Row],[CCT DA CATEGORIA]],tabSindicatos[],8,0),0)
),0)
)</f>
        <v>57.07</v>
      </c>
      <c r="AE68" s="234">
        <f>IFERROR(VLOOKUP(tabParametros[[#This Row],[CCT DA CATEGORIA]],tabSindicatos[],9,0),0)</f>
        <v>0</v>
      </c>
      <c r="AF68" s="234">
        <f>IFERROR(VLOOKUP(tabParametros[[#This Row],[CCT DA CATEGORIA]],tabSindicatos[],10,0),0)</f>
        <v>0</v>
      </c>
      <c r="AG68" s="236">
        <f>VLOOKUP(tabParametros[[#Headers],[Seguro de Vida]],tabOutrosCustos[],3,0)</f>
        <v>3.36</v>
      </c>
      <c r="AH68" s="236">
        <f>IF(ISNUMBER(SEARCH("MOTORISTA",tabParametros[[#This Row],[Função]],1)),VLOOKUP("MOTORISTAS",tabDiarias[],2,0),IF(tabParametros[[#This Row],[Comarca]]="Belo Horizonte",VLOOKUP("LIMPEZA",tabDiarias[],2,0),0))</f>
        <v>0</v>
      </c>
      <c r="AI68" s="235">
        <f t="shared" ref="AI68:AI131" si="13">(1/12*7%)+((1+1+1/3)*1/12)*(7%/12)+((1/12*0.05)+((1+1+1/3)*1/12)*(7%/12))/30*3*5/60</f>
        <v>7.011766975308642E-3</v>
      </c>
      <c r="AJ68" s="237">
        <f>tabParametros[[#This Row],[FGTS]]*tabParametros[[#This Row],[Aviso Prévio Indenizado (API) e Reflexo do Aviso Prévio Indenizado]]</f>
        <v>5.609413580246914E-4</v>
      </c>
      <c r="AK68" s="237">
        <f>tabParametros[[#This Row],[FGTS]]*tabParametros[[#This Row],[Aviso Prévio Indenizado (API) e Reflexo do Aviso Prévio Indenizado]]*40%</f>
        <v>2.2437654320987658E-4</v>
      </c>
      <c r="AL68" s="235">
        <f t="shared" ref="AL68:AL131" si="14">((1/30*7)*0.9)/60</f>
        <v>3.5000000000000005E-3</v>
      </c>
      <c r="AM68" s="235">
        <f>tabParametros[[#This Row],[Aviso Prévio Trabalhado - APT]]*SUM(tabParametros[[#This Row],[INSS]:[SEBRAE]])</f>
        <v>1.3230000000000004E-3</v>
      </c>
      <c r="AN68" s="235">
        <f t="shared" ref="AN68:AN131" si="15">0.4*0.08*0.8*(1+1/12+1/12+1/3/12)</f>
        <v>3.0577777777777773E-2</v>
      </c>
      <c r="AO68" s="235">
        <f t="shared" ref="AO68:AO131" si="16">(1*1%)/12</f>
        <v>8.3333333333333339E-4</v>
      </c>
      <c r="AP68" s="235">
        <f t="shared" ref="AP68:AP131" si="17">1/30*3.04/12</f>
        <v>8.4444444444444437E-3</v>
      </c>
      <c r="AQ68" s="235">
        <f t="shared" ref="AQ68:AQ131" si="18">0.73/30/12</f>
        <v>2.0277777777777777E-3</v>
      </c>
      <c r="AR68" s="235">
        <f t="shared" ref="AR68:AR131" si="19">5/30/12*1.23%</f>
        <v>1.7083333333333333E-4</v>
      </c>
      <c r="AS68" s="235">
        <f t="shared" ref="AS68:AS131" si="20">1/30*15*0.5%/12</f>
        <v>2.0833333333333335E-4</v>
      </c>
      <c r="AT68" s="235">
        <f t="shared" ref="AT68:AT131" si="21">((1/12+1/12+1/3/12)*4/12)*2%</f>
        <v>1.2962962962962963E-3</v>
      </c>
      <c r="AU68" s="237">
        <f>SUM(tabParametros[[#This Row],[Ausência por Doença]:[Férias, Adicional de Férias e 13º  com empregada em gozo de Licença Maternidade]])*SUM(tabParametros[[#This Row],[INSS]:[SEBRAE]])</f>
        <v>4.5918250000000008E-3</v>
      </c>
      <c r="AV68" s="234">
        <f>IF(tabParametros[[#This Row],[Função]]="Porteiro - 220 h",SUM(tabParametros[[#This Row],[Salário Base]:[Adicional de Acúmulo de função]])/220*20*1.5,IF(ISNUMBER(SEARCH("12 x 36",tabParametros[[#This Row],[Função]],1)),SUM(tabParametros[[#This Row],[Salário Base]:[Adicional de Acúmulo de função]])/210*15.5*1.5,0))</f>
        <v>0</v>
      </c>
      <c r="AW68" s="234">
        <f>IF(tabParametros[[#This Row],[Vagas contratadas]]&gt;0,(SUM(tabParametros[[#This Row],[Salário Base]:[Adicional de Acúmulo de função]])*30%+SUM(tabParametros[[#This Row],[Vale - Alimentação]:[Seguro de Vida]]))/tabParametros[[#This Row],[Vagas contratadas]]*tabParametros[[#This Row],[Vagas suspensas]],0)</f>
        <v>0</v>
      </c>
      <c r="AX68" s="234">
        <f>SUMIF(tabUniformes[Cargo],tabParametros[[#This Row],[Função]],tabUniformes[Valor unit. Mensal])</f>
        <v>62.806666666666665</v>
      </c>
      <c r="AY68" s="281">
        <f>IF(ISNUMBER(SEARCH("AUXILIAR DE LIMPEZA - 75 H",tabParametros[[#This Row],[Função]],1)),
SUMIF(tabLimpGeral[TIPO],"Material",tabLimpGeral[VALOR UNITÁRIO P/ HORA (R$)])*75,
IF(ISNUMBER(SEARCH("AUXILIAR DE LIMPEZA - 110 H",tabParametros[[#This Row],[Função]],1)),
SUMIF(tabLimpGeral[TIPO],"Material",tabLimpGeral[VALOR UNITÁRIO P/ HORA (R$)])*110,
IF(ISNUMBER(SEARCH("AUXILIAR DE LIMPEZA - 150 H",tabParametros[[#This Row],[Função]],1)),
SUMIF(tabLimpGeral[TIPO],"Material",tabLimpGeral[VALOR UNITÁRIO P/ HORA (R$)])*150,
IF(ISNUMBER(SEARCH("AUXILIAR DE LIMPEZA - 220 H",tabParametros[[#This Row],[Função]],1)),
SUMIF(tabLimpGeral[TIPO],"Material",tabLimpGeral[VALOR UNITÁRIO P/ HORA (R$)])*220,
IF(ISNUMBER(SEARCH("AUXILIAR DE LIMPEZA - 12 x 36",tabParametros[[#This Row],[Função]],1)),
SUMIF(tabLimpGeral[TIPO],"Material",tabLimpGeral[VALOR UNITÁRIO P/ HORA (R$)])*220,
IF(ISNUMBER(SEARCH("Limpador de vidros - 220 h",tabParametros[[#This Row],[Função]],1)),
SUMIF(tabVidros[TIPO],"Material",tabVidros[VALOR UNITÁRIO P/ POSTO (R$)]),
0))))))</f>
        <v>17.759106479291944</v>
      </c>
      <c r="AZ68" s="281">
        <f>IF(ISNUMBER(SEARCH("AUXILIAR DE LIMPEZA - 75 H",tabParametros[[#This Row],[Função]],1)),
SUMIF(tabLimpGeral[TIPO],"Equipamento",tabLimpGeral[VALOR UNITÁRIO P/ HORA (R$)])*75,
IF(ISNUMBER(SEARCH("AUXILIAR DE LIMPEZA - 110 H",tabParametros[[#This Row],[Função]],1)),
SUMIF(tabLimpGeral[TIPO],"Equipamento",tabLimpGeral[VALOR UNITÁRIO P/ HORA (R$)])*110,
IF(ISNUMBER(SEARCH("AUXILIAR DE LIMPEZA - 150 H",tabParametros[[#This Row],[Função]],1)),
SUMIF(tabLimpGeral[TIPO],"Equipamento",tabLimpGeral[VALOR UNITÁRIO P/ HORA (R$)])*150,
IF(ISNUMBER(SEARCH("AUXILIAR DE LIMPEZA - 220 H",tabParametros[[#This Row],[Função]],1)),
SUMIF(tabLimpGeral[TIPO],"Equipamento",tabLimpGeral[VALOR UNITÁRIO P/ HORA (R$)])*220,
IF(ISNUMBER(SEARCH("AUXILIAR DE LIMPEZA - 12 x 36",tabParametros[[#This Row],[Função]],1)),
SUMIF(tabLimpGeral[TIPO],"Equipamento",tabLimpGeral[VALOR UNITÁRIO P/ HORA (R$)])*220,
IF(ISNUMBER(SEARCH("Limpador de vidros - 220 h",tabParametros[[#This Row],[Função]],1)),
SUMIF(tabVidros[TIPO],"Equipamento",tabVidros[VALOR UNITÁRIO P/ POSTO (R$)]),
0))))))</f>
        <v>32.264696957412788</v>
      </c>
      <c r="BA68" s="281">
        <f>IF(ISNUMBER(SEARCH("AUXILIAR DE LIMPEZA - 75 H",tabParametros[[#This Row],[Função]],1)),
SUMIF(tabLimpGeral[TIPO],"Produto",tabLimpGeral[VALOR UNITÁRIO P/ HORA (R$)])*75,
IF(ISNUMBER(SEARCH("AUXILIAR DE LIMPEZA - 110 H",tabParametros[[#This Row],[Função]],1)),
SUMIF(tabLimpGeral[TIPO],"Produto",tabLimpGeral[VALOR UNITÁRIO P/ HORA (R$)])*110,
IF(ISNUMBER(SEARCH("AUXILIAR DE LIMPEZA - 150 H",tabParametros[[#This Row],[Função]],1)),
SUMIF(tabLimpGeral[TIPO],"Produto",tabLimpGeral[VALOR UNITÁRIO P/ HORA (R$)])*150,
IF(ISNUMBER(SEARCH("AUXILIAR DE LIMPEZA - 220 H",tabParametros[[#This Row],[Função]],1)),
SUMIF(tabLimpGeral[TIPO],"Produto",tabLimpGeral[VALOR UNITÁRIO P/ HORA (R$)])*220,
IF(ISNUMBER(SEARCH("AUXILIAR DE LIMPEZA - 12 x 36",tabParametros[[#This Row],[Função]],1)),
SUMIF(tabLimpGeral[TIPO],"Produto",tabLimpGeral[VALOR UNITÁRIO P/ HORA (R$)])*220,
IF(ISNUMBER(SEARCH("Limpador de vidros - 220 h",tabParametros[[#This Row],[Função]],1)),
SUMIF(tabVidros[TIPO],"Produto",tabVidros[VALOR UNITÁRIO P/ POSTO (R$)]),
0))))))</f>
        <v>345.13576638965827</v>
      </c>
      <c r="BB68" s="281">
        <v>0</v>
      </c>
      <c r="BC68" s="236">
        <f>VLOOKUP(tabParametros[[#Headers],[Custos Indiretos]],tabOutrosCustos[],3,0)</f>
        <v>189.64880140242613</v>
      </c>
      <c r="BD68" s="236">
        <f>VLOOKUP(tabParametros[[#Headers],[Lucro]],tabOutrosCustos[],3,0)</f>
        <v>159.30499317803796</v>
      </c>
      <c r="BE68" s="235">
        <f>VLOOKUP(tabParametros[[#Headers],[COFINS]],tabImpostosNacionais[],2,0)</f>
        <v>7.5999999999999998E-2</v>
      </c>
      <c r="BF68" s="235">
        <f>VLOOKUP(tabParametros[[#Headers],[PIS]],tabImpostosNacionais[],2,0)</f>
        <v>1.6500000000000001E-2</v>
      </c>
      <c r="BG68" s="235">
        <f>VLOOKUP(tabParametros[[#This Row],[Comarca]],tabComarca[],4,0)</f>
        <v>0.05</v>
      </c>
      <c r="BH68" s="238">
        <f>IFERROR(VLOOKUP(tabParametros[[#This Row],[CCT DA CATEGORIA]],tabSindicatos[],11,0),"")</f>
        <v>45658</v>
      </c>
      <c r="BI68" s="289" t="str">
        <f>IFERROR(VLOOKUP(tabParametros[[#This Row],[CCT DA CATEGORIA]],tabSindicatos[],12,0),"")</f>
        <v>-</v>
      </c>
      <c r="BJ68" s="293" t="str">
        <f>IFERROR(VLOOKUP(tabParametros[[#This Row],[CCT DA CATEGORIA]],tabSindicatos[],13,0),"")</f>
        <v>-</v>
      </c>
    </row>
    <row r="69" spans="1:62" x14ac:dyDescent="0.25">
      <c r="A69" s="233" t="s">
        <v>1409</v>
      </c>
      <c r="B69" s="198" t="s">
        <v>67</v>
      </c>
      <c r="C69" s="198" t="s">
        <v>1244</v>
      </c>
      <c r="D69" s="198" t="str">
        <f>VLOOKUP(tabParametros[[#This Row],[Código do Posto]],tabPostos[],4,0)</f>
        <v>Caxambu</v>
      </c>
      <c r="E69" s="289" t="str">
        <f>VLOOKUP(tabParametros[[#This Row],[Código do Posto]],tabPostos[],5,0)</f>
        <v>Limpeza</v>
      </c>
      <c r="F69" s="289" t="str">
        <f>VLOOKUP(tabParametros[[#This Row],[Código do Posto]],tabPostos[],6,0)</f>
        <v>PGJ</v>
      </c>
      <c r="G69" s="289">
        <f>VLOOKUP(tabParametros[[#This Row],[Código do Posto]],tabPostos[],7,0)</f>
        <v>1</v>
      </c>
      <c r="H69" s="289">
        <f>VLOOKUP(tabParametros[[#This Row],[Código do Posto]],tabPostos[],8,0)</f>
        <v>0</v>
      </c>
      <c r="I69" s="234">
        <f>VLOOKUP(tabParametros[[#This Row],[Código do Posto]],tabPostos[],9,0)</f>
        <v>798.14</v>
      </c>
      <c r="J69" s="234">
        <f>IF(ISNUMBER(SEARCH("Eletricista",tabParametros[[#This Row],[Função]],1)),0.3*tabParametros[[#This Row],[Salário Base]],0)</f>
        <v>0</v>
      </c>
      <c r="K69" s="234">
        <f>IF(OR(ISNUMBER(SEARCH("Bombeiro Hidraulico",tabParametros[[#This Row],[Função]],1)),ISNUMBER(SEARCH("Jardineiro",tabParametros[[#This Row],[Função]],1)),ISNUMBER(SEARCH("Lavador de Veiculos",tabParametros[[#This Row],[Função]],1)),ISNUMBER(SEARCH("Marceneiro",tabParametros[[#This Row],[Função]],1)),ISNUMBER(SEARCH("Pintor",tabParametros[[#This Row],[Função]],1))),0.2*'BASE GERAL'!$R$4,0)</f>
        <v>0</v>
      </c>
      <c r="L69" s="234">
        <f>IF(AND(ISNUMBER(SEARCH("Noturno",tabParametros[[#This Row],[Função]],1)),tabParametros[[#This Row],[Comarca]]&lt;&gt;"Juiz de Fora"),tabParametros[[#This Row],[Salário Base]]/210*0.39*7*15.5,IF(ISNUMBER(SEARCH("Noturno",tabParametros[[#This Row],[Função]],1)),tabParametros[[#This Row],[Salário Base]]/210*0.2*8*15.5,0))</f>
        <v>0</v>
      </c>
      <c r="M69" s="234">
        <f>IF(ISNUMBER(SEARCH("Motorista II",tabParametros[[#This Row],[Função]],1)),0.25*tabParametros[[#This Row],[Salário Base]],0)</f>
        <v>0</v>
      </c>
      <c r="N69" s="250">
        <v>0</v>
      </c>
      <c r="O69" s="234">
        <f>IF(ISNUMBER(SEARCH("TECNOLOGIA DA INFORMACAO",tabParametros[[#This Row],[Função]],1)),0.0201*tabParametros[[#This Row],[Salário Base]],0)</f>
        <v>0</v>
      </c>
      <c r="P69" s="250" cm="1">
        <f t="array" ref="P69">_xlfn.IFS(
ISNUMBER(SEARCH("Auxiliar de Limpeza - 75 h",tabParametros[[#This Row],[Função]],1)),tabParametros[[#This Row],[Salário Base]]/75*0.75*30*0.12,
ISNUMBER(SEARCH("Auxiliar de Limpeza - 110 h",tabParametros[[#This Row],[Função]],1)),tabParametros[[#This Row],[Salário Base]]/110*1*30*0.12,
ISNUMBER(SEARCH("Auxiliar de Limpeza - 150 h",tabParametros[[#This Row],[Função]],1)),tabParametros[[#This Row],[Salário Base]]/150*1.5*30*0.12,
ISNUMBER(SEARCH("Auxiliar de Limpeza - 220 h",tabParametros[[#This Row],[Função]],1)),tabParametros[[#This Row],[Salário Base]]/220*2*30*0.12,
ISNUMBER(SEARCH("Auxiliar de Limpeza - 12 x 36",tabParametros[[#This Row],[Função]],1)),tabParametros[[#This Row],[Salário Base]]/220*2*30*0.12,
ISNUMBER(SEARCH("Auxiliar de Limpeza - 55 h",tabParametros[[#This Row],[Função]],1))=FALSE,0)</f>
        <v>26.120945454545453</v>
      </c>
      <c r="Q69" s="235">
        <f>VLOOKUP(tabParametros[[#Headers],[INSS]],tabImpostosNacionais[],2,0)</f>
        <v>0.2</v>
      </c>
      <c r="R69" s="235">
        <f>VLOOKUP(tabParametros[[#Headers],[SESI OU SESC]],tabImpostosNacionais[],2,0)</f>
        <v>1.4999999999999999E-2</v>
      </c>
      <c r="S69" s="235">
        <f>VLOOKUP(tabParametros[[#Headers],[SENAI OU SENAC]],tabImpostosNacionais[],2,0)</f>
        <v>0.01</v>
      </c>
      <c r="T69" s="235">
        <f>VLOOKUP(tabParametros[[#Headers],[INCRA]],tabImpostosNacionais[],2,0)</f>
        <v>2E-3</v>
      </c>
      <c r="U69" s="235">
        <f>VLOOKUP(tabParametros[[#Headers],[Salário Educação]],tabImpostosNacionais[],2,0)</f>
        <v>2.5000000000000001E-2</v>
      </c>
      <c r="V69" s="235">
        <f>VLOOKUP(tabParametros[[#Headers],[FGTS]],tabImpostosNacionais[],2,0)</f>
        <v>0.08</v>
      </c>
      <c r="W69" s="235">
        <f>VLOOKUP(tabParametros[[#Headers],[RAT Ajustado]],tabImpostosNacionais[],2,0)</f>
        <v>0.04</v>
      </c>
      <c r="X69" s="235">
        <f>VLOOKUP(tabParametros[[#Headers],[SEBRAE]],tabImpostosNacionais[],2,0)</f>
        <v>6.0000000000000001E-3</v>
      </c>
      <c r="Y69" s="235">
        <f t="shared" si="11"/>
        <v>8.3333333333333329E-2</v>
      </c>
      <c r="Z69" s="251">
        <f t="shared" si="12"/>
        <v>0.1111111111111111</v>
      </c>
      <c r="AA69" s="234">
        <f>VLOOKUP(tabParametros[[#This Row],[Comarca]],tabComarca[],5,0)</f>
        <v>6.4</v>
      </c>
      <c r="AB69" s="234">
        <f>IFERROR(VLOOKUP(tabParametros[[#This Row],[CCT DA CATEGORIA]],tabSindicatos[],6,0),0)</f>
        <v>29.15</v>
      </c>
      <c r="AC69" s="234">
        <f>IFERROR(VLOOKUP(tabParametros[[#This Row],[CCT DA CATEGORIA]],tabSindicatos[],7,0),0)</f>
        <v>0</v>
      </c>
      <c r="AD69" s="234" cm="1">
        <f t="array" ref="AD69">_xlfn.LET(
_xlpm.COMARCA, TRIM(UPPER(SUBSTITUTE(SUBSTITUTE(SUBSTITUTE(SUBSTITUTE(SUBSTITUTE(SUBSTITUTE(SUBSTITUTE(SUBSTITUTE(SUBSTITUTE(SUBSTITUTE(SUBSTITUTE(SUBSTITUTE(SUBSTITUTE(SUBSTITUTE(SUBSTITUTE(SUBSTITUTE(SUBSTITUTE(SUBSTITUTE(SUBSTITUTE(SUBSTITUTE(SUBSTITUTE(SUBSTITUTE(SUBSTITUTE(SUBSTITUTE(SUBSTITUTE(SUBSTITUTE(tabParametros[[#This Row],[Comarca]],"á","a"),"ã","a"),"â","a"),"é","e"),"ê","e"),"í","i"),"ó","o"),"õ","o"),"ô","o"),"ú","u"),"ç","c"),"Á","a"),"Ã","a"),"Â","a"),"É","e"),"Ê","e"),"Í","i"),"Ó","o"),"Õ","o"),"Ô","o"),"Ú","u"),"Ç","c"),"/MG","")," e ",", ")," ",""),".",""))),
_xlpm.MATRIZ_COMARCA, TRIM(UPPER(SUBSTITUTE(SUBSTITUTE(SUBSTITUTE(SUBSTITUTE(SUBSTITUTE(SUBSTITUTE(SUBSTITUTE(SUBSTITUTE(SUBSTITUTE(SUBSTITUTE(SUBSTITUTE(SUBSTITUTE(SUBSTITUTE(SUBSTITUTE(SUBSTITUTE(SUBSTITUTE(SUBSTITUTE(SUBSTITUTE(SUBSTITUTE(SUBSTITUTE(SUBSTITUTE(SUBSTITUTE(SUBSTITUTE(SUBSTITUTE(SUBSTITUTE(SUBSTITUTE(tabSindicatos[COMARCAS PAF],"á","a"),"ã","a"),"â","a"),"é","e"),"ê","e"),"í","i"),"ó","o"),"õ","o"),"ô","o"),"ú","u"),"ç","c"),"Á","a"),"Ã","a"),"Â","a"),"É","e"),"Ê","e"),"Í","i"),"Ó","o"),"Õ","o"),"Ô","o"),"Ú","u"),"Ç","c"),"/MG","")," e ",", ")," ",""),".",""))),
IFERROR(IF(_xlfn.XLOOKUP(tabParametros[[#This Row],[CCT DA CATEGORIA]],tabSindicatos[SINDICATOS],tabSindicatos[COMARCAS PAF])="",
VLOOKUP(tabParametros[[#This Row],[CCT DA CATEGORIA]],tabSindicatos[],8,0),
IF(ISNUMBER(SEARCH(TRIM(_xlpm.COMARCA),_xlfn.XLOOKUP(tabParametros[[#This Row],[CCT DA CATEGORIA]],tabSindicatos[SINDICATOS],_xlpm.MATRIZ_COMARCA),1)),VLOOKUP(tabParametros[[#This Row],[CCT DA CATEGORIA]],tabSindicatos[],8,0),0)
),0)
)</f>
        <v>0</v>
      </c>
      <c r="AE69" s="234">
        <f>IFERROR(VLOOKUP(tabParametros[[#This Row],[CCT DA CATEGORIA]],tabSindicatos[],9,0),0)</f>
        <v>15.07</v>
      </c>
      <c r="AF69" s="234">
        <f>IFERROR(VLOOKUP(tabParametros[[#This Row],[CCT DA CATEGORIA]],tabSindicatos[],10,0),0)</f>
        <v>0</v>
      </c>
      <c r="AG69" s="236">
        <f>VLOOKUP(tabParametros[[#Headers],[Seguro de Vida]],tabOutrosCustos[],3,0)</f>
        <v>3.36</v>
      </c>
      <c r="AH69" s="236">
        <f>IF(ISNUMBER(SEARCH("MOTORISTA",tabParametros[[#This Row],[Função]],1)),VLOOKUP("MOTORISTAS",tabDiarias[],2,0),IF(tabParametros[[#This Row],[Comarca]]="Belo Horizonte",VLOOKUP("LIMPEZA",tabDiarias[],2,0),0))</f>
        <v>0</v>
      </c>
      <c r="AI69" s="235">
        <f t="shared" si="13"/>
        <v>7.011766975308642E-3</v>
      </c>
      <c r="AJ69" s="237">
        <f>tabParametros[[#This Row],[FGTS]]*tabParametros[[#This Row],[Aviso Prévio Indenizado (API) e Reflexo do Aviso Prévio Indenizado]]</f>
        <v>5.609413580246914E-4</v>
      </c>
      <c r="AK69" s="237">
        <f>tabParametros[[#This Row],[FGTS]]*tabParametros[[#This Row],[Aviso Prévio Indenizado (API) e Reflexo do Aviso Prévio Indenizado]]*40%</f>
        <v>2.2437654320987658E-4</v>
      </c>
      <c r="AL69" s="235">
        <f t="shared" si="14"/>
        <v>3.5000000000000005E-3</v>
      </c>
      <c r="AM69" s="235">
        <f>tabParametros[[#This Row],[Aviso Prévio Trabalhado - APT]]*SUM(tabParametros[[#This Row],[INSS]:[SEBRAE]])</f>
        <v>1.3230000000000004E-3</v>
      </c>
      <c r="AN69" s="235">
        <f t="shared" si="15"/>
        <v>3.0577777777777773E-2</v>
      </c>
      <c r="AO69" s="235">
        <f t="shared" si="16"/>
        <v>8.3333333333333339E-4</v>
      </c>
      <c r="AP69" s="235">
        <f t="shared" si="17"/>
        <v>8.4444444444444437E-3</v>
      </c>
      <c r="AQ69" s="235">
        <f t="shared" si="18"/>
        <v>2.0277777777777777E-3</v>
      </c>
      <c r="AR69" s="235">
        <f t="shared" si="19"/>
        <v>1.7083333333333333E-4</v>
      </c>
      <c r="AS69" s="235">
        <f t="shared" si="20"/>
        <v>2.0833333333333335E-4</v>
      </c>
      <c r="AT69" s="235">
        <f t="shared" si="21"/>
        <v>1.2962962962962963E-3</v>
      </c>
      <c r="AU69" s="237">
        <f>SUM(tabParametros[[#This Row],[Ausência por Doença]:[Férias, Adicional de Férias e 13º  com empregada em gozo de Licença Maternidade]])*SUM(tabParametros[[#This Row],[INSS]:[SEBRAE]])</f>
        <v>4.5918250000000008E-3</v>
      </c>
      <c r="AV69" s="234">
        <f>IF(tabParametros[[#This Row],[Função]]="Porteiro - 220 h",SUM(tabParametros[[#This Row],[Salário Base]:[Adicional de Acúmulo de função]])/220*20*1.5,IF(ISNUMBER(SEARCH("12 x 36",tabParametros[[#This Row],[Função]],1)),SUM(tabParametros[[#This Row],[Salário Base]:[Adicional de Acúmulo de função]])/210*15.5*1.5,0))</f>
        <v>0</v>
      </c>
      <c r="AW69" s="234">
        <f>IF(tabParametros[[#This Row],[Vagas contratadas]]&gt;0,(SUM(tabParametros[[#This Row],[Salário Base]:[Adicional de Acúmulo de função]])*30%+SUM(tabParametros[[#This Row],[Vale - Alimentação]:[Seguro de Vida]]))/tabParametros[[#This Row],[Vagas contratadas]]*tabParametros[[#This Row],[Vagas suspensas]],0)</f>
        <v>0</v>
      </c>
      <c r="AX69" s="234">
        <f>SUMIF(tabUniformes[Cargo],tabParametros[[#This Row],[Função]],tabUniformes[Valor unit. Mensal])</f>
        <v>62.806666666666665</v>
      </c>
      <c r="AY69" s="281">
        <f>IF(ISNUMBER(SEARCH("AUXILIAR DE LIMPEZA - 75 H",tabParametros[[#This Row],[Função]],1)),
SUMIF(tabLimpGeral[TIPO],"Material",tabLimpGeral[VALOR UNITÁRIO P/ HORA (R$)])*75,
IF(ISNUMBER(SEARCH("AUXILIAR DE LIMPEZA - 110 H",tabParametros[[#This Row],[Função]],1)),
SUMIF(tabLimpGeral[TIPO],"Material",tabLimpGeral[VALOR UNITÁRIO P/ HORA (R$)])*110,
IF(ISNUMBER(SEARCH("AUXILIAR DE LIMPEZA - 150 H",tabParametros[[#This Row],[Função]],1)),
SUMIF(tabLimpGeral[TIPO],"Material",tabLimpGeral[VALOR UNITÁRIO P/ HORA (R$)])*150,
IF(ISNUMBER(SEARCH("AUXILIAR DE LIMPEZA - 220 H",tabParametros[[#This Row],[Função]],1)),
SUMIF(tabLimpGeral[TIPO],"Material",tabLimpGeral[VALOR UNITÁRIO P/ HORA (R$)])*220,
IF(ISNUMBER(SEARCH("AUXILIAR DE LIMPEZA - 12 x 36",tabParametros[[#This Row],[Função]],1)),
SUMIF(tabLimpGeral[TIPO],"Material",tabLimpGeral[VALOR UNITÁRIO P/ HORA (R$)])*220,
IF(ISNUMBER(SEARCH("Limpador de vidros - 220 h",tabParametros[[#This Row],[Função]],1)),
SUMIF(tabVidros[TIPO],"Material",tabVidros[VALOR UNITÁRIO P/ POSTO (R$)]),
0))))))</f>
        <v>17.759106479291944</v>
      </c>
      <c r="AZ69" s="281">
        <f>IF(ISNUMBER(SEARCH("AUXILIAR DE LIMPEZA - 75 H",tabParametros[[#This Row],[Função]],1)),
SUMIF(tabLimpGeral[TIPO],"Equipamento",tabLimpGeral[VALOR UNITÁRIO P/ HORA (R$)])*75,
IF(ISNUMBER(SEARCH("AUXILIAR DE LIMPEZA - 110 H",tabParametros[[#This Row],[Função]],1)),
SUMIF(tabLimpGeral[TIPO],"Equipamento",tabLimpGeral[VALOR UNITÁRIO P/ HORA (R$)])*110,
IF(ISNUMBER(SEARCH("AUXILIAR DE LIMPEZA - 150 H",tabParametros[[#This Row],[Função]],1)),
SUMIF(tabLimpGeral[TIPO],"Equipamento",tabLimpGeral[VALOR UNITÁRIO P/ HORA (R$)])*150,
IF(ISNUMBER(SEARCH("AUXILIAR DE LIMPEZA - 220 H",tabParametros[[#This Row],[Função]],1)),
SUMIF(tabLimpGeral[TIPO],"Equipamento",tabLimpGeral[VALOR UNITÁRIO P/ HORA (R$)])*220,
IF(ISNUMBER(SEARCH("AUXILIAR DE LIMPEZA - 12 x 36",tabParametros[[#This Row],[Função]],1)),
SUMIF(tabLimpGeral[TIPO],"Equipamento",tabLimpGeral[VALOR UNITÁRIO P/ HORA (R$)])*220,
IF(ISNUMBER(SEARCH("Limpador de vidros - 220 h",tabParametros[[#This Row],[Função]],1)),
SUMIF(tabVidros[TIPO],"Equipamento",tabVidros[VALOR UNITÁRIO P/ POSTO (R$)]),
0))))))</f>
        <v>32.264696957412788</v>
      </c>
      <c r="BA69" s="281">
        <f>IF(ISNUMBER(SEARCH("AUXILIAR DE LIMPEZA - 75 H",tabParametros[[#This Row],[Função]],1)),
SUMIF(tabLimpGeral[TIPO],"Produto",tabLimpGeral[VALOR UNITÁRIO P/ HORA (R$)])*75,
IF(ISNUMBER(SEARCH("AUXILIAR DE LIMPEZA - 110 H",tabParametros[[#This Row],[Função]],1)),
SUMIF(tabLimpGeral[TIPO],"Produto",tabLimpGeral[VALOR UNITÁRIO P/ HORA (R$)])*110,
IF(ISNUMBER(SEARCH("AUXILIAR DE LIMPEZA - 150 H",tabParametros[[#This Row],[Função]],1)),
SUMIF(tabLimpGeral[TIPO],"Produto",tabLimpGeral[VALOR UNITÁRIO P/ HORA (R$)])*150,
IF(ISNUMBER(SEARCH("AUXILIAR DE LIMPEZA - 220 H",tabParametros[[#This Row],[Função]],1)),
SUMIF(tabLimpGeral[TIPO],"Produto",tabLimpGeral[VALOR UNITÁRIO P/ HORA (R$)])*220,
IF(ISNUMBER(SEARCH("AUXILIAR DE LIMPEZA - 12 x 36",tabParametros[[#This Row],[Função]],1)),
SUMIF(tabLimpGeral[TIPO],"Produto",tabLimpGeral[VALOR UNITÁRIO P/ HORA (R$)])*220,
IF(ISNUMBER(SEARCH("Limpador de vidros - 220 h",tabParametros[[#This Row],[Função]],1)),
SUMIF(tabVidros[TIPO],"Produto",tabVidros[VALOR UNITÁRIO P/ POSTO (R$)]),
0))))))</f>
        <v>345.13576638965827</v>
      </c>
      <c r="BB69" s="281">
        <v>0</v>
      </c>
      <c r="BC69" s="236">
        <f>VLOOKUP(tabParametros[[#Headers],[Custos Indiretos]],tabOutrosCustos[],3,0)</f>
        <v>189.64880140242613</v>
      </c>
      <c r="BD69" s="236">
        <f>VLOOKUP(tabParametros[[#Headers],[Lucro]],tabOutrosCustos[],3,0)</f>
        <v>159.30499317803796</v>
      </c>
      <c r="BE69" s="235">
        <f>VLOOKUP(tabParametros[[#Headers],[COFINS]],tabImpostosNacionais[],2,0)</f>
        <v>7.5999999999999998E-2</v>
      </c>
      <c r="BF69" s="235">
        <f>VLOOKUP(tabParametros[[#Headers],[PIS]],tabImpostosNacionais[],2,0)</f>
        <v>1.6500000000000001E-2</v>
      </c>
      <c r="BG69" s="235">
        <f>VLOOKUP(tabParametros[[#This Row],[Comarca]],tabComarca[],4,0)</f>
        <v>0.03</v>
      </c>
      <c r="BH69" s="238">
        <f>IFERROR(VLOOKUP(tabParametros[[#This Row],[CCT DA CATEGORIA]],tabSindicatos[],11,0),"")</f>
        <v>45658</v>
      </c>
      <c r="BI69" s="289" t="str">
        <f>IFERROR(VLOOKUP(tabParametros[[#This Row],[CCT DA CATEGORIA]],tabSindicatos[],12,0),"")</f>
        <v>-</v>
      </c>
      <c r="BJ69" s="293" t="str">
        <f>IFERROR(VLOOKUP(tabParametros[[#This Row],[CCT DA CATEGORIA]],tabSindicatos[],13,0),"")</f>
        <v>-</v>
      </c>
    </row>
    <row r="70" spans="1:62" x14ac:dyDescent="0.25">
      <c r="A70" s="233" t="s">
        <v>1410</v>
      </c>
      <c r="B70" s="198" t="s">
        <v>68</v>
      </c>
      <c r="C70" s="198" t="s">
        <v>1247</v>
      </c>
      <c r="D70" s="198" t="str">
        <f>VLOOKUP(tabParametros[[#This Row],[Código do Posto]],tabPostos[],4,0)</f>
        <v>Fethemg Interior</v>
      </c>
      <c r="E70" s="289" t="str">
        <f>VLOOKUP(tabParametros[[#This Row],[Código do Posto]],tabPostos[],5,0)</f>
        <v>Limpeza</v>
      </c>
      <c r="F70" s="289" t="str">
        <f>VLOOKUP(tabParametros[[#This Row],[Código do Posto]],tabPostos[],6,0)</f>
        <v>PGJ</v>
      </c>
      <c r="G70" s="289">
        <f>VLOOKUP(tabParametros[[#This Row],[Código do Posto]],tabPostos[],7,0)</f>
        <v>1</v>
      </c>
      <c r="H70" s="289">
        <f>VLOOKUP(tabParametros[[#This Row],[Código do Posto]],tabPostos[],8,0)</f>
        <v>0</v>
      </c>
      <c r="I70" s="234">
        <f>VLOOKUP(tabParametros[[#This Row],[Código do Posto]],tabPostos[],9,0)</f>
        <v>544.17999999999995</v>
      </c>
      <c r="J70" s="234">
        <f>IF(ISNUMBER(SEARCH("Eletricista",tabParametros[[#This Row],[Função]],1)),0.3*tabParametros[[#This Row],[Salário Base]],0)</f>
        <v>0</v>
      </c>
      <c r="K70" s="234">
        <f>IF(OR(ISNUMBER(SEARCH("Bombeiro Hidraulico",tabParametros[[#This Row],[Função]],1)),ISNUMBER(SEARCH("Jardineiro",tabParametros[[#This Row],[Função]],1)),ISNUMBER(SEARCH("Lavador de Veiculos",tabParametros[[#This Row],[Função]],1)),ISNUMBER(SEARCH("Marceneiro",tabParametros[[#This Row],[Função]],1)),ISNUMBER(SEARCH("Pintor",tabParametros[[#This Row],[Função]],1))),0.2*'BASE GERAL'!$R$4,0)</f>
        <v>0</v>
      </c>
      <c r="L70" s="234">
        <f>IF(AND(ISNUMBER(SEARCH("Noturno",tabParametros[[#This Row],[Função]],1)),tabParametros[[#This Row],[Comarca]]&lt;&gt;"Juiz de Fora"),tabParametros[[#This Row],[Salário Base]]/210*0.39*7*15.5,IF(ISNUMBER(SEARCH("Noturno",tabParametros[[#This Row],[Função]],1)),tabParametros[[#This Row],[Salário Base]]/210*0.2*8*15.5,0))</f>
        <v>0</v>
      </c>
      <c r="M70" s="234">
        <f>IF(ISNUMBER(SEARCH("Motorista II",tabParametros[[#This Row],[Função]],1)),0.25*tabParametros[[#This Row],[Salário Base]],0)</f>
        <v>0</v>
      </c>
      <c r="N70" s="250">
        <v>0</v>
      </c>
      <c r="O70" s="234">
        <f>IF(ISNUMBER(SEARCH("TECNOLOGIA DA INFORMACAO",tabParametros[[#This Row],[Função]],1)),0.0201*tabParametros[[#This Row],[Salário Base]],0)</f>
        <v>0</v>
      </c>
      <c r="P70" s="250" cm="1">
        <f t="array" ref="P70">_xlfn.IFS(
ISNUMBER(SEARCH("Auxiliar de Limpeza - 75 h",tabParametros[[#This Row],[Função]],1)),tabParametros[[#This Row],[Salário Base]]/75*0.75*30*0.12,
ISNUMBER(SEARCH("Auxiliar de Limpeza - 110 h",tabParametros[[#This Row],[Função]],1)),tabParametros[[#This Row],[Salário Base]]/110*1*30*0.12,
ISNUMBER(SEARCH("Auxiliar de Limpeza - 150 h",tabParametros[[#This Row],[Função]],1)),tabParametros[[#This Row],[Salário Base]]/150*1.5*30*0.12,
ISNUMBER(SEARCH("Auxiliar de Limpeza - 220 h",tabParametros[[#This Row],[Função]],1)),tabParametros[[#This Row],[Salário Base]]/220*2*30*0.12,
ISNUMBER(SEARCH("Auxiliar de Limpeza - 12 x 36",tabParametros[[#This Row],[Função]],1)),tabParametros[[#This Row],[Salário Base]]/220*2*30*0.12,
ISNUMBER(SEARCH("Auxiliar de Limpeza - 55 h",tabParametros[[#This Row],[Função]],1))=FALSE,0)</f>
        <v>19.590479999999999</v>
      </c>
      <c r="Q70" s="235">
        <f>VLOOKUP(tabParametros[[#Headers],[INSS]],tabImpostosNacionais[],2,0)</f>
        <v>0.2</v>
      </c>
      <c r="R70" s="235">
        <f>VLOOKUP(tabParametros[[#Headers],[SESI OU SESC]],tabImpostosNacionais[],2,0)</f>
        <v>1.4999999999999999E-2</v>
      </c>
      <c r="S70" s="235">
        <f>VLOOKUP(tabParametros[[#Headers],[SENAI OU SENAC]],tabImpostosNacionais[],2,0)</f>
        <v>0.01</v>
      </c>
      <c r="T70" s="235">
        <f>VLOOKUP(tabParametros[[#Headers],[INCRA]],tabImpostosNacionais[],2,0)</f>
        <v>2E-3</v>
      </c>
      <c r="U70" s="235">
        <f>VLOOKUP(tabParametros[[#Headers],[Salário Educação]],tabImpostosNacionais[],2,0)</f>
        <v>2.5000000000000001E-2</v>
      </c>
      <c r="V70" s="235">
        <f>VLOOKUP(tabParametros[[#Headers],[FGTS]],tabImpostosNacionais[],2,0)</f>
        <v>0.08</v>
      </c>
      <c r="W70" s="235">
        <f>VLOOKUP(tabParametros[[#Headers],[RAT Ajustado]],tabImpostosNacionais[],2,0)</f>
        <v>0.04</v>
      </c>
      <c r="X70" s="235">
        <f>VLOOKUP(tabParametros[[#Headers],[SEBRAE]],tabImpostosNacionais[],2,0)</f>
        <v>6.0000000000000001E-3</v>
      </c>
      <c r="Y70" s="235">
        <f t="shared" si="11"/>
        <v>8.3333333333333329E-2</v>
      </c>
      <c r="Z70" s="251">
        <f t="shared" si="12"/>
        <v>0.1111111111111111</v>
      </c>
      <c r="AA70" s="234">
        <f>VLOOKUP(tabParametros[[#This Row],[Comarca]],tabComarca[],5,0)</f>
        <v>6.4</v>
      </c>
      <c r="AB70" s="234">
        <f>IFERROR(VLOOKUP(tabParametros[[#This Row],[CCT DA CATEGORIA]],tabSindicatos[],6,0),0)</f>
        <v>29.15</v>
      </c>
      <c r="AC70" s="234">
        <f>IFERROR(VLOOKUP(tabParametros[[#This Row],[CCT DA CATEGORIA]],tabSindicatos[],7,0),0)</f>
        <v>0</v>
      </c>
      <c r="AD70" s="234" cm="1">
        <f t="array" ref="AD70">_xlfn.LET(
_xlpm.COMARCA, TRIM(UPPER(SUBSTITUTE(SUBSTITUTE(SUBSTITUTE(SUBSTITUTE(SUBSTITUTE(SUBSTITUTE(SUBSTITUTE(SUBSTITUTE(SUBSTITUTE(SUBSTITUTE(SUBSTITUTE(SUBSTITUTE(SUBSTITUTE(SUBSTITUTE(SUBSTITUTE(SUBSTITUTE(SUBSTITUTE(SUBSTITUTE(SUBSTITUTE(SUBSTITUTE(SUBSTITUTE(SUBSTITUTE(SUBSTITUTE(SUBSTITUTE(SUBSTITUTE(SUBSTITUTE(tabParametros[[#This Row],[Comarca]],"á","a"),"ã","a"),"â","a"),"é","e"),"ê","e"),"í","i"),"ó","o"),"õ","o"),"ô","o"),"ú","u"),"ç","c"),"Á","a"),"Ã","a"),"Â","a"),"É","e"),"Ê","e"),"Í","i"),"Ó","o"),"Õ","o"),"Ô","o"),"Ú","u"),"Ç","c"),"/MG","")," e ",", ")," ",""),".",""))),
_xlpm.MATRIZ_COMARCA, TRIM(UPPER(SUBSTITUTE(SUBSTITUTE(SUBSTITUTE(SUBSTITUTE(SUBSTITUTE(SUBSTITUTE(SUBSTITUTE(SUBSTITUTE(SUBSTITUTE(SUBSTITUTE(SUBSTITUTE(SUBSTITUTE(SUBSTITUTE(SUBSTITUTE(SUBSTITUTE(SUBSTITUTE(SUBSTITUTE(SUBSTITUTE(SUBSTITUTE(SUBSTITUTE(SUBSTITUTE(SUBSTITUTE(SUBSTITUTE(SUBSTITUTE(SUBSTITUTE(SUBSTITUTE(tabSindicatos[COMARCAS PAF],"á","a"),"ã","a"),"â","a"),"é","e"),"ê","e"),"í","i"),"ó","o"),"õ","o"),"ô","o"),"ú","u"),"ç","c"),"Á","a"),"Ã","a"),"Â","a"),"É","e"),"Ê","e"),"Í","i"),"Ó","o"),"Õ","o"),"Ô","o"),"Ú","u"),"Ç","c"),"/MG","")," e ",", ")," ",""),".",""))),
IFERROR(IF(_xlfn.XLOOKUP(tabParametros[[#This Row],[CCT DA CATEGORIA]],tabSindicatos[SINDICATOS],tabSindicatos[COMARCAS PAF])="",
VLOOKUP(tabParametros[[#This Row],[CCT DA CATEGORIA]],tabSindicatos[],8,0),
IF(ISNUMBER(SEARCH(TRIM(_xlpm.COMARCA),_xlfn.XLOOKUP(tabParametros[[#This Row],[CCT DA CATEGORIA]],tabSindicatos[SINDICATOS],_xlpm.MATRIZ_COMARCA),1)),VLOOKUP(tabParametros[[#This Row],[CCT DA CATEGORIA]],tabSindicatos[],8,0),0)
),0)
)</f>
        <v>0</v>
      </c>
      <c r="AE70" s="234">
        <f>IFERROR(VLOOKUP(tabParametros[[#This Row],[CCT DA CATEGORIA]],tabSindicatos[],9,0),0)</f>
        <v>15.07</v>
      </c>
      <c r="AF70" s="234">
        <f>IFERROR(VLOOKUP(tabParametros[[#This Row],[CCT DA CATEGORIA]],tabSindicatos[],10,0),0)</f>
        <v>0</v>
      </c>
      <c r="AG70" s="236">
        <f>VLOOKUP(tabParametros[[#Headers],[Seguro de Vida]],tabOutrosCustos[],3,0)</f>
        <v>3.36</v>
      </c>
      <c r="AH70" s="236">
        <f>IF(ISNUMBER(SEARCH("MOTORISTA",tabParametros[[#This Row],[Função]],1)),VLOOKUP("MOTORISTAS",tabDiarias[],2,0),IF(tabParametros[[#This Row],[Comarca]]="Belo Horizonte",VLOOKUP("LIMPEZA",tabDiarias[],2,0),0))</f>
        <v>0</v>
      </c>
      <c r="AI70" s="235">
        <f t="shared" si="13"/>
        <v>7.011766975308642E-3</v>
      </c>
      <c r="AJ70" s="237">
        <f>tabParametros[[#This Row],[FGTS]]*tabParametros[[#This Row],[Aviso Prévio Indenizado (API) e Reflexo do Aviso Prévio Indenizado]]</f>
        <v>5.609413580246914E-4</v>
      </c>
      <c r="AK70" s="237">
        <f>tabParametros[[#This Row],[FGTS]]*tabParametros[[#This Row],[Aviso Prévio Indenizado (API) e Reflexo do Aviso Prévio Indenizado]]*40%</f>
        <v>2.2437654320987658E-4</v>
      </c>
      <c r="AL70" s="235">
        <f t="shared" si="14"/>
        <v>3.5000000000000005E-3</v>
      </c>
      <c r="AM70" s="235">
        <f>tabParametros[[#This Row],[Aviso Prévio Trabalhado - APT]]*SUM(tabParametros[[#This Row],[INSS]:[SEBRAE]])</f>
        <v>1.3230000000000004E-3</v>
      </c>
      <c r="AN70" s="235">
        <f t="shared" si="15"/>
        <v>3.0577777777777773E-2</v>
      </c>
      <c r="AO70" s="235">
        <f t="shared" si="16"/>
        <v>8.3333333333333339E-4</v>
      </c>
      <c r="AP70" s="235">
        <f t="shared" si="17"/>
        <v>8.4444444444444437E-3</v>
      </c>
      <c r="AQ70" s="235">
        <f t="shared" si="18"/>
        <v>2.0277777777777777E-3</v>
      </c>
      <c r="AR70" s="235">
        <f t="shared" si="19"/>
        <v>1.7083333333333333E-4</v>
      </c>
      <c r="AS70" s="235">
        <f t="shared" si="20"/>
        <v>2.0833333333333335E-4</v>
      </c>
      <c r="AT70" s="235">
        <f t="shared" si="21"/>
        <v>1.2962962962962963E-3</v>
      </c>
      <c r="AU70" s="237">
        <f>SUM(tabParametros[[#This Row],[Ausência por Doença]:[Férias, Adicional de Férias e 13º  com empregada em gozo de Licença Maternidade]])*SUM(tabParametros[[#This Row],[INSS]:[SEBRAE]])</f>
        <v>4.5918250000000008E-3</v>
      </c>
      <c r="AV70" s="234">
        <f>IF(tabParametros[[#This Row],[Função]]="Porteiro - 220 h",SUM(tabParametros[[#This Row],[Salário Base]:[Adicional de Acúmulo de função]])/220*20*1.5,IF(ISNUMBER(SEARCH("12 x 36",tabParametros[[#This Row],[Função]],1)),SUM(tabParametros[[#This Row],[Salário Base]:[Adicional de Acúmulo de função]])/210*15.5*1.5,0))</f>
        <v>0</v>
      </c>
      <c r="AW70" s="234">
        <f>IF(tabParametros[[#This Row],[Vagas contratadas]]&gt;0,(SUM(tabParametros[[#This Row],[Salário Base]:[Adicional de Acúmulo de função]])*30%+SUM(tabParametros[[#This Row],[Vale - Alimentação]:[Seguro de Vida]]))/tabParametros[[#This Row],[Vagas contratadas]]*tabParametros[[#This Row],[Vagas suspensas]],0)</f>
        <v>0</v>
      </c>
      <c r="AX70" s="234">
        <f>SUMIF(tabUniformes[Cargo],tabParametros[[#This Row],[Função]],tabUniformes[Valor unit. Mensal])</f>
        <v>62.806666666666665</v>
      </c>
      <c r="AY70" s="281">
        <f>IF(ISNUMBER(SEARCH("AUXILIAR DE LIMPEZA - 75 H",tabParametros[[#This Row],[Função]],1)),
SUMIF(tabLimpGeral[TIPO],"Material",tabLimpGeral[VALOR UNITÁRIO P/ HORA (R$)])*75,
IF(ISNUMBER(SEARCH("AUXILIAR DE LIMPEZA - 110 H",tabParametros[[#This Row],[Função]],1)),
SUMIF(tabLimpGeral[TIPO],"Material",tabLimpGeral[VALOR UNITÁRIO P/ HORA (R$)])*110,
IF(ISNUMBER(SEARCH("AUXILIAR DE LIMPEZA - 150 H",tabParametros[[#This Row],[Função]],1)),
SUMIF(tabLimpGeral[TIPO],"Material",tabLimpGeral[VALOR UNITÁRIO P/ HORA (R$)])*150,
IF(ISNUMBER(SEARCH("AUXILIAR DE LIMPEZA - 220 H",tabParametros[[#This Row],[Função]],1)),
SUMIF(tabLimpGeral[TIPO],"Material",tabLimpGeral[VALOR UNITÁRIO P/ HORA (R$)])*220,
IF(ISNUMBER(SEARCH("AUXILIAR DE LIMPEZA - 12 x 36",tabParametros[[#This Row],[Função]],1)),
SUMIF(tabLimpGeral[TIPO],"Material",tabLimpGeral[VALOR UNITÁRIO P/ HORA (R$)])*220,
IF(ISNUMBER(SEARCH("Limpador de vidros - 220 h",tabParametros[[#This Row],[Função]],1)),
SUMIF(tabVidros[TIPO],"Material",tabVidros[VALOR UNITÁRIO P/ POSTO (R$)]),
0))))))</f>
        <v>12.108481690426325</v>
      </c>
      <c r="AZ70" s="281">
        <f>IF(ISNUMBER(SEARCH("AUXILIAR DE LIMPEZA - 75 H",tabParametros[[#This Row],[Função]],1)),
SUMIF(tabLimpGeral[TIPO],"Equipamento",tabLimpGeral[VALOR UNITÁRIO P/ HORA (R$)])*75,
IF(ISNUMBER(SEARCH("AUXILIAR DE LIMPEZA - 110 H",tabParametros[[#This Row],[Função]],1)),
SUMIF(tabLimpGeral[TIPO],"Equipamento",tabLimpGeral[VALOR UNITÁRIO P/ HORA (R$)])*110,
IF(ISNUMBER(SEARCH("AUXILIAR DE LIMPEZA - 150 H",tabParametros[[#This Row],[Função]],1)),
SUMIF(tabLimpGeral[TIPO],"Equipamento",tabLimpGeral[VALOR UNITÁRIO P/ HORA (R$)])*150,
IF(ISNUMBER(SEARCH("AUXILIAR DE LIMPEZA - 220 H",tabParametros[[#This Row],[Função]],1)),
SUMIF(tabLimpGeral[TIPO],"Equipamento",tabLimpGeral[VALOR UNITÁRIO P/ HORA (R$)])*220,
IF(ISNUMBER(SEARCH("AUXILIAR DE LIMPEZA - 12 x 36",tabParametros[[#This Row],[Função]],1)),
SUMIF(tabLimpGeral[TIPO],"Equipamento",tabLimpGeral[VALOR UNITÁRIO P/ HORA (R$)])*220,
IF(ISNUMBER(SEARCH("Limpador de vidros - 220 h",tabParametros[[#This Row],[Função]],1)),
SUMIF(tabVidros[TIPO],"Equipamento",tabVidros[VALOR UNITÁRIO P/ POSTO (R$)]),
0))))))</f>
        <v>21.998657016417809</v>
      </c>
      <c r="BA70" s="281">
        <f>IF(ISNUMBER(SEARCH("AUXILIAR DE LIMPEZA - 75 H",tabParametros[[#This Row],[Função]],1)),
SUMIF(tabLimpGeral[TIPO],"Produto",tabLimpGeral[VALOR UNITÁRIO P/ HORA (R$)])*75,
IF(ISNUMBER(SEARCH("AUXILIAR DE LIMPEZA - 110 H",tabParametros[[#This Row],[Função]],1)),
SUMIF(tabLimpGeral[TIPO],"Produto",tabLimpGeral[VALOR UNITÁRIO P/ HORA (R$)])*110,
IF(ISNUMBER(SEARCH("AUXILIAR DE LIMPEZA - 150 H",tabParametros[[#This Row],[Função]],1)),
SUMIF(tabLimpGeral[TIPO],"Produto",tabLimpGeral[VALOR UNITÁRIO P/ HORA (R$)])*150,
IF(ISNUMBER(SEARCH("AUXILIAR DE LIMPEZA - 220 H",tabParametros[[#This Row],[Função]],1)),
SUMIF(tabLimpGeral[TIPO],"Produto",tabLimpGeral[VALOR UNITÁRIO P/ HORA (R$)])*220,
IF(ISNUMBER(SEARCH("AUXILIAR DE LIMPEZA - 12 x 36",tabParametros[[#This Row],[Função]],1)),
SUMIF(tabLimpGeral[TIPO],"Produto",tabLimpGeral[VALOR UNITÁRIO P/ HORA (R$)])*220,
IF(ISNUMBER(SEARCH("Limpador de vidros - 220 h",tabParametros[[#This Row],[Função]],1)),
SUMIF(tabVidros[TIPO],"Produto",tabVidros[VALOR UNITÁRIO P/ POSTO (R$)]),
0))))))</f>
        <v>235.31984072022155</v>
      </c>
      <c r="BB70" s="281">
        <v>0</v>
      </c>
      <c r="BC70" s="236">
        <f>VLOOKUP(tabParametros[[#Headers],[Custos Indiretos]],tabOutrosCustos[],3,0)</f>
        <v>189.64880140242613</v>
      </c>
      <c r="BD70" s="236">
        <f>VLOOKUP(tabParametros[[#Headers],[Lucro]],tabOutrosCustos[],3,0)</f>
        <v>159.30499317803796</v>
      </c>
      <c r="BE70" s="235">
        <f>VLOOKUP(tabParametros[[#Headers],[COFINS]],tabImpostosNacionais[],2,0)</f>
        <v>7.5999999999999998E-2</v>
      </c>
      <c r="BF70" s="235">
        <f>VLOOKUP(tabParametros[[#Headers],[PIS]],tabImpostosNacionais[],2,0)</f>
        <v>1.6500000000000001E-2</v>
      </c>
      <c r="BG70" s="235">
        <f>VLOOKUP(tabParametros[[#This Row],[Comarca]],tabComarca[],4,0)</f>
        <v>0.03</v>
      </c>
      <c r="BH70" s="238">
        <f>IFERROR(VLOOKUP(tabParametros[[#This Row],[CCT DA CATEGORIA]],tabSindicatos[],11,0),"")</f>
        <v>45658</v>
      </c>
      <c r="BI70" s="289" t="str">
        <f>IFERROR(VLOOKUP(tabParametros[[#This Row],[CCT DA CATEGORIA]],tabSindicatos[],12,0),"")</f>
        <v>-</v>
      </c>
      <c r="BJ70" s="293" t="str">
        <f>IFERROR(VLOOKUP(tabParametros[[#This Row],[CCT DA CATEGORIA]],tabSindicatos[],13,0),"")</f>
        <v>-</v>
      </c>
    </row>
    <row r="71" spans="1:62" x14ac:dyDescent="0.25">
      <c r="A71" s="233" t="s">
        <v>1411</v>
      </c>
      <c r="B71" s="198" t="s">
        <v>69</v>
      </c>
      <c r="C71" s="198" t="s">
        <v>1247</v>
      </c>
      <c r="D71" s="198" t="str">
        <f>VLOOKUP(tabParametros[[#This Row],[Código do Posto]],tabPostos[],4,0)</f>
        <v>Regiao Uberaba</v>
      </c>
      <c r="E71" s="289" t="str">
        <f>VLOOKUP(tabParametros[[#This Row],[Código do Posto]],tabPostos[],5,0)</f>
        <v>Limpeza</v>
      </c>
      <c r="F71" s="289" t="str">
        <f>VLOOKUP(tabParametros[[#This Row],[Código do Posto]],tabPostos[],6,0)</f>
        <v>PGJ</v>
      </c>
      <c r="G71" s="289">
        <f>VLOOKUP(tabParametros[[#This Row],[Código do Posto]],tabPostos[],7,0)</f>
        <v>1</v>
      </c>
      <c r="H71" s="289">
        <f>VLOOKUP(tabParametros[[#This Row],[Código do Posto]],tabPostos[],8,0)</f>
        <v>0</v>
      </c>
      <c r="I71" s="234">
        <f>VLOOKUP(tabParametros[[#This Row],[Código do Posto]],tabPostos[],9,0)</f>
        <v>544.17999999999995</v>
      </c>
      <c r="J71" s="234">
        <f>IF(ISNUMBER(SEARCH("Eletricista",tabParametros[[#This Row],[Função]],1)),0.3*tabParametros[[#This Row],[Salário Base]],0)</f>
        <v>0</v>
      </c>
      <c r="K71" s="234">
        <f>IF(OR(ISNUMBER(SEARCH("Bombeiro Hidraulico",tabParametros[[#This Row],[Função]],1)),ISNUMBER(SEARCH("Jardineiro",tabParametros[[#This Row],[Função]],1)),ISNUMBER(SEARCH("Lavador de Veiculos",tabParametros[[#This Row],[Função]],1)),ISNUMBER(SEARCH("Marceneiro",tabParametros[[#This Row],[Função]],1)),ISNUMBER(SEARCH("Pintor",tabParametros[[#This Row],[Função]],1))),0.2*'BASE GERAL'!$R$4,0)</f>
        <v>0</v>
      </c>
      <c r="L71" s="234">
        <f>IF(AND(ISNUMBER(SEARCH("Noturno",tabParametros[[#This Row],[Função]],1)),tabParametros[[#This Row],[Comarca]]&lt;&gt;"Juiz de Fora"),tabParametros[[#This Row],[Salário Base]]/210*0.39*7*15.5,IF(ISNUMBER(SEARCH("Noturno",tabParametros[[#This Row],[Função]],1)),tabParametros[[#This Row],[Salário Base]]/210*0.2*8*15.5,0))</f>
        <v>0</v>
      </c>
      <c r="M71" s="234">
        <f>IF(ISNUMBER(SEARCH("Motorista II",tabParametros[[#This Row],[Função]],1)),0.25*tabParametros[[#This Row],[Salário Base]],0)</f>
        <v>0</v>
      </c>
      <c r="N71" s="250">
        <v>0</v>
      </c>
      <c r="O71" s="234">
        <f>IF(ISNUMBER(SEARCH("TECNOLOGIA DA INFORMACAO",tabParametros[[#This Row],[Função]],1)),0.0201*tabParametros[[#This Row],[Salário Base]],0)</f>
        <v>0</v>
      </c>
      <c r="P71" s="250" cm="1">
        <f t="array" ref="P71">_xlfn.IFS(
ISNUMBER(SEARCH("Auxiliar de Limpeza - 75 h",tabParametros[[#This Row],[Função]],1)),tabParametros[[#This Row],[Salário Base]]/75*0.75*30*0.12,
ISNUMBER(SEARCH("Auxiliar de Limpeza - 110 h",tabParametros[[#This Row],[Função]],1)),tabParametros[[#This Row],[Salário Base]]/110*1*30*0.12,
ISNUMBER(SEARCH("Auxiliar de Limpeza - 150 h",tabParametros[[#This Row],[Função]],1)),tabParametros[[#This Row],[Salário Base]]/150*1.5*30*0.12,
ISNUMBER(SEARCH("Auxiliar de Limpeza - 220 h",tabParametros[[#This Row],[Função]],1)),tabParametros[[#This Row],[Salário Base]]/220*2*30*0.12,
ISNUMBER(SEARCH("Auxiliar de Limpeza - 12 x 36",tabParametros[[#This Row],[Função]],1)),tabParametros[[#This Row],[Salário Base]]/220*2*30*0.12,
ISNUMBER(SEARCH("Auxiliar de Limpeza - 55 h",tabParametros[[#This Row],[Função]],1))=FALSE,0)</f>
        <v>19.590479999999999</v>
      </c>
      <c r="Q71" s="235">
        <f>VLOOKUP(tabParametros[[#Headers],[INSS]],tabImpostosNacionais[],2,0)</f>
        <v>0.2</v>
      </c>
      <c r="R71" s="235">
        <f>VLOOKUP(tabParametros[[#Headers],[SESI OU SESC]],tabImpostosNacionais[],2,0)</f>
        <v>1.4999999999999999E-2</v>
      </c>
      <c r="S71" s="235">
        <f>VLOOKUP(tabParametros[[#Headers],[SENAI OU SENAC]],tabImpostosNacionais[],2,0)</f>
        <v>0.01</v>
      </c>
      <c r="T71" s="235">
        <f>VLOOKUP(tabParametros[[#Headers],[INCRA]],tabImpostosNacionais[],2,0)</f>
        <v>2E-3</v>
      </c>
      <c r="U71" s="235">
        <f>VLOOKUP(tabParametros[[#Headers],[Salário Educação]],tabImpostosNacionais[],2,0)</f>
        <v>2.5000000000000001E-2</v>
      </c>
      <c r="V71" s="235">
        <f>VLOOKUP(tabParametros[[#Headers],[FGTS]],tabImpostosNacionais[],2,0)</f>
        <v>0.08</v>
      </c>
      <c r="W71" s="235">
        <f>VLOOKUP(tabParametros[[#Headers],[RAT Ajustado]],tabImpostosNacionais[],2,0)</f>
        <v>0.04</v>
      </c>
      <c r="X71" s="235">
        <f>VLOOKUP(tabParametros[[#Headers],[SEBRAE]],tabImpostosNacionais[],2,0)</f>
        <v>6.0000000000000001E-3</v>
      </c>
      <c r="Y71" s="235">
        <f t="shared" si="11"/>
        <v>8.3333333333333329E-2</v>
      </c>
      <c r="Z71" s="251">
        <f t="shared" si="12"/>
        <v>0.1111111111111111</v>
      </c>
      <c r="AA71" s="234">
        <f>VLOOKUP(tabParametros[[#This Row],[Comarca]],tabComarca[],5,0)</f>
        <v>6.4</v>
      </c>
      <c r="AB71" s="234">
        <f>IFERROR(VLOOKUP(tabParametros[[#This Row],[CCT DA CATEGORIA]],tabSindicatos[],6,0),0)</f>
        <v>29.15</v>
      </c>
      <c r="AC71" s="234">
        <f>IFERROR(VLOOKUP(tabParametros[[#This Row],[CCT DA CATEGORIA]],tabSindicatos[],7,0),0)</f>
        <v>0</v>
      </c>
      <c r="AD71" s="234" cm="1">
        <f t="array" ref="AD71">_xlfn.LET(
_xlpm.COMARCA, TRIM(UPPER(SUBSTITUTE(SUBSTITUTE(SUBSTITUTE(SUBSTITUTE(SUBSTITUTE(SUBSTITUTE(SUBSTITUTE(SUBSTITUTE(SUBSTITUTE(SUBSTITUTE(SUBSTITUTE(SUBSTITUTE(SUBSTITUTE(SUBSTITUTE(SUBSTITUTE(SUBSTITUTE(SUBSTITUTE(SUBSTITUTE(SUBSTITUTE(SUBSTITUTE(SUBSTITUTE(SUBSTITUTE(SUBSTITUTE(SUBSTITUTE(SUBSTITUTE(SUBSTITUTE(tabParametros[[#This Row],[Comarca]],"á","a"),"ã","a"),"â","a"),"é","e"),"ê","e"),"í","i"),"ó","o"),"õ","o"),"ô","o"),"ú","u"),"ç","c"),"Á","a"),"Ã","a"),"Â","a"),"É","e"),"Ê","e"),"Í","i"),"Ó","o"),"Õ","o"),"Ô","o"),"Ú","u"),"Ç","c"),"/MG","")," e ",", ")," ",""),".",""))),
_xlpm.MATRIZ_COMARCA, TRIM(UPPER(SUBSTITUTE(SUBSTITUTE(SUBSTITUTE(SUBSTITUTE(SUBSTITUTE(SUBSTITUTE(SUBSTITUTE(SUBSTITUTE(SUBSTITUTE(SUBSTITUTE(SUBSTITUTE(SUBSTITUTE(SUBSTITUTE(SUBSTITUTE(SUBSTITUTE(SUBSTITUTE(SUBSTITUTE(SUBSTITUTE(SUBSTITUTE(SUBSTITUTE(SUBSTITUTE(SUBSTITUTE(SUBSTITUTE(SUBSTITUTE(SUBSTITUTE(SUBSTITUTE(tabSindicatos[COMARCAS PAF],"á","a"),"ã","a"),"â","a"),"é","e"),"ê","e"),"í","i"),"ó","o"),"õ","o"),"ô","o"),"ú","u"),"ç","c"),"Á","a"),"Ã","a"),"Â","a"),"É","e"),"Ê","e"),"Í","i"),"Ó","o"),"Õ","o"),"Ô","o"),"Ú","u"),"Ç","c"),"/MG","")," e ",", ")," ",""),".",""))),
IFERROR(IF(_xlfn.XLOOKUP(tabParametros[[#This Row],[CCT DA CATEGORIA]],tabSindicatos[SINDICATOS],tabSindicatos[COMARCAS PAF])="",
VLOOKUP(tabParametros[[#This Row],[CCT DA CATEGORIA]],tabSindicatos[],8,0),
IF(ISNUMBER(SEARCH(TRIM(_xlpm.COMARCA),_xlfn.XLOOKUP(tabParametros[[#This Row],[CCT DA CATEGORIA]],tabSindicatos[SINDICATOS],_xlpm.MATRIZ_COMARCA),1)),VLOOKUP(tabParametros[[#This Row],[CCT DA CATEGORIA]],tabSindicatos[],8,0),0)
),0)
)</f>
        <v>0</v>
      </c>
      <c r="AE71" s="234">
        <f>IFERROR(VLOOKUP(tabParametros[[#This Row],[CCT DA CATEGORIA]],tabSindicatos[],9,0),0)</f>
        <v>0</v>
      </c>
      <c r="AF71" s="234">
        <f>IFERROR(VLOOKUP(tabParametros[[#This Row],[CCT DA CATEGORIA]],tabSindicatos[],10,0),0)</f>
        <v>0</v>
      </c>
      <c r="AG71" s="236">
        <f>VLOOKUP(tabParametros[[#Headers],[Seguro de Vida]],tabOutrosCustos[],3,0)</f>
        <v>3.36</v>
      </c>
      <c r="AH71" s="236">
        <f>IF(ISNUMBER(SEARCH("MOTORISTA",tabParametros[[#This Row],[Função]],1)),VLOOKUP("MOTORISTAS",tabDiarias[],2,0),IF(tabParametros[[#This Row],[Comarca]]="Belo Horizonte",VLOOKUP("LIMPEZA",tabDiarias[],2,0),0))</f>
        <v>0</v>
      </c>
      <c r="AI71" s="235">
        <f t="shared" si="13"/>
        <v>7.011766975308642E-3</v>
      </c>
      <c r="AJ71" s="237">
        <f>tabParametros[[#This Row],[FGTS]]*tabParametros[[#This Row],[Aviso Prévio Indenizado (API) e Reflexo do Aviso Prévio Indenizado]]</f>
        <v>5.609413580246914E-4</v>
      </c>
      <c r="AK71" s="237">
        <f>tabParametros[[#This Row],[FGTS]]*tabParametros[[#This Row],[Aviso Prévio Indenizado (API) e Reflexo do Aviso Prévio Indenizado]]*40%</f>
        <v>2.2437654320987658E-4</v>
      </c>
      <c r="AL71" s="235">
        <f t="shared" si="14"/>
        <v>3.5000000000000005E-3</v>
      </c>
      <c r="AM71" s="235">
        <f>tabParametros[[#This Row],[Aviso Prévio Trabalhado - APT]]*SUM(tabParametros[[#This Row],[INSS]:[SEBRAE]])</f>
        <v>1.3230000000000004E-3</v>
      </c>
      <c r="AN71" s="235">
        <f t="shared" si="15"/>
        <v>3.0577777777777773E-2</v>
      </c>
      <c r="AO71" s="235">
        <f t="shared" si="16"/>
        <v>8.3333333333333339E-4</v>
      </c>
      <c r="AP71" s="235">
        <f t="shared" si="17"/>
        <v>8.4444444444444437E-3</v>
      </c>
      <c r="AQ71" s="235">
        <f t="shared" si="18"/>
        <v>2.0277777777777777E-3</v>
      </c>
      <c r="AR71" s="235">
        <f t="shared" si="19"/>
        <v>1.7083333333333333E-4</v>
      </c>
      <c r="AS71" s="235">
        <f t="shared" si="20"/>
        <v>2.0833333333333335E-4</v>
      </c>
      <c r="AT71" s="235">
        <f t="shared" si="21"/>
        <v>1.2962962962962963E-3</v>
      </c>
      <c r="AU71" s="237">
        <f>SUM(tabParametros[[#This Row],[Ausência por Doença]:[Férias, Adicional de Férias e 13º  com empregada em gozo de Licença Maternidade]])*SUM(tabParametros[[#This Row],[INSS]:[SEBRAE]])</f>
        <v>4.5918250000000008E-3</v>
      </c>
      <c r="AV71" s="234">
        <f>IF(tabParametros[[#This Row],[Função]]="Porteiro - 220 h",SUM(tabParametros[[#This Row],[Salário Base]:[Adicional de Acúmulo de função]])/220*20*1.5,IF(ISNUMBER(SEARCH("12 x 36",tabParametros[[#This Row],[Função]],1)),SUM(tabParametros[[#This Row],[Salário Base]:[Adicional de Acúmulo de função]])/210*15.5*1.5,0))</f>
        <v>0</v>
      </c>
      <c r="AW71" s="234">
        <f>IF(tabParametros[[#This Row],[Vagas contratadas]]&gt;0,(SUM(tabParametros[[#This Row],[Salário Base]:[Adicional de Acúmulo de função]])*30%+SUM(tabParametros[[#This Row],[Vale - Alimentação]:[Seguro de Vida]]))/tabParametros[[#This Row],[Vagas contratadas]]*tabParametros[[#This Row],[Vagas suspensas]],0)</f>
        <v>0</v>
      </c>
      <c r="AX71" s="234">
        <f>SUMIF(tabUniformes[Cargo],tabParametros[[#This Row],[Função]],tabUniformes[Valor unit. Mensal])</f>
        <v>62.806666666666665</v>
      </c>
      <c r="AY71" s="281">
        <f>IF(ISNUMBER(SEARCH("AUXILIAR DE LIMPEZA - 75 H",tabParametros[[#This Row],[Função]],1)),
SUMIF(tabLimpGeral[TIPO],"Material",tabLimpGeral[VALOR UNITÁRIO P/ HORA (R$)])*75,
IF(ISNUMBER(SEARCH("AUXILIAR DE LIMPEZA - 110 H",tabParametros[[#This Row],[Função]],1)),
SUMIF(tabLimpGeral[TIPO],"Material",tabLimpGeral[VALOR UNITÁRIO P/ HORA (R$)])*110,
IF(ISNUMBER(SEARCH("AUXILIAR DE LIMPEZA - 150 H",tabParametros[[#This Row],[Função]],1)),
SUMIF(tabLimpGeral[TIPO],"Material",tabLimpGeral[VALOR UNITÁRIO P/ HORA (R$)])*150,
IF(ISNUMBER(SEARCH("AUXILIAR DE LIMPEZA - 220 H",tabParametros[[#This Row],[Função]],1)),
SUMIF(tabLimpGeral[TIPO],"Material",tabLimpGeral[VALOR UNITÁRIO P/ HORA (R$)])*220,
IF(ISNUMBER(SEARCH("AUXILIAR DE LIMPEZA - 12 x 36",tabParametros[[#This Row],[Função]],1)),
SUMIF(tabLimpGeral[TIPO],"Material",tabLimpGeral[VALOR UNITÁRIO P/ HORA (R$)])*220,
IF(ISNUMBER(SEARCH("Limpador de vidros - 220 h",tabParametros[[#This Row],[Função]],1)),
SUMIF(tabVidros[TIPO],"Material",tabVidros[VALOR UNITÁRIO P/ POSTO (R$)]),
0))))))</f>
        <v>12.108481690426325</v>
      </c>
      <c r="AZ71" s="281">
        <f>IF(ISNUMBER(SEARCH("AUXILIAR DE LIMPEZA - 75 H",tabParametros[[#This Row],[Função]],1)),
SUMIF(tabLimpGeral[TIPO],"Equipamento",tabLimpGeral[VALOR UNITÁRIO P/ HORA (R$)])*75,
IF(ISNUMBER(SEARCH("AUXILIAR DE LIMPEZA - 110 H",tabParametros[[#This Row],[Função]],1)),
SUMIF(tabLimpGeral[TIPO],"Equipamento",tabLimpGeral[VALOR UNITÁRIO P/ HORA (R$)])*110,
IF(ISNUMBER(SEARCH("AUXILIAR DE LIMPEZA - 150 H",tabParametros[[#This Row],[Função]],1)),
SUMIF(tabLimpGeral[TIPO],"Equipamento",tabLimpGeral[VALOR UNITÁRIO P/ HORA (R$)])*150,
IF(ISNUMBER(SEARCH("AUXILIAR DE LIMPEZA - 220 H",tabParametros[[#This Row],[Função]],1)),
SUMIF(tabLimpGeral[TIPO],"Equipamento",tabLimpGeral[VALOR UNITÁRIO P/ HORA (R$)])*220,
IF(ISNUMBER(SEARCH("AUXILIAR DE LIMPEZA - 12 x 36",tabParametros[[#This Row],[Função]],1)),
SUMIF(tabLimpGeral[TIPO],"Equipamento",tabLimpGeral[VALOR UNITÁRIO P/ HORA (R$)])*220,
IF(ISNUMBER(SEARCH("Limpador de vidros - 220 h",tabParametros[[#This Row],[Função]],1)),
SUMIF(tabVidros[TIPO],"Equipamento",tabVidros[VALOR UNITÁRIO P/ POSTO (R$)]),
0))))))</f>
        <v>21.998657016417809</v>
      </c>
      <c r="BA71" s="281">
        <f>IF(ISNUMBER(SEARCH("AUXILIAR DE LIMPEZA - 75 H",tabParametros[[#This Row],[Função]],1)),
SUMIF(tabLimpGeral[TIPO],"Produto",tabLimpGeral[VALOR UNITÁRIO P/ HORA (R$)])*75,
IF(ISNUMBER(SEARCH("AUXILIAR DE LIMPEZA - 110 H",tabParametros[[#This Row],[Função]],1)),
SUMIF(tabLimpGeral[TIPO],"Produto",tabLimpGeral[VALOR UNITÁRIO P/ HORA (R$)])*110,
IF(ISNUMBER(SEARCH("AUXILIAR DE LIMPEZA - 150 H",tabParametros[[#This Row],[Função]],1)),
SUMIF(tabLimpGeral[TIPO],"Produto",tabLimpGeral[VALOR UNITÁRIO P/ HORA (R$)])*150,
IF(ISNUMBER(SEARCH("AUXILIAR DE LIMPEZA - 220 H",tabParametros[[#This Row],[Função]],1)),
SUMIF(tabLimpGeral[TIPO],"Produto",tabLimpGeral[VALOR UNITÁRIO P/ HORA (R$)])*220,
IF(ISNUMBER(SEARCH("AUXILIAR DE LIMPEZA - 12 x 36",tabParametros[[#This Row],[Função]],1)),
SUMIF(tabLimpGeral[TIPO],"Produto",tabLimpGeral[VALOR UNITÁRIO P/ HORA (R$)])*220,
IF(ISNUMBER(SEARCH("Limpador de vidros - 220 h",tabParametros[[#This Row],[Função]],1)),
SUMIF(tabVidros[TIPO],"Produto",tabVidros[VALOR UNITÁRIO P/ POSTO (R$)]),
0))))))</f>
        <v>235.31984072022155</v>
      </c>
      <c r="BB71" s="281">
        <v>0</v>
      </c>
      <c r="BC71" s="236">
        <f>VLOOKUP(tabParametros[[#Headers],[Custos Indiretos]],tabOutrosCustos[],3,0)</f>
        <v>189.64880140242613</v>
      </c>
      <c r="BD71" s="236">
        <f>VLOOKUP(tabParametros[[#Headers],[Lucro]],tabOutrosCustos[],3,0)</f>
        <v>159.30499317803796</v>
      </c>
      <c r="BE71" s="235">
        <f>VLOOKUP(tabParametros[[#Headers],[COFINS]],tabImpostosNacionais[],2,0)</f>
        <v>7.5999999999999998E-2</v>
      </c>
      <c r="BF71" s="235">
        <f>VLOOKUP(tabParametros[[#Headers],[PIS]],tabImpostosNacionais[],2,0)</f>
        <v>1.6500000000000001E-2</v>
      </c>
      <c r="BG71" s="235">
        <f>VLOOKUP(tabParametros[[#This Row],[Comarca]],tabComarca[],4,0)</f>
        <v>0.02</v>
      </c>
      <c r="BH71" s="238">
        <f>IFERROR(VLOOKUP(tabParametros[[#This Row],[CCT DA CATEGORIA]],tabSindicatos[],11,0),"")</f>
        <v>45658</v>
      </c>
      <c r="BI71" s="289" t="str">
        <f>IFERROR(VLOOKUP(tabParametros[[#This Row],[CCT DA CATEGORIA]],tabSindicatos[],12,0),"")</f>
        <v>-</v>
      </c>
      <c r="BJ71" s="293" t="str">
        <f>IFERROR(VLOOKUP(tabParametros[[#This Row],[CCT DA CATEGORIA]],tabSindicatos[],13,0),"")</f>
        <v>-</v>
      </c>
    </row>
    <row r="72" spans="1:62" x14ac:dyDescent="0.25">
      <c r="A72" s="233" t="s">
        <v>1412</v>
      </c>
      <c r="B72" s="198" t="s">
        <v>70</v>
      </c>
      <c r="C72" s="198" t="s">
        <v>1244</v>
      </c>
      <c r="D72" s="198" t="str">
        <f>VLOOKUP(tabParametros[[#This Row],[Código do Posto]],tabPostos[],4,0)</f>
        <v>Curvelo</v>
      </c>
      <c r="E72" s="289" t="str">
        <f>VLOOKUP(tabParametros[[#This Row],[Código do Posto]],tabPostos[],5,0)</f>
        <v>Limpeza</v>
      </c>
      <c r="F72" s="289" t="str">
        <f>VLOOKUP(tabParametros[[#This Row],[Código do Posto]],tabPostos[],6,0)</f>
        <v>PGJ</v>
      </c>
      <c r="G72" s="289">
        <f>VLOOKUP(tabParametros[[#This Row],[Código do Posto]],tabPostos[],7,0)</f>
        <v>1</v>
      </c>
      <c r="H72" s="289">
        <f>VLOOKUP(tabParametros[[#This Row],[Código do Posto]],tabPostos[],8,0)</f>
        <v>0</v>
      </c>
      <c r="I72" s="234">
        <f>VLOOKUP(tabParametros[[#This Row],[Código do Posto]],tabPostos[],9,0)</f>
        <v>798.14</v>
      </c>
      <c r="J72" s="234">
        <f>IF(ISNUMBER(SEARCH("Eletricista",tabParametros[[#This Row],[Função]],1)),0.3*tabParametros[[#This Row],[Salário Base]],0)</f>
        <v>0</v>
      </c>
      <c r="K72" s="234">
        <f>IF(OR(ISNUMBER(SEARCH("Bombeiro Hidraulico",tabParametros[[#This Row],[Função]],1)),ISNUMBER(SEARCH("Jardineiro",tabParametros[[#This Row],[Função]],1)),ISNUMBER(SEARCH("Lavador de Veiculos",tabParametros[[#This Row],[Função]],1)),ISNUMBER(SEARCH("Marceneiro",tabParametros[[#This Row],[Função]],1)),ISNUMBER(SEARCH("Pintor",tabParametros[[#This Row],[Função]],1))),0.2*'BASE GERAL'!$R$4,0)</f>
        <v>0</v>
      </c>
      <c r="L72" s="234">
        <f>IF(AND(ISNUMBER(SEARCH("Noturno",tabParametros[[#This Row],[Função]],1)),tabParametros[[#This Row],[Comarca]]&lt;&gt;"Juiz de Fora"),tabParametros[[#This Row],[Salário Base]]/210*0.39*7*15.5,IF(ISNUMBER(SEARCH("Noturno",tabParametros[[#This Row],[Função]],1)),tabParametros[[#This Row],[Salário Base]]/210*0.2*8*15.5,0))</f>
        <v>0</v>
      </c>
      <c r="M72" s="234">
        <f>IF(ISNUMBER(SEARCH("Motorista II",tabParametros[[#This Row],[Função]],1)),0.25*tabParametros[[#This Row],[Salário Base]],0)</f>
        <v>0</v>
      </c>
      <c r="N72" s="250">
        <v>0</v>
      </c>
      <c r="O72" s="234">
        <f>IF(ISNUMBER(SEARCH("TECNOLOGIA DA INFORMACAO",tabParametros[[#This Row],[Função]],1)),0.0201*tabParametros[[#This Row],[Salário Base]],0)</f>
        <v>0</v>
      </c>
      <c r="P72" s="250" cm="1">
        <f t="array" ref="P72">_xlfn.IFS(
ISNUMBER(SEARCH("Auxiliar de Limpeza - 75 h",tabParametros[[#This Row],[Função]],1)),tabParametros[[#This Row],[Salário Base]]/75*0.75*30*0.12,
ISNUMBER(SEARCH("Auxiliar de Limpeza - 110 h",tabParametros[[#This Row],[Função]],1)),tabParametros[[#This Row],[Salário Base]]/110*1*30*0.12,
ISNUMBER(SEARCH("Auxiliar de Limpeza - 150 h",tabParametros[[#This Row],[Função]],1)),tabParametros[[#This Row],[Salário Base]]/150*1.5*30*0.12,
ISNUMBER(SEARCH("Auxiliar de Limpeza - 220 h",tabParametros[[#This Row],[Função]],1)),tabParametros[[#This Row],[Salário Base]]/220*2*30*0.12,
ISNUMBER(SEARCH("Auxiliar de Limpeza - 12 x 36",tabParametros[[#This Row],[Função]],1)),tabParametros[[#This Row],[Salário Base]]/220*2*30*0.12,
ISNUMBER(SEARCH("Auxiliar de Limpeza - 55 h",tabParametros[[#This Row],[Função]],1))=FALSE,0)</f>
        <v>26.120945454545453</v>
      </c>
      <c r="Q72" s="235">
        <f>VLOOKUP(tabParametros[[#Headers],[INSS]],tabImpostosNacionais[],2,0)</f>
        <v>0.2</v>
      </c>
      <c r="R72" s="235">
        <f>VLOOKUP(tabParametros[[#Headers],[SESI OU SESC]],tabImpostosNacionais[],2,0)</f>
        <v>1.4999999999999999E-2</v>
      </c>
      <c r="S72" s="235">
        <f>VLOOKUP(tabParametros[[#Headers],[SENAI OU SENAC]],tabImpostosNacionais[],2,0)</f>
        <v>0.01</v>
      </c>
      <c r="T72" s="235">
        <f>VLOOKUP(tabParametros[[#Headers],[INCRA]],tabImpostosNacionais[],2,0)</f>
        <v>2E-3</v>
      </c>
      <c r="U72" s="235">
        <f>VLOOKUP(tabParametros[[#Headers],[Salário Educação]],tabImpostosNacionais[],2,0)</f>
        <v>2.5000000000000001E-2</v>
      </c>
      <c r="V72" s="235">
        <f>VLOOKUP(tabParametros[[#Headers],[FGTS]],tabImpostosNacionais[],2,0)</f>
        <v>0.08</v>
      </c>
      <c r="W72" s="235">
        <f>VLOOKUP(tabParametros[[#Headers],[RAT Ajustado]],tabImpostosNacionais[],2,0)</f>
        <v>0.04</v>
      </c>
      <c r="X72" s="235">
        <f>VLOOKUP(tabParametros[[#Headers],[SEBRAE]],tabImpostosNacionais[],2,0)</f>
        <v>6.0000000000000001E-3</v>
      </c>
      <c r="Y72" s="235">
        <f t="shared" si="11"/>
        <v>8.3333333333333329E-2</v>
      </c>
      <c r="Z72" s="251">
        <f t="shared" si="12"/>
        <v>0.1111111111111111</v>
      </c>
      <c r="AA72" s="234">
        <f>VLOOKUP(tabParametros[[#This Row],[Comarca]],tabComarca[],5,0)</f>
        <v>6.4</v>
      </c>
      <c r="AB72" s="234">
        <f>IFERROR(VLOOKUP(tabParametros[[#This Row],[CCT DA CATEGORIA]],tabSindicatos[],6,0),0)</f>
        <v>29.15</v>
      </c>
      <c r="AC72" s="234">
        <f>IFERROR(VLOOKUP(tabParametros[[#This Row],[CCT DA CATEGORIA]],tabSindicatos[],7,0),0)</f>
        <v>0</v>
      </c>
      <c r="AD72" s="234" cm="1">
        <f t="array" ref="AD72">_xlfn.LET(
_xlpm.COMARCA, TRIM(UPPER(SUBSTITUTE(SUBSTITUTE(SUBSTITUTE(SUBSTITUTE(SUBSTITUTE(SUBSTITUTE(SUBSTITUTE(SUBSTITUTE(SUBSTITUTE(SUBSTITUTE(SUBSTITUTE(SUBSTITUTE(SUBSTITUTE(SUBSTITUTE(SUBSTITUTE(SUBSTITUTE(SUBSTITUTE(SUBSTITUTE(SUBSTITUTE(SUBSTITUTE(SUBSTITUTE(SUBSTITUTE(SUBSTITUTE(SUBSTITUTE(SUBSTITUTE(SUBSTITUTE(tabParametros[[#This Row],[Comarca]],"á","a"),"ã","a"),"â","a"),"é","e"),"ê","e"),"í","i"),"ó","o"),"õ","o"),"ô","o"),"ú","u"),"ç","c"),"Á","a"),"Ã","a"),"Â","a"),"É","e"),"Ê","e"),"Í","i"),"Ó","o"),"Õ","o"),"Ô","o"),"Ú","u"),"Ç","c"),"/MG","")," e ",", ")," ",""),".",""))),
_xlpm.MATRIZ_COMARCA, TRIM(UPPER(SUBSTITUTE(SUBSTITUTE(SUBSTITUTE(SUBSTITUTE(SUBSTITUTE(SUBSTITUTE(SUBSTITUTE(SUBSTITUTE(SUBSTITUTE(SUBSTITUTE(SUBSTITUTE(SUBSTITUTE(SUBSTITUTE(SUBSTITUTE(SUBSTITUTE(SUBSTITUTE(SUBSTITUTE(SUBSTITUTE(SUBSTITUTE(SUBSTITUTE(SUBSTITUTE(SUBSTITUTE(SUBSTITUTE(SUBSTITUTE(SUBSTITUTE(SUBSTITUTE(tabSindicatos[COMARCAS PAF],"á","a"),"ã","a"),"â","a"),"é","e"),"ê","e"),"í","i"),"ó","o"),"õ","o"),"ô","o"),"ú","u"),"ç","c"),"Á","a"),"Ã","a"),"Â","a"),"É","e"),"Ê","e"),"Í","i"),"Ó","o"),"Õ","o"),"Ô","o"),"Ú","u"),"Ç","c"),"/MG","")," e ",", ")," ",""),".",""))),
IFERROR(IF(_xlfn.XLOOKUP(tabParametros[[#This Row],[CCT DA CATEGORIA]],tabSindicatos[SINDICATOS],tabSindicatos[COMARCAS PAF])="",
VLOOKUP(tabParametros[[#This Row],[CCT DA CATEGORIA]],tabSindicatos[],8,0),
IF(ISNUMBER(SEARCH(TRIM(_xlpm.COMARCA),_xlfn.XLOOKUP(tabParametros[[#This Row],[CCT DA CATEGORIA]],tabSindicatos[SINDICATOS],_xlpm.MATRIZ_COMARCA),1)),VLOOKUP(tabParametros[[#This Row],[CCT DA CATEGORIA]],tabSindicatos[],8,0),0)
),0)
)</f>
        <v>51.74</v>
      </c>
      <c r="AE72" s="234">
        <f>IFERROR(VLOOKUP(tabParametros[[#This Row],[CCT DA CATEGORIA]],tabSindicatos[],9,0),0)</f>
        <v>0</v>
      </c>
      <c r="AF72" s="234">
        <f>IFERROR(VLOOKUP(tabParametros[[#This Row],[CCT DA CATEGORIA]],tabSindicatos[],10,0),0)</f>
        <v>0</v>
      </c>
      <c r="AG72" s="236">
        <f>VLOOKUP(tabParametros[[#Headers],[Seguro de Vida]],tabOutrosCustos[],3,0)</f>
        <v>3.36</v>
      </c>
      <c r="AH72" s="236">
        <f>IF(ISNUMBER(SEARCH("MOTORISTA",tabParametros[[#This Row],[Função]],1)),VLOOKUP("MOTORISTAS",tabDiarias[],2,0),IF(tabParametros[[#This Row],[Comarca]]="Belo Horizonte",VLOOKUP("LIMPEZA",tabDiarias[],2,0),0))</f>
        <v>0</v>
      </c>
      <c r="AI72" s="235">
        <f t="shared" si="13"/>
        <v>7.011766975308642E-3</v>
      </c>
      <c r="AJ72" s="237">
        <f>tabParametros[[#This Row],[FGTS]]*tabParametros[[#This Row],[Aviso Prévio Indenizado (API) e Reflexo do Aviso Prévio Indenizado]]</f>
        <v>5.609413580246914E-4</v>
      </c>
      <c r="AK72" s="237">
        <f>tabParametros[[#This Row],[FGTS]]*tabParametros[[#This Row],[Aviso Prévio Indenizado (API) e Reflexo do Aviso Prévio Indenizado]]*40%</f>
        <v>2.2437654320987658E-4</v>
      </c>
      <c r="AL72" s="235">
        <f t="shared" si="14"/>
        <v>3.5000000000000005E-3</v>
      </c>
      <c r="AM72" s="235">
        <f>tabParametros[[#This Row],[Aviso Prévio Trabalhado - APT]]*SUM(tabParametros[[#This Row],[INSS]:[SEBRAE]])</f>
        <v>1.3230000000000004E-3</v>
      </c>
      <c r="AN72" s="235">
        <f t="shared" si="15"/>
        <v>3.0577777777777773E-2</v>
      </c>
      <c r="AO72" s="235">
        <f t="shared" si="16"/>
        <v>8.3333333333333339E-4</v>
      </c>
      <c r="AP72" s="235">
        <f t="shared" si="17"/>
        <v>8.4444444444444437E-3</v>
      </c>
      <c r="AQ72" s="235">
        <f t="shared" si="18"/>
        <v>2.0277777777777777E-3</v>
      </c>
      <c r="AR72" s="235">
        <f t="shared" si="19"/>
        <v>1.7083333333333333E-4</v>
      </c>
      <c r="AS72" s="235">
        <f t="shared" si="20"/>
        <v>2.0833333333333335E-4</v>
      </c>
      <c r="AT72" s="235">
        <f t="shared" si="21"/>
        <v>1.2962962962962963E-3</v>
      </c>
      <c r="AU72" s="237">
        <f>SUM(tabParametros[[#This Row],[Ausência por Doença]:[Férias, Adicional de Férias e 13º  com empregada em gozo de Licença Maternidade]])*SUM(tabParametros[[#This Row],[INSS]:[SEBRAE]])</f>
        <v>4.5918250000000008E-3</v>
      </c>
      <c r="AV72" s="234">
        <f>IF(tabParametros[[#This Row],[Função]]="Porteiro - 220 h",SUM(tabParametros[[#This Row],[Salário Base]:[Adicional de Acúmulo de função]])/220*20*1.5,IF(ISNUMBER(SEARCH("12 x 36",tabParametros[[#This Row],[Função]],1)),SUM(tabParametros[[#This Row],[Salário Base]:[Adicional de Acúmulo de função]])/210*15.5*1.5,0))</f>
        <v>0</v>
      </c>
      <c r="AW72" s="234">
        <f>IF(tabParametros[[#This Row],[Vagas contratadas]]&gt;0,(SUM(tabParametros[[#This Row],[Salário Base]:[Adicional de Acúmulo de função]])*30%+SUM(tabParametros[[#This Row],[Vale - Alimentação]:[Seguro de Vida]]))/tabParametros[[#This Row],[Vagas contratadas]]*tabParametros[[#This Row],[Vagas suspensas]],0)</f>
        <v>0</v>
      </c>
      <c r="AX72" s="234">
        <f>SUMIF(tabUniformes[Cargo],tabParametros[[#This Row],[Função]],tabUniformes[Valor unit. Mensal])</f>
        <v>62.806666666666665</v>
      </c>
      <c r="AY72" s="281">
        <f>IF(ISNUMBER(SEARCH("AUXILIAR DE LIMPEZA - 75 H",tabParametros[[#This Row],[Função]],1)),
SUMIF(tabLimpGeral[TIPO],"Material",tabLimpGeral[VALOR UNITÁRIO P/ HORA (R$)])*75,
IF(ISNUMBER(SEARCH("AUXILIAR DE LIMPEZA - 110 H",tabParametros[[#This Row],[Função]],1)),
SUMIF(tabLimpGeral[TIPO],"Material",tabLimpGeral[VALOR UNITÁRIO P/ HORA (R$)])*110,
IF(ISNUMBER(SEARCH("AUXILIAR DE LIMPEZA - 150 H",tabParametros[[#This Row],[Função]],1)),
SUMIF(tabLimpGeral[TIPO],"Material",tabLimpGeral[VALOR UNITÁRIO P/ HORA (R$)])*150,
IF(ISNUMBER(SEARCH("AUXILIAR DE LIMPEZA - 220 H",tabParametros[[#This Row],[Função]],1)),
SUMIF(tabLimpGeral[TIPO],"Material",tabLimpGeral[VALOR UNITÁRIO P/ HORA (R$)])*220,
IF(ISNUMBER(SEARCH("AUXILIAR DE LIMPEZA - 12 x 36",tabParametros[[#This Row],[Função]],1)),
SUMIF(tabLimpGeral[TIPO],"Material",tabLimpGeral[VALOR UNITÁRIO P/ HORA (R$)])*220,
IF(ISNUMBER(SEARCH("Limpador de vidros - 220 h",tabParametros[[#This Row],[Função]],1)),
SUMIF(tabVidros[TIPO],"Material",tabVidros[VALOR UNITÁRIO P/ POSTO (R$)]),
0))))))</f>
        <v>17.759106479291944</v>
      </c>
      <c r="AZ72" s="281">
        <f>IF(ISNUMBER(SEARCH("AUXILIAR DE LIMPEZA - 75 H",tabParametros[[#This Row],[Função]],1)),
SUMIF(tabLimpGeral[TIPO],"Equipamento",tabLimpGeral[VALOR UNITÁRIO P/ HORA (R$)])*75,
IF(ISNUMBER(SEARCH("AUXILIAR DE LIMPEZA - 110 H",tabParametros[[#This Row],[Função]],1)),
SUMIF(tabLimpGeral[TIPO],"Equipamento",tabLimpGeral[VALOR UNITÁRIO P/ HORA (R$)])*110,
IF(ISNUMBER(SEARCH("AUXILIAR DE LIMPEZA - 150 H",tabParametros[[#This Row],[Função]],1)),
SUMIF(tabLimpGeral[TIPO],"Equipamento",tabLimpGeral[VALOR UNITÁRIO P/ HORA (R$)])*150,
IF(ISNUMBER(SEARCH("AUXILIAR DE LIMPEZA - 220 H",tabParametros[[#This Row],[Função]],1)),
SUMIF(tabLimpGeral[TIPO],"Equipamento",tabLimpGeral[VALOR UNITÁRIO P/ HORA (R$)])*220,
IF(ISNUMBER(SEARCH("AUXILIAR DE LIMPEZA - 12 x 36",tabParametros[[#This Row],[Função]],1)),
SUMIF(tabLimpGeral[TIPO],"Equipamento",tabLimpGeral[VALOR UNITÁRIO P/ HORA (R$)])*220,
IF(ISNUMBER(SEARCH("Limpador de vidros - 220 h",tabParametros[[#This Row],[Função]],1)),
SUMIF(tabVidros[TIPO],"Equipamento",tabVidros[VALOR UNITÁRIO P/ POSTO (R$)]),
0))))))</f>
        <v>32.264696957412788</v>
      </c>
      <c r="BA72" s="281">
        <f>IF(ISNUMBER(SEARCH("AUXILIAR DE LIMPEZA - 75 H",tabParametros[[#This Row],[Função]],1)),
SUMIF(tabLimpGeral[TIPO],"Produto",tabLimpGeral[VALOR UNITÁRIO P/ HORA (R$)])*75,
IF(ISNUMBER(SEARCH("AUXILIAR DE LIMPEZA - 110 H",tabParametros[[#This Row],[Função]],1)),
SUMIF(tabLimpGeral[TIPO],"Produto",tabLimpGeral[VALOR UNITÁRIO P/ HORA (R$)])*110,
IF(ISNUMBER(SEARCH("AUXILIAR DE LIMPEZA - 150 H",tabParametros[[#This Row],[Função]],1)),
SUMIF(tabLimpGeral[TIPO],"Produto",tabLimpGeral[VALOR UNITÁRIO P/ HORA (R$)])*150,
IF(ISNUMBER(SEARCH("AUXILIAR DE LIMPEZA - 220 H",tabParametros[[#This Row],[Função]],1)),
SUMIF(tabLimpGeral[TIPO],"Produto",tabLimpGeral[VALOR UNITÁRIO P/ HORA (R$)])*220,
IF(ISNUMBER(SEARCH("AUXILIAR DE LIMPEZA - 12 x 36",tabParametros[[#This Row],[Função]],1)),
SUMIF(tabLimpGeral[TIPO],"Produto",tabLimpGeral[VALOR UNITÁRIO P/ HORA (R$)])*220,
IF(ISNUMBER(SEARCH("Limpador de vidros - 220 h",tabParametros[[#This Row],[Função]],1)),
SUMIF(tabVidros[TIPO],"Produto",tabVidros[VALOR UNITÁRIO P/ POSTO (R$)]),
0))))))</f>
        <v>345.13576638965827</v>
      </c>
      <c r="BB72" s="281">
        <v>0</v>
      </c>
      <c r="BC72" s="236">
        <f>VLOOKUP(tabParametros[[#Headers],[Custos Indiretos]],tabOutrosCustos[],3,0)</f>
        <v>189.64880140242613</v>
      </c>
      <c r="BD72" s="236">
        <f>VLOOKUP(tabParametros[[#Headers],[Lucro]],tabOutrosCustos[],3,0)</f>
        <v>159.30499317803796</v>
      </c>
      <c r="BE72" s="235">
        <f>VLOOKUP(tabParametros[[#Headers],[COFINS]],tabImpostosNacionais[],2,0)</f>
        <v>7.5999999999999998E-2</v>
      </c>
      <c r="BF72" s="235">
        <f>VLOOKUP(tabParametros[[#Headers],[PIS]],tabImpostosNacionais[],2,0)</f>
        <v>1.6500000000000001E-2</v>
      </c>
      <c r="BG72" s="235">
        <f>VLOOKUP(tabParametros[[#This Row],[Comarca]],tabComarca[],4,0)</f>
        <v>0.03</v>
      </c>
      <c r="BH72" s="238">
        <f>IFERROR(VLOOKUP(tabParametros[[#This Row],[CCT DA CATEGORIA]],tabSindicatos[],11,0),"")</f>
        <v>45658</v>
      </c>
      <c r="BI72" s="289" t="str">
        <f>IFERROR(VLOOKUP(tabParametros[[#This Row],[CCT DA CATEGORIA]],tabSindicatos[],12,0),"")</f>
        <v>-</v>
      </c>
      <c r="BJ72" s="293" t="str">
        <f>IFERROR(VLOOKUP(tabParametros[[#This Row],[CCT DA CATEGORIA]],tabSindicatos[],13,0),"")</f>
        <v>-</v>
      </c>
    </row>
    <row r="73" spans="1:62" x14ac:dyDescent="0.25">
      <c r="A73" s="233" t="s">
        <v>1413</v>
      </c>
      <c r="B73" s="198" t="s">
        <v>71</v>
      </c>
      <c r="C73" s="198" t="s">
        <v>1245</v>
      </c>
      <c r="D73" s="198" t="str">
        <f>VLOOKUP(tabParametros[[#This Row],[Código do Posto]],tabPostos[],4,0)</f>
        <v>Regiao de Ouro Preto</v>
      </c>
      <c r="E73" s="289" t="str">
        <f>VLOOKUP(tabParametros[[#This Row],[Código do Posto]],tabPostos[],5,0)</f>
        <v>Limpeza</v>
      </c>
      <c r="F73" s="289" t="str">
        <f>VLOOKUP(tabParametros[[#This Row],[Código do Posto]],tabPostos[],6,0)</f>
        <v>PGJ</v>
      </c>
      <c r="G73" s="289">
        <f>VLOOKUP(tabParametros[[#This Row],[Código do Posto]],tabPostos[],7,0)</f>
        <v>1</v>
      </c>
      <c r="H73" s="289">
        <f>VLOOKUP(tabParametros[[#This Row],[Código do Posto]],tabPostos[],8,0)</f>
        <v>0</v>
      </c>
      <c r="I73" s="234">
        <f>VLOOKUP(tabParametros[[#This Row],[Código do Posto]],tabPostos[],9,0)</f>
        <v>1596.28</v>
      </c>
      <c r="J73" s="234">
        <f>IF(ISNUMBER(SEARCH("Eletricista",tabParametros[[#This Row],[Função]],1)),0.3*tabParametros[[#This Row],[Salário Base]],0)</f>
        <v>0</v>
      </c>
      <c r="K73" s="234">
        <f>IF(OR(ISNUMBER(SEARCH("Bombeiro Hidraulico",tabParametros[[#This Row],[Função]],1)),ISNUMBER(SEARCH("Jardineiro",tabParametros[[#This Row],[Função]],1)),ISNUMBER(SEARCH("Lavador de Veiculos",tabParametros[[#This Row],[Função]],1)),ISNUMBER(SEARCH("Marceneiro",tabParametros[[#This Row],[Função]],1)),ISNUMBER(SEARCH("Pintor",tabParametros[[#This Row],[Função]],1))),0.2*'BASE GERAL'!$R$4,0)</f>
        <v>0</v>
      </c>
      <c r="L73" s="234">
        <f>IF(AND(ISNUMBER(SEARCH("Noturno",tabParametros[[#This Row],[Função]],1)),tabParametros[[#This Row],[Comarca]]&lt;&gt;"Juiz de Fora"),tabParametros[[#This Row],[Salário Base]]/210*0.39*7*15.5,IF(ISNUMBER(SEARCH("Noturno",tabParametros[[#This Row],[Função]],1)),tabParametros[[#This Row],[Salário Base]]/210*0.2*8*15.5,0))</f>
        <v>0</v>
      </c>
      <c r="M73" s="234">
        <f>IF(ISNUMBER(SEARCH("Motorista II",tabParametros[[#This Row],[Função]],1)),0.25*tabParametros[[#This Row],[Salário Base]],0)</f>
        <v>0</v>
      </c>
      <c r="N73" s="250">
        <v>0</v>
      </c>
      <c r="O73" s="234">
        <f>IF(ISNUMBER(SEARCH("TECNOLOGIA DA INFORMACAO",tabParametros[[#This Row],[Função]],1)),0.0201*tabParametros[[#This Row],[Salário Base]],0)</f>
        <v>0</v>
      </c>
      <c r="P73" s="250" cm="1">
        <f t="array" ref="P73">_xlfn.IFS(
ISNUMBER(SEARCH("Auxiliar de Limpeza - 75 h",tabParametros[[#This Row],[Função]],1)),tabParametros[[#This Row],[Salário Base]]/75*0.75*30*0.12,
ISNUMBER(SEARCH("Auxiliar de Limpeza - 110 h",tabParametros[[#This Row],[Função]],1)),tabParametros[[#This Row],[Salário Base]]/110*1*30*0.12,
ISNUMBER(SEARCH("Auxiliar de Limpeza - 150 h",tabParametros[[#This Row],[Função]],1)),tabParametros[[#This Row],[Salário Base]]/150*1.5*30*0.12,
ISNUMBER(SEARCH("Auxiliar de Limpeza - 220 h",tabParametros[[#This Row],[Função]],1)),tabParametros[[#This Row],[Salário Base]]/220*2*30*0.12,
ISNUMBER(SEARCH("Auxiliar de Limpeza - 12 x 36",tabParametros[[#This Row],[Função]],1)),tabParametros[[#This Row],[Salário Base]]/220*2*30*0.12,
ISNUMBER(SEARCH("Auxiliar de Limpeza - 55 h",tabParametros[[#This Row],[Função]],1))=FALSE,0)</f>
        <v>52.241890909090905</v>
      </c>
      <c r="Q73" s="235">
        <f>VLOOKUP(tabParametros[[#Headers],[INSS]],tabImpostosNacionais[],2,0)</f>
        <v>0.2</v>
      </c>
      <c r="R73" s="235">
        <f>VLOOKUP(tabParametros[[#Headers],[SESI OU SESC]],tabImpostosNacionais[],2,0)</f>
        <v>1.4999999999999999E-2</v>
      </c>
      <c r="S73" s="235">
        <f>VLOOKUP(tabParametros[[#Headers],[SENAI OU SENAC]],tabImpostosNacionais[],2,0)</f>
        <v>0.01</v>
      </c>
      <c r="T73" s="235">
        <f>VLOOKUP(tabParametros[[#Headers],[INCRA]],tabImpostosNacionais[],2,0)</f>
        <v>2E-3</v>
      </c>
      <c r="U73" s="235">
        <f>VLOOKUP(tabParametros[[#Headers],[Salário Educação]],tabImpostosNacionais[],2,0)</f>
        <v>2.5000000000000001E-2</v>
      </c>
      <c r="V73" s="235">
        <f>VLOOKUP(tabParametros[[#Headers],[FGTS]],tabImpostosNacionais[],2,0)</f>
        <v>0.08</v>
      </c>
      <c r="W73" s="235">
        <f>VLOOKUP(tabParametros[[#Headers],[RAT Ajustado]],tabImpostosNacionais[],2,0)</f>
        <v>0.04</v>
      </c>
      <c r="X73" s="235">
        <f>VLOOKUP(tabParametros[[#Headers],[SEBRAE]],tabImpostosNacionais[],2,0)</f>
        <v>6.0000000000000001E-3</v>
      </c>
      <c r="Y73" s="235">
        <f t="shared" si="11"/>
        <v>8.3333333333333329E-2</v>
      </c>
      <c r="Z73" s="251">
        <f t="shared" si="12"/>
        <v>0.1111111111111111</v>
      </c>
      <c r="AA73" s="234">
        <f>VLOOKUP(tabParametros[[#This Row],[Comarca]],tabComarca[],5,0)</f>
        <v>6.4</v>
      </c>
      <c r="AB73" s="234">
        <f>IFERROR(VLOOKUP(tabParametros[[#This Row],[CCT DA CATEGORIA]],tabSindicatos[],6,0),0)</f>
        <v>29.15</v>
      </c>
      <c r="AC73" s="234">
        <f>IFERROR(VLOOKUP(tabParametros[[#This Row],[CCT DA CATEGORIA]],tabSindicatos[],7,0),0)</f>
        <v>0</v>
      </c>
      <c r="AD73" s="234" cm="1">
        <f t="array" ref="AD73">_xlfn.LET(
_xlpm.COMARCA, TRIM(UPPER(SUBSTITUTE(SUBSTITUTE(SUBSTITUTE(SUBSTITUTE(SUBSTITUTE(SUBSTITUTE(SUBSTITUTE(SUBSTITUTE(SUBSTITUTE(SUBSTITUTE(SUBSTITUTE(SUBSTITUTE(SUBSTITUTE(SUBSTITUTE(SUBSTITUTE(SUBSTITUTE(SUBSTITUTE(SUBSTITUTE(SUBSTITUTE(SUBSTITUTE(SUBSTITUTE(SUBSTITUTE(SUBSTITUTE(SUBSTITUTE(SUBSTITUTE(SUBSTITUTE(tabParametros[[#This Row],[Comarca]],"á","a"),"ã","a"),"â","a"),"é","e"),"ê","e"),"í","i"),"ó","o"),"õ","o"),"ô","o"),"ú","u"),"ç","c"),"Á","a"),"Ã","a"),"Â","a"),"É","e"),"Ê","e"),"Í","i"),"Ó","o"),"Õ","o"),"Ô","o"),"Ú","u"),"Ç","c"),"/MG","")," e ",", ")," ",""),".",""))),
_xlpm.MATRIZ_COMARCA, TRIM(UPPER(SUBSTITUTE(SUBSTITUTE(SUBSTITUTE(SUBSTITUTE(SUBSTITUTE(SUBSTITUTE(SUBSTITUTE(SUBSTITUTE(SUBSTITUTE(SUBSTITUTE(SUBSTITUTE(SUBSTITUTE(SUBSTITUTE(SUBSTITUTE(SUBSTITUTE(SUBSTITUTE(SUBSTITUTE(SUBSTITUTE(SUBSTITUTE(SUBSTITUTE(SUBSTITUTE(SUBSTITUTE(SUBSTITUTE(SUBSTITUTE(SUBSTITUTE(SUBSTITUTE(tabSindicatos[COMARCAS PAF],"á","a"),"ã","a"),"â","a"),"é","e"),"ê","e"),"í","i"),"ó","o"),"õ","o"),"ô","o"),"ú","u"),"ç","c"),"Á","a"),"Ã","a"),"Â","a"),"É","e"),"Ê","e"),"Í","i"),"Ó","o"),"Õ","o"),"Ô","o"),"Ú","u"),"Ç","c"),"/MG","")," e ",", ")," ",""),".",""))),
IFERROR(IF(_xlfn.XLOOKUP(tabParametros[[#This Row],[CCT DA CATEGORIA]],tabSindicatos[SINDICATOS],tabSindicatos[COMARCAS PAF])="",
VLOOKUP(tabParametros[[#This Row],[CCT DA CATEGORIA]],tabSindicatos[],8,0),
IF(ISNUMBER(SEARCH(TRIM(_xlpm.COMARCA),_xlfn.XLOOKUP(tabParametros[[#This Row],[CCT DA CATEGORIA]],tabSindicatos[SINDICATOS],_xlpm.MATRIZ_COMARCA),1)),VLOOKUP(tabParametros[[#This Row],[CCT DA CATEGORIA]],tabSindicatos[],8,0),0)
),0)
)</f>
        <v>51.87</v>
      </c>
      <c r="AE73" s="234">
        <f>IFERROR(VLOOKUP(tabParametros[[#This Row],[CCT DA CATEGORIA]],tabSindicatos[],9,0),0)</f>
        <v>0</v>
      </c>
      <c r="AF73" s="234">
        <f>IFERROR(VLOOKUP(tabParametros[[#This Row],[CCT DA CATEGORIA]],tabSindicatos[],10,0),0)</f>
        <v>0</v>
      </c>
      <c r="AG73" s="236">
        <f>VLOOKUP(tabParametros[[#Headers],[Seguro de Vida]],tabOutrosCustos[],3,0)</f>
        <v>3.36</v>
      </c>
      <c r="AH73" s="236">
        <f>IF(ISNUMBER(SEARCH("MOTORISTA",tabParametros[[#This Row],[Função]],1)),VLOOKUP("MOTORISTAS",tabDiarias[],2,0),IF(tabParametros[[#This Row],[Comarca]]="Belo Horizonte",VLOOKUP("LIMPEZA",tabDiarias[],2,0),0))</f>
        <v>0</v>
      </c>
      <c r="AI73" s="235">
        <f t="shared" si="13"/>
        <v>7.011766975308642E-3</v>
      </c>
      <c r="AJ73" s="237">
        <f>tabParametros[[#This Row],[FGTS]]*tabParametros[[#This Row],[Aviso Prévio Indenizado (API) e Reflexo do Aviso Prévio Indenizado]]</f>
        <v>5.609413580246914E-4</v>
      </c>
      <c r="AK73" s="237">
        <f>tabParametros[[#This Row],[FGTS]]*tabParametros[[#This Row],[Aviso Prévio Indenizado (API) e Reflexo do Aviso Prévio Indenizado]]*40%</f>
        <v>2.2437654320987658E-4</v>
      </c>
      <c r="AL73" s="235">
        <f t="shared" si="14"/>
        <v>3.5000000000000005E-3</v>
      </c>
      <c r="AM73" s="235">
        <f>tabParametros[[#This Row],[Aviso Prévio Trabalhado - APT]]*SUM(tabParametros[[#This Row],[INSS]:[SEBRAE]])</f>
        <v>1.3230000000000004E-3</v>
      </c>
      <c r="AN73" s="235">
        <f t="shared" si="15"/>
        <v>3.0577777777777773E-2</v>
      </c>
      <c r="AO73" s="235">
        <f t="shared" si="16"/>
        <v>8.3333333333333339E-4</v>
      </c>
      <c r="AP73" s="235">
        <f t="shared" si="17"/>
        <v>8.4444444444444437E-3</v>
      </c>
      <c r="AQ73" s="235">
        <f t="shared" si="18"/>
        <v>2.0277777777777777E-3</v>
      </c>
      <c r="AR73" s="235">
        <f t="shared" si="19"/>
        <v>1.7083333333333333E-4</v>
      </c>
      <c r="AS73" s="235">
        <f t="shared" si="20"/>
        <v>2.0833333333333335E-4</v>
      </c>
      <c r="AT73" s="235">
        <f t="shared" si="21"/>
        <v>1.2962962962962963E-3</v>
      </c>
      <c r="AU73" s="237">
        <f>SUM(tabParametros[[#This Row],[Ausência por Doença]:[Férias, Adicional de Férias e 13º  com empregada em gozo de Licença Maternidade]])*SUM(tabParametros[[#This Row],[INSS]:[SEBRAE]])</f>
        <v>4.5918250000000008E-3</v>
      </c>
      <c r="AV73" s="234">
        <f>IF(tabParametros[[#This Row],[Função]]="Porteiro - 220 h",SUM(tabParametros[[#This Row],[Salário Base]:[Adicional de Acúmulo de função]])/220*20*1.5,IF(ISNUMBER(SEARCH("12 x 36",tabParametros[[#This Row],[Função]],1)),SUM(tabParametros[[#This Row],[Salário Base]:[Adicional de Acúmulo de função]])/210*15.5*1.5,0))</f>
        <v>0</v>
      </c>
      <c r="AW73" s="234">
        <f>IF(tabParametros[[#This Row],[Vagas contratadas]]&gt;0,(SUM(tabParametros[[#This Row],[Salário Base]:[Adicional de Acúmulo de função]])*30%+SUM(tabParametros[[#This Row],[Vale - Alimentação]:[Seguro de Vida]]))/tabParametros[[#This Row],[Vagas contratadas]]*tabParametros[[#This Row],[Vagas suspensas]],0)</f>
        <v>0</v>
      </c>
      <c r="AX73" s="234">
        <f>SUMIF(tabUniformes[Cargo],tabParametros[[#This Row],[Função]],tabUniformes[Valor unit. Mensal])</f>
        <v>100.80916666666666</v>
      </c>
      <c r="AY73" s="281">
        <f>IF(ISNUMBER(SEARCH("AUXILIAR DE LIMPEZA - 75 H",tabParametros[[#This Row],[Função]],1)),
SUMIF(tabLimpGeral[TIPO],"Material",tabLimpGeral[VALOR UNITÁRIO P/ HORA (R$)])*75,
IF(ISNUMBER(SEARCH("AUXILIAR DE LIMPEZA - 110 H",tabParametros[[#This Row],[Função]],1)),
SUMIF(tabLimpGeral[TIPO],"Material",tabLimpGeral[VALOR UNITÁRIO P/ HORA (R$)])*110,
IF(ISNUMBER(SEARCH("AUXILIAR DE LIMPEZA - 150 H",tabParametros[[#This Row],[Função]],1)),
SUMIF(tabLimpGeral[TIPO],"Material",tabLimpGeral[VALOR UNITÁRIO P/ HORA (R$)])*150,
IF(ISNUMBER(SEARCH("AUXILIAR DE LIMPEZA - 220 H",tabParametros[[#This Row],[Função]],1)),
SUMIF(tabLimpGeral[TIPO],"Material",tabLimpGeral[VALOR UNITÁRIO P/ HORA (R$)])*220,
IF(ISNUMBER(SEARCH("AUXILIAR DE LIMPEZA - 12 x 36",tabParametros[[#This Row],[Função]],1)),
SUMIF(tabLimpGeral[TIPO],"Material",tabLimpGeral[VALOR UNITÁRIO P/ HORA (R$)])*220,
IF(ISNUMBER(SEARCH("Limpador de vidros - 220 h",tabParametros[[#This Row],[Função]],1)),
SUMIF(tabVidros[TIPO],"Material",tabVidros[VALOR UNITÁRIO P/ POSTO (R$)]),
0))))))</f>
        <v>35.518212958583888</v>
      </c>
      <c r="AZ73" s="281">
        <f>IF(ISNUMBER(SEARCH("AUXILIAR DE LIMPEZA - 75 H",tabParametros[[#This Row],[Função]],1)),
SUMIF(tabLimpGeral[TIPO],"Equipamento",tabLimpGeral[VALOR UNITÁRIO P/ HORA (R$)])*75,
IF(ISNUMBER(SEARCH("AUXILIAR DE LIMPEZA - 110 H",tabParametros[[#This Row],[Função]],1)),
SUMIF(tabLimpGeral[TIPO],"Equipamento",tabLimpGeral[VALOR UNITÁRIO P/ HORA (R$)])*110,
IF(ISNUMBER(SEARCH("AUXILIAR DE LIMPEZA - 150 H",tabParametros[[#This Row],[Função]],1)),
SUMIF(tabLimpGeral[TIPO],"Equipamento",tabLimpGeral[VALOR UNITÁRIO P/ HORA (R$)])*150,
IF(ISNUMBER(SEARCH("AUXILIAR DE LIMPEZA - 220 H",tabParametros[[#This Row],[Função]],1)),
SUMIF(tabLimpGeral[TIPO],"Equipamento",tabLimpGeral[VALOR UNITÁRIO P/ HORA (R$)])*220,
IF(ISNUMBER(SEARCH("AUXILIAR DE LIMPEZA - 12 x 36",tabParametros[[#This Row],[Função]],1)),
SUMIF(tabLimpGeral[TIPO],"Equipamento",tabLimpGeral[VALOR UNITÁRIO P/ HORA (R$)])*220,
IF(ISNUMBER(SEARCH("Limpador de vidros - 220 h",tabParametros[[#This Row],[Função]],1)),
SUMIF(tabVidros[TIPO],"Equipamento",tabVidros[VALOR UNITÁRIO P/ POSTO (R$)]),
0))))))</f>
        <v>64.529393914825576</v>
      </c>
      <c r="BA73" s="281">
        <f>IF(ISNUMBER(SEARCH("AUXILIAR DE LIMPEZA - 75 H",tabParametros[[#This Row],[Função]],1)),
SUMIF(tabLimpGeral[TIPO],"Produto",tabLimpGeral[VALOR UNITÁRIO P/ HORA (R$)])*75,
IF(ISNUMBER(SEARCH("AUXILIAR DE LIMPEZA - 110 H",tabParametros[[#This Row],[Função]],1)),
SUMIF(tabLimpGeral[TIPO],"Produto",tabLimpGeral[VALOR UNITÁRIO P/ HORA (R$)])*110,
IF(ISNUMBER(SEARCH("AUXILIAR DE LIMPEZA - 150 H",tabParametros[[#This Row],[Função]],1)),
SUMIF(tabLimpGeral[TIPO],"Produto",tabLimpGeral[VALOR UNITÁRIO P/ HORA (R$)])*150,
IF(ISNUMBER(SEARCH("AUXILIAR DE LIMPEZA - 220 H",tabParametros[[#This Row],[Função]],1)),
SUMIF(tabLimpGeral[TIPO],"Produto",tabLimpGeral[VALOR UNITÁRIO P/ HORA (R$)])*220,
IF(ISNUMBER(SEARCH("AUXILIAR DE LIMPEZA - 12 x 36",tabParametros[[#This Row],[Função]],1)),
SUMIF(tabLimpGeral[TIPO],"Produto",tabLimpGeral[VALOR UNITÁRIO P/ HORA (R$)])*220,
IF(ISNUMBER(SEARCH("Limpador de vidros - 220 h",tabParametros[[#This Row],[Função]],1)),
SUMIF(tabVidros[TIPO],"Produto",tabVidros[VALOR UNITÁRIO P/ POSTO (R$)]),
0))))))</f>
        <v>690.27153277931654</v>
      </c>
      <c r="BB73" s="281">
        <v>0</v>
      </c>
      <c r="BC73" s="236">
        <f>VLOOKUP(tabParametros[[#Headers],[Custos Indiretos]],tabOutrosCustos[],3,0)</f>
        <v>189.64880140242613</v>
      </c>
      <c r="BD73" s="236">
        <f>VLOOKUP(tabParametros[[#Headers],[Lucro]],tabOutrosCustos[],3,0)</f>
        <v>159.30499317803796</v>
      </c>
      <c r="BE73" s="235">
        <f>VLOOKUP(tabParametros[[#Headers],[COFINS]],tabImpostosNacionais[],2,0)</f>
        <v>7.5999999999999998E-2</v>
      </c>
      <c r="BF73" s="235">
        <f>VLOOKUP(tabParametros[[#Headers],[PIS]],tabImpostosNacionais[],2,0)</f>
        <v>1.6500000000000001E-2</v>
      </c>
      <c r="BG73" s="235">
        <f>VLOOKUP(tabParametros[[#This Row],[Comarca]],tabComarca[],4,0)</f>
        <v>0.05</v>
      </c>
      <c r="BH73" s="238">
        <f>IFERROR(VLOOKUP(tabParametros[[#This Row],[CCT DA CATEGORIA]],tabSindicatos[],11,0),"")</f>
        <v>45658</v>
      </c>
      <c r="BI73" s="289" t="str">
        <f>IFERROR(VLOOKUP(tabParametros[[#This Row],[CCT DA CATEGORIA]],tabSindicatos[],12,0),"")</f>
        <v>-</v>
      </c>
      <c r="BJ73" s="293" t="str">
        <f>IFERROR(VLOOKUP(tabParametros[[#This Row],[CCT DA CATEGORIA]],tabSindicatos[],13,0),"")</f>
        <v>-</v>
      </c>
    </row>
    <row r="74" spans="1:62" x14ac:dyDescent="0.25">
      <c r="A74" s="233" t="s">
        <v>1414</v>
      </c>
      <c r="B74" s="198" t="s">
        <v>72</v>
      </c>
      <c r="C74" s="198" t="s">
        <v>1247</v>
      </c>
      <c r="D74" s="198" t="str">
        <f>VLOOKUP(tabParametros[[#This Row],[Código do Posto]],tabPostos[],4,0)</f>
        <v>Alto Paranaiba</v>
      </c>
      <c r="E74" s="289" t="str">
        <f>VLOOKUP(tabParametros[[#This Row],[Código do Posto]],tabPostos[],5,0)</f>
        <v>Limpeza</v>
      </c>
      <c r="F74" s="289" t="str">
        <f>VLOOKUP(tabParametros[[#This Row],[Código do Posto]],tabPostos[],6,0)</f>
        <v>PGJ</v>
      </c>
      <c r="G74" s="289">
        <f>VLOOKUP(tabParametros[[#This Row],[Código do Posto]],tabPostos[],7,0)</f>
        <v>1</v>
      </c>
      <c r="H74" s="289">
        <f>VLOOKUP(tabParametros[[#This Row],[Código do Posto]],tabPostos[],8,0)</f>
        <v>0</v>
      </c>
      <c r="I74" s="234">
        <f>VLOOKUP(tabParametros[[#This Row],[Código do Posto]],tabPostos[],9,0)</f>
        <v>544.17999999999995</v>
      </c>
      <c r="J74" s="234">
        <f>IF(ISNUMBER(SEARCH("Eletricista",tabParametros[[#This Row],[Função]],1)),0.3*tabParametros[[#This Row],[Salário Base]],0)</f>
        <v>0</v>
      </c>
      <c r="K74" s="234">
        <f>IF(OR(ISNUMBER(SEARCH("Bombeiro Hidraulico",tabParametros[[#This Row],[Função]],1)),ISNUMBER(SEARCH("Jardineiro",tabParametros[[#This Row],[Função]],1)),ISNUMBER(SEARCH("Lavador de Veiculos",tabParametros[[#This Row],[Função]],1)),ISNUMBER(SEARCH("Marceneiro",tabParametros[[#This Row],[Função]],1)),ISNUMBER(SEARCH("Pintor",tabParametros[[#This Row],[Função]],1))),0.2*'BASE GERAL'!$R$4,0)</f>
        <v>0</v>
      </c>
      <c r="L74" s="234">
        <f>IF(AND(ISNUMBER(SEARCH("Noturno",tabParametros[[#This Row],[Função]],1)),tabParametros[[#This Row],[Comarca]]&lt;&gt;"Juiz de Fora"),tabParametros[[#This Row],[Salário Base]]/210*0.39*7*15.5,IF(ISNUMBER(SEARCH("Noturno",tabParametros[[#This Row],[Função]],1)),tabParametros[[#This Row],[Salário Base]]/210*0.2*8*15.5,0))</f>
        <v>0</v>
      </c>
      <c r="M74" s="234">
        <f>IF(ISNUMBER(SEARCH("Motorista II",tabParametros[[#This Row],[Função]],1)),0.25*tabParametros[[#This Row],[Salário Base]],0)</f>
        <v>0</v>
      </c>
      <c r="N74" s="250">
        <v>0</v>
      </c>
      <c r="O74" s="234">
        <f>IF(ISNUMBER(SEARCH("TECNOLOGIA DA INFORMACAO",tabParametros[[#This Row],[Função]],1)),0.0201*tabParametros[[#This Row],[Salário Base]],0)</f>
        <v>0</v>
      </c>
      <c r="P74" s="250" cm="1">
        <f t="array" ref="P74">_xlfn.IFS(
ISNUMBER(SEARCH("Auxiliar de Limpeza - 75 h",tabParametros[[#This Row],[Função]],1)),tabParametros[[#This Row],[Salário Base]]/75*0.75*30*0.12,
ISNUMBER(SEARCH("Auxiliar de Limpeza - 110 h",tabParametros[[#This Row],[Função]],1)),tabParametros[[#This Row],[Salário Base]]/110*1*30*0.12,
ISNUMBER(SEARCH("Auxiliar de Limpeza - 150 h",tabParametros[[#This Row],[Função]],1)),tabParametros[[#This Row],[Salário Base]]/150*1.5*30*0.12,
ISNUMBER(SEARCH("Auxiliar de Limpeza - 220 h",tabParametros[[#This Row],[Função]],1)),tabParametros[[#This Row],[Salário Base]]/220*2*30*0.12,
ISNUMBER(SEARCH("Auxiliar de Limpeza - 12 x 36",tabParametros[[#This Row],[Função]],1)),tabParametros[[#This Row],[Salário Base]]/220*2*30*0.12,
ISNUMBER(SEARCH("Auxiliar de Limpeza - 55 h",tabParametros[[#This Row],[Função]],1))=FALSE,0)</f>
        <v>19.590479999999999</v>
      </c>
      <c r="Q74" s="235">
        <f>VLOOKUP(tabParametros[[#Headers],[INSS]],tabImpostosNacionais[],2,0)</f>
        <v>0.2</v>
      </c>
      <c r="R74" s="235">
        <f>VLOOKUP(tabParametros[[#Headers],[SESI OU SESC]],tabImpostosNacionais[],2,0)</f>
        <v>1.4999999999999999E-2</v>
      </c>
      <c r="S74" s="235">
        <f>VLOOKUP(tabParametros[[#Headers],[SENAI OU SENAC]],tabImpostosNacionais[],2,0)</f>
        <v>0.01</v>
      </c>
      <c r="T74" s="235">
        <f>VLOOKUP(tabParametros[[#Headers],[INCRA]],tabImpostosNacionais[],2,0)</f>
        <v>2E-3</v>
      </c>
      <c r="U74" s="235">
        <f>VLOOKUP(tabParametros[[#Headers],[Salário Educação]],tabImpostosNacionais[],2,0)</f>
        <v>2.5000000000000001E-2</v>
      </c>
      <c r="V74" s="235">
        <f>VLOOKUP(tabParametros[[#Headers],[FGTS]],tabImpostosNacionais[],2,0)</f>
        <v>0.08</v>
      </c>
      <c r="W74" s="235">
        <f>VLOOKUP(tabParametros[[#Headers],[RAT Ajustado]],tabImpostosNacionais[],2,0)</f>
        <v>0.04</v>
      </c>
      <c r="X74" s="235">
        <f>VLOOKUP(tabParametros[[#Headers],[SEBRAE]],tabImpostosNacionais[],2,0)</f>
        <v>6.0000000000000001E-3</v>
      </c>
      <c r="Y74" s="235">
        <f t="shared" si="11"/>
        <v>8.3333333333333329E-2</v>
      </c>
      <c r="Z74" s="251">
        <f t="shared" si="12"/>
        <v>0.1111111111111111</v>
      </c>
      <c r="AA74" s="234">
        <f>VLOOKUP(tabParametros[[#This Row],[Comarca]],tabComarca[],5,0)</f>
        <v>6.4</v>
      </c>
      <c r="AB74" s="234">
        <f>IFERROR(VLOOKUP(tabParametros[[#This Row],[CCT DA CATEGORIA]],tabSindicatos[],6,0),0)</f>
        <v>0</v>
      </c>
      <c r="AC74" s="234">
        <f>IFERROR(VLOOKUP(tabParametros[[#This Row],[CCT DA CATEGORIA]],tabSindicatos[],7,0),0)</f>
        <v>387.79</v>
      </c>
      <c r="AD74" s="234" cm="1">
        <f t="array" ref="AD74">_xlfn.LET(
_xlpm.COMARCA, TRIM(UPPER(SUBSTITUTE(SUBSTITUTE(SUBSTITUTE(SUBSTITUTE(SUBSTITUTE(SUBSTITUTE(SUBSTITUTE(SUBSTITUTE(SUBSTITUTE(SUBSTITUTE(SUBSTITUTE(SUBSTITUTE(SUBSTITUTE(SUBSTITUTE(SUBSTITUTE(SUBSTITUTE(SUBSTITUTE(SUBSTITUTE(SUBSTITUTE(SUBSTITUTE(SUBSTITUTE(SUBSTITUTE(SUBSTITUTE(SUBSTITUTE(SUBSTITUTE(SUBSTITUTE(tabParametros[[#This Row],[Comarca]],"á","a"),"ã","a"),"â","a"),"é","e"),"ê","e"),"í","i"),"ó","o"),"õ","o"),"ô","o"),"ú","u"),"ç","c"),"Á","a"),"Ã","a"),"Â","a"),"É","e"),"Ê","e"),"Í","i"),"Ó","o"),"Õ","o"),"Ô","o"),"Ú","u"),"Ç","c"),"/MG","")," e ",", ")," ",""),".",""))),
_xlpm.MATRIZ_COMARCA, TRIM(UPPER(SUBSTITUTE(SUBSTITUTE(SUBSTITUTE(SUBSTITUTE(SUBSTITUTE(SUBSTITUTE(SUBSTITUTE(SUBSTITUTE(SUBSTITUTE(SUBSTITUTE(SUBSTITUTE(SUBSTITUTE(SUBSTITUTE(SUBSTITUTE(SUBSTITUTE(SUBSTITUTE(SUBSTITUTE(SUBSTITUTE(SUBSTITUTE(SUBSTITUTE(SUBSTITUTE(SUBSTITUTE(SUBSTITUTE(SUBSTITUTE(SUBSTITUTE(SUBSTITUTE(tabSindicatos[COMARCAS PAF],"á","a"),"ã","a"),"â","a"),"é","e"),"ê","e"),"í","i"),"ó","o"),"õ","o"),"ô","o"),"ú","u"),"ç","c"),"Á","a"),"Ã","a"),"Â","a"),"É","e"),"Ê","e"),"Í","i"),"Ó","o"),"Õ","o"),"Ô","o"),"Ú","u"),"Ç","c"),"/MG","")," e ",", ")," ",""),".",""))),
IFERROR(IF(_xlfn.XLOOKUP(tabParametros[[#This Row],[CCT DA CATEGORIA]],tabSindicatos[SINDICATOS],tabSindicatos[COMARCAS PAF])="",
VLOOKUP(tabParametros[[#This Row],[CCT DA CATEGORIA]],tabSindicatos[],8,0),
IF(ISNUMBER(SEARCH(TRIM(_xlpm.COMARCA),_xlfn.XLOOKUP(tabParametros[[#This Row],[CCT DA CATEGORIA]],tabSindicatos[SINDICATOS],_xlpm.MATRIZ_COMARCA),1)),VLOOKUP(tabParametros[[#This Row],[CCT DA CATEGORIA]],tabSindicatos[],8,0),0)
),0)
)</f>
        <v>42.97</v>
      </c>
      <c r="AE74" s="234">
        <f>IFERROR(VLOOKUP(tabParametros[[#This Row],[CCT DA CATEGORIA]],tabSindicatos[],9,0),0)</f>
        <v>0</v>
      </c>
      <c r="AF74" s="234">
        <f>IFERROR(VLOOKUP(tabParametros[[#This Row],[CCT DA CATEGORIA]],tabSindicatos[],10,0),0)</f>
        <v>0</v>
      </c>
      <c r="AG74" s="236">
        <f>VLOOKUP(tabParametros[[#Headers],[Seguro de Vida]],tabOutrosCustos[],3,0)</f>
        <v>3.36</v>
      </c>
      <c r="AH74" s="236">
        <f>IF(ISNUMBER(SEARCH("MOTORISTA",tabParametros[[#This Row],[Função]],1)),VLOOKUP("MOTORISTAS",tabDiarias[],2,0),IF(tabParametros[[#This Row],[Comarca]]="Belo Horizonte",VLOOKUP("LIMPEZA",tabDiarias[],2,0),0))</f>
        <v>0</v>
      </c>
      <c r="AI74" s="235">
        <f t="shared" si="13"/>
        <v>7.011766975308642E-3</v>
      </c>
      <c r="AJ74" s="237">
        <f>tabParametros[[#This Row],[FGTS]]*tabParametros[[#This Row],[Aviso Prévio Indenizado (API) e Reflexo do Aviso Prévio Indenizado]]</f>
        <v>5.609413580246914E-4</v>
      </c>
      <c r="AK74" s="237">
        <f>tabParametros[[#This Row],[FGTS]]*tabParametros[[#This Row],[Aviso Prévio Indenizado (API) e Reflexo do Aviso Prévio Indenizado]]*40%</f>
        <v>2.2437654320987658E-4</v>
      </c>
      <c r="AL74" s="235">
        <f t="shared" si="14"/>
        <v>3.5000000000000005E-3</v>
      </c>
      <c r="AM74" s="235">
        <f>tabParametros[[#This Row],[Aviso Prévio Trabalhado - APT]]*SUM(tabParametros[[#This Row],[INSS]:[SEBRAE]])</f>
        <v>1.3230000000000004E-3</v>
      </c>
      <c r="AN74" s="235">
        <f t="shared" si="15"/>
        <v>3.0577777777777773E-2</v>
      </c>
      <c r="AO74" s="235">
        <f t="shared" si="16"/>
        <v>8.3333333333333339E-4</v>
      </c>
      <c r="AP74" s="235">
        <f t="shared" si="17"/>
        <v>8.4444444444444437E-3</v>
      </c>
      <c r="AQ74" s="235">
        <f t="shared" si="18"/>
        <v>2.0277777777777777E-3</v>
      </c>
      <c r="AR74" s="235">
        <f t="shared" si="19"/>
        <v>1.7083333333333333E-4</v>
      </c>
      <c r="AS74" s="235">
        <f t="shared" si="20"/>
        <v>2.0833333333333335E-4</v>
      </c>
      <c r="AT74" s="235">
        <f t="shared" si="21"/>
        <v>1.2962962962962963E-3</v>
      </c>
      <c r="AU74" s="237">
        <f>SUM(tabParametros[[#This Row],[Ausência por Doença]:[Férias, Adicional de Férias e 13º  com empregada em gozo de Licença Maternidade]])*SUM(tabParametros[[#This Row],[INSS]:[SEBRAE]])</f>
        <v>4.5918250000000008E-3</v>
      </c>
      <c r="AV74" s="234">
        <f>IF(tabParametros[[#This Row],[Função]]="Porteiro - 220 h",SUM(tabParametros[[#This Row],[Salário Base]:[Adicional de Acúmulo de função]])/220*20*1.5,IF(ISNUMBER(SEARCH("12 x 36",tabParametros[[#This Row],[Função]],1)),SUM(tabParametros[[#This Row],[Salário Base]:[Adicional de Acúmulo de função]])/210*15.5*1.5,0))</f>
        <v>0</v>
      </c>
      <c r="AW74" s="234">
        <f>IF(tabParametros[[#This Row],[Vagas contratadas]]&gt;0,(SUM(tabParametros[[#This Row],[Salário Base]:[Adicional de Acúmulo de função]])*30%+SUM(tabParametros[[#This Row],[Vale - Alimentação]:[Seguro de Vida]]))/tabParametros[[#This Row],[Vagas contratadas]]*tabParametros[[#This Row],[Vagas suspensas]],0)</f>
        <v>0</v>
      </c>
      <c r="AX74" s="234">
        <f>SUMIF(tabUniformes[Cargo],tabParametros[[#This Row],[Função]],tabUniformes[Valor unit. Mensal])</f>
        <v>62.806666666666665</v>
      </c>
      <c r="AY74" s="281">
        <f>IF(ISNUMBER(SEARCH("AUXILIAR DE LIMPEZA - 75 H",tabParametros[[#This Row],[Função]],1)),
SUMIF(tabLimpGeral[TIPO],"Material",tabLimpGeral[VALOR UNITÁRIO P/ HORA (R$)])*75,
IF(ISNUMBER(SEARCH("AUXILIAR DE LIMPEZA - 110 H",tabParametros[[#This Row],[Função]],1)),
SUMIF(tabLimpGeral[TIPO],"Material",tabLimpGeral[VALOR UNITÁRIO P/ HORA (R$)])*110,
IF(ISNUMBER(SEARCH("AUXILIAR DE LIMPEZA - 150 H",tabParametros[[#This Row],[Função]],1)),
SUMIF(tabLimpGeral[TIPO],"Material",tabLimpGeral[VALOR UNITÁRIO P/ HORA (R$)])*150,
IF(ISNUMBER(SEARCH("AUXILIAR DE LIMPEZA - 220 H",tabParametros[[#This Row],[Função]],1)),
SUMIF(tabLimpGeral[TIPO],"Material",tabLimpGeral[VALOR UNITÁRIO P/ HORA (R$)])*220,
IF(ISNUMBER(SEARCH("AUXILIAR DE LIMPEZA - 12 x 36",tabParametros[[#This Row],[Função]],1)),
SUMIF(tabLimpGeral[TIPO],"Material",tabLimpGeral[VALOR UNITÁRIO P/ HORA (R$)])*220,
IF(ISNUMBER(SEARCH("Limpador de vidros - 220 h",tabParametros[[#This Row],[Função]],1)),
SUMIF(tabVidros[TIPO],"Material",tabVidros[VALOR UNITÁRIO P/ POSTO (R$)]),
0))))))</f>
        <v>12.108481690426325</v>
      </c>
      <c r="AZ74" s="281">
        <f>IF(ISNUMBER(SEARCH("AUXILIAR DE LIMPEZA - 75 H",tabParametros[[#This Row],[Função]],1)),
SUMIF(tabLimpGeral[TIPO],"Equipamento",tabLimpGeral[VALOR UNITÁRIO P/ HORA (R$)])*75,
IF(ISNUMBER(SEARCH("AUXILIAR DE LIMPEZA - 110 H",tabParametros[[#This Row],[Função]],1)),
SUMIF(tabLimpGeral[TIPO],"Equipamento",tabLimpGeral[VALOR UNITÁRIO P/ HORA (R$)])*110,
IF(ISNUMBER(SEARCH("AUXILIAR DE LIMPEZA - 150 H",tabParametros[[#This Row],[Função]],1)),
SUMIF(tabLimpGeral[TIPO],"Equipamento",tabLimpGeral[VALOR UNITÁRIO P/ HORA (R$)])*150,
IF(ISNUMBER(SEARCH("AUXILIAR DE LIMPEZA - 220 H",tabParametros[[#This Row],[Função]],1)),
SUMIF(tabLimpGeral[TIPO],"Equipamento",tabLimpGeral[VALOR UNITÁRIO P/ HORA (R$)])*220,
IF(ISNUMBER(SEARCH("AUXILIAR DE LIMPEZA - 12 x 36",tabParametros[[#This Row],[Função]],1)),
SUMIF(tabLimpGeral[TIPO],"Equipamento",tabLimpGeral[VALOR UNITÁRIO P/ HORA (R$)])*220,
IF(ISNUMBER(SEARCH("Limpador de vidros - 220 h",tabParametros[[#This Row],[Função]],1)),
SUMIF(tabVidros[TIPO],"Equipamento",tabVidros[VALOR UNITÁRIO P/ POSTO (R$)]),
0))))))</f>
        <v>21.998657016417809</v>
      </c>
      <c r="BA74" s="281">
        <f>IF(ISNUMBER(SEARCH("AUXILIAR DE LIMPEZA - 75 H",tabParametros[[#This Row],[Função]],1)),
SUMIF(tabLimpGeral[TIPO],"Produto",tabLimpGeral[VALOR UNITÁRIO P/ HORA (R$)])*75,
IF(ISNUMBER(SEARCH("AUXILIAR DE LIMPEZA - 110 H",tabParametros[[#This Row],[Função]],1)),
SUMIF(tabLimpGeral[TIPO],"Produto",tabLimpGeral[VALOR UNITÁRIO P/ HORA (R$)])*110,
IF(ISNUMBER(SEARCH("AUXILIAR DE LIMPEZA - 150 H",tabParametros[[#This Row],[Função]],1)),
SUMIF(tabLimpGeral[TIPO],"Produto",tabLimpGeral[VALOR UNITÁRIO P/ HORA (R$)])*150,
IF(ISNUMBER(SEARCH("AUXILIAR DE LIMPEZA - 220 H",tabParametros[[#This Row],[Função]],1)),
SUMIF(tabLimpGeral[TIPO],"Produto",tabLimpGeral[VALOR UNITÁRIO P/ HORA (R$)])*220,
IF(ISNUMBER(SEARCH("AUXILIAR DE LIMPEZA - 12 x 36",tabParametros[[#This Row],[Função]],1)),
SUMIF(tabLimpGeral[TIPO],"Produto",tabLimpGeral[VALOR UNITÁRIO P/ HORA (R$)])*220,
IF(ISNUMBER(SEARCH("Limpador de vidros - 220 h",tabParametros[[#This Row],[Função]],1)),
SUMIF(tabVidros[TIPO],"Produto",tabVidros[VALOR UNITÁRIO P/ POSTO (R$)]),
0))))))</f>
        <v>235.31984072022155</v>
      </c>
      <c r="BB74" s="281">
        <v>0</v>
      </c>
      <c r="BC74" s="236">
        <f>VLOOKUP(tabParametros[[#Headers],[Custos Indiretos]],tabOutrosCustos[],3,0)</f>
        <v>189.64880140242613</v>
      </c>
      <c r="BD74" s="236">
        <f>VLOOKUP(tabParametros[[#Headers],[Lucro]],tabOutrosCustos[],3,0)</f>
        <v>159.30499317803796</v>
      </c>
      <c r="BE74" s="235">
        <f>VLOOKUP(tabParametros[[#Headers],[COFINS]],tabImpostosNacionais[],2,0)</f>
        <v>7.5999999999999998E-2</v>
      </c>
      <c r="BF74" s="235">
        <f>VLOOKUP(tabParametros[[#Headers],[PIS]],tabImpostosNacionais[],2,0)</f>
        <v>1.6500000000000001E-2</v>
      </c>
      <c r="BG74" s="235">
        <f>VLOOKUP(tabParametros[[#This Row],[Comarca]],tabComarca[],4,0)</f>
        <v>0.05</v>
      </c>
      <c r="BH74" s="238">
        <f>IFERROR(VLOOKUP(tabParametros[[#This Row],[CCT DA CATEGORIA]],tabSindicatos[],11,0),"")</f>
        <v>45658</v>
      </c>
      <c r="BI74" s="289" t="str">
        <f>IFERROR(VLOOKUP(tabParametros[[#This Row],[CCT DA CATEGORIA]],tabSindicatos[],12,0),"")</f>
        <v>-</v>
      </c>
      <c r="BJ74" s="293" t="str">
        <f>IFERROR(VLOOKUP(tabParametros[[#This Row],[CCT DA CATEGORIA]],tabSindicatos[],13,0),"")</f>
        <v>-</v>
      </c>
    </row>
    <row r="75" spans="1:62" x14ac:dyDescent="0.25">
      <c r="A75" s="233" t="s">
        <v>1415</v>
      </c>
      <c r="B75" s="198" t="s">
        <v>73</v>
      </c>
      <c r="C75" s="198" t="s">
        <v>1244</v>
      </c>
      <c r="D75" s="198" t="str">
        <f>VLOOKUP(tabParametros[[#This Row],[Código do Posto]],tabPostos[],4,0)</f>
        <v>Regiao de Ouro Preto</v>
      </c>
      <c r="E75" s="289" t="str">
        <f>VLOOKUP(tabParametros[[#This Row],[Código do Posto]],tabPostos[],5,0)</f>
        <v>Limpeza</v>
      </c>
      <c r="F75" s="289" t="str">
        <f>VLOOKUP(tabParametros[[#This Row],[Código do Posto]],tabPostos[],6,0)</f>
        <v>PGJ</v>
      </c>
      <c r="G75" s="289">
        <f>VLOOKUP(tabParametros[[#This Row],[Código do Posto]],tabPostos[],7,0)</f>
        <v>1</v>
      </c>
      <c r="H75" s="289">
        <f>VLOOKUP(tabParametros[[#This Row],[Código do Posto]],tabPostos[],8,0)</f>
        <v>0</v>
      </c>
      <c r="I75" s="234">
        <f>VLOOKUP(tabParametros[[#This Row],[Código do Posto]],tabPostos[],9,0)</f>
        <v>798.14</v>
      </c>
      <c r="J75" s="234">
        <f>IF(ISNUMBER(SEARCH("Eletricista",tabParametros[[#This Row],[Função]],1)),0.3*tabParametros[[#This Row],[Salário Base]],0)</f>
        <v>0</v>
      </c>
      <c r="K75" s="234">
        <f>IF(OR(ISNUMBER(SEARCH("Bombeiro Hidraulico",tabParametros[[#This Row],[Função]],1)),ISNUMBER(SEARCH("Jardineiro",tabParametros[[#This Row],[Função]],1)),ISNUMBER(SEARCH("Lavador de Veiculos",tabParametros[[#This Row],[Função]],1)),ISNUMBER(SEARCH("Marceneiro",tabParametros[[#This Row],[Função]],1)),ISNUMBER(SEARCH("Pintor",tabParametros[[#This Row],[Função]],1))),0.2*'BASE GERAL'!$R$4,0)</f>
        <v>0</v>
      </c>
      <c r="L75" s="234">
        <f>IF(AND(ISNUMBER(SEARCH("Noturno",tabParametros[[#This Row],[Função]],1)),tabParametros[[#This Row],[Comarca]]&lt;&gt;"Juiz de Fora"),tabParametros[[#This Row],[Salário Base]]/210*0.39*7*15.5,IF(ISNUMBER(SEARCH("Noturno",tabParametros[[#This Row],[Função]],1)),tabParametros[[#This Row],[Salário Base]]/210*0.2*8*15.5,0))</f>
        <v>0</v>
      </c>
      <c r="M75" s="234">
        <f>IF(ISNUMBER(SEARCH("Motorista II",tabParametros[[#This Row],[Função]],1)),0.25*tabParametros[[#This Row],[Salário Base]],0)</f>
        <v>0</v>
      </c>
      <c r="N75" s="250">
        <v>0</v>
      </c>
      <c r="O75" s="234">
        <f>IF(ISNUMBER(SEARCH("TECNOLOGIA DA INFORMACAO",tabParametros[[#This Row],[Função]],1)),0.0201*tabParametros[[#This Row],[Salário Base]],0)</f>
        <v>0</v>
      </c>
      <c r="P75" s="250" cm="1">
        <f t="array" ref="P75">_xlfn.IFS(
ISNUMBER(SEARCH("Auxiliar de Limpeza - 75 h",tabParametros[[#This Row],[Função]],1)),tabParametros[[#This Row],[Salário Base]]/75*0.75*30*0.12,
ISNUMBER(SEARCH("Auxiliar de Limpeza - 110 h",tabParametros[[#This Row],[Função]],1)),tabParametros[[#This Row],[Salário Base]]/110*1*30*0.12,
ISNUMBER(SEARCH("Auxiliar de Limpeza - 150 h",tabParametros[[#This Row],[Função]],1)),tabParametros[[#This Row],[Salário Base]]/150*1.5*30*0.12,
ISNUMBER(SEARCH("Auxiliar de Limpeza - 220 h",tabParametros[[#This Row],[Função]],1)),tabParametros[[#This Row],[Salário Base]]/220*2*30*0.12,
ISNUMBER(SEARCH("Auxiliar de Limpeza - 12 x 36",tabParametros[[#This Row],[Função]],1)),tabParametros[[#This Row],[Salário Base]]/220*2*30*0.12,
ISNUMBER(SEARCH("Auxiliar de Limpeza - 55 h",tabParametros[[#This Row],[Função]],1))=FALSE,0)</f>
        <v>26.120945454545453</v>
      </c>
      <c r="Q75" s="235">
        <f>VLOOKUP(tabParametros[[#Headers],[INSS]],tabImpostosNacionais[],2,0)</f>
        <v>0.2</v>
      </c>
      <c r="R75" s="235">
        <f>VLOOKUP(tabParametros[[#Headers],[SESI OU SESC]],tabImpostosNacionais[],2,0)</f>
        <v>1.4999999999999999E-2</v>
      </c>
      <c r="S75" s="235">
        <f>VLOOKUP(tabParametros[[#Headers],[SENAI OU SENAC]],tabImpostosNacionais[],2,0)</f>
        <v>0.01</v>
      </c>
      <c r="T75" s="235">
        <f>VLOOKUP(tabParametros[[#Headers],[INCRA]],tabImpostosNacionais[],2,0)</f>
        <v>2E-3</v>
      </c>
      <c r="U75" s="235">
        <f>VLOOKUP(tabParametros[[#Headers],[Salário Educação]],tabImpostosNacionais[],2,0)</f>
        <v>2.5000000000000001E-2</v>
      </c>
      <c r="V75" s="235">
        <f>VLOOKUP(tabParametros[[#Headers],[FGTS]],tabImpostosNacionais[],2,0)</f>
        <v>0.08</v>
      </c>
      <c r="W75" s="235">
        <f>VLOOKUP(tabParametros[[#Headers],[RAT Ajustado]],tabImpostosNacionais[],2,0)</f>
        <v>0.04</v>
      </c>
      <c r="X75" s="235">
        <f>VLOOKUP(tabParametros[[#Headers],[SEBRAE]],tabImpostosNacionais[],2,0)</f>
        <v>6.0000000000000001E-3</v>
      </c>
      <c r="Y75" s="235">
        <f t="shared" si="11"/>
        <v>8.3333333333333329E-2</v>
      </c>
      <c r="Z75" s="251">
        <f t="shared" si="12"/>
        <v>0.1111111111111111</v>
      </c>
      <c r="AA75" s="234">
        <f>VLOOKUP(tabParametros[[#This Row],[Comarca]],tabComarca[],5,0)</f>
        <v>6.4</v>
      </c>
      <c r="AB75" s="234">
        <f>IFERROR(VLOOKUP(tabParametros[[#This Row],[CCT DA CATEGORIA]],tabSindicatos[],6,0),0)</f>
        <v>29.15</v>
      </c>
      <c r="AC75" s="234">
        <f>IFERROR(VLOOKUP(tabParametros[[#This Row],[CCT DA CATEGORIA]],tabSindicatos[],7,0),0)</f>
        <v>0</v>
      </c>
      <c r="AD75" s="234" cm="1">
        <f t="array" ref="AD75">_xlfn.LET(
_xlpm.COMARCA, TRIM(UPPER(SUBSTITUTE(SUBSTITUTE(SUBSTITUTE(SUBSTITUTE(SUBSTITUTE(SUBSTITUTE(SUBSTITUTE(SUBSTITUTE(SUBSTITUTE(SUBSTITUTE(SUBSTITUTE(SUBSTITUTE(SUBSTITUTE(SUBSTITUTE(SUBSTITUTE(SUBSTITUTE(SUBSTITUTE(SUBSTITUTE(SUBSTITUTE(SUBSTITUTE(SUBSTITUTE(SUBSTITUTE(SUBSTITUTE(SUBSTITUTE(SUBSTITUTE(SUBSTITUTE(tabParametros[[#This Row],[Comarca]],"á","a"),"ã","a"),"â","a"),"é","e"),"ê","e"),"í","i"),"ó","o"),"õ","o"),"ô","o"),"ú","u"),"ç","c"),"Á","a"),"Ã","a"),"Â","a"),"É","e"),"Ê","e"),"Í","i"),"Ó","o"),"Õ","o"),"Ô","o"),"Ú","u"),"Ç","c"),"/MG","")," e ",", ")," ",""),".",""))),
_xlpm.MATRIZ_COMARCA, TRIM(UPPER(SUBSTITUTE(SUBSTITUTE(SUBSTITUTE(SUBSTITUTE(SUBSTITUTE(SUBSTITUTE(SUBSTITUTE(SUBSTITUTE(SUBSTITUTE(SUBSTITUTE(SUBSTITUTE(SUBSTITUTE(SUBSTITUTE(SUBSTITUTE(SUBSTITUTE(SUBSTITUTE(SUBSTITUTE(SUBSTITUTE(SUBSTITUTE(SUBSTITUTE(SUBSTITUTE(SUBSTITUTE(SUBSTITUTE(SUBSTITUTE(SUBSTITUTE(SUBSTITUTE(tabSindicatos[COMARCAS PAF],"á","a"),"ã","a"),"â","a"),"é","e"),"ê","e"),"í","i"),"ó","o"),"õ","o"),"ô","o"),"ú","u"),"ç","c"),"Á","a"),"Ã","a"),"Â","a"),"É","e"),"Ê","e"),"Í","i"),"Ó","o"),"Õ","o"),"Ô","o"),"Ú","u"),"Ç","c"),"/MG","")," e ",", ")," ",""),".",""))),
IFERROR(IF(_xlfn.XLOOKUP(tabParametros[[#This Row],[CCT DA CATEGORIA]],tabSindicatos[SINDICATOS],tabSindicatos[COMARCAS PAF])="",
VLOOKUP(tabParametros[[#This Row],[CCT DA CATEGORIA]],tabSindicatos[],8,0),
IF(ISNUMBER(SEARCH(TRIM(_xlpm.COMARCA),_xlfn.XLOOKUP(tabParametros[[#This Row],[CCT DA CATEGORIA]],tabSindicatos[SINDICATOS],_xlpm.MATRIZ_COMARCA),1)),VLOOKUP(tabParametros[[#This Row],[CCT DA CATEGORIA]],tabSindicatos[],8,0),0)
),0)
)</f>
        <v>0</v>
      </c>
      <c r="AE75" s="234">
        <f>IFERROR(VLOOKUP(tabParametros[[#This Row],[CCT DA CATEGORIA]],tabSindicatos[],9,0),0)</f>
        <v>0</v>
      </c>
      <c r="AF75" s="234">
        <f>IFERROR(VLOOKUP(tabParametros[[#This Row],[CCT DA CATEGORIA]],tabSindicatos[],10,0),0)</f>
        <v>0</v>
      </c>
      <c r="AG75" s="236">
        <f>VLOOKUP(tabParametros[[#Headers],[Seguro de Vida]],tabOutrosCustos[],3,0)</f>
        <v>3.36</v>
      </c>
      <c r="AH75" s="236">
        <f>IF(ISNUMBER(SEARCH("MOTORISTA",tabParametros[[#This Row],[Função]],1)),VLOOKUP("MOTORISTAS",tabDiarias[],2,0),IF(tabParametros[[#This Row],[Comarca]]="Belo Horizonte",VLOOKUP("LIMPEZA",tabDiarias[],2,0),0))</f>
        <v>0</v>
      </c>
      <c r="AI75" s="235">
        <f t="shared" si="13"/>
        <v>7.011766975308642E-3</v>
      </c>
      <c r="AJ75" s="237">
        <f>tabParametros[[#This Row],[FGTS]]*tabParametros[[#This Row],[Aviso Prévio Indenizado (API) e Reflexo do Aviso Prévio Indenizado]]</f>
        <v>5.609413580246914E-4</v>
      </c>
      <c r="AK75" s="237">
        <f>tabParametros[[#This Row],[FGTS]]*tabParametros[[#This Row],[Aviso Prévio Indenizado (API) e Reflexo do Aviso Prévio Indenizado]]*40%</f>
        <v>2.2437654320987658E-4</v>
      </c>
      <c r="AL75" s="235">
        <f t="shared" si="14"/>
        <v>3.5000000000000005E-3</v>
      </c>
      <c r="AM75" s="235">
        <f>tabParametros[[#This Row],[Aviso Prévio Trabalhado - APT]]*SUM(tabParametros[[#This Row],[INSS]:[SEBRAE]])</f>
        <v>1.3230000000000004E-3</v>
      </c>
      <c r="AN75" s="235">
        <f t="shared" si="15"/>
        <v>3.0577777777777773E-2</v>
      </c>
      <c r="AO75" s="235">
        <f t="shared" si="16"/>
        <v>8.3333333333333339E-4</v>
      </c>
      <c r="AP75" s="235">
        <f t="shared" si="17"/>
        <v>8.4444444444444437E-3</v>
      </c>
      <c r="AQ75" s="235">
        <f t="shared" si="18"/>
        <v>2.0277777777777777E-3</v>
      </c>
      <c r="AR75" s="235">
        <f t="shared" si="19"/>
        <v>1.7083333333333333E-4</v>
      </c>
      <c r="AS75" s="235">
        <f t="shared" si="20"/>
        <v>2.0833333333333335E-4</v>
      </c>
      <c r="AT75" s="235">
        <f t="shared" si="21"/>
        <v>1.2962962962962963E-3</v>
      </c>
      <c r="AU75" s="237">
        <f>SUM(tabParametros[[#This Row],[Ausência por Doença]:[Férias, Adicional de Férias e 13º  com empregada em gozo de Licença Maternidade]])*SUM(tabParametros[[#This Row],[INSS]:[SEBRAE]])</f>
        <v>4.5918250000000008E-3</v>
      </c>
      <c r="AV75" s="234">
        <f>IF(tabParametros[[#This Row],[Função]]="Porteiro - 220 h",SUM(tabParametros[[#This Row],[Salário Base]:[Adicional de Acúmulo de função]])/220*20*1.5,IF(ISNUMBER(SEARCH("12 x 36",tabParametros[[#This Row],[Função]],1)),SUM(tabParametros[[#This Row],[Salário Base]:[Adicional de Acúmulo de função]])/210*15.5*1.5,0))</f>
        <v>0</v>
      </c>
      <c r="AW75" s="234">
        <f>IF(tabParametros[[#This Row],[Vagas contratadas]]&gt;0,(SUM(tabParametros[[#This Row],[Salário Base]:[Adicional de Acúmulo de função]])*30%+SUM(tabParametros[[#This Row],[Vale - Alimentação]:[Seguro de Vida]]))/tabParametros[[#This Row],[Vagas contratadas]]*tabParametros[[#This Row],[Vagas suspensas]],0)</f>
        <v>0</v>
      </c>
      <c r="AX75" s="234">
        <f>SUMIF(tabUniformes[Cargo],tabParametros[[#This Row],[Função]],tabUniformes[Valor unit. Mensal])</f>
        <v>62.806666666666665</v>
      </c>
      <c r="AY75" s="281">
        <f>IF(ISNUMBER(SEARCH("AUXILIAR DE LIMPEZA - 75 H",tabParametros[[#This Row],[Função]],1)),
SUMIF(tabLimpGeral[TIPO],"Material",tabLimpGeral[VALOR UNITÁRIO P/ HORA (R$)])*75,
IF(ISNUMBER(SEARCH("AUXILIAR DE LIMPEZA - 110 H",tabParametros[[#This Row],[Função]],1)),
SUMIF(tabLimpGeral[TIPO],"Material",tabLimpGeral[VALOR UNITÁRIO P/ HORA (R$)])*110,
IF(ISNUMBER(SEARCH("AUXILIAR DE LIMPEZA - 150 H",tabParametros[[#This Row],[Função]],1)),
SUMIF(tabLimpGeral[TIPO],"Material",tabLimpGeral[VALOR UNITÁRIO P/ HORA (R$)])*150,
IF(ISNUMBER(SEARCH("AUXILIAR DE LIMPEZA - 220 H",tabParametros[[#This Row],[Função]],1)),
SUMIF(tabLimpGeral[TIPO],"Material",tabLimpGeral[VALOR UNITÁRIO P/ HORA (R$)])*220,
IF(ISNUMBER(SEARCH("AUXILIAR DE LIMPEZA - 12 x 36",tabParametros[[#This Row],[Função]],1)),
SUMIF(tabLimpGeral[TIPO],"Material",tabLimpGeral[VALOR UNITÁRIO P/ HORA (R$)])*220,
IF(ISNUMBER(SEARCH("Limpador de vidros - 220 h",tabParametros[[#This Row],[Função]],1)),
SUMIF(tabVidros[TIPO],"Material",tabVidros[VALOR UNITÁRIO P/ POSTO (R$)]),
0))))))</f>
        <v>17.759106479291944</v>
      </c>
      <c r="AZ75" s="281">
        <f>IF(ISNUMBER(SEARCH("AUXILIAR DE LIMPEZA - 75 H",tabParametros[[#This Row],[Função]],1)),
SUMIF(tabLimpGeral[TIPO],"Equipamento",tabLimpGeral[VALOR UNITÁRIO P/ HORA (R$)])*75,
IF(ISNUMBER(SEARCH("AUXILIAR DE LIMPEZA - 110 H",tabParametros[[#This Row],[Função]],1)),
SUMIF(tabLimpGeral[TIPO],"Equipamento",tabLimpGeral[VALOR UNITÁRIO P/ HORA (R$)])*110,
IF(ISNUMBER(SEARCH("AUXILIAR DE LIMPEZA - 150 H",tabParametros[[#This Row],[Função]],1)),
SUMIF(tabLimpGeral[TIPO],"Equipamento",tabLimpGeral[VALOR UNITÁRIO P/ HORA (R$)])*150,
IF(ISNUMBER(SEARCH("AUXILIAR DE LIMPEZA - 220 H",tabParametros[[#This Row],[Função]],1)),
SUMIF(tabLimpGeral[TIPO],"Equipamento",tabLimpGeral[VALOR UNITÁRIO P/ HORA (R$)])*220,
IF(ISNUMBER(SEARCH("AUXILIAR DE LIMPEZA - 12 x 36",tabParametros[[#This Row],[Função]],1)),
SUMIF(tabLimpGeral[TIPO],"Equipamento",tabLimpGeral[VALOR UNITÁRIO P/ HORA (R$)])*220,
IF(ISNUMBER(SEARCH("Limpador de vidros - 220 h",tabParametros[[#This Row],[Função]],1)),
SUMIF(tabVidros[TIPO],"Equipamento",tabVidros[VALOR UNITÁRIO P/ POSTO (R$)]),
0))))))</f>
        <v>32.264696957412788</v>
      </c>
      <c r="BA75" s="281">
        <f>IF(ISNUMBER(SEARCH("AUXILIAR DE LIMPEZA - 75 H",tabParametros[[#This Row],[Função]],1)),
SUMIF(tabLimpGeral[TIPO],"Produto",tabLimpGeral[VALOR UNITÁRIO P/ HORA (R$)])*75,
IF(ISNUMBER(SEARCH("AUXILIAR DE LIMPEZA - 110 H",tabParametros[[#This Row],[Função]],1)),
SUMIF(tabLimpGeral[TIPO],"Produto",tabLimpGeral[VALOR UNITÁRIO P/ HORA (R$)])*110,
IF(ISNUMBER(SEARCH("AUXILIAR DE LIMPEZA - 150 H",tabParametros[[#This Row],[Função]],1)),
SUMIF(tabLimpGeral[TIPO],"Produto",tabLimpGeral[VALOR UNITÁRIO P/ HORA (R$)])*150,
IF(ISNUMBER(SEARCH("AUXILIAR DE LIMPEZA - 220 H",tabParametros[[#This Row],[Função]],1)),
SUMIF(tabLimpGeral[TIPO],"Produto",tabLimpGeral[VALOR UNITÁRIO P/ HORA (R$)])*220,
IF(ISNUMBER(SEARCH("AUXILIAR DE LIMPEZA - 12 x 36",tabParametros[[#This Row],[Função]],1)),
SUMIF(tabLimpGeral[TIPO],"Produto",tabLimpGeral[VALOR UNITÁRIO P/ HORA (R$)])*220,
IF(ISNUMBER(SEARCH("Limpador de vidros - 220 h",tabParametros[[#This Row],[Função]],1)),
SUMIF(tabVidros[TIPO],"Produto",tabVidros[VALOR UNITÁRIO P/ POSTO (R$)]),
0))))))</f>
        <v>345.13576638965827</v>
      </c>
      <c r="BB75" s="281">
        <v>0</v>
      </c>
      <c r="BC75" s="236">
        <f>VLOOKUP(tabParametros[[#Headers],[Custos Indiretos]],tabOutrosCustos[],3,0)</f>
        <v>189.64880140242613</v>
      </c>
      <c r="BD75" s="236">
        <f>VLOOKUP(tabParametros[[#Headers],[Lucro]],tabOutrosCustos[],3,0)</f>
        <v>159.30499317803796</v>
      </c>
      <c r="BE75" s="235">
        <f>VLOOKUP(tabParametros[[#Headers],[COFINS]],tabImpostosNacionais[],2,0)</f>
        <v>7.5999999999999998E-2</v>
      </c>
      <c r="BF75" s="235">
        <f>VLOOKUP(tabParametros[[#Headers],[PIS]],tabImpostosNacionais[],2,0)</f>
        <v>1.6500000000000001E-2</v>
      </c>
      <c r="BG75" s="235">
        <f>VLOOKUP(tabParametros[[#This Row],[Comarca]],tabComarca[],4,0)</f>
        <v>0.03</v>
      </c>
      <c r="BH75" s="238">
        <f>IFERROR(VLOOKUP(tabParametros[[#This Row],[CCT DA CATEGORIA]],tabSindicatos[],11,0),"")</f>
        <v>45658</v>
      </c>
      <c r="BI75" s="289" t="str">
        <f>IFERROR(VLOOKUP(tabParametros[[#This Row],[CCT DA CATEGORIA]],tabSindicatos[],12,0),"")</f>
        <v>-</v>
      </c>
      <c r="BJ75" s="293" t="str">
        <f>IFERROR(VLOOKUP(tabParametros[[#This Row],[CCT DA CATEGORIA]],tabSindicatos[],13,0),"")</f>
        <v>-</v>
      </c>
    </row>
    <row r="76" spans="1:62" x14ac:dyDescent="0.25">
      <c r="A76" s="233" t="s">
        <v>1416</v>
      </c>
      <c r="B76" s="198" t="s">
        <v>73</v>
      </c>
      <c r="C76" s="198" t="s">
        <v>1245</v>
      </c>
      <c r="D76" s="198" t="str">
        <f>VLOOKUP(tabParametros[[#This Row],[Código do Posto]],tabPostos[],4,0)</f>
        <v>Regiao de Ouro Preto</v>
      </c>
      <c r="E76" s="289" t="str">
        <f>VLOOKUP(tabParametros[[#This Row],[Código do Posto]],tabPostos[],5,0)</f>
        <v>Limpeza</v>
      </c>
      <c r="F76" s="289" t="str">
        <f>VLOOKUP(tabParametros[[#This Row],[Código do Posto]],tabPostos[],6,0)</f>
        <v>PGJ</v>
      </c>
      <c r="G76" s="289">
        <f>VLOOKUP(tabParametros[[#This Row],[Código do Posto]],tabPostos[],7,0)</f>
        <v>1</v>
      </c>
      <c r="H76" s="289">
        <f>VLOOKUP(tabParametros[[#This Row],[Código do Posto]],tabPostos[],8,0)</f>
        <v>0</v>
      </c>
      <c r="I76" s="234">
        <f>VLOOKUP(tabParametros[[#This Row],[Código do Posto]],tabPostos[],9,0)</f>
        <v>1596.28</v>
      </c>
      <c r="J76" s="234">
        <f>IF(ISNUMBER(SEARCH("Eletricista",tabParametros[[#This Row],[Função]],1)),0.3*tabParametros[[#This Row],[Salário Base]],0)</f>
        <v>0</v>
      </c>
      <c r="K76" s="234">
        <f>IF(OR(ISNUMBER(SEARCH("Bombeiro Hidraulico",tabParametros[[#This Row],[Função]],1)),ISNUMBER(SEARCH("Jardineiro",tabParametros[[#This Row],[Função]],1)),ISNUMBER(SEARCH("Lavador de Veiculos",tabParametros[[#This Row],[Função]],1)),ISNUMBER(SEARCH("Marceneiro",tabParametros[[#This Row],[Função]],1)),ISNUMBER(SEARCH("Pintor",tabParametros[[#This Row],[Função]],1))),0.2*'BASE GERAL'!$R$4,0)</f>
        <v>0</v>
      </c>
      <c r="L76" s="234">
        <f>IF(AND(ISNUMBER(SEARCH("Noturno",tabParametros[[#This Row],[Função]],1)),tabParametros[[#This Row],[Comarca]]&lt;&gt;"Juiz de Fora"),tabParametros[[#This Row],[Salário Base]]/210*0.39*7*15.5,IF(ISNUMBER(SEARCH("Noturno",tabParametros[[#This Row],[Função]],1)),tabParametros[[#This Row],[Salário Base]]/210*0.2*8*15.5,0))</f>
        <v>0</v>
      </c>
      <c r="M76" s="234">
        <f>IF(ISNUMBER(SEARCH("Motorista II",tabParametros[[#This Row],[Função]],1)),0.25*tabParametros[[#This Row],[Salário Base]],0)</f>
        <v>0</v>
      </c>
      <c r="N76" s="250">
        <v>0</v>
      </c>
      <c r="O76" s="234">
        <f>IF(ISNUMBER(SEARCH("TECNOLOGIA DA INFORMACAO",tabParametros[[#This Row],[Função]],1)),0.0201*tabParametros[[#This Row],[Salário Base]],0)</f>
        <v>0</v>
      </c>
      <c r="P76" s="250" cm="1">
        <f t="array" ref="P76">_xlfn.IFS(
ISNUMBER(SEARCH("Auxiliar de Limpeza - 75 h",tabParametros[[#This Row],[Função]],1)),tabParametros[[#This Row],[Salário Base]]/75*0.75*30*0.12,
ISNUMBER(SEARCH("Auxiliar de Limpeza - 110 h",tabParametros[[#This Row],[Função]],1)),tabParametros[[#This Row],[Salário Base]]/110*1*30*0.12,
ISNUMBER(SEARCH("Auxiliar de Limpeza - 150 h",tabParametros[[#This Row],[Função]],1)),tabParametros[[#This Row],[Salário Base]]/150*1.5*30*0.12,
ISNUMBER(SEARCH("Auxiliar de Limpeza - 220 h",tabParametros[[#This Row],[Função]],1)),tabParametros[[#This Row],[Salário Base]]/220*2*30*0.12,
ISNUMBER(SEARCH("Auxiliar de Limpeza - 12 x 36",tabParametros[[#This Row],[Função]],1)),tabParametros[[#This Row],[Salário Base]]/220*2*30*0.12,
ISNUMBER(SEARCH("Auxiliar de Limpeza - 55 h",tabParametros[[#This Row],[Função]],1))=FALSE,0)</f>
        <v>52.241890909090905</v>
      </c>
      <c r="Q76" s="235">
        <f>VLOOKUP(tabParametros[[#Headers],[INSS]],tabImpostosNacionais[],2,0)</f>
        <v>0.2</v>
      </c>
      <c r="R76" s="235">
        <f>VLOOKUP(tabParametros[[#Headers],[SESI OU SESC]],tabImpostosNacionais[],2,0)</f>
        <v>1.4999999999999999E-2</v>
      </c>
      <c r="S76" s="235">
        <f>VLOOKUP(tabParametros[[#Headers],[SENAI OU SENAC]],tabImpostosNacionais[],2,0)</f>
        <v>0.01</v>
      </c>
      <c r="T76" s="235">
        <f>VLOOKUP(tabParametros[[#Headers],[INCRA]],tabImpostosNacionais[],2,0)</f>
        <v>2E-3</v>
      </c>
      <c r="U76" s="235">
        <f>VLOOKUP(tabParametros[[#Headers],[Salário Educação]],tabImpostosNacionais[],2,0)</f>
        <v>2.5000000000000001E-2</v>
      </c>
      <c r="V76" s="235">
        <f>VLOOKUP(tabParametros[[#Headers],[FGTS]],tabImpostosNacionais[],2,0)</f>
        <v>0.08</v>
      </c>
      <c r="W76" s="235">
        <f>VLOOKUP(tabParametros[[#Headers],[RAT Ajustado]],tabImpostosNacionais[],2,0)</f>
        <v>0.04</v>
      </c>
      <c r="X76" s="235">
        <f>VLOOKUP(tabParametros[[#Headers],[SEBRAE]],tabImpostosNacionais[],2,0)</f>
        <v>6.0000000000000001E-3</v>
      </c>
      <c r="Y76" s="235">
        <f t="shared" si="11"/>
        <v>8.3333333333333329E-2</v>
      </c>
      <c r="Z76" s="251">
        <f t="shared" si="12"/>
        <v>0.1111111111111111</v>
      </c>
      <c r="AA76" s="234">
        <f>VLOOKUP(tabParametros[[#This Row],[Comarca]],tabComarca[],5,0)</f>
        <v>6.4</v>
      </c>
      <c r="AB76" s="234">
        <f>IFERROR(VLOOKUP(tabParametros[[#This Row],[CCT DA CATEGORIA]],tabSindicatos[],6,0),0)</f>
        <v>29.15</v>
      </c>
      <c r="AC76" s="234">
        <f>IFERROR(VLOOKUP(tabParametros[[#This Row],[CCT DA CATEGORIA]],tabSindicatos[],7,0),0)</f>
        <v>0</v>
      </c>
      <c r="AD76" s="234" cm="1">
        <f t="array" ref="AD76">_xlfn.LET(
_xlpm.COMARCA, TRIM(UPPER(SUBSTITUTE(SUBSTITUTE(SUBSTITUTE(SUBSTITUTE(SUBSTITUTE(SUBSTITUTE(SUBSTITUTE(SUBSTITUTE(SUBSTITUTE(SUBSTITUTE(SUBSTITUTE(SUBSTITUTE(SUBSTITUTE(SUBSTITUTE(SUBSTITUTE(SUBSTITUTE(SUBSTITUTE(SUBSTITUTE(SUBSTITUTE(SUBSTITUTE(SUBSTITUTE(SUBSTITUTE(SUBSTITUTE(SUBSTITUTE(SUBSTITUTE(SUBSTITUTE(tabParametros[[#This Row],[Comarca]],"á","a"),"ã","a"),"â","a"),"é","e"),"ê","e"),"í","i"),"ó","o"),"õ","o"),"ô","o"),"ú","u"),"ç","c"),"Á","a"),"Ã","a"),"Â","a"),"É","e"),"Ê","e"),"Í","i"),"Ó","o"),"Õ","o"),"Ô","o"),"Ú","u"),"Ç","c"),"/MG","")," e ",", ")," ",""),".",""))),
_xlpm.MATRIZ_COMARCA, TRIM(UPPER(SUBSTITUTE(SUBSTITUTE(SUBSTITUTE(SUBSTITUTE(SUBSTITUTE(SUBSTITUTE(SUBSTITUTE(SUBSTITUTE(SUBSTITUTE(SUBSTITUTE(SUBSTITUTE(SUBSTITUTE(SUBSTITUTE(SUBSTITUTE(SUBSTITUTE(SUBSTITUTE(SUBSTITUTE(SUBSTITUTE(SUBSTITUTE(SUBSTITUTE(SUBSTITUTE(SUBSTITUTE(SUBSTITUTE(SUBSTITUTE(SUBSTITUTE(SUBSTITUTE(tabSindicatos[COMARCAS PAF],"á","a"),"ã","a"),"â","a"),"é","e"),"ê","e"),"í","i"),"ó","o"),"õ","o"),"ô","o"),"ú","u"),"ç","c"),"Á","a"),"Ã","a"),"Â","a"),"É","e"),"Ê","e"),"Í","i"),"Ó","o"),"Õ","o"),"Ô","o"),"Ú","u"),"Ç","c"),"/MG","")," e ",", ")," ",""),".",""))),
IFERROR(IF(_xlfn.XLOOKUP(tabParametros[[#This Row],[CCT DA CATEGORIA]],tabSindicatos[SINDICATOS],tabSindicatos[COMARCAS PAF])="",
VLOOKUP(tabParametros[[#This Row],[CCT DA CATEGORIA]],tabSindicatos[],8,0),
IF(ISNUMBER(SEARCH(TRIM(_xlpm.COMARCA),_xlfn.XLOOKUP(tabParametros[[#This Row],[CCT DA CATEGORIA]],tabSindicatos[SINDICATOS],_xlpm.MATRIZ_COMARCA),1)),VLOOKUP(tabParametros[[#This Row],[CCT DA CATEGORIA]],tabSindicatos[],8,0),0)
),0)
)</f>
        <v>0</v>
      </c>
      <c r="AE76" s="234">
        <f>IFERROR(VLOOKUP(tabParametros[[#This Row],[CCT DA CATEGORIA]],tabSindicatos[],9,0),0)</f>
        <v>0</v>
      </c>
      <c r="AF76" s="234">
        <f>IFERROR(VLOOKUP(tabParametros[[#This Row],[CCT DA CATEGORIA]],tabSindicatos[],10,0),0)</f>
        <v>0</v>
      </c>
      <c r="AG76" s="236">
        <f>VLOOKUP(tabParametros[[#Headers],[Seguro de Vida]],tabOutrosCustos[],3,0)</f>
        <v>3.36</v>
      </c>
      <c r="AH76" s="236">
        <f>IF(ISNUMBER(SEARCH("MOTORISTA",tabParametros[[#This Row],[Função]],1)),VLOOKUP("MOTORISTAS",tabDiarias[],2,0),IF(tabParametros[[#This Row],[Comarca]]="Belo Horizonte",VLOOKUP("LIMPEZA",tabDiarias[],2,0),0))</f>
        <v>0</v>
      </c>
      <c r="AI76" s="235">
        <f t="shared" si="13"/>
        <v>7.011766975308642E-3</v>
      </c>
      <c r="AJ76" s="237">
        <f>tabParametros[[#This Row],[FGTS]]*tabParametros[[#This Row],[Aviso Prévio Indenizado (API) e Reflexo do Aviso Prévio Indenizado]]</f>
        <v>5.609413580246914E-4</v>
      </c>
      <c r="AK76" s="237">
        <f>tabParametros[[#This Row],[FGTS]]*tabParametros[[#This Row],[Aviso Prévio Indenizado (API) e Reflexo do Aviso Prévio Indenizado]]*40%</f>
        <v>2.2437654320987658E-4</v>
      </c>
      <c r="AL76" s="235">
        <f t="shared" si="14"/>
        <v>3.5000000000000005E-3</v>
      </c>
      <c r="AM76" s="235">
        <f>tabParametros[[#This Row],[Aviso Prévio Trabalhado - APT]]*SUM(tabParametros[[#This Row],[INSS]:[SEBRAE]])</f>
        <v>1.3230000000000004E-3</v>
      </c>
      <c r="AN76" s="235">
        <f t="shared" si="15"/>
        <v>3.0577777777777773E-2</v>
      </c>
      <c r="AO76" s="235">
        <f t="shared" si="16"/>
        <v>8.3333333333333339E-4</v>
      </c>
      <c r="AP76" s="235">
        <f t="shared" si="17"/>
        <v>8.4444444444444437E-3</v>
      </c>
      <c r="AQ76" s="235">
        <f t="shared" si="18"/>
        <v>2.0277777777777777E-3</v>
      </c>
      <c r="AR76" s="235">
        <f t="shared" si="19"/>
        <v>1.7083333333333333E-4</v>
      </c>
      <c r="AS76" s="235">
        <f t="shared" si="20"/>
        <v>2.0833333333333335E-4</v>
      </c>
      <c r="AT76" s="235">
        <f t="shared" si="21"/>
        <v>1.2962962962962963E-3</v>
      </c>
      <c r="AU76" s="237">
        <f>SUM(tabParametros[[#This Row],[Ausência por Doença]:[Férias, Adicional de Férias e 13º  com empregada em gozo de Licença Maternidade]])*SUM(tabParametros[[#This Row],[INSS]:[SEBRAE]])</f>
        <v>4.5918250000000008E-3</v>
      </c>
      <c r="AV76" s="234">
        <f>IF(tabParametros[[#This Row],[Função]]="Porteiro - 220 h",SUM(tabParametros[[#This Row],[Salário Base]:[Adicional de Acúmulo de função]])/220*20*1.5,IF(ISNUMBER(SEARCH("12 x 36",tabParametros[[#This Row],[Função]],1)),SUM(tabParametros[[#This Row],[Salário Base]:[Adicional de Acúmulo de função]])/210*15.5*1.5,0))</f>
        <v>0</v>
      </c>
      <c r="AW76" s="234">
        <f>IF(tabParametros[[#This Row],[Vagas contratadas]]&gt;0,(SUM(tabParametros[[#This Row],[Salário Base]:[Adicional de Acúmulo de função]])*30%+SUM(tabParametros[[#This Row],[Vale - Alimentação]:[Seguro de Vida]]))/tabParametros[[#This Row],[Vagas contratadas]]*tabParametros[[#This Row],[Vagas suspensas]],0)</f>
        <v>0</v>
      </c>
      <c r="AX76" s="234">
        <f>SUMIF(tabUniformes[Cargo],tabParametros[[#This Row],[Função]],tabUniformes[Valor unit. Mensal])</f>
        <v>100.80916666666666</v>
      </c>
      <c r="AY76" s="281">
        <f>IF(ISNUMBER(SEARCH("AUXILIAR DE LIMPEZA - 75 H",tabParametros[[#This Row],[Função]],1)),
SUMIF(tabLimpGeral[TIPO],"Material",tabLimpGeral[VALOR UNITÁRIO P/ HORA (R$)])*75,
IF(ISNUMBER(SEARCH("AUXILIAR DE LIMPEZA - 110 H",tabParametros[[#This Row],[Função]],1)),
SUMIF(tabLimpGeral[TIPO],"Material",tabLimpGeral[VALOR UNITÁRIO P/ HORA (R$)])*110,
IF(ISNUMBER(SEARCH("AUXILIAR DE LIMPEZA - 150 H",tabParametros[[#This Row],[Função]],1)),
SUMIF(tabLimpGeral[TIPO],"Material",tabLimpGeral[VALOR UNITÁRIO P/ HORA (R$)])*150,
IF(ISNUMBER(SEARCH("AUXILIAR DE LIMPEZA - 220 H",tabParametros[[#This Row],[Função]],1)),
SUMIF(tabLimpGeral[TIPO],"Material",tabLimpGeral[VALOR UNITÁRIO P/ HORA (R$)])*220,
IF(ISNUMBER(SEARCH("AUXILIAR DE LIMPEZA - 12 x 36",tabParametros[[#This Row],[Função]],1)),
SUMIF(tabLimpGeral[TIPO],"Material",tabLimpGeral[VALOR UNITÁRIO P/ HORA (R$)])*220,
IF(ISNUMBER(SEARCH("Limpador de vidros - 220 h",tabParametros[[#This Row],[Função]],1)),
SUMIF(tabVidros[TIPO],"Material",tabVidros[VALOR UNITÁRIO P/ POSTO (R$)]),
0))))))</f>
        <v>35.518212958583888</v>
      </c>
      <c r="AZ76" s="281">
        <f>IF(ISNUMBER(SEARCH("AUXILIAR DE LIMPEZA - 75 H",tabParametros[[#This Row],[Função]],1)),
SUMIF(tabLimpGeral[TIPO],"Equipamento",tabLimpGeral[VALOR UNITÁRIO P/ HORA (R$)])*75,
IF(ISNUMBER(SEARCH("AUXILIAR DE LIMPEZA - 110 H",tabParametros[[#This Row],[Função]],1)),
SUMIF(tabLimpGeral[TIPO],"Equipamento",tabLimpGeral[VALOR UNITÁRIO P/ HORA (R$)])*110,
IF(ISNUMBER(SEARCH("AUXILIAR DE LIMPEZA - 150 H",tabParametros[[#This Row],[Função]],1)),
SUMIF(tabLimpGeral[TIPO],"Equipamento",tabLimpGeral[VALOR UNITÁRIO P/ HORA (R$)])*150,
IF(ISNUMBER(SEARCH("AUXILIAR DE LIMPEZA - 220 H",tabParametros[[#This Row],[Função]],1)),
SUMIF(tabLimpGeral[TIPO],"Equipamento",tabLimpGeral[VALOR UNITÁRIO P/ HORA (R$)])*220,
IF(ISNUMBER(SEARCH("AUXILIAR DE LIMPEZA - 12 x 36",tabParametros[[#This Row],[Função]],1)),
SUMIF(tabLimpGeral[TIPO],"Equipamento",tabLimpGeral[VALOR UNITÁRIO P/ HORA (R$)])*220,
IF(ISNUMBER(SEARCH("Limpador de vidros - 220 h",tabParametros[[#This Row],[Função]],1)),
SUMIF(tabVidros[TIPO],"Equipamento",tabVidros[VALOR UNITÁRIO P/ POSTO (R$)]),
0))))))</f>
        <v>64.529393914825576</v>
      </c>
      <c r="BA76" s="281">
        <f>IF(ISNUMBER(SEARCH("AUXILIAR DE LIMPEZA - 75 H",tabParametros[[#This Row],[Função]],1)),
SUMIF(tabLimpGeral[TIPO],"Produto",tabLimpGeral[VALOR UNITÁRIO P/ HORA (R$)])*75,
IF(ISNUMBER(SEARCH("AUXILIAR DE LIMPEZA - 110 H",tabParametros[[#This Row],[Função]],1)),
SUMIF(tabLimpGeral[TIPO],"Produto",tabLimpGeral[VALOR UNITÁRIO P/ HORA (R$)])*110,
IF(ISNUMBER(SEARCH("AUXILIAR DE LIMPEZA - 150 H",tabParametros[[#This Row],[Função]],1)),
SUMIF(tabLimpGeral[TIPO],"Produto",tabLimpGeral[VALOR UNITÁRIO P/ HORA (R$)])*150,
IF(ISNUMBER(SEARCH("AUXILIAR DE LIMPEZA - 220 H",tabParametros[[#This Row],[Função]],1)),
SUMIF(tabLimpGeral[TIPO],"Produto",tabLimpGeral[VALOR UNITÁRIO P/ HORA (R$)])*220,
IF(ISNUMBER(SEARCH("AUXILIAR DE LIMPEZA - 12 x 36",tabParametros[[#This Row],[Função]],1)),
SUMIF(tabLimpGeral[TIPO],"Produto",tabLimpGeral[VALOR UNITÁRIO P/ HORA (R$)])*220,
IF(ISNUMBER(SEARCH("Limpador de vidros - 220 h",tabParametros[[#This Row],[Função]],1)),
SUMIF(tabVidros[TIPO],"Produto",tabVidros[VALOR UNITÁRIO P/ POSTO (R$)]),
0))))))</f>
        <v>690.27153277931654</v>
      </c>
      <c r="BB76" s="281">
        <v>0</v>
      </c>
      <c r="BC76" s="236">
        <f>VLOOKUP(tabParametros[[#Headers],[Custos Indiretos]],tabOutrosCustos[],3,0)</f>
        <v>189.64880140242613</v>
      </c>
      <c r="BD76" s="236">
        <f>VLOOKUP(tabParametros[[#Headers],[Lucro]],tabOutrosCustos[],3,0)</f>
        <v>159.30499317803796</v>
      </c>
      <c r="BE76" s="235">
        <f>VLOOKUP(tabParametros[[#Headers],[COFINS]],tabImpostosNacionais[],2,0)</f>
        <v>7.5999999999999998E-2</v>
      </c>
      <c r="BF76" s="235">
        <f>VLOOKUP(tabParametros[[#Headers],[PIS]],tabImpostosNacionais[],2,0)</f>
        <v>1.6500000000000001E-2</v>
      </c>
      <c r="BG76" s="235">
        <f>VLOOKUP(tabParametros[[#This Row],[Comarca]],tabComarca[],4,0)</f>
        <v>0.03</v>
      </c>
      <c r="BH76" s="238">
        <f>IFERROR(VLOOKUP(tabParametros[[#This Row],[CCT DA CATEGORIA]],tabSindicatos[],11,0),"")</f>
        <v>45658</v>
      </c>
      <c r="BI76" s="289" t="str">
        <f>IFERROR(VLOOKUP(tabParametros[[#This Row],[CCT DA CATEGORIA]],tabSindicatos[],12,0),"")</f>
        <v>-</v>
      </c>
      <c r="BJ76" s="293" t="str">
        <f>IFERROR(VLOOKUP(tabParametros[[#This Row],[CCT DA CATEGORIA]],tabSindicatos[],13,0),"")</f>
        <v>-</v>
      </c>
    </row>
    <row r="77" spans="1:62" x14ac:dyDescent="0.25">
      <c r="A77" s="233" t="s">
        <v>1417</v>
      </c>
      <c r="B77" s="198" t="s">
        <v>74</v>
      </c>
      <c r="C77" s="198" t="s">
        <v>1244</v>
      </c>
      <c r="D77" s="198" t="str">
        <f>VLOOKUP(tabParametros[[#This Row],[Código do Posto]],tabPostos[],4,0)</f>
        <v>Fethemg Interior</v>
      </c>
      <c r="E77" s="289" t="str">
        <f>VLOOKUP(tabParametros[[#This Row],[Código do Posto]],tabPostos[],5,0)</f>
        <v>Limpeza</v>
      </c>
      <c r="F77" s="289" t="str">
        <f>VLOOKUP(tabParametros[[#This Row],[Código do Posto]],tabPostos[],6,0)</f>
        <v>PGJ</v>
      </c>
      <c r="G77" s="289">
        <f>VLOOKUP(tabParametros[[#This Row],[Código do Posto]],tabPostos[],7,0)</f>
        <v>1</v>
      </c>
      <c r="H77" s="289">
        <f>VLOOKUP(tabParametros[[#This Row],[Código do Posto]],tabPostos[],8,0)</f>
        <v>0</v>
      </c>
      <c r="I77" s="234">
        <f>VLOOKUP(tabParametros[[#This Row],[Código do Posto]],tabPostos[],9,0)</f>
        <v>798.14</v>
      </c>
      <c r="J77" s="234">
        <f>IF(ISNUMBER(SEARCH("Eletricista",tabParametros[[#This Row],[Função]],1)),0.3*tabParametros[[#This Row],[Salário Base]],0)</f>
        <v>0</v>
      </c>
      <c r="K77" s="234">
        <f>IF(OR(ISNUMBER(SEARCH("Bombeiro Hidraulico",tabParametros[[#This Row],[Função]],1)),ISNUMBER(SEARCH("Jardineiro",tabParametros[[#This Row],[Função]],1)),ISNUMBER(SEARCH("Lavador de Veiculos",tabParametros[[#This Row],[Função]],1)),ISNUMBER(SEARCH("Marceneiro",tabParametros[[#This Row],[Função]],1)),ISNUMBER(SEARCH("Pintor",tabParametros[[#This Row],[Função]],1))),0.2*'BASE GERAL'!$R$4,0)</f>
        <v>0</v>
      </c>
      <c r="L77" s="234">
        <f>IF(AND(ISNUMBER(SEARCH("Noturno",tabParametros[[#This Row],[Função]],1)),tabParametros[[#This Row],[Comarca]]&lt;&gt;"Juiz de Fora"),tabParametros[[#This Row],[Salário Base]]/210*0.39*7*15.5,IF(ISNUMBER(SEARCH("Noturno",tabParametros[[#This Row],[Função]],1)),tabParametros[[#This Row],[Salário Base]]/210*0.2*8*15.5,0))</f>
        <v>0</v>
      </c>
      <c r="M77" s="234">
        <f>IF(ISNUMBER(SEARCH("Motorista II",tabParametros[[#This Row],[Função]],1)),0.25*tabParametros[[#This Row],[Salário Base]],0)</f>
        <v>0</v>
      </c>
      <c r="N77" s="250">
        <v>0</v>
      </c>
      <c r="O77" s="234">
        <f>IF(ISNUMBER(SEARCH("TECNOLOGIA DA INFORMACAO",tabParametros[[#This Row],[Função]],1)),0.0201*tabParametros[[#This Row],[Salário Base]],0)</f>
        <v>0</v>
      </c>
      <c r="P77" s="250" cm="1">
        <f t="array" ref="P77">_xlfn.IFS(
ISNUMBER(SEARCH("Auxiliar de Limpeza - 75 h",tabParametros[[#This Row],[Função]],1)),tabParametros[[#This Row],[Salário Base]]/75*0.75*30*0.12,
ISNUMBER(SEARCH("Auxiliar de Limpeza - 110 h",tabParametros[[#This Row],[Função]],1)),tabParametros[[#This Row],[Salário Base]]/110*1*30*0.12,
ISNUMBER(SEARCH("Auxiliar de Limpeza - 150 h",tabParametros[[#This Row],[Função]],1)),tabParametros[[#This Row],[Salário Base]]/150*1.5*30*0.12,
ISNUMBER(SEARCH("Auxiliar de Limpeza - 220 h",tabParametros[[#This Row],[Função]],1)),tabParametros[[#This Row],[Salário Base]]/220*2*30*0.12,
ISNUMBER(SEARCH("Auxiliar de Limpeza - 12 x 36",tabParametros[[#This Row],[Função]],1)),tabParametros[[#This Row],[Salário Base]]/220*2*30*0.12,
ISNUMBER(SEARCH("Auxiliar de Limpeza - 55 h",tabParametros[[#This Row],[Função]],1))=FALSE,0)</f>
        <v>26.120945454545453</v>
      </c>
      <c r="Q77" s="235">
        <f>VLOOKUP(tabParametros[[#Headers],[INSS]],tabImpostosNacionais[],2,0)</f>
        <v>0.2</v>
      </c>
      <c r="R77" s="235">
        <f>VLOOKUP(tabParametros[[#Headers],[SESI OU SESC]],tabImpostosNacionais[],2,0)</f>
        <v>1.4999999999999999E-2</v>
      </c>
      <c r="S77" s="235">
        <f>VLOOKUP(tabParametros[[#Headers],[SENAI OU SENAC]],tabImpostosNacionais[],2,0)</f>
        <v>0.01</v>
      </c>
      <c r="T77" s="235">
        <f>VLOOKUP(tabParametros[[#Headers],[INCRA]],tabImpostosNacionais[],2,0)</f>
        <v>2E-3</v>
      </c>
      <c r="U77" s="235">
        <f>VLOOKUP(tabParametros[[#Headers],[Salário Educação]],tabImpostosNacionais[],2,0)</f>
        <v>2.5000000000000001E-2</v>
      </c>
      <c r="V77" s="235">
        <f>VLOOKUP(tabParametros[[#Headers],[FGTS]],tabImpostosNacionais[],2,0)</f>
        <v>0.08</v>
      </c>
      <c r="W77" s="235">
        <f>VLOOKUP(tabParametros[[#Headers],[RAT Ajustado]],tabImpostosNacionais[],2,0)</f>
        <v>0.04</v>
      </c>
      <c r="X77" s="235">
        <f>VLOOKUP(tabParametros[[#Headers],[SEBRAE]],tabImpostosNacionais[],2,0)</f>
        <v>6.0000000000000001E-3</v>
      </c>
      <c r="Y77" s="235">
        <f t="shared" si="11"/>
        <v>8.3333333333333329E-2</v>
      </c>
      <c r="Z77" s="251">
        <f t="shared" si="12"/>
        <v>0.1111111111111111</v>
      </c>
      <c r="AA77" s="234">
        <f>VLOOKUP(tabParametros[[#This Row],[Comarca]],tabComarca[],5,0)</f>
        <v>6.4</v>
      </c>
      <c r="AB77" s="234">
        <f>IFERROR(VLOOKUP(tabParametros[[#This Row],[CCT DA CATEGORIA]],tabSindicatos[],6,0),0)</f>
        <v>29.15</v>
      </c>
      <c r="AC77" s="234">
        <f>IFERROR(VLOOKUP(tabParametros[[#This Row],[CCT DA CATEGORIA]],tabSindicatos[],7,0),0)</f>
        <v>0</v>
      </c>
      <c r="AD77" s="234" cm="1">
        <f t="array" ref="AD77">_xlfn.LET(
_xlpm.COMARCA, TRIM(UPPER(SUBSTITUTE(SUBSTITUTE(SUBSTITUTE(SUBSTITUTE(SUBSTITUTE(SUBSTITUTE(SUBSTITUTE(SUBSTITUTE(SUBSTITUTE(SUBSTITUTE(SUBSTITUTE(SUBSTITUTE(SUBSTITUTE(SUBSTITUTE(SUBSTITUTE(SUBSTITUTE(SUBSTITUTE(SUBSTITUTE(SUBSTITUTE(SUBSTITUTE(SUBSTITUTE(SUBSTITUTE(SUBSTITUTE(SUBSTITUTE(SUBSTITUTE(SUBSTITUTE(tabParametros[[#This Row],[Comarca]],"á","a"),"ã","a"),"â","a"),"é","e"),"ê","e"),"í","i"),"ó","o"),"õ","o"),"ô","o"),"ú","u"),"ç","c"),"Á","a"),"Ã","a"),"Â","a"),"É","e"),"Ê","e"),"Í","i"),"Ó","o"),"Õ","o"),"Ô","o"),"Ú","u"),"Ç","c"),"/MG","")," e ",", ")," ",""),".",""))),
_xlpm.MATRIZ_COMARCA, TRIM(UPPER(SUBSTITUTE(SUBSTITUTE(SUBSTITUTE(SUBSTITUTE(SUBSTITUTE(SUBSTITUTE(SUBSTITUTE(SUBSTITUTE(SUBSTITUTE(SUBSTITUTE(SUBSTITUTE(SUBSTITUTE(SUBSTITUTE(SUBSTITUTE(SUBSTITUTE(SUBSTITUTE(SUBSTITUTE(SUBSTITUTE(SUBSTITUTE(SUBSTITUTE(SUBSTITUTE(SUBSTITUTE(SUBSTITUTE(SUBSTITUTE(SUBSTITUTE(SUBSTITUTE(tabSindicatos[COMARCAS PAF],"á","a"),"ã","a"),"â","a"),"é","e"),"ê","e"),"í","i"),"ó","o"),"õ","o"),"ô","o"),"ú","u"),"ç","c"),"Á","a"),"Ã","a"),"Â","a"),"É","e"),"Ê","e"),"Í","i"),"Ó","o"),"Õ","o"),"Ô","o"),"Ú","u"),"Ç","c"),"/MG","")," e ",", ")," ",""),".",""))),
IFERROR(IF(_xlfn.XLOOKUP(tabParametros[[#This Row],[CCT DA CATEGORIA]],tabSindicatos[SINDICATOS],tabSindicatos[COMARCAS PAF])="",
VLOOKUP(tabParametros[[#This Row],[CCT DA CATEGORIA]],tabSindicatos[],8,0),
IF(ISNUMBER(SEARCH(TRIM(_xlpm.COMARCA),_xlfn.XLOOKUP(tabParametros[[#This Row],[CCT DA CATEGORIA]],tabSindicatos[SINDICATOS],_xlpm.MATRIZ_COMARCA),1)),VLOOKUP(tabParametros[[#This Row],[CCT DA CATEGORIA]],tabSindicatos[],8,0),0)
),0)
)</f>
        <v>0</v>
      </c>
      <c r="AE77" s="234">
        <f>IFERROR(VLOOKUP(tabParametros[[#This Row],[CCT DA CATEGORIA]],tabSindicatos[],9,0),0)</f>
        <v>15.07</v>
      </c>
      <c r="AF77" s="234">
        <f>IFERROR(VLOOKUP(tabParametros[[#This Row],[CCT DA CATEGORIA]],tabSindicatos[],10,0),0)</f>
        <v>0</v>
      </c>
      <c r="AG77" s="236">
        <f>VLOOKUP(tabParametros[[#Headers],[Seguro de Vida]],tabOutrosCustos[],3,0)</f>
        <v>3.36</v>
      </c>
      <c r="AH77" s="236">
        <f>IF(ISNUMBER(SEARCH("MOTORISTA",tabParametros[[#This Row],[Função]],1)),VLOOKUP("MOTORISTAS",tabDiarias[],2,0),IF(tabParametros[[#This Row],[Comarca]]="Belo Horizonte",VLOOKUP("LIMPEZA",tabDiarias[],2,0),0))</f>
        <v>0</v>
      </c>
      <c r="AI77" s="235">
        <f t="shared" si="13"/>
        <v>7.011766975308642E-3</v>
      </c>
      <c r="AJ77" s="237">
        <f>tabParametros[[#This Row],[FGTS]]*tabParametros[[#This Row],[Aviso Prévio Indenizado (API) e Reflexo do Aviso Prévio Indenizado]]</f>
        <v>5.609413580246914E-4</v>
      </c>
      <c r="AK77" s="237">
        <f>tabParametros[[#This Row],[FGTS]]*tabParametros[[#This Row],[Aviso Prévio Indenizado (API) e Reflexo do Aviso Prévio Indenizado]]*40%</f>
        <v>2.2437654320987658E-4</v>
      </c>
      <c r="AL77" s="235">
        <f t="shared" si="14"/>
        <v>3.5000000000000005E-3</v>
      </c>
      <c r="AM77" s="235">
        <f>tabParametros[[#This Row],[Aviso Prévio Trabalhado - APT]]*SUM(tabParametros[[#This Row],[INSS]:[SEBRAE]])</f>
        <v>1.3230000000000004E-3</v>
      </c>
      <c r="AN77" s="235">
        <f t="shared" si="15"/>
        <v>3.0577777777777773E-2</v>
      </c>
      <c r="AO77" s="235">
        <f t="shared" si="16"/>
        <v>8.3333333333333339E-4</v>
      </c>
      <c r="AP77" s="235">
        <f t="shared" si="17"/>
        <v>8.4444444444444437E-3</v>
      </c>
      <c r="AQ77" s="235">
        <f t="shared" si="18"/>
        <v>2.0277777777777777E-3</v>
      </c>
      <c r="AR77" s="235">
        <f t="shared" si="19"/>
        <v>1.7083333333333333E-4</v>
      </c>
      <c r="AS77" s="235">
        <f t="shared" si="20"/>
        <v>2.0833333333333335E-4</v>
      </c>
      <c r="AT77" s="235">
        <f t="shared" si="21"/>
        <v>1.2962962962962963E-3</v>
      </c>
      <c r="AU77" s="237">
        <f>SUM(tabParametros[[#This Row],[Ausência por Doença]:[Férias, Adicional de Férias e 13º  com empregada em gozo de Licença Maternidade]])*SUM(tabParametros[[#This Row],[INSS]:[SEBRAE]])</f>
        <v>4.5918250000000008E-3</v>
      </c>
      <c r="AV77" s="234">
        <f>IF(tabParametros[[#This Row],[Função]]="Porteiro - 220 h",SUM(tabParametros[[#This Row],[Salário Base]:[Adicional de Acúmulo de função]])/220*20*1.5,IF(ISNUMBER(SEARCH("12 x 36",tabParametros[[#This Row],[Função]],1)),SUM(tabParametros[[#This Row],[Salário Base]:[Adicional de Acúmulo de função]])/210*15.5*1.5,0))</f>
        <v>0</v>
      </c>
      <c r="AW77" s="234">
        <f>IF(tabParametros[[#This Row],[Vagas contratadas]]&gt;0,(SUM(tabParametros[[#This Row],[Salário Base]:[Adicional de Acúmulo de função]])*30%+SUM(tabParametros[[#This Row],[Vale - Alimentação]:[Seguro de Vida]]))/tabParametros[[#This Row],[Vagas contratadas]]*tabParametros[[#This Row],[Vagas suspensas]],0)</f>
        <v>0</v>
      </c>
      <c r="AX77" s="234">
        <f>SUMIF(tabUniformes[Cargo],tabParametros[[#This Row],[Função]],tabUniformes[Valor unit. Mensal])</f>
        <v>62.806666666666665</v>
      </c>
      <c r="AY77" s="281">
        <f>IF(ISNUMBER(SEARCH("AUXILIAR DE LIMPEZA - 75 H",tabParametros[[#This Row],[Função]],1)),
SUMIF(tabLimpGeral[TIPO],"Material",tabLimpGeral[VALOR UNITÁRIO P/ HORA (R$)])*75,
IF(ISNUMBER(SEARCH("AUXILIAR DE LIMPEZA - 110 H",tabParametros[[#This Row],[Função]],1)),
SUMIF(tabLimpGeral[TIPO],"Material",tabLimpGeral[VALOR UNITÁRIO P/ HORA (R$)])*110,
IF(ISNUMBER(SEARCH("AUXILIAR DE LIMPEZA - 150 H",tabParametros[[#This Row],[Função]],1)),
SUMIF(tabLimpGeral[TIPO],"Material",tabLimpGeral[VALOR UNITÁRIO P/ HORA (R$)])*150,
IF(ISNUMBER(SEARCH("AUXILIAR DE LIMPEZA - 220 H",tabParametros[[#This Row],[Função]],1)),
SUMIF(tabLimpGeral[TIPO],"Material",tabLimpGeral[VALOR UNITÁRIO P/ HORA (R$)])*220,
IF(ISNUMBER(SEARCH("AUXILIAR DE LIMPEZA - 12 x 36",tabParametros[[#This Row],[Função]],1)),
SUMIF(tabLimpGeral[TIPO],"Material",tabLimpGeral[VALOR UNITÁRIO P/ HORA (R$)])*220,
IF(ISNUMBER(SEARCH("Limpador de vidros - 220 h",tabParametros[[#This Row],[Função]],1)),
SUMIF(tabVidros[TIPO],"Material",tabVidros[VALOR UNITÁRIO P/ POSTO (R$)]),
0))))))</f>
        <v>17.759106479291944</v>
      </c>
      <c r="AZ77" s="281">
        <f>IF(ISNUMBER(SEARCH("AUXILIAR DE LIMPEZA - 75 H",tabParametros[[#This Row],[Função]],1)),
SUMIF(tabLimpGeral[TIPO],"Equipamento",tabLimpGeral[VALOR UNITÁRIO P/ HORA (R$)])*75,
IF(ISNUMBER(SEARCH("AUXILIAR DE LIMPEZA - 110 H",tabParametros[[#This Row],[Função]],1)),
SUMIF(tabLimpGeral[TIPO],"Equipamento",tabLimpGeral[VALOR UNITÁRIO P/ HORA (R$)])*110,
IF(ISNUMBER(SEARCH("AUXILIAR DE LIMPEZA - 150 H",tabParametros[[#This Row],[Função]],1)),
SUMIF(tabLimpGeral[TIPO],"Equipamento",tabLimpGeral[VALOR UNITÁRIO P/ HORA (R$)])*150,
IF(ISNUMBER(SEARCH("AUXILIAR DE LIMPEZA - 220 H",tabParametros[[#This Row],[Função]],1)),
SUMIF(tabLimpGeral[TIPO],"Equipamento",tabLimpGeral[VALOR UNITÁRIO P/ HORA (R$)])*220,
IF(ISNUMBER(SEARCH("AUXILIAR DE LIMPEZA - 12 x 36",tabParametros[[#This Row],[Função]],1)),
SUMIF(tabLimpGeral[TIPO],"Equipamento",tabLimpGeral[VALOR UNITÁRIO P/ HORA (R$)])*220,
IF(ISNUMBER(SEARCH("Limpador de vidros - 220 h",tabParametros[[#This Row],[Função]],1)),
SUMIF(tabVidros[TIPO],"Equipamento",tabVidros[VALOR UNITÁRIO P/ POSTO (R$)]),
0))))))</f>
        <v>32.264696957412788</v>
      </c>
      <c r="BA77" s="281">
        <f>IF(ISNUMBER(SEARCH("AUXILIAR DE LIMPEZA - 75 H",tabParametros[[#This Row],[Função]],1)),
SUMIF(tabLimpGeral[TIPO],"Produto",tabLimpGeral[VALOR UNITÁRIO P/ HORA (R$)])*75,
IF(ISNUMBER(SEARCH("AUXILIAR DE LIMPEZA - 110 H",tabParametros[[#This Row],[Função]],1)),
SUMIF(tabLimpGeral[TIPO],"Produto",tabLimpGeral[VALOR UNITÁRIO P/ HORA (R$)])*110,
IF(ISNUMBER(SEARCH("AUXILIAR DE LIMPEZA - 150 H",tabParametros[[#This Row],[Função]],1)),
SUMIF(tabLimpGeral[TIPO],"Produto",tabLimpGeral[VALOR UNITÁRIO P/ HORA (R$)])*150,
IF(ISNUMBER(SEARCH("AUXILIAR DE LIMPEZA - 220 H",tabParametros[[#This Row],[Função]],1)),
SUMIF(tabLimpGeral[TIPO],"Produto",tabLimpGeral[VALOR UNITÁRIO P/ HORA (R$)])*220,
IF(ISNUMBER(SEARCH("AUXILIAR DE LIMPEZA - 12 x 36",tabParametros[[#This Row],[Função]],1)),
SUMIF(tabLimpGeral[TIPO],"Produto",tabLimpGeral[VALOR UNITÁRIO P/ HORA (R$)])*220,
IF(ISNUMBER(SEARCH("Limpador de vidros - 220 h",tabParametros[[#This Row],[Função]],1)),
SUMIF(tabVidros[TIPO],"Produto",tabVidros[VALOR UNITÁRIO P/ POSTO (R$)]),
0))))))</f>
        <v>345.13576638965827</v>
      </c>
      <c r="BB77" s="281">
        <v>0</v>
      </c>
      <c r="BC77" s="236">
        <f>VLOOKUP(tabParametros[[#Headers],[Custos Indiretos]],tabOutrosCustos[],3,0)</f>
        <v>189.64880140242613</v>
      </c>
      <c r="BD77" s="236">
        <f>VLOOKUP(tabParametros[[#Headers],[Lucro]],tabOutrosCustos[],3,0)</f>
        <v>159.30499317803796</v>
      </c>
      <c r="BE77" s="235">
        <f>VLOOKUP(tabParametros[[#Headers],[COFINS]],tabImpostosNacionais[],2,0)</f>
        <v>7.5999999999999998E-2</v>
      </c>
      <c r="BF77" s="235">
        <f>VLOOKUP(tabParametros[[#Headers],[PIS]],tabImpostosNacionais[],2,0)</f>
        <v>1.6500000000000001E-2</v>
      </c>
      <c r="BG77" s="235">
        <f>VLOOKUP(tabParametros[[#This Row],[Comarca]],tabComarca[],4,0)</f>
        <v>0.03</v>
      </c>
      <c r="BH77" s="238">
        <f>IFERROR(VLOOKUP(tabParametros[[#This Row],[CCT DA CATEGORIA]],tabSindicatos[],11,0),"")</f>
        <v>45658</v>
      </c>
      <c r="BI77" s="289" t="str">
        <f>IFERROR(VLOOKUP(tabParametros[[#This Row],[CCT DA CATEGORIA]],tabSindicatos[],12,0),"")</f>
        <v>-</v>
      </c>
      <c r="BJ77" s="293" t="str">
        <f>IFERROR(VLOOKUP(tabParametros[[#This Row],[CCT DA CATEGORIA]],tabSindicatos[],13,0),"")</f>
        <v>-</v>
      </c>
    </row>
    <row r="78" spans="1:62" x14ac:dyDescent="0.25">
      <c r="A78" s="233" t="s">
        <v>1418</v>
      </c>
      <c r="B78" s="198" t="s">
        <v>75</v>
      </c>
      <c r="C78" s="198" t="s">
        <v>1245</v>
      </c>
      <c r="D78" s="198" t="str">
        <f>VLOOKUP(tabParametros[[#This Row],[Código do Posto]],tabPostos[],4,0)</f>
        <v>Sind - Asseio</v>
      </c>
      <c r="E78" s="289" t="str">
        <f>VLOOKUP(tabParametros[[#This Row],[Código do Posto]],tabPostos[],5,0)</f>
        <v>Limpeza</v>
      </c>
      <c r="F78" s="289" t="str">
        <f>VLOOKUP(tabParametros[[#This Row],[Código do Posto]],tabPostos[],6,0)</f>
        <v>PGJ</v>
      </c>
      <c r="G78" s="289">
        <f>VLOOKUP(tabParametros[[#This Row],[Código do Posto]],tabPostos[],7,0)</f>
        <v>5</v>
      </c>
      <c r="H78" s="289">
        <f>VLOOKUP(tabParametros[[#This Row],[Código do Posto]],tabPostos[],8,0)</f>
        <v>0</v>
      </c>
      <c r="I78" s="234">
        <f>VLOOKUP(tabParametros[[#This Row],[Código do Posto]],tabPostos[],9,0)</f>
        <v>1649.12</v>
      </c>
      <c r="J78" s="234">
        <f>IF(ISNUMBER(SEARCH("Eletricista",tabParametros[[#This Row],[Função]],1)),0.3*tabParametros[[#This Row],[Salário Base]],0)</f>
        <v>0</v>
      </c>
      <c r="K78" s="234">
        <f>IF(OR(ISNUMBER(SEARCH("Bombeiro Hidraulico",tabParametros[[#This Row],[Função]],1)),ISNUMBER(SEARCH("Jardineiro",tabParametros[[#This Row],[Função]],1)),ISNUMBER(SEARCH("Lavador de Veiculos",tabParametros[[#This Row],[Função]],1)),ISNUMBER(SEARCH("Marceneiro",tabParametros[[#This Row],[Função]],1)),ISNUMBER(SEARCH("Pintor",tabParametros[[#This Row],[Função]],1))),0.2*'BASE GERAL'!$R$4,0)</f>
        <v>0</v>
      </c>
      <c r="L78" s="234">
        <f>IF(AND(ISNUMBER(SEARCH("Noturno",tabParametros[[#This Row],[Função]],1)),tabParametros[[#This Row],[Comarca]]&lt;&gt;"Juiz de Fora"),tabParametros[[#This Row],[Salário Base]]/210*0.39*7*15.5,IF(ISNUMBER(SEARCH("Noturno",tabParametros[[#This Row],[Função]],1)),tabParametros[[#This Row],[Salário Base]]/210*0.2*8*15.5,0))</f>
        <v>0</v>
      </c>
      <c r="M78" s="234">
        <f>IF(ISNUMBER(SEARCH("Motorista II",tabParametros[[#This Row],[Função]],1)),0.25*tabParametros[[#This Row],[Salário Base]],0)</f>
        <v>0</v>
      </c>
      <c r="N78" s="250">
        <v>0</v>
      </c>
      <c r="O78" s="234">
        <f>IF(ISNUMBER(SEARCH("TECNOLOGIA DA INFORMACAO",tabParametros[[#This Row],[Função]],1)),0.0201*tabParametros[[#This Row],[Salário Base]],0)</f>
        <v>0</v>
      </c>
      <c r="P78" s="250" cm="1">
        <f t="array" ref="P78">_xlfn.IFS(
ISNUMBER(SEARCH("Auxiliar de Limpeza - 75 h",tabParametros[[#This Row],[Função]],1)),tabParametros[[#This Row],[Salário Base]]/75*0.75*30*0.12,
ISNUMBER(SEARCH("Auxiliar de Limpeza - 110 h",tabParametros[[#This Row],[Função]],1)),tabParametros[[#This Row],[Salário Base]]/110*1*30*0.12,
ISNUMBER(SEARCH("Auxiliar de Limpeza - 150 h",tabParametros[[#This Row],[Função]],1)),tabParametros[[#This Row],[Salário Base]]/150*1.5*30*0.12,
ISNUMBER(SEARCH("Auxiliar de Limpeza - 220 h",tabParametros[[#This Row],[Função]],1)),tabParametros[[#This Row],[Salário Base]]/220*2*30*0.12,
ISNUMBER(SEARCH("Auxiliar de Limpeza - 12 x 36",tabParametros[[#This Row],[Função]],1)),tabParametros[[#This Row],[Salário Base]]/220*2*30*0.12,
ISNUMBER(SEARCH("Auxiliar de Limpeza - 55 h",tabParametros[[#This Row],[Função]],1))=FALSE,0)</f>
        <v>53.971199999999996</v>
      </c>
      <c r="Q78" s="235">
        <f>VLOOKUP(tabParametros[[#Headers],[INSS]],tabImpostosNacionais[],2,0)</f>
        <v>0.2</v>
      </c>
      <c r="R78" s="235">
        <f>VLOOKUP(tabParametros[[#Headers],[SESI OU SESC]],tabImpostosNacionais[],2,0)</f>
        <v>1.4999999999999999E-2</v>
      </c>
      <c r="S78" s="235">
        <f>VLOOKUP(tabParametros[[#Headers],[SENAI OU SENAC]],tabImpostosNacionais[],2,0)</f>
        <v>0.01</v>
      </c>
      <c r="T78" s="235">
        <f>VLOOKUP(tabParametros[[#Headers],[INCRA]],tabImpostosNacionais[],2,0)</f>
        <v>2E-3</v>
      </c>
      <c r="U78" s="235">
        <f>VLOOKUP(tabParametros[[#Headers],[Salário Educação]],tabImpostosNacionais[],2,0)</f>
        <v>2.5000000000000001E-2</v>
      </c>
      <c r="V78" s="235">
        <f>VLOOKUP(tabParametros[[#Headers],[FGTS]],tabImpostosNacionais[],2,0)</f>
        <v>0.08</v>
      </c>
      <c r="W78" s="235">
        <f>VLOOKUP(tabParametros[[#Headers],[RAT Ajustado]],tabImpostosNacionais[],2,0)</f>
        <v>0.04</v>
      </c>
      <c r="X78" s="235">
        <f>VLOOKUP(tabParametros[[#Headers],[SEBRAE]],tabImpostosNacionais[],2,0)</f>
        <v>6.0000000000000001E-3</v>
      </c>
      <c r="Y78" s="235">
        <f t="shared" si="11"/>
        <v>8.3333333333333329E-2</v>
      </c>
      <c r="Z78" s="251">
        <f t="shared" si="12"/>
        <v>0.1111111111111111</v>
      </c>
      <c r="AA78" s="234">
        <f>VLOOKUP(tabParametros[[#This Row],[Comarca]],tabComarca[],5,0)</f>
        <v>6.4</v>
      </c>
      <c r="AB78" s="234">
        <f>IFERROR(VLOOKUP(tabParametros[[#This Row],[CCT DA CATEGORIA]],tabSindicatos[],6,0),0)</f>
        <v>29.15</v>
      </c>
      <c r="AC78" s="234">
        <f>IFERROR(VLOOKUP(tabParametros[[#This Row],[CCT DA CATEGORIA]],tabSindicatos[],7,0),0)</f>
        <v>0</v>
      </c>
      <c r="AD78" s="234" cm="1">
        <f t="array" ref="AD78">_xlfn.LET(
_xlpm.COMARCA, TRIM(UPPER(SUBSTITUTE(SUBSTITUTE(SUBSTITUTE(SUBSTITUTE(SUBSTITUTE(SUBSTITUTE(SUBSTITUTE(SUBSTITUTE(SUBSTITUTE(SUBSTITUTE(SUBSTITUTE(SUBSTITUTE(SUBSTITUTE(SUBSTITUTE(SUBSTITUTE(SUBSTITUTE(SUBSTITUTE(SUBSTITUTE(SUBSTITUTE(SUBSTITUTE(SUBSTITUTE(SUBSTITUTE(SUBSTITUTE(SUBSTITUTE(SUBSTITUTE(SUBSTITUTE(tabParametros[[#This Row],[Comarca]],"á","a"),"ã","a"),"â","a"),"é","e"),"ê","e"),"í","i"),"ó","o"),"õ","o"),"ô","o"),"ú","u"),"ç","c"),"Á","a"),"Ã","a"),"Â","a"),"É","e"),"Ê","e"),"Í","i"),"Ó","o"),"Õ","o"),"Ô","o"),"Ú","u"),"Ç","c"),"/MG","")," e ",", ")," ",""),".",""))),
_xlpm.MATRIZ_COMARCA, TRIM(UPPER(SUBSTITUTE(SUBSTITUTE(SUBSTITUTE(SUBSTITUTE(SUBSTITUTE(SUBSTITUTE(SUBSTITUTE(SUBSTITUTE(SUBSTITUTE(SUBSTITUTE(SUBSTITUTE(SUBSTITUTE(SUBSTITUTE(SUBSTITUTE(SUBSTITUTE(SUBSTITUTE(SUBSTITUTE(SUBSTITUTE(SUBSTITUTE(SUBSTITUTE(SUBSTITUTE(SUBSTITUTE(SUBSTITUTE(SUBSTITUTE(SUBSTITUTE(SUBSTITUTE(tabSindicatos[COMARCAS PAF],"á","a"),"ã","a"),"â","a"),"é","e"),"ê","e"),"í","i"),"ó","o"),"õ","o"),"ô","o"),"ú","u"),"ç","c"),"Á","a"),"Ã","a"),"Â","a"),"É","e"),"Ê","e"),"Í","i"),"Ó","o"),"Õ","o"),"Ô","o"),"Ú","u"),"Ç","c"),"/MG","")," e ",", ")," ",""),".",""))),
IFERROR(IF(_xlfn.XLOOKUP(tabParametros[[#This Row],[CCT DA CATEGORIA]],tabSindicatos[SINDICATOS],tabSindicatos[COMARCAS PAF])="",
VLOOKUP(tabParametros[[#This Row],[CCT DA CATEGORIA]],tabSindicatos[],8,0),
IF(ISNUMBER(SEARCH(TRIM(_xlpm.COMARCA),_xlfn.XLOOKUP(tabParametros[[#This Row],[CCT DA CATEGORIA]],tabSindicatos[SINDICATOS],_xlpm.MATRIZ_COMARCA),1)),VLOOKUP(tabParametros[[#This Row],[CCT DA CATEGORIA]],tabSindicatos[],8,0),0)
),0)
)</f>
        <v>77.25</v>
      </c>
      <c r="AE78" s="234">
        <f>IFERROR(VLOOKUP(tabParametros[[#This Row],[CCT DA CATEGORIA]],tabSindicatos[],9,0),0)</f>
        <v>0</v>
      </c>
      <c r="AF78" s="234">
        <f>IFERROR(VLOOKUP(tabParametros[[#This Row],[CCT DA CATEGORIA]],tabSindicatos[],10,0),0)</f>
        <v>0</v>
      </c>
      <c r="AG78" s="236">
        <f>VLOOKUP(tabParametros[[#Headers],[Seguro de Vida]],tabOutrosCustos[],3,0)</f>
        <v>3.36</v>
      </c>
      <c r="AH78" s="236">
        <f>IF(ISNUMBER(SEARCH("MOTORISTA",tabParametros[[#This Row],[Função]],1)),VLOOKUP("MOTORISTAS",tabDiarias[],2,0),IF(tabParametros[[#This Row],[Comarca]]="Belo Horizonte",VLOOKUP("LIMPEZA",tabDiarias[],2,0),0))</f>
        <v>0</v>
      </c>
      <c r="AI78" s="235">
        <f t="shared" si="13"/>
        <v>7.011766975308642E-3</v>
      </c>
      <c r="AJ78" s="237">
        <f>tabParametros[[#This Row],[FGTS]]*tabParametros[[#This Row],[Aviso Prévio Indenizado (API) e Reflexo do Aviso Prévio Indenizado]]</f>
        <v>5.609413580246914E-4</v>
      </c>
      <c r="AK78" s="237">
        <f>tabParametros[[#This Row],[FGTS]]*tabParametros[[#This Row],[Aviso Prévio Indenizado (API) e Reflexo do Aviso Prévio Indenizado]]*40%</f>
        <v>2.2437654320987658E-4</v>
      </c>
      <c r="AL78" s="235">
        <f t="shared" si="14"/>
        <v>3.5000000000000005E-3</v>
      </c>
      <c r="AM78" s="235">
        <f>tabParametros[[#This Row],[Aviso Prévio Trabalhado - APT]]*SUM(tabParametros[[#This Row],[INSS]:[SEBRAE]])</f>
        <v>1.3230000000000004E-3</v>
      </c>
      <c r="AN78" s="235">
        <f t="shared" si="15"/>
        <v>3.0577777777777773E-2</v>
      </c>
      <c r="AO78" s="235">
        <f t="shared" si="16"/>
        <v>8.3333333333333339E-4</v>
      </c>
      <c r="AP78" s="235">
        <f t="shared" si="17"/>
        <v>8.4444444444444437E-3</v>
      </c>
      <c r="AQ78" s="235">
        <f t="shared" si="18"/>
        <v>2.0277777777777777E-3</v>
      </c>
      <c r="AR78" s="235">
        <f t="shared" si="19"/>
        <v>1.7083333333333333E-4</v>
      </c>
      <c r="AS78" s="235">
        <f t="shared" si="20"/>
        <v>2.0833333333333335E-4</v>
      </c>
      <c r="AT78" s="235">
        <f t="shared" si="21"/>
        <v>1.2962962962962963E-3</v>
      </c>
      <c r="AU78" s="237">
        <f>SUM(tabParametros[[#This Row],[Ausência por Doença]:[Férias, Adicional de Férias e 13º  com empregada em gozo de Licença Maternidade]])*SUM(tabParametros[[#This Row],[INSS]:[SEBRAE]])</f>
        <v>4.5918250000000008E-3</v>
      </c>
      <c r="AV78" s="234">
        <f>IF(tabParametros[[#This Row],[Função]]="Porteiro - 220 h",SUM(tabParametros[[#This Row],[Salário Base]:[Adicional de Acúmulo de função]])/220*20*1.5,IF(ISNUMBER(SEARCH("12 x 36",tabParametros[[#This Row],[Função]],1)),SUM(tabParametros[[#This Row],[Salário Base]:[Adicional de Acúmulo de função]])/210*15.5*1.5,0))</f>
        <v>0</v>
      </c>
      <c r="AW78" s="234">
        <f>IF(tabParametros[[#This Row],[Vagas contratadas]]&gt;0,(SUM(tabParametros[[#This Row],[Salário Base]:[Adicional de Acúmulo de função]])*30%+SUM(tabParametros[[#This Row],[Vale - Alimentação]:[Seguro de Vida]]))/tabParametros[[#This Row],[Vagas contratadas]]*tabParametros[[#This Row],[Vagas suspensas]],0)</f>
        <v>0</v>
      </c>
      <c r="AX78" s="234">
        <f>SUMIF(tabUniformes[Cargo],tabParametros[[#This Row],[Função]],tabUniformes[Valor unit. Mensal])</f>
        <v>100.80916666666666</v>
      </c>
      <c r="AY78" s="281">
        <f>IF(ISNUMBER(SEARCH("AUXILIAR DE LIMPEZA - 75 H",tabParametros[[#This Row],[Função]],1)),
SUMIF(tabLimpGeral[TIPO],"Material",tabLimpGeral[VALOR UNITÁRIO P/ HORA (R$)])*75,
IF(ISNUMBER(SEARCH("AUXILIAR DE LIMPEZA - 110 H",tabParametros[[#This Row],[Função]],1)),
SUMIF(tabLimpGeral[TIPO],"Material",tabLimpGeral[VALOR UNITÁRIO P/ HORA (R$)])*110,
IF(ISNUMBER(SEARCH("AUXILIAR DE LIMPEZA - 150 H",tabParametros[[#This Row],[Função]],1)),
SUMIF(tabLimpGeral[TIPO],"Material",tabLimpGeral[VALOR UNITÁRIO P/ HORA (R$)])*150,
IF(ISNUMBER(SEARCH("AUXILIAR DE LIMPEZA - 220 H",tabParametros[[#This Row],[Função]],1)),
SUMIF(tabLimpGeral[TIPO],"Material",tabLimpGeral[VALOR UNITÁRIO P/ HORA (R$)])*220,
IF(ISNUMBER(SEARCH("AUXILIAR DE LIMPEZA - 12 x 36",tabParametros[[#This Row],[Função]],1)),
SUMIF(tabLimpGeral[TIPO],"Material",tabLimpGeral[VALOR UNITÁRIO P/ HORA (R$)])*220,
IF(ISNUMBER(SEARCH("Limpador de vidros - 220 h",tabParametros[[#This Row],[Função]],1)),
SUMIF(tabVidros[TIPO],"Material",tabVidros[VALOR UNITÁRIO P/ POSTO (R$)]),
0))))))</f>
        <v>35.518212958583888</v>
      </c>
      <c r="AZ78" s="281">
        <f>IF(ISNUMBER(SEARCH("AUXILIAR DE LIMPEZA - 75 H",tabParametros[[#This Row],[Função]],1)),
SUMIF(tabLimpGeral[TIPO],"Equipamento",tabLimpGeral[VALOR UNITÁRIO P/ HORA (R$)])*75,
IF(ISNUMBER(SEARCH("AUXILIAR DE LIMPEZA - 110 H",tabParametros[[#This Row],[Função]],1)),
SUMIF(tabLimpGeral[TIPO],"Equipamento",tabLimpGeral[VALOR UNITÁRIO P/ HORA (R$)])*110,
IF(ISNUMBER(SEARCH("AUXILIAR DE LIMPEZA - 150 H",tabParametros[[#This Row],[Função]],1)),
SUMIF(tabLimpGeral[TIPO],"Equipamento",tabLimpGeral[VALOR UNITÁRIO P/ HORA (R$)])*150,
IF(ISNUMBER(SEARCH("AUXILIAR DE LIMPEZA - 220 H",tabParametros[[#This Row],[Função]],1)),
SUMIF(tabLimpGeral[TIPO],"Equipamento",tabLimpGeral[VALOR UNITÁRIO P/ HORA (R$)])*220,
IF(ISNUMBER(SEARCH("AUXILIAR DE LIMPEZA - 12 x 36",tabParametros[[#This Row],[Função]],1)),
SUMIF(tabLimpGeral[TIPO],"Equipamento",tabLimpGeral[VALOR UNITÁRIO P/ HORA (R$)])*220,
IF(ISNUMBER(SEARCH("Limpador de vidros - 220 h",tabParametros[[#This Row],[Função]],1)),
SUMIF(tabVidros[TIPO],"Equipamento",tabVidros[VALOR UNITÁRIO P/ POSTO (R$)]),
0))))))</f>
        <v>64.529393914825576</v>
      </c>
      <c r="BA78" s="281">
        <f>IF(ISNUMBER(SEARCH("AUXILIAR DE LIMPEZA - 75 H",tabParametros[[#This Row],[Função]],1)),
SUMIF(tabLimpGeral[TIPO],"Produto",tabLimpGeral[VALOR UNITÁRIO P/ HORA (R$)])*75,
IF(ISNUMBER(SEARCH("AUXILIAR DE LIMPEZA - 110 H",tabParametros[[#This Row],[Função]],1)),
SUMIF(tabLimpGeral[TIPO],"Produto",tabLimpGeral[VALOR UNITÁRIO P/ HORA (R$)])*110,
IF(ISNUMBER(SEARCH("AUXILIAR DE LIMPEZA - 150 H",tabParametros[[#This Row],[Função]],1)),
SUMIF(tabLimpGeral[TIPO],"Produto",tabLimpGeral[VALOR UNITÁRIO P/ HORA (R$)])*150,
IF(ISNUMBER(SEARCH("AUXILIAR DE LIMPEZA - 220 H",tabParametros[[#This Row],[Função]],1)),
SUMIF(tabLimpGeral[TIPO],"Produto",tabLimpGeral[VALOR UNITÁRIO P/ HORA (R$)])*220,
IF(ISNUMBER(SEARCH("AUXILIAR DE LIMPEZA - 12 x 36",tabParametros[[#This Row],[Função]],1)),
SUMIF(tabLimpGeral[TIPO],"Produto",tabLimpGeral[VALOR UNITÁRIO P/ HORA (R$)])*220,
IF(ISNUMBER(SEARCH("Limpador de vidros - 220 h",tabParametros[[#This Row],[Função]],1)),
SUMIF(tabVidros[TIPO],"Produto",tabVidros[VALOR UNITÁRIO P/ POSTO (R$)]),
0))))))</f>
        <v>690.27153277931654</v>
      </c>
      <c r="BB78" s="281">
        <v>0</v>
      </c>
      <c r="BC78" s="236">
        <f>VLOOKUP(tabParametros[[#Headers],[Custos Indiretos]],tabOutrosCustos[],3,0)</f>
        <v>189.64880140242613</v>
      </c>
      <c r="BD78" s="236">
        <f>VLOOKUP(tabParametros[[#Headers],[Lucro]],tabOutrosCustos[],3,0)</f>
        <v>159.30499317803796</v>
      </c>
      <c r="BE78" s="235">
        <f>VLOOKUP(tabParametros[[#Headers],[COFINS]],tabImpostosNacionais[],2,0)</f>
        <v>7.5999999999999998E-2</v>
      </c>
      <c r="BF78" s="235">
        <f>VLOOKUP(tabParametros[[#Headers],[PIS]],tabImpostosNacionais[],2,0)</f>
        <v>1.6500000000000001E-2</v>
      </c>
      <c r="BG78" s="235">
        <f>VLOOKUP(tabParametros[[#This Row],[Comarca]],tabComarca[],4,0)</f>
        <v>0.02</v>
      </c>
      <c r="BH78" s="238">
        <f>IFERROR(VLOOKUP(tabParametros[[#This Row],[CCT DA CATEGORIA]],tabSindicatos[],11,0),"")</f>
        <v>45658</v>
      </c>
      <c r="BI78" s="289" t="str">
        <f>IFERROR(VLOOKUP(tabParametros[[#This Row],[CCT DA CATEGORIA]],tabSindicatos[],12,0),"")</f>
        <v>-</v>
      </c>
      <c r="BJ78" s="293" t="str">
        <f>IFERROR(VLOOKUP(tabParametros[[#This Row],[CCT DA CATEGORIA]],tabSindicatos[],13,0),"")</f>
        <v>-</v>
      </c>
    </row>
    <row r="79" spans="1:62" x14ac:dyDescent="0.25">
      <c r="A79" s="233" t="s">
        <v>1419</v>
      </c>
      <c r="B79" s="198" t="s">
        <v>76</v>
      </c>
      <c r="C79" s="198" t="s">
        <v>1247</v>
      </c>
      <c r="D79" s="198" t="str">
        <f>VLOOKUP(tabParametros[[#This Row],[Código do Posto]],tabPostos[],4,0)</f>
        <v>Sethac Norte de Minas</v>
      </c>
      <c r="E79" s="289" t="str">
        <f>VLOOKUP(tabParametros[[#This Row],[Código do Posto]],tabPostos[],5,0)</f>
        <v>Limpeza</v>
      </c>
      <c r="F79" s="289" t="str">
        <f>VLOOKUP(tabParametros[[#This Row],[Código do Posto]],tabPostos[],6,0)</f>
        <v>PGJ</v>
      </c>
      <c r="G79" s="289">
        <f>VLOOKUP(tabParametros[[#This Row],[Código do Posto]],tabPostos[],7,0)</f>
        <v>1</v>
      </c>
      <c r="H79" s="289">
        <f>VLOOKUP(tabParametros[[#This Row],[Código do Posto]],tabPostos[],8,0)</f>
        <v>0</v>
      </c>
      <c r="I79" s="234">
        <f>VLOOKUP(tabParametros[[#This Row],[Código do Posto]],tabPostos[],9,0)</f>
        <v>544.17999999999995</v>
      </c>
      <c r="J79" s="234">
        <f>IF(ISNUMBER(SEARCH("Eletricista",tabParametros[[#This Row],[Função]],1)),0.3*tabParametros[[#This Row],[Salário Base]],0)</f>
        <v>0</v>
      </c>
      <c r="K79" s="234">
        <f>IF(OR(ISNUMBER(SEARCH("Bombeiro Hidraulico",tabParametros[[#This Row],[Função]],1)),ISNUMBER(SEARCH("Jardineiro",tabParametros[[#This Row],[Função]],1)),ISNUMBER(SEARCH("Lavador de Veiculos",tabParametros[[#This Row],[Função]],1)),ISNUMBER(SEARCH("Marceneiro",tabParametros[[#This Row],[Função]],1)),ISNUMBER(SEARCH("Pintor",tabParametros[[#This Row],[Função]],1))),0.2*'BASE GERAL'!$R$4,0)</f>
        <v>0</v>
      </c>
      <c r="L79" s="234">
        <f>IF(AND(ISNUMBER(SEARCH("Noturno",tabParametros[[#This Row],[Função]],1)),tabParametros[[#This Row],[Comarca]]&lt;&gt;"Juiz de Fora"),tabParametros[[#This Row],[Salário Base]]/210*0.39*7*15.5,IF(ISNUMBER(SEARCH("Noturno",tabParametros[[#This Row],[Função]],1)),tabParametros[[#This Row],[Salário Base]]/210*0.2*8*15.5,0))</f>
        <v>0</v>
      </c>
      <c r="M79" s="234">
        <f>IF(ISNUMBER(SEARCH("Motorista II",tabParametros[[#This Row],[Função]],1)),0.25*tabParametros[[#This Row],[Salário Base]],0)</f>
        <v>0</v>
      </c>
      <c r="N79" s="250">
        <v>0</v>
      </c>
      <c r="O79" s="234">
        <f>IF(ISNUMBER(SEARCH("TECNOLOGIA DA INFORMACAO",tabParametros[[#This Row],[Função]],1)),0.0201*tabParametros[[#This Row],[Salário Base]],0)</f>
        <v>0</v>
      </c>
      <c r="P79" s="250" cm="1">
        <f t="array" ref="P79">_xlfn.IFS(
ISNUMBER(SEARCH("Auxiliar de Limpeza - 75 h",tabParametros[[#This Row],[Função]],1)),tabParametros[[#This Row],[Salário Base]]/75*0.75*30*0.12,
ISNUMBER(SEARCH("Auxiliar de Limpeza - 110 h",tabParametros[[#This Row],[Função]],1)),tabParametros[[#This Row],[Salário Base]]/110*1*30*0.12,
ISNUMBER(SEARCH("Auxiliar de Limpeza - 150 h",tabParametros[[#This Row],[Função]],1)),tabParametros[[#This Row],[Salário Base]]/150*1.5*30*0.12,
ISNUMBER(SEARCH("Auxiliar de Limpeza - 220 h",tabParametros[[#This Row],[Função]],1)),tabParametros[[#This Row],[Salário Base]]/220*2*30*0.12,
ISNUMBER(SEARCH("Auxiliar de Limpeza - 12 x 36",tabParametros[[#This Row],[Função]],1)),tabParametros[[#This Row],[Salário Base]]/220*2*30*0.12,
ISNUMBER(SEARCH("Auxiliar de Limpeza - 55 h",tabParametros[[#This Row],[Função]],1))=FALSE,0)</f>
        <v>19.590479999999999</v>
      </c>
      <c r="Q79" s="235">
        <f>VLOOKUP(tabParametros[[#Headers],[INSS]],tabImpostosNacionais[],2,0)</f>
        <v>0.2</v>
      </c>
      <c r="R79" s="235">
        <f>VLOOKUP(tabParametros[[#Headers],[SESI OU SESC]],tabImpostosNacionais[],2,0)</f>
        <v>1.4999999999999999E-2</v>
      </c>
      <c r="S79" s="235">
        <f>VLOOKUP(tabParametros[[#Headers],[SENAI OU SENAC]],tabImpostosNacionais[],2,0)</f>
        <v>0.01</v>
      </c>
      <c r="T79" s="235">
        <f>VLOOKUP(tabParametros[[#Headers],[INCRA]],tabImpostosNacionais[],2,0)</f>
        <v>2E-3</v>
      </c>
      <c r="U79" s="235">
        <f>VLOOKUP(tabParametros[[#Headers],[Salário Educação]],tabImpostosNacionais[],2,0)</f>
        <v>2.5000000000000001E-2</v>
      </c>
      <c r="V79" s="235">
        <f>VLOOKUP(tabParametros[[#Headers],[FGTS]],tabImpostosNacionais[],2,0)</f>
        <v>0.08</v>
      </c>
      <c r="W79" s="235">
        <f>VLOOKUP(tabParametros[[#Headers],[RAT Ajustado]],tabImpostosNacionais[],2,0)</f>
        <v>0.04</v>
      </c>
      <c r="X79" s="235">
        <f>VLOOKUP(tabParametros[[#Headers],[SEBRAE]],tabImpostosNacionais[],2,0)</f>
        <v>6.0000000000000001E-3</v>
      </c>
      <c r="Y79" s="235">
        <f t="shared" si="11"/>
        <v>8.3333333333333329E-2</v>
      </c>
      <c r="Z79" s="251">
        <f t="shared" si="12"/>
        <v>0.1111111111111111</v>
      </c>
      <c r="AA79" s="234">
        <f>VLOOKUP(tabParametros[[#This Row],[Comarca]],tabComarca[],5,0)</f>
        <v>6.4</v>
      </c>
      <c r="AB79" s="234">
        <f>IFERROR(VLOOKUP(tabParametros[[#This Row],[CCT DA CATEGORIA]],tabSindicatos[],6,0),0)</f>
        <v>29.15</v>
      </c>
      <c r="AC79" s="234">
        <f>IFERROR(VLOOKUP(tabParametros[[#This Row],[CCT DA CATEGORIA]],tabSindicatos[],7,0),0)</f>
        <v>0</v>
      </c>
      <c r="AD79" s="234" cm="1">
        <f t="array" ref="AD79">_xlfn.LET(
_xlpm.COMARCA, TRIM(UPPER(SUBSTITUTE(SUBSTITUTE(SUBSTITUTE(SUBSTITUTE(SUBSTITUTE(SUBSTITUTE(SUBSTITUTE(SUBSTITUTE(SUBSTITUTE(SUBSTITUTE(SUBSTITUTE(SUBSTITUTE(SUBSTITUTE(SUBSTITUTE(SUBSTITUTE(SUBSTITUTE(SUBSTITUTE(SUBSTITUTE(SUBSTITUTE(SUBSTITUTE(SUBSTITUTE(SUBSTITUTE(SUBSTITUTE(SUBSTITUTE(SUBSTITUTE(SUBSTITUTE(tabParametros[[#This Row],[Comarca]],"á","a"),"ã","a"),"â","a"),"é","e"),"ê","e"),"í","i"),"ó","o"),"õ","o"),"ô","o"),"ú","u"),"ç","c"),"Á","a"),"Ã","a"),"Â","a"),"É","e"),"Ê","e"),"Í","i"),"Ó","o"),"Õ","o"),"Ô","o"),"Ú","u"),"Ç","c"),"/MG","")," e ",", ")," ",""),".",""))),
_xlpm.MATRIZ_COMARCA, TRIM(UPPER(SUBSTITUTE(SUBSTITUTE(SUBSTITUTE(SUBSTITUTE(SUBSTITUTE(SUBSTITUTE(SUBSTITUTE(SUBSTITUTE(SUBSTITUTE(SUBSTITUTE(SUBSTITUTE(SUBSTITUTE(SUBSTITUTE(SUBSTITUTE(SUBSTITUTE(SUBSTITUTE(SUBSTITUTE(SUBSTITUTE(SUBSTITUTE(SUBSTITUTE(SUBSTITUTE(SUBSTITUTE(SUBSTITUTE(SUBSTITUTE(SUBSTITUTE(SUBSTITUTE(tabSindicatos[COMARCAS PAF],"á","a"),"ã","a"),"â","a"),"é","e"),"ê","e"),"í","i"),"ó","o"),"õ","o"),"ô","o"),"ú","u"),"ç","c"),"Á","a"),"Ã","a"),"Â","a"),"É","e"),"Ê","e"),"Í","i"),"Ó","o"),"Õ","o"),"Ô","o"),"Ú","u"),"Ç","c"),"/MG","")," e ",", ")," ",""),".",""))),
IFERROR(IF(_xlfn.XLOOKUP(tabParametros[[#This Row],[CCT DA CATEGORIA]],tabSindicatos[SINDICATOS],tabSindicatos[COMARCAS PAF])="",
VLOOKUP(tabParametros[[#This Row],[CCT DA CATEGORIA]],tabSindicatos[],8,0),
IF(ISNUMBER(SEARCH(TRIM(_xlpm.COMARCA),_xlfn.XLOOKUP(tabParametros[[#This Row],[CCT DA CATEGORIA]],tabSindicatos[SINDICATOS],_xlpm.MATRIZ_COMARCA),1)),VLOOKUP(tabParametros[[#This Row],[CCT DA CATEGORIA]],tabSindicatos[],8,0),0)
),0)
)</f>
        <v>0</v>
      </c>
      <c r="AE79" s="234">
        <f>IFERROR(VLOOKUP(tabParametros[[#This Row],[CCT DA CATEGORIA]],tabSindicatos[],9,0),0)</f>
        <v>0</v>
      </c>
      <c r="AF79" s="234">
        <f>IFERROR(VLOOKUP(tabParametros[[#This Row],[CCT DA CATEGORIA]],tabSindicatos[],10,0),0)</f>
        <v>0</v>
      </c>
      <c r="AG79" s="236">
        <f>VLOOKUP(tabParametros[[#Headers],[Seguro de Vida]],tabOutrosCustos[],3,0)</f>
        <v>3.36</v>
      </c>
      <c r="AH79" s="236">
        <f>IF(ISNUMBER(SEARCH("MOTORISTA",tabParametros[[#This Row],[Função]],1)),VLOOKUP("MOTORISTAS",tabDiarias[],2,0),IF(tabParametros[[#This Row],[Comarca]]="Belo Horizonte",VLOOKUP("LIMPEZA",tabDiarias[],2,0),0))</f>
        <v>0</v>
      </c>
      <c r="AI79" s="235">
        <f t="shared" si="13"/>
        <v>7.011766975308642E-3</v>
      </c>
      <c r="AJ79" s="237">
        <f>tabParametros[[#This Row],[FGTS]]*tabParametros[[#This Row],[Aviso Prévio Indenizado (API) e Reflexo do Aviso Prévio Indenizado]]</f>
        <v>5.609413580246914E-4</v>
      </c>
      <c r="AK79" s="237">
        <f>tabParametros[[#This Row],[FGTS]]*tabParametros[[#This Row],[Aviso Prévio Indenizado (API) e Reflexo do Aviso Prévio Indenizado]]*40%</f>
        <v>2.2437654320987658E-4</v>
      </c>
      <c r="AL79" s="235">
        <f t="shared" si="14"/>
        <v>3.5000000000000005E-3</v>
      </c>
      <c r="AM79" s="235">
        <f>tabParametros[[#This Row],[Aviso Prévio Trabalhado - APT]]*SUM(tabParametros[[#This Row],[INSS]:[SEBRAE]])</f>
        <v>1.3230000000000004E-3</v>
      </c>
      <c r="AN79" s="235">
        <f t="shared" si="15"/>
        <v>3.0577777777777773E-2</v>
      </c>
      <c r="AO79" s="235">
        <f t="shared" si="16"/>
        <v>8.3333333333333339E-4</v>
      </c>
      <c r="AP79" s="235">
        <f t="shared" si="17"/>
        <v>8.4444444444444437E-3</v>
      </c>
      <c r="AQ79" s="235">
        <f t="shared" si="18"/>
        <v>2.0277777777777777E-3</v>
      </c>
      <c r="AR79" s="235">
        <f t="shared" si="19"/>
        <v>1.7083333333333333E-4</v>
      </c>
      <c r="AS79" s="235">
        <f t="shared" si="20"/>
        <v>2.0833333333333335E-4</v>
      </c>
      <c r="AT79" s="235">
        <f t="shared" si="21"/>
        <v>1.2962962962962963E-3</v>
      </c>
      <c r="AU79" s="237">
        <f>SUM(tabParametros[[#This Row],[Ausência por Doença]:[Férias, Adicional de Férias e 13º  com empregada em gozo de Licença Maternidade]])*SUM(tabParametros[[#This Row],[INSS]:[SEBRAE]])</f>
        <v>4.5918250000000008E-3</v>
      </c>
      <c r="AV79" s="234">
        <f>IF(tabParametros[[#This Row],[Função]]="Porteiro - 220 h",SUM(tabParametros[[#This Row],[Salário Base]:[Adicional de Acúmulo de função]])/220*20*1.5,IF(ISNUMBER(SEARCH("12 x 36",tabParametros[[#This Row],[Função]],1)),SUM(tabParametros[[#This Row],[Salário Base]:[Adicional de Acúmulo de função]])/210*15.5*1.5,0))</f>
        <v>0</v>
      </c>
      <c r="AW79" s="234">
        <f>IF(tabParametros[[#This Row],[Vagas contratadas]]&gt;0,(SUM(tabParametros[[#This Row],[Salário Base]:[Adicional de Acúmulo de função]])*30%+SUM(tabParametros[[#This Row],[Vale - Alimentação]:[Seguro de Vida]]))/tabParametros[[#This Row],[Vagas contratadas]]*tabParametros[[#This Row],[Vagas suspensas]],0)</f>
        <v>0</v>
      </c>
      <c r="AX79" s="234">
        <f>SUMIF(tabUniformes[Cargo],tabParametros[[#This Row],[Função]],tabUniformes[Valor unit. Mensal])</f>
        <v>62.806666666666665</v>
      </c>
      <c r="AY79" s="281">
        <f>IF(ISNUMBER(SEARCH("AUXILIAR DE LIMPEZA - 75 H",tabParametros[[#This Row],[Função]],1)),
SUMIF(tabLimpGeral[TIPO],"Material",tabLimpGeral[VALOR UNITÁRIO P/ HORA (R$)])*75,
IF(ISNUMBER(SEARCH("AUXILIAR DE LIMPEZA - 110 H",tabParametros[[#This Row],[Função]],1)),
SUMIF(tabLimpGeral[TIPO],"Material",tabLimpGeral[VALOR UNITÁRIO P/ HORA (R$)])*110,
IF(ISNUMBER(SEARCH("AUXILIAR DE LIMPEZA - 150 H",tabParametros[[#This Row],[Função]],1)),
SUMIF(tabLimpGeral[TIPO],"Material",tabLimpGeral[VALOR UNITÁRIO P/ HORA (R$)])*150,
IF(ISNUMBER(SEARCH("AUXILIAR DE LIMPEZA - 220 H",tabParametros[[#This Row],[Função]],1)),
SUMIF(tabLimpGeral[TIPO],"Material",tabLimpGeral[VALOR UNITÁRIO P/ HORA (R$)])*220,
IF(ISNUMBER(SEARCH("AUXILIAR DE LIMPEZA - 12 x 36",tabParametros[[#This Row],[Função]],1)),
SUMIF(tabLimpGeral[TIPO],"Material",tabLimpGeral[VALOR UNITÁRIO P/ HORA (R$)])*220,
IF(ISNUMBER(SEARCH("Limpador de vidros - 220 h",tabParametros[[#This Row],[Função]],1)),
SUMIF(tabVidros[TIPO],"Material",tabVidros[VALOR UNITÁRIO P/ POSTO (R$)]),
0))))))</f>
        <v>12.108481690426325</v>
      </c>
      <c r="AZ79" s="281">
        <f>IF(ISNUMBER(SEARCH("AUXILIAR DE LIMPEZA - 75 H",tabParametros[[#This Row],[Função]],1)),
SUMIF(tabLimpGeral[TIPO],"Equipamento",tabLimpGeral[VALOR UNITÁRIO P/ HORA (R$)])*75,
IF(ISNUMBER(SEARCH("AUXILIAR DE LIMPEZA - 110 H",tabParametros[[#This Row],[Função]],1)),
SUMIF(tabLimpGeral[TIPO],"Equipamento",tabLimpGeral[VALOR UNITÁRIO P/ HORA (R$)])*110,
IF(ISNUMBER(SEARCH("AUXILIAR DE LIMPEZA - 150 H",tabParametros[[#This Row],[Função]],1)),
SUMIF(tabLimpGeral[TIPO],"Equipamento",tabLimpGeral[VALOR UNITÁRIO P/ HORA (R$)])*150,
IF(ISNUMBER(SEARCH("AUXILIAR DE LIMPEZA - 220 H",tabParametros[[#This Row],[Função]],1)),
SUMIF(tabLimpGeral[TIPO],"Equipamento",tabLimpGeral[VALOR UNITÁRIO P/ HORA (R$)])*220,
IF(ISNUMBER(SEARCH("AUXILIAR DE LIMPEZA - 12 x 36",tabParametros[[#This Row],[Função]],1)),
SUMIF(tabLimpGeral[TIPO],"Equipamento",tabLimpGeral[VALOR UNITÁRIO P/ HORA (R$)])*220,
IF(ISNUMBER(SEARCH("Limpador de vidros - 220 h",tabParametros[[#This Row],[Função]],1)),
SUMIF(tabVidros[TIPO],"Equipamento",tabVidros[VALOR UNITÁRIO P/ POSTO (R$)]),
0))))))</f>
        <v>21.998657016417809</v>
      </c>
      <c r="BA79" s="281">
        <f>IF(ISNUMBER(SEARCH("AUXILIAR DE LIMPEZA - 75 H",tabParametros[[#This Row],[Função]],1)),
SUMIF(tabLimpGeral[TIPO],"Produto",tabLimpGeral[VALOR UNITÁRIO P/ HORA (R$)])*75,
IF(ISNUMBER(SEARCH("AUXILIAR DE LIMPEZA - 110 H",tabParametros[[#This Row],[Função]],1)),
SUMIF(tabLimpGeral[TIPO],"Produto",tabLimpGeral[VALOR UNITÁRIO P/ HORA (R$)])*110,
IF(ISNUMBER(SEARCH("AUXILIAR DE LIMPEZA - 150 H",tabParametros[[#This Row],[Função]],1)),
SUMIF(tabLimpGeral[TIPO],"Produto",tabLimpGeral[VALOR UNITÁRIO P/ HORA (R$)])*150,
IF(ISNUMBER(SEARCH("AUXILIAR DE LIMPEZA - 220 H",tabParametros[[#This Row],[Função]],1)),
SUMIF(tabLimpGeral[TIPO],"Produto",tabLimpGeral[VALOR UNITÁRIO P/ HORA (R$)])*220,
IF(ISNUMBER(SEARCH("AUXILIAR DE LIMPEZA - 12 x 36",tabParametros[[#This Row],[Função]],1)),
SUMIF(tabLimpGeral[TIPO],"Produto",tabLimpGeral[VALOR UNITÁRIO P/ HORA (R$)])*220,
IF(ISNUMBER(SEARCH("Limpador de vidros - 220 h",tabParametros[[#This Row],[Função]],1)),
SUMIF(tabVidros[TIPO],"Produto",tabVidros[VALOR UNITÁRIO P/ POSTO (R$)]),
0))))))</f>
        <v>235.31984072022155</v>
      </c>
      <c r="BB79" s="281">
        <v>0</v>
      </c>
      <c r="BC79" s="236">
        <f>VLOOKUP(tabParametros[[#Headers],[Custos Indiretos]],tabOutrosCustos[],3,0)</f>
        <v>189.64880140242613</v>
      </c>
      <c r="BD79" s="236">
        <f>VLOOKUP(tabParametros[[#Headers],[Lucro]],tabOutrosCustos[],3,0)</f>
        <v>159.30499317803796</v>
      </c>
      <c r="BE79" s="235">
        <f>VLOOKUP(tabParametros[[#Headers],[COFINS]],tabImpostosNacionais[],2,0)</f>
        <v>7.5999999999999998E-2</v>
      </c>
      <c r="BF79" s="235">
        <f>VLOOKUP(tabParametros[[#Headers],[PIS]],tabImpostosNacionais[],2,0)</f>
        <v>1.6500000000000001E-2</v>
      </c>
      <c r="BG79" s="235">
        <f>VLOOKUP(tabParametros[[#This Row],[Comarca]],tabComarca[],4,0)</f>
        <v>0.05</v>
      </c>
      <c r="BH79" s="238">
        <f>IFERROR(VLOOKUP(tabParametros[[#This Row],[CCT DA CATEGORIA]],tabSindicatos[],11,0),"")</f>
        <v>45658</v>
      </c>
      <c r="BI79" s="289" t="str">
        <f>IFERROR(VLOOKUP(tabParametros[[#This Row],[CCT DA CATEGORIA]],tabSindicatos[],12,0),"")</f>
        <v>-</v>
      </c>
      <c r="BJ79" s="293" t="str">
        <f>IFERROR(VLOOKUP(tabParametros[[#This Row],[CCT DA CATEGORIA]],tabSindicatos[],13,0),"")</f>
        <v>-</v>
      </c>
    </row>
    <row r="80" spans="1:62" x14ac:dyDescent="0.25">
      <c r="A80" s="233" t="s">
        <v>1420</v>
      </c>
      <c r="B80" s="198" t="s">
        <v>77</v>
      </c>
      <c r="C80" s="198" t="s">
        <v>1247</v>
      </c>
      <c r="D80" s="198" t="str">
        <f>VLOOKUP(tabParametros[[#This Row],[Código do Posto]],tabPostos[],4,0)</f>
        <v>Curvelo</v>
      </c>
      <c r="E80" s="289" t="str">
        <f>VLOOKUP(tabParametros[[#This Row],[Código do Posto]],tabPostos[],5,0)</f>
        <v>Limpeza</v>
      </c>
      <c r="F80" s="289" t="str">
        <f>VLOOKUP(tabParametros[[#This Row],[Código do Posto]],tabPostos[],6,0)</f>
        <v>PGJ</v>
      </c>
      <c r="G80" s="289">
        <f>VLOOKUP(tabParametros[[#This Row],[Código do Posto]],tabPostos[],7,0)</f>
        <v>1</v>
      </c>
      <c r="H80" s="289">
        <f>VLOOKUP(tabParametros[[#This Row],[Código do Posto]],tabPostos[],8,0)</f>
        <v>0</v>
      </c>
      <c r="I80" s="234">
        <f>VLOOKUP(tabParametros[[#This Row],[Código do Posto]],tabPostos[],9,0)</f>
        <v>544.17999999999995</v>
      </c>
      <c r="J80" s="234">
        <f>IF(ISNUMBER(SEARCH("Eletricista",tabParametros[[#This Row],[Função]],1)),0.3*tabParametros[[#This Row],[Salário Base]],0)</f>
        <v>0</v>
      </c>
      <c r="K80" s="234">
        <f>IF(OR(ISNUMBER(SEARCH("Bombeiro Hidraulico",tabParametros[[#This Row],[Função]],1)),ISNUMBER(SEARCH("Jardineiro",tabParametros[[#This Row],[Função]],1)),ISNUMBER(SEARCH("Lavador de Veiculos",tabParametros[[#This Row],[Função]],1)),ISNUMBER(SEARCH("Marceneiro",tabParametros[[#This Row],[Função]],1)),ISNUMBER(SEARCH("Pintor",tabParametros[[#This Row],[Função]],1))),0.2*'BASE GERAL'!$R$4,0)</f>
        <v>0</v>
      </c>
      <c r="L80" s="234">
        <f>IF(AND(ISNUMBER(SEARCH("Noturno",tabParametros[[#This Row],[Função]],1)),tabParametros[[#This Row],[Comarca]]&lt;&gt;"Juiz de Fora"),tabParametros[[#This Row],[Salário Base]]/210*0.39*7*15.5,IF(ISNUMBER(SEARCH("Noturno",tabParametros[[#This Row],[Função]],1)),tabParametros[[#This Row],[Salário Base]]/210*0.2*8*15.5,0))</f>
        <v>0</v>
      </c>
      <c r="M80" s="234">
        <f>IF(ISNUMBER(SEARCH("Motorista II",tabParametros[[#This Row],[Função]],1)),0.25*tabParametros[[#This Row],[Salário Base]],0)</f>
        <v>0</v>
      </c>
      <c r="N80" s="250">
        <v>0</v>
      </c>
      <c r="O80" s="234">
        <f>IF(ISNUMBER(SEARCH("TECNOLOGIA DA INFORMACAO",tabParametros[[#This Row],[Função]],1)),0.0201*tabParametros[[#This Row],[Salário Base]],0)</f>
        <v>0</v>
      </c>
      <c r="P80" s="250" cm="1">
        <f t="array" ref="P80">_xlfn.IFS(
ISNUMBER(SEARCH("Auxiliar de Limpeza - 75 h",tabParametros[[#This Row],[Função]],1)),tabParametros[[#This Row],[Salário Base]]/75*0.75*30*0.12,
ISNUMBER(SEARCH("Auxiliar de Limpeza - 110 h",tabParametros[[#This Row],[Função]],1)),tabParametros[[#This Row],[Salário Base]]/110*1*30*0.12,
ISNUMBER(SEARCH("Auxiliar de Limpeza - 150 h",tabParametros[[#This Row],[Função]],1)),tabParametros[[#This Row],[Salário Base]]/150*1.5*30*0.12,
ISNUMBER(SEARCH("Auxiliar de Limpeza - 220 h",tabParametros[[#This Row],[Função]],1)),tabParametros[[#This Row],[Salário Base]]/220*2*30*0.12,
ISNUMBER(SEARCH("Auxiliar de Limpeza - 12 x 36",tabParametros[[#This Row],[Função]],1)),tabParametros[[#This Row],[Salário Base]]/220*2*30*0.12,
ISNUMBER(SEARCH("Auxiliar de Limpeza - 55 h",tabParametros[[#This Row],[Função]],1))=FALSE,0)</f>
        <v>19.590479999999999</v>
      </c>
      <c r="Q80" s="235">
        <f>VLOOKUP(tabParametros[[#Headers],[INSS]],tabImpostosNacionais[],2,0)</f>
        <v>0.2</v>
      </c>
      <c r="R80" s="235">
        <f>VLOOKUP(tabParametros[[#Headers],[SESI OU SESC]],tabImpostosNacionais[],2,0)</f>
        <v>1.4999999999999999E-2</v>
      </c>
      <c r="S80" s="235">
        <f>VLOOKUP(tabParametros[[#Headers],[SENAI OU SENAC]],tabImpostosNacionais[],2,0)</f>
        <v>0.01</v>
      </c>
      <c r="T80" s="235">
        <f>VLOOKUP(tabParametros[[#Headers],[INCRA]],tabImpostosNacionais[],2,0)</f>
        <v>2E-3</v>
      </c>
      <c r="U80" s="235">
        <f>VLOOKUP(tabParametros[[#Headers],[Salário Educação]],tabImpostosNacionais[],2,0)</f>
        <v>2.5000000000000001E-2</v>
      </c>
      <c r="V80" s="235">
        <f>VLOOKUP(tabParametros[[#Headers],[FGTS]],tabImpostosNacionais[],2,0)</f>
        <v>0.08</v>
      </c>
      <c r="W80" s="235">
        <f>VLOOKUP(tabParametros[[#Headers],[RAT Ajustado]],tabImpostosNacionais[],2,0)</f>
        <v>0.04</v>
      </c>
      <c r="X80" s="235">
        <f>VLOOKUP(tabParametros[[#Headers],[SEBRAE]],tabImpostosNacionais[],2,0)</f>
        <v>6.0000000000000001E-3</v>
      </c>
      <c r="Y80" s="235">
        <f t="shared" si="11"/>
        <v>8.3333333333333329E-2</v>
      </c>
      <c r="Z80" s="251">
        <f t="shared" si="12"/>
        <v>0.1111111111111111</v>
      </c>
      <c r="AA80" s="234">
        <f>VLOOKUP(tabParametros[[#This Row],[Comarca]],tabComarca[],5,0)</f>
        <v>6.4</v>
      </c>
      <c r="AB80" s="234">
        <f>IFERROR(VLOOKUP(tabParametros[[#This Row],[CCT DA CATEGORIA]],tabSindicatos[],6,0),0)</f>
        <v>29.15</v>
      </c>
      <c r="AC80" s="234">
        <f>IFERROR(VLOOKUP(tabParametros[[#This Row],[CCT DA CATEGORIA]],tabSindicatos[],7,0),0)</f>
        <v>0</v>
      </c>
      <c r="AD80" s="234" cm="1">
        <f t="array" ref="AD80">_xlfn.LET(
_xlpm.COMARCA, TRIM(UPPER(SUBSTITUTE(SUBSTITUTE(SUBSTITUTE(SUBSTITUTE(SUBSTITUTE(SUBSTITUTE(SUBSTITUTE(SUBSTITUTE(SUBSTITUTE(SUBSTITUTE(SUBSTITUTE(SUBSTITUTE(SUBSTITUTE(SUBSTITUTE(SUBSTITUTE(SUBSTITUTE(SUBSTITUTE(SUBSTITUTE(SUBSTITUTE(SUBSTITUTE(SUBSTITUTE(SUBSTITUTE(SUBSTITUTE(SUBSTITUTE(SUBSTITUTE(SUBSTITUTE(tabParametros[[#This Row],[Comarca]],"á","a"),"ã","a"),"â","a"),"é","e"),"ê","e"),"í","i"),"ó","o"),"õ","o"),"ô","o"),"ú","u"),"ç","c"),"Á","a"),"Ã","a"),"Â","a"),"É","e"),"Ê","e"),"Í","i"),"Ó","o"),"Õ","o"),"Ô","o"),"Ú","u"),"Ç","c"),"/MG","")," e ",", ")," ",""),".",""))),
_xlpm.MATRIZ_COMARCA, TRIM(UPPER(SUBSTITUTE(SUBSTITUTE(SUBSTITUTE(SUBSTITUTE(SUBSTITUTE(SUBSTITUTE(SUBSTITUTE(SUBSTITUTE(SUBSTITUTE(SUBSTITUTE(SUBSTITUTE(SUBSTITUTE(SUBSTITUTE(SUBSTITUTE(SUBSTITUTE(SUBSTITUTE(SUBSTITUTE(SUBSTITUTE(SUBSTITUTE(SUBSTITUTE(SUBSTITUTE(SUBSTITUTE(SUBSTITUTE(SUBSTITUTE(SUBSTITUTE(SUBSTITUTE(tabSindicatos[COMARCAS PAF],"á","a"),"ã","a"),"â","a"),"é","e"),"ê","e"),"í","i"),"ó","o"),"õ","o"),"ô","o"),"ú","u"),"ç","c"),"Á","a"),"Ã","a"),"Â","a"),"É","e"),"Ê","e"),"Í","i"),"Ó","o"),"Õ","o"),"Ô","o"),"Ú","u"),"Ç","c"),"/MG","")," e ",", ")," ",""),".",""))),
IFERROR(IF(_xlfn.XLOOKUP(tabParametros[[#This Row],[CCT DA CATEGORIA]],tabSindicatos[SINDICATOS],tabSindicatos[COMARCAS PAF])="",
VLOOKUP(tabParametros[[#This Row],[CCT DA CATEGORIA]],tabSindicatos[],8,0),
IF(ISNUMBER(SEARCH(TRIM(_xlpm.COMARCA),_xlfn.XLOOKUP(tabParametros[[#This Row],[CCT DA CATEGORIA]],tabSindicatos[SINDICATOS],_xlpm.MATRIZ_COMARCA),1)),VLOOKUP(tabParametros[[#This Row],[CCT DA CATEGORIA]],tabSindicatos[],8,0),0)
),0)
)</f>
        <v>0</v>
      </c>
      <c r="AE80" s="234">
        <f>IFERROR(VLOOKUP(tabParametros[[#This Row],[CCT DA CATEGORIA]],tabSindicatos[],9,0),0)</f>
        <v>0</v>
      </c>
      <c r="AF80" s="234">
        <f>IFERROR(VLOOKUP(tabParametros[[#This Row],[CCT DA CATEGORIA]],tabSindicatos[],10,0),0)</f>
        <v>0</v>
      </c>
      <c r="AG80" s="236">
        <f>VLOOKUP(tabParametros[[#Headers],[Seguro de Vida]],tabOutrosCustos[],3,0)</f>
        <v>3.36</v>
      </c>
      <c r="AH80" s="236">
        <f>IF(ISNUMBER(SEARCH("MOTORISTA",tabParametros[[#This Row],[Função]],1)),VLOOKUP("MOTORISTAS",tabDiarias[],2,0),IF(tabParametros[[#This Row],[Comarca]]="Belo Horizonte",VLOOKUP("LIMPEZA",tabDiarias[],2,0),0))</f>
        <v>0</v>
      </c>
      <c r="AI80" s="235">
        <f t="shared" si="13"/>
        <v>7.011766975308642E-3</v>
      </c>
      <c r="AJ80" s="237">
        <f>tabParametros[[#This Row],[FGTS]]*tabParametros[[#This Row],[Aviso Prévio Indenizado (API) e Reflexo do Aviso Prévio Indenizado]]</f>
        <v>5.609413580246914E-4</v>
      </c>
      <c r="AK80" s="237">
        <f>tabParametros[[#This Row],[FGTS]]*tabParametros[[#This Row],[Aviso Prévio Indenizado (API) e Reflexo do Aviso Prévio Indenizado]]*40%</f>
        <v>2.2437654320987658E-4</v>
      </c>
      <c r="AL80" s="235">
        <f t="shared" si="14"/>
        <v>3.5000000000000005E-3</v>
      </c>
      <c r="AM80" s="235">
        <f>tabParametros[[#This Row],[Aviso Prévio Trabalhado - APT]]*SUM(tabParametros[[#This Row],[INSS]:[SEBRAE]])</f>
        <v>1.3230000000000004E-3</v>
      </c>
      <c r="AN80" s="235">
        <f t="shared" si="15"/>
        <v>3.0577777777777773E-2</v>
      </c>
      <c r="AO80" s="235">
        <f t="shared" si="16"/>
        <v>8.3333333333333339E-4</v>
      </c>
      <c r="AP80" s="235">
        <f t="shared" si="17"/>
        <v>8.4444444444444437E-3</v>
      </c>
      <c r="AQ80" s="235">
        <f t="shared" si="18"/>
        <v>2.0277777777777777E-3</v>
      </c>
      <c r="AR80" s="235">
        <f t="shared" si="19"/>
        <v>1.7083333333333333E-4</v>
      </c>
      <c r="AS80" s="235">
        <f t="shared" si="20"/>
        <v>2.0833333333333335E-4</v>
      </c>
      <c r="AT80" s="235">
        <f t="shared" si="21"/>
        <v>1.2962962962962963E-3</v>
      </c>
      <c r="AU80" s="237">
        <f>SUM(tabParametros[[#This Row],[Ausência por Doença]:[Férias, Adicional de Férias e 13º  com empregada em gozo de Licença Maternidade]])*SUM(tabParametros[[#This Row],[INSS]:[SEBRAE]])</f>
        <v>4.5918250000000008E-3</v>
      </c>
      <c r="AV80" s="234">
        <f>IF(tabParametros[[#This Row],[Função]]="Porteiro - 220 h",SUM(tabParametros[[#This Row],[Salário Base]:[Adicional de Acúmulo de função]])/220*20*1.5,IF(ISNUMBER(SEARCH("12 x 36",tabParametros[[#This Row],[Função]],1)),SUM(tabParametros[[#This Row],[Salário Base]:[Adicional de Acúmulo de função]])/210*15.5*1.5,0))</f>
        <v>0</v>
      </c>
      <c r="AW80" s="234">
        <f>IF(tabParametros[[#This Row],[Vagas contratadas]]&gt;0,(SUM(tabParametros[[#This Row],[Salário Base]:[Adicional de Acúmulo de função]])*30%+SUM(tabParametros[[#This Row],[Vale - Alimentação]:[Seguro de Vida]]))/tabParametros[[#This Row],[Vagas contratadas]]*tabParametros[[#This Row],[Vagas suspensas]],0)</f>
        <v>0</v>
      </c>
      <c r="AX80" s="234">
        <f>SUMIF(tabUniformes[Cargo],tabParametros[[#This Row],[Função]],tabUniformes[Valor unit. Mensal])</f>
        <v>62.806666666666665</v>
      </c>
      <c r="AY80" s="281">
        <f>IF(ISNUMBER(SEARCH("AUXILIAR DE LIMPEZA - 75 H",tabParametros[[#This Row],[Função]],1)),
SUMIF(tabLimpGeral[TIPO],"Material",tabLimpGeral[VALOR UNITÁRIO P/ HORA (R$)])*75,
IF(ISNUMBER(SEARCH("AUXILIAR DE LIMPEZA - 110 H",tabParametros[[#This Row],[Função]],1)),
SUMIF(tabLimpGeral[TIPO],"Material",tabLimpGeral[VALOR UNITÁRIO P/ HORA (R$)])*110,
IF(ISNUMBER(SEARCH("AUXILIAR DE LIMPEZA - 150 H",tabParametros[[#This Row],[Função]],1)),
SUMIF(tabLimpGeral[TIPO],"Material",tabLimpGeral[VALOR UNITÁRIO P/ HORA (R$)])*150,
IF(ISNUMBER(SEARCH("AUXILIAR DE LIMPEZA - 220 H",tabParametros[[#This Row],[Função]],1)),
SUMIF(tabLimpGeral[TIPO],"Material",tabLimpGeral[VALOR UNITÁRIO P/ HORA (R$)])*220,
IF(ISNUMBER(SEARCH("AUXILIAR DE LIMPEZA - 12 x 36",tabParametros[[#This Row],[Função]],1)),
SUMIF(tabLimpGeral[TIPO],"Material",tabLimpGeral[VALOR UNITÁRIO P/ HORA (R$)])*220,
IF(ISNUMBER(SEARCH("Limpador de vidros - 220 h",tabParametros[[#This Row],[Função]],1)),
SUMIF(tabVidros[TIPO],"Material",tabVidros[VALOR UNITÁRIO P/ POSTO (R$)]),
0))))))</f>
        <v>12.108481690426325</v>
      </c>
      <c r="AZ80" s="281">
        <f>IF(ISNUMBER(SEARCH("AUXILIAR DE LIMPEZA - 75 H",tabParametros[[#This Row],[Função]],1)),
SUMIF(tabLimpGeral[TIPO],"Equipamento",tabLimpGeral[VALOR UNITÁRIO P/ HORA (R$)])*75,
IF(ISNUMBER(SEARCH("AUXILIAR DE LIMPEZA - 110 H",tabParametros[[#This Row],[Função]],1)),
SUMIF(tabLimpGeral[TIPO],"Equipamento",tabLimpGeral[VALOR UNITÁRIO P/ HORA (R$)])*110,
IF(ISNUMBER(SEARCH("AUXILIAR DE LIMPEZA - 150 H",tabParametros[[#This Row],[Função]],1)),
SUMIF(tabLimpGeral[TIPO],"Equipamento",tabLimpGeral[VALOR UNITÁRIO P/ HORA (R$)])*150,
IF(ISNUMBER(SEARCH("AUXILIAR DE LIMPEZA - 220 H",tabParametros[[#This Row],[Função]],1)),
SUMIF(tabLimpGeral[TIPO],"Equipamento",tabLimpGeral[VALOR UNITÁRIO P/ HORA (R$)])*220,
IF(ISNUMBER(SEARCH("AUXILIAR DE LIMPEZA - 12 x 36",tabParametros[[#This Row],[Função]],1)),
SUMIF(tabLimpGeral[TIPO],"Equipamento",tabLimpGeral[VALOR UNITÁRIO P/ HORA (R$)])*220,
IF(ISNUMBER(SEARCH("Limpador de vidros - 220 h",tabParametros[[#This Row],[Função]],1)),
SUMIF(tabVidros[TIPO],"Equipamento",tabVidros[VALOR UNITÁRIO P/ POSTO (R$)]),
0))))))</f>
        <v>21.998657016417809</v>
      </c>
      <c r="BA80" s="281">
        <f>IF(ISNUMBER(SEARCH("AUXILIAR DE LIMPEZA - 75 H",tabParametros[[#This Row],[Função]],1)),
SUMIF(tabLimpGeral[TIPO],"Produto",tabLimpGeral[VALOR UNITÁRIO P/ HORA (R$)])*75,
IF(ISNUMBER(SEARCH("AUXILIAR DE LIMPEZA - 110 H",tabParametros[[#This Row],[Função]],1)),
SUMIF(tabLimpGeral[TIPO],"Produto",tabLimpGeral[VALOR UNITÁRIO P/ HORA (R$)])*110,
IF(ISNUMBER(SEARCH("AUXILIAR DE LIMPEZA - 150 H",tabParametros[[#This Row],[Função]],1)),
SUMIF(tabLimpGeral[TIPO],"Produto",tabLimpGeral[VALOR UNITÁRIO P/ HORA (R$)])*150,
IF(ISNUMBER(SEARCH("AUXILIAR DE LIMPEZA - 220 H",tabParametros[[#This Row],[Função]],1)),
SUMIF(tabLimpGeral[TIPO],"Produto",tabLimpGeral[VALOR UNITÁRIO P/ HORA (R$)])*220,
IF(ISNUMBER(SEARCH("AUXILIAR DE LIMPEZA - 12 x 36",tabParametros[[#This Row],[Função]],1)),
SUMIF(tabLimpGeral[TIPO],"Produto",tabLimpGeral[VALOR UNITÁRIO P/ HORA (R$)])*220,
IF(ISNUMBER(SEARCH("Limpador de vidros - 220 h",tabParametros[[#This Row],[Função]],1)),
SUMIF(tabVidros[TIPO],"Produto",tabVidros[VALOR UNITÁRIO P/ POSTO (R$)]),
0))))))</f>
        <v>235.31984072022155</v>
      </c>
      <c r="BB80" s="281">
        <v>0</v>
      </c>
      <c r="BC80" s="236">
        <f>VLOOKUP(tabParametros[[#Headers],[Custos Indiretos]],tabOutrosCustos[],3,0)</f>
        <v>189.64880140242613</v>
      </c>
      <c r="BD80" s="236">
        <f>VLOOKUP(tabParametros[[#Headers],[Lucro]],tabOutrosCustos[],3,0)</f>
        <v>159.30499317803796</v>
      </c>
      <c r="BE80" s="235">
        <f>VLOOKUP(tabParametros[[#Headers],[COFINS]],tabImpostosNacionais[],2,0)</f>
        <v>7.5999999999999998E-2</v>
      </c>
      <c r="BF80" s="235">
        <f>VLOOKUP(tabParametros[[#Headers],[PIS]],tabImpostosNacionais[],2,0)</f>
        <v>1.6500000000000001E-2</v>
      </c>
      <c r="BG80" s="235">
        <f>VLOOKUP(tabParametros[[#This Row],[Comarca]],tabComarca[],4,0)</f>
        <v>0.05</v>
      </c>
      <c r="BH80" s="238">
        <f>IFERROR(VLOOKUP(tabParametros[[#This Row],[CCT DA CATEGORIA]],tabSindicatos[],11,0),"")</f>
        <v>45658</v>
      </c>
      <c r="BI80" s="289" t="str">
        <f>IFERROR(VLOOKUP(tabParametros[[#This Row],[CCT DA CATEGORIA]],tabSindicatos[],12,0),"")</f>
        <v>-</v>
      </c>
      <c r="BJ80" s="293" t="str">
        <f>IFERROR(VLOOKUP(tabParametros[[#This Row],[CCT DA CATEGORIA]],tabSindicatos[],13,0),"")</f>
        <v>-</v>
      </c>
    </row>
    <row r="81" spans="1:62" x14ac:dyDescent="0.25">
      <c r="A81" s="233" t="s">
        <v>1421</v>
      </c>
      <c r="B81" s="198" t="s">
        <v>78</v>
      </c>
      <c r="C81" s="198" t="s">
        <v>1244</v>
      </c>
      <c r="D81" s="198" t="str">
        <f>VLOOKUP(tabParametros[[#This Row],[Código do Posto]],tabPostos[],4,0)</f>
        <v>Alto Paranaiba</v>
      </c>
      <c r="E81" s="289" t="str">
        <f>VLOOKUP(tabParametros[[#This Row],[Código do Posto]],tabPostos[],5,0)</f>
        <v>Limpeza</v>
      </c>
      <c r="F81" s="289" t="str">
        <f>VLOOKUP(tabParametros[[#This Row],[Código do Posto]],tabPostos[],6,0)</f>
        <v>PGJ</v>
      </c>
      <c r="G81" s="289">
        <f>VLOOKUP(tabParametros[[#This Row],[Código do Posto]],tabPostos[],7,0)</f>
        <v>1</v>
      </c>
      <c r="H81" s="289">
        <f>VLOOKUP(tabParametros[[#This Row],[Código do Posto]],tabPostos[],8,0)</f>
        <v>0</v>
      </c>
      <c r="I81" s="234">
        <f>VLOOKUP(tabParametros[[#This Row],[Código do Posto]],tabPostos[],9,0)</f>
        <v>798.14</v>
      </c>
      <c r="J81" s="234">
        <f>IF(ISNUMBER(SEARCH("Eletricista",tabParametros[[#This Row],[Função]],1)),0.3*tabParametros[[#This Row],[Salário Base]],0)</f>
        <v>0</v>
      </c>
      <c r="K81" s="234">
        <f>IF(OR(ISNUMBER(SEARCH("Bombeiro Hidraulico",tabParametros[[#This Row],[Função]],1)),ISNUMBER(SEARCH("Jardineiro",tabParametros[[#This Row],[Função]],1)),ISNUMBER(SEARCH("Lavador de Veiculos",tabParametros[[#This Row],[Função]],1)),ISNUMBER(SEARCH("Marceneiro",tabParametros[[#This Row],[Função]],1)),ISNUMBER(SEARCH("Pintor",tabParametros[[#This Row],[Função]],1))),0.2*'BASE GERAL'!$R$4,0)</f>
        <v>0</v>
      </c>
      <c r="L81" s="234">
        <f>IF(AND(ISNUMBER(SEARCH("Noturno",tabParametros[[#This Row],[Função]],1)),tabParametros[[#This Row],[Comarca]]&lt;&gt;"Juiz de Fora"),tabParametros[[#This Row],[Salário Base]]/210*0.39*7*15.5,IF(ISNUMBER(SEARCH("Noturno",tabParametros[[#This Row],[Função]],1)),tabParametros[[#This Row],[Salário Base]]/210*0.2*8*15.5,0))</f>
        <v>0</v>
      </c>
      <c r="M81" s="234">
        <f>IF(ISNUMBER(SEARCH("Motorista II",tabParametros[[#This Row],[Função]],1)),0.25*tabParametros[[#This Row],[Salário Base]],0)</f>
        <v>0</v>
      </c>
      <c r="N81" s="250">
        <v>0</v>
      </c>
      <c r="O81" s="234">
        <f>IF(ISNUMBER(SEARCH("TECNOLOGIA DA INFORMACAO",tabParametros[[#This Row],[Função]],1)),0.0201*tabParametros[[#This Row],[Salário Base]],0)</f>
        <v>0</v>
      </c>
      <c r="P81" s="250" cm="1">
        <f t="array" ref="P81">_xlfn.IFS(
ISNUMBER(SEARCH("Auxiliar de Limpeza - 75 h",tabParametros[[#This Row],[Função]],1)),tabParametros[[#This Row],[Salário Base]]/75*0.75*30*0.12,
ISNUMBER(SEARCH("Auxiliar de Limpeza - 110 h",tabParametros[[#This Row],[Função]],1)),tabParametros[[#This Row],[Salário Base]]/110*1*30*0.12,
ISNUMBER(SEARCH("Auxiliar de Limpeza - 150 h",tabParametros[[#This Row],[Função]],1)),tabParametros[[#This Row],[Salário Base]]/150*1.5*30*0.12,
ISNUMBER(SEARCH("Auxiliar de Limpeza - 220 h",tabParametros[[#This Row],[Função]],1)),tabParametros[[#This Row],[Salário Base]]/220*2*30*0.12,
ISNUMBER(SEARCH("Auxiliar de Limpeza - 12 x 36",tabParametros[[#This Row],[Função]],1)),tabParametros[[#This Row],[Salário Base]]/220*2*30*0.12,
ISNUMBER(SEARCH("Auxiliar de Limpeza - 55 h",tabParametros[[#This Row],[Função]],1))=FALSE,0)</f>
        <v>26.120945454545453</v>
      </c>
      <c r="Q81" s="235">
        <f>VLOOKUP(tabParametros[[#Headers],[INSS]],tabImpostosNacionais[],2,0)</f>
        <v>0.2</v>
      </c>
      <c r="R81" s="235">
        <f>VLOOKUP(tabParametros[[#Headers],[SESI OU SESC]],tabImpostosNacionais[],2,0)</f>
        <v>1.4999999999999999E-2</v>
      </c>
      <c r="S81" s="235">
        <f>VLOOKUP(tabParametros[[#Headers],[SENAI OU SENAC]],tabImpostosNacionais[],2,0)</f>
        <v>0.01</v>
      </c>
      <c r="T81" s="235">
        <f>VLOOKUP(tabParametros[[#Headers],[INCRA]],tabImpostosNacionais[],2,0)</f>
        <v>2E-3</v>
      </c>
      <c r="U81" s="235">
        <f>VLOOKUP(tabParametros[[#Headers],[Salário Educação]],tabImpostosNacionais[],2,0)</f>
        <v>2.5000000000000001E-2</v>
      </c>
      <c r="V81" s="235">
        <f>VLOOKUP(tabParametros[[#Headers],[FGTS]],tabImpostosNacionais[],2,0)</f>
        <v>0.08</v>
      </c>
      <c r="W81" s="235">
        <f>VLOOKUP(tabParametros[[#Headers],[RAT Ajustado]],tabImpostosNacionais[],2,0)</f>
        <v>0.04</v>
      </c>
      <c r="X81" s="235">
        <f>VLOOKUP(tabParametros[[#Headers],[SEBRAE]],tabImpostosNacionais[],2,0)</f>
        <v>6.0000000000000001E-3</v>
      </c>
      <c r="Y81" s="235">
        <f t="shared" si="11"/>
        <v>8.3333333333333329E-2</v>
      </c>
      <c r="Z81" s="251">
        <f t="shared" si="12"/>
        <v>0.1111111111111111</v>
      </c>
      <c r="AA81" s="234">
        <f>VLOOKUP(tabParametros[[#This Row],[Comarca]],tabComarca[],5,0)</f>
        <v>6.4</v>
      </c>
      <c r="AB81" s="234">
        <f>IFERROR(VLOOKUP(tabParametros[[#This Row],[CCT DA CATEGORIA]],tabSindicatos[],6,0),0)</f>
        <v>0</v>
      </c>
      <c r="AC81" s="234">
        <f>IFERROR(VLOOKUP(tabParametros[[#This Row],[CCT DA CATEGORIA]],tabSindicatos[],7,0),0)</f>
        <v>387.79</v>
      </c>
      <c r="AD81" s="234" cm="1">
        <f t="array" ref="AD81">_xlfn.LET(
_xlpm.COMARCA, TRIM(UPPER(SUBSTITUTE(SUBSTITUTE(SUBSTITUTE(SUBSTITUTE(SUBSTITUTE(SUBSTITUTE(SUBSTITUTE(SUBSTITUTE(SUBSTITUTE(SUBSTITUTE(SUBSTITUTE(SUBSTITUTE(SUBSTITUTE(SUBSTITUTE(SUBSTITUTE(SUBSTITUTE(SUBSTITUTE(SUBSTITUTE(SUBSTITUTE(SUBSTITUTE(SUBSTITUTE(SUBSTITUTE(SUBSTITUTE(SUBSTITUTE(SUBSTITUTE(SUBSTITUTE(tabParametros[[#This Row],[Comarca]],"á","a"),"ã","a"),"â","a"),"é","e"),"ê","e"),"í","i"),"ó","o"),"õ","o"),"ô","o"),"ú","u"),"ç","c"),"Á","a"),"Ã","a"),"Â","a"),"É","e"),"Ê","e"),"Í","i"),"Ó","o"),"Õ","o"),"Ô","o"),"Ú","u"),"Ç","c"),"/MG","")," e ",", ")," ",""),".",""))),
_xlpm.MATRIZ_COMARCA, TRIM(UPPER(SUBSTITUTE(SUBSTITUTE(SUBSTITUTE(SUBSTITUTE(SUBSTITUTE(SUBSTITUTE(SUBSTITUTE(SUBSTITUTE(SUBSTITUTE(SUBSTITUTE(SUBSTITUTE(SUBSTITUTE(SUBSTITUTE(SUBSTITUTE(SUBSTITUTE(SUBSTITUTE(SUBSTITUTE(SUBSTITUTE(SUBSTITUTE(SUBSTITUTE(SUBSTITUTE(SUBSTITUTE(SUBSTITUTE(SUBSTITUTE(SUBSTITUTE(SUBSTITUTE(tabSindicatos[COMARCAS PAF],"á","a"),"ã","a"),"â","a"),"é","e"),"ê","e"),"í","i"),"ó","o"),"õ","o"),"ô","o"),"ú","u"),"ç","c"),"Á","a"),"Ã","a"),"Â","a"),"É","e"),"Ê","e"),"Í","i"),"Ó","o"),"Õ","o"),"Ô","o"),"Ú","u"),"Ç","c"),"/MG","")," e ",", ")," ",""),".",""))),
IFERROR(IF(_xlfn.XLOOKUP(tabParametros[[#This Row],[CCT DA CATEGORIA]],tabSindicatos[SINDICATOS],tabSindicatos[COMARCAS PAF])="",
VLOOKUP(tabParametros[[#This Row],[CCT DA CATEGORIA]],tabSindicatos[],8,0),
IF(ISNUMBER(SEARCH(TRIM(_xlpm.COMARCA),_xlfn.XLOOKUP(tabParametros[[#This Row],[CCT DA CATEGORIA]],tabSindicatos[SINDICATOS],_xlpm.MATRIZ_COMARCA),1)),VLOOKUP(tabParametros[[#This Row],[CCT DA CATEGORIA]],tabSindicatos[],8,0),0)
),0)
)</f>
        <v>42.97</v>
      </c>
      <c r="AE81" s="234">
        <f>IFERROR(VLOOKUP(tabParametros[[#This Row],[CCT DA CATEGORIA]],tabSindicatos[],9,0),0)</f>
        <v>0</v>
      </c>
      <c r="AF81" s="234">
        <f>IFERROR(VLOOKUP(tabParametros[[#This Row],[CCT DA CATEGORIA]],tabSindicatos[],10,0),0)</f>
        <v>0</v>
      </c>
      <c r="AG81" s="236">
        <f>VLOOKUP(tabParametros[[#Headers],[Seguro de Vida]],tabOutrosCustos[],3,0)</f>
        <v>3.36</v>
      </c>
      <c r="AH81" s="236">
        <f>IF(ISNUMBER(SEARCH("MOTORISTA",tabParametros[[#This Row],[Função]],1)),VLOOKUP("MOTORISTAS",tabDiarias[],2,0),IF(tabParametros[[#This Row],[Comarca]]="Belo Horizonte",VLOOKUP("LIMPEZA",tabDiarias[],2,0),0))</f>
        <v>0</v>
      </c>
      <c r="AI81" s="235">
        <f t="shared" si="13"/>
        <v>7.011766975308642E-3</v>
      </c>
      <c r="AJ81" s="237">
        <f>tabParametros[[#This Row],[FGTS]]*tabParametros[[#This Row],[Aviso Prévio Indenizado (API) e Reflexo do Aviso Prévio Indenizado]]</f>
        <v>5.609413580246914E-4</v>
      </c>
      <c r="AK81" s="237">
        <f>tabParametros[[#This Row],[FGTS]]*tabParametros[[#This Row],[Aviso Prévio Indenizado (API) e Reflexo do Aviso Prévio Indenizado]]*40%</f>
        <v>2.2437654320987658E-4</v>
      </c>
      <c r="AL81" s="235">
        <f t="shared" si="14"/>
        <v>3.5000000000000005E-3</v>
      </c>
      <c r="AM81" s="235">
        <f>tabParametros[[#This Row],[Aviso Prévio Trabalhado - APT]]*SUM(tabParametros[[#This Row],[INSS]:[SEBRAE]])</f>
        <v>1.3230000000000004E-3</v>
      </c>
      <c r="AN81" s="235">
        <f t="shared" si="15"/>
        <v>3.0577777777777773E-2</v>
      </c>
      <c r="AO81" s="235">
        <f t="shared" si="16"/>
        <v>8.3333333333333339E-4</v>
      </c>
      <c r="AP81" s="235">
        <f t="shared" si="17"/>
        <v>8.4444444444444437E-3</v>
      </c>
      <c r="AQ81" s="235">
        <f t="shared" si="18"/>
        <v>2.0277777777777777E-3</v>
      </c>
      <c r="AR81" s="235">
        <f t="shared" si="19"/>
        <v>1.7083333333333333E-4</v>
      </c>
      <c r="AS81" s="235">
        <f t="shared" si="20"/>
        <v>2.0833333333333335E-4</v>
      </c>
      <c r="AT81" s="235">
        <f t="shared" si="21"/>
        <v>1.2962962962962963E-3</v>
      </c>
      <c r="AU81" s="237">
        <f>SUM(tabParametros[[#This Row],[Ausência por Doença]:[Férias, Adicional de Férias e 13º  com empregada em gozo de Licença Maternidade]])*SUM(tabParametros[[#This Row],[INSS]:[SEBRAE]])</f>
        <v>4.5918250000000008E-3</v>
      </c>
      <c r="AV81" s="234">
        <f>IF(tabParametros[[#This Row],[Função]]="Porteiro - 220 h",SUM(tabParametros[[#This Row],[Salário Base]:[Adicional de Acúmulo de função]])/220*20*1.5,IF(ISNUMBER(SEARCH("12 x 36",tabParametros[[#This Row],[Função]],1)),SUM(tabParametros[[#This Row],[Salário Base]:[Adicional de Acúmulo de função]])/210*15.5*1.5,0))</f>
        <v>0</v>
      </c>
      <c r="AW81" s="234">
        <f>IF(tabParametros[[#This Row],[Vagas contratadas]]&gt;0,(SUM(tabParametros[[#This Row],[Salário Base]:[Adicional de Acúmulo de função]])*30%+SUM(tabParametros[[#This Row],[Vale - Alimentação]:[Seguro de Vida]]))/tabParametros[[#This Row],[Vagas contratadas]]*tabParametros[[#This Row],[Vagas suspensas]],0)</f>
        <v>0</v>
      </c>
      <c r="AX81" s="234">
        <f>SUMIF(tabUniformes[Cargo],tabParametros[[#This Row],[Função]],tabUniformes[Valor unit. Mensal])</f>
        <v>62.806666666666665</v>
      </c>
      <c r="AY81" s="281">
        <f>IF(ISNUMBER(SEARCH("AUXILIAR DE LIMPEZA - 75 H",tabParametros[[#This Row],[Função]],1)),
SUMIF(tabLimpGeral[TIPO],"Material",tabLimpGeral[VALOR UNITÁRIO P/ HORA (R$)])*75,
IF(ISNUMBER(SEARCH("AUXILIAR DE LIMPEZA - 110 H",tabParametros[[#This Row],[Função]],1)),
SUMIF(tabLimpGeral[TIPO],"Material",tabLimpGeral[VALOR UNITÁRIO P/ HORA (R$)])*110,
IF(ISNUMBER(SEARCH("AUXILIAR DE LIMPEZA - 150 H",tabParametros[[#This Row],[Função]],1)),
SUMIF(tabLimpGeral[TIPO],"Material",tabLimpGeral[VALOR UNITÁRIO P/ HORA (R$)])*150,
IF(ISNUMBER(SEARCH("AUXILIAR DE LIMPEZA - 220 H",tabParametros[[#This Row],[Função]],1)),
SUMIF(tabLimpGeral[TIPO],"Material",tabLimpGeral[VALOR UNITÁRIO P/ HORA (R$)])*220,
IF(ISNUMBER(SEARCH("AUXILIAR DE LIMPEZA - 12 x 36",tabParametros[[#This Row],[Função]],1)),
SUMIF(tabLimpGeral[TIPO],"Material",tabLimpGeral[VALOR UNITÁRIO P/ HORA (R$)])*220,
IF(ISNUMBER(SEARCH("Limpador de vidros - 220 h",tabParametros[[#This Row],[Função]],1)),
SUMIF(tabVidros[TIPO],"Material",tabVidros[VALOR UNITÁRIO P/ POSTO (R$)]),
0))))))</f>
        <v>17.759106479291944</v>
      </c>
      <c r="AZ81" s="281">
        <f>IF(ISNUMBER(SEARCH("AUXILIAR DE LIMPEZA - 75 H",tabParametros[[#This Row],[Função]],1)),
SUMIF(tabLimpGeral[TIPO],"Equipamento",tabLimpGeral[VALOR UNITÁRIO P/ HORA (R$)])*75,
IF(ISNUMBER(SEARCH("AUXILIAR DE LIMPEZA - 110 H",tabParametros[[#This Row],[Função]],1)),
SUMIF(tabLimpGeral[TIPO],"Equipamento",tabLimpGeral[VALOR UNITÁRIO P/ HORA (R$)])*110,
IF(ISNUMBER(SEARCH("AUXILIAR DE LIMPEZA - 150 H",tabParametros[[#This Row],[Função]],1)),
SUMIF(tabLimpGeral[TIPO],"Equipamento",tabLimpGeral[VALOR UNITÁRIO P/ HORA (R$)])*150,
IF(ISNUMBER(SEARCH("AUXILIAR DE LIMPEZA - 220 H",tabParametros[[#This Row],[Função]],1)),
SUMIF(tabLimpGeral[TIPO],"Equipamento",tabLimpGeral[VALOR UNITÁRIO P/ HORA (R$)])*220,
IF(ISNUMBER(SEARCH("AUXILIAR DE LIMPEZA - 12 x 36",tabParametros[[#This Row],[Função]],1)),
SUMIF(tabLimpGeral[TIPO],"Equipamento",tabLimpGeral[VALOR UNITÁRIO P/ HORA (R$)])*220,
IF(ISNUMBER(SEARCH("Limpador de vidros - 220 h",tabParametros[[#This Row],[Função]],1)),
SUMIF(tabVidros[TIPO],"Equipamento",tabVidros[VALOR UNITÁRIO P/ POSTO (R$)]),
0))))))</f>
        <v>32.264696957412788</v>
      </c>
      <c r="BA81" s="281">
        <f>IF(ISNUMBER(SEARCH("AUXILIAR DE LIMPEZA - 75 H",tabParametros[[#This Row],[Função]],1)),
SUMIF(tabLimpGeral[TIPO],"Produto",tabLimpGeral[VALOR UNITÁRIO P/ HORA (R$)])*75,
IF(ISNUMBER(SEARCH("AUXILIAR DE LIMPEZA - 110 H",tabParametros[[#This Row],[Função]],1)),
SUMIF(tabLimpGeral[TIPO],"Produto",tabLimpGeral[VALOR UNITÁRIO P/ HORA (R$)])*110,
IF(ISNUMBER(SEARCH("AUXILIAR DE LIMPEZA - 150 H",tabParametros[[#This Row],[Função]],1)),
SUMIF(tabLimpGeral[TIPO],"Produto",tabLimpGeral[VALOR UNITÁRIO P/ HORA (R$)])*150,
IF(ISNUMBER(SEARCH("AUXILIAR DE LIMPEZA - 220 H",tabParametros[[#This Row],[Função]],1)),
SUMIF(tabLimpGeral[TIPO],"Produto",tabLimpGeral[VALOR UNITÁRIO P/ HORA (R$)])*220,
IF(ISNUMBER(SEARCH("AUXILIAR DE LIMPEZA - 12 x 36",tabParametros[[#This Row],[Função]],1)),
SUMIF(tabLimpGeral[TIPO],"Produto",tabLimpGeral[VALOR UNITÁRIO P/ HORA (R$)])*220,
IF(ISNUMBER(SEARCH("Limpador de vidros - 220 h",tabParametros[[#This Row],[Função]],1)),
SUMIF(tabVidros[TIPO],"Produto",tabVidros[VALOR UNITÁRIO P/ POSTO (R$)]),
0))))))</f>
        <v>345.13576638965827</v>
      </c>
      <c r="BB81" s="281">
        <v>0</v>
      </c>
      <c r="BC81" s="236">
        <f>VLOOKUP(tabParametros[[#Headers],[Custos Indiretos]],tabOutrosCustos[],3,0)</f>
        <v>189.64880140242613</v>
      </c>
      <c r="BD81" s="236">
        <f>VLOOKUP(tabParametros[[#Headers],[Lucro]],tabOutrosCustos[],3,0)</f>
        <v>159.30499317803796</v>
      </c>
      <c r="BE81" s="235">
        <f>VLOOKUP(tabParametros[[#Headers],[COFINS]],tabImpostosNacionais[],2,0)</f>
        <v>7.5999999999999998E-2</v>
      </c>
      <c r="BF81" s="235">
        <f>VLOOKUP(tabParametros[[#Headers],[PIS]],tabImpostosNacionais[],2,0)</f>
        <v>1.6500000000000001E-2</v>
      </c>
      <c r="BG81" s="235">
        <f>VLOOKUP(tabParametros[[#This Row],[Comarca]],tabComarca[],4,0)</f>
        <v>0.05</v>
      </c>
      <c r="BH81" s="238">
        <f>IFERROR(VLOOKUP(tabParametros[[#This Row],[CCT DA CATEGORIA]],tabSindicatos[],11,0),"")</f>
        <v>45658</v>
      </c>
      <c r="BI81" s="289" t="str">
        <f>IFERROR(VLOOKUP(tabParametros[[#This Row],[CCT DA CATEGORIA]],tabSindicatos[],12,0),"")</f>
        <v>-</v>
      </c>
      <c r="BJ81" s="293" t="str">
        <f>IFERROR(VLOOKUP(tabParametros[[#This Row],[CCT DA CATEGORIA]],tabSindicatos[],13,0),"")</f>
        <v>-</v>
      </c>
    </row>
    <row r="82" spans="1:62" x14ac:dyDescent="0.25">
      <c r="A82" s="233" t="s">
        <v>1422</v>
      </c>
      <c r="B82" s="198" t="s">
        <v>79</v>
      </c>
      <c r="C82" s="198" t="s">
        <v>1245</v>
      </c>
      <c r="D82" s="198" t="str">
        <f>VLOOKUP(tabParametros[[#This Row],[Código do Posto]],tabPostos[],4,0)</f>
        <v>Seethur</v>
      </c>
      <c r="E82" s="289" t="str">
        <f>VLOOKUP(tabParametros[[#This Row],[Código do Posto]],tabPostos[],5,0)</f>
        <v>Limpeza</v>
      </c>
      <c r="F82" s="289" t="str">
        <f>VLOOKUP(tabParametros[[#This Row],[Código do Posto]],tabPostos[],6,0)</f>
        <v>PGJ</v>
      </c>
      <c r="G82" s="289">
        <f>VLOOKUP(tabParametros[[#This Row],[Código do Posto]],tabPostos[],7,0)</f>
        <v>1</v>
      </c>
      <c r="H82" s="289">
        <f>VLOOKUP(tabParametros[[#This Row],[Código do Posto]],tabPostos[],8,0)</f>
        <v>0</v>
      </c>
      <c r="I82" s="234">
        <f>VLOOKUP(tabParametros[[#This Row],[Código do Posto]],tabPostos[],9,0)</f>
        <v>1596.28</v>
      </c>
      <c r="J82" s="234">
        <f>IF(ISNUMBER(SEARCH("Eletricista",tabParametros[[#This Row],[Função]],1)),0.3*tabParametros[[#This Row],[Salário Base]],0)</f>
        <v>0</v>
      </c>
      <c r="K82" s="234">
        <f>IF(OR(ISNUMBER(SEARCH("Bombeiro Hidraulico",tabParametros[[#This Row],[Função]],1)),ISNUMBER(SEARCH("Jardineiro",tabParametros[[#This Row],[Função]],1)),ISNUMBER(SEARCH("Lavador de Veiculos",tabParametros[[#This Row],[Função]],1)),ISNUMBER(SEARCH("Marceneiro",tabParametros[[#This Row],[Função]],1)),ISNUMBER(SEARCH("Pintor",tabParametros[[#This Row],[Função]],1))),0.2*'BASE GERAL'!$R$4,0)</f>
        <v>0</v>
      </c>
      <c r="L82" s="234">
        <f>IF(AND(ISNUMBER(SEARCH("Noturno",tabParametros[[#This Row],[Função]],1)),tabParametros[[#This Row],[Comarca]]&lt;&gt;"Juiz de Fora"),tabParametros[[#This Row],[Salário Base]]/210*0.39*7*15.5,IF(ISNUMBER(SEARCH("Noturno",tabParametros[[#This Row],[Função]],1)),tabParametros[[#This Row],[Salário Base]]/210*0.2*8*15.5,0))</f>
        <v>0</v>
      </c>
      <c r="M82" s="234">
        <f>IF(ISNUMBER(SEARCH("Motorista II",tabParametros[[#This Row],[Função]],1)),0.25*tabParametros[[#This Row],[Salário Base]],0)</f>
        <v>0</v>
      </c>
      <c r="N82" s="250">
        <v>0</v>
      </c>
      <c r="O82" s="234">
        <f>IF(ISNUMBER(SEARCH("TECNOLOGIA DA INFORMACAO",tabParametros[[#This Row],[Função]],1)),0.0201*tabParametros[[#This Row],[Salário Base]],0)</f>
        <v>0</v>
      </c>
      <c r="P82" s="250" cm="1">
        <f t="array" ref="P82">_xlfn.IFS(
ISNUMBER(SEARCH("Auxiliar de Limpeza - 75 h",tabParametros[[#This Row],[Função]],1)),tabParametros[[#This Row],[Salário Base]]/75*0.75*30*0.12,
ISNUMBER(SEARCH("Auxiliar de Limpeza - 110 h",tabParametros[[#This Row],[Função]],1)),tabParametros[[#This Row],[Salário Base]]/110*1*30*0.12,
ISNUMBER(SEARCH("Auxiliar de Limpeza - 150 h",tabParametros[[#This Row],[Função]],1)),tabParametros[[#This Row],[Salário Base]]/150*1.5*30*0.12,
ISNUMBER(SEARCH("Auxiliar de Limpeza - 220 h",tabParametros[[#This Row],[Função]],1)),tabParametros[[#This Row],[Salário Base]]/220*2*30*0.12,
ISNUMBER(SEARCH("Auxiliar de Limpeza - 12 x 36",tabParametros[[#This Row],[Função]],1)),tabParametros[[#This Row],[Salário Base]]/220*2*30*0.12,
ISNUMBER(SEARCH("Auxiliar de Limpeza - 55 h",tabParametros[[#This Row],[Função]],1))=FALSE,0)</f>
        <v>52.241890909090905</v>
      </c>
      <c r="Q82" s="235">
        <f>VLOOKUP(tabParametros[[#Headers],[INSS]],tabImpostosNacionais[],2,0)</f>
        <v>0.2</v>
      </c>
      <c r="R82" s="235">
        <f>VLOOKUP(tabParametros[[#Headers],[SESI OU SESC]],tabImpostosNacionais[],2,0)</f>
        <v>1.4999999999999999E-2</v>
      </c>
      <c r="S82" s="235">
        <f>VLOOKUP(tabParametros[[#Headers],[SENAI OU SENAC]],tabImpostosNacionais[],2,0)</f>
        <v>0.01</v>
      </c>
      <c r="T82" s="235">
        <f>VLOOKUP(tabParametros[[#Headers],[INCRA]],tabImpostosNacionais[],2,0)</f>
        <v>2E-3</v>
      </c>
      <c r="U82" s="235">
        <f>VLOOKUP(tabParametros[[#Headers],[Salário Educação]],tabImpostosNacionais[],2,0)</f>
        <v>2.5000000000000001E-2</v>
      </c>
      <c r="V82" s="235">
        <f>VLOOKUP(tabParametros[[#Headers],[FGTS]],tabImpostosNacionais[],2,0)</f>
        <v>0.08</v>
      </c>
      <c r="W82" s="235">
        <f>VLOOKUP(tabParametros[[#Headers],[RAT Ajustado]],tabImpostosNacionais[],2,0)</f>
        <v>0.04</v>
      </c>
      <c r="X82" s="235">
        <f>VLOOKUP(tabParametros[[#Headers],[SEBRAE]],tabImpostosNacionais[],2,0)</f>
        <v>6.0000000000000001E-3</v>
      </c>
      <c r="Y82" s="235">
        <f t="shared" si="11"/>
        <v>8.3333333333333329E-2</v>
      </c>
      <c r="Z82" s="251">
        <f t="shared" si="12"/>
        <v>0.1111111111111111</v>
      </c>
      <c r="AA82" s="234">
        <f>VLOOKUP(tabParametros[[#This Row],[Comarca]],tabComarca[],5,0)</f>
        <v>6.4</v>
      </c>
      <c r="AB82" s="234">
        <f>IFERROR(VLOOKUP(tabParametros[[#This Row],[CCT DA CATEGORIA]],tabSindicatos[],6,0),0)</f>
        <v>29.15</v>
      </c>
      <c r="AC82" s="234">
        <f>IFERROR(VLOOKUP(tabParametros[[#This Row],[CCT DA CATEGORIA]],tabSindicatos[],7,0),0)</f>
        <v>0</v>
      </c>
      <c r="AD82" s="234" cm="1">
        <f t="array" ref="AD82">_xlfn.LET(
_xlpm.COMARCA, TRIM(UPPER(SUBSTITUTE(SUBSTITUTE(SUBSTITUTE(SUBSTITUTE(SUBSTITUTE(SUBSTITUTE(SUBSTITUTE(SUBSTITUTE(SUBSTITUTE(SUBSTITUTE(SUBSTITUTE(SUBSTITUTE(SUBSTITUTE(SUBSTITUTE(SUBSTITUTE(SUBSTITUTE(SUBSTITUTE(SUBSTITUTE(SUBSTITUTE(SUBSTITUTE(SUBSTITUTE(SUBSTITUTE(SUBSTITUTE(SUBSTITUTE(SUBSTITUTE(SUBSTITUTE(tabParametros[[#This Row],[Comarca]],"á","a"),"ã","a"),"â","a"),"é","e"),"ê","e"),"í","i"),"ó","o"),"õ","o"),"ô","o"),"ú","u"),"ç","c"),"Á","a"),"Ã","a"),"Â","a"),"É","e"),"Ê","e"),"Í","i"),"Ó","o"),"Õ","o"),"Ô","o"),"Ú","u"),"Ç","c"),"/MG","")," e ",", ")," ",""),".",""))),
_xlpm.MATRIZ_COMARCA, TRIM(UPPER(SUBSTITUTE(SUBSTITUTE(SUBSTITUTE(SUBSTITUTE(SUBSTITUTE(SUBSTITUTE(SUBSTITUTE(SUBSTITUTE(SUBSTITUTE(SUBSTITUTE(SUBSTITUTE(SUBSTITUTE(SUBSTITUTE(SUBSTITUTE(SUBSTITUTE(SUBSTITUTE(SUBSTITUTE(SUBSTITUTE(SUBSTITUTE(SUBSTITUTE(SUBSTITUTE(SUBSTITUTE(SUBSTITUTE(SUBSTITUTE(SUBSTITUTE(SUBSTITUTE(tabSindicatos[COMARCAS PAF],"á","a"),"ã","a"),"â","a"),"é","e"),"ê","e"),"í","i"),"ó","o"),"õ","o"),"ô","o"),"ú","u"),"ç","c"),"Á","a"),"Ã","a"),"Â","a"),"É","e"),"Ê","e"),"Í","i"),"Ó","o"),"Õ","o"),"Ô","o"),"Ú","u"),"Ç","c"),"/MG","")," e ",", ")," ",""),".",""))),
IFERROR(IF(_xlfn.XLOOKUP(tabParametros[[#This Row],[CCT DA CATEGORIA]],tabSindicatos[SINDICATOS],tabSindicatos[COMARCAS PAF])="",
VLOOKUP(tabParametros[[#This Row],[CCT DA CATEGORIA]],tabSindicatos[],8,0),
IF(ISNUMBER(SEARCH(TRIM(_xlpm.COMARCA),_xlfn.XLOOKUP(tabParametros[[#This Row],[CCT DA CATEGORIA]],tabSindicatos[SINDICATOS],_xlpm.MATRIZ_COMARCA),1)),VLOOKUP(tabParametros[[#This Row],[CCT DA CATEGORIA]],tabSindicatos[],8,0),0)
),0)
)</f>
        <v>51.86</v>
      </c>
      <c r="AE82" s="234">
        <f>IFERROR(VLOOKUP(tabParametros[[#This Row],[CCT DA CATEGORIA]],tabSindicatos[],9,0),0)</f>
        <v>0</v>
      </c>
      <c r="AF82" s="234">
        <f>IFERROR(VLOOKUP(tabParametros[[#This Row],[CCT DA CATEGORIA]],tabSindicatos[],10,0),0)</f>
        <v>0</v>
      </c>
      <c r="AG82" s="236">
        <f>VLOOKUP(tabParametros[[#Headers],[Seguro de Vida]],tabOutrosCustos[],3,0)</f>
        <v>3.36</v>
      </c>
      <c r="AH82" s="236">
        <f>IF(ISNUMBER(SEARCH("MOTORISTA",tabParametros[[#This Row],[Função]],1)),VLOOKUP("MOTORISTAS",tabDiarias[],2,0),IF(tabParametros[[#This Row],[Comarca]]="Belo Horizonte",VLOOKUP("LIMPEZA",tabDiarias[],2,0),0))</f>
        <v>0</v>
      </c>
      <c r="AI82" s="235">
        <f t="shared" si="13"/>
        <v>7.011766975308642E-3</v>
      </c>
      <c r="AJ82" s="237">
        <f>tabParametros[[#This Row],[FGTS]]*tabParametros[[#This Row],[Aviso Prévio Indenizado (API) e Reflexo do Aviso Prévio Indenizado]]</f>
        <v>5.609413580246914E-4</v>
      </c>
      <c r="AK82" s="237">
        <f>tabParametros[[#This Row],[FGTS]]*tabParametros[[#This Row],[Aviso Prévio Indenizado (API) e Reflexo do Aviso Prévio Indenizado]]*40%</f>
        <v>2.2437654320987658E-4</v>
      </c>
      <c r="AL82" s="235">
        <f t="shared" si="14"/>
        <v>3.5000000000000005E-3</v>
      </c>
      <c r="AM82" s="235">
        <f>tabParametros[[#This Row],[Aviso Prévio Trabalhado - APT]]*SUM(tabParametros[[#This Row],[INSS]:[SEBRAE]])</f>
        <v>1.3230000000000004E-3</v>
      </c>
      <c r="AN82" s="235">
        <f t="shared" si="15"/>
        <v>3.0577777777777773E-2</v>
      </c>
      <c r="AO82" s="235">
        <f t="shared" si="16"/>
        <v>8.3333333333333339E-4</v>
      </c>
      <c r="AP82" s="235">
        <f t="shared" si="17"/>
        <v>8.4444444444444437E-3</v>
      </c>
      <c r="AQ82" s="235">
        <f t="shared" si="18"/>
        <v>2.0277777777777777E-3</v>
      </c>
      <c r="AR82" s="235">
        <f t="shared" si="19"/>
        <v>1.7083333333333333E-4</v>
      </c>
      <c r="AS82" s="235">
        <f t="shared" si="20"/>
        <v>2.0833333333333335E-4</v>
      </c>
      <c r="AT82" s="235">
        <f t="shared" si="21"/>
        <v>1.2962962962962963E-3</v>
      </c>
      <c r="AU82" s="237">
        <f>SUM(tabParametros[[#This Row],[Ausência por Doença]:[Férias, Adicional de Férias e 13º  com empregada em gozo de Licença Maternidade]])*SUM(tabParametros[[#This Row],[INSS]:[SEBRAE]])</f>
        <v>4.5918250000000008E-3</v>
      </c>
      <c r="AV82" s="234">
        <f>IF(tabParametros[[#This Row],[Função]]="Porteiro - 220 h",SUM(tabParametros[[#This Row],[Salário Base]:[Adicional de Acúmulo de função]])/220*20*1.5,IF(ISNUMBER(SEARCH("12 x 36",tabParametros[[#This Row],[Função]],1)),SUM(tabParametros[[#This Row],[Salário Base]:[Adicional de Acúmulo de função]])/210*15.5*1.5,0))</f>
        <v>0</v>
      </c>
      <c r="AW82" s="234">
        <f>IF(tabParametros[[#This Row],[Vagas contratadas]]&gt;0,(SUM(tabParametros[[#This Row],[Salário Base]:[Adicional de Acúmulo de função]])*30%+SUM(tabParametros[[#This Row],[Vale - Alimentação]:[Seguro de Vida]]))/tabParametros[[#This Row],[Vagas contratadas]]*tabParametros[[#This Row],[Vagas suspensas]],0)</f>
        <v>0</v>
      </c>
      <c r="AX82" s="234">
        <f>SUMIF(tabUniformes[Cargo],tabParametros[[#This Row],[Função]],tabUniformes[Valor unit. Mensal])</f>
        <v>100.80916666666666</v>
      </c>
      <c r="AY82" s="281">
        <f>IF(ISNUMBER(SEARCH("AUXILIAR DE LIMPEZA - 75 H",tabParametros[[#This Row],[Função]],1)),
SUMIF(tabLimpGeral[TIPO],"Material",tabLimpGeral[VALOR UNITÁRIO P/ HORA (R$)])*75,
IF(ISNUMBER(SEARCH("AUXILIAR DE LIMPEZA - 110 H",tabParametros[[#This Row],[Função]],1)),
SUMIF(tabLimpGeral[TIPO],"Material",tabLimpGeral[VALOR UNITÁRIO P/ HORA (R$)])*110,
IF(ISNUMBER(SEARCH("AUXILIAR DE LIMPEZA - 150 H",tabParametros[[#This Row],[Função]],1)),
SUMIF(tabLimpGeral[TIPO],"Material",tabLimpGeral[VALOR UNITÁRIO P/ HORA (R$)])*150,
IF(ISNUMBER(SEARCH("AUXILIAR DE LIMPEZA - 220 H",tabParametros[[#This Row],[Função]],1)),
SUMIF(tabLimpGeral[TIPO],"Material",tabLimpGeral[VALOR UNITÁRIO P/ HORA (R$)])*220,
IF(ISNUMBER(SEARCH("AUXILIAR DE LIMPEZA - 12 x 36",tabParametros[[#This Row],[Função]],1)),
SUMIF(tabLimpGeral[TIPO],"Material",tabLimpGeral[VALOR UNITÁRIO P/ HORA (R$)])*220,
IF(ISNUMBER(SEARCH("Limpador de vidros - 220 h",tabParametros[[#This Row],[Função]],1)),
SUMIF(tabVidros[TIPO],"Material",tabVidros[VALOR UNITÁRIO P/ POSTO (R$)]),
0))))))</f>
        <v>35.518212958583888</v>
      </c>
      <c r="AZ82" s="281">
        <f>IF(ISNUMBER(SEARCH("AUXILIAR DE LIMPEZA - 75 H",tabParametros[[#This Row],[Função]],1)),
SUMIF(tabLimpGeral[TIPO],"Equipamento",tabLimpGeral[VALOR UNITÁRIO P/ HORA (R$)])*75,
IF(ISNUMBER(SEARCH("AUXILIAR DE LIMPEZA - 110 H",tabParametros[[#This Row],[Função]],1)),
SUMIF(tabLimpGeral[TIPO],"Equipamento",tabLimpGeral[VALOR UNITÁRIO P/ HORA (R$)])*110,
IF(ISNUMBER(SEARCH("AUXILIAR DE LIMPEZA - 150 H",tabParametros[[#This Row],[Função]],1)),
SUMIF(tabLimpGeral[TIPO],"Equipamento",tabLimpGeral[VALOR UNITÁRIO P/ HORA (R$)])*150,
IF(ISNUMBER(SEARCH("AUXILIAR DE LIMPEZA - 220 H",tabParametros[[#This Row],[Função]],1)),
SUMIF(tabLimpGeral[TIPO],"Equipamento",tabLimpGeral[VALOR UNITÁRIO P/ HORA (R$)])*220,
IF(ISNUMBER(SEARCH("AUXILIAR DE LIMPEZA - 12 x 36",tabParametros[[#This Row],[Função]],1)),
SUMIF(tabLimpGeral[TIPO],"Equipamento",tabLimpGeral[VALOR UNITÁRIO P/ HORA (R$)])*220,
IF(ISNUMBER(SEARCH("Limpador de vidros - 220 h",tabParametros[[#This Row],[Função]],1)),
SUMIF(tabVidros[TIPO],"Equipamento",tabVidros[VALOR UNITÁRIO P/ POSTO (R$)]),
0))))))</f>
        <v>64.529393914825576</v>
      </c>
      <c r="BA82" s="281">
        <f>IF(ISNUMBER(SEARCH("AUXILIAR DE LIMPEZA - 75 H",tabParametros[[#This Row],[Função]],1)),
SUMIF(tabLimpGeral[TIPO],"Produto",tabLimpGeral[VALOR UNITÁRIO P/ HORA (R$)])*75,
IF(ISNUMBER(SEARCH("AUXILIAR DE LIMPEZA - 110 H",tabParametros[[#This Row],[Função]],1)),
SUMIF(tabLimpGeral[TIPO],"Produto",tabLimpGeral[VALOR UNITÁRIO P/ HORA (R$)])*110,
IF(ISNUMBER(SEARCH("AUXILIAR DE LIMPEZA - 150 H",tabParametros[[#This Row],[Função]],1)),
SUMIF(tabLimpGeral[TIPO],"Produto",tabLimpGeral[VALOR UNITÁRIO P/ HORA (R$)])*150,
IF(ISNUMBER(SEARCH("AUXILIAR DE LIMPEZA - 220 H",tabParametros[[#This Row],[Função]],1)),
SUMIF(tabLimpGeral[TIPO],"Produto",tabLimpGeral[VALOR UNITÁRIO P/ HORA (R$)])*220,
IF(ISNUMBER(SEARCH("AUXILIAR DE LIMPEZA - 12 x 36",tabParametros[[#This Row],[Função]],1)),
SUMIF(tabLimpGeral[TIPO],"Produto",tabLimpGeral[VALOR UNITÁRIO P/ HORA (R$)])*220,
IF(ISNUMBER(SEARCH("Limpador de vidros - 220 h",tabParametros[[#This Row],[Função]],1)),
SUMIF(tabVidros[TIPO],"Produto",tabVidros[VALOR UNITÁRIO P/ POSTO (R$)]),
0))))))</f>
        <v>690.27153277931654</v>
      </c>
      <c r="BB82" s="281">
        <v>0</v>
      </c>
      <c r="BC82" s="236">
        <f>VLOOKUP(tabParametros[[#Headers],[Custos Indiretos]],tabOutrosCustos[],3,0)</f>
        <v>189.64880140242613</v>
      </c>
      <c r="BD82" s="236">
        <f>VLOOKUP(tabParametros[[#Headers],[Lucro]],tabOutrosCustos[],3,0)</f>
        <v>159.30499317803796</v>
      </c>
      <c r="BE82" s="235">
        <f>VLOOKUP(tabParametros[[#Headers],[COFINS]],tabImpostosNacionais[],2,0)</f>
        <v>7.5999999999999998E-2</v>
      </c>
      <c r="BF82" s="235">
        <f>VLOOKUP(tabParametros[[#Headers],[PIS]],tabImpostosNacionais[],2,0)</f>
        <v>1.6500000000000001E-2</v>
      </c>
      <c r="BG82" s="235">
        <f>VLOOKUP(tabParametros[[#This Row],[Comarca]],tabComarca[],4,0)</f>
        <v>0.05</v>
      </c>
      <c r="BH82" s="238">
        <f>IFERROR(VLOOKUP(tabParametros[[#This Row],[CCT DA CATEGORIA]],tabSindicatos[],11,0),"")</f>
        <v>45658</v>
      </c>
      <c r="BI82" s="289" t="str">
        <f>IFERROR(VLOOKUP(tabParametros[[#This Row],[CCT DA CATEGORIA]],tabSindicatos[],12,0),"")</f>
        <v>-</v>
      </c>
      <c r="BJ82" s="293" t="str">
        <f>IFERROR(VLOOKUP(tabParametros[[#This Row],[CCT DA CATEGORIA]],tabSindicatos[],13,0),"")</f>
        <v>-</v>
      </c>
    </row>
    <row r="83" spans="1:62" x14ac:dyDescent="0.25">
      <c r="A83" s="233" t="s">
        <v>1423</v>
      </c>
      <c r="B83" s="198" t="s">
        <v>80</v>
      </c>
      <c r="C83" s="198" t="s">
        <v>1247</v>
      </c>
      <c r="D83" s="198" t="str">
        <f>VLOOKUP(tabParametros[[#This Row],[Código do Posto]],tabPostos[],4,0)</f>
        <v>Regiao de Sao Lourenco</v>
      </c>
      <c r="E83" s="289" t="str">
        <f>VLOOKUP(tabParametros[[#This Row],[Código do Posto]],tabPostos[],5,0)</f>
        <v>Limpeza</v>
      </c>
      <c r="F83" s="289" t="str">
        <f>VLOOKUP(tabParametros[[#This Row],[Código do Posto]],tabPostos[],6,0)</f>
        <v>PGJ</v>
      </c>
      <c r="G83" s="289">
        <f>VLOOKUP(tabParametros[[#This Row],[Código do Posto]],tabPostos[],7,0)</f>
        <v>1</v>
      </c>
      <c r="H83" s="289">
        <f>VLOOKUP(tabParametros[[#This Row],[Código do Posto]],tabPostos[],8,0)</f>
        <v>0</v>
      </c>
      <c r="I83" s="234">
        <f>VLOOKUP(tabParametros[[#This Row],[Código do Posto]],tabPostos[],9,0)</f>
        <v>544.17999999999995</v>
      </c>
      <c r="J83" s="234">
        <f>IF(ISNUMBER(SEARCH("Eletricista",tabParametros[[#This Row],[Função]],1)),0.3*tabParametros[[#This Row],[Salário Base]],0)</f>
        <v>0</v>
      </c>
      <c r="K83" s="234">
        <f>IF(OR(ISNUMBER(SEARCH("Bombeiro Hidraulico",tabParametros[[#This Row],[Função]],1)),ISNUMBER(SEARCH("Jardineiro",tabParametros[[#This Row],[Função]],1)),ISNUMBER(SEARCH("Lavador de Veiculos",tabParametros[[#This Row],[Função]],1)),ISNUMBER(SEARCH("Marceneiro",tabParametros[[#This Row],[Função]],1)),ISNUMBER(SEARCH("Pintor",tabParametros[[#This Row],[Função]],1))),0.2*'BASE GERAL'!$R$4,0)</f>
        <v>0</v>
      </c>
      <c r="L83" s="234">
        <f>IF(AND(ISNUMBER(SEARCH("Noturno",tabParametros[[#This Row],[Função]],1)),tabParametros[[#This Row],[Comarca]]&lt;&gt;"Juiz de Fora"),tabParametros[[#This Row],[Salário Base]]/210*0.39*7*15.5,IF(ISNUMBER(SEARCH("Noturno",tabParametros[[#This Row],[Função]],1)),tabParametros[[#This Row],[Salário Base]]/210*0.2*8*15.5,0))</f>
        <v>0</v>
      </c>
      <c r="M83" s="234">
        <f>IF(ISNUMBER(SEARCH("Motorista II",tabParametros[[#This Row],[Função]],1)),0.25*tabParametros[[#This Row],[Salário Base]],0)</f>
        <v>0</v>
      </c>
      <c r="N83" s="250">
        <v>0</v>
      </c>
      <c r="O83" s="234">
        <f>IF(ISNUMBER(SEARCH("TECNOLOGIA DA INFORMACAO",tabParametros[[#This Row],[Função]],1)),0.0201*tabParametros[[#This Row],[Salário Base]],0)</f>
        <v>0</v>
      </c>
      <c r="P83" s="250" cm="1">
        <f t="array" ref="P83">_xlfn.IFS(
ISNUMBER(SEARCH("Auxiliar de Limpeza - 75 h",tabParametros[[#This Row],[Função]],1)),tabParametros[[#This Row],[Salário Base]]/75*0.75*30*0.12,
ISNUMBER(SEARCH("Auxiliar de Limpeza - 110 h",tabParametros[[#This Row],[Função]],1)),tabParametros[[#This Row],[Salário Base]]/110*1*30*0.12,
ISNUMBER(SEARCH("Auxiliar de Limpeza - 150 h",tabParametros[[#This Row],[Função]],1)),tabParametros[[#This Row],[Salário Base]]/150*1.5*30*0.12,
ISNUMBER(SEARCH("Auxiliar de Limpeza - 220 h",tabParametros[[#This Row],[Função]],1)),tabParametros[[#This Row],[Salário Base]]/220*2*30*0.12,
ISNUMBER(SEARCH("Auxiliar de Limpeza - 12 x 36",tabParametros[[#This Row],[Função]],1)),tabParametros[[#This Row],[Salário Base]]/220*2*30*0.12,
ISNUMBER(SEARCH("Auxiliar de Limpeza - 55 h",tabParametros[[#This Row],[Função]],1))=FALSE,0)</f>
        <v>19.590479999999999</v>
      </c>
      <c r="Q83" s="235">
        <f>VLOOKUP(tabParametros[[#Headers],[INSS]],tabImpostosNacionais[],2,0)</f>
        <v>0.2</v>
      </c>
      <c r="R83" s="235">
        <f>VLOOKUP(tabParametros[[#Headers],[SESI OU SESC]],tabImpostosNacionais[],2,0)</f>
        <v>1.4999999999999999E-2</v>
      </c>
      <c r="S83" s="235">
        <f>VLOOKUP(tabParametros[[#Headers],[SENAI OU SENAC]],tabImpostosNacionais[],2,0)</f>
        <v>0.01</v>
      </c>
      <c r="T83" s="235">
        <f>VLOOKUP(tabParametros[[#Headers],[INCRA]],tabImpostosNacionais[],2,0)</f>
        <v>2E-3</v>
      </c>
      <c r="U83" s="235">
        <f>VLOOKUP(tabParametros[[#Headers],[Salário Educação]],tabImpostosNacionais[],2,0)</f>
        <v>2.5000000000000001E-2</v>
      </c>
      <c r="V83" s="235">
        <f>VLOOKUP(tabParametros[[#Headers],[FGTS]],tabImpostosNacionais[],2,0)</f>
        <v>0.08</v>
      </c>
      <c r="W83" s="235">
        <f>VLOOKUP(tabParametros[[#Headers],[RAT Ajustado]],tabImpostosNacionais[],2,0)</f>
        <v>0.04</v>
      </c>
      <c r="X83" s="235">
        <f>VLOOKUP(tabParametros[[#Headers],[SEBRAE]],tabImpostosNacionais[],2,0)</f>
        <v>6.0000000000000001E-3</v>
      </c>
      <c r="Y83" s="235">
        <f t="shared" si="11"/>
        <v>8.3333333333333329E-2</v>
      </c>
      <c r="Z83" s="251">
        <f t="shared" si="12"/>
        <v>0.1111111111111111</v>
      </c>
      <c r="AA83" s="234">
        <f>VLOOKUP(tabParametros[[#This Row],[Comarca]],tabComarca[],5,0)</f>
        <v>6.4</v>
      </c>
      <c r="AB83" s="234">
        <f>IFERROR(VLOOKUP(tabParametros[[#This Row],[CCT DA CATEGORIA]],tabSindicatos[],6,0),0)</f>
        <v>29.15</v>
      </c>
      <c r="AC83" s="234">
        <f>IFERROR(VLOOKUP(tabParametros[[#This Row],[CCT DA CATEGORIA]],tabSindicatos[],7,0),0)</f>
        <v>0</v>
      </c>
      <c r="AD83" s="234" cm="1">
        <f t="array" ref="AD83">_xlfn.LET(
_xlpm.COMARCA, TRIM(UPPER(SUBSTITUTE(SUBSTITUTE(SUBSTITUTE(SUBSTITUTE(SUBSTITUTE(SUBSTITUTE(SUBSTITUTE(SUBSTITUTE(SUBSTITUTE(SUBSTITUTE(SUBSTITUTE(SUBSTITUTE(SUBSTITUTE(SUBSTITUTE(SUBSTITUTE(SUBSTITUTE(SUBSTITUTE(SUBSTITUTE(SUBSTITUTE(SUBSTITUTE(SUBSTITUTE(SUBSTITUTE(SUBSTITUTE(SUBSTITUTE(SUBSTITUTE(SUBSTITUTE(tabParametros[[#This Row],[Comarca]],"á","a"),"ã","a"),"â","a"),"é","e"),"ê","e"),"í","i"),"ó","o"),"õ","o"),"ô","o"),"ú","u"),"ç","c"),"Á","a"),"Ã","a"),"Â","a"),"É","e"),"Ê","e"),"Í","i"),"Ó","o"),"Õ","o"),"Ô","o"),"Ú","u"),"Ç","c"),"/MG","")," e ",", ")," ",""),".",""))),
_xlpm.MATRIZ_COMARCA, TRIM(UPPER(SUBSTITUTE(SUBSTITUTE(SUBSTITUTE(SUBSTITUTE(SUBSTITUTE(SUBSTITUTE(SUBSTITUTE(SUBSTITUTE(SUBSTITUTE(SUBSTITUTE(SUBSTITUTE(SUBSTITUTE(SUBSTITUTE(SUBSTITUTE(SUBSTITUTE(SUBSTITUTE(SUBSTITUTE(SUBSTITUTE(SUBSTITUTE(SUBSTITUTE(SUBSTITUTE(SUBSTITUTE(SUBSTITUTE(SUBSTITUTE(SUBSTITUTE(SUBSTITUTE(tabSindicatos[COMARCAS PAF],"á","a"),"ã","a"),"â","a"),"é","e"),"ê","e"),"í","i"),"ó","o"),"õ","o"),"ô","o"),"ú","u"),"ç","c"),"Á","a"),"Ã","a"),"Â","a"),"É","e"),"Ê","e"),"Í","i"),"Ó","o"),"Õ","o"),"Ô","o"),"Ú","u"),"Ç","c"),"/MG","")," e ",", ")," ",""),".",""))),
IFERROR(IF(_xlfn.XLOOKUP(tabParametros[[#This Row],[CCT DA CATEGORIA]],tabSindicatos[SINDICATOS],tabSindicatos[COMARCAS PAF])="",
VLOOKUP(tabParametros[[#This Row],[CCT DA CATEGORIA]],tabSindicatos[],8,0),
IF(ISNUMBER(SEARCH(TRIM(_xlpm.COMARCA),_xlfn.XLOOKUP(tabParametros[[#This Row],[CCT DA CATEGORIA]],tabSindicatos[SINDICATOS],_xlpm.MATRIZ_COMARCA),1)),VLOOKUP(tabParametros[[#This Row],[CCT DA CATEGORIA]],tabSindicatos[],8,0),0)
),0)
)</f>
        <v>0</v>
      </c>
      <c r="AE83" s="234">
        <f>IFERROR(VLOOKUP(tabParametros[[#This Row],[CCT DA CATEGORIA]],tabSindicatos[],9,0),0)</f>
        <v>0</v>
      </c>
      <c r="AF83" s="234">
        <f>IFERROR(VLOOKUP(tabParametros[[#This Row],[CCT DA CATEGORIA]],tabSindicatos[],10,0),0)</f>
        <v>0</v>
      </c>
      <c r="AG83" s="236">
        <f>VLOOKUP(tabParametros[[#Headers],[Seguro de Vida]],tabOutrosCustos[],3,0)</f>
        <v>3.36</v>
      </c>
      <c r="AH83" s="236">
        <f>IF(ISNUMBER(SEARCH("MOTORISTA",tabParametros[[#This Row],[Função]],1)),VLOOKUP("MOTORISTAS",tabDiarias[],2,0),IF(tabParametros[[#This Row],[Comarca]]="Belo Horizonte",VLOOKUP("LIMPEZA",tabDiarias[],2,0),0))</f>
        <v>0</v>
      </c>
      <c r="AI83" s="235">
        <f t="shared" si="13"/>
        <v>7.011766975308642E-3</v>
      </c>
      <c r="AJ83" s="237">
        <f>tabParametros[[#This Row],[FGTS]]*tabParametros[[#This Row],[Aviso Prévio Indenizado (API) e Reflexo do Aviso Prévio Indenizado]]</f>
        <v>5.609413580246914E-4</v>
      </c>
      <c r="AK83" s="237">
        <f>tabParametros[[#This Row],[FGTS]]*tabParametros[[#This Row],[Aviso Prévio Indenizado (API) e Reflexo do Aviso Prévio Indenizado]]*40%</f>
        <v>2.2437654320987658E-4</v>
      </c>
      <c r="AL83" s="235">
        <f t="shared" si="14"/>
        <v>3.5000000000000005E-3</v>
      </c>
      <c r="AM83" s="235">
        <f>tabParametros[[#This Row],[Aviso Prévio Trabalhado - APT]]*SUM(tabParametros[[#This Row],[INSS]:[SEBRAE]])</f>
        <v>1.3230000000000004E-3</v>
      </c>
      <c r="AN83" s="235">
        <f t="shared" si="15"/>
        <v>3.0577777777777773E-2</v>
      </c>
      <c r="AO83" s="235">
        <f t="shared" si="16"/>
        <v>8.3333333333333339E-4</v>
      </c>
      <c r="AP83" s="235">
        <f t="shared" si="17"/>
        <v>8.4444444444444437E-3</v>
      </c>
      <c r="AQ83" s="235">
        <f t="shared" si="18"/>
        <v>2.0277777777777777E-3</v>
      </c>
      <c r="AR83" s="235">
        <f t="shared" si="19"/>
        <v>1.7083333333333333E-4</v>
      </c>
      <c r="AS83" s="235">
        <f t="shared" si="20"/>
        <v>2.0833333333333335E-4</v>
      </c>
      <c r="AT83" s="235">
        <f t="shared" si="21"/>
        <v>1.2962962962962963E-3</v>
      </c>
      <c r="AU83" s="237">
        <f>SUM(tabParametros[[#This Row],[Ausência por Doença]:[Férias, Adicional de Férias e 13º  com empregada em gozo de Licença Maternidade]])*SUM(tabParametros[[#This Row],[INSS]:[SEBRAE]])</f>
        <v>4.5918250000000008E-3</v>
      </c>
      <c r="AV83" s="234">
        <f>IF(tabParametros[[#This Row],[Função]]="Porteiro - 220 h",SUM(tabParametros[[#This Row],[Salário Base]:[Adicional de Acúmulo de função]])/220*20*1.5,IF(ISNUMBER(SEARCH("12 x 36",tabParametros[[#This Row],[Função]],1)),SUM(tabParametros[[#This Row],[Salário Base]:[Adicional de Acúmulo de função]])/210*15.5*1.5,0))</f>
        <v>0</v>
      </c>
      <c r="AW83" s="234">
        <f>IF(tabParametros[[#This Row],[Vagas contratadas]]&gt;0,(SUM(tabParametros[[#This Row],[Salário Base]:[Adicional de Acúmulo de função]])*30%+SUM(tabParametros[[#This Row],[Vale - Alimentação]:[Seguro de Vida]]))/tabParametros[[#This Row],[Vagas contratadas]]*tabParametros[[#This Row],[Vagas suspensas]],0)</f>
        <v>0</v>
      </c>
      <c r="AX83" s="234">
        <f>SUMIF(tabUniformes[Cargo],tabParametros[[#This Row],[Função]],tabUniformes[Valor unit. Mensal])</f>
        <v>62.806666666666665</v>
      </c>
      <c r="AY83" s="281">
        <f>IF(ISNUMBER(SEARCH("AUXILIAR DE LIMPEZA - 75 H",tabParametros[[#This Row],[Função]],1)),
SUMIF(tabLimpGeral[TIPO],"Material",tabLimpGeral[VALOR UNITÁRIO P/ HORA (R$)])*75,
IF(ISNUMBER(SEARCH("AUXILIAR DE LIMPEZA - 110 H",tabParametros[[#This Row],[Função]],1)),
SUMIF(tabLimpGeral[TIPO],"Material",tabLimpGeral[VALOR UNITÁRIO P/ HORA (R$)])*110,
IF(ISNUMBER(SEARCH("AUXILIAR DE LIMPEZA - 150 H",tabParametros[[#This Row],[Função]],1)),
SUMIF(tabLimpGeral[TIPO],"Material",tabLimpGeral[VALOR UNITÁRIO P/ HORA (R$)])*150,
IF(ISNUMBER(SEARCH("AUXILIAR DE LIMPEZA - 220 H",tabParametros[[#This Row],[Função]],1)),
SUMIF(tabLimpGeral[TIPO],"Material",tabLimpGeral[VALOR UNITÁRIO P/ HORA (R$)])*220,
IF(ISNUMBER(SEARCH("AUXILIAR DE LIMPEZA - 12 x 36",tabParametros[[#This Row],[Função]],1)),
SUMIF(tabLimpGeral[TIPO],"Material",tabLimpGeral[VALOR UNITÁRIO P/ HORA (R$)])*220,
IF(ISNUMBER(SEARCH("Limpador de vidros - 220 h",tabParametros[[#This Row],[Função]],1)),
SUMIF(tabVidros[TIPO],"Material",tabVidros[VALOR UNITÁRIO P/ POSTO (R$)]),
0))))))</f>
        <v>12.108481690426325</v>
      </c>
      <c r="AZ83" s="281">
        <f>IF(ISNUMBER(SEARCH("AUXILIAR DE LIMPEZA - 75 H",tabParametros[[#This Row],[Função]],1)),
SUMIF(tabLimpGeral[TIPO],"Equipamento",tabLimpGeral[VALOR UNITÁRIO P/ HORA (R$)])*75,
IF(ISNUMBER(SEARCH("AUXILIAR DE LIMPEZA - 110 H",tabParametros[[#This Row],[Função]],1)),
SUMIF(tabLimpGeral[TIPO],"Equipamento",tabLimpGeral[VALOR UNITÁRIO P/ HORA (R$)])*110,
IF(ISNUMBER(SEARCH("AUXILIAR DE LIMPEZA - 150 H",tabParametros[[#This Row],[Função]],1)),
SUMIF(tabLimpGeral[TIPO],"Equipamento",tabLimpGeral[VALOR UNITÁRIO P/ HORA (R$)])*150,
IF(ISNUMBER(SEARCH("AUXILIAR DE LIMPEZA - 220 H",tabParametros[[#This Row],[Função]],1)),
SUMIF(tabLimpGeral[TIPO],"Equipamento",tabLimpGeral[VALOR UNITÁRIO P/ HORA (R$)])*220,
IF(ISNUMBER(SEARCH("AUXILIAR DE LIMPEZA - 12 x 36",tabParametros[[#This Row],[Função]],1)),
SUMIF(tabLimpGeral[TIPO],"Equipamento",tabLimpGeral[VALOR UNITÁRIO P/ HORA (R$)])*220,
IF(ISNUMBER(SEARCH("Limpador de vidros - 220 h",tabParametros[[#This Row],[Função]],1)),
SUMIF(tabVidros[TIPO],"Equipamento",tabVidros[VALOR UNITÁRIO P/ POSTO (R$)]),
0))))))</f>
        <v>21.998657016417809</v>
      </c>
      <c r="BA83" s="281">
        <f>IF(ISNUMBER(SEARCH("AUXILIAR DE LIMPEZA - 75 H",tabParametros[[#This Row],[Função]],1)),
SUMIF(tabLimpGeral[TIPO],"Produto",tabLimpGeral[VALOR UNITÁRIO P/ HORA (R$)])*75,
IF(ISNUMBER(SEARCH("AUXILIAR DE LIMPEZA - 110 H",tabParametros[[#This Row],[Função]],1)),
SUMIF(tabLimpGeral[TIPO],"Produto",tabLimpGeral[VALOR UNITÁRIO P/ HORA (R$)])*110,
IF(ISNUMBER(SEARCH("AUXILIAR DE LIMPEZA - 150 H",tabParametros[[#This Row],[Função]],1)),
SUMIF(tabLimpGeral[TIPO],"Produto",tabLimpGeral[VALOR UNITÁRIO P/ HORA (R$)])*150,
IF(ISNUMBER(SEARCH("AUXILIAR DE LIMPEZA - 220 H",tabParametros[[#This Row],[Função]],1)),
SUMIF(tabLimpGeral[TIPO],"Produto",tabLimpGeral[VALOR UNITÁRIO P/ HORA (R$)])*220,
IF(ISNUMBER(SEARCH("AUXILIAR DE LIMPEZA - 12 x 36",tabParametros[[#This Row],[Função]],1)),
SUMIF(tabLimpGeral[TIPO],"Produto",tabLimpGeral[VALOR UNITÁRIO P/ HORA (R$)])*220,
IF(ISNUMBER(SEARCH("Limpador de vidros - 220 h",tabParametros[[#This Row],[Função]],1)),
SUMIF(tabVidros[TIPO],"Produto",tabVidros[VALOR UNITÁRIO P/ POSTO (R$)]),
0))))))</f>
        <v>235.31984072022155</v>
      </c>
      <c r="BB83" s="281">
        <v>0</v>
      </c>
      <c r="BC83" s="236">
        <f>VLOOKUP(tabParametros[[#Headers],[Custos Indiretos]],tabOutrosCustos[],3,0)</f>
        <v>189.64880140242613</v>
      </c>
      <c r="BD83" s="236">
        <f>VLOOKUP(tabParametros[[#Headers],[Lucro]],tabOutrosCustos[],3,0)</f>
        <v>159.30499317803796</v>
      </c>
      <c r="BE83" s="235">
        <f>VLOOKUP(tabParametros[[#Headers],[COFINS]],tabImpostosNacionais[],2,0)</f>
        <v>7.5999999999999998E-2</v>
      </c>
      <c r="BF83" s="235">
        <f>VLOOKUP(tabParametros[[#Headers],[PIS]],tabImpostosNacionais[],2,0)</f>
        <v>1.6500000000000001E-2</v>
      </c>
      <c r="BG83" s="235">
        <f>VLOOKUP(tabParametros[[#This Row],[Comarca]],tabComarca[],4,0)</f>
        <v>0.03</v>
      </c>
      <c r="BH83" s="238">
        <f>IFERROR(VLOOKUP(tabParametros[[#This Row],[CCT DA CATEGORIA]],tabSindicatos[],11,0),"")</f>
        <v>45658</v>
      </c>
      <c r="BI83" s="289" t="str">
        <f>IFERROR(VLOOKUP(tabParametros[[#This Row],[CCT DA CATEGORIA]],tabSindicatos[],12,0),"")</f>
        <v>-</v>
      </c>
      <c r="BJ83" s="293" t="str">
        <f>IFERROR(VLOOKUP(tabParametros[[#This Row],[CCT DA CATEGORIA]],tabSindicatos[],13,0),"")</f>
        <v>-</v>
      </c>
    </row>
    <row r="84" spans="1:62" x14ac:dyDescent="0.25">
      <c r="A84" s="233" t="s">
        <v>1424</v>
      </c>
      <c r="B84" s="198" t="s">
        <v>81</v>
      </c>
      <c r="C84" s="198" t="s">
        <v>1245</v>
      </c>
      <c r="D84" s="198" t="str">
        <f>VLOOKUP(tabParametros[[#This Row],[Código do Posto]],tabPostos[],4,0)</f>
        <v>Curvelo</v>
      </c>
      <c r="E84" s="289" t="str">
        <f>VLOOKUP(tabParametros[[#This Row],[Código do Posto]],tabPostos[],5,0)</f>
        <v>Limpeza</v>
      </c>
      <c r="F84" s="289" t="str">
        <f>VLOOKUP(tabParametros[[#This Row],[Código do Posto]],tabPostos[],6,0)</f>
        <v>PGJ</v>
      </c>
      <c r="G84" s="289">
        <f>VLOOKUP(tabParametros[[#This Row],[Código do Posto]],tabPostos[],7,0)</f>
        <v>3</v>
      </c>
      <c r="H84" s="289">
        <f>VLOOKUP(tabParametros[[#This Row],[Código do Posto]],tabPostos[],8,0)</f>
        <v>0</v>
      </c>
      <c r="I84" s="234">
        <f>VLOOKUP(tabParametros[[#This Row],[Código do Posto]],tabPostos[],9,0)</f>
        <v>1596.28</v>
      </c>
      <c r="J84" s="234">
        <f>IF(ISNUMBER(SEARCH("Eletricista",tabParametros[[#This Row],[Função]],1)),0.3*tabParametros[[#This Row],[Salário Base]],0)</f>
        <v>0</v>
      </c>
      <c r="K84" s="234">
        <f>IF(OR(ISNUMBER(SEARCH("Bombeiro Hidraulico",tabParametros[[#This Row],[Função]],1)),ISNUMBER(SEARCH("Jardineiro",tabParametros[[#This Row],[Função]],1)),ISNUMBER(SEARCH("Lavador de Veiculos",tabParametros[[#This Row],[Função]],1)),ISNUMBER(SEARCH("Marceneiro",tabParametros[[#This Row],[Função]],1)),ISNUMBER(SEARCH("Pintor",tabParametros[[#This Row],[Função]],1))),0.2*'BASE GERAL'!$R$4,0)</f>
        <v>0</v>
      </c>
      <c r="L84" s="234">
        <f>IF(AND(ISNUMBER(SEARCH("Noturno",tabParametros[[#This Row],[Função]],1)),tabParametros[[#This Row],[Comarca]]&lt;&gt;"Juiz de Fora"),tabParametros[[#This Row],[Salário Base]]/210*0.39*7*15.5,IF(ISNUMBER(SEARCH("Noturno",tabParametros[[#This Row],[Função]],1)),tabParametros[[#This Row],[Salário Base]]/210*0.2*8*15.5,0))</f>
        <v>0</v>
      </c>
      <c r="M84" s="234">
        <f>IF(ISNUMBER(SEARCH("Motorista II",tabParametros[[#This Row],[Função]],1)),0.25*tabParametros[[#This Row],[Salário Base]],0)</f>
        <v>0</v>
      </c>
      <c r="N84" s="250">
        <v>0</v>
      </c>
      <c r="O84" s="234">
        <f>IF(ISNUMBER(SEARCH("TECNOLOGIA DA INFORMACAO",tabParametros[[#This Row],[Função]],1)),0.0201*tabParametros[[#This Row],[Salário Base]],0)</f>
        <v>0</v>
      </c>
      <c r="P84" s="250" cm="1">
        <f t="array" ref="P84">_xlfn.IFS(
ISNUMBER(SEARCH("Auxiliar de Limpeza - 75 h",tabParametros[[#This Row],[Função]],1)),tabParametros[[#This Row],[Salário Base]]/75*0.75*30*0.12,
ISNUMBER(SEARCH("Auxiliar de Limpeza - 110 h",tabParametros[[#This Row],[Função]],1)),tabParametros[[#This Row],[Salário Base]]/110*1*30*0.12,
ISNUMBER(SEARCH("Auxiliar de Limpeza - 150 h",tabParametros[[#This Row],[Função]],1)),tabParametros[[#This Row],[Salário Base]]/150*1.5*30*0.12,
ISNUMBER(SEARCH("Auxiliar de Limpeza - 220 h",tabParametros[[#This Row],[Função]],1)),tabParametros[[#This Row],[Salário Base]]/220*2*30*0.12,
ISNUMBER(SEARCH("Auxiliar de Limpeza - 12 x 36",tabParametros[[#This Row],[Função]],1)),tabParametros[[#This Row],[Salário Base]]/220*2*30*0.12,
ISNUMBER(SEARCH("Auxiliar de Limpeza - 55 h",tabParametros[[#This Row],[Função]],1))=FALSE,0)</f>
        <v>52.241890909090905</v>
      </c>
      <c r="Q84" s="235">
        <f>VLOOKUP(tabParametros[[#Headers],[INSS]],tabImpostosNacionais[],2,0)</f>
        <v>0.2</v>
      </c>
      <c r="R84" s="235">
        <f>VLOOKUP(tabParametros[[#Headers],[SESI OU SESC]],tabImpostosNacionais[],2,0)</f>
        <v>1.4999999999999999E-2</v>
      </c>
      <c r="S84" s="235">
        <f>VLOOKUP(tabParametros[[#Headers],[SENAI OU SENAC]],tabImpostosNacionais[],2,0)</f>
        <v>0.01</v>
      </c>
      <c r="T84" s="235">
        <f>VLOOKUP(tabParametros[[#Headers],[INCRA]],tabImpostosNacionais[],2,0)</f>
        <v>2E-3</v>
      </c>
      <c r="U84" s="235">
        <f>VLOOKUP(tabParametros[[#Headers],[Salário Educação]],tabImpostosNacionais[],2,0)</f>
        <v>2.5000000000000001E-2</v>
      </c>
      <c r="V84" s="235">
        <f>VLOOKUP(tabParametros[[#Headers],[FGTS]],tabImpostosNacionais[],2,0)</f>
        <v>0.08</v>
      </c>
      <c r="W84" s="235">
        <f>VLOOKUP(tabParametros[[#Headers],[RAT Ajustado]],tabImpostosNacionais[],2,0)</f>
        <v>0.04</v>
      </c>
      <c r="X84" s="235">
        <f>VLOOKUP(tabParametros[[#Headers],[SEBRAE]],tabImpostosNacionais[],2,0)</f>
        <v>6.0000000000000001E-3</v>
      </c>
      <c r="Y84" s="235">
        <f t="shared" si="11"/>
        <v>8.3333333333333329E-2</v>
      </c>
      <c r="Z84" s="251">
        <f t="shared" si="12"/>
        <v>0.1111111111111111</v>
      </c>
      <c r="AA84" s="234">
        <f>VLOOKUP(tabParametros[[#This Row],[Comarca]],tabComarca[],5,0)</f>
        <v>6.4</v>
      </c>
      <c r="AB84" s="234">
        <f>IFERROR(VLOOKUP(tabParametros[[#This Row],[CCT DA CATEGORIA]],tabSindicatos[],6,0),0)</f>
        <v>29.15</v>
      </c>
      <c r="AC84" s="234">
        <f>IFERROR(VLOOKUP(tabParametros[[#This Row],[CCT DA CATEGORIA]],tabSindicatos[],7,0),0)</f>
        <v>0</v>
      </c>
      <c r="AD84" s="234" cm="1">
        <f t="array" ref="AD84">_xlfn.LET(
_xlpm.COMARCA, TRIM(UPPER(SUBSTITUTE(SUBSTITUTE(SUBSTITUTE(SUBSTITUTE(SUBSTITUTE(SUBSTITUTE(SUBSTITUTE(SUBSTITUTE(SUBSTITUTE(SUBSTITUTE(SUBSTITUTE(SUBSTITUTE(SUBSTITUTE(SUBSTITUTE(SUBSTITUTE(SUBSTITUTE(SUBSTITUTE(SUBSTITUTE(SUBSTITUTE(SUBSTITUTE(SUBSTITUTE(SUBSTITUTE(SUBSTITUTE(SUBSTITUTE(SUBSTITUTE(SUBSTITUTE(tabParametros[[#This Row],[Comarca]],"á","a"),"ã","a"),"â","a"),"é","e"),"ê","e"),"í","i"),"ó","o"),"õ","o"),"ô","o"),"ú","u"),"ç","c"),"Á","a"),"Ã","a"),"Â","a"),"É","e"),"Ê","e"),"Í","i"),"Ó","o"),"Õ","o"),"Ô","o"),"Ú","u"),"Ç","c"),"/MG","")," e ",", ")," ",""),".",""))),
_xlpm.MATRIZ_COMARCA, TRIM(UPPER(SUBSTITUTE(SUBSTITUTE(SUBSTITUTE(SUBSTITUTE(SUBSTITUTE(SUBSTITUTE(SUBSTITUTE(SUBSTITUTE(SUBSTITUTE(SUBSTITUTE(SUBSTITUTE(SUBSTITUTE(SUBSTITUTE(SUBSTITUTE(SUBSTITUTE(SUBSTITUTE(SUBSTITUTE(SUBSTITUTE(SUBSTITUTE(SUBSTITUTE(SUBSTITUTE(SUBSTITUTE(SUBSTITUTE(SUBSTITUTE(SUBSTITUTE(SUBSTITUTE(tabSindicatos[COMARCAS PAF],"á","a"),"ã","a"),"â","a"),"é","e"),"ê","e"),"í","i"),"ó","o"),"õ","o"),"ô","o"),"ú","u"),"ç","c"),"Á","a"),"Ã","a"),"Â","a"),"É","e"),"Ê","e"),"Í","i"),"Ó","o"),"Õ","o"),"Ô","o"),"Ú","u"),"Ç","c"),"/MG","")," e ",", ")," ",""),".",""))),
IFERROR(IF(_xlfn.XLOOKUP(tabParametros[[#This Row],[CCT DA CATEGORIA]],tabSindicatos[SINDICATOS],tabSindicatos[COMARCAS PAF])="",
VLOOKUP(tabParametros[[#This Row],[CCT DA CATEGORIA]],tabSindicatos[],8,0),
IF(ISNUMBER(SEARCH(TRIM(_xlpm.COMARCA),_xlfn.XLOOKUP(tabParametros[[#This Row],[CCT DA CATEGORIA]],tabSindicatos[SINDICATOS],_xlpm.MATRIZ_COMARCA),1)),VLOOKUP(tabParametros[[#This Row],[CCT DA CATEGORIA]],tabSindicatos[],8,0),0)
),0)
)</f>
        <v>51.74</v>
      </c>
      <c r="AE84" s="234">
        <f>IFERROR(VLOOKUP(tabParametros[[#This Row],[CCT DA CATEGORIA]],tabSindicatos[],9,0),0)</f>
        <v>0</v>
      </c>
      <c r="AF84" s="234">
        <f>IFERROR(VLOOKUP(tabParametros[[#This Row],[CCT DA CATEGORIA]],tabSindicatos[],10,0),0)</f>
        <v>0</v>
      </c>
      <c r="AG84" s="236">
        <f>VLOOKUP(tabParametros[[#Headers],[Seguro de Vida]],tabOutrosCustos[],3,0)</f>
        <v>3.36</v>
      </c>
      <c r="AH84" s="236">
        <f>IF(ISNUMBER(SEARCH("MOTORISTA",tabParametros[[#This Row],[Função]],1)),VLOOKUP("MOTORISTAS",tabDiarias[],2,0),IF(tabParametros[[#This Row],[Comarca]]="Belo Horizonte",VLOOKUP("LIMPEZA",tabDiarias[],2,0),0))</f>
        <v>0</v>
      </c>
      <c r="AI84" s="235">
        <f t="shared" si="13"/>
        <v>7.011766975308642E-3</v>
      </c>
      <c r="AJ84" s="237">
        <f>tabParametros[[#This Row],[FGTS]]*tabParametros[[#This Row],[Aviso Prévio Indenizado (API) e Reflexo do Aviso Prévio Indenizado]]</f>
        <v>5.609413580246914E-4</v>
      </c>
      <c r="AK84" s="237">
        <f>tabParametros[[#This Row],[FGTS]]*tabParametros[[#This Row],[Aviso Prévio Indenizado (API) e Reflexo do Aviso Prévio Indenizado]]*40%</f>
        <v>2.2437654320987658E-4</v>
      </c>
      <c r="AL84" s="235">
        <f t="shared" si="14"/>
        <v>3.5000000000000005E-3</v>
      </c>
      <c r="AM84" s="235">
        <f>tabParametros[[#This Row],[Aviso Prévio Trabalhado - APT]]*SUM(tabParametros[[#This Row],[INSS]:[SEBRAE]])</f>
        <v>1.3230000000000004E-3</v>
      </c>
      <c r="AN84" s="235">
        <f t="shared" si="15"/>
        <v>3.0577777777777773E-2</v>
      </c>
      <c r="AO84" s="235">
        <f t="shared" si="16"/>
        <v>8.3333333333333339E-4</v>
      </c>
      <c r="AP84" s="235">
        <f t="shared" si="17"/>
        <v>8.4444444444444437E-3</v>
      </c>
      <c r="AQ84" s="235">
        <f t="shared" si="18"/>
        <v>2.0277777777777777E-3</v>
      </c>
      <c r="AR84" s="235">
        <f t="shared" si="19"/>
        <v>1.7083333333333333E-4</v>
      </c>
      <c r="AS84" s="235">
        <f t="shared" si="20"/>
        <v>2.0833333333333335E-4</v>
      </c>
      <c r="AT84" s="235">
        <f t="shared" si="21"/>
        <v>1.2962962962962963E-3</v>
      </c>
      <c r="AU84" s="237">
        <f>SUM(tabParametros[[#This Row],[Ausência por Doença]:[Férias, Adicional de Férias e 13º  com empregada em gozo de Licença Maternidade]])*SUM(tabParametros[[#This Row],[INSS]:[SEBRAE]])</f>
        <v>4.5918250000000008E-3</v>
      </c>
      <c r="AV84" s="234">
        <f>IF(tabParametros[[#This Row],[Função]]="Porteiro - 220 h",SUM(tabParametros[[#This Row],[Salário Base]:[Adicional de Acúmulo de função]])/220*20*1.5,IF(ISNUMBER(SEARCH("12 x 36",tabParametros[[#This Row],[Função]],1)),SUM(tabParametros[[#This Row],[Salário Base]:[Adicional de Acúmulo de função]])/210*15.5*1.5,0))</f>
        <v>0</v>
      </c>
      <c r="AW84" s="234">
        <f>IF(tabParametros[[#This Row],[Vagas contratadas]]&gt;0,(SUM(tabParametros[[#This Row],[Salário Base]:[Adicional de Acúmulo de função]])*30%+SUM(tabParametros[[#This Row],[Vale - Alimentação]:[Seguro de Vida]]))/tabParametros[[#This Row],[Vagas contratadas]]*tabParametros[[#This Row],[Vagas suspensas]],0)</f>
        <v>0</v>
      </c>
      <c r="AX84" s="234">
        <f>SUMIF(tabUniformes[Cargo],tabParametros[[#This Row],[Função]],tabUniformes[Valor unit. Mensal])</f>
        <v>100.80916666666666</v>
      </c>
      <c r="AY84" s="281">
        <f>IF(ISNUMBER(SEARCH("AUXILIAR DE LIMPEZA - 75 H",tabParametros[[#This Row],[Função]],1)),
SUMIF(tabLimpGeral[TIPO],"Material",tabLimpGeral[VALOR UNITÁRIO P/ HORA (R$)])*75,
IF(ISNUMBER(SEARCH("AUXILIAR DE LIMPEZA - 110 H",tabParametros[[#This Row],[Função]],1)),
SUMIF(tabLimpGeral[TIPO],"Material",tabLimpGeral[VALOR UNITÁRIO P/ HORA (R$)])*110,
IF(ISNUMBER(SEARCH("AUXILIAR DE LIMPEZA - 150 H",tabParametros[[#This Row],[Função]],1)),
SUMIF(tabLimpGeral[TIPO],"Material",tabLimpGeral[VALOR UNITÁRIO P/ HORA (R$)])*150,
IF(ISNUMBER(SEARCH("AUXILIAR DE LIMPEZA - 220 H",tabParametros[[#This Row],[Função]],1)),
SUMIF(tabLimpGeral[TIPO],"Material",tabLimpGeral[VALOR UNITÁRIO P/ HORA (R$)])*220,
IF(ISNUMBER(SEARCH("AUXILIAR DE LIMPEZA - 12 x 36",tabParametros[[#This Row],[Função]],1)),
SUMIF(tabLimpGeral[TIPO],"Material",tabLimpGeral[VALOR UNITÁRIO P/ HORA (R$)])*220,
IF(ISNUMBER(SEARCH("Limpador de vidros - 220 h",tabParametros[[#This Row],[Função]],1)),
SUMIF(tabVidros[TIPO],"Material",tabVidros[VALOR UNITÁRIO P/ POSTO (R$)]),
0))))))</f>
        <v>35.518212958583888</v>
      </c>
      <c r="AZ84" s="281">
        <f>IF(ISNUMBER(SEARCH("AUXILIAR DE LIMPEZA - 75 H",tabParametros[[#This Row],[Função]],1)),
SUMIF(tabLimpGeral[TIPO],"Equipamento",tabLimpGeral[VALOR UNITÁRIO P/ HORA (R$)])*75,
IF(ISNUMBER(SEARCH("AUXILIAR DE LIMPEZA - 110 H",tabParametros[[#This Row],[Função]],1)),
SUMIF(tabLimpGeral[TIPO],"Equipamento",tabLimpGeral[VALOR UNITÁRIO P/ HORA (R$)])*110,
IF(ISNUMBER(SEARCH("AUXILIAR DE LIMPEZA - 150 H",tabParametros[[#This Row],[Função]],1)),
SUMIF(tabLimpGeral[TIPO],"Equipamento",tabLimpGeral[VALOR UNITÁRIO P/ HORA (R$)])*150,
IF(ISNUMBER(SEARCH("AUXILIAR DE LIMPEZA - 220 H",tabParametros[[#This Row],[Função]],1)),
SUMIF(tabLimpGeral[TIPO],"Equipamento",tabLimpGeral[VALOR UNITÁRIO P/ HORA (R$)])*220,
IF(ISNUMBER(SEARCH("AUXILIAR DE LIMPEZA - 12 x 36",tabParametros[[#This Row],[Função]],1)),
SUMIF(tabLimpGeral[TIPO],"Equipamento",tabLimpGeral[VALOR UNITÁRIO P/ HORA (R$)])*220,
IF(ISNUMBER(SEARCH("Limpador de vidros - 220 h",tabParametros[[#This Row],[Função]],1)),
SUMIF(tabVidros[TIPO],"Equipamento",tabVidros[VALOR UNITÁRIO P/ POSTO (R$)]),
0))))))</f>
        <v>64.529393914825576</v>
      </c>
      <c r="BA84" s="281">
        <f>IF(ISNUMBER(SEARCH("AUXILIAR DE LIMPEZA - 75 H",tabParametros[[#This Row],[Função]],1)),
SUMIF(tabLimpGeral[TIPO],"Produto",tabLimpGeral[VALOR UNITÁRIO P/ HORA (R$)])*75,
IF(ISNUMBER(SEARCH("AUXILIAR DE LIMPEZA - 110 H",tabParametros[[#This Row],[Função]],1)),
SUMIF(tabLimpGeral[TIPO],"Produto",tabLimpGeral[VALOR UNITÁRIO P/ HORA (R$)])*110,
IF(ISNUMBER(SEARCH("AUXILIAR DE LIMPEZA - 150 H",tabParametros[[#This Row],[Função]],1)),
SUMIF(tabLimpGeral[TIPO],"Produto",tabLimpGeral[VALOR UNITÁRIO P/ HORA (R$)])*150,
IF(ISNUMBER(SEARCH("AUXILIAR DE LIMPEZA - 220 H",tabParametros[[#This Row],[Função]],1)),
SUMIF(tabLimpGeral[TIPO],"Produto",tabLimpGeral[VALOR UNITÁRIO P/ HORA (R$)])*220,
IF(ISNUMBER(SEARCH("AUXILIAR DE LIMPEZA - 12 x 36",tabParametros[[#This Row],[Função]],1)),
SUMIF(tabLimpGeral[TIPO],"Produto",tabLimpGeral[VALOR UNITÁRIO P/ HORA (R$)])*220,
IF(ISNUMBER(SEARCH("Limpador de vidros - 220 h",tabParametros[[#This Row],[Função]],1)),
SUMIF(tabVidros[TIPO],"Produto",tabVidros[VALOR UNITÁRIO P/ POSTO (R$)]),
0))))))</f>
        <v>690.27153277931654</v>
      </c>
      <c r="BB84" s="281">
        <v>0</v>
      </c>
      <c r="BC84" s="236">
        <f>VLOOKUP(tabParametros[[#Headers],[Custos Indiretos]],tabOutrosCustos[],3,0)</f>
        <v>189.64880140242613</v>
      </c>
      <c r="BD84" s="236">
        <f>VLOOKUP(tabParametros[[#Headers],[Lucro]],tabOutrosCustos[],3,0)</f>
        <v>159.30499317803796</v>
      </c>
      <c r="BE84" s="235">
        <f>VLOOKUP(tabParametros[[#Headers],[COFINS]],tabImpostosNacionais[],2,0)</f>
        <v>7.5999999999999998E-2</v>
      </c>
      <c r="BF84" s="235">
        <f>VLOOKUP(tabParametros[[#Headers],[PIS]],tabImpostosNacionais[],2,0)</f>
        <v>1.6500000000000001E-2</v>
      </c>
      <c r="BG84" s="235">
        <f>VLOOKUP(tabParametros[[#This Row],[Comarca]],tabComarca[],4,0)</f>
        <v>0.02</v>
      </c>
      <c r="BH84" s="238">
        <f>IFERROR(VLOOKUP(tabParametros[[#This Row],[CCT DA CATEGORIA]],tabSindicatos[],11,0),"")</f>
        <v>45658</v>
      </c>
      <c r="BI84" s="289" t="str">
        <f>IFERROR(VLOOKUP(tabParametros[[#This Row],[CCT DA CATEGORIA]],tabSindicatos[],12,0),"")</f>
        <v>-</v>
      </c>
      <c r="BJ84" s="293" t="str">
        <f>IFERROR(VLOOKUP(tabParametros[[#This Row],[CCT DA CATEGORIA]],tabSindicatos[],13,0),"")</f>
        <v>-</v>
      </c>
    </row>
    <row r="85" spans="1:62" x14ac:dyDescent="0.25">
      <c r="A85" s="233" t="s">
        <v>1425</v>
      </c>
      <c r="B85" s="198" t="s">
        <v>82</v>
      </c>
      <c r="C85" s="198" t="s">
        <v>1245</v>
      </c>
      <c r="D85" s="198" t="str">
        <f>VLOOKUP(tabParametros[[#This Row],[Código do Posto]],tabPostos[],4,0)</f>
        <v>Curvelo</v>
      </c>
      <c r="E85" s="289" t="str">
        <f>VLOOKUP(tabParametros[[#This Row],[Código do Posto]],tabPostos[],5,0)</f>
        <v>Limpeza</v>
      </c>
      <c r="F85" s="289" t="str">
        <f>VLOOKUP(tabParametros[[#This Row],[Código do Posto]],tabPostos[],6,0)</f>
        <v>PGJ</v>
      </c>
      <c r="G85" s="289">
        <f>VLOOKUP(tabParametros[[#This Row],[Código do Posto]],tabPostos[],7,0)</f>
        <v>1</v>
      </c>
      <c r="H85" s="289">
        <f>VLOOKUP(tabParametros[[#This Row],[Código do Posto]],tabPostos[],8,0)</f>
        <v>0</v>
      </c>
      <c r="I85" s="234">
        <f>VLOOKUP(tabParametros[[#This Row],[Código do Posto]],tabPostos[],9,0)</f>
        <v>1596.28</v>
      </c>
      <c r="J85" s="234">
        <f>IF(ISNUMBER(SEARCH("Eletricista",tabParametros[[#This Row],[Função]],1)),0.3*tabParametros[[#This Row],[Salário Base]],0)</f>
        <v>0</v>
      </c>
      <c r="K85" s="234">
        <f>IF(OR(ISNUMBER(SEARCH("Bombeiro Hidraulico",tabParametros[[#This Row],[Função]],1)),ISNUMBER(SEARCH("Jardineiro",tabParametros[[#This Row],[Função]],1)),ISNUMBER(SEARCH("Lavador de Veiculos",tabParametros[[#This Row],[Função]],1)),ISNUMBER(SEARCH("Marceneiro",tabParametros[[#This Row],[Função]],1)),ISNUMBER(SEARCH("Pintor",tabParametros[[#This Row],[Função]],1))),0.2*'BASE GERAL'!$R$4,0)</f>
        <v>0</v>
      </c>
      <c r="L85" s="234">
        <f>IF(AND(ISNUMBER(SEARCH("Noturno",tabParametros[[#This Row],[Função]],1)),tabParametros[[#This Row],[Comarca]]&lt;&gt;"Juiz de Fora"),tabParametros[[#This Row],[Salário Base]]/210*0.39*7*15.5,IF(ISNUMBER(SEARCH("Noturno",tabParametros[[#This Row],[Função]],1)),tabParametros[[#This Row],[Salário Base]]/210*0.2*8*15.5,0))</f>
        <v>0</v>
      </c>
      <c r="M85" s="234">
        <f>IF(ISNUMBER(SEARCH("Motorista II",tabParametros[[#This Row],[Função]],1)),0.25*tabParametros[[#This Row],[Salário Base]],0)</f>
        <v>0</v>
      </c>
      <c r="N85" s="250">
        <v>0</v>
      </c>
      <c r="O85" s="234">
        <f>IF(ISNUMBER(SEARCH("TECNOLOGIA DA INFORMACAO",tabParametros[[#This Row],[Função]],1)),0.0201*tabParametros[[#This Row],[Salário Base]],0)</f>
        <v>0</v>
      </c>
      <c r="P85" s="250" cm="1">
        <f t="array" ref="P85">_xlfn.IFS(
ISNUMBER(SEARCH("Auxiliar de Limpeza - 75 h",tabParametros[[#This Row],[Função]],1)),tabParametros[[#This Row],[Salário Base]]/75*0.75*30*0.12,
ISNUMBER(SEARCH("Auxiliar de Limpeza - 110 h",tabParametros[[#This Row],[Função]],1)),tabParametros[[#This Row],[Salário Base]]/110*1*30*0.12,
ISNUMBER(SEARCH("Auxiliar de Limpeza - 150 h",tabParametros[[#This Row],[Função]],1)),tabParametros[[#This Row],[Salário Base]]/150*1.5*30*0.12,
ISNUMBER(SEARCH("Auxiliar de Limpeza - 220 h",tabParametros[[#This Row],[Função]],1)),tabParametros[[#This Row],[Salário Base]]/220*2*30*0.12,
ISNUMBER(SEARCH("Auxiliar de Limpeza - 12 x 36",tabParametros[[#This Row],[Função]],1)),tabParametros[[#This Row],[Salário Base]]/220*2*30*0.12,
ISNUMBER(SEARCH("Auxiliar de Limpeza - 55 h",tabParametros[[#This Row],[Função]],1))=FALSE,0)</f>
        <v>52.241890909090905</v>
      </c>
      <c r="Q85" s="235">
        <f>VLOOKUP(tabParametros[[#Headers],[INSS]],tabImpostosNacionais[],2,0)</f>
        <v>0.2</v>
      </c>
      <c r="R85" s="235">
        <f>VLOOKUP(tabParametros[[#Headers],[SESI OU SESC]],tabImpostosNacionais[],2,0)</f>
        <v>1.4999999999999999E-2</v>
      </c>
      <c r="S85" s="235">
        <f>VLOOKUP(tabParametros[[#Headers],[SENAI OU SENAC]],tabImpostosNacionais[],2,0)</f>
        <v>0.01</v>
      </c>
      <c r="T85" s="235">
        <f>VLOOKUP(tabParametros[[#Headers],[INCRA]],tabImpostosNacionais[],2,0)</f>
        <v>2E-3</v>
      </c>
      <c r="U85" s="235">
        <f>VLOOKUP(tabParametros[[#Headers],[Salário Educação]],tabImpostosNacionais[],2,0)</f>
        <v>2.5000000000000001E-2</v>
      </c>
      <c r="V85" s="235">
        <f>VLOOKUP(tabParametros[[#Headers],[FGTS]],tabImpostosNacionais[],2,0)</f>
        <v>0.08</v>
      </c>
      <c r="W85" s="235">
        <f>VLOOKUP(tabParametros[[#Headers],[RAT Ajustado]],tabImpostosNacionais[],2,0)</f>
        <v>0.04</v>
      </c>
      <c r="X85" s="235">
        <f>VLOOKUP(tabParametros[[#Headers],[SEBRAE]],tabImpostosNacionais[],2,0)</f>
        <v>6.0000000000000001E-3</v>
      </c>
      <c r="Y85" s="235">
        <f t="shared" si="11"/>
        <v>8.3333333333333329E-2</v>
      </c>
      <c r="Z85" s="251">
        <f t="shared" si="12"/>
        <v>0.1111111111111111</v>
      </c>
      <c r="AA85" s="234">
        <f>VLOOKUP(tabParametros[[#This Row],[Comarca]],tabComarca[],5,0)</f>
        <v>6.4</v>
      </c>
      <c r="AB85" s="234">
        <f>IFERROR(VLOOKUP(tabParametros[[#This Row],[CCT DA CATEGORIA]],tabSindicatos[],6,0),0)</f>
        <v>29.15</v>
      </c>
      <c r="AC85" s="234">
        <f>IFERROR(VLOOKUP(tabParametros[[#This Row],[CCT DA CATEGORIA]],tabSindicatos[],7,0),0)</f>
        <v>0</v>
      </c>
      <c r="AD85" s="234" cm="1">
        <f t="array" ref="AD85">_xlfn.LET(
_xlpm.COMARCA, TRIM(UPPER(SUBSTITUTE(SUBSTITUTE(SUBSTITUTE(SUBSTITUTE(SUBSTITUTE(SUBSTITUTE(SUBSTITUTE(SUBSTITUTE(SUBSTITUTE(SUBSTITUTE(SUBSTITUTE(SUBSTITUTE(SUBSTITUTE(SUBSTITUTE(SUBSTITUTE(SUBSTITUTE(SUBSTITUTE(SUBSTITUTE(SUBSTITUTE(SUBSTITUTE(SUBSTITUTE(SUBSTITUTE(SUBSTITUTE(SUBSTITUTE(SUBSTITUTE(SUBSTITUTE(tabParametros[[#This Row],[Comarca]],"á","a"),"ã","a"),"â","a"),"é","e"),"ê","e"),"í","i"),"ó","o"),"õ","o"),"ô","o"),"ú","u"),"ç","c"),"Á","a"),"Ã","a"),"Â","a"),"É","e"),"Ê","e"),"Í","i"),"Ó","o"),"Õ","o"),"Ô","o"),"Ú","u"),"Ç","c"),"/MG","")," e ",", ")," ",""),".",""))),
_xlpm.MATRIZ_COMARCA, TRIM(UPPER(SUBSTITUTE(SUBSTITUTE(SUBSTITUTE(SUBSTITUTE(SUBSTITUTE(SUBSTITUTE(SUBSTITUTE(SUBSTITUTE(SUBSTITUTE(SUBSTITUTE(SUBSTITUTE(SUBSTITUTE(SUBSTITUTE(SUBSTITUTE(SUBSTITUTE(SUBSTITUTE(SUBSTITUTE(SUBSTITUTE(SUBSTITUTE(SUBSTITUTE(SUBSTITUTE(SUBSTITUTE(SUBSTITUTE(SUBSTITUTE(SUBSTITUTE(SUBSTITUTE(tabSindicatos[COMARCAS PAF],"á","a"),"ã","a"),"â","a"),"é","e"),"ê","e"),"í","i"),"ó","o"),"õ","o"),"ô","o"),"ú","u"),"ç","c"),"Á","a"),"Ã","a"),"Â","a"),"É","e"),"Ê","e"),"Í","i"),"Ó","o"),"Õ","o"),"Ô","o"),"Ú","u"),"Ç","c"),"/MG","")," e ",", ")," ",""),".",""))),
IFERROR(IF(_xlfn.XLOOKUP(tabParametros[[#This Row],[CCT DA CATEGORIA]],tabSindicatos[SINDICATOS],tabSindicatos[COMARCAS PAF])="",
VLOOKUP(tabParametros[[#This Row],[CCT DA CATEGORIA]],tabSindicatos[],8,0),
IF(ISNUMBER(SEARCH(TRIM(_xlpm.COMARCA),_xlfn.XLOOKUP(tabParametros[[#This Row],[CCT DA CATEGORIA]],tabSindicatos[SINDICATOS],_xlpm.MATRIZ_COMARCA),1)),VLOOKUP(tabParametros[[#This Row],[CCT DA CATEGORIA]],tabSindicatos[],8,0),0)
),0)
)</f>
        <v>51.74</v>
      </c>
      <c r="AE85" s="234">
        <f>IFERROR(VLOOKUP(tabParametros[[#This Row],[CCT DA CATEGORIA]],tabSindicatos[],9,0),0)</f>
        <v>0</v>
      </c>
      <c r="AF85" s="234">
        <f>IFERROR(VLOOKUP(tabParametros[[#This Row],[CCT DA CATEGORIA]],tabSindicatos[],10,0),0)</f>
        <v>0</v>
      </c>
      <c r="AG85" s="236">
        <f>VLOOKUP(tabParametros[[#Headers],[Seguro de Vida]],tabOutrosCustos[],3,0)</f>
        <v>3.36</v>
      </c>
      <c r="AH85" s="236">
        <f>IF(ISNUMBER(SEARCH("MOTORISTA",tabParametros[[#This Row],[Função]],1)),VLOOKUP("MOTORISTAS",tabDiarias[],2,0),IF(tabParametros[[#This Row],[Comarca]]="Belo Horizonte",VLOOKUP("LIMPEZA",tabDiarias[],2,0),0))</f>
        <v>0</v>
      </c>
      <c r="AI85" s="235">
        <f t="shared" si="13"/>
        <v>7.011766975308642E-3</v>
      </c>
      <c r="AJ85" s="237">
        <f>tabParametros[[#This Row],[FGTS]]*tabParametros[[#This Row],[Aviso Prévio Indenizado (API) e Reflexo do Aviso Prévio Indenizado]]</f>
        <v>5.609413580246914E-4</v>
      </c>
      <c r="AK85" s="237">
        <f>tabParametros[[#This Row],[FGTS]]*tabParametros[[#This Row],[Aviso Prévio Indenizado (API) e Reflexo do Aviso Prévio Indenizado]]*40%</f>
        <v>2.2437654320987658E-4</v>
      </c>
      <c r="AL85" s="235">
        <f t="shared" si="14"/>
        <v>3.5000000000000005E-3</v>
      </c>
      <c r="AM85" s="235">
        <f>tabParametros[[#This Row],[Aviso Prévio Trabalhado - APT]]*SUM(tabParametros[[#This Row],[INSS]:[SEBRAE]])</f>
        <v>1.3230000000000004E-3</v>
      </c>
      <c r="AN85" s="235">
        <f t="shared" si="15"/>
        <v>3.0577777777777773E-2</v>
      </c>
      <c r="AO85" s="235">
        <f t="shared" si="16"/>
        <v>8.3333333333333339E-4</v>
      </c>
      <c r="AP85" s="235">
        <f t="shared" si="17"/>
        <v>8.4444444444444437E-3</v>
      </c>
      <c r="AQ85" s="235">
        <f t="shared" si="18"/>
        <v>2.0277777777777777E-3</v>
      </c>
      <c r="AR85" s="235">
        <f t="shared" si="19"/>
        <v>1.7083333333333333E-4</v>
      </c>
      <c r="AS85" s="235">
        <f t="shared" si="20"/>
        <v>2.0833333333333335E-4</v>
      </c>
      <c r="AT85" s="235">
        <f t="shared" si="21"/>
        <v>1.2962962962962963E-3</v>
      </c>
      <c r="AU85" s="237">
        <f>SUM(tabParametros[[#This Row],[Ausência por Doença]:[Férias, Adicional de Férias e 13º  com empregada em gozo de Licença Maternidade]])*SUM(tabParametros[[#This Row],[INSS]:[SEBRAE]])</f>
        <v>4.5918250000000008E-3</v>
      </c>
      <c r="AV85" s="234">
        <f>IF(tabParametros[[#This Row],[Função]]="Porteiro - 220 h",SUM(tabParametros[[#This Row],[Salário Base]:[Adicional de Acúmulo de função]])/220*20*1.5,IF(ISNUMBER(SEARCH("12 x 36",tabParametros[[#This Row],[Função]],1)),SUM(tabParametros[[#This Row],[Salário Base]:[Adicional de Acúmulo de função]])/210*15.5*1.5,0))</f>
        <v>0</v>
      </c>
      <c r="AW85" s="234">
        <f>IF(tabParametros[[#This Row],[Vagas contratadas]]&gt;0,(SUM(tabParametros[[#This Row],[Salário Base]:[Adicional de Acúmulo de função]])*30%+SUM(tabParametros[[#This Row],[Vale - Alimentação]:[Seguro de Vida]]))/tabParametros[[#This Row],[Vagas contratadas]]*tabParametros[[#This Row],[Vagas suspensas]],0)</f>
        <v>0</v>
      </c>
      <c r="AX85" s="234">
        <f>SUMIF(tabUniformes[Cargo],tabParametros[[#This Row],[Função]],tabUniformes[Valor unit. Mensal])</f>
        <v>100.80916666666666</v>
      </c>
      <c r="AY85" s="281">
        <f>IF(ISNUMBER(SEARCH("AUXILIAR DE LIMPEZA - 75 H",tabParametros[[#This Row],[Função]],1)),
SUMIF(tabLimpGeral[TIPO],"Material",tabLimpGeral[VALOR UNITÁRIO P/ HORA (R$)])*75,
IF(ISNUMBER(SEARCH("AUXILIAR DE LIMPEZA - 110 H",tabParametros[[#This Row],[Função]],1)),
SUMIF(tabLimpGeral[TIPO],"Material",tabLimpGeral[VALOR UNITÁRIO P/ HORA (R$)])*110,
IF(ISNUMBER(SEARCH("AUXILIAR DE LIMPEZA - 150 H",tabParametros[[#This Row],[Função]],1)),
SUMIF(tabLimpGeral[TIPO],"Material",tabLimpGeral[VALOR UNITÁRIO P/ HORA (R$)])*150,
IF(ISNUMBER(SEARCH("AUXILIAR DE LIMPEZA - 220 H",tabParametros[[#This Row],[Função]],1)),
SUMIF(tabLimpGeral[TIPO],"Material",tabLimpGeral[VALOR UNITÁRIO P/ HORA (R$)])*220,
IF(ISNUMBER(SEARCH("AUXILIAR DE LIMPEZA - 12 x 36",tabParametros[[#This Row],[Função]],1)),
SUMIF(tabLimpGeral[TIPO],"Material",tabLimpGeral[VALOR UNITÁRIO P/ HORA (R$)])*220,
IF(ISNUMBER(SEARCH("Limpador de vidros - 220 h",tabParametros[[#This Row],[Função]],1)),
SUMIF(tabVidros[TIPO],"Material",tabVidros[VALOR UNITÁRIO P/ POSTO (R$)]),
0))))))</f>
        <v>35.518212958583888</v>
      </c>
      <c r="AZ85" s="281">
        <f>IF(ISNUMBER(SEARCH("AUXILIAR DE LIMPEZA - 75 H",tabParametros[[#This Row],[Função]],1)),
SUMIF(tabLimpGeral[TIPO],"Equipamento",tabLimpGeral[VALOR UNITÁRIO P/ HORA (R$)])*75,
IF(ISNUMBER(SEARCH("AUXILIAR DE LIMPEZA - 110 H",tabParametros[[#This Row],[Função]],1)),
SUMIF(tabLimpGeral[TIPO],"Equipamento",tabLimpGeral[VALOR UNITÁRIO P/ HORA (R$)])*110,
IF(ISNUMBER(SEARCH("AUXILIAR DE LIMPEZA - 150 H",tabParametros[[#This Row],[Função]],1)),
SUMIF(tabLimpGeral[TIPO],"Equipamento",tabLimpGeral[VALOR UNITÁRIO P/ HORA (R$)])*150,
IF(ISNUMBER(SEARCH("AUXILIAR DE LIMPEZA - 220 H",tabParametros[[#This Row],[Função]],1)),
SUMIF(tabLimpGeral[TIPO],"Equipamento",tabLimpGeral[VALOR UNITÁRIO P/ HORA (R$)])*220,
IF(ISNUMBER(SEARCH("AUXILIAR DE LIMPEZA - 12 x 36",tabParametros[[#This Row],[Função]],1)),
SUMIF(tabLimpGeral[TIPO],"Equipamento",tabLimpGeral[VALOR UNITÁRIO P/ HORA (R$)])*220,
IF(ISNUMBER(SEARCH("Limpador de vidros - 220 h",tabParametros[[#This Row],[Função]],1)),
SUMIF(tabVidros[TIPO],"Equipamento",tabVidros[VALOR UNITÁRIO P/ POSTO (R$)]),
0))))))</f>
        <v>64.529393914825576</v>
      </c>
      <c r="BA85" s="281">
        <f>IF(ISNUMBER(SEARCH("AUXILIAR DE LIMPEZA - 75 H",tabParametros[[#This Row],[Função]],1)),
SUMIF(tabLimpGeral[TIPO],"Produto",tabLimpGeral[VALOR UNITÁRIO P/ HORA (R$)])*75,
IF(ISNUMBER(SEARCH("AUXILIAR DE LIMPEZA - 110 H",tabParametros[[#This Row],[Função]],1)),
SUMIF(tabLimpGeral[TIPO],"Produto",tabLimpGeral[VALOR UNITÁRIO P/ HORA (R$)])*110,
IF(ISNUMBER(SEARCH("AUXILIAR DE LIMPEZA - 150 H",tabParametros[[#This Row],[Função]],1)),
SUMIF(tabLimpGeral[TIPO],"Produto",tabLimpGeral[VALOR UNITÁRIO P/ HORA (R$)])*150,
IF(ISNUMBER(SEARCH("AUXILIAR DE LIMPEZA - 220 H",tabParametros[[#This Row],[Função]],1)),
SUMIF(tabLimpGeral[TIPO],"Produto",tabLimpGeral[VALOR UNITÁRIO P/ HORA (R$)])*220,
IF(ISNUMBER(SEARCH("AUXILIAR DE LIMPEZA - 12 x 36",tabParametros[[#This Row],[Função]],1)),
SUMIF(tabLimpGeral[TIPO],"Produto",tabLimpGeral[VALOR UNITÁRIO P/ HORA (R$)])*220,
IF(ISNUMBER(SEARCH("Limpador de vidros - 220 h",tabParametros[[#This Row],[Função]],1)),
SUMIF(tabVidros[TIPO],"Produto",tabVidros[VALOR UNITÁRIO P/ POSTO (R$)]),
0))))))</f>
        <v>690.27153277931654</v>
      </c>
      <c r="BB85" s="281">
        <v>0</v>
      </c>
      <c r="BC85" s="236">
        <f>VLOOKUP(tabParametros[[#Headers],[Custos Indiretos]],tabOutrosCustos[],3,0)</f>
        <v>189.64880140242613</v>
      </c>
      <c r="BD85" s="236">
        <f>VLOOKUP(tabParametros[[#Headers],[Lucro]],tabOutrosCustos[],3,0)</f>
        <v>159.30499317803796</v>
      </c>
      <c r="BE85" s="235">
        <f>VLOOKUP(tabParametros[[#Headers],[COFINS]],tabImpostosNacionais[],2,0)</f>
        <v>7.5999999999999998E-2</v>
      </c>
      <c r="BF85" s="235">
        <f>VLOOKUP(tabParametros[[#Headers],[PIS]],tabImpostosNacionais[],2,0)</f>
        <v>1.6500000000000001E-2</v>
      </c>
      <c r="BG85" s="235">
        <f>VLOOKUP(tabParametros[[#This Row],[Comarca]],tabComarca[],4,0)</f>
        <v>0.03</v>
      </c>
      <c r="BH85" s="238">
        <f>IFERROR(VLOOKUP(tabParametros[[#This Row],[CCT DA CATEGORIA]],tabSindicatos[],11,0),"")</f>
        <v>45658</v>
      </c>
      <c r="BI85" s="289" t="str">
        <f>IFERROR(VLOOKUP(tabParametros[[#This Row],[CCT DA CATEGORIA]],tabSindicatos[],12,0),"")</f>
        <v>-</v>
      </c>
      <c r="BJ85" s="293" t="str">
        <f>IFERROR(VLOOKUP(tabParametros[[#This Row],[CCT DA CATEGORIA]],tabSindicatos[],13,0),"")</f>
        <v>-</v>
      </c>
    </row>
    <row r="86" spans="1:62" x14ac:dyDescent="0.25">
      <c r="A86" s="233" t="s">
        <v>1426</v>
      </c>
      <c r="B86" s="198" t="s">
        <v>83</v>
      </c>
      <c r="C86" s="198" t="s">
        <v>1247</v>
      </c>
      <c r="D86" s="198" t="str">
        <f>VLOOKUP(tabParametros[[#This Row],[Código do Posto]],tabPostos[],4,0)</f>
        <v>Seethur</v>
      </c>
      <c r="E86" s="289" t="str">
        <f>VLOOKUP(tabParametros[[#This Row],[Código do Posto]],tabPostos[],5,0)</f>
        <v>Limpeza</v>
      </c>
      <c r="F86" s="289" t="str">
        <f>VLOOKUP(tabParametros[[#This Row],[Código do Posto]],tabPostos[],6,0)</f>
        <v>PGJ</v>
      </c>
      <c r="G86" s="289">
        <f>VLOOKUP(tabParametros[[#This Row],[Código do Posto]],tabPostos[],7,0)</f>
        <v>1</v>
      </c>
      <c r="H86" s="289">
        <f>VLOOKUP(tabParametros[[#This Row],[Código do Posto]],tabPostos[],8,0)</f>
        <v>0</v>
      </c>
      <c r="I86" s="234">
        <f>VLOOKUP(tabParametros[[#This Row],[Código do Posto]],tabPostos[],9,0)</f>
        <v>544.17999999999995</v>
      </c>
      <c r="J86" s="234">
        <f>IF(ISNUMBER(SEARCH("Eletricista",tabParametros[[#This Row],[Função]],1)),0.3*tabParametros[[#This Row],[Salário Base]],0)</f>
        <v>0</v>
      </c>
      <c r="K86" s="234">
        <f>IF(OR(ISNUMBER(SEARCH("Bombeiro Hidraulico",tabParametros[[#This Row],[Função]],1)),ISNUMBER(SEARCH("Jardineiro",tabParametros[[#This Row],[Função]],1)),ISNUMBER(SEARCH("Lavador de Veiculos",tabParametros[[#This Row],[Função]],1)),ISNUMBER(SEARCH("Marceneiro",tabParametros[[#This Row],[Função]],1)),ISNUMBER(SEARCH("Pintor",tabParametros[[#This Row],[Função]],1))),0.2*'BASE GERAL'!$R$4,0)</f>
        <v>0</v>
      </c>
      <c r="L86" s="234">
        <f>IF(AND(ISNUMBER(SEARCH("Noturno",tabParametros[[#This Row],[Função]],1)),tabParametros[[#This Row],[Comarca]]&lt;&gt;"Juiz de Fora"),tabParametros[[#This Row],[Salário Base]]/210*0.39*7*15.5,IF(ISNUMBER(SEARCH("Noturno",tabParametros[[#This Row],[Função]],1)),tabParametros[[#This Row],[Salário Base]]/210*0.2*8*15.5,0))</f>
        <v>0</v>
      </c>
      <c r="M86" s="234">
        <f>IF(ISNUMBER(SEARCH("Motorista II",tabParametros[[#This Row],[Função]],1)),0.25*tabParametros[[#This Row],[Salário Base]],0)</f>
        <v>0</v>
      </c>
      <c r="N86" s="250">
        <v>0</v>
      </c>
      <c r="O86" s="234">
        <f>IF(ISNUMBER(SEARCH("TECNOLOGIA DA INFORMACAO",tabParametros[[#This Row],[Função]],1)),0.0201*tabParametros[[#This Row],[Salário Base]],0)</f>
        <v>0</v>
      </c>
      <c r="P86" s="250" cm="1">
        <f t="array" ref="P86">_xlfn.IFS(
ISNUMBER(SEARCH("Auxiliar de Limpeza - 75 h",tabParametros[[#This Row],[Função]],1)),tabParametros[[#This Row],[Salário Base]]/75*0.75*30*0.12,
ISNUMBER(SEARCH("Auxiliar de Limpeza - 110 h",tabParametros[[#This Row],[Função]],1)),tabParametros[[#This Row],[Salário Base]]/110*1*30*0.12,
ISNUMBER(SEARCH("Auxiliar de Limpeza - 150 h",tabParametros[[#This Row],[Função]],1)),tabParametros[[#This Row],[Salário Base]]/150*1.5*30*0.12,
ISNUMBER(SEARCH("Auxiliar de Limpeza - 220 h",tabParametros[[#This Row],[Função]],1)),tabParametros[[#This Row],[Salário Base]]/220*2*30*0.12,
ISNUMBER(SEARCH("Auxiliar de Limpeza - 12 x 36",tabParametros[[#This Row],[Função]],1)),tabParametros[[#This Row],[Salário Base]]/220*2*30*0.12,
ISNUMBER(SEARCH("Auxiliar de Limpeza - 55 h",tabParametros[[#This Row],[Função]],1))=FALSE,0)</f>
        <v>19.590479999999999</v>
      </c>
      <c r="Q86" s="235">
        <f>VLOOKUP(tabParametros[[#Headers],[INSS]],tabImpostosNacionais[],2,0)</f>
        <v>0.2</v>
      </c>
      <c r="R86" s="235">
        <f>VLOOKUP(tabParametros[[#Headers],[SESI OU SESC]],tabImpostosNacionais[],2,0)</f>
        <v>1.4999999999999999E-2</v>
      </c>
      <c r="S86" s="235">
        <f>VLOOKUP(tabParametros[[#Headers],[SENAI OU SENAC]],tabImpostosNacionais[],2,0)</f>
        <v>0.01</v>
      </c>
      <c r="T86" s="235">
        <f>VLOOKUP(tabParametros[[#Headers],[INCRA]],tabImpostosNacionais[],2,0)</f>
        <v>2E-3</v>
      </c>
      <c r="U86" s="235">
        <f>VLOOKUP(tabParametros[[#Headers],[Salário Educação]],tabImpostosNacionais[],2,0)</f>
        <v>2.5000000000000001E-2</v>
      </c>
      <c r="V86" s="235">
        <f>VLOOKUP(tabParametros[[#Headers],[FGTS]],tabImpostosNacionais[],2,0)</f>
        <v>0.08</v>
      </c>
      <c r="W86" s="235">
        <f>VLOOKUP(tabParametros[[#Headers],[RAT Ajustado]],tabImpostosNacionais[],2,0)</f>
        <v>0.04</v>
      </c>
      <c r="X86" s="235">
        <f>VLOOKUP(tabParametros[[#Headers],[SEBRAE]],tabImpostosNacionais[],2,0)</f>
        <v>6.0000000000000001E-3</v>
      </c>
      <c r="Y86" s="235">
        <f t="shared" si="11"/>
        <v>8.3333333333333329E-2</v>
      </c>
      <c r="Z86" s="251">
        <f t="shared" si="12"/>
        <v>0.1111111111111111</v>
      </c>
      <c r="AA86" s="234">
        <f>VLOOKUP(tabParametros[[#This Row],[Comarca]],tabComarca[],5,0)</f>
        <v>6.4</v>
      </c>
      <c r="AB86" s="234">
        <f>IFERROR(VLOOKUP(tabParametros[[#This Row],[CCT DA CATEGORIA]],tabSindicatos[],6,0),0)</f>
        <v>29.15</v>
      </c>
      <c r="AC86" s="234">
        <f>IFERROR(VLOOKUP(tabParametros[[#This Row],[CCT DA CATEGORIA]],tabSindicatos[],7,0),0)</f>
        <v>0</v>
      </c>
      <c r="AD86" s="234" cm="1">
        <f t="array" ref="AD86">_xlfn.LET(
_xlpm.COMARCA, TRIM(UPPER(SUBSTITUTE(SUBSTITUTE(SUBSTITUTE(SUBSTITUTE(SUBSTITUTE(SUBSTITUTE(SUBSTITUTE(SUBSTITUTE(SUBSTITUTE(SUBSTITUTE(SUBSTITUTE(SUBSTITUTE(SUBSTITUTE(SUBSTITUTE(SUBSTITUTE(SUBSTITUTE(SUBSTITUTE(SUBSTITUTE(SUBSTITUTE(SUBSTITUTE(SUBSTITUTE(SUBSTITUTE(SUBSTITUTE(SUBSTITUTE(SUBSTITUTE(SUBSTITUTE(tabParametros[[#This Row],[Comarca]],"á","a"),"ã","a"),"â","a"),"é","e"),"ê","e"),"í","i"),"ó","o"),"õ","o"),"ô","o"),"ú","u"),"ç","c"),"Á","a"),"Ã","a"),"Â","a"),"É","e"),"Ê","e"),"Í","i"),"Ó","o"),"Õ","o"),"Ô","o"),"Ú","u"),"Ç","c"),"/MG","")," e ",", ")," ",""),".",""))),
_xlpm.MATRIZ_COMARCA, TRIM(UPPER(SUBSTITUTE(SUBSTITUTE(SUBSTITUTE(SUBSTITUTE(SUBSTITUTE(SUBSTITUTE(SUBSTITUTE(SUBSTITUTE(SUBSTITUTE(SUBSTITUTE(SUBSTITUTE(SUBSTITUTE(SUBSTITUTE(SUBSTITUTE(SUBSTITUTE(SUBSTITUTE(SUBSTITUTE(SUBSTITUTE(SUBSTITUTE(SUBSTITUTE(SUBSTITUTE(SUBSTITUTE(SUBSTITUTE(SUBSTITUTE(SUBSTITUTE(SUBSTITUTE(tabSindicatos[COMARCAS PAF],"á","a"),"ã","a"),"â","a"),"é","e"),"ê","e"),"í","i"),"ó","o"),"õ","o"),"ô","o"),"ú","u"),"ç","c"),"Á","a"),"Ã","a"),"Â","a"),"É","e"),"Ê","e"),"Í","i"),"Ó","o"),"Õ","o"),"Ô","o"),"Ú","u"),"Ç","c"),"/MG","")," e ",", ")," ",""),".",""))),
IFERROR(IF(_xlfn.XLOOKUP(tabParametros[[#This Row],[CCT DA CATEGORIA]],tabSindicatos[SINDICATOS],tabSindicatos[COMARCAS PAF])="",
VLOOKUP(tabParametros[[#This Row],[CCT DA CATEGORIA]],tabSindicatos[],8,0),
IF(ISNUMBER(SEARCH(TRIM(_xlpm.COMARCA),_xlfn.XLOOKUP(tabParametros[[#This Row],[CCT DA CATEGORIA]],tabSindicatos[SINDICATOS],_xlpm.MATRIZ_COMARCA),1)),VLOOKUP(tabParametros[[#This Row],[CCT DA CATEGORIA]],tabSindicatos[],8,0),0)
),0)
)</f>
        <v>0</v>
      </c>
      <c r="AE86" s="234">
        <f>IFERROR(VLOOKUP(tabParametros[[#This Row],[CCT DA CATEGORIA]],tabSindicatos[],9,0),0)</f>
        <v>0</v>
      </c>
      <c r="AF86" s="234">
        <f>IFERROR(VLOOKUP(tabParametros[[#This Row],[CCT DA CATEGORIA]],tabSindicatos[],10,0),0)</f>
        <v>0</v>
      </c>
      <c r="AG86" s="236">
        <f>VLOOKUP(tabParametros[[#Headers],[Seguro de Vida]],tabOutrosCustos[],3,0)</f>
        <v>3.36</v>
      </c>
      <c r="AH86" s="236">
        <f>IF(ISNUMBER(SEARCH("MOTORISTA",tabParametros[[#This Row],[Função]],1)),VLOOKUP("MOTORISTAS",tabDiarias[],2,0),IF(tabParametros[[#This Row],[Comarca]]="Belo Horizonte",VLOOKUP("LIMPEZA",tabDiarias[],2,0),0))</f>
        <v>0</v>
      </c>
      <c r="AI86" s="235">
        <f t="shared" si="13"/>
        <v>7.011766975308642E-3</v>
      </c>
      <c r="AJ86" s="237">
        <f>tabParametros[[#This Row],[FGTS]]*tabParametros[[#This Row],[Aviso Prévio Indenizado (API) e Reflexo do Aviso Prévio Indenizado]]</f>
        <v>5.609413580246914E-4</v>
      </c>
      <c r="AK86" s="237">
        <f>tabParametros[[#This Row],[FGTS]]*tabParametros[[#This Row],[Aviso Prévio Indenizado (API) e Reflexo do Aviso Prévio Indenizado]]*40%</f>
        <v>2.2437654320987658E-4</v>
      </c>
      <c r="AL86" s="235">
        <f t="shared" si="14"/>
        <v>3.5000000000000005E-3</v>
      </c>
      <c r="AM86" s="235">
        <f>tabParametros[[#This Row],[Aviso Prévio Trabalhado - APT]]*SUM(tabParametros[[#This Row],[INSS]:[SEBRAE]])</f>
        <v>1.3230000000000004E-3</v>
      </c>
      <c r="AN86" s="235">
        <f t="shared" si="15"/>
        <v>3.0577777777777773E-2</v>
      </c>
      <c r="AO86" s="235">
        <f t="shared" si="16"/>
        <v>8.3333333333333339E-4</v>
      </c>
      <c r="AP86" s="235">
        <f t="shared" si="17"/>
        <v>8.4444444444444437E-3</v>
      </c>
      <c r="AQ86" s="235">
        <f t="shared" si="18"/>
        <v>2.0277777777777777E-3</v>
      </c>
      <c r="AR86" s="235">
        <f t="shared" si="19"/>
        <v>1.7083333333333333E-4</v>
      </c>
      <c r="AS86" s="235">
        <f t="shared" si="20"/>
        <v>2.0833333333333335E-4</v>
      </c>
      <c r="AT86" s="235">
        <f t="shared" si="21"/>
        <v>1.2962962962962963E-3</v>
      </c>
      <c r="AU86" s="237">
        <f>SUM(tabParametros[[#This Row],[Ausência por Doença]:[Férias, Adicional de Férias e 13º  com empregada em gozo de Licença Maternidade]])*SUM(tabParametros[[#This Row],[INSS]:[SEBRAE]])</f>
        <v>4.5918250000000008E-3</v>
      </c>
      <c r="AV86" s="234">
        <f>IF(tabParametros[[#This Row],[Função]]="Porteiro - 220 h",SUM(tabParametros[[#This Row],[Salário Base]:[Adicional de Acúmulo de função]])/220*20*1.5,IF(ISNUMBER(SEARCH("12 x 36",tabParametros[[#This Row],[Função]],1)),SUM(tabParametros[[#This Row],[Salário Base]:[Adicional de Acúmulo de função]])/210*15.5*1.5,0))</f>
        <v>0</v>
      </c>
      <c r="AW86" s="234">
        <f>IF(tabParametros[[#This Row],[Vagas contratadas]]&gt;0,(SUM(tabParametros[[#This Row],[Salário Base]:[Adicional de Acúmulo de função]])*30%+SUM(tabParametros[[#This Row],[Vale - Alimentação]:[Seguro de Vida]]))/tabParametros[[#This Row],[Vagas contratadas]]*tabParametros[[#This Row],[Vagas suspensas]],0)</f>
        <v>0</v>
      </c>
      <c r="AX86" s="234">
        <f>SUMIF(tabUniformes[Cargo],tabParametros[[#This Row],[Função]],tabUniformes[Valor unit. Mensal])</f>
        <v>62.806666666666665</v>
      </c>
      <c r="AY86" s="281">
        <f>IF(ISNUMBER(SEARCH("AUXILIAR DE LIMPEZA - 75 H",tabParametros[[#This Row],[Função]],1)),
SUMIF(tabLimpGeral[TIPO],"Material",tabLimpGeral[VALOR UNITÁRIO P/ HORA (R$)])*75,
IF(ISNUMBER(SEARCH("AUXILIAR DE LIMPEZA - 110 H",tabParametros[[#This Row],[Função]],1)),
SUMIF(tabLimpGeral[TIPO],"Material",tabLimpGeral[VALOR UNITÁRIO P/ HORA (R$)])*110,
IF(ISNUMBER(SEARCH("AUXILIAR DE LIMPEZA - 150 H",tabParametros[[#This Row],[Função]],1)),
SUMIF(tabLimpGeral[TIPO],"Material",tabLimpGeral[VALOR UNITÁRIO P/ HORA (R$)])*150,
IF(ISNUMBER(SEARCH("AUXILIAR DE LIMPEZA - 220 H",tabParametros[[#This Row],[Função]],1)),
SUMIF(tabLimpGeral[TIPO],"Material",tabLimpGeral[VALOR UNITÁRIO P/ HORA (R$)])*220,
IF(ISNUMBER(SEARCH("AUXILIAR DE LIMPEZA - 12 x 36",tabParametros[[#This Row],[Função]],1)),
SUMIF(tabLimpGeral[TIPO],"Material",tabLimpGeral[VALOR UNITÁRIO P/ HORA (R$)])*220,
IF(ISNUMBER(SEARCH("Limpador de vidros - 220 h",tabParametros[[#This Row],[Função]],1)),
SUMIF(tabVidros[TIPO],"Material",tabVidros[VALOR UNITÁRIO P/ POSTO (R$)]),
0))))))</f>
        <v>12.108481690426325</v>
      </c>
      <c r="AZ86" s="281">
        <f>IF(ISNUMBER(SEARCH("AUXILIAR DE LIMPEZA - 75 H",tabParametros[[#This Row],[Função]],1)),
SUMIF(tabLimpGeral[TIPO],"Equipamento",tabLimpGeral[VALOR UNITÁRIO P/ HORA (R$)])*75,
IF(ISNUMBER(SEARCH("AUXILIAR DE LIMPEZA - 110 H",tabParametros[[#This Row],[Função]],1)),
SUMIF(tabLimpGeral[TIPO],"Equipamento",tabLimpGeral[VALOR UNITÁRIO P/ HORA (R$)])*110,
IF(ISNUMBER(SEARCH("AUXILIAR DE LIMPEZA - 150 H",tabParametros[[#This Row],[Função]],1)),
SUMIF(tabLimpGeral[TIPO],"Equipamento",tabLimpGeral[VALOR UNITÁRIO P/ HORA (R$)])*150,
IF(ISNUMBER(SEARCH("AUXILIAR DE LIMPEZA - 220 H",tabParametros[[#This Row],[Função]],1)),
SUMIF(tabLimpGeral[TIPO],"Equipamento",tabLimpGeral[VALOR UNITÁRIO P/ HORA (R$)])*220,
IF(ISNUMBER(SEARCH("AUXILIAR DE LIMPEZA - 12 x 36",tabParametros[[#This Row],[Função]],1)),
SUMIF(tabLimpGeral[TIPO],"Equipamento",tabLimpGeral[VALOR UNITÁRIO P/ HORA (R$)])*220,
IF(ISNUMBER(SEARCH("Limpador de vidros - 220 h",tabParametros[[#This Row],[Função]],1)),
SUMIF(tabVidros[TIPO],"Equipamento",tabVidros[VALOR UNITÁRIO P/ POSTO (R$)]),
0))))))</f>
        <v>21.998657016417809</v>
      </c>
      <c r="BA86" s="281">
        <f>IF(ISNUMBER(SEARCH("AUXILIAR DE LIMPEZA - 75 H",tabParametros[[#This Row],[Função]],1)),
SUMIF(tabLimpGeral[TIPO],"Produto",tabLimpGeral[VALOR UNITÁRIO P/ HORA (R$)])*75,
IF(ISNUMBER(SEARCH("AUXILIAR DE LIMPEZA - 110 H",tabParametros[[#This Row],[Função]],1)),
SUMIF(tabLimpGeral[TIPO],"Produto",tabLimpGeral[VALOR UNITÁRIO P/ HORA (R$)])*110,
IF(ISNUMBER(SEARCH("AUXILIAR DE LIMPEZA - 150 H",tabParametros[[#This Row],[Função]],1)),
SUMIF(tabLimpGeral[TIPO],"Produto",tabLimpGeral[VALOR UNITÁRIO P/ HORA (R$)])*150,
IF(ISNUMBER(SEARCH("AUXILIAR DE LIMPEZA - 220 H",tabParametros[[#This Row],[Função]],1)),
SUMIF(tabLimpGeral[TIPO],"Produto",tabLimpGeral[VALOR UNITÁRIO P/ HORA (R$)])*220,
IF(ISNUMBER(SEARCH("AUXILIAR DE LIMPEZA - 12 x 36",tabParametros[[#This Row],[Função]],1)),
SUMIF(tabLimpGeral[TIPO],"Produto",tabLimpGeral[VALOR UNITÁRIO P/ HORA (R$)])*220,
IF(ISNUMBER(SEARCH("Limpador de vidros - 220 h",tabParametros[[#This Row],[Função]],1)),
SUMIF(tabVidros[TIPO],"Produto",tabVidros[VALOR UNITÁRIO P/ POSTO (R$)]),
0))))))</f>
        <v>235.31984072022155</v>
      </c>
      <c r="BB86" s="281">
        <v>0</v>
      </c>
      <c r="BC86" s="236">
        <f>VLOOKUP(tabParametros[[#Headers],[Custos Indiretos]],tabOutrosCustos[],3,0)</f>
        <v>189.64880140242613</v>
      </c>
      <c r="BD86" s="236">
        <f>VLOOKUP(tabParametros[[#Headers],[Lucro]],tabOutrosCustos[],3,0)</f>
        <v>159.30499317803796</v>
      </c>
      <c r="BE86" s="235">
        <f>VLOOKUP(tabParametros[[#Headers],[COFINS]],tabImpostosNacionais[],2,0)</f>
        <v>7.5999999999999998E-2</v>
      </c>
      <c r="BF86" s="235">
        <f>VLOOKUP(tabParametros[[#Headers],[PIS]],tabImpostosNacionais[],2,0)</f>
        <v>1.6500000000000001E-2</v>
      </c>
      <c r="BG86" s="235">
        <f>VLOOKUP(tabParametros[[#This Row],[Comarca]],tabComarca[],4,0)</f>
        <v>0.05</v>
      </c>
      <c r="BH86" s="238">
        <f>IFERROR(VLOOKUP(tabParametros[[#This Row],[CCT DA CATEGORIA]],tabSindicatos[],11,0),"")</f>
        <v>45658</v>
      </c>
      <c r="BI86" s="289" t="str">
        <f>IFERROR(VLOOKUP(tabParametros[[#This Row],[CCT DA CATEGORIA]],tabSindicatos[],12,0),"")</f>
        <v>-</v>
      </c>
      <c r="BJ86" s="293" t="str">
        <f>IFERROR(VLOOKUP(tabParametros[[#This Row],[CCT DA CATEGORIA]],tabSindicatos[],13,0),"")</f>
        <v>-</v>
      </c>
    </row>
    <row r="87" spans="1:62" x14ac:dyDescent="0.25">
      <c r="A87" s="233" t="s">
        <v>1271</v>
      </c>
      <c r="B87" s="198" t="s">
        <v>84</v>
      </c>
      <c r="C87" s="198" t="s">
        <v>1246</v>
      </c>
      <c r="D87" s="198" t="str">
        <f>VLOOKUP(tabParametros[[#This Row],[Código do Posto]],tabPostos[],4,0)</f>
        <v>Divinopolis</v>
      </c>
      <c r="E87" s="289" t="str">
        <f>VLOOKUP(tabParametros[[#This Row],[Código do Posto]],tabPostos[],5,0)</f>
        <v>Limpeza</v>
      </c>
      <c r="F87" s="289" t="str">
        <f>VLOOKUP(tabParametros[[#This Row],[Código do Posto]],tabPostos[],6,0)</f>
        <v>PGJ</v>
      </c>
      <c r="G87" s="289">
        <f>VLOOKUP(tabParametros[[#This Row],[Código do Posto]],tabPostos[],7,0)</f>
        <v>1</v>
      </c>
      <c r="H87" s="289">
        <f>VLOOKUP(tabParametros[[#This Row],[Código do Posto]],tabPostos[],8,0)</f>
        <v>0</v>
      </c>
      <c r="I87" s="234">
        <f>VLOOKUP(tabParametros[[#This Row],[Código do Posto]],tabPostos[],9,0)</f>
        <v>1124.3900000000001</v>
      </c>
      <c r="J87" s="234">
        <f>IF(ISNUMBER(SEARCH("Eletricista",tabParametros[[#This Row],[Função]],1)),0.3*tabParametros[[#This Row],[Salário Base]],0)</f>
        <v>0</v>
      </c>
      <c r="K87" s="234">
        <f>IF(OR(ISNUMBER(SEARCH("Bombeiro Hidraulico",tabParametros[[#This Row],[Função]],1)),ISNUMBER(SEARCH("Jardineiro",tabParametros[[#This Row],[Função]],1)),ISNUMBER(SEARCH("Lavador de Veiculos",tabParametros[[#This Row],[Função]],1)),ISNUMBER(SEARCH("Marceneiro",tabParametros[[#This Row],[Função]],1)),ISNUMBER(SEARCH("Pintor",tabParametros[[#This Row],[Função]],1))),0.2*'BASE GERAL'!$R$4,0)</f>
        <v>0</v>
      </c>
      <c r="L87" s="234">
        <f>IF(AND(ISNUMBER(SEARCH("Noturno",tabParametros[[#This Row],[Função]],1)),tabParametros[[#This Row],[Comarca]]&lt;&gt;"Juiz de Fora"),tabParametros[[#This Row],[Salário Base]]/210*0.39*7*15.5,IF(ISNUMBER(SEARCH("Noturno",tabParametros[[#This Row],[Função]],1)),tabParametros[[#This Row],[Salário Base]]/210*0.2*8*15.5,0))</f>
        <v>0</v>
      </c>
      <c r="M87" s="234">
        <f>IF(ISNUMBER(SEARCH("Motorista II",tabParametros[[#This Row],[Função]],1)),0.25*tabParametros[[#This Row],[Salário Base]],0)</f>
        <v>0</v>
      </c>
      <c r="N87" s="250">
        <v>0</v>
      </c>
      <c r="O87" s="234">
        <f>IF(ISNUMBER(SEARCH("TECNOLOGIA DA INFORMACAO",tabParametros[[#This Row],[Função]],1)),0.0201*tabParametros[[#This Row],[Salário Base]],0)</f>
        <v>0</v>
      </c>
      <c r="P87" s="250" cm="1">
        <f t="array" ref="P87">_xlfn.IFS(
ISNUMBER(SEARCH("Auxiliar de Limpeza - 75 h",tabParametros[[#This Row],[Função]],1)),tabParametros[[#This Row],[Salário Base]]/75*0.75*30*0.12,
ISNUMBER(SEARCH("Auxiliar de Limpeza - 110 h",tabParametros[[#This Row],[Função]],1)),tabParametros[[#This Row],[Salário Base]]/110*1*30*0.12,
ISNUMBER(SEARCH("Auxiliar de Limpeza - 150 h",tabParametros[[#This Row],[Função]],1)),tabParametros[[#This Row],[Salário Base]]/150*1.5*30*0.12,
ISNUMBER(SEARCH("Auxiliar de Limpeza - 220 h",tabParametros[[#This Row],[Função]],1)),tabParametros[[#This Row],[Salário Base]]/220*2*30*0.12,
ISNUMBER(SEARCH("Auxiliar de Limpeza - 12 x 36",tabParametros[[#This Row],[Função]],1)),tabParametros[[#This Row],[Salário Base]]/220*2*30*0.12,
ISNUMBER(SEARCH("Auxiliar de Limpeza - 55 h",tabParametros[[#This Row],[Função]],1))=FALSE,0)</f>
        <v>40.478040000000007</v>
      </c>
      <c r="Q87" s="235">
        <f>VLOOKUP(tabParametros[[#Headers],[INSS]],tabImpostosNacionais[],2,0)</f>
        <v>0.2</v>
      </c>
      <c r="R87" s="235">
        <f>VLOOKUP(tabParametros[[#Headers],[SESI OU SESC]],tabImpostosNacionais[],2,0)</f>
        <v>1.4999999999999999E-2</v>
      </c>
      <c r="S87" s="235">
        <f>VLOOKUP(tabParametros[[#Headers],[SENAI OU SENAC]],tabImpostosNacionais[],2,0)</f>
        <v>0.01</v>
      </c>
      <c r="T87" s="235">
        <f>VLOOKUP(tabParametros[[#Headers],[INCRA]],tabImpostosNacionais[],2,0)</f>
        <v>2E-3</v>
      </c>
      <c r="U87" s="235">
        <f>VLOOKUP(tabParametros[[#Headers],[Salário Educação]],tabImpostosNacionais[],2,0)</f>
        <v>2.5000000000000001E-2</v>
      </c>
      <c r="V87" s="235">
        <f>VLOOKUP(tabParametros[[#Headers],[FGTS]],tabImpostosNacionais[],2,0)</f>
        <v>0.08</v>
      </c>
      <c r="W87" s="235">
        <f>VLOOKUP(tabParametros[[#Headers],[RAT Ajustado]],tabImpostosNacionais[],2,0)</f>
        <v>0.04</v>
      </c>
      <c r="X87" s="235">
        <f>VLOOKUP(tabParametros[[#Headers],[SEBRAE]],tabImpostosNacionais[],2,0)</f>
        <v>6.0000000000000001E-3</v>
      </c>
      <c r="Y87" s="235">
        <f t="shared" si="11"/>
        <v>8.3333333333333329E-2</v>
      </c>
      <c r="Z87" s="251">
        <f t="shared" si="12"/>
        <v>0.1111111111111111</v>
      </c>
      <c r="AA87" s="234">
        <f>VLOOKUP(tabParametros[[#This Row],[Comarca]],tabComarca[],5,0)</f>
        <v>6.4</v>
      </c>
      <c r="AB87" s="234">
        <f>IFERROR(VLOOKUP(tabParametros[[#This Row],[CCT DA CATEGORIA]],tabSindicatos[],6,0),0)</f>
        <v>29.15</v>
      </c>
      <c r="AC87" s="234">
        <f>IFERROR(VLOOKUP(tabParametros[[#This Row],[CCT DA CATEGORIA]],tabSindicatos[],7,0),0)</f>
        <v>0</v>
      </c>
      <c r="AD87" s="234" cm="1">
        <f t="array" ref="AD87">_xlfn.LET(
_xlpm.COMARCA, TRIM(UPPER(SUBSTITUTE(SUBSTITUTE(SUBSTITUTE(SUBSTITUTE(SUBSTITUTE(SUBSTITUTE(SUBSTITUTE(SUBSTITUTE(SUBSTITUTE(SUBSTITUTE(SUBSTITUTE(SUBSTITUTE(SUBSTITUTE(SUBSTITUTE(SUBSTITUTE(SUBSTITUTE(SUBSTITUTE(SUBSTITUTE(SUBSTITUTE(SUBSTITUTE(SUBSTITUTE(SUBSTITUTE(SUBSTITUTE(SUBSTITUTE(SUBSTITUTE(SUBSTITUTE(tabParametros[[#This Row],[Comarca]],"á","a"),"ã","a"),"â","a"),"é","e"),"ê","e"),"í","i"),"ó","o"),"õ","o"),"ô","o"),"ú","u"),"ç","c"),"Á","a"),"Ã","a"),"Â","a"),"É","e"),"Ê","e"),"Í","i"),"Ó","o"),"Õ","o"),"Ô","o"),"Ú","u"),"Ç","c"),"/MG","")," e ",", ")," ",""),".",""))),
_xlpm.MATRIZ_COMARCA, TRIM(UPPER(SUBSTITUTE(SUBSTITUTE(SUBSTITUTE(SUBSTITUTE(SUBSTITUTE(SUBSTITUTE(SUBSTITUTE(SUBSTITUTE(SUBSTITUTE(SUBSTITUTE(SUBSTITUTE(SUBSTITUTE(SUBSTITUTE(SUBSTITUTE(SUBSTITUTE(SUBSTITUTE(SUBSTITUTE(SUBSTITUTE(SUBSTITUTE(SUBSTITUTE(SUBSTITUTE(SUBSTITUTE(SUBSTITUTE(SUBSTITUTE(SUBSTITUTE(SUBSTITUTE(tabSindicatos[COMARCAS PAF],"á","a"),"ã","a"),"â","a"),"é","e"),"ê","e"),"í","i"),"ó","o"),"õ","o"),"ô","o"),"ú","u"),"ç","c"),"Á","a"),"Ã","a"),"Â","a"),"É","e"),"Ê","e"),"Í","i"),"Ó","o"),"Õ","o"),"Ô","o"),"Ú","u"),"Ç","c"),"/MG","")," e ",", ")," ",""),".",""))),
IFERROR(IF(_xlfn.XLOOKUP(tabParametros[[#This Row],[CCT DA CATEGORIA]],tabSindicatos[SINDICATOS],tabSindicatos[COMARCAS PAF])="",
VLOOKUP(tabParametros[[#This Row],[CCT DA CATEGORIA]],tabSindicatos[],8,0),
IF(ISNUMBER(SEARCH(TRIM(_xlpm.COMARCA),_xlfn.XLOOKUP(tabParametros[[#This Row],[CCT DA CATEGORIA]],tabSindicatos[SINDICATOS],_xlpm.MATRIZ_COMARCA),1)),VLOOKUP(tabParametros[[#This Row],[CCT DA CATEGORIA]],tabSindicatos[],8,0),0)
),0)
)</f>
        <v>51.88</v>
      </c>
      <c r="AE87" s="234">
        <f>IFERROR(VLOOKUP(tabParametros[[#This Row],[CCT DA CATEGORIA]],tabSindicatos[],9,0),0)</f>
        <v>0</v>
      </c>
      <c r="AF87" s="234">
        <f>IFERROR(VLOOKUP(tabParametros[[#This Row],[CCT DA CATEGORIA]],tabSindicatos[],10,0),0)</f>
        <v>0</v>
      </c>
      <c r="AG87" s="236">
        <f>VLOOKUP(tabParametros[[#Headers],[Seguro de Vida]],tabOutrosCustos[],3,0)</f>
        <v>3.36</v>
      </c>
      <c r="AH87" s="236">
        <f>IF(ISNUMBER(SEARCH("MOTORISTA",tabParametros[[#This Row],[Função]],1)),VLOOKUP("MOTORISTAS",tabDiarias[],2,0),IF(tabParametros[[#This Row],[Comarca]]="Belo Horizonte",VLOOKUP("LIMPEZA",tabDiarias[],2,0),0))</f>
        <v>0</v>
      </c>
      <c r="AI87" s="235">
        <f t="shared" si="13"/>
        <v>7.011766975308642E-3</v>
      </c>
      <c r="AJ87" s="237">
        <f>tabParametros[[#This Row],[FGTS]]*tabParametros[[#This Row],[Aviso Prévio Indenizado (API) e Reflexo do Aviso Prévio Indenizado]]</f>
        <v>5.609413580246914E-4</v>
      </c>
      <c r="AK87" s="237">
        <f>tabParametros[[#This Row],[FGTS]]*tabParametros[[#This Row],[Aviso Prévio Indenizado (API) e Reflexo do Aviso Prévio Indenizado]]*40%</f>
        <v>2.2437654320987658E-4</v>
      </c>
      <c r="AL87" s="235">
        <f t="shared" si="14"/>
        <v>3.5000000000000005E-3</v>
      </c>
      <c r="AM87" s="235">
        <f>tabParametros[[#This Row],[Aviso Prévio Trabalhado - APT]]*SUM(tabParametros[[#This Row],[INSS]:[SEBRAE]])</f>
        <v>1.3230000000000004E-3</v>
      </c>
      <c r="AN87" s="235">
        <f t="shared" si="15"/>
        <v>3.0577777777777773E-2</v>
      </c>
      <c r="AO87" s="235">
        <f t="shared" si="16"/>
        <v>8.3333333333333339E-4</v>
      </c>
      <c r="AP87" s="235">
        <f t="shared" si="17"/>
        <v>8.4444444444444437E-3</v>
      </c>
      <c r="AQ87" s="235">
        <f t="shared" si="18"/>
        <v>2.0277777777777777E-3</v>
      </c>
      <c r="AR87" s="235">
        <f t="shared" si="19"/>
        <v>1.7083333333333333E-4</v>
      </c>
      <c r="AS87" s="235">
        <f t="shared" si="20"/>
        <v>2.0833333333333335E-4</v>
      </c>
      <c r="AT87" s="235">
        <f t="shared" si="21"/>
        <v>1.2962962962962963E-3</v>
      </c>
      <c r="AU87" s="237">
        <f>SUM(tabParametros[[#This Row],[Ausência por Doença]:[Férias, Adicional de Férias e 13º  com empregada em gozo de Licença Maternidade]])*SUM(tabParametros[[#This Row],[INSS]:[SEBRAE]])</f>
        <v>4.5918250000000008E-3</v>
      </c>
      <c r="AV87" s="234">
        <f>IF(tabParametros[[#This Row],[Função]]="Porteiro - 220 h",SUM(tabParametros[[#This Row],[Salário Base]:[Adicional de Acúmulo de função]])/220*20*1.5,IF(ISNUMBER(SEARCH("12 x 36",tabParametros[[#This Row],[Função]],1)),SUM(tabParametros[[#This Row],[Salário Base]:[Adicional de Acúmulo de função]])/210*15.5*1.5,0))</f>
        <v>0</v>
      </c>
      <c r="AW87" s="234">
        <f>IF(tabParametros[[#This Row],[Vagas contratadas]]&gt;0,(SUM(tabParametros[[#This Row],[Salário Base]:[Adicional de Acúmulo de função]])*30%+SUM(tabParametros[[#This Row],[Vale - Alimentação]:[Seguro de Vida]]))/tabParametros[[#This Row],[Vagas contratadas]]*tabParametros[[#This Row],[Vagas suspensas]],0)</f>
        <v>0</v>
      </c>
      <c r="AX87" s="234">
        <f>SUMIF(tabUniformes[Cargo],tabParametros[[#This Row],[Função]],tabUniformes[Valor unit. Mensal])</f>
        <v>100.80916666666666</v>
      </c>
      <c r="AY87" s="281">
        <f>IF(ISNUMBER(SEARCH("AUXILIAR DE LIMPEZA - 75 H",tabParametros[[#This Row],[Função]],1)),
SUMIF(tabLimpGeral[TIPO],"Material",tabLimpGeral[VALOR UNITÁRIO P/ HORA (R$)])*75,
IF(ISNUMBER(SEARCH("AUXILIAR DE LIMPEZA - 110 H",tabParametros[[#This Row],[Função]],1)),
SUMIF(tabLimpGeral[TIPO],"Material",tabLimpGeral[VALOR UNITÁRIO P/ HORA (R$)])*110,
IF(ISNUMBER(SEARCH("AUXILIAR DE LIMPEZA - 150 H",tabParametros[[#This Row],[Função]],1)),
SUMIF(tabLimpGeral[TIPO],"Material",tabLimpGeral[VALOR UNITÁRIO P/ HORA (R$)])*150,
IF(ISNUMBER(SEARCH("AUXILIAR DE LIMPEZA - 220 H",tabParametros[[#This Row],[Função]],1)),
SUMIF(tabLimpGeral[TIPO],"Material",tabLimpGeral[VALOR UNITÁRIO P/ HORA (R$)])*220,
IF(ISNUMBER(SEARCH("AUXILIAR DE LIMPEZA - 12 x 36",tabParametros[[#This Row],[Função]],1)),
SUMIF(tabLimpGeral[TIPO],"Material",tabLimpGeral[VALOR UNITÁRIO P/ HORA (R$)])*220,
IF(ISNUMBER(SEARCH("Limpador de vidros - 220 h",tabParametros[[#This Row],[Função]],1)),
SUMIF(tabVidros[TIPO],"Material",tabVidros[VALOR UNITÁRIO P/ POSTO (R$)]),
0))))))</f>
        <v>24.216963380852651</v>
      </c>
      <c r="AZ87" s="281">
        <f>IF(ISNUMBER(SEARCH("AUXILIAR DE LIMPEZA - 75 H",tabParametros[[#This Row],[Função]],1)),
SUMIF(tabLimpGeral[TIPO],"Equipamento",tabLimpGeral[VALOR UNITÁRIO P/ HORA (R$)])*75,
IF(ISNUMBER(SEARCH("AUXILIAR DE LIMPEZA - 110 H",tabParametros[[#This Row],[Função]],1)),
SUMIF(tabLimpGeral[TIPO],"Equipamento",tabLimpGeral[VALOR UNITÁRIO P/ HORA (R$)])*110,
IF(ISNUMBER(SEARCH("AUXILIAR DE LIMPEZA - 150 H",tabParametros[[#This Row],[Função]],1)),
SUMIF(tabLimpGeral[TIPO],"Equipamento",tabLimpGeral[VALOR UNITÁRIO P/ HORA (R$)])*150,
IF(ISNUMBER(SEARCH("AUXILIAR DE LIMPEZA - 220 H",tabParametros[[#This Row],[Função]],1)),
SUMIF(tabLimpGeral[TIPO],"Equipamento",tabLimpGeral[VALOR UNITÁRIO P/ HORA (R$)])*220,
IF(ISNUMBER(SEARCH("AUXILIAR DE LIMPEZA - 12 x 36",tabParametros[[#This Row],[Função]],1)),
SUMIF(tabLimpGeral[TIPO],"Equipamento",tabLimpGeral[VALOR UNITÁRIO P/ HORA (R$)])*220,
IF(ISNUMBER(SEARCH("Limpador de vidros - 220 h",tabParametros[[#This Row],[Função]],1)),
SUMIF(tabVidros[TIPO],"Equipamento",tabVidros[VALOR UNITÁRIO P/ POSTO (R$)]),
0))))))</f>
        <v>43.997314032835618</v>
      </c>
      <c r="BA87" s="281">
        <f>IF(ISNUMBER(SEARCH("AUXILIAR DE LIMPEZA - 75 H",tabParametros[[#This Row],[Função]],1)),
SUMIF(tabLimpGeral[TIPO],"Produto",tabLimpGeral[VALOR UNITÁRIO P/ HORA (R$)])*75,
IF(ISNUMBER(SEARCH("AUXILIAR DE LIMPEZA - 110 H",tabParametros[[#This Row],[Função]],1)),
SUMIF(tabLimpGeral[TIPO],"Produto",tabLimpGeral[VALOR UNITÁRIO P/ HORA (R$)])*110,
IF(ISNUMBER(SEARCH("AUXILIAR DE LIMPEZA - 150 H",tabParametros[[#This Row],[Função]],1)),
SUMIF(tabLimpGeral[TIPO],"Produto",tabLimpGeral[VALOR UNITÁRIO P/ HORA (R$)])*150,
IF(ISNUMBER(SEARCH("AUXILIAR DE LIMPEZA - 220 H",tabParametros[[#This Row],[Função]],1)),
SUMIF(tabLimpGeral[TIPO],"Produto",tabLimpGeral[VALOR UNITÁRIO P/ HORA (R$)])*220,
IF(ISNUMBER(SEARCH("AUXILIAR DE LIMPEZA - 12 x 36",tabParametros[[#This Row],[Função]],1)),
SUMIF(tabLimpGeral[TIPO],"Produto",tabLimpGeral[VALOR UNITÁRIO P/ HORA (R$)])*220,
IF(ISNUMBER(SEARCH("Limpador de vidros - 220 h",tabParametros[[#This Row],[Função]],1)),
SUMIF(tabVidros[TIPO],"Produto",tabVidros[VALOR UNITÁRIO P/ POSTO (R$)]),
0))))))</f>
        <v>470.6396814404431</v>
      </c>
      <c r="BB87" s="281">
        <v>0</v>
      </c>
      <c r="BC87" s="236">
        <f>VLOOKUP(tabParametros[[#Headers],[Custos Indiretos]],tabOutrosCustos[],3,0)</f>
        <v>189.64880140242613</v>
      </c>
      <c r="BD87" s="236">
        <f>VLOOKUP(tabParametros[[#Headers],[Lucro]],tabOutrosCustos[],3,0)</f>
        <v>159.30499317803796</v>
      </c>
      <c r="BE87" s="235">
        <f>VLOOKUP(tabParametros[[#Headers],[COFINS]],tabImpostosNacionais[],2,0)</f>
        <v>7.5999999999999998E-2</v>
      </c>
      <c r="BF87" s="235">
        <f>VLOOKUP(tabParametros[[#Headers],[PIS]],tabImpostosNacionais[],2,0)</f>
        <v>1.6500000000000001E-2</v>
      </c>
      <c r="BG87" s="235">
        <f>VLOOKUP(tabParametros[[#This Row],[Comarca]],tabComarca[],4,0)</f>
        <v>0.03</v>
      </c>
      <c r="BH87" s="238">
        <f>IFERROR(VLOOKUP(tabParametros[[#This Row],[CCT DA CATEGORIA]],tabSindicatos[],11,0),"")</f>
        <v>45658</v>
      </c>
      <c r="BI87" s="289" t="str">
        <f>IFERROR(VLOOKUP(tabParametros[[#This Row],[CCT DA CATEGORIA]],tabSindicatos[],12,0),"")</f>
        <v>-</v>
      </c>
      <c r="BJ87" s="293" t="str">
        <f>IFERROR(VLOOKUP(tabParametros[[#This Row],[CCT DA CATEGORIA]],tabSindicatos[],13,0),"")</f>
        <v>-</v>
      </c>
    </row>
    <row r="88" spans="1:62" x14ac:dyDescent="0.25">
      <c r="A88" s="233" t="s">
        <v>1427</v>
      </c>
      <c r="B88" s="198" t="s">
        <v>84</v>
      </c>
      <c r="C88" s="198" t="s">
        <v>1245</v>
      </c>
      <c r="D88" s="198" t="str">
        <f>VLOOKUP(tabParametros[[#This Row],[Código do Posto]],tabPostos[],4,0)</f>
        <v>Divinopolis</v>
      </c>
      <c r="E88" s="289" t="str">
        <f>VLOOKUP(tabParametros[[#This Row],[Código do Posto]],tabPostos[],5,0)</f>
        <v>Limpeza</v>
      </c>
      <c r="F88" s="289" t="str">
        <f>VLOOKUP(tabParametros[[#This Row],[Código do Posto]],tabPostos[],6,0)</f>
        <v>PGJ</v>
      </c>
      <c r="G88" s="289">
        <f>VLOOKUP(tabParametros[[#This Row],[Código do Posto]],tabPostos[],7,0)</f>
        <v>2</v>
      </c>
      <c r="H88" s="289">
        <f>VLOOKUP(tabParametros[[#This Row],[Código do Posto]],tabPostos[],8,0)</f>
        <v>0</v>
      </c>
      <c r="I88" s="234">
        <f>VLOOKUP(tabParametros[[#This Row],[Código do Posto]],tabPostos[],9,0)</f>
        <v>1649.12</v>
      </c>
      <c r="J88" s="234">
        <f>IF(ISNUMBER(SEARCH("Eletricista",tabParametros[[#This Row],[Função]],1)),0.3*tabParametros[[#This Row],[Salário Base]],0)</f>
        <v>0</v>
      </c>
      <c r="K88" s="234">
        <f>IF(OR(ISNUMBER(SEARCH("Bombeiro Hidraulico",tabParametros[[#This Row],[Função]],1)),ISNUMBER(SEARCH("Jardineiro",tabParametros[[#This Row],[Função]],1)),ISNUMBER(SEARCH("Lavador de Veiculos",tabParametros[[#This Row],[Função]],1)),ISNUMBER(SEARCH("Marceneiro",tabParametros[[#This Row],[Função]],1)),ISNUMBER(SEARCH("Pintor",tabParametros[[#This Row],[Função]],1))),0.2*'BASE GERAL'!$R$4,0)</f>
        <v>0</v>
      </c>
      <c r="L88" s="234">
        <f>IF(AND(ISNUMBER(SEARCH("Noturno",tabParametros[[#This Row],[Função]],1)),tabParametros[[#This Row],[Comarca]]&lt;&gt;"Juiz de Fora"),tabParametros[[#This Row],[Salário Base]]/210*0.39*7*15.5,IF(ISNUMBER(SEARCH("Noturno",tabParametros[[#This Row],[Função]],1)),tabParametros[[#This Row],[Salário Base]]/210*0.2*8*15.5,0))</f>
        <v>0</v>
      </c>
      <c r="M88" s="234">
        <f>IF(ISNUMBER(SEARCH("Motorista II",tabParametros[[#This Row],[Função]],1)),0.25*tabParametros[[#This Row],[Salário Base]],0)</f>
        <v>0</v>
      </c>
      <c r="N88" s="250">
        <v>0</v>
      </c>
      <c r="O88" s="234">
        <f>IF(ISNUMBER(SEARCH("TECNOLOGIA DA INFORMACAO",tabParametros[[#This Row],[Função]],1)),0.0201*tabParametros[[#This Row],[Salário Base]],0)</f>
        <v>0</v>
      </c>
      <c r="P88" s="250" cm="1">
        <f t="array" ref="P88">_xlfn.IFS(
ISNUMBER(SEARCH("Auxiliar de Limpeza - 75 h",tabParametros[[#This Row],[Função]],1)),tabParametros[[#This Row],[Salário Base]]/75*0.75*30*0.12,
ISNUMBER(SEARCH("Auxiliar de Limpeza - 110 h",tabParametros[[#This Row],[Função]],1)),tabParametros[[#This Row],[Salário Base]]/110*1*30*0.12,
ISNUMBER(SEARCH("Auxiliar de Limpeza - 150 h",tabParametros[[#This Row],[Função]],1)),tabParametros[[#This Row],[Salário Base]]/150*1.5*30*0.12,
ISNUMBER(SEARCH("Auxiliar de Limpeza - 220 h",tabParametros[[#This Row],[Função]],1)),tabParametros[[#This Row],[Salário Base]]/220*2*30*0.12,
ISNUMBER(SEARCH("Auxiliar de Limpeza - 12 x 36",tabParametros[[#This Row],[Função]],1)),tabParametros[[#This Row],[Salário Base]]/220*2*30*0.12,
ISNUMBER(SEARCH("Auxiliar de Limpeza - 55 h",tabParametros[[#This Row],[Função]],1))=FALSE,0)</f>
        <v>53.971199999999996</v>
      </c>
      <c r="Q88" s="235">
        <f>VLOOKUP(tabParametros[[#Headers],[INSS]],tabImpostosNacionais[],2,0)</f>
        <v>0.2</v>
      </c>
      <c r="R88" s="235">
        <f>VLOOKUP(tabParametros[[#Headers],[SESI OU SESC]],tabImpostosNacionais[],2,0)</f>
        <v>1.4999999999999999E-2</v>
      </c>
      <c r="S88" s="235">
        <f>VLOOKUP(tabParametros[[#Headers],[SENAI OU SENAC]],tabImpostosNacionais[],2,0)</f>
        <v>0.01</v>
      </c>
      <c r="T88" s="235">
        <f>VLOOKUP(tabParametros[[#Headers],[INCRA]],tabImpostosNacionais[],2,0)</f>
        <v>2E-3</v>
      </c>
      <c r="U88" s="235">
        <f>VLOOKUP(tabParametros[[#Headers],[Salário Educação]],tabImpostosNacionais[],2,0)</f>
        <v>2.5000000000000001E-2</v>
      </c>
      <c r="V88" s="235">
        <f>VLOOKUP(tabParametros[[#Headers],[FGTS]],tabImpostosNacionais[],2,0)</f>
        <v>0.08</v>
      </c>
      <c r="W88" s="235">
        <f>VLOOKUP(tabParametros[[#Headers],[RAT Ajustado]],tabImpostosNacionais[],2,0)</f>
        <v>0.04</v>
      </c>
      <c r="X88" s="235">
        <f>VLOOKUP(tabParametros[[#Headers],[SEBRAE]],tabImpostosNacionais[],2,0)</f>
        <v>6.0000000000000001E-3</v>
      </c>
      <c r="Y88" s="235">
        <f t="shared" si="11"/>
        <v>8.3333333333333329E-2</v>
      </c>
      <c r="Z88" s="251">
        <f t="shared" si="12"/>
        <v>0.1111111111111111</v>
      </c>
      <c r="AA88" s="234">
        <f>VLOOKUP(tabParametros[[#This Row],[Comarca]],tabComarca[],5,0)</f>
        <v>6.4</v>
      </c>
      <c r="AB88" s="234">
        <f>IFERROR(VLOOKUP(tabParametros[[#This Row],[CCT DA CATEGORIA]],tabSindicatos[],6,0),0)</f>
        <v>29.15</v>
      </c>
      <c r="AC88" s="234">
        <f>IFERROR(VLOOKUP(tabParametros[[#This Row],[CCT DA CATEGORIA]],tabSindicatos[],7,0),0)</f>
        <v>0</v>
      </c>
      <c r="AD88" s="234" cm="1">
        <f t="array" ref="AD88">_xlfn.LET(
_xlpm.COMARCA, TRIM(UPPER(SUBSTITUTE(SUBSTITUTE(SUBSTITUTE(SUBSTITUTE(SUBSTITUTE(SUBSTITUTE(SUBSTITUTE(SUBSTITUTE(SUBSTITUTE(SUBSTITUTE(SUBSTITUTE(SUBSTITUTE(SUBSTITUTE(SUBSTITUTE(SUBSTITUTE(SUBSTITUTE(SUBSTITUTE(SUBSTITUTE(SUBSTITUTE(SUBSTITUTE(SUBSTITUTE(SUBSTITUTE(SUBSTITUTE(SUBSTITUTE(SUBSTITUTE(SUBSTITUTE(tabParametros[[#This Row],[Comarca]],"á","a"),"ã","a"),"â","a"),"é","e"),"ê","e"),"í","i"),"ó","o"),"õ","o"),"ô","o"),"ú","u"),"ç","c"),"Á","a"),"Ã","a"),"Â","a"),"É","e"),"Ê","e"),"Í","i"),"Ó","o"),"Õ","o"),"Ô","o"),"Ú","u"),"Ç","c"),"/MG","")," e ",", ")," ",""),".",""))),
_xlpm.MATRIZ_COMARCA, TRIM(UPPER(SUBSTITUTE(SUBSTITUTE(SUBSTITUTE(SUBSTITUTE(SUBSTITUTE(SUBSTITUTE(SUBSTITUTE(SUBSTITUTE(SUBSTITUTE(SUBSTITUTE(SUBSTITUTE(SUBSTITUTE(SUBSTITUTE(SUBSTITUTE(SUBSTITUTE(SUBSTITUTE(SUBSTITUTE(SUBSTITUTE(SUBSTITUTE(SUBSTITUTE(SUBSTITUTE(SUBSTITUTE(SUBSTITUTE(SUBSTITUTE(SUBSTITUTE(SUBSTITUTE(tabSindicatos[COMARCAS PAF],"á","a"),"ã","a"),"â","a"),"é","e"),"ê","e"),"í","i"),"ó","o"),"õ","o"),"ô","o"),"ú","u"),"ç","c"),"Á","a"),"Ã","a"),"Â","a"),"É","e"),"Ê","e"),"Í","i"),"Ó","o"),"Õ","o"),"Ô","o"),"Ú","u"),"Ç","c"),"/MG","")," e ",", ")," ",""),".",""))),
IFERROR(IF(_xlfn.XLOOKUP(tabParametros[[#This Row],[CCT DA CATEGORIA]],tabSindicatos[SINDICATOS],tabSindicatos[COMARCAS PAF])="",
VLOOKUP(tabParametros[[#This Row],[CCT DA CATEGORIA]],tabSindicatos[],8,0),
IF(ISNUMBER(SEARCH(TRIM(_xlpm.COMARCA),_xlfn.XLOOKUP(tabParametros[[#This Row],[CCT DA CATEGORIA]],tabSindicatos[SINDICATOS],_xlpm.MATRIZ_COMARCA),1)),VLOOKUP(tabParametros[[#This Row],[CCT DA CATEGORIA]],tabSindicatos[],8,0),0)
),0)
)</f>
        <v>51.88</v>
      </c>
      <c r="AE88" s="234">
        <f>IFERROR(VLOOKUP(tabParametros[[#This Row],[CCT DA CATEGORIA]],tabSindicatos[],9,0),0)</f>
        <v>0</v>
      </c>
      <c r="AF88" s="234">
        <f>IFERROR(VLOOKUP(tabParametros[[#This Row],[CCT DA CATEGORIA]],tabSindicatos[],10,0),0)</f>
        <v>0</v>
      </c>
      <c r="AG88" s="236">
        <f>VLOOKUP(tabParametros[[#Headers],[Seguro de Vida]],tabOutrosCustos[],3,0)</f>
        <v>3.36</v>
      </c>
      <c r="AH88" s="236">
        <f>IF(ISNUMBER(SEARCH("MOTORISTA",tabParametros[[#This Row],[Função]],1)),VLOOKUP("MOTORISTAS",tabDiarias[],2,0),IF(tabParametros[[#This Row],[Comarca]]="Belo Horizonte",VLOOKUP("LIMPEZA",tabDiarias[],2,0),0))</f>
        <v>0</v>
      </c>
      <c r="AI88" s="235">
        <f t="shared" si="13"/>
        <v>7.011766975308642E-3</v>
      </c>
      <c r="AJ88" s="237">
        <f>tabParametros[[#This Row],[FGTS]]*tabParametros[[#This Row],[Aviso Prévio Indenizado (API) e Reflexo do Aviso Prévio Indenizado]]</f>
        <v>5.609413580246914E-4</v>
      </c>
      <c r="AK88" s="237">
        <f>tabParametros[[#This Row],[FGTS]]*tabParametros[[#This Row],[Aviso Prévio Indenizado (API) e Reflexo do Aviso Prévio Indenizado]]*40%</f>
        <v>2.2437654320987658E-4</v>
      </c>
      <c r="AL88" s="235">
        <f t="shared" si="14"/>
        <v>3.5000000000000005E-3</v>
      </c>
      <c r="AM88" s="235">
        <f>tabParametros[[#This Row],[Aviso Prévio Trabalhado - APT]]*SUM(tabParametros[[#This Row],[INSS]:[SEBRAE]])</f>
        <v>1.3230000000000004E-3</v>
      </c>
      <c r="AN88" s="235">
        <f t="shared" si="15"/>
        <v>3.0577777777777773E-2</v>
      </c>
      <c r="AO88" s="235">
        <f t="shared" si="16"/>
        <v>8.3333333333333339E-4</v>
      </c>
      <c r="AP88" s="235">
        <f t="shared" si="17"/>
        <v>8.4444444444444437E-3</v>
      </c>
      <c r="AQ88" s="235">
        <f t="shared" si="18"/>
        <v>2.0277777777777777E-3</v>
      </c>
      <c r="AR88" s="235">
        <f t="shared" si="19"/>
        <v>1.7083333333333333E-4</v>
      </c>
      <c r="AS88" s="235">
        <f t="shared" si="20"/>
        <v>2.0833333333333335E-4</v>
      </c>
      <c r="AT88" s="235">
        <f t="shared" si="21"/>
        <v>1.2962962962962963E-3</v>
      </c>
      <c r="AU88" s="237">
        <f>SUM(tabParametros[[#This Row],[Ausência por Doença]:[Férias, Adicional de Férias e 13º  com empregada em gozo de Licença Maternidade]])*SUM(tabParametros[[#This Row],[INSS]:[SEBRAE]])</f>
        <v>4.5918250000000008E-3</v>
      </c>
      <c r="AV88" s="234">
        <f>IF(tabParametros[[#This Row],[Função]]="Porteiro - 220 h",SUM(tabParametros[[#This Row],[Salário Base]:[Adicional de Acúmulo de função]])/220*20*1.5,IF(ISNUMBER(SEARCH("12 x 36",tabParametros[[#This Row],[Função]],1)),SUM(tabParametros[[#This Row],[Salário Base]:[Adicional de Acúmulo de função]])/210*15.5*1.5,0))</f>
        <v>0</v>
      </c>
      <c r="AW88" s="234">
        <f>IF(tabParametros[[#This Row],[Vagas contratadas]]&gt;0,(SUM(tabParametros[[#This Row],[Salário Base]:[Adicional de Acúmulo de função]])*30%+SUM(tabParametros[[#This Row],[Vale - Alimentação]:[Seguro de Vida]]))/tabParametros[[#This Row],[Vagas contratadas]]*tabParametros[[#This Row],[Vagas suspensas]],0)</f>
        <v>0</v>
      </c>
      <c r="AX88" s="234">
        <f>SUMIF(tabUniformes[Cargo],tabParametros[[#This Row],[Função]],tabUniformes[Valor unit. Mensal])</f>
        <v>100.80916666666666</v>
      </c>
      <c r="AY88" s="281">
        <f>IF(ISNUMBER(SEARCH("AUXILIAR DE LIMPEZA - 75 H",tabParametros[[#This Row],[Função]],1)),
SUMIF(tabLimpGeral[TIPO],"Material",tabLimpGeral[VALOR UNITÁRIO P/ HORA (R$)])*75,
IF(ISNUMBER(SEARCH("AUXILIAR DE LIMPEZA - 110 H",tabParametros[[#This Row],[Função]],1)),
SUMIF(tabLimpGeral[TIPO],"Material",tabLimpGeral[VALOR UNITÁRIO P/ HORA (R$)])*110,
IF(ISNUMBER(SEARCH("AUXILIAR DE LIMPEZA - 150 H",tabParametros[[#This Row],[Função]],1)),
SUMIF(tabLimpGeral[TIPO],"Material",tabLimpGeral[VALOR UNITÁRIO P/ HORA (R$)])*150,
IF(ISNUMBER(SEARCH("AUXILIAR DE LIMPEZA - 220 H",tabParametros[[#This Row],[Função]],1)),
SUMIF(tabLimpGeral[TIPO],"Material",tabLimpGeral[VALOR UNITÁRIO P/ HORA (R$)])*220,
IF(ISNUMBER(SEARCH("AUXILIAR DE LIMPEZA - 12 x 36",tabParametros[[#This Row],[Função]],1)),
SUMIF(tabLimpGeral[TIPO],"Material",tabLimpGeral[VALOR UNITÁRIO P/ HORA (R$)])*220,
IF(ISNUMBER(SEARCH("Limpador de vidros - 220 h",tabParametros[[#This Row],[Função]],1)),
SUMIF(tabVidros[TIPO],"Material",tabVidros[VALOR UNITÁRIO P/ POSTO (R$)]),
0))))))</f>
        <v>35.518212958583888</v>
      </c>
      <c r="AZ88" s="281">
        <f>IF(ISNUMBER(SEARCH("AUXILIAR DE LIMPEZA - 75 H",tabParametros[[#This Row],[Função]],1)),
SUMIF(tabLimpGeral[TIPO],"Equipamento",tabLimpGeral[VALOR UNITÁRIO P/ HORA (R$)])*75,
IF(ISNUMBER(SEARCH("AUXILIAR DE LIMPEZA - 110 H",tabParametros[[#This Row],[Função]],1)),
SUMIF(tabLimpGeral[TIPO],"Equipamento",tabLimpGeral[VALOR UNITÁRIO P/ HORA (R$)])*110,
IF(ISNUMBER(SEARCH("AUXILIAR DE LIMPEZA - 150 H",tabParametros[[#This Row],[Função]],1)),
SUMIF(tabLimpGeral[TIPO],"Equipamento",tabLimpGeral[VALOR UNITÁRIO P/ HORA (R$)])*150,
IF(ISNUMBER(SEARCH("AUXILIAR DE LIMPEZA - 220 H",tabParametros[[#This Row],[Função]],1)),
SUMIF(tabLimpGeral[TIPO],"Equipamento",tabLimpGeral[VALOR UNITÁRIO P/ HORA (R$)])*220,
IF(ISNUMBER(SEARCH("AUXILIAR DE LIMPEZA - 12 x 36",tabParametros[[#This Row],[Função]],1)),
SUMIF(tabLimpGeral[TIPO],"Equipamento",tabLimpGeral[VALOR UNITÁRIO P/ HORA (R$)])*220,
IF(ISNUMBER(SEARCH("Limpador de vidros - 220 h",tabParametros[[#This Row],[Função]],1)),
SUMIF(tabVidros[TIPO],"Equipamento",tabVidros[VALOR UNITÁRIO P/ POSTO (R$)]),
0))))))</f>
        <v>64.529393914825576</v>
      </c>
      <c r="BA88" s="281">
        <f>IF(ISNUMBER(SEARCH("AUXILIAR DE LIMPEZA - 75 H",tabParametros[[#This Row],[Função]],1)),
SUMIF(tabLimpGeral[TIPO],"Produto",tabLimpGeral[VALOR UNITÁRIO P/ HORA (R$)])*75,
IF(ISNUMBER(SEARCH("AUXILIAR DE LIMPEZA - 110 H",tabParametros[[#This Row],[Função]],1)),
SUMIF(tabLimpGeral[TIPO],"Produto",tabLimpGeral[VALOR UNITÁRIO P/ HORA (R$)])*110,
IF(ISNUMBER(SEARCH("AUXILIAR DE LIMPEZA - 150 H",tabParametros[[#This Row],[Função]],1)),
SUMIF(tabLimpGeral[TIPO],"Produto",tabLimpGeral[VALOR UNITÁRIO P/ HORA (R$)])*150,
IF(ISNUMBER(SEARCH("AUXILIAR DE LIMPEZA - 220 H",tabParametros[[#This Row],[Função]],1)),
SUMIF(tabLimpGeral[TIPO],"Produto",tabLimpGeral[VALOR UNITÁRIO P/ HORA (R$)])*220,
IF(ISNUMBER(SEARCH("AUXILIAR DE LIMPEZA - 12 x 36",tabParametros[[#This Row],[Função]],1)),
SUMIF(tabLimpGeral[TIPO],"Produto",tabLimpGeral[VALOR UNITÁRIO P/ HORA (R$)])*220,
IF(ISNUMBER(SEARCH("Limpador de vidros - 220 h",tabParametros[[#This Row],[Função]],1)),
SUMIF(tabVidros[TIPO],"Produto",tabVidros[VALOR UNITÁRIO P/ POSTO (R$)]),
0))))))</f>
        <v>690.27153277931654</v>
      </c>
      <c r="BB88" s="281">
        <v>0</v>
      </c>
      <c r="BC88" s="236">
        <f>VLOOKUP(tabParametros[[#Headers],[Custos Indiretos]],tabOutrosCustos[],3,0)</f>
        <v>189.64880140242613</v>
      </c>
      <c r="BD88" s="236">
        <f>VLOOKUP(tabParametros[[#Headers],[Lucro]],tabOutrosCustos[],3,0)</f>
        <v>159.30499317803796</v>
      </c>
      <c r="BE88" s="235">
        <f>VLOOKUP(tabParametros[[#Headers],[COFINS]],tabImpostosNacionais[],2,0)</f>
        <v>7.5999999999999998E-2</v>
      </c>
      <c r="BF88" s="235">
        <f>VLOOKUP(tabParametros[[#Headers],[PIS]],tabImpostosNacionais[],2,0)</f>
        <v>1.6500000000000001E-2</v>
      </c>
      <c r="BG88" s="235">
        <f>VLOOKUP(tabParametros[[#This Row],[Comarca]],tabComarca[],4,0)</f>
        <v>0.03</v>
      </c>
      <c r="BH88" s="238">
        <f>IFERROR(VLOOKUP(tabParametros[[#This Row],[CCT DA CATEGORIA]],tabSindicatos[],11,0),"")</f>
        <v>45658</v>
      </c>
      <c r="BI88" s="289" t="str">
        <f>IFERROR(VLOOKUP(tabParametros[[#This Row],[CCT DA CATEGORIA]],tabSindicatos[],12,0),"")</f>
        <v>-</v>
      </c>
      <c r="BJ88" s="293" t="str">
        <f>IFERROR(VLOOKUP(tabParametros[[#This Row],[CCT DA CATEGORIA]],tabSindicatos[],13,0),"")</f>
        <v>-</v>
      </c>
    </row>
    <row r="89" spans="1:62" x14ac:dyDescent="0.25">
      <c r="A89" s="233" t="s">
        <v>1428</v>
      </c>
      <c r="B89" s="198" t="s">
        <v>85</v>
      </c>
      <c r="C89" s="198" t="s">
        <v>1247</v>
      </c>
      <c r="D89" s="198" t="str">
        <f>VLOOKUP(tabParametros[[#This Row],[Código do Posto]],tabPostos[],4,0)</f>
        <v>Regiao de Divinopolis</v>
      </c>
      <c r="E89" s="289" t="str">
        <f>VLOOKUP(tabParametros[[#This Row],[Código do Posto]],tabPostos[],5,0)</f>
        <v>Limpeza</v>
      </c>
      <c r="F89" s="289" t="str">
        <f>VLOOKUP(tabParametros[[#This Row],[Código do Posto]],tabPostos[],6,0)</f>
        <v>PGJ</v>
      </c>
      <c r="G89" s="289">
        <f>VLOOKUP(tabParametros[[#This Row],[Código do Posto]],tabPostos[],7,0)</f>
        <v>1</v>
      </c>
      <c r="H89" s="289">
        <f>VLOOKUP(tabParametros[[#This Row],[Código do Posto]],tabPostos[],8,0)</f>
        <v>0</v>
      </c>
      <c r="I89" s="234">
        <f>VLOOKUP(tabParametros[[#This Row],[Código do Posto]],tabPostos[],9,0)</f>
        <v>544.17999999999995</v>
      </c>
      <c r="J89" s="234">
        <f>IF(ISNUMBER(SEARCH("Eletricista",tabParametros[[#This Row],[Função]],1)),0.3*tabParametros[[#This Row],[Salário Base]],0)</f>
        <v>0</v>
      </c>
      <c r="K89" s="234">
        <f>IF(OR(ISNUMBER(SEARCH("Bombeiro Hidraulico",tabParametros[[#This Row],[Função]],1)),ISNUMBER(SEARCH("Jardineiro",tabParametros[[#This Row],[Função]],1)),ISNUMBER(SEARCH("Lavador de Veiculos",tabParametros[[#This Row],[Função]],1)),ISNUMBER(SEARCH("Marceneiro",tabParametros[[#This Row],[Função]],1)),ISNUMBER(SEARCH("Pintor",tabParametros[[#This Row],[Função]],1))),0.2*'BASE GERAL'!$R$4,0)</f>
        <v>0</v>
      </c>
      <c r="L89" s="234">
        <f>IF(AND(ISNUMBER(SEARCH("Noturno",tabParametros[[#This Row],[Função]],1)),tabParametros[[#This Row],[Comarca]]&lt;&gt;"Juiz de Fora"),tabParametros[[#This Row],[Salário Base]]/210*0.39*7*15.5,IF(ISNUMBER(SEARCH("Noturno",tabParametros[[#This Row],[Função]],1)),tabParametros[[#This Row],[Salário Base]]/210*0.2*8*15.5,0))</f>
        <v>0</v>
      </c>
      <c r="M89" s="234">
        <f>IF(ISNUMBER(SEARCH("Motorista II",tabParametros[[#This Row],[Função]],1)),0.25*tabParametros[[#This Row],[Salário Base]],0)</f>
        <v>0</v>
      </c>
      <c r="N89" s="250">
        <v>0</v>
      </c>
      <c r="O89" s="234">
        <f>IF(ISNUMBER(SEARCH("TECNOLOGIA DA INFORMACAO",tabParametros[[#This Row],[Função]],1)),0.0201*tabParametros[[#This Row],[Salário Base]],0)</f>
        <v>0</v>
      </c>
      <c r="P89" s="250" cm="1">
        <f t="array" ref="P89">_xlfn.IFS(
ISNUMBER(SEARCH("Auxiliar de Limpeza - 75 h",tabParametros[[#This Row],[Função]],1)),tabParametros[[#This Row],[Salário Base]]/75*0.75*30*0.12,
ISNUMBER(SEARCH("Auxiliar de Limpeza - 110 h",tabParametros[[#This Row],[Função]],1)),tabParametros[[#This Row],[Salário Base]]/110*1*30*0.12,
ISNUMBER(SEARCH("Auxiliar de Limpeza - 150 h",tabParametros[[#This Row],[Função]],1)),tabParametros[[#This Row],[Salário Base]]/150*1.5*30*0.12,
ISNUMBER(SEARCH("Auxiliar de Limpeza - 220 h",tabParametros[[#This Row],[Função]],1)),tabParametros[[#This Row],[Salário Base]]/220*2*30*0.12,
ISNUMBER(SEARCH("Auxiliar de Limpeza - 12 x 36",tabParametros[[#This Row],[Função]],1)),tabParametros[[#This Row],[Salário Base]]/220*2*30*0.12,
ISNUMBER(SEARCH("Auxiliar de Limpeza - 55 h",tabParametros[[#This Row],[Função]],1))=FALSE,0)</f>
        <v>19.590479999999999</v>
      </c>
      <c r="Q89" s="235">
        <f>VLOOKUP(tabParametros[[#Headers],[INSS]],tabImpostosNacionais[],2,0)</f>
        <v>0.2</v>
      </c>
      <c r="R89" s="235">
        <f>VLOOKUP(tabParametros[[#Headers],[SESI OU SESC]],tabImpostosNacionais[],2,0)</f>
        <v>1.4999999999999999E-2</v>
      </c>
      <c r="S89" s="235">
        <f>VLOOKUP(tabParametros[[#Headers],[SENAI OU SENAC]],tabImpostosNacionais[],2,0)</f>
        <v>0.01</v>
      </c>
      <c r="T89" s="235">
        <f>VLOOKUP(tabParametros[[#Headers],[INCRA]],tabImpostosNacionais[],2,0)</f>
        <v>2E-3</v>
      </c>
      <c r="U89" s="235">
        <f>VLOOKUP(tabParametros[[#Headers],[Salário Educação]],tabImpostosNacionais[],2,0)</f>
        <v>2.5000000000000001E-2</v>
      </c>
      <c r="V89" s="235">
        <f>VLOOKUP(tabParametros[[#Headers],[FGTS]],tabImpostosNacionais[],2,0)</f>
        <v>0.08</v>
      </c>
      <c r="W89" s="235">
        <f>VLOOKUP(tabParametros[[#Headers],[RAT Ajustado]],tabImpostosNacionais[],2,0)</f>
        <v>0.04</v>
      </c>
      <c r="X89" s="235">
        <f>VLOOKUP(tabParametros[[#Headers],[SEBRAE]],tabImpostosNacionais[],2,0)</f>
        <v>6.0000000000000001E-3</v>
      </c>
      <c r="Y89" s="235">
        <f t="shared" si="11"/>
        <v>8.3333333333333329E-2</v>
      </c>
      <c r="Z89" s="251">
        <f t="shared" si="12"/>
        <v>0.1111111111111111</v>
      </c>
      <c r="AA89" s="234">
        <f>VLOOKUP(tabParametros[[#This Row],[Comarca]],tabComarca[],5,0)</f>
        <v>6.4</v>
      </c>
      <c r="AB89" s="234">
        <f>IFERROR(VLOOKUP(tabParametros[[#This Row],[CCT DA CATEGORIA]],tabSindicatos[],6,0),0)</f>
        <v>29.15</v>
      </c>
      <c r="AC89" s="234">
        <f>IFERROR(VLOOKUP(tabParametros[[#This Row],[CCT DA CATEGORIA]],tabSindicatos[],7,0),0)</f>
        <v>0</v>
      </c>
      <c r="AD89" s="234" cm="1">
        <f t="array" ref="AD89">_xlfn.LET(
_xlpm.COMARCA, TRIM(UPPER(SUBSTITUTE(SUBSTITUTE(SUBSTITUTE(SUBSTITUTE(SUBSTITUTE(SUBSTITUTE(SUBSTITUTE(SUBSTITUTE(SUBSTITUTE(SUBSTITUTE(SUBSTITUTE(SUBSTITUTE(SUBSTITUTE(SUBSTITUTE(SUBSTITUTE(SUBSTITUTE(SUBSTITUTE(SUBSTITUTE(SUBSTITUTE(SUBSTITUTE(SUBSTITUTE(SUBSTITUTE(SUBSTITUTE(SUBSTITUTE(SUBSTITUTE(SUBSTITUTE(tabParametros[[#This Row],[Comarca]],"á","a"),"ã","a"),"â","a"),"é","e"),"ê","e"),"í","i"),"ó","o"),"õ","o"),"ô","o"),"ú","u"),"ç","c"),"Á","a"),"Ã","a"),"Â","a"),"É","e"),"Ê","e"),"Í","i"),"Ó","o"),"Õ","o"),"Ô","o"),"Ú","u"),"Ç","c"),"/MG","")," e ",", ")," ",""),".",""))),
_xlpm.MATRIZ_COMARCA, TRIM(UPPER(SUBSTITUTE(SUBSTITUTE(SUBSTITUTE(SUBSTITUTE(SUBSTITUTE(SUBSTITUTE(SUBSTITUTE(SUBSTITUTE(SUBSTITUTE(SUBSTITUTE(SUBSTITUTE(SUBSTITUTE(SUBSTITUTE(SUBSTITUTE(SUBSTITUTE(SUBSTITUTE(SUBSTITUTE(SUBSTITUTE(SUBSTITUTE(SUBSTITUTE(SUBSTITUTE(SUBSTITUTE(SUBSTITUTE(SUBSTITUTE(SUBSTITUTE(SUBSTITUTE(tabSindicatos[COMARCAS PAF],"á","a"),"ã","a"),"â","a"),"é","e"),"ê","e"),"í","i"),"ó","o"),"õ","o"),"ô","o"),"ú","u"),"ç","c"),"Á","a"),"Ã","a"),"Â","a"),"É","e"),"Ê","e"),"Í","i"),"Ó","o"),"Õ","o"),"Ô","o"),"Ú","u"),"Ç","c"),"/MG","")," e ",", ")," ",""),".",""))),
IFERROR(IF(_xlfn.XLOOKUP(tabParametros[[#This Row],[CCT DA CATEGORIA]],tabSindicatos[SINDICATOS],tabSindicatos[COMARCAS PAF])="",
VLOOKUP(tabParametros[[#This Row],[CCT DA CATEGORIA]],tabSindicatos[],8,0),
IF(ISNUMBER(SEARCH(TRIM(_xlpm.COMARCA),_xlfn.XLOOKUP(tabParametros[[#This Row],[CCT DA CATEGORIA]],tabSindicatos[SINDICATOS],_xlpm.MATRIZ_COMARCA),1)),VLOOKUP(tabParametros[[#This Row],[CCT DA CATEGORIA]],tabSindicatos[],8,0),0)
),0)
)</f>
        <v>0</v>
      </c>
      <c r="AE89" s="234">
        <f>IFERROR(VLOOKUP(tabParametros[[#This Row],[CCT DA CATEGORIA]],tabSindicatos[],9,0),0)</f>
        <v>0</v>
      </c>
      <c r="AF89" s="234">
        <f>IFERROR(VLOOKUP(tabParametros[[#This Row],[CCT DA CATEGORIA]],tabSindicatos[],10,0),0)</f>
        <v>0</v>
      </c>
      <c r="AG89" s="236">
        <f>VLOOKUP(tabParametros[[#Headers],[Seguro de Vida]],tabOutrosCustos[],3,0)</f>
        <v>3.36</v>
      </c>
      <c r="AH89" s="236">
        <f>IF(ISNUMBER(SEARCH("MOTORISTA",tabParametros[[#This Row],[Função]],1)),VLOOKUP("MOTORISTAS",tabDiarias[],2,0),IF(tabParametros[[#This Row],[Comarca]]="Belo Horizonte",VLOOKUP("LIMPEZA",tabDiarias[],2,0),0))</f>
        <v>0</v>
      </c>
      <c r="AI89" s="235">
        <f t="shared" si="13"/>
        <v>7.011766975308642E-3</v>
      </c>
      <c r="AJ89" s="237">
        <f>tabParametros[[#This Row],[FGTS]]*tabParametros[[#This Row],[Aviso Prévio Indenizado (API) e Reflexo do Aviso Prévio Indenizado]]</f>
        <v>5.609413580246914E-4</v>
      </c>
      <c r="AK89" s="237">
        <f>tabParametros[[#This Row],[FGTS]]*tabParametros[[#This Row],[Aviso Prévio Indenizado (API) e Reflexo do Aviso Prévio Indenizado]]*40%</f>
        <v>2.2437654320987658E-4</v>
      </c>
      <c r="AL89" s="235">
        <f t="shared" si="14"/>
        <v>3.5000000000000005E-3</v>
      </c>
      <c r="AM89" s="235">
        <f>tabParametros[[#This Row],[Aviso Prévio Trabalhado - APT]]*SUM(tabParametros[[#This Row],[INSS]:[SEBRAE]])</f>
        <v>1.3230000000000004E-3</v>
      </c>
      <c r="AN89" s="235">
        <f t="shared" si="15"/>
        <v>3.0577777777777773E-2</v>
      </c>
      <c r="AO89" s="235">
        <f t="shared" si="16"/>
        <v>8.3333333333333339E-4</v>
      </c>
      <c r="AP89" s="235">
        <f t="shared" si="17"/>
        <v>8.4444444444444437E-3</v>
      </c>
      <c r="AQ89" s="235">
        <f t="shared" si="18"/>
        <v>2.0277777777777777E-3</v>
      </c>
      <c r="AR89" s="235">
        <f t="shared" si="19"/>
        <v>1.7083333333333333E-4</v>
      </c>
      <c r="AS89" s="235">
        <f t="shared" si="20"/>
        <v>2.0833333333333335E-4</v>
      </c>
      <c r="AT89" s="235">
        <f t="shared" si="21"/>
        <v>1.2962962962962963E-3</v>
      </c>
      <c r="AU89" s="237">
        <f>SUM(tabParametros[[#This Row],[Ausência por Doença]:[Férias, Adicional de Férias e 13º  com empregada em gozo de Licença Maternidade]])*SUM(tabParametros[[#This Row],[INSS]:[SEBRAE]])</f>
        <v>4.5918250000000008E-3</v>
      </c>
      <c r="AV89" s="234">
        <f>IF(tabParametros[[#This Row],[Função]]="Porteiro - 220 h",SUM(tabParametros[[#This Row],[Salário Base]:[Adicional de Acúmulo de função]])/220*20*1.5,IF(ISNUMBER(SEARCH("12 x 36",tabParametros[[#This Row],[Função]],1)),SUM(tabParametros[[#This Row],[Salário Base]:[Adicional de Acúmulo de função]])/210*15.5*1.5,0))</f>
        <v>0</v>
      </c>
      <c r="AW89" s="234">
        <f>IF(tabParametros[[#This Row],[Vagas contratadas]]&gt;0,(SUM(tabParametros[[#This Row],[Salário Base]:[Adicional de Acúmulo de função]])*30%+SUM(tabParametros[[#This Row],[Vale - Alimentação]:[Seguro de Vida]]))/tabParametros[[#This Row],[Vagas contratadas]]*tabParametros[[#This Row],[Vagas suspensas]],0)</f>
        <v>0</v>
      </c>
      <c r="AX89" s="234">
        <f>SUMIF(tabUniformes[Cargo],tabParametros[[#This Row],[Função]],tabUniformes[Valor unit. Mensal])</f>
        <v>62.806666666666665</v>
      </c>
      <c r="AY89" s="281">
        <f>IF(ISNUMBER(SEARCH("AUXILIAR DE LIMPEZA - 75 H",tabParametros[[#This Row],[Função]],1)),
SUMIF(tabLimpGeral[TIPO],"Material",tabLimpGeral[VALOR UNITÁRIO P/ HORA (R$)])*75,
IF(ISNUMBER(SEARCH("AUXILIAR DE LIMPEZA - 110 H",tabParametros[[#This Row],[Função]],1)),
SUMIF(tabLimpGeral[TIPO],"Material",tabLimpGeral[VALOR UNITÁRIO P/ HORA (R$)])*110,
IF(ISNUMBER(SEARCH("AUXILIAR DE LIMPEZA - 150 H",tabParametros[[#This Row],[Função]],1)),
SUMIF(tabLimpGeral[TIPO],"Material",tabLimpGeral[VALOR UNITÁRIO P/ HORA (R$)])*150,
IF(ISNUMBER(SEARCH("AUXILIAR DE LIMPEZA - 220 H",tabParametros[[#This Row],[Função]],1)),
SUMIF(tabLimpGeral[TIPO],"Material",tabLimpGeral[VALOR UNITÁRIO P/ HORA (R$)])*220,
IF(ISNUMBER(SEARCH("AUXILIAR DE LIMPEZA - 12 x 36",tabParametros[[#This Row],[Função]],1)),
SUMIF(tabLimpGeral[TIPO],"Material",tabLimpGeral[VALOR UNITÁRIO P/ HORA (R$)])*220,
IF(ISNUMBER(SEARCH("Limpador de vidros - 220 h",tabParametros[[#This Row],[Função]],1)),
SUMIF(tabVidros[TIPO],"Material",tabVidros[VALOR UNITÁRIO P/ POSTO (R$)]),
0))))))</f>
        <v>12.108481690426325</v>
      </c>
      <c r="AZ89" s="281">
        <f>IF(ISNUMBER(SEARCH("AUXILIAR DE LIMPEZA - 75 H",tabParametros[[#This Row],[Função]],1)),
SUMIF(tabLimpGeral[TIPO],"Equipamento",tabLimpGeral[VALOR UNITÁRIO P/ HORA (R$)])*75,
IF(ISNUMBER(SEARCH("AUXILIAR DE LIMPEZA - 110 H",tabParametros[[#This Row],[Função]],1)),
SUMIF(tabLimpGeral[TIPO],"Equipamento",tabLimpGeral[VALOR UNITÁRIO P/ HORA (R$)])*110,
IF(ISNUMBER(SEARCH("AUXILIAR DE LIMPEZA - 150 H",tabParametros[[#This Row],[Função]],1)),
SUMIF(tabLimpGeral[TIPO],"Equipamento",tabLimpGeral[VALOR UNITÁRIO P/ HORA (R$)])*150,
IF(ISNUMBER(SEARCH("AUXILIAR DE LIMPEZA - 220 H",tabParametros[[#This Row],[Função]],1)),
SUMIF(tabLimpGeral[TIPO],"Equipamento",tabLimpGeral[VALOR UNITÁRIO P/ HORA (R$)])*220,
IF(ISNUMBER(SEARCH("AUXILIAR DE LIMPEZA - 12 x 36",tabParametros[[#This Row],[Função]],1)),
SUMIF(tabLimpGeral[TIPO],"Equipamento",tabLimpGeral[VALOR UNITÁRIO P/ HORA (R$)])*220,
IF(ISNUMBER(SEARCH("Limpador de vidros - 220 h",tabParametros[[#This Row],[Função]],1)),
SUMIF(tabVidros[TIPO],"Equipamento",tabVidros[VALOR UNITÁRIO P/ POSTO (R$)]),
0))))))</f>
        <v>21.998657016417809</v>
      </c>
      <c r="BA89" s="281">
        <f>IF(ISNUMBER(SEARCH("AUXILIAR DE LIMPEZA - 75 H",tabParametros[[#This Row],[Função]],1)),
SUMIF(tabLimpGeral[TIPO],"Produto",tabLimpGeral[VALOR UNITÁRIO P/ HORA (R$)])*75,
IF(ISNUMBER(SEARCH("AUXILIAR DE LIMPEZA - 110 H",tabParametros[[#This Row],[Função]],1)),
SUMIF(tabLimpGeral[TIPO],"Produto",tabLimpGeral[VALOR UNITÁRIO P/ HORA (R$)])*110,
IF(ISNUMBER(SEARCH("AUXILIAR DE LIMPEZA - 150 H",tabParametros[[#This Row],[Função]],1)),
SUMIF(tabLimpGeral[TIPO],"Produto",tabLimpGeral[VALOR UNITÁRIO P/ HORA (R$)])*150,
IF(ISNUMBER(SEARCH("AUXILIAR DE LIMPEZA - 220 H",tabParametros[[#This Row],[Função]],1)),
SUMIF(tabLimpGeral[TIPO],"Produto",tabLimpGeral[VALOR UNITÁRIO P/ HORA (R$)])*220,
IF(ISNUMBER(SEARCH("AUXILIAR DE LIMPEZA - 12 x 36",tabParametros[[#This Row],[Função]],1)),
SUMIF(tabLimpGeral[TIPO],"Produto",tabLimpGeral[VALOR UNITÁRIO P/ HORA (R$)])*220,
IF(ISNUMBER(SEARCH("Limpador de vidros - 220 h",tabParametros[[#This Row],[Função]],1)),
SUMIF(tabVidros[TIPO],"Produto",tabVidros[VALOR UNITÁRIO P/ POSTO (R$)]),
0))))))</f>
        <v>235.31984072022155</v>
      </c>
      <c r="BB89" s="281">
        <v>0</v>
      </c>
      <c r="BC89" s="236">
        <f>VLOOKUP(tabParametros[[#Headers],[Custos Indiretos]],tabOutrosCustos[],3,0)</f>
        <v>189.64880140242613</v>
      </c>
      <c r="BD89" s="236">
        <f>VLOOKUP(tabParametros[[#Headers],[Lucro]],tabOutrosCustos[],3,0)</f>
        <v>159.30499317803796</v>
      </c>
      <c r="BE89" s="235">
        <f>VLOOKUP(tabParametros[[#Headers],[COFINS]],tabImpostosNacionais[],2,0)</f>
        <v>7.5999999999999998E-2</v>
      </c>
      <c r="BF89" s="235">
        <f>VLOOKUP(tabParametros[[#Headers],[PIS]],tabImpostosNacionais[],2,0)</f>
        <v>1.6500000000000001E-2</v>
      </c>
      <c r="BG89" s="235">
        <f>VLOOKUP(tabParametros[[#This Row],[Comarca]],tabComarca[],4,0)</f>
        <v>0.02</v>
      </c>
      <c r="BH89" s="238">
        <f>IFERROR(VLOOKUP(tabParametros[[#This Row],[CCT DA CATEGORIA]],tabSindicatos[],11,0),"")</f>
        <v>45658</v>
      </c>
      <c r="BI89" s="289" t="str">
        <f>IFERROR(VLOOKUP(tabParametros[[#This Row],[CCT DA CATEGORIA]],tabSindicatos[],12,0),"")</f>
        <v>-</v>
      </c>
      <c r="BJ89" s="293" t="str">
        <f>IFERROR(VLOOKUP(tabParametros[[#This Row],[CCT DA CATEGORIA]],tabSindicatos[],13,0),"")</f>
        <v>-</v>
      </c>
    </row>
    <row r="90" spans="1:62" x14ac:dyDescent="0.25">
      <c r="A90" s="233" t="s">
        <v>1429</v>
      </c>
      <c r="B90" s="198" t="s">
        <v>86</v>
      </c>
      <c r="C90" s="198" t="s">
        <v>1247</v>
      </c>
      <c r="D90" s="198" t="str">
        <f>VLOOKUP(tabParametros[[#This Row],[Código do Posto]],tabPostos[],4,0)</f>
        <v>Regiao de Sao Lourenco</v>
      </c>
      <c r="E90" s="289" t="str">
        <f>VLOOKUP(tabParametros[[#This Row],[Código do Posto]],tabPostos[],5,0)</f>
        <v>Limpeza</v>
      </c>
      <c r="F90" s="289" t="str">
        <f>VLOOKUP(tabParametros[[#This Row],[Código do Posto]],tabPostos[],6,0)</f>
        <v>PGJ</v>
      </c>
      <c r="G90" s="289">
        <f>VLOOKUP(tabParametros[[#This Row],[Código do Posto]],tabPostos[],7,0)</f>
        <v>1</v>
      </c>
      <c r="H90" s="289">
        <f>VLOOKUP(tabParametros[[#This Row],[Código do Posto]],tabPostos[],8,0)</f>
        <v>0</v>
      </c>
      <c r="I90" s="234">
        <f>VLOOKUP(tabParametros[[#This Row],[Código do Posto]],tabPostos[],9,0)</f>
        <v>544.17999999999995</v>
      </c>
      <c r="J90" s="234">
        <f>IF(ISNUMBER(SEARCH("Eletricista",tabParametros[[#This Row],[Função]],1)),0.3*tabParametros[[#This Row],[Salário Base]],0)</f>
        <v>0</v>
      </c>
      <c r="K90" s="234">
        <f>IF(OR(ISNUMBER(SEARCH("Bombeiro Hidraulico",tabParametros[[#This Row],[Função]],1)),ISNUMBER(SEARCH("Jardineiro",tabParametros[[#This Row],[Função]],1)),ISNUMBER(SEARCH("Lavador de Veiculos",tabParametros[[#This Row],[Função]],1)),ISNUMBER(SEARCH("Marceneiro",tabParametros[[#This Row],[Função]],1)),ISNUMBER(SEARCH("Pintor",tabParametros[[#This Row],[Função]],1))),0.2*'BASE GERAL'!$R$4,0)</f>
        <v>0</v>
      </c>
      <c r="L90" s="234">
        <f>IF(AND(ISNUMBER(SEARCH("Noturno",tabParametros[[#This Row],[Função]],1)),tabParametros[[#This Row],[Comarca]]&lt;&gt;"Juiz de Fora"),tabParametros[[#This Row],[Salário Base]]/210*0.39*7*15.5,IF(ISNUMBER(SEARCH("Noturno",tabParametros[[#This Row],[Função]],1)),tabParametros[[#This Row],[Salário Base]]/210*0.2*8*15.5,0))</f>
        <v>0</v>
      </c>
      <c r="M90" s="234">
        <f>IF(ISNUMBER(SEARCH("Motorista II",tabParametros[[#This Row],[Função]],1)),0.25*tabParametros[[#This Row],[Salário Base]],0)</f>
        <v>0</v>
      </c>
      <c r="N90" s="250">
        <v>0</v>
      </c>
      <c r="O90" s="234">
        <f>IF(ISNUMBER(SEARCH("TECNOLOGIA DA INFORMACAO",tabParametros[[#This Row],[Função]],1)),0.0201*tabParametros[[#This Row],[Salário Base]],0)</f>
        <v>0</v>
      </c>
      <c r="P90" s="250" cm="1">
        <f t="array" ref="P90">_xlfn.IFS(
ISNUMBER(SEARCH("Auxiliar de Limpeza - 75 h",tabParametros[[#This Row],[Função]],1)),tabParametros[[#This Row],[Salário Base]]/75*0.75*30*0.12,
ISNUMBER(SEARCH("Auxiliar de Limpeza - 110 h",tabParametros[[#This Row],[Função]],1)),tabParametros[[#This Row],[Salário Base]]/110*1*30*0.12,
ISNUMBER(SEARCH("Auxiliar de Limpeza - 150 h",tabParametros[[#This Row],[Função]],1)),tabParametros[[#This Row],[Salário Base]]/150*1.5*30*0.12,
ISNUMBER(SEARCH("Auxiliar de Limpeza - 220 h",tabParametros[[#This Row],[Função]],1)),tabParametros[[#This Row],[Salário Base]]/220*2*30*0.12,
ISNUMBER(SEARCH("Auxiliar de Limpeza - 12 x 36",tabParametros[[#This Row],[Função]],1)),tabParametros[[#This Row],[Salário Base]]/220*2*30*0.12,
ISNUMBER(SEARCH("Auxiliar de Limpeza - 55 h",tabParametros[[#This Row],[Função]],1))=FALSE,0)</f>
        <v>19.590479999999999</v>
      </c>
      <c r="Q90" s="235">
        <f>VLOOKUP(tabParametros[[#Headers],[INSS]],tabImpostosNacionais[],2,0)</f>
        <v>0.2</v>
      </c>
      <c r="R90" s="235">
        <f>VLOOKUP(tabParametros[[#Headers],[SESI OU SESC]],tabImpostosNacionais[],2,0)</f>
        <v>1.4999999999999999E-2</v>
      </c>
      <c r="S90" s="235">
        <f>VLOOKUP(tabParametros[[#Headers],[SENAI OU SENAC]],tabImpostosNacionais[],2,0)</f>
        <v>0.01</v>
      </c>
      <c r="T90" s="235">
        <f>VLOOKUP(tabParametros[[#Headers],[INCRA]],tabImpostosNacionais[],2,0)</f>
        <v>2E-3</v>
      </c>
      <c r="U90" s="235">
        <f>VLOOKUP(tabParametros[[#Headers],[Salário Educação]],tabImpostosNacionais[],2,0)</f>
        <v>2.5000000000000001E-2</v>
      </c>
      <c r="V90" s="235">
        <f>VLOOKUP(tabParametros[[#Headers],[FGTS]],tabImpostosNacionais[],2,0)</f>
        <v>0.08</v>
      </c>
      <c r="W90" s="235">
        <f>VLOOKUP(tabParametros[[#Headers],[RAT Ajustado]],tabImpostosNacionais[],2,0)</f>
        <v>0.04</v>
      </c>
      <c r="X90" s="235">
        <f>VLOOKUP(tabParametros[[#Headers],[SEBRAE]],tabImpostosNacionais[],2,0)</f>
        <v>6.0000000000000001E-3</v>
      </c>
      <c r="Y90" s="235">
        <f t="shared" si="11"/>
        <v>8.3333333333333329E-2</v>
      </c>
      <c r="Z90" s="251">
        <f t="shared" si="12"/>
        <v>0.1111111111111111</v>
      </c>
      <c r="AA90" s="234">
        <f>VLOOKUP(tabParametros[[#This Row],[Comarca]],tabComarca[],5,0)</f>
        <v>6.4</v>
      </c>
      <c r="AB90" s="234">
        <f>IFERROR(VLOOKUP(tabParametros[[#This Row],[CCT DA CATEGORIA]],tabSindicatos[],6,0),0)</f>
        <v>29.15</v>
      </c>
      <c r="AC90" s="234">
        <f>IFERROR(VLOOKUP(tabParametros[[#This Row],[CCT DA CATEGORIA]],tabSindicatos[],7,0),0)</f>
        <v>0</v>
      </c>
      <c r="AD90" s="234" cm="1">
        <f t="array" ref="AD90">_xlfn.LET(
_xlpm.COMARCA, TRIM(UPPER(SUBSTITUTE(SUBSTITUTE(SUBSTITUTE(SUBSTITUTE(SUBSTITUTE(SUBSTITUTE(SUBSTITUTE(SUBSTITUTE(SUBSTITUTE(SUBSTITUTE(SUBSTITUTE(SUBSTITUTE(SUBSTITUTE(SUBSTITUTE(SUBSTITUTE(SUBSTITUTE(SUBSTITUTE(SUBSTITUTE(SUBSTITUTE(SUBSTITUTE(SUBSTITUTE(SUBSTITUTE(SUBSTITUTE(SUBSTITUTE(SUBSTITUTE(SUBSTITUTE(tabParametros[[#This Row],[Comarca]],"á","a"),"ã","a"),"â","a"),"é","e"),"ê","e"),"í","i"),"ó","o"),"õ","o"),"ô","o"),"ú","u"),"ç","c"),"Á","a"),"Ã","a"),"Â","a"),"É","e"),"Ê","e"),"Í","i"),"Ó","o"),"Õ","o"),"Ô","o"),"Ú","u"),"Ç","c"),"/MG","")," e ",", ")," ",""),".",""))),
_xlpm.MATRIZ_COMARCA, TRIM(UPPER(SUBSTITUTE(SUBSTITUTE(SUBSTITUTE(SUBSTITUTE(SUBSTITUTE(SUBSTITUTE(SUBSTITUTE(SUBSTITUTE(SUBSTITUTE(SUBSTITUTE(SUBSTITUTE(SUBSTITUTE(SUBSTITUTE(SUBSTITUTE(SUBSTITUTE(SUBSTITUTE(SUBSTITUTE(SUBSTITUTE(SUBSTITUTE(SUBSTITUTE(SUBSTITUTE(SUBSTITUTE(SUBSTITUTE(SUBSTITUTE(SUBSTITUTE(SUBSTITUTE(tabSindicatos[COMARCAS PAF],"á","a"),"ã","a"),"â","a"),"é","e"),"ê","e"),"í","i"),"ó","o"),"õ","o"),"ô","o"),"ú","u"),"ç","c"),"Á","a"),"Ã","a"),"Â","a"),"É","e"),"Ê","e"),"Í","i"),"Ó","o"),"Õ","o"),"Ô","o"),"Ú","u"),"Ç","c"),"/MG","")," e ",", ")," ",""),".",""))),
IFERROR(IF(_xlfn.XLOOKUP(tabParametros[[#This Row],[CCT DA CATEGORIA]],tabSindicatos[SINDICATOS],tabSindicatos[COMARCAS PAF])="",
VLOOKUP(tabParametros[[#This Row],[CCT DA CATEGORIA]],tabSindicatos[],8,0),
IF(ISNUMBER(SEARCH(TRIM(_xlpm.COMARCA),_xlfn.XLOOKUP(tabParametros[[#This Row],[CCT DA CATEGORIA]],tabSindicatos[SINDICATOS],_xlpm.MATRIZ_COMARCA),1)),VLOOKUP(tabParametros[[#This Row],[CCT DA CATEGORIA]],tabSindicatos[],8,0),0)
),0)
)</f>
        <v>0</v>
      </c>
      <c r="AE90" s="234">
        <f>IFERROR(VLOOKUP(tabParametros[[#This Row],[CCT DA CATEGORIA]],tabSindicatos[],9,0),0)</f>
        <v>0</v>
      </c>
      <c r="AF90" s="234">
        <f>IFERROR(VLOOKUP(tabParametros[[#This Row],[CCT DA CATEGORIA]],tabSindicatos[],10,0),0)</f>
        <v>0</v>
      </c>
      <c r="AG90" s="236">
        <f>VLOOKUP(tabParametros[[#Headers],[Seguro de Vida]],tabOutrosCustos[],3,0)</f>
        <v>3.36</v>
      </c>
      <c r="AH90" s="236">
        <f>IF(ISNUMBER(SEARCH("MOTORISTA",tabParametros[[#This Row],[Função]],1)),VLOOKUP("MOTORISTAS",tabDiarias[],2,0),IF(tabParametros[[#This Row],[Comarca]]="Belo Horizonte",VLOOKUP("LIMPEZA",tabDiarias[],2,0),0))</f>
        <v>0</v>
      </c>
      <c r="AI90" s="235">
        <f t="shared" si="13"/>
        <v>7.011766975308642E-3</v>
      </c>
      <c r="AJ90" s="237">
        <f>tabParametros[[#This Row],[FGTS]]*tabParametros[[#This Row],[Aviso Prévio Indenizado (API) e Reflexo do Aviso Prévio Indenizado]]</f>
        <v>5.609413580246914E-4</v>
      </c>
      <c r="AK90" s="237">
        <f>tabParametros[[#This Row],[FGTS]]*tabParametros[[#This Row],[Aviso Prévio Indenizado (API) e Reflexo do Aviso Prévio Indenizado]]*40%</f>
        <v>2.2437654320987658E-4</v>
      </c>
      <c r="AL90" s="235">
        <f t="shared" si="14"/>
        <v>3.5000000000000005E-3</v>
      </c>
      <c r="AM90" s="235">
        <f>tabParametros[[#This Row],[Aviso Prévio Trabalhado - APT]]*SUM(tabParametros[[#This Row],[INSS]:[SEBRAE]])</f>
        <v>1.3230000000000004E-3</v>
      </c>
      <c r="AN90" s="235">
        <f t="shared" si="15"/>
        <v>3.0577777777777773E-2</v>
      </c>
      <c r="AO90" s="235">
        <f t="shared" si="16"/>
        <v>8.3333333333333339E-4</v>
      </c>
      <c r="AP90" s="235">
        <f t="shared" si="17"/>
        <v>8.4444444444444437E-3</v>
      </c>
      <c r="AQ90" s="235">
        <f t="shared" si="18"/>
        <v>2.0277777777777777E-3</v>
      </c>
      <c r="AR90" s="235">
        <f t="shared" si="19"/>
        <v>1.7083333333333333E-4</v>
      </c>
      <c r="AS90" s="235">
        <f t="shared" si="20"/>
        <v>2.0833333333333335E-4</v>
      </c>
      <c r="AT90" s="235">
        <f t="shared" si="21"/>
        <v>1.2962962962962963E-3</v>
      </c>
      <c r="AU90" s="237">
        <f>SUM(tabParametros[[#This Row],[Ausência por Doença]:[Férias, Adicional de Férias e 13º  com empregada em gozo de Licença Maternidade]])*SUM(tabParametros[[#This Row],[INSS]:[SEBRAE]])</f>
        <v>4.5918250000000008E-3</v>
      </c>
      <c r="AV90" s="234">
        <f>IF(tabParametros[[#This Row],[Função]]="Porteiro - 220 h",SUM(tabParametros[[#This Row],[Salário Base]:[Adicional de Acúmulo de função]])/220*20*1.5,IF(ISNUMBER(SEARCH("12 x 36",tabParametros[[#This Row],[Função]],1)),SUM(tabParametros[[#This Row],[Salário Base]:[Adicional de Acúmulo de função]])/210*15.5*1.5,0))</f>
        <v>0</v>
      </c>
      <c r="AW90" s="234">
        <f>IF(tabParametros[[#This Row],[Vagas contratadas]]&gt;0,(SUM(tabParametros[[#This Row],[Salário Base]:[Adicional de Acúmulo de função]])*30%+SUM(tabParametros[[#This Row],[Vale - Alimentação]:[Seguro de Vida]]))/tabParametros[[#This Row],[Vagas contratadas]]*tabParametros[[#This Row],[Vagas suspensas]],0)</f>
        <v>0</v>
      </c>
      <c r="AX90" s="234">
        <f>SUMIF(tabUniformes[Cargo],tabParametros[[#This Row],[Função]],tabUniformes[Valor unit. Mensal])</f>
        <v>62.806666666666665</v>
      </c>
      <c r="AY90" s="281">
        <f>IF(ISNUMBER(SEARCH("AUXILIAR DE LIMPEZA - 75 H",tabParametros[[#This Row],[Função]],1)),
SUMIF(tabLimpGeral[TIPO],"Material",tabLimpGeral[VALOR UNITÁRIO P/ HORA (R$)])*75,
IF(ISNUMBER(SEARCH("AUXILIAR DE LIMPEZA - 110 H",tabParametros[[#This Row],[Função]],1)),
SUMIF(tabLimpGeral[TIPO],"Material",tabLimpGeral[VALOR UNITÁRIO P/ HORA (R$)])*110,
IF(ISNUMBER(SEARCH("AUXILIAR DE LIMPEZA - 150 H",tabParametros[[#This Row],[Função]],1)),
SUMIF(tabLimpGeral[TIPO],"Material",tabLimpGeral[VALOR UNITÁRIO P/ HORA (R$)])*150,
IF(ISNUMBER(SEARCH("AUXILIAR DE LIMPEZA - 220 H",tabParametros[[#This Row],[Função]],1)),
SUMIF(tabLimpGeral[TIPO],"Material",tabLimpGeral[VALOR UNITÁRIO P/ HORA (R$)])*220,
IF(ISNUMBER(SEARCH("AUXILIAR DE LIMPEZA - 12 x 36",tabParametros[[#This Row],[Função]],1)),
SUMIF(tabLimpGeral[TIPO],"Material",tabLimpGeral[VALOR UNITÁRIO P/ HORA (R$)])*220,
IF(ISNUMBER(SEARCH("Limpador de vidros - 220 h",tabParametros[[#This Row],[Função]],1)),
SUMIF(tabVidros[TIPO],"Material",tabVidros[VALOR UNITÁRIO P/ POSTO (R$)]),
0))))))</f>
        <v>12.108481690426325</v>
      </c>
      <c r="AZ90" s="281">
        <f>IF(ISNUMBER(SEARCH("AUXILIAR DE LIMPEZA - 75 H",tabParametros[[#This Row],[Função]],1)),
SUMIF(tabLimpGeral[TIPO],"Equipamento",tabLimpGeral[VALOR UNITÁRIO P/ HORA (R$)])*75,
IF(ISNUMBER(SEARCH("AUXILIAR DE LIMPEZA - 110 H",tabParametros[[#This Row],[Função]],1)),
SUMIF(tabLimpGeral[TIPO],"Equipamento",tabLimpGeral[VALOR UNITÁRIO P/ HORA (R$)])*110,
IF(ISNUMBER(SEARCH("AUXILIAR DE LIMPEZA - 150 H",tabParametros[[#This Row],[Função]],1)),
SUMIF(tabLimpGeral[TIPO],"Equipamento",tabLimpGeral[VALOR UNITÁRIO P/ HORA (R$)])*150,
IF(ISNUMBER(SEARCH("AUXILIAR DE LIMPEZA - 220 H",tabParametros[[#This Row],[Função]],1)),
SUMIF(tabLimpGeral[TIPO],"Equipamento",tabLimpGeral[VALOR UNITÁRIO P/ HORA (R$)])*220,
IF(ISNUMBER(SEARCH("AUXILIAR DE LIMPEZA - 12 x 36",tabParametros[[#This Row],[Função]],1)),
SUMIF(tabLimpGeral[TIPO],"Equipamento",tabLimpGeral[VALOR UNITÁRIO P/ HORA (R$)])*220,
IF(ISNUMBER(SEARCH("Limpador de vidros - 220 h",tabParametros[[#This Row],[Função]],1)),
SUMIF(tabVidros[TIPO],"Equipamento",tabVidros[VALOR UNITÁRIO P/ POSTO (R$)]),
0))))))</f>
        <v>21.998657016417809</v>
      </c>
      <c r="BA90" s="281">
        <f>IF(ISNUMBER(SEARCH("AUXILIAR DE LIMPEZA - 75 H",tabParametros[[#This Row],[Função]],1)),
SUMIF(tabLimpGeral[TIPO],"Produto",tabLimpGeral[VALOR UNITÁRIO P/ HORA (R$)])*75,
IF(ISNUMBER(SEARCH("AUXILIAR DE LIMPEZA - 110 H",tabParametros[[#This Row],[Função]],1)),
SUMIF(tabLimpGeral[TIPO],"Produto",tabLimpGeral[VALOR UNITÁRIO P/ HORA (R$)])*110,
IF(ISNUMBER(SEARCH("AUXILIAR DE LIMPEZA - 150 H",tabParametros[[#This Row],[Função]],1)),
SUMIF(tabLimpGeral[TIPO],"Produto",tabLimpGeral[VALOR UNITÁRIO P/ HORA (R$)])*150,
IF(ISNUMBER(SEARCH("AUXILIAR DE LIMPEZA - 220 H",tabParametros[[#This Row],[Função]],1)),
SUMIF(tabLimpGeral[TIPO],"Produto",tabLimpGeral[VALOR UNITÁRIO P/ HORA (R$)])*220,
IF(ISNUMBER(SEARCH("AUXILIAR DE LIMPEZA - 12 x 36",tabParametros[[#This Row],[Função]],1)),
SUMIF(tabLimpGeral[TIPO],"Produto",tabLimpGeral[VALOR UNITÁRIO P/ HORA (R$)])*220,
IF(ISNUMBER(SEARCH("Limpador de vidros - 220 h",tabParametros[[#This Row],[Função]],1)),
SUMIF(tabVidros[TIPO],"Produto",tabVidros[VALOR UNITÁRIO P/ POSTO (R$)]),
0))))))</f>
        <v>235.31984072022155</v>
      </c>
      <c r="BB90" s="281">
        <v>0</v>
      </c>
      <c r="BC90" s="236">
        <f>VLOOKUP(tabParametros[[#Headers],[Custos Indiretos]],tabOutrosCustos[],3,0)</f>
        <v>189.64880140242613</v>
      </c>
      <c r="BD90" s="236">
        <f>VLOOKUP(tabParametros[[#Headers],[Lucro]],tabOutrosCustos[],3,0)</f>
        <v>159.30499317803796</v>
      </c>
      <c r="BE90" s="235">
        <f>VLOOKUP(tabParametros[[#Headers],[COFINS]],tabImpostosNacionais[],2,0)</f>
        <v>7.5999999999999998E-2</v>
      </c>
      <c r="BF90" s="235">
        <f>VLOOKUP(tabParametros[[#Headers],[PIS]],tabImpostosNacionais[],2,0)</f>
        <v>1.6500000000000001E-2</v>
      </c>
      <c r="BG90" s="235">
        <f>VLOOKUP(tabParametros[[#This Row],[Comarca]],tabComarca[],4,0)</f>
        <v>0.05</v>
      </c>
      <c r="BH90" s="238">
        <f>IFERROR(VLOOKUP(tabParametros[[#This Row],[CCT DA CATEGORIA]],tabSindicatos[],11,0),"")</f>
        <v>45658</v>
      </c>
      <c r="BI90" s="289" t="str">
        <f>IFERROR(VLOOKUP(tabParametros[[#This Row],[CCT DA CATEGORIA]],tabSindicatos[],12,0),"")</f>
        <v>-</v>
      </c>
      <c r="BJ90" s="293" t="str">
        <f>IFERROR(VLOOKUP(tabParametros[[#This Row],[CCT DA CATEGORIA]],tabSindicatos[],13,0),"")</f>
        <v>-</v>
      </c>
    </row>
    <row r="91" spans="1:62" x14ac:dyDescent="0.25">
      <c r="A91" s="233" t="s">
        <v>1430</v>
      </c>
      <c r="B91" s="198" t="s">
        <v>87</v>
      </c>
      <c r="C91" s="198" t="s">
        <v>1247</v>
      </c>
      <c r="D91" s="198" t="str">
        <f>VLOOKUP(tabParametros[[#This Row],[Código do Posto]],tabPostos[],4,0)</f>
        <v>Vicosa e Regiao</v>
      </c>
      <c r="E91" s="289" t="str">
        <f>VLOOKUP(tabParametros[[#This Row],[Código do Posto]],tabPostos[],5,0)</f>
        <v>Limpeza</v>
      </c>
      <c r="F91" s="289" t="str">
        <f>VLOOKUP(tabParametros[[#This Row],[Código do Posto]],tabPostos[],6,0)</f>
        <v>PGJ</v>
      </c>
      <c r="G91" s="289">
        <f>VLOOKUP(tabParametros[[#This Row],[Código do Posto]],tabPostos[],7,0)</f>
        <v>1</v>
      </c>
      <c r="H91" s="289">
        <f>VLOOKUP(tabParametros[[#This Row],[Código do Posto]],tabPostos[],8,0)</f>
        <v>0</v>
      </c>
      <c r="I91" s="234">
        <f>VLOOKUP(tabParametros[[#This Row],[Código do Posto]],tabPostos[],9,0)</f>
        <v>544.17999999999995</v>
      </c>
      <c r="J91" s="234">
        <f>IF(ISNUMBER(SEARCH("Eletricista",tabParametros[[#This Row],[Função]],1)),0.3*tabParametros[[#This Row],[Salário Base]],0)</f>
        <v>0</v>
      </c>
      <c r="K91" s="234">
        <f>IF(OR(ISNUMBER(SEARCH("Bombeiro Hidraulico",tabParametros[[#This Row],[Função]],1)),ISNUMBER(SEARCH("Jardineiro",tabParametros[[#This Row],[Função]],1)),ISNUMBER(SEARCH("Lavador de Veiculos",tabParametros[[#This Row],[Função]],1)),ISNUMBER(SEARCH("Marceneiro",tabParametros[[#This Row],[Função]],1)),ISNUMBER(SEARCH("Pintor",tabParametros[[#This Row],[Função]],1))),0.2*'BASE GERAL'!$R$4,0)</f>
        <v>0</v>
      </c>
      <c r="L91" s="234">
        <f>IF(AND(ISNUMBER(SEARCH("Noturno",tabParametros[[#This Row],[Função]],1)),tabParametros[[#This Row],[Comarca]]&lt;&gt;"Juiz de Fora"),tabParametros[[#This Row],[Salário Base]]/210*0.39*7*15.5,IF(ISNUMBER(SEARCH("Noturno",tabParametros[[#This Row],[Função]],1)),tabParametros[[#This Row],[Salário Base]]/210*0.2*8*15.5,0))</f>
        <v>0</v>
      </c>
      <c r="M91" s="234">
        <f>IF(ISNUMBER(SEARCH("Motorista II",tabParametros[[#This Row],[Função]],1)),0.25*tabParametros[[#This Row],[Salário Base]],0)</f>
        <v>0</v>
      </c>
      <c r="N91" s="250">
        <v>0</v>
      </c>
      <c r="O91" s="234">
        <f>IF(ISNUMBER(SEARCH("TECNOLOGIA DA INFORMACAO",tabParametros[[#This Row],[Função]],1)),0.0201*tabParametros[[#This Row],[Salário Base]],0)</f>
        <v>0</v>
      </c>
      <c r="P91" s="250" cm="1">
        <f t="array" ref="P91">_xlfn.IFS(
ISNUMBER(SEARCH("Auxiliar de Limpeza - 75 h",tabParametros[[#This Row],[Função]],1)),tabParametros[[#This Row],[Salário Base]]/75*0.75*30*0.12,
ISNUMBER(SEARCH("Auxiliar de Limpeza - 110 h",tabParametros[[#This Row],[Função]],1)),tabParametros[[#This Row],[Salário Base]]/110*1*30*0.12,
ISNUMBER(SEARCH("Auxiliar de Limpeza - 150 h",tabParametros[[#This Row],[Função]],1)),tabParametros[[#This Row],[Salário Base]]/150*1.5*30*0.12,
ISNUMBER(SEARCH("Auxiliar de Limpeza - 220 h",tabParametros[[#This Row],[Função]],1)),tabParametros[[#This Row],[Salário Base]]/220*2*30*0.12,
ISNUMBER(SEARCH("Auxiliar de Limpeza - 12 x 36",tabParametros[[#This Row],[Função]],1)),tabParametros[[#This Row],[Salário Base]]/220*2*30*0.12,
ISNUMBER(SEARCH("Auxiliar de Limpeza - 55 h",tabParametros[[#This Row],[Função]],1))=FALSE,0)</f>
        <v>19.590479999999999</v>
      </c>
      <c r="Q91" s="235">
        <f>VLOOKUP(tabParametros[[#Headers],[INSS]],tabImpostosNacionais[],2,0)</f>
        <v>0.2</v>
      </c>
      <c r="R91" s="235">
        <f>VLOOKUP(tabParametros[[#Headers],[SESI OU SESC]],tabImpostosNacionais[],2,0)</f>
        <v>1.4999999999999999E-2</v>
      </c>
      <c r="S91" s="235">
        <f>VLOOKUP(tabParametros[[#Headers],[SENAI OU SENAC]],tabImpostosNacionais[],2,0)</f>
        <v>0.01</v>
      </c>
      <c r="T91" s="235">
        <f>VLOOKUP(tabParametros[[#Headers],[INCRA]],tabImpostosNacionais[],2,0)</f>
        <v>2E-3</v>
      </c>
      <c r="U91" s="235">
        <f>VLOOKUP(tabParametros[[#Headers],[Salário Educação]],tabImpostosNacionais[],2,0)</f>
        <v>2.5000000000000001E-2</v>
      </c>
      <c r="V91" s="235">
        <f>VLOOKUP(tabParametros[[#Headers],[FGTS]],tabImpostosNacionais[],2,0)</f>
        <v>0.08</v>
      </c>
      <c r="W91" s="235">
        <f>VLOOKUP(tabParametros[[#Headers],[RAT Ajustado]],tabImpostosNacionais[],2,0)</f>
        <v>0.04</v>
      </c>
      <c r="X91" s="235">
        <f>VLOOKUP(tabParametros[[#Headers],[SEBRAE]],tabImpostosNacionais[],2,0)</f>
        <v>6.0000000000000001E-3</v>
      </c>
      <c r="Y91" s="235">
        <f t="shared" si="11"/>
        <v>8.3333333333333329E-2</v>
      </c>
      <c r="Z91" s="251">
        <f t="shared" si="12"/>
        <v>0.1111111111111111</v>
      </c>
      <c r="AA91" s="234">
        <f>VLOOKUP(tabParametros[[#This Row],[Comarca]],tabComarca[],5,0)</f>
        <v>6.4</v>
      </c>
      <c r="AB91" s="234">
        <f>IFERROR(VLOOKUP(tabParametros[[#This Row],[CCT DA CATEGORIA]],tabSindicatos[],6,0),0)</f>
        <v>29.15</v>
      </c>
      <c r="AC91" s="234">
        <f>IFERROR(VLOOKUP(tabParametros[[#This Row],[CCT DA CATEGORIA]],tabSindicatos[],7,0),0)</f>
        <v>0</v>
      </c>
      <c r="AD91" s="234" cm="1">
        <f t="array" ref="AD91">_xlfn.LET(
_xlpm.COMARCA, TRIM(UPPER(SUBSTITUTE(SUBSTITUTE(SUBSTITUTE(SUBSTITUTE(SUBSTITUTE(SUBSTITUTE(SUBSTITUTE(SUBSTITUTE(SUBSTITUTE(SUBSTITUTE(SUBSTITUTE(SUBSTITUTE(SUBSTITUTE(SUBSTITUTE(SUBSTITUTE(SUBSTITUTE(SUBSTITUTE(SUBSTITUTE(SUBSTITUTE(SUBSTITUTE(SUBSTITUTE(SUBSTITUTE(SUBSTITUTE(SUBSTITUTE(SUBSTITUTE(SUBSTITUTE(tabParametros[[#This Row],[Comarca]],"á","a"),"ã","a"),"â","a"),"é","e"),"ê","e"),"í","i"),"ó","o"),"õ","o"),"ô","o"),"ú","u"),"ç","c"),"Á","a"),"Ã","a"),"Â","a"),"É","e"),"Ê","e"),"Í","i"),"Ó","o"),"Õ","o"),"Ô","o"),"Ú","u"),"Ç","c"),"/MG","")," e ",", ")," ",""),".",""))),
_xlpm.MATRIZ_COMARCA, TRIM(UPPER(SUBSTITUTE(SUBSTITUTE(SUBSTITUTE(SUBSTITUTE(SUBSTITUTE(SUBSTITUTE(SUBSTITUTE(SUBSTITUTE(SUBSTITUTE(SUBSTITUTE(SUBSTITUTE(SUBSTITUTE(SUBSTITUTE(SUBSTITUTE(SUBSTITUTE(SUBSTITUTE(SUBSTITUTE(SUBSTITUTE(SUBSTITUTE(SUBSTITUTE(SUBSTITUTE(SUBSTITUTE(SUBSTITUTE(SUBSTITUTE(SUBSTITUTE(SUBSTITUTE(tabSindicatos[COMARCAS PAF],"á","a"),"ã","a"),"â","a"),"é","e"),"ê","e"),"í","i"),"ó","o"),"õ","o"),"ô","o"),"ú","u"),"ç","c"),"Á","a"),"Ã","a"),"Â","a"),"É","e"),"Ê","e"),"Í","i"),"Ó","o"),"Õ","o"),"Ô","o"),"Ú","u"),"Ç","c"),"/MG","")," e ",", ")," ",""),".",""))),
IFERROR(IF(_xlfn.XLOOKUP(tabParametros[[#This Row],[CCT DA CATEGORIA]],tabSindicatos[SINDICATOS],tabSindicatos[COMARCAS PAF])="",
VLOOKUP(tabParametros[[#This Row],[CCT DA CATEGORIA]],tabSindicatos[],8,0),
IF(ISNUMBER(SEARCH(TRIM(_xlpm.COMARCA),_xlfn.XLOOKUP(tabParametros[[#This Row],[CCT DA CATEGORIA]],tabSindicatos[SINDICATOS],_xlpm.MATRIZ_COMARCA),1)),VLOOKUP(tabParametros[[#This Row],[CCT DA CATEGORIA]],tabSindicatos[],8,0),0)
),0)
)</f>
        <v>51.86</v>
      </c>
      <c r="AE91" s="234">
        <f>IFERROR(VLOOKUP(tabParametros[[#This Row],[CCT DA CATEGORIA]],tabSindicatos[],9,0),0)</f>
        <v>0</v>
      </c>
      <c r="AF91" s="234">
        <f>IFERROR(VLOOKUP(tabParametros[[#This Row],[CCT DA CATEGORIA]],tabSindicatos[],10,0),0)</f>
        <v>0</v>
      </c>
      <c r="AG91" s="236">
        <f>VLOOKUP(tabParametros[[#Headers],[Seguro de Vida]],tabOutrosCustos[],3,0)</f>
        <v>3.36</v>
      </c>
      <c r="AH91" s="236">
        <f>IF(ISNUMBER(SEARCH("MOTORISTA",tabParametros[[#This Row],[Função]],1)),VLOOKUP("MOTORISTAS",tabDiarias[],2,0),IF(tabParametros[[#This Row],[Comarca]]="Belo Horizonte",VLOOKUP("LIMPEZA",tabDiarias[],2,0),0))</f>
        <v>0</v>
      </c>
      <c r="AI91" s="235">
        <f t="shared" si="13"/>
        <v>7.011766975308642E-3</v>
      </c>
      <c r="AJ91" s="237">
        <f>tabParametros[[#This Row],[FGTS]]*tabParametros[[#This Row],[Aviso Prévio Indenizado (API) e Reflexo do Aviso Prévio Indenizado]]</f>
        <v>5.609413580246914E-4</v>
      </c>
      <c r="AK91" s="237">
        <f>tabParametros[[#This Row],[FGTS]]*tabParametros[[#This Row],[Aviso Prévio Indenizado (API) e Reflexo do Aviso Prévio Indenizado]]*40%</f>
        <v>2.2437654320987658E-4</v>
      </c>
      <c r="AL91" s="235">
        <f t="shared" si="14"/>
        <v>3.5000000000000005E-3</v>
      </c>
      <c r="AM91" s="235">
        <f>tabParametros[[#This Row],[Aviso Prévio Trabalhado - APT]]*SUM(tabParametros[[#This Row],[INSS]:[SEBRAE]])</f>
        <v>1.3230000000000004E-3</v>
      </c>
      <c r="AN91" s="235">
        <f t="shared" si="15"/>
        <v>3.0577777777777773E-2</v>
      </c>
      <c r="AO91" s="235">
        <f t="shared" si="16"/>
        <v>8.3333333333333339E-4</v>
      </c>
      <c r="AP91" s="235">
        <f t="shared" si="17"/>
        <v>8.4444444444444437E-3</v>
      </c>
      <c r="AQ91" s="235">
        <f t="shared" si="18"/>
        <v>2.0277777777777777E-3</v>
      </c>
      <c r="AR91" s="235">
        <f t="shared" si="19"/>
        <v>1.7083333333333333E-4</v>
      </c>
      <c r="AS91" s="235">
        <f t="shared" si="20"/>
        <v>2.0833333333333335E-4</v>
      </c>
      <c r="AT91" s="235">
        <f t="shared" si="21"/>
        <v>1.2962962962962963E-3</v>
      </c>
      <c r="AU91" s="237">
        <f>SUM(tabParametros[[#This Row],[Ausência por Doença]:[Férias, Adicional de Férias e 13º  com empregada em gozo de Licença Maternidade]])*SUM(tabParametros[[#This Row],[INSS]:[SEBRAE]])</f>
        <v>4.5918250000000008E-3</v>
      </c>
      <c r="AV91" s="234">
        <f>IF(tabParametros[[#This Row],[Função]]="Porteiro - 220 h",SUM(tabParametros[[#This Row],[Salário Base]:[Adicional de Acúmulo de função]])/220*20*1.5,IF(ISNUMBER(SEARCH("12 x 36",tabParametros[[#This Row],[Função]],1)),SUM(tabParametros[[#This Row],[Salário Base]:[Adicional de Acúmulo de função]])/210*15.5*1.5,0))</f>
        <v>0</v>
      </c>
      <c r="AW91" s="234">
        <f>IF(tabParametros[[#This Row],[Vagas contratadas]]&gt;0,(SUM(tabParametros[[#This Row],[Salário Base]:[Adicional de Acúmulo de função]])*30%+SUM(tabParametros[[#This Row],[Vale - Alimentação]:[Seguro de Vida]]))/tabParametros[[#This Row],[Vagas contratadas]]*tabParametros[[#This Row],[Vagas suspensas]],0)</f>
        <v>0</v>
      </c>
      <c r="AX91" s="234">
        <f>SUMIF(tabUniformes[Cargo],tabParametros[[#This Row],[Função]],tabUniformes[Valor unit. Mensal])</f>
        <v>62.806666666666665</v>
      </c>
      <c r="AY91" s="281">
        <f>IF(ISNUMBER(SEARCH("AUXILIAR DE LIMPEZA - 75 H",tabParametros[[#This Row],[Função]],1)),
SUMIF(tabLimpGeral[TIPO],"Material",tabLimpGeral[VALOR UNITÁRIO P/ HORA (R$)])*75,
IF(ISNUMBER(SEARCH("AUXILIAR DE LIMPEZA - 110 H",tabParametros[[#This Row],[Função]],1)),
SUMIF(tabLimpGeral[TIPO],"Material",tabLimpGeral[VALOR UNITÁRIO P/ HORA (R$)])*110,
IF(ISNUMBER(SEARCH("AUXILIAR DE LIMPEZA - 150 H",tabParametros[[#This Row],[Função]],1)),
SUMIF(tabLimpGeral[TIPO],"Material",tabLimpGeral[VALOR UNITÁRIO P/ HORA (R$)])*150,
IF(ISNUMBER(SEARCH("AUXILIAR DE LIMPEZA - 220 H",tabParametros[[#This Row],[Função]],1)),
SUMIF(tabLimpGeral[TIPO],"Material",tabLimpGeral[VALOR UNITÁRIO P/ HORA (R$)])*220,
IF(ISNUMBER(SEARCH("AUXILIAR DE LIMPEZA - 12 x 36",tabParametros[[#This Row],[Função]],1)),
SUMIF(tabLimpGeral[TIPO],"Material",tabLimpGeral[VALOR UNITÁRIO P/ HORA (R$)])*220,
IF(ISNUMBER(SEARCH("Limpador de vidros - 220 h",tabParametros[[#This Row],[Função]],1)),
SUMIF(tabVidros[TIPO],"Material",tabVidros[VALOR UNITÁRIO P/ POSTO (R$)]),
0))))))</f>
        <v>12.108481690426325</v>
      </c>
      <c r="AZ91" s="281">
        <f>IF(ISNUMBER(SEARCH("AUXILIAR DE LIMPEZA - 75 H",tabParametros[[#This Row],[Função]],1)),
SUMIF(tabLimpGeral[TIPO],"Equipamento",tabLimpGeral[VALOR UNITÁRIO P/ HORA (R$)])*75,
IF(ISNUMBER(SEARCH("AUXILIAR DE LIMPEZA - 110 H",tabParametros[[#This Row],[Função]],1)),
SUMIF(tabLimpGeral[TIPO],"Equipamento",tabLimpGeral[VALOR UNITÁRIO P/ HORA (R$)])*110,
IF(ISNUMBER(SEARCH("AUXILIAR DE LIMPEZA - 150 H",tabParametros[[#This Row],[Função]],1)),
SUMIF(tabLimpGeral[TIPO],"Equipamento",tabLimpGeral[VALOR UNITÁRIO P/ HORA (R$)])*150,
IF(ISNUMBER(SEARCH("AUXILIAR DE LIMPEZA - 220 H",tabParametros[[#This Row],[Função]],1)),
SUMIF(tabLimpGeral[TIPO],"Equipamento",tabLimpGeral[VALOR UNITÁRIO P/ HORA (R$)])*220,
IF(ISNUMBER(SEARCH("AUXILIAR DE LIMPEZA - 12 x 36",tabParametros[[#This Row],[Função]],1)),
SUMIF(tabLimpGeral[TIPO],"Equipamento",tabLimpGeral[VALOR UNITÁRIO P/ HORA (R$)])*220,
IF(ISNUMBER(SEARCH("Limpador de vidros - 220 h",tabParametros[[#This Row],[Função]],1)),
SUMIF(tabVidros[TIPO],"Equipamento",tabVidros[VALOR UNITÁRIO P/ POSTO (R$)]),
0))))))</f>
        <v>21.998657016417809</v>
      </c>
      <c r="BA91" s="281">
        <f>IF(ISNUMBER(SEARCH("AUXILIAR DE LIMPEZA - 75 H",tabParametros[[#This Row],[Função]],1)),
SUMIF(tabLimpGeral[TIPO],"Produto",tabLimpGeral[VALOR UNITÁRIO P/ HORA (R$)])*75,
IF(ISNUMBER(SEARCH("AUXILIAR DE LIMPEZA - 110 H",tabParametros[[#This Row],[Função]],1)),
SUMIF(tabLimpGeral[TIPO],"Produto",tabLimpGeral[VALOR UNITÁRIO P/ HORA (R$)])*110,
IF(ISNUMBER(SEARCH("AUXILIAR DE LIMPEZA - 150 H",tabParametros[[#This Row],[Função]],1)),
SUMIF(tabLimpGeral[TIPO],"Produto",tabLimpGeral[VALOR UNITÁRIO P/ HORA (R$)])*150,
IF(ISNUMBER(SEARCH("AUXILIAR DE LIMPEZA - 220 H",tabParametros[[#This Row],[Função]],1)),
SUMIF(tabLimpGeral[TIPO],"Produto",tabLimpGeral[VALOR UNITÁRIO P/ HORA (R$)])*220,
IF(ISNUMBER(SEARCH("AUXILIAR DE LIMPEZA - 12 x 36",tabParametros[[#This Row],[Função]],1)),
SUMIF(tabLimpGeral[TIPO],"Produto",tabLimpGeral[VALOR UNITÁRIO P/ HORA (R$)])*220,
IF(ISNUMBER(SEARCH("Limpador de vidros - 220 h",tabParametros[[#This Row],[Função]],1)),
SUMIF(tabVidros[TIPO],"Produto",tabVidros[VALOR UNITÁRIO P/ POSTO (R$)]),
0))))))</f>
        <v>235.31984072022155</v>
      </c>
      <c r="BB91" s="281">
        <v>0</v>
      </c>
      <c r="BC91" s="236">
        <f>VLOOKUP(tabParametros[[#Headers],[Custos Indiretos]],tabOutrosCustos[],3,0)</f>
        <v>189.64880140242613</v>
      </c>
      <c r="BD91" s="236">
        <f>VLOOKUP(tabParametros[[#Headers],[Lucro]],tabOutrosCustos[],3,0)</f>
        <v>159.30499317803796</v>
      </c>
      <c r="BE91" s="235">
        <f>VLOOKUP(tabParametros[[#Headers],[COFINS]],tabImpostosNacionais[],2,0)</f>
        <v>7.5999999999999998E-2</v>
      </c>
      <c r="BF91" s="235">
        <f>VLOOKUP(tabParametros[[#Headers],[PIS]],tabImpostosNacionais[],2,0)</f>
        <v>1.6500000000000001E-2</v>
      </c>
      <c r="BG91" s="235">
        <f>VLOOKUP(tabParametros[[#This Row],[Comarca]],tabComarca[],4,0)</f>
        <v>0.03</v>
      </c>
      <c r="BH91" s="238">
        <f>IFERROR(VLOOKUP(tabParametros[[#This Row],[CCT DA CATEGORIA]],tabSindicatos[],11,0),"")</f>
        <v>45658</v>
      </c>
      <c r="BI91" s="289" t="str">
        <f>IFERROR(VLOOKUP(tabParametros[[#This Row],[CCT DA CATEGORIA]],tabSindicatos[],12,0),"")</f>
        <v>-</v>
      </c>
      <c r="BJ91" s="293" t="str">
        <f>IFERROR(VLOOKUP(tabParametros[[#This Row],[CCT DA CATEGORIA]],tabSindicatos[],13,0),"")</f>
        <v>-</v>
      </c>
    </row>
    <row r="92" spans="1:62" x14ac:dyDescent="0.25">
      <c r="A92" s="233" t="s">
        <v>1431</v>
      </c>
      <c r="B92" s="198" t="s">
        <v>88</v>
      </c>
      <c r="C92" s="198" t="s">
        <v>1244</v>
      </c>
      <c r="D92" s="198" t="str">
        <f>VLOOKUP(tabParametros[[#This Row],[Código do Posto]],tabPostos[],4,0)</f>
        <v>Fethemg RM</v>
      </c>
      <c r="E92" s="289" t="str">
        <f>VLOOKUP(tabParametros[[#This Row],[Código do Posto]],tabPostos[],5,0)</f>
        <v>Limpeza</v>
      </c>
      <c r="F92" s="289" t="str">
        <f>VLOOKUP(tabParametros[[#This Row],[Código do Posto]],tabPostos[],6,0)</f>
        <v>PGJ</v>
      </c>
      <c r="G92" s="289">
        <f>VLOOKUP(tabParametros[[#This Row],[Código do Posto]],tabPostos[],7,0)</f>
        <v>1</v>
      </c>
      <c r="H92" s="289">
        <f>VLOOKUP(tabParametros[[#This Row],[Código do Posto]],tabPostos[],8,0)</f>
        <v>0</v>
      </c>
      <c r="I92" s="234">
        <f>VLOOKUP(tabParametros[[#This Row],[Código do Posto]],tabPostos[],9,0)</f>
        <v>824.56</v>
      </c>
      <c r="J92" s="234">
        <f>IF(ISNUMBER(SEARCH("Eletricista",tabParametros[[#This Row],[Função]],1)),0.3*tabParametros[[#This Row],[Salário Base]],0)</f>
        <v>0</v>
      </c>
      <c r="K92" s="234">
        <f>IF(OR(ISNUMBER(SEARCH("Bombeiro Hidraulico",tabParametros[[#This Row],[Função]],1)),ISNUMBER(SEARCH("Jardineiro",tabParametros[[#This Row],[Função]],1)),ISNUMBER(SEARCH("Lavador de Veiculos",tabParametros[[#This Row],[Função]],1)),ISNUMBER(SEARCH("Marceneiro",tabParametros[[#This Row],[Função]],1)),ISNUMBER(SEARCH("Pintor",tabParametros[[#This Row],[Função]],1))),0.2*'BASE GERAL'!$R$4,0)</f>
        <v>0</v>
      </c>
      <c r="L92" s="234">
        <f>IF(AND(ISNUMBER(SEARCH("Noturno",tabParametros[[#This Row],[Função]],1)),tabParametros[[#This Row],[Comarca]]&lt;&gt;"Juiz de Fora"),tabParametros[[#This Row],[Salário Base]]/210*0.39*7*15.5,IF(ISNUMBER(SEARCH("Noturno",tabParametros[[#This Row],[Função]],1)),tabParametros[[#This Row],[Salário Base]]/210*0.2*8*15.5,0))</f>
        <v>0</v>
      </c>
      <c r="M92" s="234">
        <f>IF(ISNUMBER(SEARCH("Motorista II",tabParametros[[#This Row],[Função]],1)),0.25*tabParametros[[#This Row],[Salário Base]],0)</f>
        <v>0</v>
      </c>
      <c r="N92" s="250">
        <v>0</v>
      </c>
      <c r="O92" s="234">
        <f>IF(ISNUMBER(SEARCH("TECNOLOGIA DA INFORMACAO",tabParametros[[#This Row],[Função]],1)),0.0201*tabParametros[[#This Row],[Salário Base]],0)</f>
        <v>0</v>
      </c>
      <c r="P92" s="250" cm="1">
        <f t="array" ref="P92">_xlfn.IFS(
ISNUMBER(SEARCH("Auxiliar de Limpeza - 75 h",tabParametros[[#This Row],[Função]],1)),tabParametros[[#This Row],[Salário Base]]/75*0.75*30*0.12,
ISNUMBER(SEARCH("Auxiliar de Limpeza - 110 h",tabParametros[[#This Row],[Função]],1)),tabParametros[[#This Row],[Salário Base]]/110*1*30*0.12,
ISNUMBER(SEARCH("Auxiliar de Limpeza - 150 h",tabParametros[[#This Row],[Função]],1)),tabParametros[[#This Row],[Salário Base]]/150*1.5*30*0.12,
ISNUMBER(SEARCH("Auxiliar de Limpeza - 220 h",tabParametros[[#This Row],[Função]],1)),tabParametros[[#This Row],[Salário Base]]/220*2*30*0.12,
ISNUMBER(SEARCH("Auxiliar de Limpeza - 12 x 36",tabParametros[[#This Row],[Função]],1)),tabParametros[[#This Row],[Salário Base]]/220*2*30*0.12,
ISNUMBER(SEARCH("Auxiliar de Limpeza - 55 h",tabParametros[[#This Row],[Função]],1))=FALSE,0)</f>
        <v>26.985599999999998</v>
      </c>
      <c r="Q92" s="235">
        <f>VLOOKUP(tabParametros[[#Headers],[INSS]],tabImpostosNacionais[],2,0)</f>
        <v>0.2</v>
      </c>
      <c r="R92" s="235">
        <f>VLOOKUP(tabParametros[[#Headers],[SESI OU SESC]],tabImpostosNacionais[],2,0)</f>
        <v>1.4999999999999999E-2</v>
      </c>
      <c r="S92" s="235">
        <f>VLOOKUP(tabParametros[[#Headers],[SENAI OU SENAC]],tabImpostosNacionais[],2,0)</f>
        <v>0.01</v>
      </c>
      <c r="T92" s="235">
        <f>VLOOKUP(tabParametros[[#Headers],[INCRA]],tabImpostosNacionais[],2,0)</f>
        <v>2E-3</v>
      </c>
      <c r="U92" s="235">
        <f>VLOOKUP(tabParametros[[#Headers],[Salário Educação]],tabImpostosNacionais[],2,0)</f>
        <v>2.5000000000000001E-2</v>
      </c>
      <c r="V92" s="235">
        <f>VLOOKUP(tabParametros[[#Headers],[FGTS]],tabImpostosNacionais[],2,0)</f>
        <v>0.08</v>
      </c>
      <c r="W92" s="235">
        <f>VLOOKUP(tabParametros[[#Headers],[RAT Ajustado]],tabImpostosNacionais[],2,0)</f>
        <v>0.04</v>
      </c>
      <c r="X92" s="235">
        <f>VLOOKUP(tabParametros[[#Headers],[SEBRAE]],tabImpostosNacionais[],2,0)</f>
        <v>6.0000000000000001E-3</v>
      </c>
      <c r="Y92" s="235">
        <f t="shared" si="11"/>
        <v>8.3333333333333329E-2</v>
      </c>
      <c r="Z92" s="251">
        <f t="shared" si="12"/>
        <v>0.1111111111111111</v>
      </c>
      <c r="AA92" s="234">
        <f>VLOOKUP(tabParametros[[#This Row],[Comarca]],tabComarca[],5,0)</f>
        <v>6.4</v>
      </c>
      <c r="AB92" s="234">
        <f>IFERROR(VLOOKUP(tabParametros[[#This Row],[CCT DA CATEGORIA]],tabSindicatos[],6,0),0)</f>
        <v>29.15</v>
      </c>
      <c r="AC92" s="234">
        <f>IFERROR(VLOOKUP(tabParametros[[#This Row],[CCT DA CATEGORIA]],tabSindicatos[],7,0),0)</f>
        <v>0</v>
      </c>
      <c r="AD92" s="234" cm="1">
        <f t="array" ref="AD92">_xlfn.LET(
_xlpm.COMARCA, TRIM(UPPER(SUBSTITUTE(SUBSTITUTE(SUBSTITUTE(SUBSTITUTE(SUBSTITUTE(SUBSTITUTE(SUBSTITUTE(SUBSTITUTE(SUBSTITUTE(SUBSTITUTE(SUBSTITUTE(SUBSTITUTE(SUBSTITUTE(SUBSTITUTE(SUBSTITUTE(SUBSTITUTE(SUBSTITUTE(SUBSTITUTE(SUBSTITUTE(SUBSTITUTE(SUBSTITUTE(SUBSTITUTE(SUBSTITUTE(SUBSTITUTE(SUBSTITUTE(SUBSTITUTE(tabParametros[[#This Row],[Comarca]],"á","a"),"ã","a"),"â","a"),"é","e"),"ê","e"),"í","i"),"ó","o"),"õ","o"),"ô","o"),"ú","u"),"ç","c"),"Á","a"),"Ã","a"),"Â","a"),"É","e"),"Ê","e"),"Í","i"),"Ó","o"),"Õ","o"),"Ô","o"),"Ú","u"),"Ç","c"),"/MG","")," e ",", ")," ",""),".",""))),
_xlpm.MATRIZ_COMARCA, TRIM(UPPER(SUBSTITUTE(SUBSTITUTE(SUBSTITUTE(SUBSTITUTE(SUBSTITUTE(SUBSTITUTE(SUBSTITUTE(SUBSTITUTE(SUBSTITUTE(SUBSTITUTE(SUBSTITUTE(SUBSTITUTE(SUBSTITUTE(SUBSTITUTE(SUBSTITUTE(SUBSTITUTE(SUBSTITUTE(SUBSTITUTE(SUBSTITUTE(SUBSTITUTE(SUBSTITUTE(SUBSTITUTE(SUBSTITUTE(SUBSTITUTE(SUBSTITUTE(SUBSTITUTE(tabSindicatos[COMARCAS PAF],"á","a"),"ã","a"),"â","a"),"é","e"),"ê","e"),"í","i"),"ó","o"),"õ","o"),"ô","o"),"ú","u"),"ç","c"),"Á","a"),"Ã","a"),"Â","a"),"É","e"),"Ê","e"),"Í","i"),"Ó","o"),"Õ","o"),"Ô","o"),"Ú","u"),"Ç","c"),"/MG","")," e ",", ")," ",""),".",""))),
IFERROR(IF(_xlfn.XLOOKUP(tabParametros[[#This Row],[CCT DA CATEGORIA]],tabSindicatos[SINDICATOS],tabSindicatos[COMARCAS PAF])="",
VLOOKUP(tabParametros[[#This Row],[CCT DA CATEGORIA]],tabSindicatos[],8,0),
IF(ISNUMBER(SEARCH(TRIM(_xlpm.COMARCA),_xlfn.XLOOKUP(tabParametros[[#This Row],[CCT DA CATEGORIA]],tabSindicatos[SINDICATOS],_xlpm.MATRIZ_COMARCA),1)),VLOOKUP(tabParametros[[#This Row],[CCT DA CATEGORIA]],tabSindicatos[],8,0),0)
),0)
)</f>
        <v>0</v>
      </c>
      <c r="AE92" s="234">
        <f>IFERROR(VLOOKUP(tabParametros[[#This Row],[CCT DA CATEGORIA]],tabSindicatos[],9,0),0)</f>
        <v>15.07</v>
      </c>
      <c r="AF92" s="234">
        <f>IFERROR(VLOOKUP(tabParametros[[#This Row],[CCT DA CATEGORIA]],tabSindicatos[],10,0),0)</f>
        <v>0</v>
      </c>
      <c r="AG92" s="236">
        <f>VLOOKUP(tabParametros[[#Headers],[Seguro de Vida]],tabOutrosCustos[],3,0)</f>
        <v>3.36</v>
      </c>
      <c r="AH92" s="236">
        <f>IF(ISNUMBER(SEARCH("MOTORISTA",tabParametros[[#This Row],[Função]],1)),VLOOKUP("MOTORISTAS",tabDiarias[],2,0),IF(tabParametros[[#This Row],[Comarca]]="Belo Horizonte",VLOOKUP("LIMPEZA",tabDiarias[],2,0),0))</f>
        <v>0</v>
      </c>
      <c r="AI92" s="235">
        <f t="shared" si="13"/>
        <v>7.011766975308642E-3</v>
      </c>
      <c r="AJ92" s="237">
        <f>tabParametros[[#This Row],[FGTS]]*tabParametros[[#This Row],[Aviso Prévio Indenizado (API) e Reflexo do Aviso Prévio Indenizado]]</f>
        <v>5.609413580246914E-4</v>
      </c>
      <c r="AK92" s="237">
        <f>tabParametros[[#This Row],[FGTS]]*tabParametros[[#This Row],[Aviso Prévio Indenizado (API) e Reflexo do Aviso Prévio Indenizado]]*40%</f>
        <v>2.2437654320987658E-4</v>
      </c>
      <c r="AL92" s="235">
        <f t="shared" si="14"/>
        <v>3.5000000000000005E-3</v>
      </c>
      <c r="AM92" s="235">
        <f>tabParametros[[#This Row],[Aviso Prévio Trabalhado - APT]]*SUM(tabParametros[[#This Row],[INSS]:[SEBRAE]])</f>
        <v>1.3230000000000004E-3</v>
      </c>
      <c r="AN92" s="235">
        <f t="shared" si="15"/>
        <v>3.0577777777777773E-2</v>
      </c>
      <c r="AO92" s="235">
        <f t="shared" si="16"/>
        <v>8.3333333333333339E-4</v>
      </c>
      <c r="AP92" s="235">
        <f t="shared" si="17"/>
        <v>8.4444444444444437E-3</v>
      </c>
      <c r="AQ92" s="235">
        <f t="shared" si="18"/>
        <v>2.0277777777777777E-3</v>
      </c>
      <c r="AR92" s="235">
        <f t="shared" si="19"/>
        <v>1.7083333333333333E-4</v>
      </c>
      <c r="AS92" s="235">
        <f t="shared" si="20"/>
        <v>2.0833333333333335E-4</v>
      </c>
      <c r="AT92" s="235">
        <f t="shared" si="21"/>
        <v>1.2962962962962963E-3</v>
      </c>
      <c r="AU92" s="237">
        <f>SUM(tabParametros[[#This Row],[Ausência por Doença]:[Férias, Adicional de Férias e 13º  com empregada em gozo de Licença Maternidade]])*SUM(tabParametros[[#This Row],[INSS]:[SEBRAE]])</f>
        <v>4.5918250000000008E-3</v>
      </c>
      <c r="AV92" s="234">
        <f>IF(tabParametros[[#This Row],[Função]]="Porteiro - 220 h",SUM(tabParametros[[#This Row],[Salário Base]:[Adicional de Acúmulo de função]])/220*20*1.5,IF(ISNUMBER(SEARCH("12 x 36",tabParametros[[#This Row],[Função]],1)),SUM(tabParametros[[#This Row],[Salário Base]:[Adicional de Acúmulo de função]])/210*15.5*1.5,0))</f>
        <v>0</v>
      </c>
      <c r="AW92" s="234">
        <f>IF(tabParametros[[#This Row],[Vagas contratadas]]&gt;0,(SUM(tabParametros[[#This Row],[Salário Base]:[Adicional de Acúmulo de função]])*30%+SUM(tabParametros[[#This Row],[Vale - Alimentação]:[Seguro de Vida]]))/tabParametros[[#This Row],[Vagas contratadas]]*tabParametros[[#This Row],[Vagas suspensas]],0)</f>
        <v>0</v>
      </c>
      <c r="AX92" s="234">
        <f>SUMIF(tabUniformes[Cargo],tabParametros[[#This Row],[Função]],tabUniformes[Valor unit. Mensal])</f>
        <v>62.806666666666665</v>
      </c>
      <c r="AY92" s="281">
        <f>IF(ISNUMBER(SEARCH("AUXILIAR DE LIMPEZA - 75 H",tabParametros[[#This Row],[Função]],1)),
SUMIF(tabLimpGeral[TIPO],"Material",tabLimpGeral[VALOR UNITÁRIO P/ HORA (R$)])*75,
IF(ISNUMBER(SEARCH("AUXILIAR DE LIMPEZA - 110 H",tabParametros[[#This Row],[Função]],1)),
SUMIF(tabLimpGeral[TIPO],"Material",tabLimpGeral[VALOR UNITÁRIO P/ HORA (R$)])*110,
IF(ISNUMBER(SEARCH("AUXILIAR DE LIMPEZA - 150 H",tabParametros[[#This Row],[Função]],1)),
SUMIF(tabLimpGeral[TIPO],"Material",tabLimpGeral[VALOR UNITÁRIO P/ HORA (R$)])*150,
IF(ISNUMBER(SEARCH("AUXILIAR DE LIMPEZA - 220 H",tabParametros[[#This Row],[Função]],1)),
SUMIF(tabLimpGeral[TIPO],"Material",tabLimpGeral[VALOR UNITÁRIO P/ HORA (R$)])*220,
IF(ISNUMBER(SEARCH("AUXILIAR DE LIMPEZA - 12 x 36",tabParametros[[#This Row],[Função]],1)),
SUMIF(tabLimpGeral[TIPO],"Material",tabLimpGeral[VALOR UNITÁRIO P/ HORA (R$)])*220,
IF(ISNUMBER(SEARCH("Limpador de vidros - 220 h",tabParametros[[#This Row],[Função]],1)),
SUMIF(tabVidros[TIPO],"Material",tabVidros[VALOR UNITÁRIO P/ POSTO (R$)]),
0))))))</f>
        <v>17.759106479291944</v>
      </c>
      <c r="AZ92" s="281">
        <f>IF(ISNUMBER(SEARCH("AUXILIAR DE LIMPEZA - 75 H",tabParametros[[#This Row],[Função]],1)),
SUMIF(tabLimpGeral[TIPO],"Equipamento",tabLimpGeral[VALOR UNITÁRIO P/ HORA (R$)])*75,
IF(ISNUMBER(SEARCH("AUXILIAR DE LIMPEZA - 110 H",tabParametros[[#This Row],[Função]],1)),
SUMIF(tabLimpGeral[TIPO],"Equipamento",tabLimpGeral[VALOR UNITÁRIO P/ HORA (R$)])*110,
IF(ISNUMBER(SEARCH("AUXILIAR DE LIMPEZA - 150 H",tabParametros[[#This Row],[Função]],1)),
SUMIF(tabLimpGeral[TIPO],"Equipamento",tabLimpGeral[VALOR UNITÁRIO P/ HORA (R$)])*150,
IF(ISNUMBER(SEARCH("AUXILIAR DE LIMPEZA - 220 H",tabParametros[[#This Row],[Função]],1)),
SUMIF(tabLimpGeral[TIPO],"Equipamento",tabLimpGeral[VALOR UNITÁRIO P/ HORA (R$)])*220,
IF(ISNUMBER(SEARCH("AUXILIAR DE LIMPEZA - 12 x 36",tabParametros[[#This Row],[Função]],1)),
SUMIF(tabLimpGeral[TIPO],"Equipamento",tabLimpGeral[VALOR UNITÁRIO P/ HORA (R$)])*220,
IF(ISNUMBER(SEARCH("Limpador de vidros - 220 h",tabParametros[[#This Row],[Função]],1)),
SUMIF(tabVidros[TIPO],"Equipamento",tabVidros[VALOR UNITÁRIO P/ POSTO (R$)]),
0))))))</f>
        <v>32.264696957412788</v>
      </c>
      <c r="BA92" s="281">
        <f>IF(ISNUMBER(SEARCH("AUXILIAR DE LIMPEZA - 75 H",tabParametros[[#This Row],[Função]],1)),
SUMIF(tabLimpGeral[TIPO],"Produto",tabLimpGeral[VALOR UNITÁRIO P/ HORA (R$)])*75,
IF(ISNUMBER(SEARCH("AUXILIAR DE LIMPEZA - 110 H",tabParametros[[#This Row],[Função]],1)),
SUMIF(tabLimpGeral[TIPO],"Produto",tabLimpGeral[VALOR UNITÁRIO P/ HORA (R$)])*110,
IF(ISNUMBER(SEARCH("AUXILIAR DE LIMPEZA - 150 H",tabParametros[[#This Row],[Função]],1)),
SUMIF(tabLimpGeral[TIPO],"Produto",tabLimpGeral[VALOR UNITÁRIO P/ HORA (R$)])*150,
IF(ISNUMBER(SEARCH("AUXILIAR DE LIMPEZA - 220 H",tabParametros[[#This Row],[Função]],1)),
SUMIF(tabLimpGeral[TIPO],"Produto",tabLimpGeral[VALOR UNITÁRIO P/ HORA (R$)])*220,
IF(ISNUMBER(SEARCH("AUXILIAR DE LIMPEZA - 12 x 36",tabParametros[[#This Row],[Função]],1)),
SUMIF(tabLimpGeral[TIPO],"Produto",tabLimpGeral[VALOR UNITÁRIO P/ HORA (R$)])*220,
IF(ISNUMBER(SEARCH("Limpador de vidros - 220 h",tabParametros[[#This Row],[Função]],1)),
SUMIF(tabVidros[TIPO],"Produto",tabVidros[VALOR UNITÁRIO P/ POSTO (R$)]),
0))))))</f>
        <v>345.13576638965827</v>
      </c>
      <c r="BB92" s="281">
        <v>0</v>
      </c>
      <c r="BC92" s="236">
        <f>VLOOKUP(tabParametros[[#Headers],[Custos Indiretos]],tabOutrosCustos[],3,0)</f>
        <v>189.64880140242613</v>
      </c>
      <c r="BD92" s="236">
        <f>VLOOKUP(tabParametros[[#Headers],[Lucro]],tabOutrosCustos[],3,0)</f>
        <v>159.30499317803796</v>
      </c>
      <c r="BE92" s="235">
        <f>VLOOKUP(tabParametros[[#Headers],[COFINS]],tabImpostosNacionais[],2,0)</f>
        <v>7.5999999999999998E-2</v>
      </c>
      <c r="BF92" s="235">
        <f>VLOOKUP(tabParametros[[#Headers],[PIS]],tabImpostosNacionais[],2,0)</f>
        <v>1.6500000000000001E-2</v>
      </c>
      <c r="BG92" s="235">
        <f>VLOOKUP(tabParametros[[#This Row],[Comarca]],tabComarca[],4,0)</f>
        <v>0.02</v>
      </c>
      <c r="BH92" s="238">
        <f>IFERROR(VLOOKUP(tabParametros[[#This Row],[CCT DA CATEGORIA]],tabSindicatos[],11,0),"")</f>
        <v>45658</v>
      </c>
      <c r="BI92" s="289" t="str">
        <f>IFERROR(VLOOKUP(tabParametros[[#This Row],[CCT DA CATEGORIA]],tabSindicatos[],12,0),"")</f>
        <v>-</v>
      </c>
      <c r="BJ92" s="293" t="str">
        <f>IFERROR(VLOOKUP(tabParametros[[#This Row],[CCT DA CATEGORIA]],tabSindicatos[],13,0),"")</f>
        <v>-</v>
      </c>
    </row>
    <row r="93" spans="1:62" x14ac:dyDescent="0.25">
      <c r="A93" s="233" t="s">
        <v>1432</v>
      </c>
      <c r="B93" s="198" t="s">
        <v>89</v>
      </c>
      <c r="C93" s="198" t="s">
        <v>1247</v>
      </c>
      <c r="D93" s="198" t="str">
        <f>VLOOKUP(tabParametros[[#This Row],[Código do Posto]],tabPostos[],4,0)</f>
        <v>Sethac Norte de Minas</v>
      </c>
      <c r="E93" s="289" t="str">
        <f>VLOOKUP(tabParametros[[#This Row],[Código do Posto]],tabPostos[],5,0)</f>
        <v>Limpeza</v>
      </c>
      <c r="F93" s="289" t="str">
        <f>VLOOKUP(tabParametros[[#This Row],[Código do Posto]],tabPostos[],6,0)</f>
        <v>PGJ</v>
      </c>
      <c r="G93" s="289">
        <f>VLOOKUP(tabParametros[[#This Row],[Código do Posto]],tabPostos[],7,0)</f>
        <v>1</v>
      </c>
      <c r="H93" s="289">
        <f>VLOOKUP(tabParametros[[#This Row],[Código do Posto]],tabPostos[],8,0)</f>
        <v>0</v>
      </c>
      <c r="I93" s="234">
        <f>VLOOKUP(tabParametros[[#This Row],[Código do Posto]],tabPostos[],9,0)</f>
        <v>544.17999999999995</v>
      </c>
      <c r="J93" s="234">
        <f>IF(ISNUMBER(SEARCH("Eletricista",tabParametros[[#This Row],[Função]],1)),0.3*tabParametros[[#This Row],[Salário Base]],0)</f>
        <v>0</v>
      </c>
      <c r="K93" s="234">
        <f>IF(OR(ISNUMBER(SEARCH("Bombeiro Hidraulico",tabParametros[[#This Row],[Função]],1)),ISNUMBER(SEARCH("Jardineiro",tabParametros[[#This Row],[Função]],1)),ISNUMBER(SEARCH("Lavador de Veiculos",tabParametros[[#This Row],[Função]],1)),ISNUMBER(SEARCH("Marceneiro",tabParametros[[#This Row],[Função]],1)),ISNUMBER(SEARCH("Pintor",tabParametros[[#This Row],[Função]],1))),0.2*'BASE GERAL'!$R$4,0)</f>
        <v>0</v>
      </c>
      <c r="L93" s="234">
        <f>IF(AND(ISNUMBER(SEARCH("Noturno",tabParametros[[#This Row],[Função]],1)),tabParametros[[#This Row],[Comarca]]&lt;&gt;"Juiz de Fora"),tabParametros[[#This Row],[Salário Base]]/210*0.39*7*15.5,IF(ISNUMBER(SEARCH("Noturno",tabParametros[[#This Row],[Função]],1)),tabParametros[[#This Row],[Salário Base]]/210*0.2*8*15.5,0))</f>
        <v>0</v>
      </c>
      <c r="M93" s="234">
        <f>IF(ISNUMBER(SEARCH("Motorista II",tabParametros[[#This Row],[Função]],1)),0.25*tabParametros[[#This Row],[Salário Base]],0)</f>
        <v>0</v>
      </c>
      <c r="N93" s="250">
        <v>0</v>
      </c>
      <c r="O93" s="234">
        <f>IF(ISNUMBER(SEARCH("TECNOLOGIA DA INFORMACAO",tabParametros[[#This Row],[Função]],1)),0.0201*tabParametros[[#This Row],[Salário Base]],0)</f>
        <v>0</v>
      </c>
      <c r="P93" s="250" cm="1">
        <f t="array" ref="P93">_xlfn.IFS(
ISNUMBER(SEARCH("Auxiliar de Limpeza - 75 h",tabParametros[[#This Row],[Função]],1)),tabParametros[[#This Row],[Salário Base]]/75*0.75*30*0.12,
ISNUMBER(SEARCH("Auxiliar de Limpeza - 110 h",tabParametros[[#This Row],[Função]],1)),tabParametros[[#This Row],[Salário Base]]/110*1*30*0.12,
ISNUMBER(SEARCH("Auxiliar de Limpeza - 150 h",tabParametros[[#This Row],[Função]],1)),tabParametros[[#This Row],[Salário Base]]/150*1.5*30*0.12,
ISNUMBER(SEARCH("Auxiliar de Limpeza - 220 h",tabParametros[[#This Row],[Função]],1)),tabParametros[[#This Row],[Salário Base]]/220*2*30*0.12,
ISNUMBER(SEARCH("Auxiliar de Limpeza - 12 x 36",tabParametros[[#This Row],[Função]],1)),tabParametros[[#This Row],[Salário Base]]/220*2*30*0.12,
ISNUMBER(SEARCH("Auxiliar de Limpeza - 55 h",tabParametros[[#This Row],[Função]],1))=FALSE,0)</f>
        <v>19.590479999999999</v>
      </c>
      <c r="Q93" s="235">
        <f>VLOOKUP(tabParametros[[#Headers],[INSS]],tabImpostosNacionais[],2,0)</f>
        <v>0.2</v>
      </c>
      <c r="R93" s="235">
        <f>VLOOKUP(tabParametros[[#Headers],[SESI OU SESC]],tabImpostosNacionais[],2,0)</f>
        <v>1.4999999999999999E-2</v>
      </c>
      <c r="S93" s="235">
        <f>VLOOKUP(tabParametros[[#Headers],[SENAI OU SENAC]],tabImpostosNacionais[],2,0)</f>
        <v>0.01</v>
      </c>
      <c r="T93" s="235">
        <f>VLOOKUP(tabParametros[[#Headers],[INCRA]],tabImpostosNacionais[],2,0)</f>
        <v>2E-3</v>
      </c>
      <c r="U93" s="235">
        <f>VLOOKUP(tabParametros[[#Headers],[Salário Educação]],tabImpostosNacionais[],2,0)</f>
        <v>2.5000000000000001E-2</v>
      </c>
      <c r="V93" s="235">
        <f>VLOOKUP(tabParametros[[#Headers],[FGTS]],tabImpostosNacionais[],2,0)</f>
        <v>0.08</v>
      </c>
      <c r="W93" s="235">
        <f>VLOOKUP(tabParametros[[#Headers],[RAT Ajustado]],tabImpostosNacionais[],2,0)</f>
        <v>0.04</v>
      </c>
      <c r="X93" s="235">
        <f>VLOOKUP(tabParametros[[#Headers],[SEBRAE]],tabImpostosNacionais[],2,0)</f>
        <v>6.0000000000000001E-3</v>
      </c>
      <c r="Y93" s="235">
        <f t="shared" si="11"/>
        <v>8.3333333333333329E-2</v>
      </c>
      <c r="Z93" s="251">
        <f t="shared" si="12"/>
        <v>0.1111111111111111</v>
      </c>
      <c r="AA93" s="234">
        <f>VLOOKUP(tabParametros[[#This Row],[Comarca]],tabComarca[],5,0)</f>
        <v>6.4</v>
      </c>
      <c r="AB93" s="234">
        <f>IFERROR(VLOOKUP(tabParametros[[#This Row],[CCT DA CATEGORIA]],tabSindicatos[],6,0),0)</f>
        <v>29.15</v>
      </c>
      <c r="AC93" s="234">
        <f>IFERROR(VLOOKUP(tabParametros[[#This Row],[CCT DA CATEGORIA]],tabSindicatos[],7,0),0)</f>
        <v>0</v>
      </c>
      <c r="AD93" s="234" cm="1">
        <f t="array" ref="AD93">_xlfn.LET(
_xlpm.COMARCA, TRIM(UPPER(SUBSTITUTE(SUBSTITUTE(SUBSTITUTE(SUBSTITUTE(SUBSTITUTE(SUBSTITUTE(SUBSTITUTE(SUBSTITUTE(SUBSTITUTE(SUBSTITUTE(SUBSTITUTE(SUBSTITUTE(SUBSTITUTE(SUBSTITUTE(SUBSTITUTE(SUBSTITUTE(SUBSTITUTE(SUBSTITUTE(SUBSTITUTE(SUBSTITUTE(SUBSTITUTE(SUBSTITUTE(SUBSTITUTE(SUBSTITUTE(SUBSTITUTE(SUBSTITUTE(tabParametros[[#This Row],[Comarca]],"á","a"),"ã","a"),"â","a"),"é","e"),"ê","e"),"í","i"),"ó","o"),"õ","o"),"ô","o"),"ú","u"),"ç","c"),"Á","a"),"Ã","a"),"Â","a"),"É","e"),"Ê","e"),"Í","i"),"Ó","o"),"Õ","o"),"Ô","o"),"Ú","u"),"Ç","c"),"/MG","")," e ",", ")," ",""),".",""))),
_xlpm.MATRIZ_COMARCA, TRIM(UPPER(SUBSTITUTE(SUBSTITUTE(SUBSTITUTE(SUBSTITUTE(SUBSTITUTE(SUBSTITUTE(SUBSTITUTE(SUBSTITUTE(SUBSTITUTE(SUBSTITUTE(SUBSTITUTE(SUBSTITUTE(SUBSTITUTE(SUBSTITUTE(SUBSTITUTE(SUBSTITUTE(SUBSTITUTE(SUBSTITUTE(SUBSTITUTE(SUBSTITUTE(SUBSTITUTE(SUBSTITUTE(SUBSTITUTE(SUBSTITUTE(SUBSTITUTE(SUBSTITUTE(tabSindicatos[COMARCAS PAF],"á","a"),"ã","a"),"â","a"),"é","e"),"ê","e"),"í","i"),"ó","o"),"õ","o"),"ô","o"),"ú","u"),"ç","c"),"Á","a"),"Ã","a"),"Â","a"),"É","e"),"Ê","e"),"Í","i"),"Ó","o"),"Õ","o"),"Ô","o"),"Ú","u"),"Ç","c"),"/MG","")," e ",", ")," ",""),".",""))),
IFERROR(IF(_xlfn.XLOOKUP(tabParametros[[#This Row],[CCT DA CATEGORIA]],tabSindicatos[SINDICATOS],tabSindicatos[COMARCAS PAF])="",
VLOOKUP(tabParametros[[#This Row],[CCT DA CATEGORIA]],tabSindicatos[],8,0),
IF(ISNUMBER(SEARCH(TRIM(_xlpm.COMARCA),_xlfn.XLOOKUP(tabParametros[[#This Row],[CCT DA CATEGORIA]],tabSindicatos[SINDICATOS],_xlpm.MATRIZ_COMARCA),1)),VLOOKUP(tabParametros[[#This Row],[CCT DA CATEGORIA]],tabSindicatos[],8,0),0)
),0)
)</f>
        <v>0</v>
      </c>
      <c r="AE93" s="234">
        <f>IFERROR(VLOOKUP(tabParametros[[#This Row],[CCT DA CATEGORIA]],tabSindicatos[],9,0),0)</f>
        <v>0</v>
      </c>
      <c r="AF93" s="234">
        <f>IFERROR(VLOOKUP(tabParametros[[#This Row],[CCT DA CATEGORIA]],tabSindicatos[],10,0),0)</f>
        <v>0</v>
      </c>
      <c r="AG93" s="236">
        <f>VLOOKUP(tabParametros[[#Headers],[Seguro de Vida]],tabOutrosCustos[],3,0)</f>
        <v>3.36</v>
      </c>
      <c r="AH93" s="236">
        <f>IF(ISNUMBER(SEARCH("MOTORISTA",tabParametros[[#This Row],[Função]],1)),VLOOKUP("MOTORISTAS",tabDiarias[],2,0),IF(tabParametros[[#This Row],[Comarca]]="Belo Horizonte",VLOOKUP("LIMPEZA",tabDiarias[],2,0),0))</f>
        <v>0</v>
      </c>
      <c r="AI93" s="235">
        <f t="shared" si="13"/>
        <v>7.011766975308642E-3</v>
      </c>
      <c r="AJ93" s="237">
        <f>tabParametros[[#This Row],[FGTS]]*tabParametros[[#This Row],[Aviso Prévio Indenizado (API) e Reflexo do Aviso Prévio Indenizado]]</f>
        <v>5.609413580246914E-4</v>
      </c>
      <c r="AK93" s="237">
        <f>tabParametros[[#This Row],[FGTS]]*tabParametros[[#This Row],[Aviso Prévio Indenizado (API) e Reflexo do Aviso Prévio Indenizado]]*40%</f>
        <v>2.2437654320987658E-4</v>
      </c>
      <c r="AL93" s="235">
        <f t="shared" si="14"/>
        <v>3.5000000000000005E-3</v>
      </c>
      <c r="AM93" s="235">
        <f>tabParametros[[#This Row],[Aviso Prévio Trabalhado - APT]]*SUM(tabParametros[[#This Row],[INSS]:[SEBRAE]])</f>
        <v>1.3230000000000004E-3</v>
      </c>
      <c r="AN93" s="235">
        <f t="shared" si="15"/>
        <v>3.0577777777777773E-2</v>
      </c>
      <c r="AO93" s="235">
        <f t="shared" si="16"/>
        <v>8.3333333333333339E-4</v>
      </c>
      <c r="AP93" s="235">
        <f t="shared" si="17"/>
        <v>8.4444444444444437E-3</v>
      </c>
      <c r="AQ93" s="235">
        <f t="shared" si="18"/>
        <v>2.0277777777777777E-3</v>
      </c>
      <c r="AR93" s="235">
        <f t="shared" si="19"/>
        <v>1.7083333333333333E-4</v>
      </c>
      <c r="AS93" s="235">
        <f t="shared" si="20"/>
        <v>2.0833333333333335E-4</v>
      </c>
      <c r="AT93" s="235">
        <f t="shared" si="21"/>
        <v>1.2962962962962963E-3</v>
      </c>
      <c r="AU93" s="237">
        <f>SUM(tabParametros[[#This Row],[Ausência por Doença]:[Férias, Adicional de Férias e 13º  com empregada em gozo de Licença Maternidade]])*SUM(tabParametros[[#This Row],[INSS]:[SEBRAE]])</f>
        <v>4.5918250000000008E-3</v>
      </c>
      <c r="AV93" s="234">
        <f>IF(tabParametros[[#This Row],[Função]]="Porteiro - 220 h",SUM(tabParametros[[#This Row],[Salário Base]:[Adicional de Acúmulo de função]])/220*20*1.5,IF(ISNUMBER(SEARCH("12 x 36",tabParametros[[#This Row],[Função]],1)),SUM(tabParametros[[#This Row],[Salário Base]:[Adicional de Acúmulo de função]])/210*15.5*1.5,0))</f>
        <v>0</v>
      </c>
      <c r="AW93" s="234">
        <f>IF(tabParametros[[#This Row],[Vagas contratadas]]&gt;0,(SUM(tabParametros[[#This Row],[Salário Base]:[Adicional de Acúmulo de função]])*30%+SUM(tabParametros[[#This Row],[Vale - Alimentação]:[Seguro de Vida]]))/tabParametros[[#This Row],[Vagas contratadas]]*tabParametros[[#This Row],[Vagas suspensas]],0)</f>
        <v>0</v>
      </c>
      <c r="AX93" s="234">
        <f>SUMIF(tabUniformes[Cargo],tabParametros[[#This Row],[Função]],tabUniformes[Valor unit. Mensal])</f>
        <v>62.806666666666665</v>
      </c>
      <c r="AY93" s="281">
        <f>IF(ISNUMBER(SEARCH("AUXILIAR DE LIMPEZA - 75 H",tabParametros[[#This Row],[Função]],1)),
SUMIF(tabLimpGeral[TIPO],"Material",tabLimpGeral[VALOR UNITÁRIO P/ HORA (R$)])*75,
IF(ISNUMBER(SEARCH("AUXILIAR DE LIMPEZA - 110 H",tabParametros[[#This Row],[Função]],1)),
SUMIF(tabLimpGeral[TIPO],"Material",tabLimpGeral[VALOR UNITÁRIO P/ HORA (R$)])*110,
IF(ISNUMBER(SEARCH("AUXILIAR DE LIMPEZA - 150 H",tabParametros[[#This Row],[Função]],1)),
SUMIF(tabLimpGeral[TIPO],"Material",tabLimpGeral[VALOR UNITÁRIO P/ HORA (R$)])*150,
IF(ISNUMBER(SEARCH("AUXILIAR DE LIMPEZA - 220 H",tabParametros[[#This Row],[Função]],1)),
SUMIF(tabLimpGeral[TIPO],"Material",tabLimpGeral[VALOR UNITÁRIO P/ HORA (R$)])*220,
IF(ISNUMBER(SEARCH("AUXILIAR DE LIMPEZA - 12 x 36",tabParametros[[#This Row],[Função]],1)),
SUMIF(tabLimpGeral[TIPO],"Material",tabLimpGeral[VALOR UNITÁRIO P/ HORA (R$)])*220,
IF(ISNUMBER(SEARCH("Limpador de vidros - 220 h",tabParametros[[#This Row],[Função]],1)),
SUMIF(tabVidros[TIPO],"Material",tabVidros[VALOR UNITÁRIO P/ POSTO (R$)]),
0))))))</f>
        <v>12.108481690426325</v>
      </c>
      <c r="AZ93" s="281">
        <f>IF(ISNUMBER(SEARCH("AUXILIAR DE LIMPEZA - 75 H",tabParametros[[#This Row],[Função]],1)),
SUMIF(tabLimpGeral[TIPO],"Equipamento",tabLimpGeral[VALOR UNITÁRIO P/ HORA (R$)])*75,
IF(ISNUMBER(SEARCH("AUXILIAR DE LIMPEZA - 110 H",tabParametros[[#This Row],[Função]],1)),
SUMIF(tabLimpGeral[TIPO],"Equipamento",tabLimpGeral[VALOR UNITÁRIO P/ HORA (R$)])*110,
IF(ISNUMBER(SEARCH("AUXILIAR DE LIMPEZA - 150 H",tabParametros[[#This Row],[Função]],1)),
SUMIF(tabLimpGeral[TIPO],"Equipamento",tabLimpGeral[VALOR UNITÁRIO P/ HORA (R$)])*150,
IF(ISNUMBER(SEARCH("AUXILIAR DE LIMPEZA - 220 H",tabParametros[[#This Row],[Função]],1)),
SUMIF(tabLimpGeral[TIPO],"Equipamento",tabLimpGeral[VALOR UNITÁRIO P/ HORA (R$)])*220,
IF(ISNUMBER(SEARCH("AUXILIAR DE LIMPEZA - 12 x 36",tabParametros[[#This Row],[Função]],1)),
SUMIF(tabLimpGeral[TIPO],"Equipamento",tabLimpGeral[VALOR UNITÁRIO P/ HORA (R$)])*220,
IF(ISNUMBER(SEARCH("Limpador de vidros - 220 h",tabParametros[[#This Row],[Função]],1)),
SUMIF(tabVidros[TIPO],"Equipamento",tabVidros[VALOR UNITÁRIO P/ POSTO (R$)]),
0))))))</f>
        <v>21.998657016417809</v>
      </c>
      <c r="BA93" s="281">
        <f>IF(ISNUMBER(SEARCH("AUXILIAR DE LIMPEZA - 75 H",tabParametros[[#This Row],[Função]],1)),
SUMIF(tabLimpGeral[TIPO],"Produto",tabLimpGeral[VALOR UNITÁRIO P/ HORA (R$)])*75,
IF(ISNUMBER(SEARCH("AUXILIAR DE LIMPEZA - 110 H",tabParametros[[#This Row],[Função]],1)),
SUMIF(tabLimpGeral[TIPO],"Produto",tabLimpGeral[VALOR UNITÁRIO P/ HORA (R$)])*110,
IF(ISNUMBER(SEARCH("AUXILIAR DE LIMPEZA - 150 H",tabParametros[[#This Row],[Função]],1)),
SUMIF(tabLimpGeral[TIPO],"Produto",tabLimpGeral[VALOR UNITÁRIO P/ HORA (R$)])*150,
IF(ISNUMBER(SEARCH("AUXILIAR DE LIMPEZA - 220 H",tabParametros[[#This Row],[Função]],1)),
SUMIF(tabLimpGeral[TIPO],"Produto",tabLimpGeral[VALOR UNITÁRIO P/ HORA (R$)])*220,
IF(ISNUMBER(SEARCH("AUXILIAR DE LIMPEZA - 12 x 36",tabParametros[[#This Row],[Função]],1)),
SUMIF(tabLimpGeral[TIPO],"Produto",tabLimpGeral[VALOR UNITÁRIO P/ HORA (R$)])*220,
IF(ISNUMBER(SEARCH("Limpador de vidros - 220 h",tabParametros[[#This Row],[Função]],1)),
SUMIF(tabVidros[TIPO],"Produto",tabVidros[VALOR UNITÁRIO P/ POSTO (R$)]),
0))))))</f>
        <v>235.31984072022155</v>
      </c>
      <c r="BB93" s="281">
        <v>0</v>
      </c>
      <c r="BC93" s="236">
        <f>VLOOKUP(tabParametros[[#Headers],[Custos Indiretos]],tabOutrosCustos[],3,0)</f>
        <v>189.64880140242613</v>
      </c>
      <c r="BD93" s="236">
        <f>VLOOKUP(tabParametros[[#Headers],[Lucro]],tabOutrosCustos[],3,0)</f>
        <v>159.30499317803796</v>
      </c>
      <c r="BE93" s="235">
        <f>VLOOKUP(tabParametros[[#Headers],[COFINS]],tabImpostosNacionais[],2,0)</f>
        <v>7.5999999999999998E-2</v>
      </c>
      <c r="BF93" s="235">
        <f>VLOOKUP(tabParametros[[#Headers],[PIS]],tabImpostosNacionais[],2,0)</f>
        <v>1.6500000000000001E-2</v>
      </c>
      <c r="BG93" s="235">
        <f>VLOOKUP(tabParametros[[#This Row],[Comarca]],tabComarca[],4,0)</f>
        <v>0.03</v>
      </c>
      <c r="BH93" s="238">
        <f>IFERROR(VLOOKUP(tabParametros[[#This Row],[CCT DA CATEGORIA]],tabSindicatos[],11,0),"")</f>
        <v>45658</v>
      </c>
      <c r="BI93" s="289" t="str">
        <f>IFERROR(VLOOKUP(tabParametros[[#This Row],[CCT DA CATEGORIA]],tabSindicatos[],12,0),"")</f>
        <v>-</v>
      </c>
      <c r="BJ93" s="293" t="str">
        <f>IFERROR(VLOOKUP(tabParametros[[#This Row],[CCT DA CATEGORIA]],tabSindicatos[],13,0),"")</f>
        <v>-</v>
      </c>
    </row>
    <row r="94" spans="1:62" x14ac:dyDescent="0.25">
      <c r="A94" s="233" t="s">
        <v>1433</v>
      </c>
      <c r="B94" s="198" t="s">
        <v>90</v>
      </c>
      <c r="C94" s="198" t="s">
        <v>1245</v>
      </c>
      <c r="D94" s="198" t="str">
        <f>VLOOKUP(tabParametros[[#This Row],[Código do Posto]],tabPostos[],4,0)</f>
        <v>Regiao de Sao Lourenco</v>
      </c>
      <c r="E94" s="289" t="str">
        <f>VLOOKUP(tabParametros[[#This Row],[Código do Posto]],tabPostos[],5,0)</f>
        <v>Limpeza</v>
      </c>
      <c r="F94" s="289" t="str">
        <f>VLOOKUP(tabParametros[[#This Row],[Código do Posto]],tabPostos[],6,0)</f>
        <v>PGJ</v>
      </c>
      <c r="G94" s="289">
        <f>VLOOKUP(tabParametros[[#This Row],[Código do Posto]],tabPostos[],7,0)</f>
        <v>1</v>
      </c>
      <c r="H94" s="289">
        <f>VLOOKUP(tabParametros[[#This Row],[Código do Posto]],tabPostos[],8,0)</f>
        <v>0</v>
      </c>
      <c r="I94" s="234">
        <f>VLOOKUP(tabParametros[[#This Row],[Código do Posto]],tabPostos[],9,0)</f>
        <v>1596.28</v>
      </c>
      <c r="J94" s="234">
        <f>IF(ISNUMBER(SEARCH("Eletricista",tabParametros[[#This Row],[Função]],1)),0.3*tabParametros[[#This Row],[Salário Base]],0)</f>
        <v>0</v>
      </c>
      <c r="K94" s="234">
        <f>IF(OR(ISNUMBER(SEARCH("Bombeiro Hidraulico",tabParametros[[#This Row],[Função]],1)),ISNUMBER(SEARCH("Jardineiro",tabParametros[[#This Row],[Função]],1)),ISNUMBER(SEARCH("Lavador de Veiculos",tabParametros[[#This Row],[Função]],1)),ISNUMBER(SEARCH("Marceneiro",tabParametros[[#This Row],[Função]],1)),ISNUMBER(SEARCH("Pintor",tabParametros[[#This Row],[Função]],1))),0.2*'BASE GERAL'!$R$4,0)</f>
        <v>0</v>
      </c>
      <c r="L94" s="234">
        <f>IF(AND(ISNUMBER(SEARCH("Noturno",tabParametros[[#This Row],[Função]],1)),tabParametros[[#This Row],[Comarca]]&lt;&gt;"Juiz de Fora"),tabParametros[[#This Row],[Salário Base]]/210*0.39*7*15.5,IF(ISNUMBER(SEARCH("Noturno",tabParametros[[#This Row],[Função]],1)),tabParametros[[#This Row],[Salário Base]]/210*0.2*8*15.5,0))</f>
        <v>0</v>
      </c>
      <c r="M94" s="234">
        <f>IF(ISNUMBER(SEARCH("Motorista II",tabParametros[[#This Row],[Função]],1)),0.25*tabParametros[[#This Row],[Salário Base]],0)</f>
        <v>0</v>
      </c>
      <c r="N94" s="250">
        <v>0</v>
      </c>
      <c r="O94" s="234">
        <f>IF(ISNUMBER(SEARCH("TECNOLOGIA DA INFORMACAO",tabParametros[[#This Row],[Função]],1)),0.0201*tabParametros[[#This Row],[Salário Base]],0)</f>
        <v>0</v>
      </c>
      <c r="P94" s="250" cm="1">
        <f t="array" ref="P94">_xlfn.IFS(
ISNUMBER(SEARCH("Auxiliar de Limpeza - 75 h",tabParametros[[#This Row],[Função]],1)),tabParametros[[#This Row],[Salário Base]]/75*0.75*30*0.12,
ISNUMBER(SEARCH("Auxiliar de Limpeza - 110 h",tabParametros[[#This Row],[Função]],1)),tabParametros[[#This Row],[Salário Base]]/110*1*30*0.12,
ISNUMBER(SEARCH("Auxiliar de Limpeza - 150 h",tabParametros[[#This Row],[Função]],1)),tabParametros[[#This Row],[Salário Base]]/150*1.5*30*0.12,
ISNUMBER(SEARCH("Auxiliar de Limpeza - 220 h",tabParametros[[#This Row],[Função]],1)),tabParametros[[#This Row],[Salário Base]]/220*2*30*0.12,
ISNUMBER(SEARCH("Auxiliar de Limpeza - 12 x 36",tabParametros[[#This Row],[Função]],1)),tabParametros[[#This Row],[Salário Base]]/220*2*30*0.12,
ISNUMBER(SEARCH("Auxiliar de Limpeza - 55 h",tabParametros[[#This Row],[Função]],1))=FALSE,0)</f>
        <v>52.241890909090905</v>
      </c>
      <c r="Q94" s="235">
        <f>VLOOKUP(tabParametros[[#Headers],[INSS]],tabImpostosNacionais[],2,0)</f>
        <v>0.2</v>
      </c>
      <c r="R94" s="235">
        <f>VLOOKUP(tabParametros[[#Headers],[SESI OU SESC]],tabImpostosNacionais[],2,0)</f>
        <v>1.4999999999999999E-2</v>
      </c>
      <c r="S94" s="235">
        <f>VLOOKUP(tabParametros[[#Headers],[SENAI OU SENAC]],tabImpostosNacionais[],2,0)</f>
        <v>0.01</v>
      </c>
      <c r="T94" s="235">
        <f>VLOOKUP(tabParametros[[#Headers],[INCRA]],tabImpostosNacionais[],2,0)</f>
        <v>2E-3</v>
      </c>
      <c r="U94" s="235">
        <f>VLOOKUP(tabParametros[[#Headers],[Salário Educação]],tabImpostosNacionais[],2,0)</f>
        <v>2.5000000000000001E-2</v>
      </c>
      <c r="V94" s="235">
        <f>VLOOKUP(tabParametros[[#Headers],[FGTS]],tabImpostosNacionais[],2,0)</f>
        <v>0.08</v>
      </c>
      <c r="W94" s="235">
        <f>VLOOKUP(tabParametros[[#Headers],[RAT Ajustado]],tabImpostosNacionais[],2,0)</f>
        <v>0.04</v>
      </c>
      <c r="X94" s="235">
        <f>VLOOKUP(tabParametros[[#Headers],[SEBRAE]],tabImpostosNacionais[],2,0)</f>
        <v>6.0000000000000001E-3</v>
      </c>
      <c r="Y94" s="235">
        <f t="shared" si="11"/>
        <v>8.3333333333333329E-2</v>
      </c>
      <c r="Z94" s="251">
        <f t="shared" si="12"/>
        <v>0.1111111111111111</v>
      </c>
      <c r="AA94" s="234">
        <f>VLOOKUP(tabParametros[[#This Row],[Comarca]],tabComarca[],5,0)</f>
        <v>6.4</v>
      </c>
      <c r="AB94" s="234">
        <f>IFERROR(VLOOKUP(tabParametros[[#This Row],[CCT DA CATEGORIA]],tabSindicatos[],6,0),0)</f>
        <v>29.15</v>
      </c>
      <c r="AC94" s="234">
        <f>IFERROR(VLOOKUP(tabParametros[[#This Row],[CCT DA CATEGORIA]],tabSindicatos[],7,0),0)</f>
        <v>0</v>
      </c>
      <c r="AD94" s="234" cm="1">
        <f t="array" ref="AD94">_xlfn.LET(
_xlpm.COMARCA, TRIM(UPPER(SUBSTITUTE(SUBSTITUTE(SUBSTITUTE(SUBSTITUTE(SUBSTITUTE(SUBSTITUTE(SUBSTITUTE(SUBSTITUTE(SUBSTITUTE(SUBSTITUTE(SUBSTITUTE(SUBSTITUTE(SUBSTITUTE(SUBSTITUTE(SUBSTITUTE(SUBSTITUTE(SUBSTITUTE(SUBSTITUTE(SUBSTITUTE(SUBSTITUTE(SUBSTITUTE(SUBSTITUTE(SUBSTITUTE(SUBSTITUTE(SUBSTITUTE(SUBSTITUTE(tabParametros[[#This Row],[Comarca]],"á","a"),"ã","a"),"â","a"),"é","e"),"ê","e"),"í","i"),"ó","o"),"õ","o"),"ô","o"),"ú","u"),"ç","c"),"Á","a"),"Ã","a"),"Â","a"),"É","e"),"Ê","e"),"Í","i"),"Ó","o"),"Õ","o"),"Ô","o"),"Ú","u"),"Ç","c"),"/MG","")," e ",", ")," ",""),".",""))),
_xlpm.MATRIZ_COMARCA, TRIM(UPPER(SUBSTITUTE(SUBSTITUTE(SUBSTITUTE(SUBSTITUTE(SUBSTITUTE(SUBSTITUTE(SUBSTITUTE(SUBSTITUTE(SUBSTITUTE(SUBSTITUTE(SUBSTITUTE(SUBSTITUTE(SUBSTITUTE(SUBSTITUTE(SUBSTITUTE(SUBSTITUTE(SUBSTITUTE(SUBSTITUTE(SUBSTITUTE(SUBSTITUTE(SUBSTITUTE(SUBSTITUTE(SUBSTITUTE(SUBSTITUTE(SUBSTITUTE(SUBSTITUTE(tabSindicatos[COMARCAS PAF],"á","a"),"ã","a"),"â","a"),"é","e"),"ê","e"),"í","i"),"ó","o"),"õ","o"),"ô","o"),"ú","u"),"ç","c"),"Á","a"),"Ã","a"),"Â","a"),"É","e"),"Ê","e"),"Í","i"),"Ó","o"),"Õ","o"),"Ô","o"),"Ú","u"),"Ç","c"),"/MG","")," e ",", ")," ",""),".",""))),
IFERROR(IF(_xlfn.XLOOKUP(tabParametros[[#This Row],[CCT DA CATEGORIA]],tabSindicatos[SINDICATOS],tabSindicatos[COMARCAS PAF])="",
VLOOKUP(tabParametros[[#This Row],[CCT DA CATEGORIA]],tabSindicatos[],8,0),
IF(ISNUMBER(SEARCH(TRIM(_xlpm.COMARCA),_xlfn.XLOOKUP(tabParametros[[#This Row],[CCT DA CATEGORIA]],tabSindicatos[SINDICATOS],_xlpm.MATRIZ_COMARCA),1)),VLOOKUP(tabParametros[[#This Row],[CCT DA CATEGORIA]],tabSindicatos[],8,0),0)
),0)
)</f>
        <v>0</v>
      </c>
      <c r="AE94" s="234">
        <f>IFERROR(VLOOKUP(tabParametros[[#This Row],[CCT DA CATEGORIA]],tabSindicatos[],9,0),0)</f>
        <v>0</v>
      </c>
      <c r="AF94" s="234">
        <f>IFERROR(VLOOKUP(tabParametros[[#This Row],[CCT DA CATEGORIA]],tabSindicatos[],10,0),0)</f>
        <v>0</v>
      </c>
      <c r="AG94" s="236">
        <f>VLOOKUP(tabParametros[[#Headers],[Seguro de Vida]],tabOutrosCustos[],3,0)</f>
        <v>3.36</v>
      </c>
      <c r="AH94" s="236">
        <f>IF(ISNUMBER(SEARCH("MOTORISTA",tabParametros[[#This Row],[Função]],1)),VLOOKUP("MOTORISTAS",tabDiarias[],2,0),IF(tabParametros[[#This Row],[Comarca]]="Belo Horizonte",VLOOKUP("LIMPEZA",tabDiarias[],2,0),0))</f>
        <v>0</v>
      </c>
      <c r="AI94" s="235">
        <f t="shared" si="13"/>
        <v>7.011766975308642E-3</v>
      </c>
      <c r="AJ94" s="237">
        <f>tabParametros[[#This Row],[FGTS]]*tabParametros[[#This Row],[Aviso Prévio Indenizado (API) e Reflexo do Aviso Prévio Indenizado]]</f>
        <v>5.609413580246914E-4</v>
      </c>
      <c r="AK94" s="237">
        <f>tabParametros[[#This Row],[FGTS]]*tabParametros[[#This Row],[Aviso Prévio Indenizado (API) e Reflexo do Aviso Prévio Indenizado]]*40%</f>
        <v>2.2437654320987658E-4</v>
      </c>
      <c r="AL94" s="235">
        <f t="shared" si="14"/>
        <v>3.5000000000000005E-3</v>
      </c>
      <c r="AM94" s="235">
        <f>tabParametros[[#This Row],[Aviso Prévio Trabalhado - APT]]*SUM(tabParametros[[#This Row],[INSS]:[SEBRAE]])</f>
        <v>1.3230000000000004E-3</v>
      </c>
      <c r="AN94" s="235">
        <f t="shared" si="15"/>
        <v>3.0577777777777773E-2</v>
      </c>
      <c r="AO94" s="235">
        <f t="shared" si="16"/>
        <v>8.3333333333333339E-4</v>
      </c>
      <c r="AP94" s="235">
        <f t="shared" si="17"/>
        <v>8.4444444444444437E-3</v>
      </c>
      <c r="AQ94" s="235">
        <f t="shared" si="18"/>
        <v>2.0277777777777777E-3</v>
      </c>
      <c r="AR94" s="235">
        <f t="shared" si="19"/>
        <v>1.7083333333333333E-4</v>
      </c>
      <c r="AS94" s="235">
        <f t="shared" si="20"/>
        <v>2.0833333333333335E-4</v>
      </c>
      <c r="AT94" s="235">
        <f t="shared" si="21"/>
        <v>1.2962962962962963E-3</v>
      </c>
      <c r="AU94" s="237">
        <f>SUM(tabParametros[[#This Row],[Ausência por Doença]:[Férias, Adicional de Férias e 13º  com empregada em gozo de Licença Maternidade]])*SUM(tabParametros[[#This Row],[INSS]:[SEBRAE]])</f>
        <v>4.5918250000000008E-3</v>
      </c>
      <c r="AV94" s="234">
        <f>IF(tabParametros[[#This Row],[Função]]="Porteiro - 220 h",SUM(tabParametros[[#This Row],[Salário Base]:[Adicional de Acúmulo de função]])/220*20*1.5,IF(ISNUMBER(SEARCH("12 x 36",tabParametros[[#This Row],[Função]],1)),SUM(tabParametros[[#This Row],[Salário Base]:[Adicional de Acúmulo de função]])/210*15.5*1.5,0))</f>
        <v>0</v>
      </c>
      <c r="AW94" s="234">
        <f>IF(tabParametros[[#This Row],[Vagas contratadas]]&gt;0,(SUM(tabParametros[[#This Row],[Salário Base]:[Adicional de Acúmulo de função]])*30%+SUM(tabParametros[[#This Row],[Vale - Alimentação]:[Seguro de Vida]]))/tabParametros[[#This Row],[Vagas contratadas]]*tabParametros[[#This Row],[Vagas suspensas]],0)</f>
        <v>0</v>
      </c>
      <c r="AX94" s="234">
        <f>SUMIF(tabUniformes[Cargo],tabParametros[[#This Row],[Função]],tabUniformes[Valor unit. Mensal])</f>
        <v>100.80916666666666</v>
      </c>
      <c r="AY94" s="281">
        <f>IF(ISNUMBER(SEARCH("AUXILIAR DE LIMPEZA - 75 H",tabParametros[[#This Row],[Função]],1)),
SUMIF(tabLimpGeral[TIPO],"Material",tabLimpGeral[VALOR UNITÁRIO P/ HORA (R$)])*75,
IF(ISNUMBER(SEARCH("AUXILIAR DE LIMPEZA - 110 H",tabParametros[[#This Row],[Função]],1)),
SUMIF(tabLimpGeral[TIPO],"Material",tabLimpGeral[VALOR UNITÁRIO P/ HORA (R$)])*110,
IF(ISNUMBER(SEARCH("AUXILIAR DE LIMPEZA - 150 H",tabParametros[[#This Row],[Função]],1)),
SUMIF(tabLimpGeral[TIPO],"Material",tabLimpGeral[VALOR UNITÁRIO P/ HORA (R$)])*150,
IF(ISNUMBER(SEARCH("AUXILIAR DE LIMPEZA - 220 H",tabParametros[[#This Row],[Função]],1)),
SUMIF(tabLimpGeral[TIPO],"Material",tabLimpGeral[VALOR UNITÁRIO P/ HORA (R$)])*220,
IF(ISNUMBER(SEARCH("AUXILIAR DE LIMPEZA - 12 x 36",tabParametros[[#This Row],[Função]],1)),
SUMIF(tabLimpGeral[TIPO],"Material",tabLimpGeral[VALOR UNITÁRIO P/ HORA (R$)])*220,
IF(ISNUMBER(SEARCH("Limpador de vidros - 220 h",tabParametros[[#This Row],[Função]],1)),
SUMIF(tabVidros[TIPO],"Material",tabVidros[VALOR UNITÁRIO P/ POSTO (R$)]),
0))))))</f>
        <v>35.518212958583888</v>
      </c>
      <c r="AZ94" s="281">
        <f>IF(ISNUMBER(SEARCH("AUXILIAR DE LIMPEZA - 75 H",tabParametros[[#This Row],[Função]],1)),
SUMIF(tabLimpGeral[TIPO],"Equipamento",tabLimpGeral[VALOR UNITÁRIO P/ HORA (R$)])*75,
IF(ISNUMBER(SEARCH("AUXILIAR DE LIMPEZA - 110 H",tabParametros[[#This Row],[Função]],1)),
SUMIF(tabLimpGeral[TIPO],"Equipamento",tabLimpGeral[VALOR UNITÁRIO P/ HORA (R$)])*110,
IF(ISNUMBER(SEARCH("AUXILIAR DE LIMPEZA - 150 H",tabParametros[[#This Row],[Função]],1)),
SUMIF(tabLimpGeral[TIPO],"Equipamento",tabLimpGeral[VALOR UNITÁRIO P/ HORA (R$)])*150,
IF(ISNUMBER(SEARCH("AUXILIAR DE LIMPEZA - 220 H",tabParametros[[#This Row],[Função]],1)),
SUMIF(tabLimpGeral[TIPO],"Equipamento",tabLimpGeral[VALOR UNITÁRIO P/ HORA (R$)])*220,
IF(ISNUMBER(SEARCH("AUXILIAR DE LIMPEZA - 12 x 36",tabParametros[[#This Row],[Função]],1)),
SUMIF(tabLimpGeral[TIPO],"Equipamento",tabLimpGeral[VALOR UNITÁRIO P/ HORA (R$)])*220,
IF(ISNUMBER(SEARCH("Limpador de vidros - 220 h",tabParametros[[#This Row],[Função]],1)),
SUMIF(tabVidros[TIPO],"Equipamento",tabVidros[VALOR UNITÁRIO P/ POSTO (R$)]),
0))))))</f>
        <v>64.529393914825576</v>
      </c>
      <c r="BA94" s="281">
        <f>IF(ISNUMBER(SEARCH("AUXILIAR DE LIMPEZA - 75 H",tabParametros[[#This Row],[Função]],1)),
SUMIF(tabLimpGeral[TIPO],"Produto",tabLimpGeral[VALOR UNITÁRIO P/ HORA (R$)])*75,
IF(ISNUMBER(SEARCH("AUXILIAR DE LIMPEZA - 110 H",tabParametros[[#This Row],[Função]],1)),
SUMIF(tabLimpGeral[TIPO],"Produto",tabLimpGeral[VALOR UNITÁRIO P/ HORA (R$)])*110,
IF(ISNUMBER(SEARCH("AUXILIAR DE LIMPEZA - 150 H",tabParametros[[#This Row],[Função]],1)),
SUMIF(tabLimpGeral[TIPO],"Produto",tabLimpGeral[VALOR UNITÁRIO P/ HORA (R$)])*150,
IF(ISNUMBER(SEARCH("AUXILIAR DE LIMPEZA - 220 H",tabParametros[[#This Row],[Função]],1)),
SUMIF(tabLimpGeral[TIPO],"Produto",tabLimpGeral[VALOR UNITÁRIO P/ HORA (R$)])*220,
IF(ISNUMBER(SEARCH("AUXILIAR DE LIMPEZA - 12 x 36",tabParametros[[#This Row],[Função]],1)),
SUMIF(tabLimpGeral[TIPO],"Produto",tabLimpGeral[VALOR UNITÁRIO P/ HORA (R$)])*220,
IF(ISNUMBER(SEARCH("Limpador de vidros - 220 h",tabParametros[[#This Row],[Função]],1)),
SUMIF(tabVidros[TIPO],"Produto",tabVidros[VALOR UNITÁRIO P/ POSTO (R$)]),
0))))))</f>
        <v>690.27153277931654</v>
      </c>
      <c r="BB94" s="281">
        <v>0</v>
      </c>
      <c r="BC94" s="236">
        <f>VLOOKUP(tabParametros[[#Headers],[Custos Indiretos]],tabOutrosCustos[],3,0)</f>
        <v>189.64880140242613</v>
      </c>
      <c r="BD94" s="236">
        <f>VLOOKUP(tabParametros[[#Headers],[Lucro]],tabOutrosCustos[],3,0)</f>
        <v>159.30499317803796</v>
      </c>
      <c r="BE94" s="235">
        <f>VLOOKUP(tabParametros[[#Headers],[COFINS]],tabImpostosNacionais[],2,0)</f>
        <v>7.5999999999999998E-2</v>
      </c>
      <c r="BF94" s="235">
        <f>VLOOKUP(tabParametros[[#Headers],[PIS]],tabImpostosNacionais[],2,0)</f>
        <v>1.6500000000000001E-2</v>
      </c>
      <c r="BG94" s="235">
        <f>VLOOKUP(tabParametros[[#This Row],[Comarca]],tabComarca[],4,0)</f>
        <v>0.02</v>
      </c>
      <c r="BH94" s="238">
        <f>IFERROR(VLOOKUP(tabParametros[[#This Row],[CCT DA CATEGORIA]],tabSindicatos[],11,0),"")</f>
        <v>45658</v>
      </c>
      <c r="BI94" s="289" t="str">
        <f>IFERROR(VLOOKUP(tabParametros[[#This Row],[CCT DA CATEGORIA]],tabSindicatos[],12,0),"")</f>
        <v>-</v>
      </c>
      <c r="BJ94" s="293" t="str">
        <f>IFERROR(VLOOKUP(tabParametros[[#This Row],[CCT DA CATEGORIA]],tabSindicatos[],13,0),"")</f>
        <v>-</v>
      </c>
    </row>
    <row r="95" spans="1:62" x14ac:dyDescent="0.25">
      <c r="A95" s="233" t="s">
        <v>1434</v>
      </c>
      <c r="B95" s="198" t="s">
        <v>91</v>
      </c>
      <c r="C95" s="198" t="s">
        <v>1244</v>
      </c>
      <c r="D95" s="198" t="str">
        <f>VLOOKUP(tabParametros[[#This Row],[Código do Posto]],tabPostos[],4,0)</f>
        <v>Regiao de Sao Lourenco</v>
      </c>
      <c r="E95" s="289" t="str">
        <f>VLOOKUP(tabParametros[[#This Row],[Código do Posto]],tabPostos[],5,0)</f>
        <v>Limpeza</v>
      </c>
      <c r="F95" s="289" t="str">
        <f>VLOOKUP(tabParametros[[#This Row],[Código do Posto]],tabPostos[],6,0)</f>
        <v>PGJ</v>
      </c>
      <c r="G95" s="289">
        <f>VLOOKUP(tabParametros[[#This Row],[Código do Posto]],tabPostos[],7,0)</f>
        <v>1</v>
      </c>
      <c r="H95" s="289">
        <f>VLOOKUP(tabParametros[[#This Row],[Código do Posto]],tabPostos[],8,0)</f>
        <v>0</v>
      </c>
      <c r="I95" s="234">
        <f>VLOOKUP(tabParametros[[#This Row],[Código do Posto]],tabPostos[],9,0)</f>
        <v>798.14</v>
      </c>
      <c r="J95" s="234">
        <f>IF(ISNUMBER(SEARCH("Eletricista",tabParametros[[#This Row],[Função]],1)),0.3*tabParametros[[#This Row],[Salário Base]],0)</f>
        <v>0</v>
      </c>
      <c r="K95" s="234">
        <f>IF(OR(ISNUMBER(SEARCH("Bombeiro Hidraulico",tabParametros[[#This Row],[Função]],1)),ISNUMBER(SEARCH("Jardineiro",tabParametros[[#This Row],[Função]],1)),ISNUMBER(SEARCH("Lavador de Veiculos",tabParametros[[#This Row],[Função]],1)),ISNUMBER(SEARCH("Marceneiro",tabParametros[[#This Row],[Função]],1)),ISNUMBER(SEARCH("Pintor",tabParametros[[#This Row],[Função]],1))),0.2*'BASE GERAL'!$R$4,0)</f>
        <v>0</v>
      </c>
      <c r="L95" s="234">
        <f>IF(AND(ISNUMBER(SEARCH("Noturno",tabParametros[[#This Row],[Função]],1)),tabParametros[[#This Row],[Comarca]]&lt;&gt;"Juiz de Fora"),tabParametros[[#This Row],[Salário Base]]/210*0.39*7*15.5,IF(ISNUMBER(SEARCH("Noturno",tabParametros[[#This Row],[Função]],1)),tabParametros[[#This Row],[Salário Base]]/210*0.2*8*15.5,0))</f>
        <v>0</v>
      </c>
      <c r="M95" s="234">
        <f>IF(ISNUMBER(SEARCH("Motorista II",tabParametros[[#This Row],[Função]],1)),0.25*tabParametros[[#This Row],[Salário Base]],0)</f>
        <v>0</v>
      </c>
      <c r="N95" s="250">
        <v>0</v>
      </c>
      <c r="O95" s="234">
        <f>IF(ISNUMBER(SEARCH("TECNOLOGIA DA INFORMACAO",tabParametros[[#This Row],[Função]],1)),0.0201*tabParametros[[#This Row],[Salário Base]],0)</f>
        <v>0</v>
      </c>
      <c r="P95" s="250" cm="1">
        <f t="array" ref="P95">_xlfn.IFS(
ISNUMBER(SEARCH("Auxiliar de Limpeza - 75 h",tabParametros[[#This Row],[Função]],1)),tabParametros[[#This Row],[Salário Base]]/75*0.75*30*0.12,
ISNUMBER(SEARCH("Auxiliar de Limpeza - 110 h",tabParametros[[#This Row],[Função]],1)),tabParametros[[#This Row],[Salário Base]]/110*1*30*0.12,
ISNUMBER(SEARCH("Auxiliar de Limpeza - 150 h",tabParametros[[#This Row],[Função]],1)),tabParametros[[#This Row],[Salário Base]]/150*1.5*30*0.12,
ISNUMBER(SEARCH("Auxiliar de Limpeza - 220 h",tabParametros[[#This Row],[Função]],1)),tabParametros[[#This Row],[Salário Base]]/220*2*30*0.12,
ISNUMBER(SEARCH("Auxiliar de Limpeza - 12 x 36",tabParametros[[#This Row],[Função]],1)),tabParametros[[#This Row],[Salário Base]]/220*2*30*0.12,
ISNUMBER(SEARCH("Auxiliar de Limpeza - 55 h",tabParametros[[#This Row],[Função]],1))=FALSE,0)</f>
        <v>26.120945454545453</v>
      </c>
      <c r="Q95" s="235">
        <f>VLOOKUP(tabParametros[[#Headers],[INSS]],tabImpostosNacionais[],2,0)</f>
        <v>0.2</v>
      </c>
      <c r="R95" s="235">
        <f>VLOOKUP(tabParametros[[#Headers],[SESI OU SESC]],tabImpostosNacionais[],2,0)</f>
        <v>1.4999999999999999E-2</v>
      </c>
      <c r="S95" s="235">
        <f>VLOOKUP(tabParametros[[#Headers],[SENAI OU SENAC]],tabImpostosNacionais[],2,0)</f>
        <v>0.01</v>
      </c>
      <c r="T95" s="235">
        <f>VLOOKUP(tabParametros[[#Headers],[INCRA]],tabImpostosNacionais[],2,0)</f>
        <v>2E-3</v>
      </c>
      <c r="U95" s="235">
        <f>VLOOKUP(tabParametros[[#Headers],[Salário Educação]],tabImpostosNacionais[],2,0)</f>
        <v>2.5000000000000001E-2</v>
      </c>
      <c r="V95" s="235">
        <f>VLOOKUP(tabParametros[[#Headers],[FGTS]],tabImpostosNacionais[],2,0)</f>
        <v>0.08</v>
      </c>
      <c r="W95" s="235">
        <f>VLOOKUP(tabParametros[[#Headers],[RAT Ajustado]],tabImpostosNacionais[],2,0)</f>
        <v>0.04</v>
      </c>
      <c r="X95" s="235">
        <f>VLOOKUP(tabParametros[[#Headers],[SEBRAE]],tabImpostosNacionais[],2,0)</f>
        <v>6.0000000000000001E-3</v>
      </c>
      <c r="Y95" s="235">
        <f t="shared" si="11"/>
        <v>8.3333333333333329E-2</v>
      </c>
      <c r="Z95" s="251">
        <f t="shared" si="12"/>
        <v>0.1111111111111111</v>
      </c>
      <c r="AA95" s="234">
        <f>VLOOKUP(tabParametros[[#This Row],[Comarca]],tabComarca[],5,0)</f>
        <v>6.4</v>
      </c>
      <c r="AB95" s="234">
        <f>IFERROR(VLOOKUP(tabParametros[[#This Row],[CCT DA CATEGORIA]],tabSindicatos[],6,0),0)</f>
        <v>29.15</v>
      </c>
      <c r="AC95" s="234">
        <f>IFERROR(VLOOKUP(tabParametros[[#This Row],[CCT DA CATEGORIA]],tabSindicatos[],7,0),0)</f>
        <v>0</v>
      </c>
      <c r="AD95" s="234" cm="1">
        <f t="array" ref="AD95">_xlfn.LET(
_xlpm.COMARCA, TRIM(UPPER(SUBSTITUTE(SUBSTITUTE(SUBSTITUTE(SUBSTITUTE(SUBSTITUTE(SUBSTITUTE(SUBSTITUTE(SUBSTITUTE(SUBSTITUTE(SUBSTITUTE(SUBSTITUTE(SUBSTITUTE(SUBSTITUTE(SUBSTITUTE(SUBSTITUTE(SUBSTITUTE(SUBSTITUTE(SUBSTITUTE(SUBSTITUTE(SUBSTITUTE(SUBSTITUTE(SUBSTITUTE(SUBSTITUTE(SUBSTITUTE(SUBSTITUTE(SUBSTITUTE(tabParametros[[#This Row],[Comarca]],"á","a"),"ã","a"),"â","a"),"é","e"),"ê","e"),"í","i"),"ó","o"),"õ","o"),"ô","o"),"ú","u"),"ç","c"),"Á","a"),"Ã","a"),"Â","a"),"É","e"),"Ê","e"),"Í","i"),"Ó","o"),"Õ","o"),"Ô","o"),"Ú","u"),"Ç","c"),"/MG","")," e ",", ")," ",""),".",""))),
_xlpm.MATRIZ_COMARCA, TRIM(UPPER(SUBSTITUTE(SUBSTITUTE(SUBSTITUTE(SUBSTITUTE(SUBSTITUTE(SUBSTITUTE(SUBSTITUTE(SUBSTITUTE(SUBSTITUTE(SUBSTITUTE(SUBSTITUTE(SUBSTITUTE(SUBSTITUTE(SUBSTITUTE(SUBSTITUTE(SUBSTITUTE(SUBSTITUTE(SUBSTITUTE(SUBSTITUTE(SUBSTITUTE(SUBSTITUTE(SUBSTITUTE(SUBSTITUTE(SUBSTITUTE(SUBSTITUTE(SUBSTITUTE(tabSindicatos[COMARCAS PAF],"á","a"),"ã","a"),"â","a"),"é","e"),"ê","e"),"í","i"),"ó","o"),"õ","o"),"ô","o"),"ú","u"),"ç","c"),"Á","a"),"Ã","a"),"Â","a"),"É","e"),"Ê","e"),"Í","i"),"Ó","o"),"Õ","o"),"Ô","o"),"Ú","u"),"Ç","c"),"/MG","")," e ",", ")," ",""),".",""))),
IFERROR(IF(_xlfn.XLOOKUP(tabParametros[[#This Row],[CCT DA CATEGORIA]],tabSindicatos[SINDICATOS],tabSindicatos[COMARCAS PAF])="",
VLOOKUP(tabParametros[[#This Row],[CCT DA CATEGORIA]],tabSindicatos[],8,0),
IF(ISNUMBER(SEARCH(TRIM(_xlpm.COMARCA),_xlfn.XLOOKUP(tabParametros[[#This Row],[CCT DA CATEGORIA]],tabSindicatos[SINDICATOS],_xlpm.MATRIZ_COMARCA),1)),VLOOKUP(tabParametros[[#This Row],[CCT DA CATEGORIA]],tabSindicatos[],8,0),0)
),0)
)</f>
        <v>0</v>
      </c>
      <c r="AE95" s="234">
        <f>IFERROR(VLOOKUP(tabParametros[[#This Row],[CCT DA CATEGORIA]],tabSindicatos[],9,0),0)</f>
        <v>0</v>
      </c>
      <c r="AF95" s="234">
        <f>IFERROR(VLOOKUP(tabParametros[[#This Row],[CCT DA CATEGORIA]],tabSindicatos[],10,0),0)</f>
        <v>0</v>
      </c>
      <c r="AG95" s="236">
        <f>VLOOKUP(tabParametros[[#Headers],[Seguro de Vida]],tabOutrosCustos[],3,0)</f>
        <v>3.36</v>
      </c>
      <c r="AH95" s="236">
        <f>IF(ISNUMBER(SEARCH("MOTORISTA",tabParametros[[#This Row],[Função]],1)),VLOOKUP("MOTORISTAS",tabDiarias[],2,0),IF(tabParametros[[#This Row],[Comarca]]="Belo Horizonte",VLOOKUP("LIMPEZA",tabDiarias[],2,0),0))</f>
        <v>0</v>
      </c>
      <c r="AI95" s="235">
        <f t="shared" si="13"/>
        <v>7.011766975308642E-3</v>
      </c>
      <c r="AJ95" s="237">
        <f>tabParametros[[#This Row],[FGTS]]*tabParametros[[#This Row],[Aviso Prévio Indenizado (API) e Reflexo do Aviso Prévio Indenizado]]</f>
        <v>5.609413580246914E-4</v>
      </c>
      <c r="AK95" s="237">
        <f>tabParametros[[#This Row],[FGTS]]*tabParametros[[#This Row],[Aviso Prévio Indenizado (API) e Reflexo do Aviso Prévio Indenizado]]*40%</f>
        <v>2.2437654320987658E-4</v>
      </c>
      <c r="AL95" s="235">
        <f t="shared" si="14"/>
        <v>3.5000000000000005E-3</v>
      </c>
      <c r="AM95" s="235">
        <f>tabParametros[[#This Row],[Aviso Prévio Trabalhado - APT]]*SUM(tabParametros[[#This Row],[INSS]:[SEBRAE]])</f>
        <v>1.3230000000000004E-3</v>
      </c>
      <c r="AN95" s="235">
        <f t="shared" si="15"/>
        <v>3.0577777777777773E-2</v>
      </c>
      <c r="AO95" s="235">
        <f t="shared" si="16"/>
        <v>8.3333333333333339E-4</v>
      </c>
      <c r="AP95" s="235">
        <f t="shared" si="17"/>
        <v>8.4444444444444437E-3</v>
      </c>
      <c r="AQ95" s="235">
        <f t="shared" si="18"/>
        <v>2.0277777777777777E-3</v>
      </c>
      <c r="AR95" s="235">
        <f t="shared" si="19"/>
        <v>1.7083333333333333E-4</v>
      </c>
      <c r="AS95" s="235">
        <f t="shared" si="20"/>
        <v>2.0833333333333335E-4</v>
      </c>
      <c r="AT95" s="235">
        <f t="shared" si="21"/>
        <v>1.2962962962962963E-3</v>
      </c>
      <c r="AU95" s="237">
        <f>SUM(tabParametros[[#This Row],[Ausência por Doença]:[Férias, Adicional de Férias e 13º  com empregada em gozo de Licença Maternidade]])*SUM(tabParametros[[#This Row],[INSS]:[SEBRAE]])</f>
        <v>4.5918250000000008E-3</v>
      </c>
      <c r="AV95" s="234">
        <f>IF(tabParametros[[#This Row],[Função]]="Porteiro - 220 h",SUM(tabParametros[[#This Row],[Salário Base]:[Adicional de Acúmulo de função]])/220*20*1.5,IF(ISNUMBER(SEARCH("12 x 36",tabParametros[[#This Row],[Função]],1)),SUM(tabParametros[[#This Row],[Salário Base]:[Adicional de Acúmulo de função]])/210*15.5*1.5,0))</f>
        <v>0</v>
      </c>
      <c r="AW95" s="234">
        <f>IF(tabParametros[[#This Row],[Vagas contratadas]]&gt;0,(SUM(tabParametros[[#This Row],[Salário Base]:[Adicional de Acúmulo de função]])*30%+SUM(tabParametros[[#This Row],[Vale - Alimentação]:[Seguro de Vida]]))/tabParametros[[#This Row],[Vagas contratadas]]*tabParametros[[#This Row],[Vagas suspensas]],0)</f>
        <v>0</v>
      </c>
      <c r="AX95" s="234">
        <f>SUMIF(tabUniformes[Cargo],tabParametros[[#This Row],[Função]],tabUniformes[Valor unit. Mensal])</f>
        <v>62.806666666666665</v>
      </c>
      <c r="AY95" s="281">
        <f>IF(ISNUMBER(SEARCH("AUXILIAR DE LIMPEZA - 75 H",tabParametros[[#This Row],[Função]],1)),
SUMIF(tabLimpGeral[TIPO],"Material",tabLimpGeral[VALOR UNITÁRIO P/ HORA (R$)])*75,
IF(ISNUMBER(SEARCH("AUXILIAR DE LIMPEZA - 110 H",tabParametros[[#This Row],[Função]],1)),
SUMIF(tabLimpGeral[TIPO],"Material",tabLimpGeral[VALOR UNITÁRIO P/ HORA (R$)])*110,
IF(ISNUMBER(SEARCH("AUXILIAR DE LIMPEZA - 150 H",tabParametros[[#This Row],[Função]],1)),
SUMIF(tabLimpGeral[TIPO],"Material",tabLimpGeral[VALOR UNITÁRIO P/ HORA (R$)])*150,
IF(ISNUMBER(SEARCH("AUXILIAR DE LIMPEZA - 220 H",tabParametros[[#This Row],[Função]],1)),
SUMIF(tabLimpGeral[TIPO],"Material",tabLimpGeral[VALOR UNITÁRIO P/ HORA (R$)])*220,
IF(ISNUMBER(SEARCH("AUXILIAR DE LIMPEZA - 12 x 36",tabParametros[[#This Row],[Função]],1)),
SUMIF(tabLimpGeral[TIPO],"Material",tabLimpGeral[VALOR UNITÁRIO P/ HORA (R$)])*220,
IF(ISNUMBER(SEARCH("Limpador de vidros - 220 h",tabParametros[[#This Row],[Função]],1)),
SUMIF(tabVidros[TIPO],"Material",tabVidros[VALOR UNITÁRIO P/ POSTO (R$)]),
0))))))</f>
        <v>17.759106479291944</v>
      </c>
      <c r="AZ95" s="281">
        <f>IF(ISNUMBER(SEARCH("AUXILIAR DE LIMPEZA - 75 H",tabParametros[[#This Row],[Função]],1)),
SUMIF(tabLimpGeral[TIPO],"Equipamento",tabLimpGeral[VALOR UNITÁRIO P/ HORA (R$)])*75,
IF(ISNUMBER(SEARCH("AUXILIAR DE LIMPEZA - 110 H",tabParametros[[#This Row],[Função]],1)),
SUMIF(tabLimpGeral[TIPO],"Equipamento",tabLimpGeral[VALOR UNITÁRIO P/ HORA (R$)])*110,
IF(ISNUMBER(SEARCH("AUXILIAR DE LIMPEZA - 150 H",tabParametros[[#This Row],[Função]],1)),
SUMIF(tabLimpGeral[TIPO],"Equipamento",tabLimpGeral[VALOR UNITÁRIO P/ HORA (R$)])*150,
IF(ISNUMBER(SEARCH("AUXILIAR DE LIMPEZA - 220 H",tabParametros[[#This Row],[Função]],1)),
SUMIF(tabLimpGeral[TIPO],"Equipamento",tabLimpGeral[VALOR UNITÁRIO P/ HORA (R$)])*220,
IF(ISNUMBER(SEARCH("AUXILIAR DE LIMPEZA - 12 x 36",tabParametros[[#This Row],[Função]],1)),
SUMIF(tabLimpGeral[TIPO],"Equipamento",tabLimpGeral[VALOR UNITÁRIO P/ HORA (R$)])*220,
IF(ISNUMBER(SEARCH("Limpador de vidros - 220 h",tabParametros[[#This Row],[Função]],1)),
SUMIF(tabVidros[TIPO],"Equipamento",tabVidros[VALOR UNITÁRIO P/ POSTO (R$)]),
0))))))</f>
        <v>32.264696957412788</v>
      </c>
      <c r="BA95" s="281">
        <f>IF(ISNUMBER(SEARCH("AUXILIAR DE LIMPEZA - 75 H",tabParametros[[#This Row],[Função]],1)),
SUMIF(tabLimpGeral[TIPO],"Produto",tabLimpGeral[VALOR UNITÁRIO P/ HORA (R$)])*75,
IF(ISNUMBER(SEARCH("AUXILIAR DE LIMPEZA - 110 H",tabParametros[[#This Row],[Função]],1)),
SUMIF(tabLimpGeral[TIPO],"Produto",tabLimpGeral[VALOR UNITÁRIO P/ HORA (R$)])*110,
IF(ISNUMBER(SEARCH("AUXILIAR DE LIMPEZA - 150 H",tabParametros[[#This Row],[Função]],1)),
SUMIF(tabLimpGeral[TIPO],"Produto",tabLimpGeral[VALOR UNITÁRIO P/ HORA (R$)])*150,
IF(ISNUMBER(SEARCH("AUXILIAR DE LIMPEZA - 220 H",tabParametros[[#This Row],[Função]],1)),
SUMIF(tabLimpGeral[TIPO],"Produto",tabLimpGeral[VALOR UNITÁRIO P/ HORA (R$)])*220,
IF(ISNUMBER(SEARCH("AUXILIAR DE LIMPEZA - 12 x 36",tabParametros[[#This Row],[Função]],1)),
SUMIF(tabLimpGeral[TIPO],"Produto",tabLimpGeral[VALOR UNITÁRIO P/ HORA (R$)])*220,
IF(ISNUMBER(SEARCH("Limpador de vidros - 220 h",tabParametros[[#This Row],[Função]],1)),
SUMIF(tabVidros[TIPO],"Produto",tabVidros[VALOR UNITÁRIO P/ POSTO (R$)]),
0))))))</f>
        <v>345.13576638965827</v>
      </c>
      <c r="BB95" s="281">
        <v>0</v>
      </c>
      <c r="BC95" s="236">
        <f>VLOOKUP(tabParametros[[#Headers],[Custos Indiretos]],tabOutrosCustos[],3,0)</f>
        <v>189.64880140242613</v>
      </c>
      <c r="BD95" s="236">
        <f>VLOOKUP(tabParametros[[#Headers],[Lucro]],tabOutrosCustos[],3,0)</f>
        <v>159.30499317803796</v>
      </c>
      <c r="BE95" s="235">
        <f>VLOOKUP(tabParametros[[#Headers],[COFINS]],tabImpostosNacionais[],2,0)</f>
        <v>7.5999999999999998E-2</v>
      </c>
      <c r="BF95" s="235">
        <f>VLOOKUP(tabParametros[[#Headers],[PIS]],tabImpostosNacionais[],2,0)</f>
        <v>1.6500000000000001E-2</v>
      </c>
      <c r="BG95" s="235">
        <f>VLOOKUP(tabParametros[[#This Row],[Comarca]],tabComarca[],4,0)</f>
        <v>0.02</v>
      </c>
      <c r="BH95" s="238">
        <f>IFERROR(VLOOKUP(tabParametros[[#This Row],[CCT DA CATEGORIA]],tabSindicatos[],11,0),"")</f>
        <v>45658</v>
      </c>
      <c r="BI95" s="289" t="str">
        <f>IFERROR(VLOOKUP(tabParametros[[#This Row],[CCT DA CATEGORIA]],tabSindicatos[],12,0),"")</f>
        <v>-</v>
      </c>
      <c r="BJ95" s="293" t="str">
        <f>IFERROR(VLOOKUP(tabParametros[[#This Row],[CCT DA CATEGORIA]],tabSindicatos[],13,0),"")</f>
        <v>-</v>
      </c>
    </row>
    <row r="96" spans="1:62" x14ac:dyDescent="0.25">
      <c r="A96" s="233" t="s">
        <v>1435</v>
      </c>
      <c r="B96" s="198" t="s">
        <v>91</v>
      </c>
      <c r="C96" s="198" t="s">
        <v>1245</v>
      </c>
      <c r="D96" s="198" t="str">
        <f>VLOOKUP(tabParametros[[#This Row],[Código do Posto]],tabPostos[],4,0)</f>
        <v>Regiao de Sao Lourenco</v>
      </c>
      <c r="E96" s="289" t="str">
        <f>VLOOKUP(tabParametros[[#This Row],[Código do Posto]],tabPostos[],5,0)</f>
        <v>Limpeza</v>
      </c>
      <c r="F96" s="289" t="str">
        <f>VLOOKUP(tabParametros[[#This Row],[Código do Posto]],tabPostos[],6,0)</f>
        <v>PGJ</v>
      </c>
      <c r="G96" s="289">
        <f>VLOOKUP(tabParametros[[#This Row],[Código do Posto]],tabPostos[],7,0)</f>
        <v>1</v>
      </c>
      <c r="H96" s="289">
        <f>VLOOKUP(tabParametros[[#This Row],[Código do Posto]],tabPostos[],8,0)</f>
        <v>0</v>
      </c>
      <c r="I96" s="234">
        <f>VLOOKUP(tabParametros[[#This Row],[Código do Posto]],tabPostos[],9,0)</f>
        <v>1596.28</v>
      </c>
      <c r="J96" s="234">
        <f>IF(ISNUMBER(SEARCH("Eletricista",tabParametros[[#This Row],[Função]],1)),0.3*tabParametros[[#This Row],[Salário Base]],0)</f>
        <v>0</v>
      </c>
      <c r="K96" s="234">
        <f>IF(OR(ISNUMBER(SEARCH("Bombeiro Hidraulico",tabParametros[[#This Row],[Função]],1)),ISNUMBER(SEARCH("Jardineiro",tabParametros[[#This Row],[Função]],1)),ISNUMBER(SEARCH("Lavador de Veiculos",tabParametros[[#This Row],[Função]],1)),ISNUMBER(SEARCH("Marceneiro",tabParametros[[#This Row],[Função]],1)),ISNUMBER(SEARCH("Pintor",tabParametros[[#This Row],[Função]],1))),0.2*'BASE GERAL'!$R$4,0)</f>
        <v>0</v>
      </c>
      <c r="L96" s="234">
        <f>IF(AND(ISNUMBER(SEARCH("Noturno",tabParametros[[#This Row],[Função]],1)),tabParametros[[#This Row],[Comarca]]&lt;&gt;"Juiz de Fora"),tabParametros[[#This Row],[Salário Base]]/210*0.39*7*15.5,IF(ISNUMBER(SEARCH("Noturno",tabParametros[[#This Row],[Função]],1)),tabParametros[[#This Row],[Salário Base]]/210*0.2*8*15.5,0))</f>
        <v>0</v>
      </c>
      <c r="M96" s="234">
        <f>IF(ISNUMBER(SEARCH("Motorista II",tabParametros[[#This Row],[Função]],1)),0.25*tabParametros[[#This Row],[Salário Base]],0)</f>
        <v>0</v>
      </c>
      <c r="N96" s="250">
        <v>0</v>
      </c>
      <c r="O96" s="234">
        <f>IF(ISNUMBER(SEARCH("TECNOLOGIA DA INFORMACAO",tabParametros[[#This Row],[Função]],1)),0.0201*tabParametros[[#This Row],[Salário Base]],0)</f>
        <v>0</v>
      </c>
      <c r="P96" s="250" cm="1">
        <f t="array" ref="P96">_xlfn.IFS(
ISNUMBER(SEARCH("Auxiliar de Limpeza - 75 h",tabParametros[[#This Row],[Função]],1)),tabParametros[[#This Row],[Salário Base]]/75*0.75*30*0.12,
ISNUMBER(SEARCH("Auxiliar de Limpeza - 110 h",tabParametros[[#This Row],[Função]],1)),tabParametros[[#This Row],[Salário Base]]/110*1*30*0.12,
ISNUMBER(SEARCH("Auxiliar de Limpeza - 150 h",tabParametros[[#This Row],[Função]],1)),tabParametros[[#This Row],[Salário Base]]/150*1.5*30*0.12,
ISNUMBER(SEARCH("Auxiliar de Limpeza - 220 h",tabParametros[[#This Row],[Função]],1)),tabParametros[[#This Row],[Salário Base]]/220*2*30*0.12,
ISNUMBER(SEARCH("Auxiliar de Limpeza - 12 x 36",tabParametros[[#This Row],[Função]],1)),tabParametros[[#This Row],[Salário Base]]/220*2*30*0.12,
ISNUMBER(SEARCH("Auxiliar de Limpeza - 55 h",tabParametros[[#This Row],[Função]],1))=FALSE,0)</f>
        <v>52.241890909090905</v>
      </c>
      <c r="Q96" s="235">
        <f>VLOOKUP(tabParametros[[#Headers],[INSS]],tabImpostosNacionais[],2,0)</f>
        <v>0.2</v>
      </c>
      <c r="R96" s="235">
        <f>VLOOKUP(tabParametros[[#Headers],[SESI OU SESC]],tabImpostosNacionais[],2,0)</f>
        <v>1.4999999999999999E-2</v>
      </c>
      <c r="S96" s="235">
        <f>VLOOKUP(tabParametros[[#Headers],[SENAI OU SENAC]],tabImpostosNacionais[],2,0)</f>
        <v>0.01</v>
      </c>
      <c r="T96" s="235">
        <f>VLOOKUP(tabParametros[[#Headers],[INCRA]],tabImpostosNacionais[],2,0)</f>
        <v>2E-3</v>
      </c>
      <c r="U96" s="235">
        <f>VLOOKUP(tabParametros[[#Headers],[Salário Educação]],tabImpostosNacionais[],2,0)</f>
        <v>2.5000000000000001E-2</v>
      </c>
      <c r="V96" s="235">
        <f>VLOOKUP(tabParametros[[#Headers],[FGTS]],tabImpostosNacionais[],2,0)</f>
        <v>0.08</v>
      </c>
      <c r="W96" s="235">
        <f>VLOOKUP(tabParametros[[#Headers],[RAT Ajustado]],tabImpostosNacionais[],2,0)</f>
        <v>0.04</v>
      </c>
      <c r="X96" s="235">
        <f>VLOOKUP(tabParametros[[#Headers],[SEBRAE]],tabImpostosNacionais[],2,0)</f>
        <v>6.0000000000000001E-3</v>
      </c>
      <c r="Y96" s="235">
        <f t="shared" si="11"/>
        <v>8.3333333333333329E-2</v>
      </c>
      <c r="Z96" s="251">
        <f t="shared" si="12"/>
        <v>0.1111111111111111</v>
      </c>
      <c r="AA96" s="234">
        <f>VLOOKUP(tabParametros[[#This Row],[Comarca]],tabComarca[],5,0)</f>
        <v>6.4</v>
      </c>
      <c r="AB96" s="234">
        <f>IFERROR(VLOOKUP(tabParametros[[#This Row],[CCT DA CATEGORIA]],tabSindicatos[],6,0),0)</f>
        <v>29.15</v>
      </c>
      <c r="AC96" s="234">
        <f>IFERROR(VLOOKUP(tabParametros[[#This Row],[CCT DA CATEGORIA]],tabSindicatos[],7,0),0)</f>
        <v>0</v>
      </c>
      <c r="AD96" s="234" cm="1">
        <f t="array" ref="AD96">_xlfn.LET(
_xlpm.COMARCA, TRIM(UPPER(SUBSTITUTE(SUBSTITUTE(SUBSTITUTE(SUBSTITUTE(SUBSTITUTE(SUBSTITUTE(SUBSTITUTE(SUBSTITUTE(SUBSTITUTE(SUBSTITUTE(SUBSTITUTE(SUBSTITUTE(SUBSTITUTE(SUBSTITUTE(SUBSTITUTE(SUBSTITUTE(SUBSTITUTE(SUBSTITUTE(SUBSTITUTE(SUBSTITUTE(SUBSTITUTE(SUBSTITUTE(SUBSTITUTE(SUBSTITUTE(SUBSTITUTE(SUBSTITUTE(tabParametros[[#This Row],[Comarca]],"á","a"),"ã","a"),"â","a"),"é","e"),"ê","e"),"í","i"),"ó","o"),"õ","o"),"ô","o"),"ú","u"),"ç","c"),"Á","a"),"Ã","a"),"Â","a"),"É","e"),"Ê","e"),"Í","i"),"Ó","o"),"Õ","o"),"Ô","o"),"Ú","u"),"Ç","c"),"/MG","")," e ",", ")," ",""),".",""))),
_xlpm.MATRIZ_COMARCA, TRIM(UPPER(SUBSTITUTE(SUBSTITUTE(SUBSTITUTE(SUBSTITUTE(SUBSTITUTE(SUBSTITUTE(SUBSTITUTE(SUBSTITUTE(SUBSTITUTE(SUBSTITUTE(SUBSTITUTE(SUBSTITUTE(SUBSTITUTE(SUBSTITUTE(SUBSTITUTE(SUBSTITUTE(SUBSTITUTE(SUBSTITUTE(SUBSTITUTE(SUBSTITUTE(SUBSTITUTE(SUBSTITUTE(SUBSTITUTE(SUBSTITUTE(SUBSTITUTE(SUBSTITUTE(tabSindicatos[COMARCAS PAF],"á","a"),"ã","a"),"â","a"),"é","e"),"ê","e"),"í","i"),"ó","o"),"õ","o"),"ô","o"),"ú","u"),"ç","c"),"Á","a"),"Ã","a"),"Â","a"),"É","e"),"Ê","e"),"Í","i"),"Ó","o"),"Õ","o"),"Ô","o"),"Ú","u"),"Ç","c"),"/MG","")," e ",", ")," ",""),".",""))),
IFERROR(IF(_xlfn.XLOOKUP(tabParametros[[#This Row],[CCT DA CATEGORIA]],tabSindicatos[SINDICATOS],tabSindicatos[COMARCAS PAF])="",
VLOOKUP(tabParametros[[#This Row],[CCT DA CATEGORIA]],tabSindicatos[],8,0),
IF(ISNUMBER(SEARCH(TRIM(_xlpm.COMARCA),_xlfn.XLOOKUP(tabParametros[[#This Row],[CCT DA CATEGORIA]],tabSindicatos[SINDICATOS],_xlpm.MATRIZ_COMARCA),1)),VLOOKUP(tabParametros[[#This Row],[CCT DA CATEGORIA]],tabSindicatos[],8,0),0)
),0)
)</f>
        <v>0</v>
      </c>
      <c r="AE96" s="234">
        <f>IFERROR(VLOOKUP(tabParametros[[#This Row],[CCT DA CATEGORIA]],tabSindicatos[],9,0),0)</f>
        <v>0</v>
      </c>
      <c r="AF96" s="234">
        <f>IFERROR(VLOOKUP(tabParametros[[#This Row],[CCT DA CATEGORIA]],tabSindicatos[],10,0),0)</f>
        <v>0</v>
      </c>
      <c r="AG96" s="236">
        <f>VLOOKUP(tabParametros[[#Headers],[Seguro de Vida]],tabOutrosCustos[],3,0)</f>
        <v>3.36</v>
      </c>
      <c r="AH96" s="236">
        <f>IF(ISNUMBER(SEARCH("MOTORISTA",tabParametros[[#This Row],[Função]],1)),VLOOKUP("MOTORISTAS",tabDiarias[],2,0),IF(tabParametros[[#This Row],[Comarca]]="Belo Horizonte",VLOOKUP("LIMPEZA",tabDiarias[],2,0),0))</f>
        <v>0</v>
      </c>
      <c r="AI96" s="235">
        <f t="shared" si="13"/>
        <v>7.011766975308642E-3</v>
      </c>
      <c r="AJ96" s="237">
        <f>tabParametros[[#This Row],[FGTS]]*tabParametros[[#This Row],[Aviso Prévio Indenizado (API) e Reflexo do Aviso Prévio Indenizado]]</f>
        <v>5.609413580246914E-4</v>
      </c>
      <c r="AK96" s="237">
        <f>tabParametros[[#This Row],[FGTS]]*tabParametros[[#This Row],[Aviso Prévio Indenizado (API) e Reflexo do Aviso Prévio Indenizado]]*40%</f>
        <v>2.2437654320987658E-4</v>
      </c>
      <c r="AL96" s="235">
        <f t="shared" si="14"/>
        <v>3.5000000000000005E-3</v>
      </c>
      <c r="AM96" s="235">
        <f>tabParametros[[#This Row],[Aviso Prévio Trabalhado - APT]]*SUM(tabParametros[[#This Row],[INSS]:[SEBRAE]])</f>
        <v>1.3230000000000004E-3</v>
      </c>
      <c r="AN96" s="235">
        <f t="shared" si="15"/>
        <v>3.0577777777777773E-2</v>
      </c>
      <c r="AO96" s="235">
        <f t="shared" si="16"/>
        <v>8.3333333333333339E-4</v>
      </c>
      <c r="AP96" s="235">
        <f t="shared" si="17"/>
        <v>8.4444444444444437E-3</v>
      </c>
      <c r="AQ96" s="235">
        <f t="shared" si="18"/>
        <v>2.0277777777777777E-3</v>
      </c>
      <c r="AR96" s="235">
        <f t="shared" si="19"/>
        <v>1.7083333333333333E-4</v>
      </c>
      <c r="AS96" s="235">
        <f t="shared" si="20"/>
        <v>2.0833333333333335E-4</v>
      </c>
      <c r="AT96" s="235">
        <f t="shared" si="21"/>
        <v>1.2962962962962963E-3</v>
      </c>
      <c r="AU96" s="237">
        <f>SUM(tabParametros[[#This Row],[Ausência por Doença]:[Férias, Adicional de Férias e 13º  com empregada em gozo de Licença Maternidade]])*SUM(tabParametros[[#This Row],[INSS]:[SEBRAE]])</f>
        <v>4.5918250000000008E-3</v>
      </c>
      <c r="AV96" s="234">
        <f>IF(tabParametros[[#This Row],[Função]]="Porteiro - 220 h",SUM(tabParametros[[#This Row],[Salário Base]:[Adicional de Acúmulo de função]])/220*20*1.5,IF(ISNUMBER(SEARCH("12 x 36",tabParametros[[#This Row],[Função]],1)),SUM(tabParametros[[#This Row],[Salário Base]:[Adicional de Acúmulo de função]])/210*15.5*1.5,0))</f>
        <v>0</v>
      </c>
      <c r="AW96" s="234">
        <f>IF(tabParametros[[#This Row],[Vagas contratadas]]&gt;0,(SUM(tabParametros[[#This Row],[Salário Base]:[Adicional de Acúmulo de função]])*30%+SUM(tabParametros[[#This Row],[Vale - Alimentação]:[Seguro de Vida]]))/tabParametros[[#This Row],[Vagas contratadas]]*tabParametros[[#This Row],[Vagas suspensas]],0)</f>
        <v>0</v>
      </c>
      <c r="AX96" s="234">
        <f>SUMIF(tabUniformes[Cargo],tabParametros[[#This Row],[Função]],tabUniformes[Valor unit. Mensal])</f>
        <v>100.80916666666666</v>
      </c>
      <c r="AY96" s="281">
        <f>IF(ISNUMBER(SEARCH("AUXILIAR DE LIMPEZA - 75 H",tabParametros[[#This Row],[Função]],1)),
SUMIF(tabLimpGeral[TIPO],"Material",tabLimpGeral[VALOR UNITÁRIO P/ HORA (R$)])*75,
IF(ISNUMBER(SEARCH("AUXILIAR DE LIMPEZA - 110 H",tabParametros[[#This Row],[Função]],1)),
SUMIF(tabLimpGeral[TIPO],"Material",tabLimpGeral[VALOR UNITÁRIO P/ HORA (R$)])*110,
IF(ISNUMBER(SEARCH("AUXILIAR DE LIMPEZA - 150 H",tabParametros[[#This Row],[Função]],1)),
SUMIF(tabLimpGeral[TIPO],"Material",tabLimpGeral[VALOR UNITÁRIO P/ HORA (R$)])*150,
IF(ISNUMBER(SEARCH("AUXILIAR DE LIMPEZA - 220 H",tabParametros[[#This Row],[Função]],1)),
SUMIF(tabLimpGeral[TIPO],"Material",tabLimpGeral[VALOR UNITÁRIO P/ HORA (R$)])*220,
IF(ISNUMBER(SEARCH("AUXILIAR DE LIMPEZA - 12 x 36",tabParametros[[#This Row],[Função]],1)),
SUMIF(tabLimpGeral[TIPO],"Material",tabLimpGeral[VALOR UNITÁRIO P/ HORA (R$)])*220,
IF(ISNUMBER(SEARCH("Limpador de vidros - 220 h",tabParametros[[#This Row],[Função]],1)),
SUMIF(tabVidros[TIPO],"Material",tabVidros[VALOR UNITÁRIO P/ POSTO (R$)]),
0))))))</f>
        <v>35.518212958583888</v>
      </c>
      <c r="AZ96" s="281">
        <f>IF(ISNUMBER(SEARCH("AUXILIAR DE LIMPEZA - 75 H",tabParametros[[#This Row],[Função]],1)),
SUMIF(tabLimpGeral[TIPO],"Equipamento",tabLimpGeral[VALOR UNITÁRIO P/ HORA (R$)])*75,
IF(ISNUMBER(SEARCH("AUXILIAR DE LIMPEZA - 110 H",tabParametros[[#This Row],[Função]],1)),
SUMIF(tabLimpGeral[TIPO],"Equipamento",tabLimpGeral[VALOR UNITÁRIO P/ HORA (R$)])*110,
IF(ISNUMBER(SEARCH("AUXILIAR DE LIMPEZA - 150 H",tabParametros[[#This Row],[Função]],1)),
SUMIF(tabLimpGeral[TIPO],"Equipamento",tabLimpGeral[VALOR UNITÁRIO P/ HORA (R$)])*150,
IF(ISNUMBER(SEARCH("AUXILIAR DE LIMPEZA - 220 H",tabParametros[[#This Row],[Função]],1)),
SUMIF(tabLimpGeral[TIPO],"Equipamento",tabLimpGeral[VALOR UNITÁRIO P/ HORA (R$)])*220,
IF(ISNUMBER(SEARCH("AUXILIAR DE LIMPEZA - 12 x 36",tabParametros[[#This Row],[Função]],1)),
SUMIF(tabLimpGeral[TIPO],"Equipamento",tabLimpGeral[VALOR UNITÁRIO P/ HORA (R$)])*220,
IF(ISNUMBER(SEARCH("Limpador de vidros - 220 h",tabParametros[[#This Row],[Função]],1)),
SUMIF(tabVidros[TIPO],"Equipamento",tabVidros[VALOR UNITÁRIO P/ POSTO (R$)]),
0))))))</f>
        <v>64.529393914825576</v>
      </c>
      <c r="BA96" s="281">
        <f>IF(ISNUMBER(SEARCH("AUXILIAR DE LIMPEZA - 75 H",tabParametros[[#This Row],[Função]],1)),
SUMIF(tabLimpGeral[TIPO],"Produto",tabLimpGeral[VALOR UNITÁRIO P/ HORA (R$)])*75,
IF(ISNUMBER(SEARCH("AUXILIAR DE LIMPEZA - 110 H",tabParametros[[#This Row],[Função]],1)),
SUMIF(tabLimpGeral[TIPO],"Produto",tabLimpGeral[VALOR UNITÁRIO P/ HORA (R$)])*110,
IF(ISNUMBER(SEARCH("AUXILIAR DE LIMPEZA - 150 H",tabParametros[[#This Row],[Função]],1)),
SUMIF(tabLimpGeral[TIPO],"Produto",tabLimpGeral[VALOR UNITÁRIO P/ HORA (R$)])*150,
IF(ISNUMBER(SEARCH("AUXILIAR DE LIMPEZA - 220 H",tabParametros[[#This Row],[Função]],1)),
SUMIF(tabLimpGeral[TIPO],"Produto",tabLimpGeral[VALOR UNITÁRIO P/ HORA (R$)])*220,
IF(ISNUMBER(SEARCH("AUXILIAR DE LIMPEZA - 12 x 36",tabParametros[[#This Row],[Função]],1)),
SUMIF(tabLimpGeral[TIPO],"Produto",tabLimpGeral[VALOR UNITÁRIO P/ HORA (R$)])*220,
IF(ISNUMBER(SEARCH("Limpador de vidros - 220 h",tabParametros[[#This Row],[Função]],1)),
SUMIF(tabVidros[TIPO],"Produto",tabVidros[VALOR UNITÁRIO P/ POSTO (R$)]),
0))))))</f>
        <v>690.27153277931654</v>
      </c>
      <c r="BB96" s="281">
        <v>0</v>
      </c>
      <c r="BC96" s="236">
        <f>VLOOKUP(tabParametros[[#Headers],[Custos Indiretos]],tabOutrosCustos[],3,0)</f>
        <v>189.64880140242613</v>
      </c>
      <c r="BD96" s="236">
        <f>VLOOKUP(tabParametros[[#Headers],[Lucro]],tabOutrosCustos[],3,0)</f>
        <v>159.30499317803796</v>
      </c>
      <c r="BE96" s="235">
        <f>VLOOKUP(tabParametros[[#Headers],[COFINS]],tabImpostosNacionais[],2,0)</f>
        <v>7.5999999999999998E-2</v>
      </c>
      <c r="BF96" s="235">
        <f>VLOOKUP(tabParametros[[#Headers],[PIS]],tabImpostosNacionais[],2,0)</f>
        <v>1.6500000000000001E-2</v>
      </c>
      <c r="BG96" s="235">
        <f>VLOOKUP(tabParametros[[#This Row],[Comarca]],tabComarca[],4,0)</f>
        <v>0.02</v>
      </c>
      <c r="BH96" s="238">
        <f>IFERROR(VLOOKUP(tabParametros[[#This Row],[CCT DA CATEGORIA]],tabSindicatos[],11,0),"")</f>
        <v>45658</v>
      </c>
      <c r="BI96" s="289" t="str">
        <f>IFERROR(VLOOKUP(tabParametros[[#This Row],[CCT DA CATEGORIA]],tabSindicatos[],12,0),"")</f>
        <v>-</v>
      </c>
      <c r="BJ96" s="293" t="str">
        <f>IFERROR(VLOOKUP(tabParametros[[#This Row],[CCT DA CATEGORIA]],tabSindicatos[],13,0),"")</f>
        <v>-</v>
      </c>
    </row>
    <row r="97" spans="1:62" x14ac:dyDescent="0.25">
      <c r="A97" s="233" t="s">
        <v>1436</v>
      </c>
      <c r="B97" s="198" t="s">
        <v>92</v>
      </c>
      <c r="C97" s="198" t="s">
        <v>1245</v>
      </c>
      <c r="D97" s="198" t="str">
        <f>VLOOKUP(tabParametros[[#This Row],[Código do Posto]],tabPostos[],4,0)</f>
        <v>Sethac Norte de Minas</v>
      </c>
      <c r="E97" s="289" t="str">
        <f>VLOOKUP(tabParametros[[#This Row],[Código do Posto]],tabPostos[],5,0)</f>
        <v>Limpeza</v>
      </c>
      <c r="F97" s="289" t="str">
        <f>VLOOKUP(tabParametros[[#This Row],[Código do Posto]],tabPostos[],6,0)</f>
        <v>PGJ</v>
      </c>
      <c r="G97" s="289">
        <f>VLOOKUP(tabParametros[[#This Row],[Código do Posto]],tabPostos[],7,0)</f>
        <v>1</v>
      </c>
      <c r="H97" s="289">
        <f>VLOOKUP(tabParametros[[#This Row],[Código do Posto]],tabPostos[],8,0)</f>
        <v>0</v>
      </c>
      <c r="I97" s="234">
        <f>VLOOKUP(tabParametros[[#This Row],[Código do Posto]],tabPostos[],9,0)</f>
        <v>1596.28</v>
      </c>
      <c r="J97" s="234">
        <f>IF(ISNUMBER(SEARCH("Eletricista",tabParametros[[#This Row],[Função]],1)),0.3*tabParametros[[#This Row],[Salário Base]],0)</f>
        <v>0</v>
      </c>
      <c r="K97" s="234">
        <f>IF(OR(ISNUMBER(SEARCH("Bombeiro Hidraulico",tabParametros[[#This Row],[Função]],1)),ISNUMBER(SEARCH("Jardineiro",tabParametros[[#This Row],[Função]],1)),ISNUMBER(SEARCH("Lavador de Veiculos",tabParametros[[#This Row],[Função]],1)),ISNUMBER(SEARCH("Marceneiro",tabParametros[[#This Row],[Função]],1)),ISNUMBER(SEARCH("Pintor",tabParametros[[#This Row],[Função]],1))),0.2*'BASE GERAL'!$R$4,0)</f>
        <v>0</v>
      </c>
      <c r="L97" s="234">
        <f>IF(AND(ISNUMBER(SEARCH("Noturno",tabParametros[[#This Row],[Função]],1)),tabParametros[[#This Row],[Comarca]]&lt;&gt;"Juiz de Fora"),tabParametros[[#This Row],[Salário Base]]/210*0.39*7*15.5,IF(ISNUMBER(SEARCH("Noturno",tabParametros[[#This Row],[Função]],1)),tabParametros[[#This Row],[Salário Base]]/210*0.2*8*15.5,0))</f>
        <v>0</v>
      </c>
      <c r="M97" s="234">
        <f>IF(ISNUMBER(SEARCH("Motorista II",tabParametros[[#This Row],[Função]],1)),0.25*tabParametros[[#This Row],[Salário Base]],0)</f>
        <v>0</v>
      </c>
      <c r="N97" s="250">
        <v>0</v>
      </c>
      <c r="O97" s="234">
        <f>IF(ISNUMBER(SEARCH("TECNOLOGIA DA INFORMACAO",tabParametros[[#This Row],[Função]],1)),0.0201*tabParametros[[#This Row],[Salário Base]],0)</f>
        <v>0</v>
      </c>
      <c r="P97" s="250" cm="1">
        <f t="array" ref="P97">_xlfn.IFS(
ISNUMBER(SEARCH("Auxiliar de Limpeza - 75 h",tabParametros[[#This Row],[Função]],1)),tabParametros[[#This Row],[Salário Base]]/75*0.75*30*0.12,
ISNUMBER(SEARCH("Auxiliar de Limpeza - 110 h",tabParametros[[#This Row],[Função]],1)),tabParametros[[#This Row],[Salário Base]]/110*1*30*0.12,
ISNUMBER(SEARCH("Auxiliar de Limpeza - 150 h",tabParametros[[#This Row],[Função]],1)),tabParametros[[#This Row],[Salário Base]]/150*1.5*30*0.12,
ISNUMBER(SEARCH("Auxiliar de Limpeza - 220 h",tabParametros[[#This Row],[Função]],1)),tabParametros[[#This Row],[Salário Base]]/220*2*30*0.12,
ISNUMBER(SEARCH("Auxiliar de Limpeza - 12 x 36",tabParametros[[#This Row],[Função]],1)),tabParametros[[#This Row],[Salário Base]]/220*2*30*0.12,
ISNUMBER(SEARCH("Auxiliar de Limpeza - 55 h",tabParametros[[#This Row],[Função]],1))=FALSE,0)</f>
        <v>52.241890909090905</v>
      </c>
      <c r="Q97" s="235">
        <f>VLOOKUP(tabParametros[[#Headers],[INSS]],tabImpostosNacionais[],2,0)</f>
        <v>0.2</v>
      </c>
      <c r="R97" s="235">
        <f>VLOOKUP(tabParametros[[#Headers],[SESI OU SESC]],tabImpostosNacionais[],2,0)</f>
        <v>1.4999999999999999E-2</v>
      </c>
      <c r="S97" s="235">
        <f>VLOOKUP(tabParametros[[#Headers],[SENAI OU SENAC]],tabImpostosNacionais[],2,0)</f>
        <v>0.01</v>
      </c>
      <c r="T97" s="235">
        <f>VLOOKUP(tabParametros[[#Headers],[INCRA]],tabImpostosNacionais[],2,0)</f>
        <v>2E-3</v>
      </c>
      <c r="U97" s="235">
        <f>VLOOKUP(tabParametros[[#Headers],[Salário Educação]],tabImpostosNacionais[],2,0)</f>
        <v>2.5000000000000001E-2</v>
      </c>
      <c r="V97" s="235">
        <f>VLOOKUP(tabParametros[[#Headers],[FGTS]],tabImpostosNacionais[],2,0)</f>
        <v>0.08</v>
      </c>
      <c r="W97" s="235">
        <f>VLOOKUP(tabParametros[[#Headers],[RAT Ajustado]],tabImpostosNacionais[],2,0)</f>
        <v>0.04</v>
      </c>
      <c r="X97" s="235">
        <f>VLOOKUP(tabParametros[[#Headers],[SEBRAE]],tabImpostosNacionais[],2,0)</f>
        <v>6.0000000000000001E-3</v>
      </c>
      <c r="Y97" s="235">
        <f t="shared" si="11"/>
        <v>8.3333333333333329E-2</v>
      </c>
      <c r="Z97" s="251">
        <f t="shared" si="12"/>
        <v>0.1111111111111111</v>
      </c>
      <c r="AA97" s="234">
        <f>VLOOKUP(tabParametros[[#This Row],[Comarca]],tabComarca[],5,0)</f>
        <v>6.4</v>
      </c>
      <c r="AB97" s="234">
        <f>IFERROR(VLOOKUP(tabParametros[[#This Row],[CCT DA CATEGORIA]],tabSindicatos[],6,0),0)</f>
        <v>29.15</v>
      </c>
      <c r="AC97" s="234">
        <f>IFERROR(VLOOKUP(tabParametros[[#This Row],[CCT DA CATEGORIA]],tabSindicatos[],7,0),0)</f>
        <v>0</v>
      </c>
      <c r="AD97" s="234" cm="1">
        <f t="array" ref="AD97">_xlfn.LET(
_xlpm.COMARCA, TRIM(UPPER(SUBSTITUTE(SUBSTITUTE(SUBSTITUTE(SUBSTITUTE(SUBSTITUTE(SUBSTITUTE(SUBSTITUTE(SUBSTITUTE(SUBSTITUTE(SUBSTITUTE(SUBSTITUTE(SUBSTITUTE(SUBSTITUTE(SUBSTITUTE(SUBSTITUTE(SUBSTITUTE(SUBSTITUTE(SUBSTITUTE(SUBSTITUTE(SUBSTITUTE(SUBSTITUTE(SUBSTITUTE(SUBSTITUTE(SUBSTITUTE(SUBSTITUTE(SUBSTITUTE(tabParametros[[#This Row],[Comarca]],"á","a"),"ã","a"),"â","a"),"é","e"),"ê","e"),"í","i"),"ó","o"),"õ","o"),"ô","o"),"ú","u"),"ç","c"),"Á","a"),"Ã","a"),"Â","a"),"É","e"),"Ê","e"),"Í","i"),"Ó","o"),"Õ","o"),"Ô","o"),"Ú","u"),"Ç","c"),"/MG","")," e ",", ")," ",""),".",""))),
_xlpm.MATRIZ_COMARCA, TRIM(UPPER(SUBSTITUTE(SUBSTITUTE(SUBSTITUTE(SUBSTITUTE(SUBSTITUTE(SUBSTITUTE(SUBSTITUTE(SUBSTITUTE(SUBSTITUTE(SUBSTITUTE(SUBSTITUTE(SUBSTITUTE(SUBSTITUTE(SUBSTITUTE(SUBSTITUTE(SUBSTITUTE(SUBSTITUTE(SUBSTITUTE(SUBSTITUTE(SUBSTITUTE(SUBSTITUTE(SUBSTITUTE(SUBSTITUTE(SUBSTITUTE(SUBSTITUTE(SUBSTITUTE(tabSindicatos[COMARCAS PAF],"á","a"),"ã","a"),"â","a"),"é","e"),"ê","e"),"í","i"),"ó","o"),"õ","o"),"ô","o"),"ú","u"),"ç","c"),"Á","a"),"Ã","a"),"Â","a"),"É","e"),"Ê","e"),"Í","i"),"Ó","o"),"Õ","o"),"Ô","o"),"Ú","u"),"Ç","c"),"/MG","")," e ",", ")," ",""),".",""))),
IFERROR(IF(_xlfn.XLOOKUP(tabParametros[[#This Row],[CCT DA CATEGORIA]],tabSindicatos[SINDICATOS],tabSindicatos[COMARCAS PAF])="",
VLOOKUP(tabParametros[[#This Row],[CCT DA CATEGORIA]],tabSindicatos[],8,0),
IF(ISNUMBER(SEARCH(TRIM(_xlpm.COMARCA),_xlfn.XLOOKUP(tabParametros[[#This Row],[CCT DA CATEGORIA]],tabSindicatos[SINDICATOS],_xlpm.MATRIZ_COMARCA),1)),VLOOKUP(tabParametros[[#This Row],[CCT DA CATEGORIA]],tabSindicatos[],8,0),0)
),0)
)</f>
        <v>0</v>
      </c>
      <c r="AE97" s="234">
        <f>IFERROR(VLOOKUP(tabParametros[[#This Row],[CCT DA CATEGORIA]],tabSindicatos[],9,0),0)</f>
        <v>0</v>
      </c>
      <c r="AF97" s="234">
        <f>IFERROR(VLOOKUP(tabParametros[[#This Row],[CCT DA CATEGORIA]],tabSindicatos[],10,0),0)</f>
        <v>0</v>
      </c>
      <c r="AG97" s="236">
        <f>VLOOKUP(tabParametros[[#Headers],[Seguro de Vida]],tabOutrosCustos[],3,0)</f>
        <v>3.36</v>
      </c>
      <c r="AH97" s="236">
        <f>IF(ISNUMBER(SEARCH("MOTORISTA",tabParametros[[#This Row],[Função]],1)),VLOOKUP("MOTORISTAS",tabDiarias[],2,0),IF(tabParametros[[#This Row],[Comarca]]="Belo Horizonte",VLOOKUP("LIMPEZA",tabDiarias[],2,0),0))</f>
        <v>0</v>
      </c>
      <c r="AI97" s="235">
        <f t="shared" si="13"/>
        <v>7.011766975308642E-3</v>
      </c>
      <c r="AJ97" s="237">
        <f>tabParametros[[#This Row],[FGTS]]*tabParametros[[#This Row],[Aviso Prévio Indenizado (API) e Reflexo do Aviso Prévio Indenizado]]</f>
        <v>5.609413580246914E-4</v>
      </c>
      <c r="AK97" s="237">
        <f>tabParametros[[#This Row],[FGTS]]*tabParametros[[#This Row],[Aviso Prévio Indenizado (API) e Reflexo do Aviso Prévio Indenizado]]*40%</f>
        <v>2.2437654320987658E-4</v>
      </c>
      <c r="AL97" s="235">
        <f t="shared" si="14"/>
        <v>3.5000000000000005E-3</v>
      </c>
      <c r="AM97" s="235">
        <f>tabParametros[[#This Row],[Aviso Prévio Trabalhado - APT]]*SUM(tabParametros[[#This Row],[INSS]:[SEBRAE]])</f>
        <v>1.3230000000000004E-3</v>
      </c>
      <c r="AN97" s="235">
        <f t="shared" si="15"/>
        <v>3.0577777777777773E-2</v>
      </c>
      <c r="AO97" s="235">
        <f t="shared" si="16"/>
        <v>8.3333333333333339E-4</v>
      </c>
      <c r="AP97" s="235">
        <f t="shared" si="17"/>
        <v>8.4444444444444437E-3</v>
      </c>
      <c r="AQ97" s="235">
        <f t="shared" si="18"/>
        <v>2.0277777777777777E-3</v>
      </c>
      <c r="AR97" s="235">
        <f t="shared" si="19"/>
        <v>1.7083333333333333E-4</v>
      </c>
      <c r="AS97" s="235">
        <f t="shared" si="20"/>
        <v>2.0833333333333335E-4</v>
      </c>
      <c r="AT97" s="235">
        <f t="shared" si="21"/>
        <v>1.2962962962962963E-3</v>
      </c>
      <c r="AU97" s="237">
        <f>SUM(tabParametros[[#This Row],[Ausência por Doença]:[Férias, Adicional de Férias e 13º  com empregada em gozo de Licença Maternidade]])*SUM(tabParametros[[#This Row],[INSS]:[SEBRAE]])</f>
        <v>4.5918250000000008E-3</v>
      </c>
      <c r="AV97" s="234">
        <f>IF(tabParametros[[#This Row],[Função]]="Porteiro - 220 h",SUM(tabParametros[[#This Row],[Salário Base]:[Adicional de Acúmulo de função]])/220*20*1.5,IF(ISNUMBER(SEARCH("12 x 36",tabParametros[[#This Row],[Função]],1)),SUM(tabParametros[[#This Row],[Salário Base]:[Adicional de Acúmulo de função]])/210*15.5*1.5,0))</f>
        <v>0</v>
      </c>
      <c r="AW97" s="234">
        <f>IF(tabParametros[[#This Row],[Vagas contratadas]]&gt;0,(SUM(tabParametros[[#This Row],[Salário Base]:[Adicional de Acúmulo de função]])*30%+SUM(tabParametros[[#This Row],[Vale - Alimentação]:[Seguro de Vida]]))/tabParametros[[#This Row],[Vagas contratadas]]*tabParametros[[#This Row],[Vagas suspensas]],0)</f>
        <v>0</v>
      </c>
      <c r="AX97" s="234">
        <f>SUMIF(tabUniformes[Cargo],tabParametros[[#This Row],[Função]],tabUniformes[Valor unit. Mensal])</f>
        <v>100.80916666666666</v>
      </c>
      <c r="AY97" s="281">
        <f>IF(ISNUMBER(SEARCH("AUXILIAR DE LIMPEZA - 75 H",tabParametros[[#This Row],[Função]],1)),
SUMIF(tabLimpGeral[TIPO],"Material",tabLimpGeral[VALOR UNITÁRIO P/ HORA (R$)])*75,
IF(ISNUMBER(SEARCH("AUXILIAR DE LIMPEZA - 110 H",tabParametros[[#This Row],[Função]],1)),
SUMIF(tabLimpGeral[TIPO],"Material",tabLimpGeral[VALOR UNITÁRIO P/ HORA (R$)])*110,
IF(ISNUMBER(SEARCH("AUXILIAR DE LIMPEZA - 150 H",tabParametros[[#This Row],[Função]],1)),
SUMIF(tabLimpGeral[TIPO],"Material",tabLimpGeral[VALOR UNITÁRIO P/ HORA (R$)])*150,
IF(ISNUMBER(SEARCH("AUXILIAR DE LIMPEZA - 220 H",tabParametros[[#This Row],[Função]],1)),
SUMIF(tabLimpGeral[TIPO],"Material",tabLimpGeral[VALOR UNITÁRIO P/ HORA (R$)])*220,
IF(ISNUMBER(SEARCH("AUXILIAR DE LIMPEZA - 12 x 36",tabParametros[[#This Row],[Função]],1)),
SUMIF(tabLimpGeral[TIPO],"Material",tabLimpGeral[VALOR UNITÁRIO P/ HORA (R$)])*220,
IF(ISNUMBER(SEARCH("Limpador de vidros - 220 h",tabParametros[[#This Row],[Função]],1)),
SUMIF(tabVidros[TIPO],"Material",tabVidros[VALOR UNITÁRIO P/ POSTO (R$)]),
0))))))</f>
        <v>35.518212958583888</v>
      </c>
      <c r="AZ97" s="281">
        <f>IF(ISNUMBER(SEARCH("AUXILIAR DE LIMPEZA - 75 H",tabParametros[[#This Row],[Função]],1)),
SUMIF(tabLimpGeral[TIPO],"Equipamento",tabLimpGeral[VALOR UNITÁRIO P/ HORA (R$)])*75,
IF(ISNUMBER(SEARCH("AUXILIAR DE LIMPEZA - 110 H",tabParametros[[#This Row],[Função]],1)),
SUMIF(tabLimpGeral[TIPO],"Equipamento",tabLimpGeral[VALOR UNITÁRIO P/ HORA (R$)])*110,
IF(ISNUMBER(SEARCH("AUXILIAR DE LIMPEZA - 150 H",tabParametros[[#This Row],[Função]],1)),
SUMIF(tabLimpGeral[TIPO],"Equipamento",tabLimpGeral[VALOR UNITÁRIO P/ HORA (R$)])*150,
IF(ISNUMBER(SEARCH("AUXILIAR DE LIMPEZA - 220 H",tabParametros[[#This Row],[Função]],1)),
SUMIF(tabLimpGeral[TIPO],"Equipamento",tabLimpGeral[VALOR UNITÁRIO P/ HORA (R$)])*220,
IF(ISNUMBER(SEARCH("AUXILIAR DE LIMPEZA - 12 x 36",tabParametros[[#This Row],[Função]],1)),
SUMIF(tabLimpGeral[TIPO],"Equipamento",tabLimpGeral[VALOR UNITÁRIO P/ HORA (R$)])*220,
IF(ISNUMBER(SEARCH("Limpador de vidros - 220 h",tabParametros[[#This Row],[Função]],1)),
SUMIF(tabVidros[TIPO],"Equipamento",tabVidros[VALOR UNITÁRIO P/ POSTO (R$)]),
0))))))</f>
        <v>64.529393914825576</v>
      </c>
      <c r="BA97" s="281">
        <f>IF(ISNUMBER(SEARCH("AUXILIAR DE LIMPEZA - 75 H",tabParametros[[#This Row],[Função]],1)),
SUMIF(tabLimpGeral[TIPO],"Produto",tabLimpGeral[VALOR UNITÁRIO P/ HORA (R$)])*75,
IF(ISNUMBER(SEARCH("AUXILIAR DE LIMPEZA - 110 H",tabParametros[[#This Row],[Função]],1)),
SUMIF(tabLimpGeral[TIPO],"Produto",tabLimpGeral[VALOR UNITÁRIO P/ HORA (R$)])*110,
IF(ISNUMBER(SEARCH("AUXILIAR DE LIMPEZA - 150 H",tabParametros[[#This Row],[Função]],1)),
SUMIF(tabLimpGeral[TIPO],"Produto",tabLimpGeral[VALOR UNITÁRIO P/ HORA (R$)])*150,
IF(ISNUMBER(SEARCH("AUXILIAR DE LIMPEZA - 220 H",tabParametros[[#This Row],[Função]],1)),
SUMIF(tabLimpGeral[TIPO],"Produto",tabLimpGeral[VALOR UNITÁRIO P/ HORA (R$)])*220,
IF(ISNUMBER(SEARCH("AUXILIAR DE LIMPEZA - 12 x 36",tabParametros[[#This Row],[Função]],1)),
SUMIF(tabLimpGeral[TIPO],"Produto",tabLimpGeral[VALOR UNITÁRIO P/ HORA (R$)])*220,
IF(ISNUMBER(SEARCH("Limpador de vidros - 220 h",tabParametros[[#This Row],[Função]],1)),
SUMIF(tabVidros[TIPO],"Produto",tabVidros[VALOR UNITÁRIO P/ POSTO (R$)]),
0))))))</f>
        <v>690.27153277931654</v>
      </c>
      <c r="BB97" s="281">
        <v>0</v>
      </c>
      <c r="BC97" s="236">
        <f>VLOOKUP(tabParametros[[#Headers],[Custos Indiretos]],tabOutrosCustos[],3,0)</f>
        <v>189.64880140242613</v>
      </c>
      <c r="BD97" s="236">
        <f>VLOOKUP(tabParametros[[#Headers],[Lucro]],tabOutrosCustos[],3,0)</f>
        <v>159.30499317803796</v>
      </c>
      <c r="BE97" s="235">
        <f>VLOOKUP(tabParametros[[#Headers],[COFINS]],tabImpostosNacionais[],2,0)</f>
        <v>7.5999999999999998E-2</v>
      </c>
      <c r="BF97" s="235">
        <f>VLOOKUP(tabParametros[[#Headers],[PIS]],tabImpostosNacionais[],2,0)</f>
        <v>1.6500000000000001E-2</v>
      </c>
      <c r="BG97" s="235">
        <f>VLOOKUP(tabParametros[[#This Row],[Comarca]],tabComarca[],4,0)</f>
        <v>0.02</v>
      </c>
      <c r="BH97" s="238">
        <f>IFERROR(VLOOKUP(tabParametros[[#This Row],[CCT DA CATEGORIA]],tabSindicatos[],11,0),"")</f>
        <v>45658</v>
      </c>
      <c r="BI97" s="289" t="str">
        <f>IFERROR(VLOOKUP(tabParametros[[#This Row],[CCT DA CATEGORIA]],tabSindicatos[],12,0),"")</f>
        <v>-</v>
      </c>
      <c r="BJ97" s="293" t="str">
        <f>IFERROR(VLOOKUP(tabParametros[[#This Row],[CCT DA CATEGORIA]],tabSindicatos[],13,0),"")</f>
        <v>-</v>
      </c>
    </row>
    <row r="98" spans="1:62" x14ac:dyDescent="0.25">
      <c r="A98" s="233" t="s">
        <v>1437</v>
      </c>
      <c r="B98" s="198" t="s">
        <v>93</v>
      </c>
      <c r="C98" s="198" t="s">
        <v>1244</v>
      </c>
      <c r="D98" s="198" t="str">
        <f>VLOOKUP(tabParametros[[#This Row],[Código do Posto]],tabPostos[],4,0)</f>
        <v>Regiao Uberaba</v>
      </c>
      <c r="E98" s="289" t="str">
        <f>VLOOKUP(tabParametros[[#This Row],[Código do Posto]],tabPostos[],5,0)</f>
        <v>Limpeza</v>
      </c>
      <c r="F98" s="289" t="str">
        <f>VLOOKUP(tabParametros[[#This Row],[Código do Posto]],tabPostos[],6,0)</f>
        <v>PGJ</v>
      </c>
      <c r="G98" s="289">
        <f>VLOOKUP(tabParametros[[#This Row],[Código do Posto]],tabPostos[],7,0)</f>
        <v>1</v>
      </c>
      <c r="H98" s="289">
        <f>VLOOKUP(tabParametros[[#This Row],[Código do Posto]],tabPostos[],8,0)</f>
        <v>0</v>
      </c>
      <c r="I98" s="234">
        <f>VLOOKUP(tabParametros[[#This Row],[Código do Posto]],tabPostos[],9,0)</f>
        <v>798.14</v>
      </c>
      <c r="J98" s="234">
        <f>IF(ISNUMBER(SEARCH("Eletricista",tabParametros[[#This Row],[Função]],1)),0.3*tabParametros[[#This Row],[Salário Base]],0)</f>
        <v>0</v>
      </c>
      <c r="K98" s="234">
        <f>IF(OR(ISNUMBER(SEARCH("Bombeiro Hidraulico",tabParametros[[#This Row],[Função]],1)),ISNUMBER(SEARCH("Jardineiro",tabParametros[[#This Row],[Função]],1)),ISNUMBER(SEARCH("Lavador de Veiculos",tabParametros[[#This Row],[Função]],1)),ISNUMBER(SEARCH("Marceneiro",tabParametros[[#This Row],[Função]],1)),ISNUMBER(SEARCH("Pintor",tabParametros[[#This Row],[Função]],1))),0.2*'BASE GERAL'!$R$4,0)</f>
        <v>0</v>
      </c>
      <c r="L98" s="234">
        <f>IF(AND(ISNUMBER(SEARCH("Noturno",tabParametros[[#This Row],[Função]],1)),tabParametros[[#This Row],[Comarca]]&lt;&gt;"Juiz de Fora"),tabParametros[[#This Row],[Salário Base]]/210*0.39*7*15.5,IF(ISNUMBER(SEARCH("Noturno",tabParametros[[#This Row],[Função]],1)),tabParametros[[#This Row],[Salário Base]]/210*0.2*8*15.5,0))</f>
        <v>0</v>
      </c>
      <c r="M98" s="234">
        <f>IF(ISNUMBER(SEARCH("Motorista II",tabParametros[[#This Row],[Função]],1)),0.25*tabParametros[[#This Row],[Salário Base]],0)</f>
        <v>0</v>
      </c>
      <c r="N98" s="250">
        <v>0</v>
      </c>
      <c r="O98" s="234">
        <f>IF(ISNUMBER(SEARCH("TECNOLOGIA DA INFORMACAO",tabParametros[[#This Row],[Função]],1)),0.0201*tabParametros[[#This Row],[Salário Base]],0)</f>
        <v>0</v>
      </c>
      <c r="P98" s="250" cm="1">
        <f t="array" ref="P98">_xlfn.IFS(
ISNUMBER(SEARCH("Auxiliar de Limpeza - 75 h",tabParametros[[#This Row],[Função]],1)),tabParametros[[#This Row],[Salário Base]]/75*0.75*30*0.12,
ISNUMBER(SEARCH("Auxiliar de Limpeza - 110 h",tabParametros[[#This Row],[Função]],1)),tabParametros[[#This Row],[Salário Base]]/110*1*30*0.12,
ISNUMBER(SEARCH("Auxiliar de Limpeza - 150 h",tabParametros[[#This Row],[Função]],1)),tabParametros[[#This Row],[Salário Base]]/150*1.5*30*0.12,
ISNUMBER(SEARCH("Auxiliar de Limpeza - 220 h",tabParametros[[#This Row],[Função]],1)),tabParametros[[#This Row],[Salário Base]]/220*2*30*0.12,
ISNUMBER(SEARCH("Auxiliar de Limpeza - 12 x 36",tabParametros[[#This Row],[Função]],1)),tabParametros[[#This Row],[Salário Base]]/220*2*30*0.12,
ISNUMBER(SEARCH("Auxiliar de Limpeza - 55 h",tabParametros[[#This Row],[Função]],1))=FALSE,0)</f>
        <v>26.120945454545453</v>
      </c>
      <c r="Q98" s="235">
        <f>VLOOKUP(tabParametros[[#Headers],[INSS]],tabImpostosNacionais[],2,0)</f>
        <v>0.2</v>
      </c>
      <c r="R98" s="235">
        <f>VLOOKUP(tabParametros[[#Headers],[SESI OU SESC]],tabImpostosNacionais[],2,0)</f>
        <v>1.4999999999999999E-2</v>
      </c>
      <c r="S98" s="235">
        <f>VLOOKUP(tabParametros[[#Headers],[SENAI OU SENAC]],tabImpostosNacionais[],2,0)</f>
        <v>0.01</v>
      </c>
      <c r="T98" s="235">
        <f>VLOOKUP(tabParametros[[#Headers],[INCRA]],tabImpostosNacionais[],2,0)</f>
        <v>2E-3</v>
      </c>
      <c r="U98" s="235">
        <f>VLOOKUP(tabParametros[[#Headers],[Salário Educação]],tabImpostosNacionais[],2,0)</f>
        <v>2.5000000000000001E-2</v>
      </c>
      <c r="V98" s="235">
        <f>VLOOKUP(tabParametros[[#Headers],[FGTS]],tabImpostosNacionais[],2,0)</f>
        <v>0.08</v>
      </c>
      <c r="W98" s="235">
        <f>VLOOKUP(tabParametros[[#Headers],[RAT Ajustado]],tabImpostosNacionais[],2,0)</f>
        <v>0.04</v>
      </c>
      <c r="X98" s="235">
        <f>VLOOKUP(tabParametros[[#Headers],[SEBRAE]],tabImpostosNacionais[],2,0)</f>
        <v>6.0000000000000001E-3</v>
      </c>
      <c r="Y98" s="235">
        <f t="shared" si="11"/>
        <v>8.3333333333333329E-2</v>
      </c>
      <c r="Z98" s="251">
        <f t="shared" si="12"/>
        <v>0.1111111111111111</v>
      </c>
      <c r="AA98" s="234">
        <f>VLOOKUP(tabParametros[[#This Row],[Comarca]],tabComarca[],5,0)</f>
        <v>6.4</v>
      </c>
      <c r="AB98" s="234">
        <f>IFERROR(VLOOKUP(tabParametros[[#This Row],[CCT DA CATEGORIA]],tabSindicatos[],6,0),0)</f>
        <v>29.15</v>
      </c>
      <c r="AC98" s="234">
        <f>IFERROR(VLOOKUP(tabParametros[[#This Row],[CCT DA CATEGORIA]],tabSindicatos[],7,0),0)</f>
        <v>0</v>
      </c>
      <c r="AD98" s="234" cm="1">
        <f t="array" ref="AD98">_xlfn.LET(
_xlpm.COMARCA, TRIM(UPPER(SUBSTITUTE(SUBSTITUTE(SUBSTITUTE(SUBSTITUTE(SUBSTITUTE(SUBSTITUTE(SUBSTITUTE(SUBSTITUTE(SUBSTITUTE(SUBSTITUTE(SUBSTITUTE(SUBSTITUTE(SUBSTITUTE(SUBSTITUTE(SUBSTITUTE(SUBSTITUTE(SUBSTITUTE(SUBSTITUTE(SUBSTITUTE(SUBSTITUTE(SUBSTITUTE(SUBSTITUTE(SUBSTITUTE(SUBSTITUTE(SUBSTITUTE(SUBSTITUTE(tabParametros[[#This Row],[Comarca]],"á","a"),"ã","a"),"â","a"),"é","e"),"ê","e"),"í","i"),"ó","o"),"õ","o"),"ô","o"),"ú","u"),"ç","c"),"Á","a"),"Ã","a"),"Â","a"),"É","e"),"Ê","e"),"Í","i"),"Ó","o"),"Õ","o"),"Ô","o"),"Ú","u"),"Ç","c"),"/MG","")," e ",", ")," ",""),".",""))),
_xlpm.MATRIZ_COMARCA, TRIM(UPPER(SUBSTITUTE(SUBSTITUTE(SUBSTITUTE(SUBSTITUTE(SUBSTITUTE(SUBSTITUTE(SUBSTITUTE(SUBSTITUTE(SUBSTITUTE(SUBSTITUTE(SUBSTITUTE(SUBSTITUTE(SUBSTITUTE(SUBSTITUTE(SUBSTITUTE(SUBSTITUTE(SUBSTITUTE(SUBSTITUTE(SUBSTITUTE(SUBSTITUTE(SUBSTITUTE(SUBSTITUTE(SUBSTITUTE(SUBSTITUTE(SUBSTITUTE(SUBSTITUTE(tabSindicatos[COMARCAS PAF],"á","a"),"ã","a"),"â","a"),"é","e"),"ê","e"),"í","i"),"ó","o"),"õ","o"),"ô","o"),"ú","u"),"ç","c"),"Á","a"),"Ã","a"),"Â","a"),"É","e"),"Ê","e"),"Í","i"),"Ó","o"),"Õ","o"),"Ô","o"),"Ú","u"),"Ç","c"),"/MG","")," e ",", ")," ",""),".",""))),
IFERROR(IF(_xlfn.XLOOKUP(tabParametros[[#This Row],[CCT DA CATEGORIA]],tabSindicatos[SINDICATOS],tabSindicatos[COMARCAS PAF])="",
VLOOKUP(tabParametros[[#This Row],[CCT DA CATEGORIA]],tabSindicatos[],8,0),
IF(ISNUMBER(SEARCH(TRIM(_xlpm.COMARCA),_xlfn.XLOOKUP(tabParametros[[#This Row],[CCT DA CATEGORIA]],tabSindicatos[SINDICATOS],_xlpm.MATRIZ_COMARCA),1)),VLOOKUP(tabParametros[[#This Row],[CCT DA CATEGORIA]],tabSindicatos[],8,0),0)
),0)
)</f>
        <v>51.86</v>
      </c>
      <c r="AE98" s="234">
        <f>IFERROR(VLOOKUP(tabParametros[[#This Row],[CCT DA CATEGORIA]],tabSindicatos[],9,0),0)</f>
        <v>0</v>
      </c>
      <c r="AF98" s="234">
        <f>IFERROR(VLOOKUP(tabParametros[[#This Row],[CCT DA CATEGORIA]],tabSindicatos[],10,0),0)</f>
        <v>0</v>
      </c>
      <c r="AG98" s="236">
        <f>VLOOKUP(tabParametros[[#Headers],[Seguro de Vida]],tabOutrosCustos[],3,0)</f>
        <v>3.36</v>
      </c>
      <c r="AH98" s="236">
        <f>IF(ISNUMBER(SEARCH("MOTORISTA",tabParametros[[#This Row],[Função]],1)),VLOOKUP("MOTORISTAS",tabDiarias[],2,0),IF(tabParametros[[#This Row],[Comarca]]="Belo Horizonte",VLOOKUP("LIMPEZA",tabDiarias[],2,0),0))</f>
        <v>0</v>
      </c>
      <c r="AI98" s="235">
        <f t="shared" si="13"/>
        <v>7.011766975308642E-3</v>
      </c>
      <c r="AJ98" s="237">
        <f>tabParametros[[#This Row],[FGTS]]*tabParametros[[#This Row],[Aviso Prévio Indenizado (API) e Reflexo do Aviso Prévio Indenizado]]</f>
        <v>5.609413580246914E-4</v>
      </c>
      <c r="AK98" s="237">
        <f>tabParametros[[#This Row],[FGTS]]*tabParametros[[#This Row],[Aviso Prévio Indenizado (API) e Reflexo do Aviso Prévio Indenizado]]*40%</f>
        <v>2.2437654320987658E-4</v>
      </c>
      <c r="AL98" s="235">
        <f t="shared" si="14"/>
        <v>3.5000000000000005E-3</v>
      </c>
      <c r="AM98" s="235">
        <f>tabParametros[[#This Row],[Aviso Prévio Trabalhado - APT]]*SUM(tabParametros[[#This Row],[INSS]:[SEBRAE]])</f>
        <v>1.3230000000000004E-3</v>
      </c>
      <c r="AN98" s="235">
        <f t="shared" si="15"/>
        <v>3.0577777777777773E-2</v>
      </c>
      <c r="AO98" s="235">
        <f t="shared" si="16"/>
        <v>8.3333333333333339E-4</v>
      </c>
      <c r="AP98" s="235">
        <f t="shared" si="17"/>
        <v>8.4444444444444437E-3</v>
      </c>
      <c r="AQ98" s="235">
        <f t="shared" si="18"/>
        <v>2.0277777777777777E-3</v>
      </c>
      <c r="AR98" s="235">
        <f t="shared" si="19"/>
        <v>1.7083333333333333E-4</v>
      </c>
      <c r="AS98" s="235">
        <f t="shared" si="20"/>
        <v>2.0833333333333335E-4</v>
      </c>
      <c r="AT98" s="235">
        <f t="shared" si="21"/>
        <v>1.2962962962962963E-3</v>
      </c>
      <c r="AU98" s="237">
        <f>SUM(tabParametros[[#This Row],[Ausência por Doença]:[Férias, Adicional de Férias e 13º  com empregada em gozo de Licença Maternidade]])*SUM(tabParametros[[#This Row],[INSS]:[SEBRAE]])</f>
        <v>4.5918250000000008E-3</v>
      </c>
      <c r="AV98" s="234">
        <f>IF(tabParametros[[#This Row],[Função]]="Porteiro - 220 h",SUM(tabParametros[[#This Row],[Salário Base]:[Adicional de Acúmulo de função]])/220*20*1.5,IF(ISNUMBER(SEARCH("12 x 36",tabParametros[[#This Row],[Função]],1)),SUM(tabParametros[[#This Row],[Salário Base]:[Adicional de Acúmulo de função]])/210*15.5*1.5,0))</f>
        <v>0</v>
      </c>
      <c r="AW98" s="234">
        <f>IF(tabParametros[[#This Row],[Vagas contratadas]]&gt;0,(SUM(tabParametros[[#This Row],[Salário Base]:[Adicional de Acúmulo de função]])*30%+SUM(tabParametros[[#This Row],[Vale - Alimentação]:[Seguro de Vida]]))/tabParametros[[#This Row],[Vagas contratadas]]*tabParametros[[#This Row],[Vagas suspensas]],0)</f>
        <v>0</v>
      </c>
      <c r="AX98" s="234">
        <f>SUMIF(tabUniformes[Cargo],tabParametros[[#This Row],[Função]],tabUniformes[Valor unit. Mensal])</f>
        <v>62.806666666666665</v>
      </c>
      <c r="AY98" s="281">
        <f>IF(ISNUMBER(SEARCH("AUXILIAR DE LIMPEZA - 75 H",tabParametros[[#This Row],[Função]],1)),
SUMIF(tabLimpGeral[TIPO],"Material",tabLimpGeral[VALOR UNITÁRIO P/ HORA (R$)])*75,
IF(ISNUMBER(SEARCH("AUXILIAR DE LIMPEZA - 110 H",tabParametros[[#This Row],[Função]],1)),
SUMIF(tabLimpGeral[TIPO],"Material",tabLimpGeral[VALOR UNITÁRIO P/ HORA (R$)])*110,
IF(ISNUMBER(SEARCH("AUXILIAR DE LIMPEZA - 150 H",tabParametros[[#This Row],[Função]],1)),
SUMIF(tabLimpGeral[TIPO],"Material",tabLimpGeral[VALOR UNITÁRIO P/ HORA (R$)])*150,
IF(ISNUMBER(SEARCH("AUXILIAR DE LIMPEZA - 220 H",tabParametros[[#This Row],[Função]],1)),
SUMIF(tabLimpGeral[TIPO],"Material",tabLimpGeral[VALOR UNITÁRIO P/ HORA (R$)])*220,
IF(ISNUMBER(SEARCH("AUXILIAR DE LIMPEZA - 12 x 36",tabParametros[[#This Row],[Função]],1)),
SUMIF(tabLimpGeral[TIPO],"Material",tabLimpGeral[VALOR UNITÁRIO P/ HORA (R$)])*220,
IF(ISNUMBER(SEARCH("Limpador de vidros - 220 h",tabParametros[[#This Row],[Função]],1)),
SUMIF(tabVidros[TIPO],"Material",tabVidros[VALOR UNITÁRIO P/ POSTO (R$)]),
0))))))</f>
        <v>17.759106479291944</v>
      </c>
      <c r="AZ98" s="281">
        <f>IF(ISNUMBER(SEARCH("AUXILIAR DE LIMPEZA - 75 H",tabParametros[[#This Row],[Função]],1)),
SUMIF(tabLimpGeral[TIPO],"Equipamento",tabLimpGeral[VALOR UNITÁRIO P/ HORA (R$)])*75,
IF(ISNUMBER(SEARCH("AUXILIAR DE LIMPEZA - 110 H",tabParametros[[#This Row],[Função]],1)),
SUMIF(tabLimpGeral[TIPO],"Equipamento",tabLimpGeral[VALOR UNITÁRIO P/ HORA (R$)])*110,
IF(ISNUMBER(SEARCH("AUXILIAR DE LIMPEZA - 150 H",tabParametros[[#This Row],[Função]],1)),
SUMIF(tabLimpGeral[TIPO],"Equipamento",tabLimpGeral[VALOR UNITÁRIO P/ HORA (R$)])*150,
IF(ISNUMBER(SEARCH("AUXILIAR DE LIMPEZA - 220 H",tabParametros[[#This Row],[Função]],1)),
SUMIF(tabLimpGeral[TIPO],"Equipamento",tabLimpGeral[VALOR UNITÁRIO P/ HORA (R$)])*220,
IF(ISNUMBER(SEARCH("AUXILIAR DE LIMPEZA - 12 x 36",tabParametros[[#This Row],[Função]],1)),
SUMIF(tabLimpGeral[TIPO],"Equipamento",tabLimpGeral[VALOR UNITÁRIO P/ HORA (R$)])*220,
IF(ISNUMBER(SEARCH("Limpador de vidros - 220 h",tabParametros[[#This Row],[Função]],1)),
SUMIF(tabVidros[TIPO],"Equipamento",tabVidros[VALOR UNITÁRIO P/ POSTO (R$)]),
0))))))</f>
        <v>32.264696957412788</v>
      </c>
      <c r="BA98" s="281">
        <f>IF(ISNUMBER(SEARCH("AUXILIAR DE LIMPEZA - 75 H",tabParametros[[#This Row],[Função]],1)),
SUMIF(tabLimpGeral[TIPO],"Produto",tabLimpGeral[VALOR UNITÁRIO P/ HORA (R$)])*75,
IF(ISNUMBER(SEARCH("AUXILIAR DE LIMPEZA - 110 H",tabParametros[[#This Row],[Função]],1)),
SUMIF(tabLimpGeral[TIPO],"Produto",tabLimpGeral[VALOR UNITÁRIO P/ HORA (R$)])*110,
IF(ISNUMBER(SEARCH("AUXILIAR DE LIMPEZA - 150 H",tabParametros[[#This Row],[Função]],1)),
SUMIF(tabLimpGeral[TIPO],"Produto",tabLimpGeral[VALOR UNITÁRIO P/ HORA (R$)])*150,
IF(ISNUMBER(SEARCH("AUXILIAR DE LIMPEZA - 220 H",tabParametros[[#This Row],[Função]],1)),
SUMIF(tabLimpGeral[TIPO],"Produto",tabLimpGeral[VALOR UNITÁRIO P/ HORA (R$)])*220,
IF(ISNUMBER(SEARCH("AUXILIAR DE LIMPEZA - 12 x 36",tabParametros[[#This Row],[Função]],1)),
SUMIF(tabLimpGeral[TIPO],"Produto",tabLimpGeral[VALOR UNITÁRIO P/ HORA (R$)])*220,
IF(ISNUMBER(SEARCH("Limpador de vidros - 220 h",tabParametros[[#This Row],[Função]],1)),
SUMIF(tabVidros[TIPO],"Produto",tabVidros[VALOR UNITÁRIO P/ POSTO (R$)]),
0))))))</f>
        <v>345.13576638965827</v>
      </c>
      <c r="BB98" s="281">
        <v>0</v>
      </c>
      <c r="BC98" s="236">
        <f>VLOOKUP(tabParametros[[#Headers],[Custos Indiretos]],tabOutrosCustos[],3,0)</f>
        <v>189.64880140242613</v>
      </c>
      <c r="BD98" s="236">
        <f>VLOOKUP(tabParametros[[#Headers],[Lucro]],tabOutrosCustos[],3,0)</f>
        <v>159.30499317803796</v>
      </c>
      <c r="BE98" s="235">
        <f>VLOOKUP(tabParametros[[#Headers],[COFINS]],tabImpostosNacionais[],2,0)</f>
        <v>7.5999999999999998E-2</v>
      </c>
      <c r="BF98" s="235">
        <f>VLOOKUP(tabParametros[[#Headers],[PIS]],tabImpostosNacionais[],2,0)</f>
        <v>1.6500000000000001E-2</v>
      </c>
      <c r="BG98" s="235">
        <f>VLOOKUP(tabParametros[[#This Row],[Comarca]],tabComarca[],4,0)</f>
        <v>0.02</v>
      </c>
      <c r="BH98" s="238">
        <f>IFERROR(VLOOKUP(tabParametros[[#This Row],[CCT DA CATEGORIA]],tabSindicatos[],11,0),"")</f>
        <v>45658</v>
      </c>
      <c r="BI98" s="289" t="str">
        <f>IFERROR(VLOOKUP(tabParametros[[#This Row],[CCT DA CATEGORIA]],tabSindicatos[],12,0),"")</f>
        <v>-</v>
      </c>
      <c r="BJ98" s="293" t="str">
        <f>IFERROR(VLOOKUP(tabParametros[[#This Row],[CCT DA CATEGORIA]],tabSindicatos[],13,0),"")</f>
        <v>-</v>
      </c>
    </row>
    <row r="99" spans="1:62" x14ac:dyDescent="0.25">
      <c r="A99" s="233" t="s">
        <v>1438</v>
      </c>
      <c r="B99" s="198" t="s">
        <v>93</v>
      </c>
      <c r="C99" s="198" t="s">
        <v>1245</v>
      </c>
      <c r="D99" s="198" t="str">
        <f>VLOOKUP(tabParametros[[#This Row],[Código do Posto]],tabPostos[],4,0)</f>
        <v>Regiao Uberaba</v>
      </c>
      <c r="E99" s="289" t="str">
        <f>VLOOKUP(tabParametros[[#This Row],[Código do Posto]],tabPostos[],5,0)</f>
        <v>Limpeza</v>
      </c>
      <c r="F99" s="289" t="str">
        <f>VLOOKUP(tabParametros[[#This Row],[Código do Posto]],tabPostos[],6,0)</f>
        <v>PGJ</v>
      </c>
      <c r="G99" s="289">
        <f>VLOOKUP(tabParametros[[#This Row],[Código do Posto]],tabPostos[],7,0)</f>
        <v>1</v>
      </c>
      <c r="H99" s="289">
        <f>VLOOKUP(tabParametros[[#This Row],[Código do Posto]],tabPostos[],8,0)</f>
        <v>0</v>
      </c>
      <c r="I99" s="234">
        <f>VLOOKUP(tabParametros[[#This Row],[Código do Posto]],tabPostos[],9,0)</f>
        <v>1596.28</v>
      </c>
      <c r="J99" s="234">
        <f>IF(ISNUMBER(SEARCH("Eletricista",tabParametros[[#This Row],[Função]],1)),0.3*tabParametros[[#This Row],[Salário Base]],0)</f>
        <v>0</v>
      </c>
      <c r="K99" s="234">
        <f>IF(OR(ISNUMBER(SEARCH("Bombeiro Hidraulico",tabParametros[[#This Row],[Função]],1)),ISNUMBER(SEARCH("Jardineiro",tabParametros[[#This Row],[Função]],1)),ISNUMBER(SEARCH("Lavador de Veiculos",tabParametros[[#This Row],[Função]],1)),ISNUMBER(SEARCH("Marceneiro",tabParametros[[#This Row],[Função]],1)),ISNUMBER(SEARCH("Pintor",tabParametros[[#This Row],[Função]],1))),0.2*'BASE GERAL'!$R$4,0)</f>
        <v>0</v>
      </c>
      <c r="L99" s="234">
        <f>IF(AND(ISNUMBER(SEARCH("Noturno",tabParametros[[#This Row],[Função]],1)),tabParametros[[#This Row],[Comarca]]&lt;&gt;"Juiz de Fora"),tabParametros[[#This Row],[Salário Base]]/210*0.39*7*15.5,IF(ISNUMBER(SEARCH("Noturno",tabParametros[[#This Row],[Função]],1)),tabParametros[[#This Row],[Salário Base]]/210*0.2*8*15.5,0))</f>
        <v>0</v>
      </c>
      <c r="M99" s="234">
        <f>IF(ISNUMBER(SEARCH("Motorista II",tabParametros[[#This Row],[Função]],1)),0.25*tabParametros[[#This Row],[Salário Base]],0)</f>
        <v>0</v>
      </c>
      <c r="N99" s="250">
        <v>0</v>
      </c>
      <c r="O99" s="234">
        <f>IF(ISNUMBER(SEARCH("TECNOLOGIA DA INFORMACAO",tabParametros[[#This Row],[Função]],1)),0.0201*tabParametros[[#This Row],[Salário Base]],0)</f>
        <v>0</v>
      </c>
      <c r="P99" s="250" cm="1">
        <f t="array" ref="P99">_xlfn.IFS(
ISNUMBER(SEARCH("Auxiliar de Limpeza - 75 h",tabParametros[[#This Row],[Função]],1)),tabParametros[[#This Row],[Salário Base]]/75*0.75*30*0.12,
ISNUMBER(SEARCH("Auxiliar de Limpeza - 110 h",tabParametros[[#This Row],[Função]],1)),tabParametros[[#This Row],[Salário Base]]/110*1*30*0.12,
ISNUMBER(SEARCH("Auxiliar de Limpeza - 150 h",tabParametros[[#This Row],[Função]],1)),tabParametros[[#This Row],[Salário Base]]/150*1.5*30*0.12,
ISNUMBER(SEARCH("Auxiliar de Limpeza - 220 h",tabParametros[[#This Row],[Função]],1)),tabParametros[[#This Row],[Salário Base]]/220*2*30*0.12,
ISNUMBER(SEARCH("Auxiliar de Limpeza - 12 x 36",tabParametros[[#This Row],[Função]],1)),tabParametros[[#This Row],[Salário Base]]/220*2*30*0.12,
ISNUMBER(SEARCH("Auxiliar de Limpeza - 55 h",tabParametros[[#This Row],[Função]],1))=FALSE,0)</f>
        <v>52.241890909090905</v>
      </c>
      <c r="Q99" s="235">
        <f>VLOOKUP(tabParametros[[#Headers],[INSS]],tabImpostosNacionais[],2,0)</f>
        <v>0.2</v>
      </c>
      <c r="R99" s="235">
        <f>VLOOKUP(tabParametros[[#Headers],[SESI OU SESC]],tabImpostosNacionais[],2,0)</f>
        <v>1.4999999999999999E-2</v>
      </c>
      <c r="S99" s="235">
        <f>VLOOKUP(tabParametros[[#Headers],[SENAI OU SENAC]],tabImpostosNacionais[],2,0)</f>
        <v>0.01</v>
      </c>
      <c r="T99" s="235">
        <f>VLOOKUP(tabParametros[[#Headers],[INCRA]],tabImpostosNacionais[],2,0)</f>
        <v>2E-3</v>
      </c>
      <c r="U99" s="235">
        <f>VLOOKUP(tabParametros[[#Headers],[Salário Educação]],tabImpostosNacionais[],2,0)</f>
        <v>2.5000000000000001E-2</v>
      </c>
      <c r="V99" s="235">
        <f>VLOOKUP(tabParametros[[#Headers],[FGTS]],tabImpostosNacionais[],2,0)</f>
        <v>0.08</v>
      </c>
      <c r="W99" s="235">
        <f>VLOOKUP(tabParametros[[#Headers],[RAT Ajustado]],tabImpostosNacionais[],2,0)</f>
        <v>0.04</v>
      </c>
      <c r="X99" s="235">
        <f>VLOOKUP(tabParametros[[#Headers],[SEBRAE]],tabImpostosNacionais[],2,0)</f>
        <v>6.0000000000000001E-3</v>
      </c>
      <c r="Y99" s="235">
        <f t="shared" si="11"/>
        <v>8.3333333333333329E-2</v>
      </c>
      <c r="Z99" s="251">
        <f t="shared" si="12"/>
        <v>0.1111111111111111</v>
      </c>
      <c r="AA99" s="234">
        <f>VLOOKUP(tabParametros[[#This Row],[Comarca]],tabComarca[],5,0)</f>
        <v>6.4</v>
      </c>
      <c r="AB99" s="234">
        <f>IFERROR(VLOOKUP(tabParametros[[#This Row],[CCT DA CATEGORIA]],tabSindicatos[],6,0),0)</f>
        <v>29.15</v>
      </c>
      <c r="AC99" s="234">
        <f>IFERROR(VLOOKUP(tabParametros[[#This Row],[CCT DA CATEGORIA]],tabSindicatos[],7,0),0)</f>
        <v>0</v>
      </c>
      <c r="AD99" s="234" cm="1">
        <f t="array" ref="AD99">_xlfn.LET(
_xlpm.COMARCA, TRIM(UPPER(SUBSTITUTE(SUBSTITUTE(SUBSTITUTE(SUBSTITUTE(SUBSTITUTE(SUBSTITUTE(SUBSTITUTE(SUBSTITUTE(SUBSTITUTE(SUBSTITUTE(SUBSTITUTE(SUBSTITUTE(SUBSTITUTE(SUBSTITUTE(SUBSTITUTE(SUBSTITUTE(SUBSTITUTE(SUBSTITUTE(SUBSTITUTE(SUBSTITUTE(SUBSTITUTE(SUBSTITUTE(SUBSTITUTE(SUBSTITUTE(SUBSTITUTE(SUBSTITUTE(tabParametros[[#This Row],[Comarca]],"á","a"),"ã","a"),"â","a"),"é","e"),"ê","e"),"í","i"),"ó","o"),"õ","o"),"ô","o"),"ú","u"),"ç","c"),"Á","a"),"Ã","a"),"Â","a"),"É","e"),"Ê","e"),"Í","i"),"Ó","o"),"Õ","o"),"Ô","o"),"Ú","u"),"Ç","c"),"/MG","")," e ",", ")," ",""),".",""))),
_xlpm.MATRIZ_COMARCA, TRIM(UPPER(SUBSTITUTE(SUBSTITUTE(SUBSTITUTE(SUBSTITUTE(SUBSTITUTE(SUBSTITUTE(SUBSTITUTE(SUBSTITUTE(SUBSTITUTE(SUBSTITUTE(SUBSTITUTE(SUBSTITUTE(SUBSTITUTE(SUBSTITUTE(SUBSTITUTE(SUBSTITUTE(SUBSTITUTE(SUBSTITUTE(SUBSTITUTE(SUBSTITUTE(SUBSTITUTE(SUBSTITUTE(SUBSTITUTE(SUBSTITUTE(SUBSTITUTE(SUBSTITUTE(tabSindicatos[COMARCAS PAF],"á","a"),"ã","a"),"â","a"),"é","e"),"ê","e"),"í","i"),"ó","o"),"õ","o"),"ô","o"),"ú","u"),"ç","c"),"Á","a"),"Ã","a"),"Â","a"),"É","e"),"Ê","e"),"Í","i"),"Ó","o"),"Õ","o"),"Ô","o"),"Ú","u"),"Ç","c"),"/MG","")," e ",", ")," ",""),".",""))),
IFERROR(IF(_xlfn.XLOOKUP(tabParametros[[#This Row],[CCT DA CATEGORIA]],tabSindicatos[SINDICATOS],tabSindicatos[COMARCAS PAF])="",
VLOOKUP(tabParametros[[#This Row],[CCT DA CATEGORIA]],tabSindicatos[],8,0),
IF(ISNUMBER(SEARCH(TRIM(_xlpm.COMARCA),_xlfn.XLOOKUP(tabParametros[[#This Row],[CCT DA CATEGORIA]],tabSindicatos[SINDICATOS],_xlpm.MATRIZ_COMARCA),1)),VLOOKUP(tabParametros[[#This Row],[CCT DA CATEGORIA]],tabSindicatos[],8,0),0)
),0)
)</f>
        <v>51.86</v>
      </c>
      <c r="AE99" s="234">
        <f>IFERROR(VLOOKUP(tabParametros[[#This Row],[CCT DA CATEGORIA]],tabSindicatos[],9,0),0)</f>
        <v>0</v>
      </c>
      <c r="AF99" s="234">
        <f>IFERROR(VLOOKUP(tabParametros[[#This Row],[CCT DA CATEGORIA]],tabSindicatos[],10,0),0)</f>
        <v>0</v>
      </c>
      <c r="AG99" s="236">
        <f>VLOOKUP(tabParametros[[#Headers],[Seguro de Vida]],tabOutrosCustos[],3,0)</f>
        <v>3.36</v>
      </c>
      <c r="AH99" s="236">
        <f>IF(ISNUMBER(SEARCH("MOTORISTA",tabParametros[[#This Row],[Função]],1)),VLOOKUP("MOTORISTAS",tabDiarias[],2,0),IF(tabParametros[[#This Row],[Comarca]]="Belo Horizonte",VLOOKUP("LIMPEZA",tabDiarias[],2,0),0))</f>
        <v>0</v>
      </c>
      <c r="AI99" s="235">
        <f t="shared" si="13"/>
        <v>7.011766975308642E-3</v>
      </c>
      <c r="AJ99" s="237">
        <f>tabParametros[[#This Row],[FGTS]]*tabParametros[[#This Row],[Aviso Prévio Indenizado (API) e Reflexo do Aviso Prévio Indenizado]]</f>
        <v>5.609413580246914E-4</v>
      </c>
      <c r="AK99" s="237">
        <f>tabParametros[[#This Row],[FGTS]]*tabParametros[[#This Row],[Aviso Prévio Indenizado (API) e Reflexo do Aviso Prévio Indenizado]]*40%</f>
        <v>2.2437654320987658E-4</v>
      </c>
      <c r="AL99" s="235">
        <f t="shared" si="14"/>
        <v>3.5000000000000005E-3</v>
      </c>
      <c r="AM99" s="235">
        <f>tabParametros[[#This Row],[Aviso Prévio Trabalhado - APT]]*SUM(tabParametros[[#This Row],[INSS]:[SEBRAE]])</f>
        <v>1.3230000000000004E-3</v>
      </c>
      <c r="AN99" s="235">
        <f t="shared" si="15"/>
        <v>3.0577777777777773E-2</v>
      </c>
      <c r="AO99" s="235">
        <f t="shared" si="16"/>
        <v>8.3333333333333339E-4</v>
      </c>
      <c r="AP99" s="235">
        <f t="shared" si="17"/>
        <v>8.4444444444444437E-3</v>
      </c>
      <c r="AQ99" s="235">
        <f t="shared" si="18"/>
        <v>2.0277777777777777E-3</v>
      </c>
      <c r="AR99" s="235">
        <f t="shared" si="19"/>
        <v>1.7083333333333333E-4</v>
      </c>
      <c r="AS99" s="235">
        <f t="shared" si="20"/>
        <v>2.0833333333333335E-4</v>
      </c>
      <c r="AT99" s="235">
        <f t="shared" si="21"/>
        <v>1.2962962962962963E-3</v>
      </c>
      <c r="AU99" s="237">
        <f>SUM(tabParametros[[#This Row],[Ausência por Doença]:[Férias, Adicional de Férias e 13º  com empregada em gozo de Licença Maternidade]])*SUM(tabParametros[[#This Row],[INSS]:[SEBRAE]])</f>
        <v>4.5918250000000008E-3</v>
      </c>
      <c r="AV99" s="234">
        <f>IF(tabParametros[[#This Row],[Função]]="Porteiro - 220 h",SUM(tabParametros[[#This Row],[Salário Base]:[Adicional de Acúmulo de função]])/220*20*1.5,IF(ISNUMBER(SEARCH("12 x 36",tabParametros[[#This Row],[Função]],1)),SUM(tabParametros[[#This Row],[Salário Base]:[Adicional de Acúmulo de função]])/210*15.5*1.5,0))</f>
        <v>0</v>
      </c>
      <c r="AW99" s="234">
        <f>IF(tabParametros[[#This Row],[Vagas contratadas]]&gt;0,(SUM(tabParametros[[#This Row],[Salário Base]:[Adicional de Acúmulo de função]])*30%+SUM(tabParametros[[#This Row],[Vale - Alimentação]:[Seguro de Vida]]))/tabParametros[[#This Row],[Vagas contratadas]]*tabParametros[[#This Row],[Vagas suspensas]],0)</f>
        <v>0</v>
      </c>
      <c r="AX99" s="234">
        <f>SUMIF(tabUniformes[Cargo],tabParametros[[#This Row],[Função]],tabUniformes[Valor unit. Mensal])</f>
        <v>100.80916666666666</v>
      </c>
      <c r="AY99" s="281">
        <f>IF(ISNUMBER(SEARCH("AUXILIAR DE LIMPEZA - 75 H",tabParametros[[#This Row],[Função]],1)),
SUMIF(tabLimpGeral[TIPO],"Material",tabLimpGeral[VALOR UNITÁRIO P/ HORA (R$)])*75,
IF(ISNUMBER(SEARCH("AUXILIAR DE LIMPEZA - 110 H",tabParametros[[#This Row],[Função]],1)),
SUMIF(tabLimpGeral[TIPO],"Material",tabLimpGeral[VALOR UNITÁRIO P/ HORA (R$)])*110,
IF(ISNUMBER(SEARCH("AUXILIAR DE LIMPEZA - 150 H",tabParametros[[#This Row],[Função]],1)),
SUMIF(tabLimpGeral[TIPO],"Material",tabLimpGeral[VALOR UNITÁRIO P/ HORA (R$)])*150,
IF(ISNUMBER(SEARCH("AUXILIAR DE LIMPEZA - 220 H",tabParametros[[#This Row],[Função]],1)),
SUMIF(tabLimpGeral[TIPO],"Material",tabLimpGeral[VALOR UNITÁRIO P/ HORA (R$)])*220,
IF(ISNUMBER(SEARCH("AUXILIAR DE LIMPEZA - 12 x 36",tabParametros[[#This Row],[Função]],1)),
SUMIF(tabLimpGeral[TIPO],"Material",tabLimpGeral[VALOR UNITÁRIO P/ HORA (R$)])*220,
IF(ISNUMBER(SEARCH("Limpador de vidros - 220 h",tabParametros[[#This Row],[Função]],1)),
SUMIF(tabVidros[TIPO],"Material",tabVidros[VALOR UNITÁRIO P/ POSTO (R$)]),
0))))))</f>
        <v>35.518212958583888</v>
      </c>
      <c r="AZ99" s="281">
        <f>IF(ISNUMBER(SEARCH("AUXILIAR DE LIMPEZA - 75 H",tabParametros[[#This Row],[Função]],1)),
SUMIF(tabLimpGeral[TIPO],"Equipamento",tabLimpGeral[VALOR UNITÁRIO P/ HORA (R$)])*75,
IF(ISNUMBER(SEARCH("AUXILIAR DE LIMPEZA - 110 H",tabParametros[[#This Row],[Função]],1)),
SUMIF(tabLimpGeral[TIPO],"Equipamento",tabLimpGeral[VALOR UNITÁRIO P/ HORA (R$)])*110,
IF(ISNUMBER(SEARCH("AUXILIAR DE LIMPEZA - 150 H",tabParametros[[#This Row],[Função]],1)),
SUMIF(tabLimpGeral[TIPO],"Equipamento",tabLimpGeral[VALOR UNITÁRIO P/ HORA (R$)])*150,
IF(ISNUMBER(SEARCH("AUXILIAR DE LIMPEZA - 220 H",tabParametros[[#This Row],[Função]],1)),
SUMIF(tabLimpGeral[TIPO],"Equipamento",tabLimpGeral[VALOR UNITÁRIO P/ HORA (R$)])*220,
IF(ISNUMBER(SEARCH("AUXILIAR DE LIMPEZA - 12 x 36",tabParametros[[#This Row],[Função]],1)),
SUMIF(tabLimpGeral[TIPO],"Equipamento",tabLimpGeral[VALOR UNITÁRIO P/ HORA (R$)])*220,
IF(ISNUMBER(SEARCH("Limpador de vidros - 220 h",tabParametros[[#This Row],[Função]],1)),
SUMIF(tabVidros[TIPO],"Equipamento",tabVidros[VALOR UNITÁRIO P/ POSTO (R$)]),
0))))))</f>
        <v>64.529393914825576</v>
      </c>
      <c r="BA99" s="281">
        <f>IF(ISNUMBER(SEARCH("AUXILIAR DE LIMPEZA - 75 H",tabParametros[[#This Row],[Função]],1)),
SUMIF(tabLimpGeral[TIPO],"Produto",tabLimpGeral[VALOR UNITÁRIO P/ HORA (R$)])*75,
IF(ISNUMBER(SEARCH("AUXILIAR DE LIMPEZA - 110 H",tabParametros[[#This Row],[Função]],1)),
SUMIF(tabLimpGeral[TIPO],"Produto",tabLimpGeral[VALOR UNITÁRIO P/ HORA (R$)])*110,
IF(ISNUMBER(SEARCH("AUXILIAR DE LIMPEZA - 150 H",tabParametros[[#This Row],[Função]],1)),
SUMIF(tabLimpGeral[TIPO],"Produto",tabLimpGeral[VALOR UNITÁRIO P/ HORA (R$)])*150,
IF(ISNUMBER(SEARCH("AUXILIAR DE LIMPEZA - 220 H",tabParametros[[#This Row],[Função]],1)),
SUMIF(tabLimpGeral[TIPO],"Produto",tabLimpGeral[VALOR UNITÁRIO P/ HORA (R$)])*220,
IF(ISNUMBER(SEARCH("AUXILIAR DE LIMPEZA - 12 x 36",tabParametros[[#This Row],[Função]],1)),
SUMIF(tabLimpGeral[TIPO],"Produto",tabLimpGeral[VALOR UNITÁRIO P/ HORA (R$)])*220,
IF(ISNUMBER(SEARCH("Limpador de vidros - 220 h",tabParametros[[#This Row],[Função]],1)),
SUMIF(tabVidros[TIPO],"Produto",tabVidros[VALOR UNITÁRIO P/ POSTO (R$)]),
0))))))</f>
        <v>690.27153277931654</v>
      </c>
      <c r="BB99" s="281">
        <v>0</v>
      </c>
      <c r="BC99" s="236">
        <f>VLOOKUP(tabParametros[[#Headers],[Custos Indiretos]],tabOutrosCustos[],3,0)</f>
        <v>189.64880140242613</v>
      </c>
      <c r="BD99" s="236">
        <f>VLOOKUP(tabParametros[[#Headers],[Lucro]],tabOutrosCustos[],3,0)</f>
        <v>159.30499317803796</v>
      </c>
      <c r="BE99" s="235">
        <f>VLOOKUP(tabParametros[[#Headers],[COFINS]],tabImpostosNacionais[],2,0)</f>
        <v>7.5999999999999998E-2</v>
      </c>
      <c r="BF99" s="235">
        <f>VLOOKUP(tabParametros[[#Headers],[PIS]],tabImpostosNacionais[],2,0)</f>
        <v>1.6500000000000001E-2</v>
      </c>
      <c r="BG99" s="235">
        <f>VLOOKUP(tabParametros[[#This Row],[Comarca]],tabComarca[],4,0)</f>
        <v>0.02</v>
      </c>
      <c r="BH99" s="238">
        <f>IFERROR(VLOOKUP(tabParametros[[#This Row],[CCT DA CATEGORIA]],tabSindicatos[],11,0),"")</f>
        <v>45658</v>
      </c>
      <c r="BI99" s="289" t="str">
        <f>IFERROR(VLOOKUP(tabParametros[[#This Row],[CCT DA CATEGORIA]],tabSindicatos[],12,0),"")</f>
        <v>-</v>
      </c>
      <c r="BJ99" s="293" t="str">
        <f>IFERROR(VLOOKUP(tabParametros[[#This Row],[CCT DA CATEGORIA]],tabSindicatos[],13,0),"")</f>
        <v>-</v>
      </c>
    </row>
    <row r="100" spans="1:62" x14ac:dyDescent="0.25">
      <c r="A100" s="233" t="s">
        <v>1439</v>
      </c>
      <c r="B100" s="198" t="s">
        <v>94</v>
      </c>
      <c r="C100" s="198" t="s">
        <v>1244</v>
      </c>
      <c r="D100" s="198" t="str">
        <f>VLOOKUP(tabParametros[[#This Row],[Código do Posto]],tabPostos[],4,0)</f>
        <v>Gov. Valadares</v>
      </c>
      <c r="E100" s="289" t="str">
        <f>VLOOKUP(tabParametros[[#This Row],[Código do Posto]],tabPostos[],5,0)</f>
        <v>Limpeza</v>
      </c>
      <c r="F100" s="289" t="str">
        <f>VLOOKUP(tabParametros[[#This Row],[Código do Posto]],tabPostos[],6,0)</f>
        <v>PGJ</v>
      </c>
      <c r="G100" s="289">
        <f>VLOOKUP(tabParametros[[#This Row],[Código do Posto]],tabPostos[],7,0)</f>
        <v>1</v>
      </c>
      <c r="H100" s="289">
        <f>VLOOKUP(tabParametros[[#This Row],[Código do Posto]],tabPostos[],8,0)</f>
        <v>0</v>
      </c>
      <c r="I100" s="234">
        <f>VLOOKUP(tabParametros[[#This Row],[Código do Posto]],tabPostos[],9,0)</f>
        <v>824.56</v>
      </c>
      <c r="J100" s="234">
        <f>IF(ISNUMBER(SEARCH("Eletricista",tabParametros[[#This Row],[Função]],1)),0.3*tabParametros[[#This Row],[Salário Base]],0)</f>
        <v>0</v>
      </c>
      <c r="K100" s="234">
        <f>IF(OR(ISNUMBER(SEARCH("Bombeiro Hidraulico",tabParametros[[#This Row],[Função]],1)),ISNUMBER(SEARCH("Jardineiro",tabParametros[[#This Row],[Função]],1)),ISNUMBER(SEARCH("Lavador de Veiculos",tabParametros[[#This Row],[Função]],1)),ISNUMBER(SEARCH("Marceneiro",tabParametros[[#This Row],[Função]],1)),ISNUMBER(SEARCH("Pintor",tabParametros[[#This Row],[Função]],1))),0.2*'BASE GERAL'!$R$4,0)</f>
        <v>0</v>
      </c>
      <c r="L100" s="234">
        <f>IF(AND(ISNUMBER(SEARCH("Noturno",tabParametros[[#This Row],[Função]],1)),tabParametros[[#This Row],[Comarca]]&lt;&gt;"Juiz de Fora"),tabParametros[[#This Row],[Salário Base]]/210*0.39*7*15.5,IF(ISNUMBER(SEARCH("Noturno",tabParametros[[#This Row],[Função]],1)),tabParametros[[#This Row],[Salário Base]]/210*0.2*8*15.5,0))</f>
        <v>0</v>
      </c>
      <c r="M100" s="234">
        <f>IF(ISNUMBER(SEARCH("Motorista II",tabParametros[[#This Row],[Função]],1)),0.25*tabParametros[[#This Row],[Salário Base]],0)</f>
        <v>0</v>
      </c>
      <c r="N100" s="250">
        <v>0</v>
      </c>
      <c r="O100" s="234">
        <f>IF(ISNUMBER(SEARCH("TECNOLOGIA DA INFORMACAO",tabParametros[[#This Row],[Função]],1)),0.0201*tabParametros[[#This Row],[Salário Base]],0)</f>
        <v>0</v>
      </c>
      <c r="P100" s="250" cm="1">
        <f t="array" ref="P100">_xlfn.IFS(
ISNUMBER(SEARCH("Auxiliar de Limpeza - 75 h",tabParametros[[#This Row],[Função]],1)),tabParametros[[#This Row],[Salário Base]]/75*0.75*30*0.12,
ISNUMBER(SEARCH("Auxiliar de Limpeza - 110 h",tabParametros[[#This Row],[Função]],1)),tabParametros[[#This Row],[Salário Base]]/110*1*30*0.12,
ISNUMBER(SEARCH("Auxiliar de Limpeza - 150 h",tabParametros[[#This Row],[Função]],1)),tabParametros[[#This Row],[Salário Base]]/150*1.5*30*0.12,
ISNUMBER(SEARCH("Auxiliar de Limpeza - 220 h",tabParametros[[#This Row],[Função]],1)),tabParametros[[#This Row],[Salário Base]]/220*2*30*0.12,
ISNUMBER(SEARCH("Auxiliar de Limpeza - 12 x 36",tabParametros[[#This Row],[Função]],1)),tabParametros[[#This Row],[Salário Base]]/220*2*30*0.12,
ISNUMBER(SEARCH("Auxiliar de Limpeza - 55 h",tabParametros[[#This Row],[Função]],1))=FALSE,0)</f>
        <v>26.985599999999998</v>
      </c>
      <c r="Q100" s="235">
        <f>VLOOKUP(tabParametros[[#Headers],[INSS]],tabImpostosNacionais[],2,0)</f>
        <v>0.2</v>
      </c>
      <c r="R100" s="235">
        <f>VLOOKUP(tabParametros[[#Headers],[SESI OU SESC]],tabImpostosNacionais[],2,0)</f>
        <v>1.4999999999999999E-2</v>
      </c>
      <c r="S100" s="235">
        <f>VLOOKUP(tabParametros[[#Headers],[SENAI OU SENAC]],tabImpostosNacionais[],2,0)</f>
        <v>0.01</v>
      </c>
      <c r="T100" s="235">
        <f>VLOOKUP(tabParametros[[#Headers],[INCRA]],tabImpostosNacionais[],2,0)</f>
        <v>2E-3</v>
      </c>
      <c r="U100" s="235">
        <f>VLOOKUP(tabParametros[[#Headers],[Salário Educação]],tabImpostosNacionais[],2,0)</f>
        <v>2.5000000000000001E-2</v>
      </c>
      <c r="V100" s="235">
        <f>VLOOKUP(tabParametros[[#Headers],[FGTS]],tabImpostosNacionais[],2,0)</f>
        <v>0.08</v>
      </c>
      <c r="W100" s="235">
        <f>VLOOKUP(tabParametros[[#Headers],[RAT Ajustado]],tabImpostosNacionais[],2,0)</f>
        <v>0.04</v>
      </c>
      <c r="X100" s="235">
        <f>VLOOKUP(tabParametros[[#Headers],[SEBRAE]],tabImpostosNacionais[],2,0)</f>
        <v>6.0000000000000001E-3</v>
      </c>
      <c r="Y100" s="235">
        <f t="shared" si="11"/>
        <v>8.3333333333333329E-2</v>
      </c>
      <c r="Z100" s="251">
        <f t="shared" si="12"/>
        <v>0.1111111111111111</v>
      </c>
      <c r="AA100" s="234">
        <f>VLOOKUP(tabParametros[[#This Row],[Comarca]],tabComarca[],5,0)</f>
        <v>6.4</v>
      </c>
      <c r="AB100" s="234">
        <f>IFERROR(VLOOKUP(tabParametros[[#This Row],[CCT DA CATEGORIA]],tabSindicatos[],6,0),0)</f>
        <v>29.15</v>
      </c>
      <c r="AC100" s="234">
        <f>IFERROR(VLOOKUP(tabParametros[[#This Row],[CCT DA CATEGORIA]],tabSindicatos[],7,0),0)</f>
        <v>0</v>
      </c>
      <c r="AD100" s="234" cm="1">
        <f t="array" ref="AD100">_xlfn.LET(
_xlpm.COMARCA, TRIM(UPPER(SUBSTITUTE(SUBSTITUTE(SUBSTITUTE(SUBSTITUTE(SUBSTITUTE(SUBSTITUTE(SUBSTITUTE(SUBSTITUTE(SUBSTITUTE(SUBSTITUTE(SUBSTITUTE(SUBSTITUTE(SUBSTITUTE(SUBSTITUTE(SUBSTITUTE(SUBSTITUTE(SUBSTITUTE(SUBSTITUTE(SUBSTITUTE(SUBSTITUTE(SUBSTITUTE(SUBSTITUTE(SUBSTITUTE(SUBSTITUTE(SUBSTITUTE(SUBSTITUTE(tabParametros[[#This Row],[Comarca]],"á","a"),"ã","a"),"â","a"),"é","e"),"ê","e"),"í","i"),"ó","o"),"õ","o"),"ô","o"),"ú","u"),"ç","c"),"Á","a"),"Ã","a"),"Â","a"),"É","e"),"Ê","e"),"Í","i"),"Ó","o"),"Õ","o"),"Ô","o"),"Ú","u"),"Ç","c"),"/MG","")," e ",", ")," ",""),".",""))),
_xlpm.MATRIZ_COMARCA, TRIM(UPPER(SUBSTITUTE(SUBSTITUTE(SUBSTITUTE(SUBSTITUTE(SUBSTITUTE(SUBSTITUTE(SUBSTITUTE(SUBSTITUTE(SUBSTITUTE(SUBSTITUTE(SUBSTITUTE(SUBSTITUTE(SUBSTITUTE(SUBSTITUTE(SUBSTITUTE(SUBSTITUTE(SUBSTITUTE(SUBSTITUTE(SUBSTITUTE(SUBSTITUTE(SUBSTITUTE(SUBSTITUTE(SUBSTITUTE(SUBSTITUTE(SUBSTITUTE(SUBSTITUTE(tabSindicatos[COMARCAS PAF],"á","a"),"ã","a"),"â","a"),"é","e"),"ê","e"),"í","i"),"ó","o"),"õ","o"),"ô","o"),"ú","u"),"ç","c"),"Á","a"),"Ã","a"),"Â","a"),"É","e"),"Ê","e"),"Í","i"),"Ó","o"),"Õ","o"),"Ô","o"),"Ú","u"),"Ç","c"),"/MG","")," e ",", ")," ",""),".",""))),
IFERROR(IF(_xlfn.XLOOKUP(tabParametros[[#This Row],[CCT DA CATEGORIA]],tabSindicatos[SINDICATOS],tabSindicatos[COMARCAS PAF])="",
VLOOKUP(tabParametros[[#This Row],[CCT DA CATEGORIA]],tabSindicatos[],8,0),
IF(ISNUMBER(SEARCH(TRIM(_xlpm.COMARCA),_xlfn.XLOOKUP(tabParametros[[#This Row],[CCT DA CATEGORIA]],tabSindicatos[SINDICATOS],_xlpm.MATRIZ_COMARCA),1)),VLOOKUP(tabParametros[[#This Row],[CCT DA CATEGORIA]],tabSindicatos[],8,0),0)
),0)
)</f>
        <v>51.88</v>
      </c>
      <c r="AE100" s="234">
        <f>IFERROR(VLOOKUP(tabParametros[[#This Row],[CCT DA CATEGORIA]],tabSindicatos[],9,0),0)</f>
        <v>0</v>
      </c>
      <c r="AF100" s="234">
        <f>IFERROR(VLOOKUP(tabParametros[[#This Row],[CCT DA CATEGORIA]],tabSindicatos[],10,0),0)</f>
        <v>0</v>
      </c>
      <c r="AG100" s="236">
        <f>VLOOKUP(tabParametros[[#Headers],[Seguro de Vida]],tabOutrosCustos[],3,0)</f>
        <v>3.36</v>
      </c>
      <c r="AH100" s="236">
        <f>IF(ISNUMBER(SEARCH("MOTORISTA",tabParametros[[#This Row],[Função]],1)),VLOOKUP("MOTORISTAS",tabDiarias[],2,0),IF(tabParametros[[#This Row],[Comarca]]="Belo Horizonte",VLOOKUP("LIMPEZA",tabDiarias[],2,0),0))</f>
        <v>0</v>
      </c>
      <c r="AI100" s="235">
        <f t="shared" si="13"/>
        <v>7.011766975308642E-3</v>
      </c>
      <c r="AJ100" s="237">
        <f>tabParametros[[#This Row],[FGTS]]*tabParametros[[#This Row],[Aviso Prévio Indenizado (API) e Reflexo do Aviso Prévio Indenizado]]</f>
        <v>5.609413580246914E-4</v>
      </c>
      <c r="AK100" s="237">
        <f>tabParametros[[#This Row],[FGTS]]*tabParametros[[#This Row],[Aviso Prévio Indenizado (API) e Reflexo do Aviso Prévio Indenizado]]*40%</f>
        <v>2.2437654320987658E-4</v>
      </c>
      <c r="AL100" s="235">
        <f t="shared" si="14"/>
        <v>3.5000000000000005E-3</v>
      </c>
      <c r="AM100" s="235">
        <f>tabParametros[[#This Row],[Aviso Prévio Trabalhado - APT]]*SUM(tabParametros[[#This Row],[INSS]:[SEBRAE]])</f>
        <v>1.3230000000000004E-3</v>
      </c>
      <c r="AN100" s="235">
        <f t="shared" si="15"/>
        <v>3.0577777777777773E-2</v>
      </c>
      <c r="AO100" s="235">
        <f t="shared" si="16"/>
        <v>8.3333333333333339E-4</v>
      </c>
      <c r="AP100" s="235">
        <f t="shared" si="17"/>
        <v>8.4444444444444437E-3</v>
      </c>
      <c r="AQ100" s="235">
        <f t="shared" si="18"/>
        <v>2.0277777777777777E-3</v>
      </c>
      <c r="AR100" s="235">
        <f t="shared" si="19"/>
        <v>1.7083333333333333E-4</v>
      </c>
      <c r="AS100" s="235">
        <f t="shared" si="20"/>
        <v>2.0833333333333335E-4</v>
      </c>
      <c r="AT100" s="235">
        <f t="shared" si="21"/>
        <v>1.2962962962962963E-3</v>
      </c>
      <c r="AU100" s="237">
        <f>SUM(tabParametros[[#This Row],[Ausência por Doença]:[Férias, Adicional de Férias e 13º  com empregada em gozo de Licença Maternidade]])*SUM(tabParametros[[#This Row],[INSS]:[SEBRAE]])</f>
        <v>4.5918250000000008E-3</v>
      </c>
      <c r="AV100" s="234">
        <f>IF(tabParametros[[#This Row],[Função]]="Porteiro - 220 h",SUM(tabParametros[[#This Row],[Salário Base]:[Adicional de Acúmulo de função]])/220*20*1.5,IF(ISNUMBER(SEARCH("12 x 36",tabParametros[[#This Row],[Função]],1)),SUM(tabParametros[[#This Row],[Salário Base]:[Adicional de Acúmulo de função]])/210*15.5*1.5,0))</f>
        <v>0</v>
      </c>
      <c r="AW100" s="234">
        <f>IF(tabParametros[[#This Row],[Vagas contratadas]]&gt;0,(SUM(tabParametros[[#This Row],[Salário Base]:[Adicional de Acúmulo de função]])*30%+SUM(tabParametros[[#This Row],[Vale - Alimentação]:[Seguro de Vida]]))/tabParametros[[#This Row],[Vagas contratadas]]*tabParametros[[#This Row],[Vagas suspensas]],0)</f>
        <v>0</v>
      </c>
      <c r="AX100" s="234">
        <f>SUMIF(tabUniformes[Cargo],tabParametros[[#This Row],[Função]],tabUniformes[Valor unit. Mensal])</f>
        <v>62.806666666666665</v>
      </c>
      <c r="AY100" s="281">
        <f>IF(ISNUMBER(SEARCH("AUXILIAR DE LIMPEZA - 75 H",tabParametros[[#This Row],[Função]],1)),
SUMIF(tabLimpGeral[TIPO],"Material",tabLimpGeral[VALOR UNITÁRIO P/ HORA (R$)])*75,
IF(ISNUMBER(SEARCH("AUXILIAR DE LIMPEZA - 110 H",tabParametros[[#This Row],[Função]],1)),
SUMIF(tabLimpGeral[TIPO],"Material",tabLimpGeral[VALOR UNITÁRIO P/ HORA (R$)])*110,
IF(ISNUMBER(SEARCH("AUXILIAR DE LIMPEZA - 150 H",tabParametros[[#This Row],[Função]],1)),
SUMIF(tabLimpGeral[TIPO],"Material",tabLimpGeral[VALOR UNITÁRIO P/ HORA (R$)])*150,
IF(ISNUMBER(SEARCH("AUXILIAR DE LIMPEZA - 220 H",tabParametros[[#This Row],[Função]],1)),
SUMIF(tabLimpGeral[TIPO],"Material",tabLimpGeral[VALOR UNITÁRIO P/ HORA (R$)])*220,
IF(ISNUMBER(SEARCH("AUXILIAR DE LIMPEZA - 12 x 36",tabParametros[[#This Row],[Função]],1)),
SUMIF(tabLimpGeral[TIPO],"Material",tabLimpGeral[VALOR UNITÁRIO P/ HORA (R$)])*220,
IF(ISNUMBER(SEARCH("Limpador de vidros - 220 h",tabParametros[[#This Row],[Função]],1)),
SUMIF(tabVidros[TIPO],"Material",tabVidros[VALOR UNITÁRIO P/ POSTO (R$)]),
0))))))</f>
        <v>17.759106479291944</v>
      </c>
      <c r="AZ100" s="281">
        <f>IF(ISNUMBER(SEARCH("AUXILIAR DE LIMPEZA - 75 H",tabParametros[[#This Row],[Função]],1)),
SUMIF(tabLimpGeral[TIPO],"Equipamento",tabLimpGeral[VALOR UNITÁRIO P/ HORA (R$)])*75,
IF(ISNUMBER(SEARCH("AUXILIAR DE LIMPEZA - 110 H",tabParametros[[#This Row],[Função]],1)),
SUMIF(tabLimpGeral[TIPO],"Equipamento",tabLimpGeral[VALOR UNITÁRIO P/ HORA (R$)])*110,
IF(ISNUMBER(SEARCH("AUXILIAR DE LIMPEZA - 150 H",tabParametros[[#This Row],[Função]],1)),
SUMIF(tabLimpGeral[TIPO],"Equipamento",tabLimpGeral[VALOR UNITÁRIO P/ HORA (R$)])*150,
IF(ISNUMBER(SEARCH("AUXILIAR DE LIMPEZA - 220 H",tabParametros[[#This Row],[Função]],1)),
SUMIF(tabLimpGeral[TIPO],"Equipamento",tabLimpGeral[VALOR UNITÁRIO P/ HORA (R$)])*220,
IF(ISNUMBER(SEARCH("AUXILIAR DE LIMPEZA - 12 x 36",tabParametros[[#This Row],[Função]],1)),
SUMIF(tabLimpGeral[TIPO],"Equipamento",tabLimpGeral[VALOR UNITÁRIO P/ HORA (R$)])*220,
IF(ISNUMBER(SEARCH("Limpador de vidros - 220 h",tabParametros[[#This Row],[Função]],1)),
SUMIF(tabVidros[TIPO],"Equipamento",tabVidros[VALOR UNITÁRIO P/ POSTO (R$)]),
0))))))</f>
        <v>32.264696957412788</v>
      </c>
      <c r="BA100" s="281">
        <f>IF(ISNUMBER(SEARCH("AUXILIAR DE LIMPEZA - 75 H",tabParametros[[#This Row],[Função]],1)),
SUMIF(tabLimpGeral[TIPO],"Produto",tabLimpGeral[VALOR UNITÁRIO P/ HORA (R$)])*75,
IF(ISNUMBER(SEARCH("AUXILIAR DE LIMPEZA - 110 H",tabParametros[[#This Row],[Função]],1)),
SUMIF(tabLimpGeral[TIPO],"Produto",tabLimpGeral[VALOR UNITÁRIO P/ HORA (R$)])*110,
IF(ISNUMBER(SEARCH("AUXILIAR DE LIMPEZA - 150 H",tabParametros[[#This Row],[Função]],1)),
SUMIF(tabLimpGeral[TIPO],"Produto",tabLimpGeral[VALOR UNITÁRIO P/ HORA (R$)])*150,
IF(ISNUMBER(SEARCH("AUXILIAR DE LIMPEZA - 220 H",tabParametros[[#This Row],[Função]],1)),
SUMIF(tabLimpGeral[TIPO],"Produto",tabLimpGeral[VALOR UNITÁRIO P/ HORA (R$)])*220,
IF(ISNUMBER(SEARCH("AUXILIAR DE LIMPEZA - 12 x 36",tabParametros[[#This Row],[Função]],1)),
SUMIF(tabLimpGeral[TIPO],"Produto",tabLimpGeral[VALOR UNITÁRIO P/ HORA (R$)])*220,
IF(ISNUMBER(SEARCH("Limpador de vidros - 220 h",tabParametros[[#This Row],[Função]],1)),
SUMIF(tabVidros[TIPO],"Produto",tabVidros[VALOR UNITÁRIO P/ POSTO (R$)]),
0))))))</f>
        <v>345.13576638965827</v>
      </c>
      <c r="BB100" s="281">
        <v>0</v>
      </c>
      <c r="BC100" s="236">
        <f>VLOOKUP(tabParametros[[#Headers],[Custos Indiretos]],tabOutrosCustos[],3,0)</f>
        <v>189.64880140242613</v>
      </c>
      <c r="BD100" s="236">
        <f>VLOOKUP(tabParametros[[#Headers],[Lucro]],tabOutrosCustos[],3,0)</f>
        <v>159.30499317803796</v>
      </c>
      <c r="BE100" s="235">
        <f>VLOOKUP(tabParametros[[#Headers],[COFINS]],tabImpostosNacionais[],2,0)</f>
        <v>7.5999999999999998E-2</v>
      </c>
      <c r="BF100" s="235">
        <f>VLOOKUP(tabParametros[[#Headers],[PIS]],tabImpostosNacionais[],2,0)</f>
        <v>1.6500000000000001E-2</v>
      </c>
      <c r="BG100" s="235">
        <f>VLOOKUP(tabParametros[[#This Row],[Comarca]],tabComarca[],4,0)</f>
        <v>0.05</v>
      </c>
      <c r="BH100" s="238">
        <f>IFERROR(VLOOKUP(tabParametros[[#This Row],[CCT DA CATEGORIA]],tabSindicatos[],11,0),"")</f>
        <v>45658</v>
      </c>
      <c r="BI100" s="289" t="str">
        <f>IFERROR(VLOOKUP(tabParametros[[#This Row],[CCT DA CATEGORIA]],tabSindicatos[],12,0),"")</f>
        <v>-</v>
      </c>
      <c r="BJ100" s="293" t="str">
        <f>IFERROR(VLOOKUP(tabParametros[[#This Row],[CCT DA CATEGORIA]],tabSindicatos[],13,0),"")</f>
        <v>-</v>
      </c>
    </row>
    <row r="101" spans="1:62" x14ac:dyDescent="0.25">
      <c r="A101" s="233" t="s">
        <v>1440</v>
      </c>
      <c r="B101" s="198" t="s">
        <v>94</v>
      </c>
      <c r="C101" s="198" t="s">
        <v>1245</v>
      </c>
      <c r="D101" s="198" t="str">
        <f>VLOOKUP(tabParametros[[#This Row],[Código do Posto]],tabPostos[],4,0)</f>
        <v>Gov. Valadares</v>
      </c>
      <c r="E101" s="289" t="str">
        <f>VLOOKUP(tabParametros[[#This Row],[Código do Posto]],tabPostos[],5,0)</f>
        <v>Limpeza</v>
      </c>
      <c r="F101" s="289" t="str">
        <f>VLOOKUP(tabParametros[[#This Row],[Código do Posto]],tabPostos[],6,0)</f>
        <v>PGJ</v>
      </c>
      <c r="G101" s="289">
        <f>VLOOKUP(tabParametros[[#This Row],[Código do Posto]],tabPostos[],7,0)</f>
        <v>8</v>
      </c>
      <c r="H101" s="289">
        <f>VLOOKUP(tabParametros[[#This Row],[Código do Posto]],tabPostos[],8,0)</f>
        <v>0</v>
      </c>
      <c r="I101" s="234">
        <f>VLOOKUP(tabParametros[[#This Row],[Código do Posto]],tabPostos[],9,0)</f>
        <v>1649.1161000000002</v>
      </c>
      <c r="J101" s="234">
        <f>IF(ISNUMBER(SEARCH("Eletricista",tabParametros[[#This Row],[Função]],1)),0.3*tabParametros[[#This Row],[Salário Base]],0)</f>
        <v>0</v>
      </c>
      <c r="K101" s="234">
        <f>IF(OR(ISNUMBER(SEARCH("Bombeiro Hidraulico",tabParametros[[#This Row],[Função]],1)),ISNUMBER(SEARCH("Jardineiro",tabParametros[[#This Row],[Função]],1)),ISNUMBER(SEARCH("Lavador de Veiculos",tabParametros[[#This Row],[Função]],1)),ISNUMBER(SEARCH("Marceneiro",tabParametros[[#This Row],[Função]],1)),ISNUMBER(SEARCH("Pintor",tabParametros[[#This Row],[Função]],1))),0.2*'BASE GERAL'!$R$4,0)</f>
        <v>0</v>
      </c>
      <c r="L101" s="234">
        <f>IF(AND(ISNUMBER(SEARCH("Noturno",tabParametros[[#This Row],[Função]],1)),tabParametros[[#This Row],[Comarca]]&lt;&gt;"Juiz de Fora"),tabParametros[[#This Row],[Salário Base]]/210*0.39*7*15.5,IF(ISNUMBER(SEARCH("Noturno",tabParametros[[#This Row],[Função]],1)),tabParametros[[#This Row],[Salário Base]]/210*0.2*8*15.5,0))</f>
        <v>0</v>
      </c>
      <c r="M101" s="234">
        <f>IF(ISNUMBER(SEARCH("Motorista II",tabParametros[[#This Row],[Função]],1)),0.25*tabParametros[[#This Row],[Salário Base]],0)</f>
        <v>0</v>
      </c>
      <c r="N101" s="250">
        <v>0</v>
      </c>
      <c r="O101" s="234">
        <f>IF(ISNUMBER(SEARCH("TECNOLOGIA DA INFORMACAO",tabParametros[[#This Row],[Função]],1)),0.0201*tabParametros[[#This Row],[Salário Base]],0)</f>
        <v>0</v>
      </c>
      <c r="P101" s="250" cm="1">
        <f t="array" ref="P101">_xlfn.IFS(
ISNUMBER(SEARCH("Auxiliar de Limpeza - 75 h",tabParametros[[#This Row],[Função]],1)),tabParametros[[#This Row],[Salário Base]]/75*0.75*30*0.12,
ISNUMBER(SEARCH("Auxiliar de Limpeza - 110 h",tabParametros[[#This Row],[Função]],1)),tabParametros[[#This Row],[Salário Base]]/110*1*30*0.12,
ISNUMBER(SEARCH("Auxiliar de Limpeza - 150 h",tabParametros[[#This Row],[Função]],1)),tabParametros[[#This Row],[Salário Base]]/150*1.5*30*0.12,
ISNUMBER(SEARCH("Auxiliar de Limpeza - 220 h",tabParametros[[#This Row],[Função]],1)),tabParametros[[#This Row],[Salário Base]]/220*2*30*0.12,
ISNUMBER(SEARCH("Auxiliar de Limpeza - 12 x 36",tabParametros[[#This Row],[Função]],1)),tabParametros[[#This Row],[Salário Base]]/220*2*30*0.12,
ISNUMBER(SEARCH("Auxiliar de Limpeza - 55 h",tabParametros[[#This Row],[Função]],1))=FALSE,0)</f>
        <v>53.971072363636367</v>
      </c>
      <c r="Q101" s="235">
        <f>VLOOKUP(tabParametros[[#Headers],[INSS]],tabImpostosNacionais[],2,0)</f>
        <v>0.2</v>
      </c>
      <c r="R101" s="235">
        <f>VLOOKUP(tabParametros[[#Headers],[SESI OU SESC]],tabImpostosNacionais[],2,0)</f>
        <v>1.4999999999999999E-2</v>
      </c>
      <c r="S101" s="235">
        <f>VLOOKUP(tabParametros[[#Headers],[SENAI OU SENAC]],tabImpostosNacionais[],2,0)</f>
        <v>0.01</v>
      </c>
      <c r="T101" s="235">
        <f>VLOOKUP(tabParametros[[#Headers],[INCRA]],tabImpostosNacionais[],2,0)</f>
        <v>2E-3</v>
      </c>
      <c r="U101" s="235">
        <f>VLOOKUP(tabParametros[[#Headers],[Salário Educação]],tabImpostosNacionais[],2,0)</f>
        <v>2.5000000000000001E-2</v>
      </c>
      <c r="V101" s="235">
        <f>VLOOKUP(tabParametros[[#Headers],[FGTS]],tabImpostosNacionais[],2,0)</f>
        <v>0.08</v>
      </c>
      <c r="W101" s="235">
        <f>VLOOKUP(tabParametros[[#Headers],[RAT Ajustado]],tabImpostosNacionais[],2,0)</f>
        <v>0.04</v>
      </c>
      <c r="X101" s="235">
        <f>VLOOKUP(tabParametros[[#Headers],[SEBRAE]],tabImpostosNacionais[],2,0)</f>
        <v>6.0000000000000001E-3</v>
      </c>
      <c r="Y101" s="235">
        <f t="shared" si="11"/>
        <v>8.3333333333333329E-2</v>
      </c>
      <c r="Z101" s="251">
        <f t="shared" si="12"/>
        <v>0.1111111111111111</v>
      </c>
      <c r="AA101" s="234">
        <f>VLOOKUP(tabParametros[[#This Row],[Comarca]],tabComarca[],5,0)</f>
        <v>6.4</v>
      </c>
      <c r="AB101" s="234">
        <f>IFERROR(VLOOKUP(tabParametros[[#This Row],[CCT DA CATEGORIA]],tabSindicatos[],6,0),0)</f>
        <v>29.15</v>
      </c>
      <c r="AC101" s="234">
        <f>IFERROR(VLOOKUP(tabParametros[[#This Row],[CCT DA CATEGORIA]],tabSindicatos[],7,0),0)</f>
        <v>0</v>
      </c>
      <c r="AD101" s="234" cm="1">
        <f t="array" ref="AD101">_xlfn.LET(
_xlpm.COMARCA, TRIM(UPPER(SUBSTITUTE(SUBSTITUTE(SUBSTITUTE(SUBSTITUTE(SUBSTITUTE(SUBSTITUTE(SUBSTITUTE(SUBSTITUTE(SUBSTITUTE(SUBSTITUTE(SUBSTITUTE(SUBSTITUTE(SUBSTITUTE(SUBSTITUTE(SUBSTITUTE(SUBSTITUTE(SUBSTITUTE(SUBSTITUTE(SUBSTITUTE(SUBSTITUTE(SUBSTITUTE(SUBSTITUTE(SUBSTITUTE(SUBSTITUTE(SUBSTITUTE(SUBSTITUTE(tabParametros[[#This Row],[Comarca]],"á","a"),"ã","a"),"â","a"),"é","e"),"ê","e"),"í","i"),"ó","o"),"õ","o"),"ô","o"),"ú","u"),"ç","c"),"Á","a"),"Ã","a"),"Â","a"),"É","e"),"Ê","e"),"Í","i"),"Ó","o"),"Õ","o"),"Ô","o"),"Ú","u"),"Ç","c"),"/MG","")," e ",", ")," ",""),".",""))),
_xlpm.MATRIZ_COMARCA, TRIM(UPPER(SUBSTITUTE(SUBSTITUTE(SUBSTITUTE(SUBSTITUTE(SUBSTITUTE(SUBSTITUTE(SUBSTITUTE(SUBSTITUTE(SUBSTITUTE(SUBSTITUTE(SUBSTITUTE(SUBSTITUTE(SUBSTITUTE(SUBSTITUTE(SUBSTITUTE(SUBSTITUTE(SUBSTITUTE(SUBSTITUTE(SUBSTITUTE(SUBSTITUTE(SUBSTITUTE(SUBSTITUTE(SUBSTITUTE(SUBSTITUTE(SUBSTITUTE(SUBSTITUTE(tabSindicatos[COMARCAS PAF],"á","a"),"ã","a"),"â","a"),"é","e"),"ê","e"),"í","i"),"ó","o"),"õ","o"),"ô","o"),"ú","u"),"ç","c"),"Á","a"),"Ã","a"),"Â","a"),"É","e"),"Ê","e"),"Í","i"),"Ó","o"),"Õ","o"),"Ô","o"),"Ú","u"),"Ç","c"),"/MG","")," e ",", ")," ",""),".",""))),
IFERROR(IF(_xlfn.XLOOKUP(tabParametros[[#This Row],[CCT DA CATEGORIA]],tabSindicatos[SINDICATOS],tabSindicatos[COMARCAS PAF])="",
VLOOKUP(tabParametros[[#This Row],[CCT DA CATEGORIA]],tabSindicatos[],8,0),
IF(ISNUMBER(SEARCH(TRIM(_xlpm.COMARCA),_xlfn.XLOOKUP(tabParametros[[#This Row],[CCT DA CATEGORIA]],tabSindicatos[SINDICATOS],_xlpm.MATRIZ_COMARCA),1)),VLOOKUP(tabParametros[[#This Row],[CCT DA CATEGORIA]],tabSindicatos[],8,0),0)
),0)
)</f>
        <v>51.88</v>
      </c>
      <c r="AE101" s="234">
        <f>IFERROR(VLOOKUP(tabParametros[[#This Row],[CCT DA CATEGORIA]],tabSindicatos[],9,0),0)</f>
        <v>0</v>
      </c>
      <c r="AF101" s="234">
        <f>IFERROR(VLOOKUP(tabParametros[[#This Row],[CCT DA CATEGORIA]],tabSindicatos[],10,0),0)</f>
        <v>0</v>
      </c>
      <c r="AG101" s="236">
        <f>VLOOKUP(tabParametros[[#Headers],[Seguro de Vida]],tabOutrosCustos[],3,0)</f>
        <v>3.36</v>
      </c>
      <c r="AH101" s="236">
        <f>IF(ISNUMBER(SEARCH("MOTORISTA",tabParametros[[#This Row],[Função]],1)),VLOOKUP("MOTORISTAS",tabDiarias[],2,0),IF(tabParametros[[#This Row],[Comarca]]="Belo Horizonte",VLOOKUP("LIMPEZA",tabDiarias[],2,0),0))</f>
        <v>0</v>
      </c>
      <c r="AI101" s="235">
        <f t="shared" si="13"/>
        <v>7.011766975308642E-3</v>
      </c>
      <c r="AJ101" s="237">
        <f>tabParametros[[#This Row],[FGTS]]*tabParametros[[#This Row],[Aviso Prévio Indenizado (API) e Reflexo do Aviso Prévio Indenizado]]</f>
        <v>5.609413580246914E-4</v>
      </c>
      <c r="AK101" s="237">
        <f>tabParametros[[#This Row],[FGTS]]*tabParametros[[#This Row],[Aviso Prévio Indenizado (API) e Reflexo do Aviso Prévio Indenizado]]*40%</f>
        <v>2.2437654320987658E-4</v>
      </c>
      <c r="AL101" s="235">
        <f t="shared" si="14"/>
        <v>3.5000000000000005E-3</v>
      </c>
      <c r="AM101" s="235">
        <f>tabParametros[[#This Row],[Aviso Prévio Trabalhado - APT]]*SUM(tabParametros[[#This Row],[INSS]:[SEBRAE]])</f>
        <v>1.3230000000000004E-3</v>
      </c>
      <c r="AN101" s="235">
        <f t="shared" si="15"/>
        <v>3.0577777777777773E-2</v>
      </c>
      <c r="AO101" s="235">
        <f t="shared" si="16"/>
        <v>8.3333333333333339E-4</v>
      </c>
      <c r="AP101" s="235">
        <f t="shared" si="17"/>
        <v>8.4444444444444437E-3</v>
      </c>
      <c r="AQ101" s="235">
        <f t="shared" si="18"/>
        <v>2.0277777777777777E-3</v>
      </c>
      <c r="AR101" s="235">
        <f t="shared" si="19"/>
        <v>1.7083333333333333E-4</v>
      </c>
      <c r="AS101" s="235">
        <f t="shared" si="20"/>
        <v>2.0833333333333335E-4</v>
      </c>
      <c r="AT101" s="235">
        <f t="shared" si="21"/>
        <v>1.2962962962962963E-3</v>
      </c>
      <c r="AU101" s="237">
        <f>SUM(tabParametros[[#This Row],[Ausência por Doença]:[Férias, Adicional de Férias e 13º  com empregada em gozo de Licença Maternidade]])*SUM(tabParametros[[#This Row],[INSS]:[SEBRAE]])</f>
        <v>4.5918250000000008E-3</v>
      </c>
      <c r="AV101" s="234">
        <f>IF(tabParametros[[#This Row],[Função]]="Porteiro - 220 h",SUM(tabParametros[[#This Row],[Salário Base]:[Adicional de Acúmulo de função]])/220*20*1.5,IF(ISNUMBER(SEARCH("12 x 36",tabParametros[[#This Row],[Função]],1)),SUM(tabParametros[[#This Row],[Salário Base]:[Adicional de Acúmulo de função]])/210*15.5*1.5,0))</f>
        <v>0</v>
      </c>
      <c r="AW101" s="234">
        <f>IF(tabParametros[[#This Row],[Vagas contratadas]]&gt;0,(SUM(tabParametros[[#This Row],[Salário Base]:[Adicional de Acúmulo de função]])*30%+SUM(tabParametros[[#This Row],[Vale - Alimentação]:[Seguro de Vida]]))/tabParametros[[#This Row],[Vagas contratadas]]*tabParametros[[#This Row],[Vagas suspensas]],0)</f>
        <v>0</v>
      </c>
      <c r="AX101" s="234">
        <f>SUMIF(tabUniformes[Cargo],tabParametros[[#This Row],[Função]],tabUniformes[Valor unit. Mensal])</f>
        <v>100.80916666666666</v>
      </c>
      <c r="AY101" s="281">
        <f>IF(ISNUMBER(SEARCH("AUXILIAR DE LIMPEZA - 75 H",tabParametros[[#This Row],[Função]],1)),
SUMIF(tabLimpGeral[TIPO],"Material",tabLimpGeral[VALOR UNITÁRIO P/ HORA (R$)])*75,
IF(ISNUMBER(SEARCH("AUXILIAR DE LIMPEZA - 110 H",tabParametros[[#This Row],[Função]],1)),
SUMIF(tabLimpGeral[TIPO],"Material",tabLimpGeral[VALOR UNITÁRIO P/ HORA (R$)])*110,
IF(ISNUMBER(SEARCH("AUXILIAR DE LIMPEZA - 150 H",tabParametros[[#This Row],[Função]],1)),
SUMIF(tabLimpGeral[TIPO],"Material",tabLimpGeral[VALOR UNITÁRIO P/ HORA (R$)])*150,
IF(ISNUMBER(SEARCH("AUXILIAR DE LIMPEZA - 220 H",tabParametros[[#This Row],[Função]],1)),
SUMIF(tabLimpGeral[TIPO],"Material",tabLimpGeral[VALOR UNITÁRIO P/ HORA (R$)])*220,
IF(ISNUMBER(SEARCH("AUXILIAR DE LIMPEZA - 12 x 36",tabParametros[[#This Row],[Função]],1)),
SUMIF(tabLimpGeral[TIPO],"Material",tabLimpGeral[VALOR UNITÁRIO P/ HORA (R$)])*220,
IF(ISNUMBER(SEARCH("Limpador de vidros - 220 h",tabParametros[[#This Row],[Função]],1)),
SUMIF(tabVidros[TIPO],"Material",tabVidros[VALOR UNITÁRIO P/ POSTO (R$)]),
0))))))</f>
        <v>35.518212958583888</v>
      </c>
      <c r="AZ101" s="281">
        <f>IF(ISNUMBER(SEARCH("AUXILIAR DE LIMPEZA - 75 H",tabParametros[[#This Row],[Função]],1)),
SUMIF(tabLimpGeral[TIPO],"Equipamento",tabLimpGeral[VALOR UNITÁRIO P/ HORA (R$)])*75,
IF(ISNUMBER(SEARCH("AUXILIAR DE LIMPEZA - 110 H",tabParametros[[#This Row],[Função]],1)),
SUMIF(tabLimpGeral[TIPO],"Equipamento",tabLimpGeral[VALOR UNITÁRIO P/ HORA (R$)])*110,
IF(ISNUMBER(SEARCH("AUXILIAR DE LIMPEZA - 150 H",tabParametros[[#This Row],[Função]],1)),
SUMIF(tabLimpGeral[TIPO],"Equipamento",tabLimpGeral[VALOR UNITÁRIO P/ HORA (R$)])*150,
IF(ISNUMBER(SEARCH("AUXILIAR DE LIMPEZA - 220 H",tabParametros[[#This Row],[Função]],1)),
SUMIF(tabLimpGeral[TIPO],"Equipamento",tabLimpGeral[VALOR UNITÁRIO P/ HORA (R$)])*220,
IF(ISNUMBER(SEARCH("AUXILIAR DE LIMPEZA - 12 x 36",tabParametros[[#This Row],[Função]],1)),
SUMIF(tabLimpGeral[TIPO],"Equipamento",tabLimpGeral[VALOR UNITÁRIO P/ HORA (R$)])*220,
IF(ISNUMBER(SEARCH("Limpador de vidros - 220 h",tabParametros[[#This Row],[Função]],1)),
SUMIF(tabVidros[TIPO],"Equipamento",tabVidros[VALOR UNITÁRIO P/ POSTO (R$)]),
0))))))</f>
        <v>64.529393914825576</v>
      </c>
      <c r="BA101" s="281">
        <f>IF(ISNUMBER(SEARCH("AUXILIAR DE LIMPEZA - 75 H",tabParametros[[#This Row],[Função]],1)),
SUMIF(tabLimpGeral[TIPO],"Produto",tabLimpGeral[VALOR UNITÁRIO P/ HORA (R$)])*75,
IF(ISNUMBER(SEARCH("AUXILIAR DE LIMPEZA - 110 H",tabParametros[[#This Row],[Função]],1)),
SUMIF(tabLimpGeral[TIPO],"Produto",tabLimpGeral[VALOR UNITÁRIO P/ HORA (R$)])*110,
IF(ISNUMBER(SEARCH("AUXILIAR DE LIMPEZA - 150 H",tabParametros[[#This Row],[Função]],1)),
SUMIF(tabLimpGeral[TIPO],"Produto",tabLimpGeral[VALOR UNITÁRIO P/ HORA (R$)])*150,
IF(ISNUMBER(SEARCH("AUXILIAR DE LIMPEZA - 220 H",tabParametros[[#This Row],[Função]],1)),
SUMIF(tabLimpGeral[TIPO],"Produto",tabLimpGeral[VALOR UNITÁRIO P/ HORA (R$)])*220,
IF(ISNUMBER(SEARCH("AUXILIAR DE LIMPEZA - 12 x 36",tabParametros[[#This Row],[Função]],1)),
SUMIF(tabLimpGeral[TIPO],"Produto",tabLimpGeral[VALOR UNITÁRIO P/ HORA (R$)])*220,
IF(ISNUMBER(SEARCH("Limpador de vidros - 220 h",tabParametros[[#This Row],[Função]],1)),
SUMIF(tabVidros[TIPO],"Produto",tabVidros[VALOR UNITÁRIO P/ POSTO (R$)]),
0))))))</f>
        <v>690.27153277931654</v>
      </c>
      <c r="BB101" s="281">
        <v>0</v>
      </c>
      <c r="BC101" s="236">
        <f>VLOOKUP(tabParametros[[#Headers],[Custos Indiretos]],tabOutrosCustos[],3,0)</f>
        <v>189.64880140242613</v>
      </c>
      <c r="BD101" s="236">
        <f>VLOOKUP(tabParametros[[#Headers],[Lucro]],tabOutrosCustos[],3,0)</f>
        <v>159.30499317803796</v>
      </c>
      <c r="BE101" s="235">
        <f>VLOOKUP(tabParametros[[#Headers],[COFINS]],tabImpostosNacionais[],2,0)</f>
        <v>7.5999999999999998E-2</v>
      </c>
      <c r="BF101" s="235">
        <f>VLOOKUP(tabParametros[[#Headers],[PIS]],tabImpostosNacionais[],2,0)</f>
        <v>1.6500000000000001E-2</v>
      </c>
      <c r="BG101" s="235">
        <f>VLOOKUP(tabParametros[[#This Row],[Comarca]],tabComarca[],4,0)</f>
        <v>0.05</v>
      </c>
      <c r="BH101" s="238">
        <f>IFERROR(VLOOKUP(tabParametros[[#This Row],[CCT DA CATEGORIA]],tabSindicatos[],11,0),"")</f>
        <v>45658</v>
      </c>
      <c r="BI101" s="289" t="str">
        <f>IFERROR(VLOOKUP(tabParametros[[#This Row],[CCT DA CATEGORIA]],tabSindicatos[],12,0),"")</f>
        <v>-</v>
      </c>
      <c r="BJ101" s="293" t="str">
        <f>IFERROR(VLOOKUP(tabParametros[[#This Row],[CCT DA CATEGORIA]],tabSindicatos[],13,0),"")</f>
        <v>-</v>
      </c>
    </row>
    <row r="102" spans="1:62" x14ac:dyDescent="0.25">
      <c r="A102" s="233" t="s">
        <v>1441</v>
      </c>
      <c r="B102" s="198" t="s">
        <v>95</v>
      </c>
      <c r="C102" s="198" t="s">
        <v>1247</v>
      </c>
      <c r="D102" s="198" t="str">
        <f>VLOOKUP(tabParametros[[#This Row],[Código do Posto]],tabPostos[],4,0)</f>
        <v>Sethac Norte de Minas</v>
      </c>
      <c r="E102" s="289" t="str">
        <f>VLOOKUP(tabParametros[[#This Row],[Código do Posto]],tabPostos[],5,0)</f>
        <v>Limpeza</v>
      </c>
      <c r="F102" s="289" t="str">
        <f>VLOOKUP(tabParametros[[#This Row],[Código do Posto]],tabPostos[],6,0)</f>
        <v>PGJ</v>
      </c>
      <c r="G102" s="289">
        <f>VLOOKUP(tabParametros[[#This Row],[Código do Posto]],tabPostos[],7,0)</f>
        <v>1</v>
      </c>
      <c r="H102" s="289">
        <f>VLOOKUP(tabParametros[[#This Row],[Código do Posto]],tabPostos[],8,0)</f>
        <v>0</v>
      </c>
      <c r="I102" s="234">
        <f>VLOOKUP(tabParametros[[#This Row],[Código do Posto]],tabPostos[],9,0)</f>
        <v>544.17999999999995</v>
      </c>
      <c r="J102" s="234">
        <f>IF(ISNUMBER(SEARCH("Eletricista",tabParametros[[#This Row],[Função]],1)),0.3*tabParametros[[#This Row],[Salário Base]],0)</f>
        <v>0</v>
      </c>
      <c r="K102" s="234">
        <f>IF(OR(ISNUMBER(SEARCH("Bombeiro Hidraulico",tabParametros[[#This Row],[Função]],1)),ISNUMBER(SEARCH("Jardineiro",tabParametros[[#This Row],[Função]],1)),ISNUMBER(SEARCH("Lavador de Veiculos",tabParametros[[#This Row],[Função]],1)),ISNUMBER(SEARCH("Marceneiro",tabParametros[[#This Row],[Função]],1)),ISNUMBER(SEARCH("Pintor",tabParametros[[#This Row],[Função]],1))),0.2*'BASE GERAL'!$R$4,0)</f>
        <v>0</v>
      </c>
      <c r="L102" s="234">
        <f>IF(AND(ISNUMBER(SEARCH("Noturno",tabParametros[[#This Row],[Função]],1)),tabParametros[[#This Row],[Comarca]]&lt;&gt;"Juiz de Fora"),tabParametros[[#This Row],[Salário Base]]/210*0.39*7*15.5,IF(ISNUMBER(SEARCH("Noturno",tabParametros[[#This Row],[Função]],1)),tabParametros[[#This Row],[Salário Base]]/210*0.2*8*15.5,0))</f>
        <v>0</v>
      </c>
      <c r="M102" s="234">
        <f>IF(ISNUMBER(SEARCH("Motorista II",tabParametros[[#This Row],[Função]],1)),0.25*tabParametros[[#This Row],[Salário Base]],0)</f>
        <v>0</v>
      </c>
      <c r="N102" s="250">
        <v>0</v>
      </c>
      <c r="O102" s="234">
        <f>IF(ISNUMBER(SEARCH("TECNOLOGIA DA INFORMACAO",tabParametros[[#This Row],[Função]],1)),0.0201*tabParametros[[#This Row],[Salário Base]],0)</f>
        <v>0</v>
      </c>
      <c r="P102" s="250" cm="1">
        <f t="array" ref="P102">_xlfn.IFS(
ISNUMBER(SEARCH("Auxiliar de Limpeza - 75 h",tabParametros[[#This Row],[Função]],1)),tabParametros[[#This Row],[Salário Base]]/75*0.75*30*0.12,
ISNUMBER(SEARCH("Auxiliar de Limpeza - 110 h",tabParametros[[#This Row],[Função]],1)),tabParametros[[#This Row],[Salário Base]]/110*1*30*0.12,
ISNUMBER(SEARCH("Auxiliar de Limpeza - 150 h",tabParametros[[#This Row],[Função]],1)),tabParametros[[#This Row],[Salário Base]]/150*1.5*30*0.12,
ISNUMBER(SEARCH("Auxiliar de Limpeza - 220 h",tabParametros[[#This Row],[Função]],1)),tabParametros[[#This Row],[Salário Base]]/220*2*30*0.12,
ISNUMBER(SEARCH("Auxiliar de Limpeza - 12 x 36",tabParametros[[#This Row],[Função]],1)),tabParametros[[#This Row],[Salário Base]]/220*2*30*0.12,
ISNUMBER(SEARCH("Auxiliar de Limpeza - 55 h",tabParametros[[#This Row],[Função]],1))=FALSE,0)</f>
        <v>19.590479999999999</v>
      </c>
      <c r="Q102" s="235">
        <f>VLOOKUP(tabParametros[[#Headers],[INSS]],tabImpostosNacionais[],2,0)</f>
        <v>0.2</v>
      </c>
      <c r="R102" s="235">
        <f>VLOOKUP(tabParametros[[#Headers],[SESI OU SESC]],tabImpostosNacionais[],2,0)</f>
        <v>1.4999999999999999E-2</v>
      </c>
      <c r="S102" s="235">
        <f>VLOOKUP(tabParametros[[#Headers],[SENAI OU SENAC]],tabImpostosNacionais[],2,0)</f>
        <v>0.01</v>
      </c>
      <c r="T102" s="235">
        <f>VLOOKUP(tabParametros[[#Headers],[INCRA]],tabImpostosNacionais[],2,0)</f>
        <v>2E-3</v>
      </c>
      <c r="U102" s="235">
        <f>VLOOKUP(tabParametros[[#Headers],[Salário Educação]],tabImpostosNacionais[],2,0)</f>
        <v>2.5000000000000001E-2</v>
      </c>
      <c r="V102" s="235">
        <f>VLOOKUP(tabParametros[[#Headers],[FGTS]],tabImpostosNacionais[],2,0)</f>
        <v>0.08</v>
      </c>
      <c r="W102" s="235">
        <f>VLOOKUP(tabParametros[[#Headers],[RAT Ajustado]],tabImpostosNacionais[],2,0)</f>
        <v>0.04</v>
      </c>
      <c r="X102" s="235">
        <f>VLOOKUP(tabParametros[[#Headers],[SEBRAE]],tabImpostosNacionais[],2,0)</f>
        <v>6.0000000000000001E-3</v>
      </c>
      <c r="Y102" s="235">
        <f t="shared" si="11"/>
        <v>8.3333333333333329E-2</v>
      </c>
      <c r="Z102" s="251">
        <f t="shared" si="12"/>
        <v>0.1111111111111111</v>
      </c>
      <c r="AA102" s="234">
        <f>VLOOKUP(tabParametros[[#This Row],[Comarca]],tabComarca[],5,0)</f>
        <v>6.4</v>
      </c>
      <c r="AB102" s="234">
        <f>IFERROR(VLOOKUP(tabParametros[[#This Row],[CCT DA CATEGORIA]],tabSindicatos[],6,0),0)</f>
        <v>29.15</v>
      </c>
      <c r="AC102" s="234">
        <f>IFERROR(VLOOKUP(tabParametros[[#This Row],[CCT DA CATEGORIA]],tabSindicatos[],7,0),0)</f>
        <v>0</v>
      </c>
      <c r="AD102" s="234" cm="1">
        <f t="array" ref="AD102">_xlfn.LET(
_xlpm.COMARCA, TRIM(UPPER(SUBSTITUTE(SUBSTITUTE(SUBSTITUTE(SUBSTITUTE(SUBSTITUTE(SUBSTITUTE(SUBSTITUTE(SUBSTITUTE(SUBSTITUTE(SUBSTITUTE(SUBSTITUTE(SUBSTITUTE(SUBSTITUTE(SUBSTITUTE(SUBSTITUTE(SUBSTITUTE(SUBSTITUTE(SUBSTITUTE(SUBSTITUTE(SUBSTITUTE(SUBSTITUTE(SUBSTITUTE(SUBSTITUTE(SUBSTITUTE(SUBSTITUTE(SUBSTITUTE(tabParametros[[#This Row],[Comarca]],"á","a"),"ã","a"),"â","a"),"é","e"),"ê","e"),"í","i"),"ó","o"),"õ","o"),"ô","o"),"ú","u"),"ç","c"),"Á","a"),"Ã","a"),"Â","a"),"É","e"),"Ê","e"),"Í","i"),"Ó","o"),"Õ","o"),"Ô","o"),"Ú","u"),"Ç","c"),"/MG","")," e ",", ")," ",""),".",""))),
_xlpm.MATRIZ_COMARCA, TRIM(UPPER(SUBSTITUTE(SUBSTITUTE(SUBSTITUTE(SUBSTITUTE(SUBSTITUTE(SUBSTITUTE(SUBSTITUTE(SUBSTITUTE(SUBSTITUTE(SUBSTITUTE(SUBSTITUTE(SUBSTITUTE(SUBSTITUTE(SUBSTITUTE(SUBSTITUTE(SUBSTITUTE(SUBSTITUTE(SUBSTITUTE(SUBSTITUTE(SUBSTITUTE(SUBSTITUTE(SUBSTITUTE(SUBSTITUTE(SUBSTITUTE(SUBSTITUTE(SUBSTITUTE(tabSindicatos[COMARCAS PAF],"á","a"),"ã","a"),"â","a"),"é","e"),"ê","e"),"í","i"),"ó","o"),"õ","o"),"ô","o"),"ú","u"),"ç","c"),"Á","a"),"Ã","a"),"Â","a"),"É","e"),"Ê","e"),"Í","i"),"Ó","o"),"Õ","o"),"Ô","o"),"Ú","u"),"Ç","c"),"/MG","")," e ",", ")," ",""),".",""))),
IFERROR(IF(_xlfn.XLOOKUP(tabParametros[[#This Row],[CCT DA CATEGORIA]],tabSindicatos[SINDICATOS],tabSindicatos[COMARCAS PAF])="",
VLOOKUP(tabParametros[[#This Row],[CCT DA CATEGORIA]],tabSindicatos[],8,0),
IF(ISNUMBER(SEARCH(TRIM(_xlpm.COMARCA),_xlfn.XLOOKUP(tabParametros[[#This Row],[CCT DA CATEGORIA]],tabSindicatos[SINDICATOS],_xlpm.MATRIZ_COMARCA),1)),VLOOKUP(tabParametros[[#This Row],[CCT DA CATEGORIA]],tabSindicatos[],8,0),0)
),0)
)</f>
        <v>0</v>
      </c>
      <c r="AE102" s="234">
        <f>IFERROR(VLOOKUP(tabParametros[[#This Row],[CCT DA CATEGORIA]],tabSindicatos[],9,0),0)</f>
        <v>0</v>
      </c>
      <c r="AF102" s="234">
        <f>IFERROR(VLOOKUP(tabParametros[[#This Row],[CCT DA CATEGORIA]],tabSindicatos[],10,0),0)</f>
        <v>0</v>
      </c>
      <c r="AG102" s="236">
        <f>VLOOKUP(tabParametros[[#Headers],[Seguro de Vida]],tabOutrosCustos[],3,0)</f>
        <v>3.36</v>
      </c>
      <c r="AH102" s="236">
        <f>IF(ISNUMBER(SEARCH("MOTORISTA",tabParametros[[#This Row],[Função]],1)),VLOOKUP("MOTORISTAS",tabDiarias[],2,0),IF(tabParametros[[#This Row],[Comarca]]="Belo Horizonte",VLOOKUP("LIMPEZA",tabDiarias[],2,0),0))</f>
        <v>0</v>
      </c>
      <c r="AI102" s="235">
        <f t="shared" si="13"/>
        <v>7.011766975308642E-3</v>
      </c>
      <c r="AJ102" s="237">
        <f>tabParametros[[#This Row],[FGTS]]*tabParametros[[#This Row],[Aviso Prévio Indenizado (API) e Reflexo do Aviso Prévio Indenizado]]</f>
        <v>5.609413580246914E-4</v>
      </c>
      <c r="AK102" s="237">
        <f>tabParametros[[#This Row],[FGTS]]*tabParametros[[#This Row],[Aviso Prévio Indenizado (API) e Reflexo do Aviso Prévio Indenizado]]*40%</f>
        <v>2.2437654320987658E-4</v>
      </c>
      <c r="AL102" s="235">
        <f t="shared" si="14"/>
        <v>3.5000000000000005E-3</v>
      </c>
      <c r="AM102" s="235">
        <f>tabParametros[[#This Row],[Aviso Prévio Trabalhado - APT]]*SUM(tabParametros[[#This Row],[INSS]:[SEBRAE]])</f>
        <v>1.3230000000000004E-3</v>
      </c>
      <c r="AN102" s="235">
        <f t="shared" si="15"/>
        <v>3.0577777777777773E-2</v>
      </c>
      <c r="AO102" s="235">
        <f t="shared" si="16"/>
        <v>8.3333333333333339E-4</v>
      </c>
      <c r="AP102" s="235">
        <f t="shared" si="17"/>
        <v>8.4444444444444437E-3</v>
      </c>
      <c r="AQ102" s="235">
        <f t="shared" si="18"/>
        <v>2.0277777777777777E-3</v>
      </c>
      <c r="AR102" s="235">
        <f t="shared" si="19"/>
        <v>1.7083333333333333E-4</v>
      </c>
      <c r="AS102" s="235">
        <f t="shared" si="20"/>
        <v>2.0833333333333335E-4</v>
      </c>
      <c r="AT102" s="235">
        <f t="shared" si="21"/>
        <v>1.2962962962962963E-3</v>
      </c>
      <c r="AU102" s="237">
        <f>SUM(tabParametros[[#This Row],[Ausência por Doença]:[Férias, Adicional de Férias e 13º  com empregada em gozo de Licença Maternidade]])*SUM(tabParametros[[#This Row],[INSS]:[SEBRAE]])</f>
        <v>4.5918250000000008E-3</v>
      </c>
      <c r="AV102" s="234">
        <f>IF(tabParametros[[#This Row],[Função]]="Porteiro - 220 h",SUM(tabParametros[[#This Row],[Salário Base]:[Adicional de Acúmulo de função]])/220*20*1.5,IF(ISNUMBER(SEARCH("12 x 36",tabParametros[[#This Row],[Função]],1)),SUM(tabParametros[[#This Row],[Salário Base]:[Adicional de Acúmulo de função]])/210*15.5*1.5,0))</f>
        <v>0</v>
      </c>
      <c r="AW102" s="234">
        <f>IF(tabParametros[[#This Row],[Vagas contratadas]]&gt;0,(SUM(tabParametros[[#This Row],[Salário Base]:[Adicional de Acúmulo de função]])*30%+SUM(tabParametros[[#This Row],[Vale - Alimentação]:[Seguro de Vida]]))/tabParametros[[#This Row],[Vagas contratadas]]*tabParametros[[#This Row],[Vagas suspensas]],0)</f>
        <v>0</v>
      </c>
      <c r="AX102" s="234">
        <f>SUMIF(tabUniformes[Cargo],tabParametros[[#This Row],[Função]],tabUniformes[Valor unit. Mensal])</f>
        <v>62.806666666666665</v>
      </c>
      <c r="AY102" s="281">
        <f>IF(ISNUMBER(SEARCH("AUXILIAR DE LIMPEZA - 75 H",tabParametros[[#This Row],[Função]],1)),
SUMIF(tabLimpGeral[TIPO],"Material",tabLimpGeral[VALOR UNITÁRIO P/ HORA (R$)])*75,
IF(ISNUMBER(SEARCH("AUXILIAR DE LIMPEZA - 110 H",tabParametros[[#This Row],[Função]],1)),
SUMIF(tabLimpGeral[TIPO],"Material",tabLimpGeral[VALOR UNITÁRIO P/ HORA (R$)])*110,
IF(ISNUMBER(SEARCH("AUXILIAR DE LIMPEZA - 150 H",tabParametros[[#This Row],[Função]],1)),
SUMIF(tabLimpGeral[TIPO],"Material",tabLimpGeral[VALOR UNITÁRIO P/ HORA (R$)])*150,
IF(ISNUMBER(SEARCH("AUXILIAR DE LIMPEZA - 220 H",tabParametros[[#This Row],[Função]],1)),
SUMIF(tabLimpGeral[TIPO],"Material",tabLimpGeral[VALOR UNITÁRIO P/ HORA (R$)])*220,
IF(ISNUMBER(SEARCH("AUXILIAR DE LIMPEZA - 12 x 36",tabParametros[[#This Row],[Função]],1)),
SUMIF(tabLimpGeral[TIPO],"Material",tabLimpGeral[VALOR UNITÁRIO P/ HORA (R$)])*220,
IF(ISNUMBER(SEARCH("Limpador de vidros - 220 h",tabParametros[[#This Row],[Função]],1)),
SUMIF(tabVidros[TIPO],"Material",tabVidros[VALOR UNITÁRIO P/ POSTO (R$)]),
0))))))</f>
        <v>12.108481690426325</v>
      </c>
      <c r="AZ102" s="281">
        <f>IF(ISNUMBER(SEARCH("AUXILIAR DE LIMPEZA - 75 H",tabParametros[[#This Row],[Função]],1)),
SUMIF(tabLimpGeral[TIPO],"Equipamento",tabLimpGeral[VALOR UNITÁRIO P/ HORA (R$)])*75,
IF(ISNUMBER(SEARCH("AUXILIAR DE LIMPEZA - 110 H",tabParametros[[#This Row],[Função]],1)),
SUMIF(tabLimpGeral[TIPO],"Equipamento",tabLimpGeral[VALOR UNITÁRIO P/ HORA (R$)])*110,
IF(ISNUMBER(SEARCH("AUXILIAR DE LIMPEZA - 150 H",tabParametros[[#This Row],[Função]],1)),
SUMIF(tabLimpGeral[TIPO],"Equipamento",tabLimpGeral[VALOR UNITÁRIO P/ HORA (R$)])*150,
IF(ISNUMBER(SEARCH("AUXILIAR DE LIMPEZA - 220 H",tabParametros[[#This Row],[Função]],1)),
SUMIF(tabLimpGeral[TIPO],"Equipamento",tabLimpGeral[VALOR UNITÁRIO P/ HORA (R$)])*220,
IF(ISNUMBER(SEARCH("AUXILIAR DE LIMPEZA - 12 x 36",tabParametros[[#This Row],[Função]],1)),
SUMIF(tabLimpGeral[TIPO],"Equipamento",tabLimpGeral[VALOR UNITÁRIO P/ HORA (R$)])*220,
IF(ISNUMBER(SEARCH("Limpador de vidros - 220 h",tabParametros[[#This Row],[Função]],1)),
SUMIF(tabVidros[TIPO],"Equipamento",tabVidros[VALOR UNITÁRIO P/ POSTO (R$)]),
0))))))</f>
        <v>21.998657016417809</v>
      </c>
      <c r="BA102" s="281">
        <f>IF(ISNUMBER(SEARCH("AUXILIAR DE LIMPEZA - 75 H",tabParametros[[#This Row],[Função]],1)),
SUMIF(tabLimpGeral[TIPO],"Produto",tabLimpGeral[VALOR UNITÁRIO P/ HORA (R$)])*75,
IF(ISNUMBER(SEARCH("AUXILIAR DE LIMPEZA - 110 H",tabParametros[[#This Row],[Função]],1)),
SUMIF(tabLimpGeral[TIPO],"Produto",tabLimpGeral[VALOR UNITÁRIO P/ HORA (R$)])*110,
IF(ISNUMBER(SEARCH("AUXILIAR DE LIMPEZA - 150 H",tabParametros[[#This Row],[Função]],1)),
SUMIF(tabLimpGeral[TIPO],"Produto",tabLimpGeral[VALOR UNITÁRIO P/ HORA (R$)])*150,
IF(ISNUMBER(SEARCH("AUXILIAR DE LIMPEZA - 220 H",tabParametros[[#This Row],[Função]],1)),
SUMIF(tabLimpGeral[TIPO],"Produto",tabLimpGeral[VALOR UNITÁRIO P/ HORA (R$)])*220,
IF(ISNUMBER(SEARCH("AUXILIAR DE LIMPEZA - 12 x 36",tabParametros[[#This Row],[Função]],1)),
SUMIF(tabLimpGeral[TIPO],"Produto",tabLimpGeral[VALOR UNITÁRIO P/ HORA (R$)])*220,
IF(ISNUMBER(SEARCH("Limpador de vidros - 220 h",tabParametros[[#This Row],[Função]],1)),
SUMIF(tabVidros[TIPO],"Produto",tabVidros[VALOR UNITÁRIO P/ POSTO (R$)]),
0))))))</f>
        <v>235.31984072022155</v>
      </c>
      <c r="BB102" s="281">
        <v>0</v>
      </c>
      <c r="BC102" s="236">
        <f>VLOOKUP(tabParametros[[#Headers],[Custos Indiretos]],tabOutrosCustos[],3,0)</f>
        <v>189.64880140242613</v>
      </c>
      <c r="BD102" s="236">
        <f>VLOOKUP(tabParametros[[#Headers],[Lucro]],tabOutrosCustos[],3,0)</f>
        <v>159.30499317803796</v>
      </c>
      <c r="BE102" s="235">
        <f>VLOOKUP(tabParametros[[#Headers],[COFINS]],tabImpostosNacionais[],2,0)</f>
        <v>7.5999999999999998E-2</v>
      </c>
      <c r="BF102" s="235">
        <f>VLOOKUP(tabParametros[[#Headers],[PIS]],tabImpostosNacionais[],2,0)</f>
        <v>1.6500000000000001E-2</v>
      </c>
      <c r="BG102" s="235">
        <f>VLOOKUP(tabParametros[[#This Row],[Comarca]],tabComarca[],4,0)</f>
        <v>0.02</v>
      </c>
      <c r="BH102" s="238">
        <f>IFERROR(VLOOKUP(tabParametros[[#This Row],[CCT DA CATEGORIA]],tabSindicatos[],11,0),"")</f>
        <v>45658</v>
      </c>
      <c r="BI102" s="289" t="str">
        <f>IFERROR(VLOOKUP(tabParametros[[#This Row],[CCT DA CATEGORIA]],tabSindicatos[],12,0),"")</f>
        <v>-</v>
      </c>
      <c r="BJ102" s="293" t="str">
        <f>IFERROR(VLOOKUP(tabParametros[[#This Row],[CCT DA CATEGORIA]],tabSindicatos[],13,0),"")</f>
        <v>-</v>
      </c>
    </row>
    <row r="103" spans="1:62" x14ac:dyDescent="0.25">
      <c r="A103" s="233" t="s">
        <v>1442</v>
      </c>
      <c r="B103" s="198" t="s">
        <v>96</v>
      </c>
      <c r="C103" s="198" t="s">
        <v>1246</v>
      </c>
      <c r="D103" s="198" t="str">
        <f>VLOOKUP(tabParametros[[#This Row],[Código do Posto]],tabPostos[],4,0)</f>
        <v>Seethur</v>
      </c>
      <c r="E103" s="289" t="str">
        <f>VLOOKUP(tabParametros[[#This Row],[Código do Posto]],tabPostos[],5,0)</f>
        <v>Limpeza</v>
      </c>
      <c r="F103" s="289" t="str">
        <f>VLOOKUP(tabParametros[[#This Row],[Código do Posto]],tabPostos[],6,0)</f>
        <v>PGJ</v>
      </c>
      <c r="G103" s="289">
        <f>VLOOKUP(tabParametros[[#This Row],[Código do Posto]],tabPostos[],7,0)</f>
        <v>1</v>
      </c>
      <c r="H103" s="289">
        <f>VLOOKUP(tabParametros[[#This Row],[Código do Posto]],tabPostos[],8,0)</f>
        <v>0</v>
      </c>
      <c r="I103" s="234">
        <f>VLOOKUP(tabParametros[[#This Row],[Código do Posto]],tabPostos[],9,0)</f>
        <v>1088.3699999999999</v>
      </c>
      <c r="J103" s="234">
        <f>IF(ISNUMBER(SEARCH("Eletricista",tabParametros[[#This Row],[Função]],1)),0.3*tabParametros[[#This Row],[Salário Base]],0)</f>
        <v>0</v>
      </c>
      <c r="K103" s="234">
        <f>IF(OR(ISNUMBER(SEARCH("Bombeiro Hidraulico",tabParametros[[#This Row],[Função]],1)),ISNUMBER(SEARCH("Jardineiro",tabParametros[[#This Row],[Função]],1)),ISNUMBER(SEARCH("Lavador de Veiculos",tabParametros[[#This Row],[Função]],1)),ISNUMBER(SEARCH("Marceneiro",tabParametros[[#This Row],[Função]],1)),ISNUMBER(SEARCH("Pintor",tabParametros[[#This Row],[Função]],1))),0.2*'BASE GERAL'!$R$4,0)</f>
        <v>0</v>
      </c>
      <c r="L103" s="234">
        <f>IF(AND(ISNUMBER(SEARCH("Noturno",tabParametros[[#This Row],[Função]],1)),tabParametros[[#This Row],[Comarca]]&lt;&gt;"Juiz de Fora"),tabParametros[[#This Row],[Salário Base]]/210*0.39*7*15.5,IF(ISNUMBER(SEARCH("Noturno",tabParametros[[#This Row],[Função]],1)),tabParametros[[#This Row],[Salário Base]]/210*0.2*8*15.5,0))</f>
        <v>0</v>
      </c>
      <c r="M103" s="234">
        <f>IF(ISNUMBER(SEARCH("Motorista II",tabParametros[[#This Row],[Função]],1)),0.25*tabParametros[[#This Row],[Salário Base]],0)</f>
        <v>0</v>
      </c>
      <c r="N103" s="250">
        <v>0</v>
      </c>
      <c r="O103" s="234">
        <f>IF(ISNUMBER(SEARCH("TECNOLOGIA DA INFORMACAO",tabParametros[[#This Row],[Função]],1)),0.0201*tabParametros[[#This Row],[Salário Base]],0)</f>
        <v>0</v>
      </c>
      <c r="P103" s="250" cm="1">
        <f t="array" ref="P103">_xlfn.IFS(
ISNUMBER(SEARCH("Auxiliar de Limpeza - 75 h",tabParametros[[#This Row],[Função]],1)),tabParametros[[#This Row],[Salário Base]]/75*0.75*30*0.12,
ISNUMBER(SEARCH("Auxiliar de Limpeza - 110 h",tabParametros[[#This Row],[Função]],1)),tabParametros[[#This Row],[Salário Base]]/110*1*30*0.12,
ISNUMBER(SEARCH("Auxiliar de Limpeza - 150 h",tabParametros[[#This Row],[Função]],1)),tabParametros[[#This Row],[Salário Base]]/150*1.5*30*0.12,
ISNUMBER(SEARCH("Auxiliar de Limpeza - 220 h",tabParametros[[#This Row],[Função]],1)),tabParametros[[#This Row],[Salário Base]]/220*2*30*0.12,
ISNUMBER(SEARCH("Auxiliar de Limpeza - 12 x 36",tabParametros[[#This Row],[Função]],1)),tabParametros[[#This Row],[Salário Base]]/220*2*30*0.12,
ISNUMBER(SEARCH("Auxiliar de Limpeza - 55 h",tabParametros[[#This Row],[Função]],1))=FALSE,0)</f>
        <v>39.181319999999985</v>
      </c>
      <c r="Q103" s="235">
        <f>VLOOKUP(tabParametros[[#Headers],[INSS]],tabImpostosNacionais[],2,0)</f>
        <v>0.2</v>
      </c>
      <c r="R103" s="235">
        <f>VLOOKUP(tabParametros[[#Headers],[SESI OU SESC]],tabImpostosNacionais[],2,0)</f>
        <v>1.4999999999999999E-2</v>
      </c>
      <c r="S103" s="235">
        <f>VLOOKUP(tabParametros[[#Headers],[SENAI OU SENAC]],tabImpostosNacionais[],2,0)</f>
        <v>0.01</v>
      </c>
      <c r="T103" s="235">
        <f>VLOOKUP(tabParametros[[#Headers],[INCRA]],tabImpostosNacionais[],2,0)</f>
        <v>2E-3</v>
      </c>
      <c r="U103" s="235">
        <f>VLOOKUP(tabParametros[[#Headers],[Salário Educação]],tabImpostosNacionais[],2,0)</f>
        <v>2.5000000000000001E-2</v>
      </c>
      <c r="V103" s="235">
        <f>VLOOKUP(tabParametros[[#Headers],[FGTS]],tabImpostosNacionais[],2,0)</f>
        <v>0.08</v>
      </c>
      <c r="W103" s="235">
        <f>VLOOKUP(tabParametros[[#Headers],[RAT Ajustado]],tabImpostosNacionais[],2,0)</f>
        <v>0.04</v>
      </c>
      <c r="X103" s="235">
        <f>VLOOKUP(tabParametros[[#Headers],[SEBRAE]],tabImpostosNacionais[],2,0)</f>
        <v>6.0000000000000001E-3</v>
      </c>
      <c r="Y103" s="235">
        <f t="shared" si="11"/>
        <v>8.3333333333333329E-2</v>
      </c>
      <c r="Z103" s="251">
        <f t="shared" si="12"/>
        <v>0.1111111111111111</v>
      </c>
      <c r="AA103" s="234">
        <f>VLOOKUP(tabParametros[[#This Row],[Comarca]],tabComarca[],5,0)</f>
        <v>6.4</v>
      </c>
      <c r="AB103" s="234">
        <f>IFERROR(VLOOKUP(tabParametros[[#This Row],[CCT DA CATEGORIA]],tabSindicatos[],6,0),0)</f>
        <v>29.15</v>
      </c>
      <c r="AC103" s="234">
        <f>IFERROR(VLOOKUP(tabParametros[[#This Row],[CCT DA CATEGORIA]],tabSindicatos[],7,0),0)</f>
        <v>0</v>
      </c>
      <c r="AD103" s="234" cm="1">
        <f t="array" ref="AD103">_xlfn.LET(
_xlpm.COMARCA, TRIM(UPPER(SUBSTITUTE(SUBSTITUTE(SUBSTITUTE(SUBSTITUTE(SUBSTITUTE(SUBSTITUTE(SUBSTITUTE(SUBSTITUTE(SUBSTITUTE(SUBSTITUTE(SUBSTITUTE(SUBSTITUTE(SUBSTITUTE(SUBSTITUTE(SUBSTITUTE(SUBSTITUTE(SUBSTITUTE(SUBSTITUTE(SUBSTITUTE(SUBSTITUTE(SUBSTITUTE(SUBSTITUTE(SUBSTITUTE(SUBSTITUTE(SUBSTITUTE(SUBSTITUTE(tabParametros[[#This Row],[Comarca]],"á","a"),"ã","a"),"â","a"),"é","e"),"ê","e"),"í","i"),"ó","o"),"õ","o"),"ô","o"),"ú","u"),"ç","c"),"Á","a"),"Ã","a"),"Â","a"),"É","e"),"Ê","e"),"Í","i"),"Ó","o"),"Õ","o"),"Ô","o"),"Ú","u"),"Ç","c"),"/MG","")," e ",", ")," ",""),".",""))),
_xlpm.MATRIZ_COMARCA, TRIM(UPPER(SUBSTITUTE(SUBSTITUTE(SUBSTITUTE(SUBSTITUTE(SUBSTITUTE(SUBSTITUTE(SUBSTITUTE(SUBSTITUTE(SUBSTITUTE(SUBSTITUTE(SUBSTITUTE(SUBSTITUTE(SUBSTITUTE(SUBSTITUTE(SUBSTITUTE(SUBSTITUTE(SUBSTITUTE(SUBSTITUTE(SUBSTITUTE(SUBSTITUTE(SUBSTITUTE(SUBSTITUTE(SUBSTITUTE(SUBSTITUTE(SUBSTITUTE(SUBSTITUTE(tabSindicatos[COMARCAS PAF],"á","a"),"ã","a"),"â","a"),"é","e"),"ê","e"),"í","i"),"ó","o"),"õ","o"),"ô","o"),"ú","u"),"ç","c"),"Á","a"),"Ã","a"),"Â","a"),"É","e"),"Ê","e"),"Í","i"),"Ó","o"),"Õ","o"),"Ô","o"),"Ú","u"),"Ç","c"),"/MG","")," e ",", ")," ",""),".",""))),
IFERROR(IF(_xlfn.XLOOKUP(tabParametros[[#This Row],[CCT DA CATEGORIA]],tabSindicatos[SINDICATOS],tabSindicatos[COMARCAS PAF])="",
VLOOKUP(tabParametros[[#This Row],[CCT DA CATEGORIA]],tabSindicatos[],8,0),
IF(ISNUMBER(SEARCH(TRIM(_xlpm.COMARCA),_xlfn.XLOOKUP(tabParametros[[#This Row],[CCT DA CATEGORIA]],tabSindicatos[SINDICATOS],_xlpm.MATRIZ_COMARCA),1)),VLOOKUP(tabParametros[[#This Row],[CCT DA CATEGORIA]],tabSindicatos[],8,0),0)
),0)
)</f>
        <v>0</v>
      </c>
      <c r="AE103" s="234">
        <f>IFERROR(VLOOKUP(tabParametros[[#This Row],[CCT DA CATEGORIA]],tabSindicatos[],9,0),0)</f>
        <v>0</v>
      </c>
      <c r="AF103" s="234">
        <f>IFERROR(VLOOKUP(tabParametros[[#This Row],[CCT DA CATEGORIA]],tabSindicatos[],10,0),0)</f>
        <v>0</v>
      </c>
      <c r="AG103" s="236">
        <f>VLOOKUP(tabParametros[[#Headers],[Seguro de Vida]],tabOutrosCustos[],3,0)</f>
        <v>3.36</v>
      </c>
      <c r="AH103" s="236">
        <f>IF(ISNUMBER(SEARCH("MOTORISTA",tabParametros[[#This Row],[Função]],1)),VLOOKUP("MOTORISTAS",tabDiarias[],2,0),IF(tabParametros[[#This Row],[Comarca]]="Belo Horizonte",VLOOKUP("LIMPEZA",tabDiarias[],2,0),0))</f>
        <v>0</v>
      </c>
      <c r="AI103" s="235">
        <f t="shared" si="13"/>
        <v>7.011766975308642E-3</v>
      </c>
      <c r="AJ103" s="237">
        <f>tabParametros[[#This Row],[FGTS]]*tabParametros[[#This Row],[Aviso Prévio Indenizado (API) e Reflexo do Aviso Prévio Indenizado]]</f>
        <v>5.609413580246914E-4</v>
      </c>
      <c r="AK103" s="237">
        <f>tabParametros[[#This Row],[FGTS]]*tabParametros[[#This Row],[Aviso Prévio Indenizado (API) e Reflexo do Aviso Prévio Indenizado]]*40%</f>
        <v>2.2437654320987658E-4</v>
      </c>
      <c r="AL103" s="235">
        <f t="shared" si="14"/>
        <v>3.5000000000000005E-3</v>
      </c>
      <c r="AM103" s="235">
        <f>tabParametros[[#This Row],[Aviso Prévio Trabalhado - APT]]*SUM(tabParametros[[#This Row],[INSS]:[SEBRAE]])</f>
        <v>1.3230000000000004E-3</v>
      </c>
      <c r="AN103" s="235">
        <f t="shared" si="15"/>
        <v>3.0577777777777773E-2</v>
      </c>
      <c r="AO103" s="235">
        <f t="shared" si="16"/>
        <v>8.3333333333333339E-4</v>
      </c>
      <c r="AP103" s="235">
        <f t="shared" si="17"/>
        <v>8.4444444444444437E-3</v>
      </c>
      <c r="AQ103" s="235">
        <f t="shared" si="18"/>
        <v>2.0277777777777777E-3</v>
      </c>
      <c r="AR103" s="235">
        <f t="shared" si="19"/>
        <v>1.7083333333333333E-4</v>
      </c>
      <c r="AS103" s="235">
        <f t="shared" si="20"/>
        <v>2.0833333333333335E-4</v>
      </c>
      <c r="AT103" s="235">
        <f t="shared" si="21"/>
        <v>1.2962962962962963E-3</v>
      </c>
      <c r="AU103" s="237">
        <f>SUM(tabParametros[[#This Row],[Ausência por Doença]:[Férias, Adicional de Férias e 13º  com empregada em gozo de Licença Maternidade]])*SUM(tabParametros[[#This Row],[INSS]:[SEBRAE]])</f>
        <v>4.5918250000000008E-3</v>
      </c>
      <c r="AV103" s="234">
        <f>IF(tabParametros[[#This Row],[Função]]="Porteiro - 220 h",SUM(tabParametros[[#This Row],[Salário Base]:[Adicional de Acúmulo de função]])/220*20*1.5,IF(ISNUMBER(SEARCH("12 x 36",tabParametros[[#This Row],[Função]],1)),SUM(tabParametros[[#This Row],[Salário Base]:[Adicional de Acúmulo de função]])/210*15.5*1.5,0))</f>
        <v>0</v>
      </c>
      <c r="AW103" s="234">
        <f>IF(tabParametros[[#This Row],[Vagas contratadas]]&gt;0,(SUM(tabParametros[[#This Row],[Salário Base]:[Adicional de Acúmulo de função]])*30%+SUM(tabParametros[[#This Row],[Vale - Alimentação]:[Seguro de Vida]]))/tabParametros[[#This Row],[Vagas contratadas]]*tabParametros[[#This Row],[Vagas suspensas]],0)</f>
        <v>0</v>
      </c>
      <c r="AX103" s="234">
        <f>SUMIF(tabUniformes[Cargo],tabParametros[[#This Row],[Função]],tabUniformes[Valor unit. Mensal])</f>
        <v>100.80916666666666</v>
      </c>
      <c r="AY103" s="281">
        <f>IF(ISNUMBER(SEARCH("AUXILIAR DE LIMPEZA - 75 H",tabParametros[[#This Row],[Função]],1)),
SUMIF(tabLimpGeral[TIPO],"Material",tabLimpGeral[VALOR UNITÁRIO P/ HORA (R$)])*75,
IF(ISNUMBER(SEARCH("AUXILIAR DE LIMPEZA - 110 H",tabParametros[[#This Row],[Função]],1)),
SUMIF(tabLimpGeral[TIPO],"Material",tabLimpGeral[VALOR UNITÁRIO P/ HORA (R$)])*110,
IF(ISNUMBER(SEARCH("AUXILIAR DE LIMPEZA - 150 H",tabParametros[[#This Row],[Função]],1)),
SUMIF(tabLimpGeral[TIPO],"Material",tabLimpGeral[VALOR UNITÁRIO P/ HORA (R$)])*150,
IF(ISNUMBER(SEARCH("AUXILIAR DE LIMPEZA - 220 H",tabParametros[[#This Row],[Função]],1)),
SUMIF(tabLimpGeral[TIPO],"Material",tabLimpGeral[VALOR UNITÁRIO P/ HORA (R$)])*220,
IF(ISNUMBER(SEARCH("AUXILIAR DE LIMPEZA - 12 x 36",tabParametros[[#This Row],[Função]],1)),
SUMIF(tabLimpGeral[TIPO],"Material",tabLimpGeral[VALOR UNITÁRIO P/ HORA (R$)])*220,
IF(ISNUMBER(SEARCH("Limpador de vidros - 220 h",tabParametros[[#This Row],[Função]],1)),
SUMIF(tabVidros[TIPO],"Material",tabVidros[VALOR UNITÁRIO P/ POSTO (R$)]),
0))))))</f>
        <v>24.216963380852651</v>
      </c>
      <c r="AZ103" s="281">
        <f>IF(ISNUMBER(SEARCH("AUXILIAR DE LIMPEZA - 75 H",tabParametros[[#This Row],[Função]],1)),
SUMIF(tabLimpGeral[TIPO],"Equipamento",tabLimpGeral[VALOR UNITÁRIO P/ HORA (R$)])*75,
IF(ISNUMBER(SEARCH("AUXILIAR DE LIMPEZA - 110 H",tabParametros[[#This Row],[Função]],1)),
SUMIF(tabLimpGeral[TIPO],"Equipamento",tabLimpGeral[VALOR UNITÁRIO P/ HORA (R$)])*110,
IF(ISNUMBER(SEARCH("AUXILIAR DE LIMPEZA - 150 H",tabParametros[[#This Row],[Função]],1)),
SUMIF(tabLimpGeral[TIPO],"Equipamento",tabLimpGeral[VALOR UNITÁRIO P/ HORA (R$)])*150,
IF(ISNUMBER(SEARCH("AUXILIAR DE LIMPEZA - 220 H",tabParametros[[#This Row],[Função]],1)),
SUMIF(tabLimpGeral[TIPO],"Equipamento",tabLimpGeral[VALOR UNITÁRIO P/ HORA (R$)])*220,
IF(ISNUMBER(SEARCH("AUXILIAR DE LIMPEZA - 12 x 36",tabParametros[[#This Row],[Função]],1)),
SUMIF(tabLimpGeral[TIPO],"Equipamento",tabLimpGeral[VALOR UNITÁRIO P/ HORA (R$)])*220,
IF(ISNUMBER(SEARCH("Limpador de vidros - 220 h",tabParametros[[#This Row],[Função]],1)),
SUMIF(tabVidros[TIPO],"Equipamento",tabVidros[VALOR UNITÁRIO P/ POSTO (R$)]),
0))))))</f>
        <v>43.997314032835618</v>
      </c>
      <c r="BA103" s="281">
        <f>IF(ISNUMBER(SEARCH("AUXILIAR DE LIMPEZA - 75 H",tabParametros[[#This Row],[Função]],1)),
SUMIF(tabLimpGeral[TIPO],"Produto",tabLimpGeral[VALOR UNITÁRIO P/ HORA (R$)])*75,
IF(ISNUMBER(SEARCH("AUXILIAR DE LIMPEZA - 110 H",tabParametros[[#This Row],[Função]],1)),
SUMIF(tabLimpGeral[TIPO],"Produto",tabLimpGeral[VALOR UNITÁRIO P/ HORA (R$)])*110,
IF(ISNUMBER(SEARCH("AUXILIAR DE LIMPEZA - 150 H",tabParametros[[#This Row],[Função]],1)),
SUMIF(tabLimpGeral[TIPO],"Produto",tabLimpGeral[VALOR UNITÁRIO P/ HORA (R$)])*150,
IF(ISNUMBER(SEARCH("AUXILIAR DE LIMPEZA - 220 H",tabParametros[[#This Row],[Função]],1)),
SUMIF(tabLimpGeral[TIPO],"Produto",tabLimpGeral[VALOR UNITÁRIO P/ HORA (R$)])*220,
IF(ISNUMBER(SEARCH("AUXILIAR DE LIMPEZA - 12 x 36",tabParametros[[#This Row],[Função]],1)),
SUMIF(tabLimpGeral[TIPO],"Produto",tabLimpGeral[VALOR UNITÁRIO P/ HORA (R$)])*220,
IF(ISNUMBER(SEARCH("Limpador de vidros - 220 h",tabParametros[[#This Row],[Função]],1)),
SUMIF(tabVidros[TIPO],"Produto",tabVidros[VALOR UNITÁRIO P/ POSTO (R$)]),
0))))))</f>
        <v>470.6396814404431</v>
      </c>
      <c r="BB103" s="281">
        <v>0</v>
      </c>
      <c r="BC103" s="236">
        <f>VLOOKUP(tabParametros[[#Headers],[Custos Indiretos]],tabOutrosCustos[],3,0)</f>
        <v>189.64880140242613</v>
      </c>
      <c r="BD103" s="236">
        <f>VLOOKUP(tabParametros[[#Headers],[Lucro]],tabOutrosCustos[],3,0)</f>
        <v>159.30499317803796</v>
      </c>
      <c r="BE103" s="235">
        <f>VLOOKUP(tabParametros[[#Headers],[COFINS]],tabImpostosNacionais[],2,0)</f>
        <v>7.5999999999999998E-2</v>
      </c>
      <c r="BF103" s="235">
        <f>VLOOKUP(tabParametros[[#Headers],[PIS]],tabImpostosNacionais[],2,0)</f>
        <v>1.6500000000000001E-2</v>
      </c>
      <c r="BG103" s="235">
        <f>VLOOKUP(tabParametros[[#This Row],[Comarca]],tabComarca[],4,0)</f>
        <v>0.05</v>
      </c>
      <c r="BH103" s="238">
        <f>IFERROR(VLOOKUP(tabParametros[[#This Row],[CCT DA CATEGORIA]],tabSindicatos[],11,0),"")</f>
        <v>45658</v>
      </c>
      <c r="BI103" s="289" t="str">
        <f>IFERROR(VLOOKUP(tabParametros[[#This Row],[CCT DA CATEGORIA]],tabSindicatos[],12,0),"")</f>
        <v>-</v>
      </c>
      <c r="BJ103" s="293" t="str">
        <f>IFERROR(VLOOKUP(tabParametros[[#This Row],[CCT DA CATEGORIA]],tabSindicatos[],13,0),"")</f>
        <v>-</v>
      </c>
    </row>
    <row r="104" spans="1:62" x14ac:dyDescent="0.25">
      <c r="A104" s="233" t="s">
        <v>1443</v>
      </c>
      <c r="B104" s="198" t="s">
        <v>97</v>
      </c>
      <c r="C104" s="198" t="s">
        <v>1244</v>
      </c>
      <c r="D104" s="198" t="str">
        <f>VLOOKUP(tabParametros[[#This Row],[Código do Posto]],tabPostos[],4,0)</f>
        <v>Regiao de Sao Lourenco</v>
      </c>
      <c r="E104" s="289" t="str">
        <f>VLOOKUP(tabParametros[[#This Row],[Código do Posto]],tabPostos[],5,0)</f>
        <v>Limpeza</v>
      </c>
      <c r="F104" s="289" t="str">
        <f>VLOOKUP(tabParametros[[#This Row],[Código do Posto]],tabPostos[],6,0)</f>
        <v>PGJ</v>
      </c>
      <c r="G104" s="289">
        <f>VLOOKUP(tabParametros[[#This Row],[Código do Posto]],tabPostos[],7,0)</f>
        <v>1</v>
      </c>
      <c r="H104" s="289">
        <f>VLOOKUP(tabParametros[[#This Row],[Código do Posto]],tabPostos[],8,0)</f>
        <v>0</v>
      </c>
      <c r="I104" s="234">
        <f>VLOOKUP(tabParametros[[#This Row],[Código do Posto]],tabPostos[],9,0)</f>
        <v>798.14</v>
      </c>
      <c r="J104" s="234">
        <f>IF(ISNUMBER(SEARCH("Eletricista",tabParametros[[#This Row],[Função]],1)),0.3*tabParametros[[#This Row],[Salário Base]],0)</f>
        <v>0</v>
      </c>
      <c r="K104" s="234">
        <f>IF(OR(ISNUMBER(SEARCH("Bombeiro Hidraulico",tabParametros[[#This Row],[Função]],1)),ISNUMBER(SEARCH("Jardineiro",tabParametros[[#This Row],[Função]],1)),ISNUMBER(SEARCH("Lavador de Veiculos",tabParametros[[#This Row],[Função]],1)),ISNUMBER(SEARCH("Marceneiro",tabParametros[[#This Row],[Função]],1)),ISNUMBER(SEARCH("Pintor",tabParametros[[#This Row],[Função]],1))),0.2*'BASE GERAL'!$R$4,0)</f>
        <v>0</v>
      </c>
      <c r="L104" s="234">
        <f>IF(AND(ISNUMBER(SEARCH("Noturno",tabParametros[[#This Row],[Função]],1)),tabParametros[[#This Row],[Comarca]]&lt;&gt;"Juiz de Fora"),tabParametros[[#This Row],[Salário Base]]/210*0.39*7*15.5,IF(ISNUMBER(SEARCH("Noturno",tabParametros[[#This Row],[Função]],1)),tabParametros[[#This Row],[Salário Base]]/210*0.2*8*15.5,0))</f>
        <v>0</v>
      </c>
      <c r="M104" s="234">
        <f>IF(ISNUMBER(SEARCH("Motorista II",tabParametros[[#This Row],[Função]],1)),0.25*tabParametros[[#This Row],[Salário Base]],0)</f>
        <v>0</v>
      </c>
      <c r="N104" s="250">
        <v>0</v>
      </c>
      <c r="O104" s="234">
        <f>IF(ISNUMBER(SEARCH("TECNOLOGIA DA INFORMACAO",tabParametros[[#This Row],[Função]],1)),0.0201*tabParametros[[#This Row],[Salário Base]],0)</f>
        <v>0</v>
      </c>
      <c r="P104" s="250" cm="1">
        <f t="array" ref="P104">_xlfn.IFS(
ISNUMBER(SEARCH("Auxiliar de Limpeza - 75 h",tabParametros[[#This Row],[Função]],1)),tabParametros[[#This Row],[Salário Base]]/75*0.75*30*0.12,
ISNUMBER(SEARCH("Auxiliar de Limpeza - 110 h",tabParametros[[#This Row],[Função]],1)),tabParametros[[#This Row],[Salário Base]]/110*1*30*0.12,
ISNUMBER(SEARCH("Auxiliar de Limpeza - 150 h",tabParametros[[#This Row],[Função]],1)),tabParametros[[#This Row],[Salário Base]]/150*1.5*30*0.12,
ISNUMBER(SEARCH("Auxiliar de Limpeza - 220 h",tabParametros[[#This Row],[Função]],1)),tabParametros[[#This Row],[Salário Base]]/220*2*30*0.12,
ISNUMBER(SEARCH("Auxiliar de Limpeza - 12 x 36",tabParametros[[#This Row],[Função]],1)),tabParametros[[#This Row],[Salário Base]]/220*2*30*0.12,
ISNUMBER(SEARCH("Auxiliar de Limpeza - 55 h",tabParametros[[#This Row],[Função]],1))=FALSE,0)</f>
        <v>26.120945454545453</v>
      </c>
      <c r="Q104" s="235">
        <f>VLOOKUP(tabParametros[[#Headers],[INSS]],tabImpostosNacionais[],2,0)</f>
        <v>0.2</v>
      </c>
      <c r="R104" s="235">
        <f>VLOOKUP(tabParametros[[#Headers],[SESI OU SESC]],tabImpostosNacionais[],2,0)</f>
        <v>1.4999999999999999E-2</v>
      </c>
      <c r="S104" s="235">
        <f>VLOOKUP(tabParametros[[#Headers],[SENAI OU SENAC]],tabImpostosNacionais[],2,0)</f>
        <v>0.01</v>
      </c>
      <c r="T104" s="235">
        <f>VLOOKUP(tabParametros[[#Headers],[INCRA]],tabImpostosNacionais[],2,0)</f>
        <v>2E-3</v>
      </c>
      <c r="U104" s="235">
        <f>VLOOKUP(tabParametros[[#Headers],[Salário Educação]],tabImpostosNacionais[],2,0)</f>
        <v>2.5000000000000001E-2</v>
      </c>
      <c r="V104" s="235">
        <f>VLOOKUP(tabParametros[[#Headers],[FGTS]],tabImpostosNacionais[],2,0)</f>
        <v>0.08</v>
      </c>
      <c r="W104" s="235">
        <f>VLOOKUP(tabParametros[[#Headers],[RAT Ajustado]],tabImpostosNacionais[],2,0)</f>
        <v>0.04</v>
      </c>
      <c r="X104" s="235">
        <f>VLOOKUP(tabParametros[[#Headers],[SEBRAE]],tabImpostosNacionais[],2,0)</f>
        <v>6.0000000000000001E-3</v>
      </c>
      <c r="Y104" s="235">
        <f t="shared" si="11"/>
        <v>8.3333333333333329E-2</v>
      </c>
      <c r="Z104" s="251">
        <f t="shared" si="12"/>
        <v>0.1111111111111111</v>
      </c>
      <c r="AA104" s="234">
        <f>VLOOKUP(tabParametros[[#This Row],[Comarca]],tabComarca[],5,0)</f>
        <v>6.4</v>
      </c>
      <c r="AB104" s="234">
        <f>IFERROR(VLOOKUP(tabParametros[[#This Row],[CCT DA CATEGORIA]],tabSindicatos[],6,0),0)</f>
        <v>29.15</v>
      </c>
      <c r="AC104" s="234">
        <f>IFERROR(VLOOKUP(tabParametros[[#This Row],[CCT DA CATEGORIA]],tabSindicatos[],7,0),0)</f>
        <v>0</v>
      </c>
      <c r="AD104" s="234" cm="1">
        <f t="array" ref="AD104">_xlfn.LET(
_xlpm.COMARCA, TRIM(UPPER(SUBSTITUTE(SUBSTITUTE(SUBSTITUTE(SUBSTITUTE(SUBSTITUTE(SUBSTITUTE(SUBSTITUTE(SUBSTITUTE(SUBSTITUTE(SUBSTITUTE(SUBSTITUTE(SUBSTITUTE(SUBSTITUTE(SUBSTITUTE(SUBSTITUTE(SUBSTITUTE(SUBSTITUTE(SUBSTITUTE(SUBSTITUTE(SUBSTITUTE(SUBSTITUTE(SUBSTITUTE(SUBSTITUTE(SUBSTITUTE(SUBSTITUTE(SUBSTITUTE(tabParametros[[#This Row],[Comarca]],"á","a"),"ã","a"),"â","a"),"é","e"),"ê","e"),"í","i"),"ó","o"),"õ","o"),"ô","o"),"ú","u"),"ç","c"),"Á","a"),"Ã","a"),"Â","a"),"É","e"),"Ê","e"),"Í","i"),"Ó","o"),"Õ","o"),"Ô","o"),"Ú","u"),"Ç","c"),"/MG","")," e ",", ")," ",""),".",""))),
_xlpm.MATRIZ_COMARCA, TRIM(UPPER(SUBSTITUTE(SUBSTITUTE(SUBSTITUTE(SUBSTITUTE(SUBSTITUTE(SUBSTITUTE(SUBSTITUTE(SUBSTITUTE(SUBSTITUTE(SUBSTITUTE(SUBSTITUTE(SUBSTITUTE(SUBSTITUTE(SUBSTITUTE(SUBSTITUTE(SUBSTITUTE(SUBSTITUTE(SUBSTITUTE(SUBSTITUTE(SUBSTITUTE(SUBSTITUTE(SUBSTITUTE(SUBSTITUTE(SUBSTITUTE(SUBSTITUTE(SUBSTITUTE(tabSindicatos[COMARCAS PAF],"á","a"),"ã","a"),"â","a"),"é","e"),"ê","e"),"í","i"),"ó","o"),"õ","o"),"ô","o"),"ú","u"),"ç","c"),"Á","a"),"Ã","a"),"Â","a"),"É","e"),"Ê","e"),"Í","i"),"Ó","o"),"Õ","o"),"Ô","o"),"Ú","u"),"Ç","c"),"/MG","")," e ",", ")," ",""),".",""))),
IFERROR(IF(_xlfn.XLOOKUP(tabParametros[[#This Row],[CCT DA CATEGORIA]],tabSindicatos[SINDICATOS],tabSindicatos[COMARCAS PAF])="",
VLOOKUP(tabParametros[[#This Row],[CCT DA CATEGORIA]],tabSindicatos[],8,0),
IF(ISNUMBER(SEARCH(TRIM(_xlpm.COMARCA),_xlfn.XLOOKUP(tabParametros[[#This Row],[CCT DA CATEGORIA]],tabSindicatos[SINDICATOS],_xlpm.MATRIZ_COMARCA),1)),VLOOKUP(tabParametros[[#This Row],[CCT DA CATEGORIA]],tabSindicatos[],8,0),0)
),0)
)</f>
        <v>0</v>
      </c>
      <c r="AE104" s="234">
        <f>IFERROR(VLOOKUP(tabParametros[[#This Row],[CCT DA CATEGORIA]],tabSindicatos[],9,0),0)</f>
        <v>0</v>
      </c>
      <c r="AF104" s="234">
        <f>IFERROR(VLOOKUP(tabParametros[[#This Row],[CCT DA CATEGORIA]],tabSindicatos[],10,0),0)</f>
        <v>0</v>
      </c>
      <c r="AG104" s="236">
        <f>VLOOKUP(tabParametros[[#Headers],[Seguro de Vida]],tabOutrosCustos[],3,0)</f>
        <v>3.36</v>
      </c>
      <c r="AH104" s="236">
        <f>IF(ISNUMBER(SEARCH("MOTORISTA",tabParametros[[#This Row],[Função]],1)),VLOOKUP("MOTORISTAS",tabDiarias[],2,0),IF(tabParametros[[#This Row],[Comarca]]="Belo Horizonte",VLOOKUP("LIMPEZA",tabDiarias[],2,0),0))</f>
        <v>0</v>
      </c>
      <c r="AI104" s="235">
        <f t="shared" si="13"/>
        <v>7.011766975308642E-3</v>
      </c>
      <c r="AJ104" s="237">
        <f>tabParametros[[#This Row],[FGTS]]*tabParametros[[#This Row],[Aviso Prévio Indenizado (API) e Reflexo do Aviso Prévio Indenizado]]</f>
        <v>5.609413580246914E-4</v>
      </c>
      <c r="AK104" s="237">
        <f>tabParametros[[#This Row],[FGTS]]*tabParametros[[#This Row],[Aviso Prévio Indenizado (API) e Reflexo do Aviso Prévio Indenizado]]*40%</f>
        <v>2.2437654320987658E-4</v>
      </c>
      <c r="AL104" s="235">
        <f t="shared" si="14"/>
        <v>3.5000000000000005E-3</v>
      </c>
      <c r="AM104" s="235">
        <f>tabParametros[[#This Row],[Aviso Prévio Trabalhado - APT]]*SUM(tabParametros[[#This Row],[INSS]:[SEBRAE]])</f>
        <v>1.3230000000000004E-3</v>
      </c>
      <c r="AN104" s="235">
        <f t="shared" si="15"/>
        <v>3.0577777777777773E-2</v>
      </c>
      <c r="AO104" s="235">
        <f t="shared" si="16"/>
        <v>8.3333333333333339E-4</v>
      </c>
      <c r="AP104" s="235">
        <f t="shared" si="17"/>
        <v>8.4444444444444437E-3</v>
      </c>
      <c r="AQ104" s="235">
        <f t="shared" si="18"/>
        <v>2.0277777777777777E-3</v>
      </c>
      <c r="AR104" s="235">
        <f t="shared" si="19"/>
        <v>1.7083333333333333E-4</v>
      </c>
      <c r="AS104" s="235">
        <f t="shared" si="20"/>
        <v>2.0833333333333335E-4</v>
      </c>
      <c r="AT104" s="235">
        <f t="shared" si="21"/>
        <v>1.2962962962962963E-3</v>
      </c>
      <c r="AU104" s="237">
        <f>SUM(tabParametros[[#This Row],[Ausência por Doença]:[Férias, Adicional de Férias e 13º  com empregada em gozo de Licença Maternidade]])*SUM(tabParametros[[#This Row],[INSS]:[SEBRAE]])</f>
        <v>4.5918250000000008E-3</v>
      </c>
      <c r="AV104" s="234">
        <f>IF(tabParametros[[#This Row],[Função]]="Porteiro - 220 h",SUM(tabParametros[[#This Row],[Salário Base]:[Adicional de Acúmulo de função]])/220*20*1.5,IF(ISNUMBER(SEARCH("12 x 36",tabParametros[[#This Row],[Função]],1)),SUM(tabParametros[[#This Row],[Salário Base]:[Adicional de Acúmulo de função]])/210*15.5*1.5,0))</f>
        <v>0</v>
      </c>
      <c r="AW104" s="234">
        <f>IF(tabParametros[[#This Row],[Vagas contratadas]]&gt;0,(SUM(tabParametros[[#This Row],[Salário Base]:[Adicional de Acúmulo de função]])*30%+SUM(tabParametros[[#This Row],[Vale - Alimentação]:[Seguro de Vida]]))/tabParametros[[#This Row],[Vagas contratadas]]*tabParametros[[#This Row],[Vagas suspensas]],0)</f>
        <v>0</v>
      </c>
      <c r="AX104" s="234">
        <f>SUMIF(tabUniformes[Cargo],tabParametros[[#This Row],[Função]],tabUniformes[Valor unit. Mensal])</f>
        <v>62.806666666666665</v>
      </c>
      <c r="AY104" s="281">
        <f>IF(ISNUMBER(SEARCH("AUXILIAR DE LIMPEZA - 75 H",tabParametros[[#This Row],[Função]],1)),
SUMIF(tabLimpGeral[TIPO],"Material",tabLimpGeral[VALOR UNITÁRIO P/ HORA (R$)])*75,
IF(ISNUMBER(SEARCH("AUXILIAR DE LIMPEZA - 110 H",tabParametros[[#This Row],[Função]],1)),
SUMIF(tabLimpGeral[TIPO],"Material",tabLimpGeral[VALOR UNITÁRIO P/ HORA (R$)])*110,
IF(ISNUMBER(SEARCH("AUXILIAR DE LIMPEZA - 150 H",tabParametros[[#This Row],[Função]],1)),
SUMIF(tabLimpGeral[TIPO],"Material",tabLimpGeral[VALOR UNITÁRIO P/ HORA (R$)])*150,
IF(ISNUMBER(SEARCH("AUXILIAR DE LIMPEZA - 220 H",tabParametros[[#This Row],[Função]],1)),
SUMIF(tabLimpGeral[TIPO],"Material",tabLimpGeral[VALOR UNITÁRIO P/ HORA (R$)])*220,
IF(ISNUMBER(SEARCH("AUXILIAR DE LIMPEZA - 12 x 36",tabParametros[[#This Row],[Função]],1)),
SUMIF(tabLimpGeral[TIPO],"Material",tabLimpGeral[VALOR UNITÁRIO P/ HORA (R$)])*220,
IF(ISNUMBER(SEARCH("Limpador de vidros - 220 h",tabParametros[[#This Row],[Função]],1)),
SUMIF(tabVidros[TIPO],"Material",tabVidros[VALOR UNITÁRIO P/ POSTO (R$)]),
0))))))</f>
        <v>17.759106479291944</v>
      </c>
      <c r="AZ104" s="281">
        <f>IF(ISNUMBER(SEARCH("AUXILIAR DE LIMPEZA - 75 H",tabParametros[[#This Row],[Função]],1)),
SUMIF(tabLimpGeral[TIPO],"Equipamento",tabLimpGeral[VALOR UNITÁRIO P/ HORA (R$)])*75,
IF(ISNUMBER(SEARCH("AUXILIAR DE LIMPEZA - 110 H",tabParametros[[#This Row],[Função]],1)),
SUMIF(tabLimpGeral[TIPO],"Equipamento",tabLimpGeral[VALOR UNITÁRIO P/ HORA (R$)])*110,
IF(ISNUMBER(SEARCH("AUXILIAR DE LIMPEZA - 150 H",tabParametros[[#This Row],[Função]],1)),
SUMIF(tabLimpGeral[TIPO],"Equipamento",tabLimpGeral[VALOR UNITÁRIO P/ HORA (R$)])*150,
IF(ISNUMBER(SEARCH("AUXILIAR DE LIMPEZA - 220 H",tabParametros[[#This Row],[Função]],1)),
SUMIF(tabLimpGeral[TIPO],"Equipamento",tabLimpGeral[VALOR UNITÁRIO P/ HORA (R$)])*220,
IF(ISNUMBER(SEARCH("AUXILIAR DE LIMPEZA - 12 x 36",tabParametros[[#This Row],[Função]],1)),
SUMIF(tabLimpGeral[TIPO],"Equipamento",tabLimpGeral[VALOR UNITÁRIO P/ HORA (R$)])*220,
IF(ISNUMBER(SEARCH("Limpador de vidros - 220 h",tabParametros[[#This Row],[Função]],1)),
SUMIF(tabVidros[TIPO],"Equipamento",tabVidros[VALOR UNITÁRIO P/ POSTO (R$)]),
0))))))</f>
        <v>32.264696957412788</v>
      </c>
      <c r="BA104" s="281">
        <f>IF(ISNUMBER(SEARCH("AUXILIAR DE LIMPEZA - 75 H",tabParametros[[#This Row],[Função]],1)),
SUMIF(tabLimpGeral[TIPO],"Produto",tabLimpGeral[VALOR UNITÁRIO P/ HORA (R$)])*75,
IF(ISNUMBER(SEARCH("AUXILIAR DE LIMPEZA - 110 H",tabParametros[[#This Row],[Função]],1)),
SUMIF(tabLimpGeral[TIPO],"Produto",tabLimpGeral[VALOR UNITÁRIO P/ HORA (R$)])*110,
IF(ISNUMBER(SEARCH("AUXILIAR DE LIMPEZA - 150 H",tabParametros[[#This Row],[Função]],1)),
SUMIF(tabLimpGeral[TIPO],"Produto",tabLimpGeral[VALOR UNITÁRIO P/ HORA (R$)])*150,
IF(ISNUMBER(SEARCH("AUXILIAR DE LIMPEZA - 220 H",tabParametros[[#This Row],[Função]],1)),
SUMIF(tabLimpGeral[TIPO],"Produto",tabLimpGeral[VALOR UNITÁRIO P/ HORA (R$)])*220,
IF(ISNUMBER(SEARCH("AUXILIAR DE LIMPEZA - 12 x 36",tabParametros[[#This Row],[Função]],1)),
SUMIF(tabLimpGeral[TIPO],"Produto",tabLimpGeral[VALOR UNITÁRIO P/ HORA (R$)])*220,
IF(ISNUMBER(SEARCH("Limpador de vidros - 220 h",tabParametros[[#This Row],[Função]],1)),
SUMIF(tabVidros[TIPO],"Produto",tabVidros[VALOR UNITÁRIO P/ POSTO (R$)]),
0))))))</f>
        <v>345.13576638965827</v>
      </c>
      <c r="BB104" s="281">
        <v>0</v>
      </c>
      <c r="BC104" s="236">
        <f>VLOOKUP(tabParametros[[#Headers],[Custos Indiretos]],tabOutrosCustos[],3,0)</f>
        <v>189.64880140242613</v>
      </c>
      <c r="BD104" s="236">
        <f>VLOOKUP(tabParametros[[#Headers],[Lucro]],tabOutrosCustos[],3,0)</f>
        <v>159.30499317803796</v>
      </c>
      <c r="BE104" s="235">
        <f>VLOOKUP(tabParametros[[#Headers],[COFINS]],tabImpostosNacionais[],2,0)</f>
        <v>7.5999999999999998E-2</v>
      </c>
      <c r="BF104" s="235">
        <f>VLOOKUP(tabParametros[[#Headers],[PIS]],tabImpostosNacionais[],2,0)</f>
        <v>1.6500000000000001E-2</v>
      </c>
      <c r="BG104" s="235">
        <f>VLOOKUP(tabParametros[[#This Row],[Comarca]],tabComarca[],4,0)</f>
        <v>0.02</v>
      </c>
      <c r="BH104" s="238">
        <f>IFERROR(VLOOKUP(tabParametros[[#This Row],[CCT DA CATEGORIA]],tabSindicatos[],11,0),"")</f>
        <v>45658</v>
      </c>
      <c r="BI104" s="289" t="str">
        <f>IFERROR(VLOOKUP(tabParametros[[#This Row],[CCT DA CATEGORIA]],tabSindicatos[],12,0),"")</f>
        <v>-</v>
      </c>
      <c r="BJ104" s="293" t="str">
        <f>IFERROR(VLOOKUP(tabParametros[[#This Row],[CCT DA CATEGORIA]],tabSindicatos[],13,0),"")</f>
        <v>-</v>
      </c>
    </row>
    <row r="105" spans="1:62" x14ac:dyDescent="0.25">
      <c r="A105" s="233" t="s">
        <v>1444</v>
      </c>
      <c r="B105" s="198" t="s">
        <v>1347</v>
      </c>
      <c r="C105" s="198" t="s">
        <v>1244</v>
      </c>
      <c r="D105" s="198" t="str">
        <f>VLOOKUP(tabParametros[[#This Row],[Código do Posto]],tabPostos[],4,0)</f>
        <v>Regiao de Juiz de Fora</v>
      </c>
      <c r="E105" s="289" t="str">
        <f>VLOOKUP(tabParametros[[#This Row],[Código do Posto]],tabPostos[],5,0)</f>
        <v>Limpeza</v>
      </c>
      <c r="F105" s="289" t="str">
        <f>VLOOKUP(tabParametros[[#This Row],[Código do Posto]],tabPostos[],6,0)</f>
        <v>PGJ</v>
      </c>
      <c r="G105" s="289">
        <f>VLOOKUP(tabParametros[[#This Row],[Código do Posto]],tabPostos[],7,0)</f>
        <v>1</v>
      </c>
      <c r="H105" s="289">
        <f>VLOOKUP(tabParametros[[#This Row],[Código do Posto]],tabPostos[],8,0)</f>
        <v>0</v>
      </c>
      <c r="I105" s="234">
        <f>VLOOKUP(tabParametros[[#This Row],[Código do Posto]],tabPostos[],9,0)</f>
        <v>798.14</v>
      </c>
      <c r="J105" s="234">
        <f>IF(ISNUMBER(SEARCH("Eletricista",tabParametros[[#This Row],[Função]],1)),0.3*tabParametros[[#This Row],[Salário Base]],0)</f>
        <v>0</v>
      </c>
      <c r="K105" s="234">
        <f>IF(OR(ISNUMBER(SEARCH("Bombeiro Hidraulico",tabParametros[[#This Row],[Função]],1)),ISNUMBER(SEARCH("Jardineiro",tabParametros[[#This Row],[Função]],1)),ISNUMBER(SEARCH("Lavador de Veiculos",tabParametros[[#This Row],[Função]],1)),ISNUMBER(SEARCH("Marceneiro",tabParametros[[#This Row],[Função]],1)),ISNUMBER(SEARCH("Pintor",tabParametros[[#This Row],[Função]],1))),0.2*'BASE GERAL'!$R$4,0)</f>
        <v>0</v>
      </c>
      <c r="L105" s="234">
        <f>IF(AND(ISNUMBER(SEARCH("Noturno",tabParametros[[#This Row],[Função]],1)),tabParametros[[#This Row],[Comarca]]&lt;&gt;"Juiz de Fora"),tabParametros[[#This Row],[Salário Base]]/210*0.39*7*15.5,IF(ISNUMBER(SEARCH("Noturno",tabParametros[[#This Row],[Função]],1)),tabParametros[[#This Row],[Salário Base]]/210*0.2*8*15.5,0))</f>
        <v>0</v>
      </c>
      <c r="M105" s="234">
        <f>IF(ISNUMBER(SEARCH("Motorista II",tabParametros[[#This Row],[Função]],1)),0.25*tabParametros[[#This Row],[Salário Base]],0)</f>
        <v>0</v>
      </c>
      <c r="N105" s="250">
        <v>0</v>
      </c>
      <c r="O105" s="234">
        <f>IF(ISNUMBER(SEARCH("TECNOLOGIA DA INFORMACAO",tabParametros[[#This Row],[Função]],1)),0.0201*tabParametros[[#This Row],[Salário Base]],0)</f>
        <v>0</v>
      </c>
      <c r="P105" s="250" cm="1">
        <f t="array" ref="P105">_xlfn.IFS(
ISNUMBER(SEARCH("Auxiliar de Limpeza - 75 h",tabParametros[[#This Row],[Função]],1)),tabParametros[[#This Row],[Salário Base]]/75*0.75*30*0.12,
ISNUMBER(SEARCH("Auxiliar de Limpeza - 110 h",tabParametros[[#This Row],[Função]],1)),tabParametros[[#This Row],[Salário Base]]/110*1*30*0.12,
ISNUMBER(SEARCH("Auxiliar de Limpeza - 150 h",tabParametros[[#This Row],[Função]],1)),tabParametros[[#This Row],[Salário Base]]/150*1.5*30*0.12,
ISNUMBER(SEARCH("Auxiliar de Limpeza - 220 h",tabParametros[[#This Row],[Função]],1)),tabParametros[[#This Row],[Salário Base]]/220*2*30*0.12,
ISNUMBER(SEARCH("Auxiliar de Limpeza - 12 x 36",tabParametros[[#This Row],[Função]],1)),tabParametros[[#This Row],[Salário Base]]/220*2*30*0.12,
ISNUMBER(SEARCH("Auxiliar de Limpeza - 55 h",tabParametros[[#This Row],[Função]],1))=FALSE,0)</f>
        <v>26.120945454545453</v>
      </c>
      <c r="Q105" s="235">
        <f>VLOOKUP(tabParametros[[#Headers],[INSS]],tabImpostosNacionais[],2,0)</f>
        <v>0.2</v>
      </c>
      <c r="R105" s="235">
        <f>VLOOKUP(tabParametros[[#Headers],[SESI OU SESC]],tabImpostosNacionais[],2,0)</f>
        <v>1.4999999999999999E-2</v>
      </c>
      <c r="S105" s="235">
        <f>VLOOKUP(tabParametros[[#Headers],[SENAI OU SENAC]],tabImpostosNacionais[],2,0)</f>
        <v>0.01</v>
      </c>
      <c r="T105" s="235">
        <f>VLOOKUP(tabParametros[[#Headers],[INCRA]],tabImpostosNacionais[],2,0)</f>
        <v>2E-3</v>
      </c>
      <c r="U105" s="235">
        <f>VLOOKUP(tabParametros[[#Headers],[Salário Educação]],tabImpostosNacionais[],2,0)</f>
        <v>2.5000000000000001E-2</v>
      </c>
      <c r="V105" s="235">
        <f>VLOOKUP(tabParametros[[#Headers],[FGTS]],tabImpostosNacionais[],2,0)</f>
        <v>0.08</v>
      </c>
      <c r="W105" s="235">
        <f>VLOOKUP(tabParametros[[#Headers],[RAT Ajustado]],tabImpostosNacionais[],2,0)</f>
        <v>0.04</v>
      </c>
      <c r="X105" s="235">
        <f>VLOOKUP(tabParametros[[#Headers],[SEBRAE]],tabImpostosNacionais[],2,0)</f>
        <v>6.0000000000000001E-3</v>
      </c>
      <c r="Y105" s="235">
        <f t="shared" si="11"/>
        <v>8.3333333333333329E-2</v>
      </c>
      <c r="Z105" s="251">
        <f t="shared" si="12"/>
        <v>0.1111111111111111</v>
      </c>
      <c r="AA105" s="234">
        <f>VLOOKUP(tabParametros[[#This Row],[Comarca]],tabComarca[],5,0)</f>
        <v>6.4</v>
      </c>
      <c r="AB105" s="234">
        <f>IFERROR(VLOOKUP(tabParametros[[#This Row],[CCT DA CATEGORIA]],tabSindicatos[],6,0),0)</f>
        <v>29.15</v>
      </c>
      <c r="AC105" s="234">
        <f>IFERROR(VLOOKUP(tabParametros[[#This Row],[CCT DA CATEGORIA]],tabSindicatos[],7,0),0)</f>
        <v>0</v>
      </c>
      <c r="AD105" s="234" cm="1">
        <f t="array" ref="AD105">_xlfn.LET(
_xlpm.COMARCA, TRIM(UPPER(SUBSTITUTE(SUBSTITUTE(SUBSTITUTE(SUBSTITUTE(SUBSTITUTE(SUBSTITUTE(SUBSTITUTE(SUBSTITUTE(SUBSTITUTE(SUBSTITUTE(SUBSTITUTE(SUBSTITUTE(SUBSTITUTE(SUBSTITUTE(SUBSTITUTE(SUBSTITUTE(SUBSTITUTE(SUBSTITUTE(SUBSTITUTE(SUBSTITUTE(SUBSTITUTE(SUBSTITUTE(SUBSTITUTE(SUBSTITUTE(SUBSTITUTE(SUBSTITUTE(tabParametros[[#This Row],[Comarca]],"á","a"),"ã","a"),"â","a"),"é","e"),"ê","e"),"í","i"),"ó","o"),"õ","o"),"ô","o"),"ú","u"),"ç","c"),"Á","a"),"Ã","a"),"Â","a"),"É","e"),"Ê","e"),"Í","i"),"Ó","o"),"Õ","o"),"Ô","o"),"Ú","u"),"Ç","c"),"/MG","")," e ",", ")," ",""),".",""))),
_xlpm.MATRIZ_COMARCA, TRIM(UPPER(SUBSTITUTE(SUBSTITUTE(SUBSTITUTE(SUBSTITUTE(SUBSTITUTE(SUBSTITUTE(SUBSTITUTE(SUBSTITUTE(SUBSTITUTE(SUBSTITUTE(SUBSTITUTE(SUBSTITUTE(SUBSTITUTE(SUBSTITUTE(SUBSTITUTE(SUBSTITUTE(SUBSTITUTE(SUBSTITUTE(SUBSTITUTE(SUBSTITUTE(SUBSTITUTE(SUBSTITUTE(SUBSTITUTE(SUBSTITUTE(SUBSTITUTE(SUBSTITUTE(tabSindicatos[COMARCAS PAF],"á","a"),"ã","a"),"â","a"),"é","e"),"ê","e"),"í","i"),"ó","o"),"õ","o"),"ô","o"),"ú","u"),"ç","c"),"Á","a"),"Ã","a"),"Â","a"),"É","e"),"Ê","e"),"Í","i"),"Ó","o"),"Õ","o"),"Ô","o"),"Ú","u"),"Ç","c"),"/MG","")," e ",", ")," ",""),".",""))),
IFERROR(IF(_xlfn.XLOOKUP(tabParametros[[#This Row],[CCT DA CATEGORIA]],tabSindicatos[SINDICATOS],tabSindicatos[COMARCAS PAF])="",
VLOOKUP(tabParametros[[#This Row],[CCT DA CATEGORIA]],tabSindicatos[],8,0),
IF(ISNUMBER(SEARCH(TRIM(_xlpm.COMARCA),_xlfn.XLOOKUP(tabParametros[[#This Row],[CCT DA CATEGORIA]],tabSindicatos[SINDICATOS],_xlpm.MATRIZ_COMARCA),1)),VLOOKUP(tabParametros[[#This Row],[CCT DA CATEGORIA]],tabSindicatos[],8,0),0)
),0)
)</f>
        <v>51.88</v>
      </c>
      <c r="AE105" s="234">
        <f>IFERROR(VLOOKUP(tabParametros[[#This Row],[CCT DA CATEGORIA]],tabSindicatos[],9,0),0)</f>
        <v>0</v>
      </c>
      <c r="AF105" s="234">
        <f>IFERROR(VLOOKUP(tabParametros[[#This Row],[CCT DA CATEGORIA]],tabSindicatos[],10,0),0)</f>
        <v>0</v>
      </c>
      <c r="AG105" s="236">
        <f>VLOOKUP(tabParametros[[#Headers],[Seguro de Vida]],tabOutrosCustos[],3,0)</f>
        <v>3.36</v>
      </c>
      <c r="AH105" s="236">
        <f>IF(ISNUMBER(SEARCH("MOTORISTA",tabParametros[[#This Row],[Função]],1)),VLOOKUP("MOTORISTAS",tabDiarias[],2,0),IF(tabParametros[[#This Row],[Comarca]]="Belo Horizonte",VLOOKUP("LIMPEZA",tabDiarias[],2,0),0))</f>
        <v>0</v>
      </c>
      <c r="AI105" s="235">
        <f t="shared" si="13"/>
        <v>7.011766975308642E-3</v>
      </c>
      <c r="AJ105" s="237">
        <f>tabParametros[[#This Row],[FGTS]]*tabParametros[[#This Row],[Aviso Prévio Indenizado (API) e Reflexo do Aviso Prévio Indenizado]]</f>
        <v>5.609413580246914E-4</v>
      </c>
      <c r="AK105" s="237">
        <f>tabParametros[[#This Row],[FGTS]]*tabParametros[[#This Row],[Aviso Prévio Indenizado (API) e Reflexo do Aviso Prévio Indenizado]]*40%</f>
        <v>2.2437654320987658E-4</v>
      </c>
      <c r="AL105" s="235">
        <f t="shared" si="14"/>
        <v>3.5000000000000005E-3</v>
      </c>
      <c r="AM105" s="235">
        <f>tabParametros[[#This Row],[Aviso Prévio Trabalhado - APT]]*SUM(tabParametros[[#This Row],[INSS]:[SEBRAE]])</f>
        <v>1.3230000000000004E-3</v>
      </c>
      <c r="AN105" s="235">
        <f t="shared" si="15"/>
        <v>3.0577777777777773E-2</v>
      </c>
      <c r="AO105" s="235">
        <f t="shared" si="16"/>
        <v>8.3333333333333339E-4</v>
      </c>
      <c r="AP105" s="235">
        <f t="shared" si="17"/>
        <v>8.4444444444444437E-3</v>
      </c>
      <c r="AQ105" s="235">
        <f t="shared" si="18"/>
        <v>2.0277777777777777E-3</v>
      </c>
      <c r="AR105" s="235">
        <f t="shared" si="19"/>
        <v>1.7083333333333333E-4</v>
      </c>
      <c r="AS105" s="235">
        <f t="shared" si="20"/>
        <v>2.0833333333333335E-4</v>
      </c>
      <c r="AT105" s="235">
        <f t="shared" si="21"/>
        <v>1.2962962962962963E-3</v>
      </c>
      <c r="AU105" s="237">
        <f>SUM(tabParametros[[#This Row],[Ausência por Doença]:[Férias, Adicional de Férias e 13º  com empregada em gozo de Licença Maternidade]])*SUM(tabParametros[[#This Row],[INSS]:[SEBRAE]])</f>
        <v>4.5918250000000008E-3</v>
      </c>
      <c r="AV105" s="234">
        <f>IF(tabParametros[[#This Row],[Função]]="Porteiro - 220 h",SUM(tabParametros[[#This Row],[Salário Base]:[Adicional de Acúmulo de função]])/220*20*1.5,IF(ISNUMBER(SEARCH("12 x 36",tabParametros[[#This Row],[Função]],1)),SUM(tabParametros[[#This Row],[Salário Base]:[Adicional de Acúmulo de função]])/210*15.5*1.5,0))</f>
        <v>0</v>
      </c>
      <c r="AW105" s="234">
        <f>IF(tabParametros[[#This Row],[Vagas contratadas]]&gt;0,(SUM(tabParametros[[#This Row],[Salário Base]:[Adicional de Acúmulo de função]])*30%+SUM(tabParametros[[#This Row],[Vale - Alimentação]:[Seguro de Vida]]))/tabParametros[[#This Row],[Vagas contratadas]]*tabParametros[[#This Row],[Vagas suspensas]],0)</f>
        <v>0</v>
      </c>
      <c r="AX105" s="234">
        <f>SUMIF(tabUniformes[Cargo],tabParametros[[#This Row],[Função]],tabUniformes[Valor unit. Mensal])</f>
        <v>62.806666666666665</v>
      </c>
      <c r="AY105" s="281">
        <f>IF(ISNUMBER(SEARCH("AUXILIAR DE LIMPEZA - 75 H",tabParametros[[#This Row],[Função]],1)),
SUMIF(tabLimpGeral[TIPO],"Material",tabLimpGeral[VALOR UNITÁRIO P/ HORA (R$)])*75,
IF(ISNUMBER(SEARCH("AUXILIAR DE LIMPEZA - 110 H",tabParametros[[#This Row],[Função]],1)),
SUMIF(tabLimpGeral[TIPO],"Material",tabLimpGeral[VALOR UNITÁRIO P/ HORA (R$)])*110,
IF(ISNUMBER(SEARCH("AUXILIAR DE LIMPEZA - 150 H",tabParametros[[#This Row],[Função]],1)),
SUMIF(tabLimpGeral[TIPO],"Material",tabLimpGeral[VALOR UNITÁRIO P/ HORA (R$)])*150,
IF(ISNUMBER(SEARCH("AUXILIAR DE LIMPEZA - 220 H",tabParametros[[#This Row],[Função]],1)),
SUMIF(tabLimpGeral[TIPO],"Material",tabLimpGeral[VALOR UNITÁRIO P/ HORA (R$)])*220,
IF(ISNUMBER(SEARCH("AUXILIAR DE LIMPEZA - 12 x 36",tabParametros[[#This Row],[Função]],1)),
SUMIF(tabLimpGeral[TIPO],"Material",tabLimpGeral[VALOR UNITÁRIO P/ HORA (R$)])*220,
IF(ISNUMBER(SEARCH("Limpador de vidros - 220 h",tabParametros[[#This Row],[Função]],1)),
SUMIF(tabVidros[TIPO],"Material",tabVidros[VALOR UNITÁRIO P/ POSTO (R$)]),
0))))))</f>
        <v>17.759106479291944</v>
      </c>
      <c r="AZ105" s="281">
        <f>IF(ISNUMBER(SEARCH("AUXILIAR DE LIMPEZA - 75 H",tabParametros[[#This Row],[Função]],1)),
SUMIF(tabLimpGeral[TIPO],"Equipamento",tabLimpGeral[VALOR UNITÁRIO P/ HORA (R$)])*75,
IF(ISNUMBER(SEARCH("AUXILIAR DE LIMPEZA - 110 H",tabParametros[[#This Row],[Função]],1)),
SUMIF(tabLimpGeral[TIPO],"Equipamento",tabLimpGeral[VALOR UNITÁRIO P/ HORA (R$)])*110,
IF(ISNUMBER(SEARCH("AUXILIAR DE LIMPEZA - 150 H",tabParametros[[#This Row],[Função]],1)),
SUMIF(tabLimpGeral[TIPO],"Equipamento",tabLimpGeral[VALOR UNITÁRIO P/ HORA (R$)])*150,
IF(ISNUMBER(SEARCH("AUXILIAR DE LIMPEZA - 220 H",tabParametros[[#This Row],[Função]],1)),
SUMIF(tabLimpGeral[TIPO],"Equipamento",tabLimpGeral[VALOR UNITÁRIO P/ HORA (R$)])*220,
IF(ISNUMBER(SEARCH("AUXILIAR DE LIMPEZA - 12 x 36",tabParametros[[#This Row],[Função]],1)),
SUMIF(tabLimpGeral[TIPO],"Equipamento",tabLimpGeral[VALOR UNITÁRIO P/ HORA (R$)])*220,
IF(ISNUMBER(SEARCH("Limpador de vidros - 220 h",tabParametros[[#This Row],[Função]],1)),
SUMIF(tabVidros[TIPO],"Equipamento",tabVidros[VALOR UNITÁRIO P/ POSTO (R$)]),
0))))))</f>
        <v>32.264696957412788</v>
      </c>
      <c r="BA105" s="281">
        <f>IF(ISNUMBER(SEARCH("AUXILIAR DE LIMPEZA - 75 H",tabParametros[[#This Row],[Função]],1)),
SUMIF(tabLimpGeral[TIPO],"Produto",tabLimpGeral[VALOR UNITÁRIO P/ HORA (R$)])*75,
IF(ISNUMBER(SEARCH("AUXILIAR DE LIMPEZA - 110 H",tabParametros[[#This Row],[Função]],1)),
SUMIF(tabLimpGeral[TIPO],"Produto",tabLimpGeral[VALOR UNITÁRIO P/ HORA (R$)])*110,
IF(ISNUMBER(SEARCH("AUXILIAR DE LIMPEZA - 150 H",tabParametros[[#This Row],[Função]],1)),
SUMIF(tabLimpGeral[TIPO],"Produto",tabLimpGeral[VALOR UNITÁRIO P/ HORA (R$)])*150,
IF(ISNUMBER(SEARCH("AUXILIAR DE LIMPEZA - 220 H",tabParametros[[#This Row],[Função]],1)),
SUMIF(tabLimpGeral[TIPO],"Produto",tabLimpGeral[VALOR UNITÁRIO P/ HORA (R$)])*220,
IF(ISNUMBER(SEARCH("AUXILIAR DE LIMPEZA - 12 x 36",tabParametros[[#This Row],[Função]],1)),
SUMIF(tabLimpGeral[TIPO],"Produto",tabLimpGeral[VALOR UNITÁRIO P/ HORA (R$)])*220,
IF(ISNUMBER(SEARCH("Limpador de vidros - 220 h",tabParametros[[#This Row],[Função]],1)),
SUMIF(tabVidros[TIPO],"Produto",tabVidros[VALOR UNITÁRIO P/ POSTO (R$)]),
0))))))</f>
        <v>345.13576638965827</v>
      </c>
      <c r="BB105" s="281">
        <v>0</v>
      </c>
      <c r="BC105" s="236">
        <f>VLOOKUP(tabParametros[[#Headers],[Custos Indiretos]],tabOutrosCustos[],3,0)</f>
        <v>189.64880140242613</v>
      </c>
      <c r="BD105" s="236">
        <f>VLOOKUP(tabParametros[[#Headers],[Lucro]],tabOutrosCustos[],3,0)</f>
        <v>159.30499317803796</v>
      </c>
      <c r="BE105" s="235">
        <f>VLOOKUP(tabParametros[[#Headers],[COFINS]],tabImpostosNacionais[],2,0)</f>
        <v>7.5999999999999998E-2</v>
      </c>
      <c r="BF105" s="235">
        <f>VLOOKUP(tabParametros[[#Headers],[PIS]],tabImpostosNacionais[],2,0)</f>
        <v>1.6500000000000001E-2</v>
      </c>
      <c r="BG105" s="235">
        <f>VLOOKUP(tabParametros[[#This Row],[Comarca]],tabComarca[],4,0)</f>
        <v>0.02</v>
      </c>
      <c r="BH105" s="238">
        <f>IFERROR(VLOOKUP(tabParametros[[#This Row],[CCT DA CATEGORIA]],tabSindicatos[],11,0),"")</f>
        <v>45658</v>
      </c>
      <c r="BI105" s="289" t="str">
        <f>IFERROR(VLOOKUP(tabParametros[[#This Row],[CCT DA CATEGORIA]],tabSindicatos[],12,0),"")</f>
        <v>-</v>
      </c>
      <c r="BJ105" s="293" t="str">
        <f>IFERROR(VLOOKUP(tabParametros[[#This Row],[CCT DA CATEGORIA]],tabSindicatos[],13,0),"")</f>
        <v>-</v>
      </c>
    </row>
    <row r="106" spans="1:62" x14ac:dyDescent="0.25">
      <c r="A106" s="233" t="s">
        <v>1445</v>
      </c>
      <c r="B106" s="198" t="s">
        <v>98</v>
      </c>
      <c r="C106" s="198" t="s">
        <v>1246</v>
      </c>
      <c r="D106" s="198" t="str">
        <f>VLOOKUP(tabParametros[[#This Row],[Código do Posto]],tabPostos[],4,0)</f>
        <v>Fethemg Interior</v>
      </c>
      <c r="E106" s="289" t="str">
        <f>VLOOKUP(tabParametros[[#This Row],[Código do Posto]],tabPostos[],5,0)</f>
        <v>Limpeza</v>
      </c>
      <c r="F106" s="289" t="str">
        <f>VLOOKUP(tabParametros[[#This Row],[Código do Posto]],tabPostos[],6,0)</f>
        <v>PGJ</v>
      </c>
      <c r="G106" s="289">
        <f>VLOOKUP(tabParametros[[#This Row],[Código do Posto]],tabPostos[],7,0)</f>
        <v>1</v>
      </c>
      <c r="H106" s="289">
        <f>VLOOKUP(tabParametros[[#This Row],[Código do Posto]],tabPostos[],8,0)</f>
        <v>0</v>
      </c>
      <c r="I106" s="234">
        <f>VLOOKUP(tabParametros[[#This Row],[Código do Posto]],tabPostos[],9,0)</f>
        <v>1088.3699999999999</v>
      </c>
      <c r="J106" s="234">
        <f>IF(ISNUMBER(SEARCH("Eletricista",tabParametros[[#This Row],[Função]],1)),0.3*tabParametros[[#This Row],[Salário Base]],0)</f>
        <v>0</v>
      </c>
      <c r="K106" s="234">
        <f>IF(OR(ISNUMBER(SEARCH("Bombeiro Hidraulico",tabParametros[[#This Row],[Função]],1)),ISNUMBER(SEARCH("Jardineiro",tabParametros[[#This Row],[Função]],1)),ISNUMBER(SEARCH("Lavador de Veiculos",tabParametros[[#This Row],[Função]],1)),ISNUMBER(SEARCH("Marceneiro",tabParametros[[#This Row],[Função]],1)),ISNUMBER(SEARCH("Pintor",tabParametros[[#This Row],[Função]],1))),0.2*'BASE GERAL'!$R$4,0)</f>
        <v>0</v>
      </c>
      <c r="L106" s="234">
        <f>IF(AND(ISNUMBER(SEARCH("Noturno",tabParametros[[#This Row],[Função]],1)),tabParametros[[#This Row],[Comarca]]&lt;&gt;"Juiz de Fora"),tabParametros[[#This Row],[Salário Base]]/210*0.39*7*15.5,IF(ISNUMBER(SEARCH("Noturno",tabParametros[[#This Row],[Função]],1)),tabParametros[[#This Row],[Salário Base]]/210*0.2*8*15.5,0))</f>
        <v>0</v>
      </c>
      <c r="M106" s="234">
        <f>IF(ISNUMBER(SEARCH("Motorista II",tabParametros[[#This Row],[Função]],1)),0.25*tabParametros[[#This Row],[Salário Base]],0)</f>
        <v>0</v>
      </c>
      <c r="N106" s="250">
        <v>0</v>
      </c>
      <c r="O106" s="234">
        <f>IF(ISNUMBER(SEARCH("TECNOLOGIA DA INFORMACAO",tabParametros[[#This Row],[Função]],1)),0.0201*tabParametros[[#This Row],[Salário Base]],0)</f>
        <v>0</v>
      </c>
      <c r="P106" s="250" cm="1">
        <f t="array" ref="P106">_xlfn.IFS(
ISNUMBER(SEARCH("Auxiliar de Limpeza - 75 h",tabParametros[[#This Row],[Função]],1)),tabParametros[[#This Row],[Salário Base]]/75*0.75*30*0.12,
ISNUMBER(SEARCH("Auxiliar de Limpeza - 110 h",tabParametros[[#This Row],[Função]],1)),tabParametros[[#This Row],[Salário Base]]/110*1*30*0.12,
ISNUMBER(SEARCH("Auxiliar de Limpeza - 150 h",tabParametros[[#This Row],[Função]],1)),tabParametros[[#This Row],[Salário Base]]/150*1.5*30*0.12,
ISNUMBER(SEARCH("Auxiliar de Limpeza - 220 h",tabParametros[[#This Row],[Função]],1)),tabParametros[[#This Row],[Salário Base]]/220*2*30*0.12,
ISNUMBER(SEARCH("Auxiliar de Limpeza - 12 x 36",tabParametros[[#This Row],[Função]],1)),tabParametros[[#This Row],[Salário Base]]/220*2*30*0.12,
ISNUMBER(SEARCH("Auxiliar de Limpeza - 55 h",tabParametros[[#This Row],[Função]],1))=FALSE,0)</f>
        <v>39.181319999999985</v>
      </c>
      <c r="Q106" s="235">
        <f>VLOOKUP(tabParametros[[#Headers],[INSS]],tabImpostosNacionais[],2,0)</f>
        <v>0.2</v>
      </c>
      <c r="R106" s="235">
        <f>VLOOKUP(tabParametros[[#Headers],[SESI OU SESC]],tabImpostosNacionais[],2,0)</f>
        <v>1.4999999999999999E-2</v>
      </c>
      <c r="S106" s="235">
        <f>VLOOKUP(tabParametros[[#Headers],[SENAI OU SENAC]],tabImpostosNacionais[],2,0)</f>
        <v>0.01</v>
      </c>
      <c r="T106" s="235">
        <f>VLOOKUP(tabParametros[[#Headers],[INCRA]],tabImpostosNacionais[],2,0)</f>
        <v>2E-3</v>
      </c>
      <c r="U106" s="235">
        <f>VLOOKUP(tabParametros[[#Headers],[Salário Educação]],tabImpostosNacionais[],2,0)</f>
        <v>2.5000000000000001E-2</v>
      </c>
      <c r="V106" s="235">
        <f>VLOOKUP(tabParametros[[#Headers],[FGTS]],tabImpostosNacionais[],2,0)</f>
        <v>0.08</v>
      </c>
      <c r="W106" s="235">
        <f>VLOOKUP(tabParametros[[#Headers],[RAT Ajustado]],tabImpostosNacionais[],2,0)</f>
        <v>0.04</v>
      </c>
      <c r="X106" s="235">
        <f>VLOOKUP(tabParametros[[#Headers],[SEBRAE]],tabImpostosNacionais[],2,0)</f>
        <v>6.0000000000000001E-3</v>
      </c>
      <c r="Y106" s="235">
        <f t="shared" si="11"/>
        <v>8.3333333333333329E-2</v>
      </c>
      <c r="Z106" s="251">
        <f t="shared" si="12"/>
        <v>0.1111111111111111</v>
      </c>
      <c r="AA106" s="234">
        <f>VLOOKUP(tabParametros[[#This Row],[Comarca]],tabComarca[],5,0)</f>
        <v>6.4</v>
      </c>
      <c r="AB106" s="234">
        <f>IFERROR(VLOOKUP(tabParametros[[#This Row],[CCT DA CATEGORIA]],tabSindicatos[],6,0),0)</f>
        <v>29.15</v>
      </c>
      <c r="AC106" s="234">
        <f>IFERROR(VLOOKUP(tabParametros[[#This Row],[CCT DA CATEGORIA]],tabSindicatos[],7,0),0)</f>
        <v>0</v>
      </c>
      <c r="AD106" s="234" cm="1">
        <f t="array" ref="AD106">_xlfn.LET(
_xlpm.COMARCA, TRIM(UPPER(SUBSTITUTE(SUBSTITUTE(SUBSTITUTE(SUBSTITUTE(SUBSTITUTE(SUBSTITUTE(SUBSTITUTE(SUBSTITUTE(SUBSTITUTE(SUBSTITUTE(SUBSTITUTE(SUBSTITUTE(SUBSTITUTE(SUBSTITUTE(SUBSTITUTE(SUBSTITUTE(SUBSTITUTE(SUBSTITUTE(SUBSTITUTE(SUBSTITUTE(SUBSTITUTE(SUBSTITUTE(SUBSTITUTE(SUBSTITUTE(SUBSTITUTE(SUBSTITUTE(tabParametros[[#This Row],[Comarca]],"á","a"),"ã","a"),"â","a"),"é","e"),"ê","e"),"í","i"),"ó","o"),"õ","o"),"ô","o"),"ú","u"),"ç","c"),"Á","a"),"Ã","a"),"Â","a"),"É","e"),"Ê","e"),"Í","i"),"Ó","o"),"Õ","o"),"Ô","o"),"Ú","u"),"Ç","c"),"/MG","")," e ",", ")," ",""),".",""))),
_xlpm.MATRIZ_COMARCA, TRIM(UPPER(SUBSTITUTE(SUBSTITUTE(SUBSTITUTE(SUBSTITUTE(SUBSTITUTE(SUBSTITUTE(SUBSTITUTE(SUBSTITUTE(SUBSTITUTE(SUBSTITUTE(SUBSTITUTE(SUBSTITUTE(SUBSTITUTE(SUBSTITUTE(SUBSTITUTE(SUBSTITUTE(SUBSTITUTE(SUBSTITUTE(SUBSTITUTE(SUBSTITUTE(SUBSTITUTE(SUBSTITUTE(SUBSTITUTE(SUBSTITUTE(SUBSTITUTE(SUBSTITUTE(tabSindicatos[COMARCAS PAF],"á","a"),"ã","a"),"â","a"),"é","e"),"ê","e"),"í","i"),"ó","o"),"õ","o"),"ô","o"),"ú","u"),"ç","c"),"Á","a"),"Ã","a"),"Â","a"),"É","e"),"Ê","e"),"Í","i"),"Ó","o"),"Õ","o"),"Ô","o"),"Ú","u"),"Ç","c"),"/MG","")," e ",", ")," ",""),".",""))),
IFERROR(IF(_xlfn.XLOOKUP(tabParametros[[#This Row],[CCT DA CATEGORIA]],tabSindicatos[SINDICATOS],tabSindicatos[COMARCAS PAF])="",
VLOOKUP(tabParametros[[#This Row],[CCT DA CATEGORIA]],tabSindicatos[],8,0),
IF(ISNUMBER(SEARCH(TRIM(_xlpm.COMARCA),_xlfn.XLOOKUP(tabParametros[[#This Row],[CCT DA CATEGORIA]],tabSindicatos[SINDICATOS],_xlpm.MATRIZ_COMARCA),1)),VLOOKUP(tabParametros[[#This Row],[CCT DA CATEGORIA]],tabSindicatos[],8,0),0)
),0)
)</f>
        <v>0</v>
      </c>
      <c r="AE106" s="234">
        <f>IFERROR(VLOOKUP(tabParametros[[#This Row],[CCT DA CATEGORIA]],tabSindicatos[],9,0),0)</f>
        <v>15.07</v>
      </c>
      <c r="AF106" s="234">
        <f>IFERROR(VLOOKUP(tabParametros[[#This Row],[CCT DA CATEGORIA]],tabSindicatos[],10,0),0)</f>
        <v>0</v>
      </c>
      <c r="AG106" s="236">
        <f>VLOOKUP(tabParametros[[#Headers],[Seguro de Vida]],tabOutrosCustos[],3,0)</f>
        <v>3.36</v>
      </c>
      <c r="AH106" s="236">
        <f>IF(ISNUMBER(SEARCH("MOTORISTA",tabParametros[[#This Row],[Função]],1)),VLOOKUP("MOTORISTAS",tabDiarias[],2,0),IF(tabParametros[[#This Row],[Comarca]]="Belo Horizonte",VLOOKUP("LIMPEZA",tabDiarias[],2,0),0))</f>
        <v>0</v>
      </c>
      <c r="AI106" s="235">
        <f t="shared" si="13"/>
        <v>7.011766975308642E-3</v>
      </c>
      <c r="AJ106" s="237">
        <f>tabParametros[[#This Row],[FGTS]]*tabParametros[[#This Row],[Aviso Prévio Indenizado (API) e Reflexo do Aviso Prévio Indenizado]]</f>
        <v>5.609413580246914E-4</v>
      </c>
      <c r="AK106" s="237">
        <f>tabParametros[[#This Row],[FGTS]]*tabParametros[[#This Row],[Aviso Prévio Indenizado (API) e Reflexo do Aviso Prévio Indenizado]]*40%</f>
        <v>2.2437654320987658E-4</v>
      </c>
      <c r="AL106" s="235">
        <f t="shared" si="14"/>
        <v>3.5000000000000005E-3</v>
      </c>
      <c r="AM106" s="235">
        <f>tabParametros[[#This Row],[Aviso Prévio Trabalhado - APT]]*SUM(tabParametros[[#This Row],[INSS]:[SEBRAE]])</f>
        <v>1.3230000000000004E-3</v>
      </c>
      <c r="AN106" s="235">
        <f t="shared" si="15"/>
        <v>3.0577777777777773E-2</v>
      </c>
      <c r="AO106" s="235">
        <f t="shared" si="16"/>
        <v>8.3333333333333339E-4</v>
      </c>
      <c r="AP106" s="235">
        <f t="shared" si="17"/>
        <v>8.4444444444444437E-3</v>
      </c>
      <c r="AQ106" s="235">
        <f t="shared" si="18"/>
        <v>2.0277777777777777E-3</v>
      </c>
      <c r="AR106" s="235">
        <f t="shared" si="19"/>
        <v>1.7083333333333333E-4</v>
      </c>
      <c r="AS106" s="235">
        <f t="shared" si="20"/>
        <v>2.0833333333333335E-4</v>
      </c>
      <c r="AT106" s="235">
        <f t="shared" si="21"/>
        <v>1.2962962962962963E-3</v>
      </c>
      <c r="AU106" s="237">
        <f>SUM(tabParametros[[#This Row],[Ausência por Doença]:[Férias, Adicional de Férias e 13º  com empregada em gozo de Licença Maternidade]])*SUM(tabParametros[[#This Row],[INSS]:[SEBRAE]])</f>
        <v>4.5918250000000008E-3</v>
      </c>
      <c r="AV106" s="234">
        <f>IF(tabParametros[[#This Row],[Função]]="Porteiro - 220 h",SUM(tabParametros[[#This Row],[Salário Base]:[Adicional de Acúmulo de função]])/220*20*1.5,IF(ISNUMBER(SEARCH("12 x 36",tabParametros[[#This Row],[Função]],1)),SUM(tabParametros[[#This Row],[Salário Base]:[Adicional de Acúmulo de função]])/210*15.5*1.5,0))</f>
        <v>0</v>
      </c>
      <c r="AW106" s="234">
        <f>IF(tabParametros[[#This Row],[Vagas contratadas]]&gt;0,(SUM(tabParametros[[#This Row],[Salário Base]:[Adicional de Acúmulo de função]])*30%+SUM(tabParametros[[#This Row],[Vale - Alimentação]:[Seguro de Vida]]))/tabParametros[[#This Row],[Vagas contratadas]]*tabParametros[[#This Row],[Vagas suspensas]],0)</f>
        <v>0</v>
      </c>
      <c r="AX106" s="234">
        <f>SUMIF(tabUniformes[Cargo],tabParametros[[#This Row],[Função]],tabUniformes[Valor unit. Mensal])</f>
        <v>100.80916666666666</v>
      </c>
      <c r="AY106" s="281">
        <f>IF(ISNUMBER(SEARCH("AUXILIAR DE LIMPEZA - 75 H",tabParametros[[#This Row],[Função]],1)),
SUMIF(tabLimpGeral[TIPO],"Material",tabLimpGeral[VALOR UNITÁRIO P/ HORA (R$)])*75,
IF(ISNUMBER(SEARCH("AUXILIAR DE LIMPEZA - 110 H",tabParametros[[#This Row],[Função]],1)),
SUMIF(tabLimpGeral[TIPO],"Material",tabLimpGeral[VALOR UNITÁRIO P/ HORA (R$)])*110,
IF(ISNUMBER(SEARCH("AUXILIAR DE LIMPEZA - 150 H",tabParametros[[#This Row],[Função]],1)),
SUMIF(tabLimpGeral[TIPO],"Material",tabLimpGeral[VALOR UNITÁRIO P/ HORA (R$)])*150,
IF(ISNUMBER(SEARCH("AUXILIAR DE LIMPEZA - 220 H",tabParametros[[#This Row],[Função]],1)),
SUMIF(tabLimpGeral[TIPO],"Material",tabLimpGeral[VALOR UNITÁRIO P/ HORA (R$)])*220,
IF(ISNUMBER(SEARCH("AUXILIAR DE LIMPEZA - 12 x 36",tabParametros[[#This Row],[Função]],1)),
SUMIF(tabLimpGeral[TIPO],"Material",tabLimpGeral[VALOR UNITÁRIO P/ HORA (R$)])*220,
IF(ISNUMBER(SEARCH("Limpador de vidros - 220 h",tabParametros[[#This Row],[Função]],1)),
SUMIF(tabVidros[TIPO],"Material",tabVidros[VALOR UNITÁRIO P/ POSTO (R$)]),
0))))))</f>
        <v>24.216963380852651</v>
      </c>
      <c r="AZ106" s="281">
        <f>IF(ISNUMBER(SEARCH("AUXILIAR DE LIMPEZA - 75 H",tabParametros[[#This Row],[Função]],1)),
SUMIF(tabLimpGeral[TIPO],"Equipamento",tabLimpGeral[VALOR UNITÁRIO P/ HORA (R$)])*75,
IF(ISNUMBER(SEARCH("AUXILIAR DE LIMPEZA - 110 H",tabParametros[[#This Row],[Função]],1)),
SUMIF(tabLimpGeral[TIPO],"Equipamento",tabLimpGeral[VALOR UNITÁRIO P/ HORA (R$)])*110,
IF(ISNUMBER(SEARCH("AUXILIAR DE LIMPEZA - 150 H",tabParametros[[#This Row],[Função]],1)),
SUMIF(tabLimpGeral[TIPO],"Equipamento",tabLimpGeral[VALOR UNITÁRIO P/ HORA (R$)])*150,
IF(ISNUMBER(SEARCH("AUXILIAR DE LIMPEZA - 220 H",tabParametros[[#This Row],[Função]],1)),
SUMIF(tabLimpGeral[TIPO],"Equipamento",tabLimpGeral[VALOR UNITÁRIO P/ HORA (R$)])*220,
IF(ISNUMBER(SEARCH("AUXILIAR DE LIMPEZA - 12 x 36",tabParametros[[#This Row],[Função]],1)),
SUMIF(tabLimpGeral[TIPO],"Equipamento",tabLimpGeral[VALOR UNITÁRIO P/ HORA (R$)])*220,
IF(ISNUMBER(SEARCH("Limpador de vidros - 220 h",tabParametros[[#This Row],[Função]],1)),
SUMIF(tabVidros[TIPO],"Equipamento",tabVidros[VALOR UNITÁRIO P/ POSTO (R$)]),
0))))))</f>
        <v>43.997314032835618</v>
      </c>
      <c r="BA106" s="281">
        <f>IF(ISNUMBER(SEARCH("AUXILIAR DE LIMPEZA - 75 H",tabParametros[[#This Row],[Função]],1)),
SUMIF(tabLimpGeral[TIPO],"Produto",tabLimpGeral[VALOR UNITÁRIO P/ HORA (R$)])*75,
IF(ISNUMBER(SEARCH("AUXILIAR DE LIMPEZA - 110 H",tabParametros[[#This Row],[Função]],1)),
SUMIF(tabLimpGeral[TIPO],"Produto",tabLimpGeral[VALOR UNITÁRIO P/ HORA (R$)])*110,
IF(ISNUMBER(SEARCH("AUXILIAR DE LIMPEZA - 150 H",tabParametros[[#This Row],[Função]],1)),
SUMIF(tabLimpGeral[TIPO],"Produto",tabLimpGeral[VALOR UNITÁRIO P/ HORA (R$)])*150,
IF(ISNUMBER(SEARCH("AUXILIAR DE LIMPEZA - 220 H",tabParametros[[#This Row],[Função]],1)),
SUMIF(tabLimpGeral[TIPO],"Produto",tabLimpGeral[VALOR UNITÁRIO P/ HORA (R$)])*220,
IF(ISNUMBER(SEARCH("AUXILIAR DE LIMPEZA - 12 x 36",tabParametros[[#This Row],[Função]],1)),
SUMIF(tabLimpGeral[TIPO],"Produto",tabLimpGeral[VALOR UNITÁRIO P/ HORA (R$)])*220,
IF(ISNUMBER(SEARCH("Limpador de vidros - 220 h",tabParametros[[#This Row],[Função]],1)),
SUMIF(tabVidros[TIPO],"Produto",tabVidros[VALOR UNITÁRIO P/ POSTO (R$)]),
0))))))</f>
        <v>470.6396814404431</v>
      </c>
      <c r="BB106" s="281">
        <v>0</v>
      </c>
      <c r="BC106" s="236">
        <f>VLOOKUP(tabParametros[[#Headers],[Custos Indiretos]],tabOutrosCustos[],3,0)</f>
        <v>189.64880140242613</v>
      </c>
      <c r="BD106" s="236">
        <f>VLOOKUP(tabParametros[[#Headers],[Lucro]],tabOutrosCustos[],3,0)</f>
        <v>159.30499317803796</v>
      </c>
      <c r="BE106" s="235">
        <f>VLOOKUP(tabParametros[[#Headers],[COFINS]],tabImpostosNacionais[],2,0)</f>
        <v>7.5999999999999998E-2</v>
      </c>
      <c r="BF106" s="235">
        <f>VLOOKUP(tabParametros[[#Headers],[PIS]],tabImpostosNacionais[],2,0)</f>
        <v>1.6500000000000001E-2</v>
      </c>
      <c r="BG106" s="235">
        <f>VLOOKUP(tabParametros[[#This Row],[Comarca]],tabComarca[],4,0)</f>
        <v>2.5000000000000001E-2</v>
      </c>
      <c r="BH106" s="238">
        <f>IFERROR(VLOOKUP(tabParametros[[#This Row],[CCT DA CATEGORIA]],tabSindicatos[],11,0),"")</f>
        <v>45658</v>
      </c>
      <c r="BI106" s="289" t="str">
        <f>IFERROR(VLOOKUP(tabParametros[[#This Row],[CCT DA CATEGORIA]],tabSindicatos[],12,0),"")</f>
        <v>-</v>
      </c>
      <c r="BJ106" s="293" t="str">
        <f>IFERROR(VLOOKUP(tabParametros[[#This Row],[CCT DA CATEGORIA]],tabSindicatos[],13,0),"")</f>
        <v>-</v>
      </c>
    </row>
    <row r="107" spans="1:62" x14ac:dyDescent="0.25">
      <c r="A107" s="233" t="s">
        <v>1446</v>
      </c>
      <c r="B107" s="198" t="s">
        <v>99</v>
      </c>
      <c r="C107" s="198" t="s">
        <v>1247</v>
      </c>
      <c r="D107" s="198" t="str">
        <f>VLOOKUP(tabParametros[[#This Row],[Código do Posto]],tabPostos[],4,0)</f>
        <v>Alto Paranaiba</v>
      </c>
      <c r="E107" s="289" t="str">
        <f>VLOOKUP(tabParametros[[#This Row],[Código do Posto]],tabPostos[],5,0)</f>
        <v>Limpeza</v>
      </c>
      <c r="F107" s="289" t="str">
        <f>VLOOKUP(tabParametros[[#This Row],[Código do Posto]],tabPostos[],6,0)</f>
        <v>PGJ</v>
      </c>
      <c r="G107" s="289">
        <f>VLOOKUP(tabParametros[[#This Row],[Código do Posto]],tabPostos[],7,0)</f>
        <v>1</v>
      </c>
      <c r="H107" s="289">
        <f>VLOOKUP(tabParametros[[#This Row],[Código do Posto]],tabPostos[],8,0)</f>
        <v>0</v>
      </c>
      <c r="I107" s="234">
        <f>VLOOKUP(tabParametros[[#This Row],[Código do Posto]],tabPostos[],9,0)</f>
        <v>544.17999999999995</v>
      </c>
      <c r="J107" s="234">
        <f>IF(ISNUMBER(SEARCH("Eletricista",tabParametros[[#This Row],[Função]],1)),0.3*tabParametros[[#This Row],[Salário Base]],0)</f>
        <v>0</v>
      </c>
      <c r="K107" s="234">
        <f>IF(OR(ISNUMBER(SEARCH("Bombeiro Hidraulico",tabParametros[[#This Row],[Função]],1)),ISNUMBER(SEARCH("Jardineiro",tabParametros[[#This Row],[Função]],1)),ISNUMBER(SEARCH("Lavador de Veiculos",tabParametros[[#This Row],[Função]],1)),ISNUMBER(SEARCH("Marceneiro",tabParametros[[#This Row],[Função]],1)),ISNUMBER(SEARCH("Pintor",tabParametros[[#This Row],[Função]],1))),0.2*'BASE GERAL'!$R$4,0)</f>
        <v>0</v>
      </c>
      <c r="L107" s="234">
        <f>IF(AND(ISNUMBER(SEARCH("Noturno",tabParametros[[#This Row],[Função]],1)),tabParametros[[#This Row],[Comarca]]&lt;&gt;"Juiz de Fora"),tabParametros[[#This Row],[Salário Base]]/210*0.39*7*15.5,IF(ISNUMBER(SEARCH("Noturno",tabParametros[[#This Row],[Função]],1)),tabParametros[[#This Row],[Salário Base]]/210*0.2*8*15.5,0))</f>
        <v>0</v>
      </c>
      <c r="M107" s="234">
        <f>IF(ISNUMBER(SEARCH("Motorista II",tabParametros[[#This Row],[Função]],1)),0.25*tabParametros[[#This Row],[Salário Base]],0)</f>
        <v>0</v>
      </c>
      <c r="N107" s="250">
        <v>0</v>
      </c>
      <c r="O107" s="234">
        <f>IF(ISNUMBER(SEARCH("TECNOLOGIA DA INFORMACAO",tabParametros[[#This Row],[Função]],1)),0.0201*tabParametros[[#This Row],[Salário Base]],0)</f>
        <v>0</v>
      </c>
      <c r="P107" s="250" cm="1">
        <f t="array" ref="P107">_xlfn.IFS(
ISNUMBER(SEARCH("Auxiliar de Limpeza - 75 h",tabParametros[[#This Row],[Função]],1)),tabParametros[[#This Row],[Salário Base]]/75*0.75*30*0.12,
ISNUMBER(SEARCH("Auxiliar de Limpeza - 110 h",tabParametros[[#This Row],[Função]],1)),tabParametros[[#This Row],[Salário Base]]/110*1*30*0.12,
ISNUMBER(SEARCH("Auxiliar de Limpeza - 150 h",tabParametros[[#This Row],[Função]],1)),tabParametros[[#This Row],[Salário Base]]/150*1.5*30*0.12,
ISNUMBER(SEARCH("Auxiliar de Limpeza - 220 h",tabParametros[[#This Row],[Função]],1)),tabParametros[[#This Row],[Salário Base]]/220*2*30*0.12,
ISNUMBER(SEARCH("Auxiliar de Limpeza - 12 x 36",tabParametros[[#This Row],[Função]],1)),tabParametros[[#This Row],[Salário Base]]/220*2*30*0.12,
ISNUMBER(SEARCH("Auxiliar de Limpeza - 55 h",tabParametros[[#This Row],[Função]],1))=FALSE,0)</f>
        <v>19.590479999999999</v>
      </c>
      <c r="Q107" s="235">
        <f>VLOOKUP(tabParametros[[#Headers],[INSS]],tabImpostosNacionais[],2,0)</f>
        <v>0.2</v>
      </c>
      <c r="R107" s="235">
        <f>VLOOKUP(tabParametros[[#Headers],[SESI OU SESC]],tabImpostosNacionais[],2,0)</f>
        <v>1.4999999999999999E-2</v>
      </c>
      <c r="S107" s="235">
        <f>VLOOKUP(tabParametros[[#Headers],[SENAI OU SENAC]],tabImpostosNacionais[],2,0)</f>
        <v>0.01</v>
      </c>
      <c r="T107" s="235">
        <f>VLOOKUP(tabParametros[[#Headers],[INCRA]],tabImpostosNacionais[],2,0)</f>
        <v>2E-3</v>
      </c>
      <c r="U107" s="235">
        <f>VLOOKUP(tabParametros[[#Headers],[Salário Educação]],tabImpostosNacionais[],2,0)</f>
        <v>2.5000000000000001E-2</v>
      </c>
      <c r="V107" s="235">
        <f>VLOOKUP(tabParametros[[#Headers],[FGTS]],tabImpostosNacionais[],2,0)</f>
        <v>0.08</v>
      </c>
      <c r="W107" s="235">
        <f>VLOOKUP(tabParametros[[#Headers],[RAT Ajustado]],tabImpostosNacionais[],2,0)</f>
        <v>0.04</v>
      </c>
      <c r="X107" s="235">
        <f>VLOOKUP(tabParametros[[#Headers],[SEBRAE]],tabImpostosNacionais[],2,0)</f>
        <v>6.0000000000000001E-3</v>
      </c>
      <c r="Y107" s="235">
        <f t="shared" si="11"/>
        <v>8.3333333333333329E-2</v>
      </c>
      <c r="Z107" s="251">
        <f t="shared" si="12"/>
        <v>0.1111111111111111</v>
      </c>
      <c r="AA107" s="234">
        <f>VLOOKUP(tabParametros[[#This Row],[Comarca]],tabComarca[],5,0)</f>
        <v>6.4</v>
      </c>
      <c r="AB107" s="234">
        <f>IFERROR(VLOOKUP(tabParametros[[#This Row],[CCT DA CATEGORIA]],tabSindicatos[],6,0),0)</f>
        <v>0</v>
      </c>
      <c r="AC107" s="234">
        <f>IFERROR(VLOOKUP(tabParametros[[#This Row],[CCT DA CATEGORIA]],tabSindicatos[],7,0),0)</f>
        <v>387.79</v>
      </c>
      <c r="AD107" s="234" cm="1">
        <f t="array" ref="AD107">_xlfn.LET(
_xlpm.COMARCA, TRIM(UPPER(SUBSTITUTE(SUBSTITUTE(SUBSTITUTE(SUBSTITUTE(SUBSTITUTE(SUBSTITUTE(SUBSTITUTE(SUBSTITUTE(SUBSTITUTE(SUBSTITUTE(SUBSTITUTE(SUBSTITUTE(SUBSTITUTE(SUBSTITUTE(SUBSTITUTE(SUBSTITUTE(SUBSTITUTE(SUBSTITUTE(SUBSTITUTE(SUBSTITUTE(SUBSTITUTE(SUBSTITUTE(SUBSTITUTE(SUBSTITUTE(SUBSTITUTE(SUBSTITUTE(tabParametros[[#This Row],[Comarca]],"á","a"),"ã","a"),"â","a"),"é","e"),"ê","e"),"í","i"),"ó","o"),"õ","o"),"ô","o"),"ú","u"),"ç","c"),"Á","a"),"Ã","a"),"Â","a"),"É","e"),"Ê","e"),"Í","i"),"Ó","o"),"Õ","o"),"Ô","o"),"Ú","u"),"Ç","c"),"/MG","")," e ",", ")," ",""),".",""))),
_xlpm.MATRIZ_COMARCA, TRIM(UPPER(SUBSTITUTE(SUBSTITUTE(SUBSTITUTE(SUBSTITUTE(SUBSTITUTE(SUBSTITUTE(SUBSTITUTE(SUBSTITUTE(SUBSTITUTE(SUBSTITUTE(SUBSTITUTE(SUBSTITUTE(SUBSTITUTE(SUBSTITUTE(SUBSTITUTE(SUBSTITUTE(SUBSTITUTE(SUBSTITUTE(SUBSTITUTE(SUBSTITUTE(SUBSTITUTE(SUBSTITUTE(SUBSTITUTE(SUBSTITUTE(SUBSTITUTE(SUBSTITUTE(tabSindicatos[COMARCAS PAF],"á","a"),"ã","a"),"â","a"),"é","e"),"ê","e"),"í","i"),"ó","o"),"õ","o"),"ô","o"),"ú","u"),"ç","c"),"Á","a"),"Ã","a"),"Â","a"),"É","e"),"Ê","e"),"Í","i"),"Ó","o"),"Õ","o"),"Ô","o"),"Ú","u"),"Ç","c"),"/MG","")," e ",", ")," ",""),".",""))),
IFERROR(IF(_xlfn.XLOOKUP(tabParametros[[#This Row],[CCT DA CATEGORIA]],tabSindicatos[SINDICATOS],tabSindicatos[COMARCAS PAF])="",
VLOOKUP(tabParametros[[#This Row],[CCT DA CATEGORIA]],tabSindicatos[],8,0),
IF(ISNUMBER(SEARCH(TRIM(_xlpm.COMARCA),_xlfn.XLOOKUP(tabParametros[[#This Row],[CCT DA CATEGORIA]],tabSindicatos[SINDICATOS],_xlpm.MATRIZ_COMARCA),1)),VLOOKUP(tabParametros[[#This Row],[CCT DA CATEGORIA]],tabSindicatos[],8,0),0)
),0)
)</f>
        <v>42.97</v>
      </c>
      <c r="AE107" s="234">
        <f>IFERROR(VLOOKUP(tabParametros[[#This Row],[CCT DA CATEGORIA]],tabSindicatos[],9,0),0)</f>
        <v>0</v>
      </c>
      <c r="AF107" s="234">
        <f>IFERROR(VLOOKUP(tabParametros[[#This Row],[CCT DA CATEGORIA]],tabSindicatos[],10,0),0)</f>
        <v>0</v>
      </c>
      <c r="AG107" s="236">
        <f>VLOOKUP(tabParametros[[#Headers],[Seguro de Vida]],tabOutrosCustos[],3,0)</f>
        <v>3.36</v>
      </c>
      <c r="AH107" s="236">
        <f>IF(ISNUMBER(SEARCH("MOTORISTA",tabParametros[[#This Row],[Função]],1)),VLOOKUP("MOTORISTAS",tabDiarias[],2,0),IF(tabParametros[[#This Row],[Comarca]]="Belo Horizonte",VLOOKUP("LIMPEZA",tabDiarias[],2,0),0))</f>
        <v>0</v>
      </c>
      <c r="AI107" s="235">
        <f t="shared" si="13"/>
        <v>7.011766975308642E-3</v>
      </c>
      <c r="AJ107" s="237">
        <f>tabParametros[[#This Row],[FGTS]]*tabParametros[[#This Row],[Aviso Prévio Indenizado (API) e Reflexo do Aviso Prévio Indenizado]]</f>
        <v>5.609413580246914E-4</v>
      </c>
      <c r="AK107" s="237">
        <f>tabParametros[[#This Row],[FGTS]]*tabParametros[[#This Row],[Aviso Prévio Indenizado (API) e Reflexo do Aviso Prévio Indenizado]]*40%</f>
        <v>2.2437654320987658E-4</v>
      </c>
      <c r="AL107" s="235">
        <f t="shared" si="14"/>
        <v>3.5000000000000005E-3</v>
      </c>
      <c r="AM107" s="235">
        <f>tabParametros[[#This Row],[Aviso Prévio Trabalhado - APT]]*SUM(tabParametros[[#This Row],[INSS]:[SEBRAE]])</f>
        <v>1.3230000000000004E-3</v>
      </c>
      <c r="AN107" s="235">
        <f t="shared" si="15"/>
        <v>3.0577777777777773E-2</v>
      </c>
      <c r="AO107" s="235">
        <f t="shared" si="16"/>
        <v>8.3333333333333339E-4</v>
      </c>
      <c r="AP107" s="235">
        <f t="shared" si="17"/>
        <v>8.4444444444444437E-3</v>
      </c>
      <c r="AQ107" s="235">
        <f t="shared" si="18"/>
        <v>2.0277777777777777E-3</v>
      </c>
      <c r="AR107" s="235">
        <f t="shared" si="19"/>
        <v>1.7083333333333333E-4</v>
      </c>
      <c r="AS107" s="235">
        <f t="shared" si="20"/>
        <v>2.0833333333333335E-4</v>
      </c>
      <c r="AT107" s="235">
        <f t="shared" si="21"/>
        <v>1.2962962962962963E-3</v>
      </c>
      <c r="AU107" s="237">
        <f>SUM(tabParametros[[#This Row],[Ausência por Doença]:[Férias, Adicional de Férias e 13º  com empregada em gozo de Licença Maternidade]])*SUM(tabParametros[[#This Row],[INSS]:[SEBRAE]])</f>
        <v>4.5918250000000008E-3</v>
      </c>
      <c r="AV107" s="234">
        <f>IF(tabParametros[[#This Row],[Função]]="Porteiro - 220 h",SUM(tabParametros[[#This Row],[Salário Base]:[Adicional de Acúmulo de função]])/220*20*1.5,IF(ISNUMBER(SEARCH("12 x 36",tabParametros[[#This Row],[Função]],1)),SUM(tabParametros[[#This Row],[Salário Base]:[Adicional de Acúmulo de função]])/210*15.5*1.5,0))</f>
        <v>0</v>
      </c>
      <c r="AW107" s="234">
        <f>IF(tabParametros[[#This Row],[Vagas contratadas]]&gt;0,(SUM(tabParametros[[#This Row],[Salário Base]:[Adicional de Acúmulo de função]])*30%+SUM(tabParametros[[#This Row],[Vale - Alimentação]:[Seguro de Vida]]))/tabParametros[[#This Row],[Vagas contratadas]]*tabParametros[[#This Row],[Vagas suspensas]],0)</f>
        <v>0</v>
      </c>
      <c r="AX107" s="234">
        <f>SUMIF(tabUniformes[Cargo],tabParametros[[#This Row],[Função]],tabUniformes[Valor unit. Mensal])</f>
        <v>62.806666666666665</v>
      </c>
      <c r="AY107" s="281">
        <f>IF(ISNUMBER(SEARCH("AUXILIAR DE LIMPEZA - 75 H",tabParametros[[#This Row],[Função]],1)),
SUMIF(tabLimpGeral[TIPO],"Material",tabLimpGeral[VALOR UNITÁRIO P/ HORA (R$)])*75,
IF(ISNUMBER(SEARCH("AUXILIAR DE LIMPEZA - 110 H",tabParametros[[#This Row],[Função]],1)),
SUMIF(tabLimpGeral[TIPO],"Material",tabLimpGeral[VALOR UNITÁRIO P/ HORA (R$)])*110,
IF(ISNUMBER(SEARCH("AUXILIAR DE LIMPEZA - 150 H",tabParametros[[#This Row],[Função]],1)),
SUMIF(tabLimpGeral[TIPO],"Material",tabLimpGeral[VALOR UNITÁRIO P/ HORA (R$)])*150,
IF(ISNUMBER(SEARCH("AUXILIAR DE LIMPEZA - 220 H",tabParametros[[#This Row],[Função]],1)),
SUMIF(tabLimpGeral[TIPO],"Material",tabLimpGeral[VALOR UNITÁRIO P/ HORA (R$)])*220,
IF(ISNUMBER(SEARCH("AUXILIAR DE LIMPEZA - 12 x 36",tabParametros[[#This Row],[Função]],1)),
SUMIF(tabLimpGeral[TIPO],"Material",tabLimpGeral[VALOR UNITÁRIO P/ HORA (R$)])*220,
IF(ISNUMBER(SEARCH("Limpador de vidros - 220 h",tabParametros[[#This Row],[Função]],1)),
SUMIF(tabVidros[TIPO],"Material",tabVidros[VALOR UNITÁRIO P/ POSTO (R$)]),
0))))))</f>
        <v>12.108481690426325</v>
      </c>
      <c r="AZ107" s="281">
        <f>IF(ISNUMBER(SEARCH("AUXILIAR DE LIMPEZA - 75 H",tabParametros[[#This Row],[Função]],1)),
SUMIF(tabLimpGeral[TIPO],"Equipamento",tabLimpGeral[VALOR UNITÁRIO P/ HORA (R$)])*75,
IF(ISNUMBER(SEARCH("AUXILIAR DE LIMPEZA - 110 H",tabParametros[[#This Row],[Função]],1)),
SUMIF(tabLimpGeral[TIPO],"Equipamento",tabLimpGeral[VALOR UNITÁRIO P/ HORA (R$)])*110,
IF(ISNUMBER(SEARCH("AUXILIAR DE LIMPEZA - 150 H",tabParametros[[#This Row],[Função]],1)),
SUMIF(tabLimpGeral[TIPO],"Equipamento",tabLimpGeral[VALOR UNITÁRIO P/ HORA (R$)])*150,
IF(ISNUMBER(SEARCH("AUXILIAR DE LIMPEZA - 220 H",tabParametros[[#This Row],[Função]],1)),
SUMIF(tabLimpGeral[TIPO],"Equipamento",tabLimpGeral[VALOR UNITÁRIO P/ HORA (R$)])*220,
IF(ISNUMBER(SEARCH("AUXILIAR DE LIMPEZA - 12 x 36",tabParametros[[#This Row],[Função]],1)),
SUMIF(tabLimpGeral[TIPO],"Equipamento",tabLimpGeral[VALOR UNITÁRIO P/ HORA (R$)])*220,
IF(ISNUMBER(SEARCH("Limpador de vidros - 220 h",tabParametros[[#This Row],[Função]],1)),
SUMIF(tabVidros[TIPO],"Equipamento",tabVidros[VALOR UNITÁRIO P/ POSTO (R$)]),
0))))))</f>
        <v>21.998657016417809</v>
      </c>
      <c r="BA107" s="281">
        <f>IF(ISNUMBER(SEARCH("AUXILIAR DE LIMPEZA - 75 H",tabParametros[[#This Row],[Função]],1)),
SUMIF(tabLimpGeral[TIPO],"Produto",tabLimpGeral[VALOR UNITÁRIO P/ HORA (R$)])*75,
IF(ISNUMBER(SEARCH("AUXILIAR DE LIMPEZA - 110 H",tabParametros[[#This Row],[Função]],1)),
SUMIF(tabLimpGeral[TIPO],"Produto",tabLimpGeral[VALOR UNITÁRIO P/ HORA (R$)])*110,
IF(ISNUMBER(SEARCH("AUXILIAR DE LIMPEZA - 150 H",tabParametros[[#This Row],[Função]],1)),
SUMIF(tabLimpGeral[TIPO],"Produto",tabLimpGeral[VALOR UNITÁRIO P/ HORA (R$)])*150,
IF(ISNUMBER(SEARCH("AUXILIAR DE LIMPEZA - 220 H",tabParametros[[#This Row],[Função]],1)),
SUMIF(tabLimpGeral[TIPO],"Produto",tabLimpGeral[VALOR UNITÁRIO P/ HORA (R$)])*220,
IF(ISNUMBER(SEARCH("AUXILIAR DE LIMPEZA - 12 x 36",tabParametros[[#This Row],[Função]],1)),
SUMIF(tabLimpGeral[TIPO],"Produto",tabLimpGeral[VALOR UNITÁRIO P/ HORA (R$)])*220,
IF(ISNUMBER(SEARCH("Limpador de vidros - 220 h",tabParametros[[#This Row],[Função]],1)),
SUMIF(tabVidros[TIPO],"Produto",tabVidros[VALOR UNITÁRIO P/ POSTO (R$)]),
0))))))</f>
        <v>235.31984072022155</v>
      </c>
      <c r="BB107" s="281">
        <v>0</v>
      </c>
      <c r="BC107" s="236">
        <f>VLOOKUP(tabParametros[[#Headers],[Custos Indiretos]],tabOutrosCustos[],3,0)</f>
        <v>189.64880140242613</v>
      </c>
      <c r="BD107" s="236">
        <f>VLOOKUP(tabParametros[[#Headers],[Lucro]],tabOutrosCustos[],3,0)</f>
        <v>159.30499317803796</v>
      </c>
      <c r="BE107" s="235">
        <f>VLOOKUP(tabParametros[[#Headers],[COFINS]],tabImpostosNacionais[],2,0)</f>
        <v>7.5999999999999998E-2</v>
      </c>
      <c r="BF107" s="235">
        <f>VLOOKUP(tabParametros[[#Headers],[PIS]],tabImpostosNacionais[],2,0)</f>
        <v>1.6500000000000001E-2</v>
      </c>
      <c r="BG107" s="235">
        <f>VLOOKUP(tabParametros[[#This Row],[Comarca]],tabComarca[],4,0)</f>
        <v>0.02</v>
      </c>
      <c r="BH107" s="238">
        <f>IFERROR(VLOOKUP(tabParametros[[#This Row],[CCT DA CATEGORIA]],tabSindicatos[],11,0),"")</f>
        <v>45658</v>
      </c>
      <c r="BI107" s="289" t="str">
        <f>IFERROR(VLOOKUP(tabParametros[[#This Row],[CCT DA CATEGORIA]],tabSindicatos[],12,0),"")</f>
        <v>-</v>
      </c>
      <c r="BJ107" s="293" t="str">
        <f>IFERROR(VLOOKUP(tabParametros[[#This Row],[CCT DA CATEGORIA]],tabSindicatos[],13,0),"")</f>
        <v>-</v>
      </c>
    </row>
    <row r="108" spans="1:62" x14ac:dyDescent="0.25">
      <c r="A108" s="233" t="s">
        <v>1447</v>
      </c>
      <c r="B108" s="198" t="s">
        <v>100</v>
      </c>
      <c r="C108" s="198" t="s">
        <v>1247</v>
      </c>
      <c r="D108" s="198" t="str">
        <f>VLOOKUP(tabParametros[[#This Row],[Código do Posto]],tabPostos[],4,0)</f>
        <v>Fethemg Interior</v>
      </c>
      <c r="E108" s="289" t="str">
        <f>VLOOKUP(tabParametros[[#This Row],[Código do Posto]],tabPostos[],5,0)</f>
        <v>Limpeza</v>
      </c>
      <c r="F108" s="289" t="str">
        <f>VLOOKUP(tabParametros[[#This Row],[Código do Posto]],tabPostos[],6,0)</f>
        <v>PGJ</v>
      </c>
      <c r="G108" s="289">
        <f>VLOOKUP(tabParametros[[#This Row],[Código do Posto]],tabPostos[],7,0)</f>
        <v>1</v>
      </c>
      <c r="H108" s="289">
        <f>VLOOKUP(tabParametros[[#This Row],[Código do Posto]],tabPostos[],8,0)</f>
        <v>0</v>
      </c>
      <c r="I108" s="234">
        <f>VLOOKUP(tabParametros[[#This Row],[Código do Posto]],tabPostos[],9,0)</f>
        <v>544.17999999999995</v>
      </c>
      <c r="J108" s="234">
        <f>IF(ISNUMBER(SEARCH("Eletricista",tabParametros[[#This Row],[Função]],1)),0.3*tabParametros[[#This Row],[Salário Base]],0)</f>
        <v>0</v>
      </c>
      <c r="K108" s="234">
        <f>IF(OR(ISNUMBER(SEARCH("Bombeiro Hidraulico",tabParametros[[#This Row],[Função]],1)),ISNUMBER(SEARCH("Jardineiro",tabParametros[[#This Row],[Função]],1)),ISNUMBER(SEARCH("Lavador de Veiculos",tabParametros[[#This Row],[Função]],1)),ISNUMBER(SEARCH("Marceneiro",tabParametros[[#This Row],[Função]],1)),ISNUMBER(SEARCH("Pintor",tabParametros[[#This Row],[Função]],1))),0.2*'BASE GERAL'!$R$4,0)</f>
        <v>0</v>
      </c>
      <c r="L108" s="234">
        <f>IF(AND(ISNUMBER(SEARCH("Noturno",tabParametros[[#This Row],[Função]],1)),tabParametros[[#This Row],[Comarca]]&lt;&gt;"Juiz de Fora"),tabParametros[[#This Row],[Salário Base]]/210*0.39*7*15.5,IF(ISNUMBER(SEARCH("Noturno",tabParametros[[#This Row],[Função]],1)),tabParametros[[#This Row],[Salário Base]]/210*0.2*8*15.5,0))</f>
        <v>0</v>
      </c>
      <c r="M108" s="234">
        <f>IF(ISNUMBER(SEARCH("Motorista II",tabParametros[[#This Row],[Função]],1)),0.25*tabParametros[[#This Row],[Salário Base]],0)</f>
        <v>0</v>
      </c>
      <c r="N108" s="250">
        <v>0</v>
      </c>
      <c r="O108" s="234">
        <f>IF(ISNUMBER(SEARCH("TECNOLOGIA DA INFORMACAO",tabParametros[[#This Row],[Função]],1)),0.0201*tabParametros[[#This Row],[Salário Base]],0)</f>
        <v>0</v>
      </c>
      <c r="P108" s="250" cm="1">
        <f t="array" ref="P108">_xlfn.IFS(
ISNUMBER(SEARCH("Auxiliar de Limpeza - 75 h",tabParametros[[#This Row],[Função]],1)),tabParametros[[#This Row],[Salário Base]]/75*0.75*30*0.12,
ISNUMBER(SEARCH("Auxiliar de Limpeza - 110 h",tabParametros[[#This Row],[Função]],1)),tabParametros[[#This Row],[Salário Base]]/110*1*30*0.12,
ISNUMBER(SEARCH("Auxiliar de Limpeza - 150 h",tabParametros[[#This Row],[Função]],1)),tabParametros[[#This Row],[Salário Base]]/150*1.5*30*0.12,
ISNUMBER(SEARCH("Auxiliar de Limpeza - 220 h",tabParametros[[#This Row],[Função]],1)),tabParametros[[#This Row],[Salário Base]]/220*2*30*0.12,
ISNUMBER(SEARCH("Auxiliar de Limpeza - 12 x 36",tabParametros[[#This Row],[Função]],1)),tabParametros[[#This Row],[Salário Base]]/220*2*30*0.12,
ISNUMBER(SEARCH("Auxiliar de Limpeza - 55 h",tabParametros[[#This Row],[Função]],1))=FALSE,0)</f>
        <v>19.590479999999999</v>
      </c>
      <c r="Q108" s="235">
        <f>VLOOKUP(tabParametros[[#Headers],[INSS]],tabImpostosNacionais[],2,0)</f>
        <v>0.2</v>
      </c>
      <c r="R108" s="235">
        <f>VLOOKUP(tabParametros[[#Headers],[SESI OU SESC]],tabImpostosNacionais[],2,0)</f>
        <v>1.4999999999999999E-2</v>
      </c>
      <c r="S108" s="235">
        <f>VLOOKUP(tabParametros[[#Headers],[SENAI OU SENAC]],tabImpostosNacionais[],2,0)</f>
        <v>0.01</v>
      </c>
      <c r="T108" s="235">
        <f>VLOOKUP(tabParametros[[#Headers],[INCRA]],tabImpostosNacionais[],2,0)</f>
        <v>2E-3</v>
      </c>
      <c r="U108" s="235">
        <f>VLOOKUP(tabParametros[[#Headers],[Salário Educação]],tabImpostosNacionais[],2,0)</f>
        <v>2.5000000000000001E-2</v>
      </c>
      <c r="V108" s="235">
        <f>VLOOKUP(tabParametros[[#Headers],[FGTS]],tabImpostosNacionais[],2,0)</f>
        <v>0.08</v>
      </c>
      <c r="W108" s="235">
        <f>VLOOKUP(tabParametros[[#Headers],[RAT Ajustado]],tabImpostosNacionais[],2,0)</f>
        <v>0.04</v>
      </c>
      <c r="X108" s="235">
        <f>VLOOKUP(tabParametros[[#Headers],[SEBRAE]],tabImpostosNacionais[],2,0)</f>
        <v>6.0000000000000001E-3</v>
      </c>
      <c r="Y108" s="235">
        <f t="shared" si="11"/>
        <v>8.3333333333333329E-2</v>
      </c>
      <c r="Z108" s="251">
        <f t="shared" si="12"/>
        <v>0.1111111111111111</v>
      </c>
      <c r="AA108" s="234">
        <f>VLOOKUP(tabParametros[[#This Row],[Comarca]],tabComarca[],5,0)</f>
        <v>6.4</v>
      </c>
      <c r="AB108" s="234">
        <f>IFERROR(VLOOKUP(tabParametros[[#This Row],[CCT DA CATEGORIA]],tabSindicatos[],6,0),0)</f>
        <v>29.15</v>
      </c>
      <c r="AC108" s="234">
        <f>IFERROR(VLOOKUP(tabParametros[[#This Row],[CCT DA CATEGORIA]],tabSindicatos[],7,0),0)</f>
        <v>0</v>
      </c>
      <c r="AD108" s="234" cm="1">
        <f t="array" ref="AD108">_xlfn.LET(
_xlpm.COMARCA, TRIM(UPPER(SUBSTITUTE(SUBSTITUTE(SUBSTITUTE(SUBSTITUTE(SUBSTITUTE(SUBSTITUTE(SUBSTITUTE(SUBSTITUTE(SUBSTITUTE(SUBSTITUTE(SUBSTITUTE(SUBSTITUTE(SUBSTITUTE(SUBSTITUTE(SUBSTITUTE(SUBSTITUTE(SUBSTITUTE(SUBSTITUTE(SUBSTITUTE(SUBSTITUTE(SUBSTITUTE(SUBSTITUTE(SUBSTITUTE(SUBSTITUTE(SUBSTITUTE(SUBSTITUTE(tabParametros[[#This Row],[Comarca]],"á","a"),"ã","a"),"â","a"),"é","e"),"ê","e"),"í","i"),"ó","o"),"õ","o"),"ô","o"),"ú","u"),"ç","c"),"Á","a"),"Ã","a"),"Â","a"),"É","e"),"Ê","e"),"Í","i"),"Ó","o"),"Õ","o"),"Ô","o"),"Ú","u"),"Ç","c"),"/MG","")," e ",", ")," ",""),".",""))),
_xlpm.MATRIZ_COMARCA, TRIM(UPPER(SUBSTITUTE(SUBSTITUTE(SUBSTITUTE(SUBSTITUTE(SUBSTITUTE(SUBSTITUTE(SUBSTITUTE(SUBSTITUTE(SUBSTITUTE(SUBSTITUTE(SUBSTITUTE(SUBSTITUTE(SUBSTITUTE(SUBSTITUTE(SUBSTITUTE(SUBSTITUTE(SUBSTITUTE(SUBSTITUTE(SUBSTITUTE(SUBSTITUTE(SUBSTITUTE(SUBSTITUTE(SUBSTITUTE(SUBSTITUTE(SUBSTITUTE(SUBSTITUTE(tabSindicatos[COMARCAS PAF],"á","a"),"ã","a"),"â","a"),"é","e"),"ê","e"),"í","i"),"ó","o"),"õ","o"),"ô","o"),"ú","u"),"ç","c"),"Á","a"),"Ã","a"),"Â","a"),"É","e"),"Ê","e"),"Í","i"),"Ó","o"),"Õ","o"),"Ô","o"),"Ú","u"),"Ç","c"),"/MG","")," e ",", ")," ",""),".",""))),
IFERROR(IF(_xlfn.XLOOKUP(tabParametros[[#This Row],[CCT DA CATEGORIA]],tabSindicatos[SINDICATOS],tabSindicatos[COMARCAS PAF])="",
VLOOKUP(tabParametros[[#This Row],[CCT DA CATEGORIA]],tabSindicatos[],8,0),
IF(ISNUMBER(SEARCH(TRIM(_xlpm.COMARCA),_xlfn.XLOOKUP(tabParametros[[#This Row],[CCT DA CATEGORIA]],tabSindicatos[SINDICATOS],_xlpm.MATRIZ_COMARCA),1)),VLOOKUP(tabParametros[[#This Row],[CCT DA CATEGORIA]],tabSindicatos[],8,0),0)
),0)
)</f>
        <v>0</v>
      </c>
      <c r="AE108" s="234">
        <f>IFERROR(VLOOKUP(tabParametros[[#This Row],[CCT DA CATEGORIA]],tabSindicatos[],9,0),0)</f>
        <v>15.07</v>
      </c>
      <c r="AF108" s="234">
        <f>IFERROR(VLOOKUP(tabParametros[[#This Row],[CCT DA CATEGORIA]],tabSindicatos[],10,0),0)</f>
        <v>0</v>
      </c>
      <c r="AG108" s="236">
        <f>VLOOKUP(tabParametros[[#Headers],[Seguro de Vida]],tabOutrosCustos[],3,0)</f>
        <v>3.36</v>
      </c>
      <c r="AH108" s="236">
        <f>IF(ISNUMBER(SEARCH("MOTORISTA",tabParametros[[#This Row],[Função]],1)),VLOOKUP("MOTORISTAS",tabDiarias[],2,0),IF(tabParametros[[#This Row],[Comarca]]="Belo Horizonte",VLOOKUP("LIMPEZA",tabDiarias[],2,0),0))</f>
        <v>0</v>
      </c>
      <c r="AI108" s="235">
        <f t="shared" si="13"/>
        <v>7.011766975308642E-3</v>
      </c>
      <c r="AJ108" s="237">
        <f>tabParametros[[#This Row],[FGTS]]*tabParametros[[#This Row],[Aviso Prévio Indenizado (API) e Reflexo do Aviso Prévio Indenizado]]</f>
        <v>5.609413580246914E-4</v>
      </c>
      <c r="AK108" s="237">
        <f>tabParametros[[#This Row],[FGTS]]*tabParametros[[#This Row],[Aviso Prévio Indenizado (API) e Reflexo do Aviso Prévio Indenizado]]*40%</f>
        <v>2.2437654320987658E-4</v>
      </c>
      <c r="AL108" s="235">
        <f t="shared" si="14"/>
        <v>3.5000000000000005E-3</v>
      </c>
      <c r="AM108" s="235">
        <f>tabParametros[[#This Row],[Aviso Prévio Trabalhado - APT]]*SUM(tabParametros[[#This Row],[INSS]:[SEBRAE]])</f>
        <v>1.3230000000000004E-3</v>
      </c>
      <c r="AN108" s="235">
        <f t="shared" si="15"/>
        <v>3.0577777777777773E-2</v>
      </c>
      <c r="AO108" s="235">
        <f t="shared" si="16"/>
        <v>8.3333333333333339E-4</v>
      </c>
      <c r="AP108" s="235">
        <f t="shared" si="17"/>
        <v>8.4444444444444437E-3</v>
      </c>
      <c r="AQ108" s="235">
        <f t="shared" si="18"/>
        <v>2.0277777777777777E-3</v>
      </c>
      <c r="AR108" s="235">
        <f t="shared" si="19"/>
        <v>1.7083333333333333E-4</v>
      </c>
      <c r="AS108" s="235">
        <f t="shared" si="20"/>
        <v>2.0833333333333335E-4</v>
      </c>
      <c r="AT108" s="235">
        <f t="shared" si="21"/>
        <v>1.2962962962962963E-3</v>
      </c>
      <c r="AU108" s="237">
        <f>SUM(tabParametros[[#This Row],[Ausência por Doença]:[Férias, Adicional de Férias e 13º  com empregada em gozo de Licença Maternidade]])*SUM(tabParametros[[#This Row],[INSS]:[SEBRAE]])</f>
        <v>4.5918250000000008E-3</v>
      </c>
      <c r="AV108" s="234">
        <f>IF(tabParametros[[#This Row],[Função]]="Porteiro - 220 h",SUM(tabParametros[[#This Row],[Salário Base]:[Adicional de Acúmulo de função]])/220*20*1.5,IF(ISNUMBER(SEARCH("12 x 36",tabParametros[[#This Row],[Função]],1)),SUM(tabParametros[[#This Row],[Salário Base]:[Adicional de Acúmulo de função]])/210*15.5*1.5,0))</f>
        <v>0</v>
      </c>
      <c r="AW108" s="234">
        <f>IF(tabParametros[[#This Row],[Vagas contratadas]]&gt;0,(SUM(tabParametros[[#This Row],[Salário Base]:[Adicional de Acúmulo de função]])*30%+SUM(tabParametros[[#This Row],[Vale - Alimentação]:[Seguro de Vida]]))/tabParametros[[#This Row],[Vagas contratadas]]*tabParametros[[#This Row],[Vagas suspensas]],0)</f>
        <v>0</v>
      </c>
      <c r="AX108" s="234">
        <f>SUMIF(tabUniformes[Cargo],tabParametros[[#This Row],[Função]],tabUniformes[Valor unit. Mensal])</f>
        <v>62.806666666666665</v>
      </c>
      <c r="AY108" s="281">
        <f>IF(ISNUMBER(SEARCH("AUXILIAR DE LIMPEZA - 75 H",tabParametros[[#This Row],[Função]],1)),
SUMIF(tabLimpGeral[TIPO],"Material",tabLimpGeral[VALOR UNITÁRIO P/ HORA (R$)])*75,
IF(ISNUMBER(SEARCH("AUXILIAR DE LIMPEZA - 110 H",tabParametros[[#This Row],[Função]],1)),
SUMIF(tabLimpGeral[TIPO],"Material",tabLimpGeral[VALOR UNITÁRIO P/ HORA (R$)])*110,
IF(ISNUMBER(SEARCH("AUXILIAR DE LIMPEZA - 150 H",tabParametros[[#This Row],[Função]],1)),
SUMIF(tabLimpGeral[TIPO],"Material",tabLimpGeral[VALOR UNITÁRIO P/ HORA (R$)])*150,
IF(ISNUMBER(SEARCH("AUXILIAR DE LIMPEZA - 220 H",tabParametros[[#This Row],[Função]],1)),
SUMIF(tabLimpGeral[TIPO],"Material",tabLimpGeral[VALOR UNITÁRIO P/ HORA (R$)])*220,
IF(ISNUMBER(SEARCH("AUXILIAR DE LIMPEZA - 12 x 36",tabParametros[[#This Row],[Função]],1)),
SUMIF(tabLimpGeral[TIPO],"Material",tabLimpGeral[VALOR UNITÁRIO P/ HORA (R$)])*220,
IF(ISNUMBER(SEARCH("Limpador de vidros - 220 h",tabParametros[[#This Row],[Função]],1)),
SUMIF(tabVidros[TIPO],"Material",tabVidros[VALOR UNITÁRIO P/ POSTO (R$)]),
0))))))</f>
        <v>12.108481690426325</v>
      </c>
      <c r="AZ108" s="281">
        <f>IF(ISNUMBER(SEARCH("AUXILIAR DE LIMPEZA - 75 H",tabParametros[[#This Row],[Função]],1)),
SUMIF(tabLimpGeral[TIPO],"Equipamento",tabLimpGeral[VALOR UNITÁRIO P/ HORA (R$)])*75,
IF(ISNUMBER(SEARCH("AUXILIAR DE LIMPEZA - 110 H",tabParametros[[#This Row],[Função]],1)),
SUMIF(tabLimpGeral[TIPO],"Equipamento",tabLimpGeral[VALOR UNITÁRIO P/ HORA (R$)])*110,
IF(ISNUMBER(SEARCH("AUXILIAR DE LIMPEZA - 150 H",tabParametros[[#This Row],[Função]],1)),
SUMIF(tabLimpGeral[TIPO],"Equipamento",tabLimpGeral[VALOR UNITÁRIO P/ HORA (R$)])*150,
IF(ISNUMBER(SEARCH("AUXILIAR DE LIMPEZA - 220 H",tabParametros[[#This Row],[Função]],1)),
SUMIF(tabLimpGeral[TIPO],"Equipamento",tabLimpGeral[VALOR UNITÁRIO P/ HORA (R$)])*220,
IF(ISNUMBER(SEARCH("AUXILIAR DE LIMPEZA - 12 x 36",tabParametros[[#This Row],[Função]],1)),
SUMIF(tabLimpGeral[TIPO],"Equipamento",tabLimpGeral[VALOR UNITÁRIO P/ HORA (R$)])*220,
IF(ISNUMBER(SEARCH("Limpador de vidros - 220 h",tabParametros[[#This Row],[Função]],1)),
SUMIF(tabVidros[TIPO],"Equipamento",tabVidros[VALOR UNITÁRIO P/ POSTO (R$)]),
0))))))</f>
        <v>21.998657016417809</v>
      </c>
      <c r="BA108" s="281">
        <f>IF(ISNUMBER(SEARCH("AUXILIAR DE LIMPEZA - 75 H",tabParametros[[#This Row],[Função]],1)),
SUMIF(tabLimpGeral[TIPO],"Produto",tabLimpGeral[VALOR UNITÁRIO P/ HORA (R$)])*75,
IF(ISNUMBER(SEARCH("AUXILIAR DE LIMPEZA - 110 H",tabParametros[[#This Row],[Função]],1)),
SUMIF(tabLimpGeral[TIPO],"Produto",tabLimpGeral[VALOR UNITÁRIO P/ HORA (R$)])*110,
IF(ISNUMBER(SEARCH("AUXILIAR DE LIMPEZA - 150 H",tabParametros[[#This Row],[Função]],1)),
SUMIF(tabLimpGeral[TIPO],"Produto",tabLimpGeral[VALOR UNITÁRIO P/ HORA (R$)])*150,
IF(ISNUMBER(SEARCH("AUXILIAR DE LIMPEZA - 220 H",tabParametros[[#This Row],[Função]],1)),
SUMIF(tabLimpGeral[TIPO],"Produto",tabLimpGeral[VALOR UNITÁRIO P/ HORA (R$)])*220,
IF(ISNUMBER(SEARCH("AUXILIAR DE LIMPEZA - 12 x 36",tabParametros[[#This Row],[Função]],1)),
SUMIF(tabLimpGeral[TIPO],"Produto",tabLimpGeral[VALOR UNITÁRIO P/ HORA (R$)])*220,
IF(ISNUMBER(SEARCH("Limpador de vidros - 220 h",tabParametros[[#This Row],[Função]],1)),
SUMIF(tabVidros[TIPO],"Produto",tabVidros[VALOR UNITÁRIO P/ POSTO (R$)]),
0))))))</f>
        <v>235.31984072022155</v>
      </c>
      <c r="BB108" s="281">
        <v>0</v>
      </c>
      <c r="BC108" s="236">
        <f>VLOOKUP(tabParametros[[#Headers],[Custos Indiretos]],tabOutrosCustos[],3,0)</f>
        <v>189.64880140242613</v>
      </c>
      <c r="BD108" s="236">
        <f>VLOOKUP(tabParametros[[#Headers],[Lucro]],tabOutrosCustos[],3,0)</f>
        <v>159.30499317803796</v>
      </c>
      <c r="BE108" s="235">
        <f>VLOOKUP(tabParametros[[#Headers],[COFINS]],tabImpostosNacionais[],2,0)</f>
        <v>7.5999999999999998E-2</v>
      </c>
      <c r="BF108" s="235">
        <f>VLOOKUP(tabParametros[[#Headers],[PIS]],tabImpostosNacionais[],2,0)</f>
        <v>1.6500000000000001E-2</v>
      </c>
      <c r="BG108" s="235">
        <f>VLOOKUP(tabParametros[[#This Row],[Comarca]],tabComarca[],4,0)</f>
        <v>0.03</v>
      </c>
      <c r="BH108" s="238">
        <f>IFERROR(VLOOKUP(tabParametros[[#This Row],[CCT DA CATEGORIA]],tabSindicatos[],11,0),"")</f>
        <v>45658</v>
      </c>
      <c r="BI108" s="289" t="str">
        <f>IFERROR(VLOOKUP(tabParametros[[#This Row],[CCT DA CATEGORIA]],tabSindicatos[],12,0),"")</f>
        <v>-</v>
      </c>
      <c r="BJ108" s="293" t="str">
        <f>IFERROR(VLOOKUP(tabParametros[[#This Row],[CCT DA CATEGORIA]],tabSindicatos[],13,0),"")</f>
        <v>-</v>
      </c>
    </row>
    <row r="109" spans="1:62" x14ac:dyDescent="0.25">
      <c r="A109" s="233" t="s">
        <v>1448</v>
      </c>
      <c r="B109" s="198" t="s">
        <v>101</v>
      </c>
      <c r="C109" s="198" t="s">
        <v>1245</v>
      </c>
      <c r="D109" s="198" t="str">
        <f>VLOOKUP(tabParametros[[#This Row],[Código do Posto]],tabPostos[],4,0)</f>
        <v>Sind - Asseio</v>
      </c>
      <c r="E109" s="289" t="str">
        <f>VLOOKUP(tabParametros[[#This Row],[Código do Posto]],tabPostos[],5,0)</f>
        <v>Limpeza</v>
      </c>
      <c r="F109" s="289" t="str">
        <f>VLOOKUP(tabParametros[[#This Row],[Código do Posto]],tabPostos[],6,0)</f>
        <v>PGJ</v>
      </c>
      <c r="G109" s="289">
        <f>VLOOKUP(tabParametros[[#This Row],[Código do Posto]],tabPostos[],7,0)</f>
        <v>1</v>
      </c>
      <c r="H109" s="289">
        <f>VLOOKUP(tabParametros[[#This Row],[Código do Posto]],tabPostos[],8,0)</f>
        <v>0</v>
      </c>
      <c r="I109" s="234">
        <f>VLOOKUP(tabParametros[[#This Row],[Código do Posto]],tabPostos[],9,0)</f>
        <v>1649.12</v>
      </c>
      <c r="J109" s="234">
        <f>IF(ISNUMBER(SEARCH("Eletricista",tabParametros[[#This Row],[Função]],1)),0.3*tabParametros[[#This Row],[Salário Base]],0)</f>
        <v>0</v>
      </c>
      <c r="K109" s="234">
        <f>IF(OR(ISNUMBER(SEARCH("Bombeiro Hidraulico",tabParametros[[#This Row],[Função]],1)),ISNUMBER(SEARCH("Jardineiro",tabParametros[[#This Row],[Função]],1)),ISNUMBER(SEARCH("Lavador de Veiculos",tabParametros[[#This Row],[Função]],1)),ISNUMBER(SEARCH("Marceneiro",tabParametros[[#This Row],[Função]],1)),ISNUMBER(SEARCH("Pintor",tabParametros[[#This Row],[Função]],1))),0.2*'BASE GERAL'!$R$4,0)</f>
        <v>0</v>
      </c>
      <c r="L109" s="234">
        <f>IF(AND(ISNUMBER(SEARCH("Noturno",tabParametros[[#This Row],[Função]],1)),tabParametros[[#This Row],[Comarca]]&lt;&gt;"Juiz de Fora"),tabParametros[[#This Row],[Salário Base]]/210*0.39*7*15.5,IF(ISNUMBER(SEARCH("Noturno",tabParametros[[#This Row],[Função]],1)),tabParametros[[#This Row],[Salário Base]]/210*0.2*8*15.5,0))</f>
        <v>0</v>
      </c>
      <c r="M109" s="234">
        <f>IF(ISNUMBER(SEARCH("Motorista II",tabParametros[[#This Row],[Função]],1)),0.25*tabParametros[[#This Row],[Salário Base]],0)</f>
        <v>0</v>
      </c>
      <c r="N109" s="250">
        <v>0</v>
      </c>
      <c r="O109" s="234">
        <f>IF(ISNUMBER(SEARCH("TECNOLOGIA DA INFORMACAO",tabParametros[[#This Row],[Função]],1)),0.0201*tabParametros[[#This Row],[Salário Base]],0)</f>
        <v>0</v>
      </c>
      <c r="P109" s="250" cm="1">
        <f t="array" ref="P109">_xlfn.IFS(
ISNUMBER(SEARCH("Auxiliar de Limpeza - 75 h",tabParametros[[#This Row],[Função]],1)),tabParametros[[#This Row],[Salário Base]]/75*0.75*30*0.12,
ISNUMBER(SEARCH("Auxiliar de Limpeza - 110 h",tabParametros[[#This Row],[Função]],1)),tabParametros[[#This Row],[Salário Base]]/110*1*30*0.12,
ISNUMBER(SEARCH("Auxiliar de Limpeza - 150 h",tabParametros[[#This Row],[Função]],1)),tabParametros[[#This Row],[Salário Base]]/150*1.5*30*0.12,
ISNUMBER(SEARCH("Auxiliar de Limpeza - 220 h",tabParametros[[#This Row],[Função]],1)),tabParametros[[#This Row],[Salário Base]]/220*2*30*0.12,
ISNUMBER(SEARCH("Auxiliar de Limpeza - 12 x 36",tabParametros[[#This Row],[Função]],1)),tabParametros[[#This Row],[Salário Base]]/220*2*30*0.12,
ISNUMBER(SEARCH("Auxiliar de Limpeza - 55 h",tabParametros[[#This Row],[Função]],1))=FALSE,0)</f>
        <v>53.971199999999996</v>
      </c>
      <c r="Q109" s="235">
        <f>VLOOKUP(tabParametros[[#Headers],[INSS]],tabImpostosNacionais[],2,0)</f>
        <v>0.2</v>
      </c>
      <c r="R109" s="235">
        <f>VLOOKUP(tabParametros[[#Headers],[SESI OU SESC]],tabImpostosNacionais[],2,0)</f>
        <v>1.4999999999999999E-2</v>
      </c>
      <c r="S109" s="235">
        <f>VLOOKUP(tabParametros[[#Headers],[SENAI OU SENAC]],tabImpostosNacionais[],2,0)</f>
        <v>0.01</v>
      </c>
      <c r="T109" s="235">
        <f>VLOOKUP(tabParametros[[#Headers],[INCRA]],tabImpostosNacionais[],2,0)</f>
        <v>2E-3</v>
      </c>
      <c r="U109" s="235">
        <f>VLOOKUP(tabParametros[[#Headers],[Salário Educação]],tabImpostosNacionais[],2,0)</f>
        <v>2.5000000000000001E-2</v>
      </c>
      <c r="V109" s="235">
        <f>VLOOKUP(tabParametros[[#Headers],[FGTS]],tabImpostosNacionais[],2,0)</f>
        <v>0.08</v>
      </c>
      <c r="W109" s="235">
        <f>VLOOKUP(tabParametros[[#Headers],[RAT Ajustado]],tabImpostosNacionais[],2,0)</f>
        <v>0.04</v>
      </c>
      <c r="X109" s="235">
        <f>VLOOKUP(tabParametros[[#Headers],[SEBRAE]],tabImpostosNacionais[],2,0)</f>
        <v>6.0000000000000001E-3</v>
      </c>
      <c r="Y109" s="235">
        <f t="shared" si="11"/>
        <v>8.3333333333333329E-2</v>
      </c>
      <c r="Z109" s="251">
        <f t="shared" si="12"/>
        <v>0.1111111111111111</v>
      </c>
      <c r="AA109" s="234">
        <f>VLOOKUP(tabParametros[[#This Row],[Comarca]],tabComarca[],5,0)</f>
        <v>6.4</v>
      </c>
      <c r="AB109" s="234">
        <f>IFERROR(VLOOKUP(tabParametros[[#This Row],[CCT DA CATEGORIA]],tabSindicatos[],6,0),0)</f>
        <v>29.15</v>
      </c>
      <c r="AC109" s="234">
        <f>IFERROR(VLOOKUP(tabParametros[[#This Row],[CCT DA CATEGORIA]],tabSindicatos[],7,0),0)</f>
        <v>0</v>
      </c>
      <c r="AD109" s="234" cm="1">
        <f t="array" ref="AD109">_xlfn.LET(
_xlpm.COMARCA, TRIM(UPPER(SUBSTITUTE(SUBSTITUTE(SUBSTITUTE(SUBSTITUTE(SUBSTITUTE(SUBSTITUTE(SUBSTITUTE(SUBSTITUTE(SUBSTITUTE(SUBSTITUTE(SUBSTITUTE(SUBSTITUTE(SUBSTITUTE(SUBSTITUTE(SUBSTITUTE(SUBSTITUTE(SUBSTITUTE(SUBSTITUTE(SUBSTITUTE(SUBSTITUTE(SUBSTITUTE(SUBSTITUTE(SUBSTITUTE(SUBSTITUTE(SUBSTITUTE(SUBSTITUTE(tabParametros[[#This Row],[Comarca]],"á","a"),"ã","a"),"â","a"),"é","e"),"ê","e"),"í","i"),"ó","o"),"õ","o"),"ô","o"),"ú","u"),"ç","c"),"Á","a"),"Ã","a"),"Â","a"),"É","e"),"Ê","e"),"Í","i"),"Ó","o"),"Õ","o"),"Ô","o"),"Ú","u"),"Ç","c"),"/MG","")," e ",", ")," ",""),".",""))),
_xlpm.MATRIZ_COMARCA, TRIM(UPPER(SUBSTITUTE(SUBSTITUTE(SUBSTITUTE(SUBSTITUTE(SUBSTITUTE(SUBSTITUTE(SUBSTITUTE(SUBSTITUTE(SUBSTITUTE(SUBSTITUTE(SUBSTITUTE(SUBSTITUTE(SUBSTITUTE(SUBSTITUTE(SUBSTITUTE(SUBSTITUTE(SUBSTITUTE(SUBSTITUTE(SUBSTITUTE(SUBSTITUTE(SUBSTITUTE(SUBSTITUTE(SUBSTITUTE(SUBSTITUTE(SUBSTITUTE(SUBSTITUTE(tabSindicatos[COMARCAS PAF],"á","a"),"ã","a"),"â","a"),"é","e"),"ê","e"),"í","i"),"ó","o"),"õ","o"),"ô","o"),"ú","u"),"ç","c"),"Á","a"),"Ã","a"),"Â","a"),"É","e"),"Ê","e"),"Í","i"),"Ó","o"),"Õ","o"),"Ô","o"),"Ú","u"),"Ç","c"),"/MG","")," e ",", ")," ",""),".",""))),
IFERROR(IF(_xlfn.XLOOKUP(tabParametros[[#This Row],[CCT DA CATEGORIA]],tabSindicatos[SINDICATOS],tabSindicatos[COMARCAS PAF])="",
VLOOKUP(tabParametros[[#This Row],[CCT DA CATEGORIA]],tabSindicatos[],8,0),
IF(ISNUMBER(SEARCH(TRIM(_xlpm.COMARCA),_xlfn.XLOOKUP(tabParametros[[#This Row],[CCT DA CATEGORIA]],tabSindicatos[SINDICATOS],_xlpm.MATRIZ_COMARCA),1)),VLOOKUP(tabParametros[[#This Row],[CCT DA CATEGORIA]],tabSindicatos[],8,0),0)
),0)
)</f>
        <v>77.25</v>
      </c>
      <c r="AE109" s="234">
        <f>IFERROR(VLOOKUP(tabParametros[[#This Row],[CCT DA CATEGORIA]],tabSindicatos[],9,0),0)</f>
        <v>0</v>
      </c>
      <c r="AF109" s="234">
        <f>IFERROR(VLOOKUP(tabParametros[[#This Row],[CCT DA CATEGORIA]],tabSindicatos[],10,0),0)</f>
        <v>0</v>
      </c>
      <c r="AG109" s="236">
        <f>VLOOKUP(tabParametros[[#Headers],[Seguro de Vida]],tabOutrosCustos[],3,0)</f>
        <v>3.36</v>
      </c>
      <c r="AH109" s="236">
        <f>IF(ISNUMBER(SEARCH("MOTORISTA",tabParametros[[#This Row],[Função]],1)),VLOOKUP("MOTORISTAS",tabDiarias[],2,0),IF(tabParametros[[#This Row],[Comarca]]="Belo Horizonte",VLOOKUP("LIMPEZA",tabDiarias[],2,0),0))</f>
        <v>0</v>
      </c>
      <c r="AI109" s="235">
        <f t="shared" si="13"/>
        <v>7.011766975308642E-3</v>
      </c>
      <c r="AJ109" s="237">
        <f>tabParametros[[#This Row],[FGTS]]*tabParametros[[#This Row],[Aviso Prévio Indenizado (API) e Reflexo do Aviso Prévio Indenizado]]</f>
        <v>5.609413580246914E-4</v>
      </c>
      <c r="AK109" s="237">
        <f>tabParametros[[#This Row],[FGTS]]*tabParametros[[#This Row],[Aviso Prévio Indenizado (API) e Reflexo do Aviso Prévio Indenizado]]*40%</f>
        <v>2.2437654320987658E-4</v>
      </c>
      <c r="AL109" s="235">
        <f t="shared" si="14"/>
        <v>3.5000000000000005E-3</v>
      </c>
      <c r="AM109" s="235">
        <f>tabParametros[[#This Row],[Aviso Prévio Trabalhado - APT]]*SUM(tabParametros[[#This Row],[INSS]:[SEBRAE]])</f>
        <v>1.3230000000000004E-3</v>
      </c>
      <c r="AN109" s="235">
        <f t="shared" si="15"/>
        <v>3.0577777777777773E-2</v>
      </c>
      <c r="AO109" s="235">
        <f t="shared" si="16"/>
        <v>8.3333333333333339E-4</v>
      </c>
      <c r="AP109" s="235">
        <f t="shared" si="17"/>
        <v>8.4444444444444437E-3</v>
      </c>
      <c r="AQ109" s="235">
        <f t="shared" si="18"/>
        <v>2.0277777777777777E-3</v>
      </c>
      <c r="AR109" s="235">
        <f t="shared" si="19"/>
        <v>1.7083333333333333E-4</v>
      </c>
      <c r="AS109" s="235">
        <f t="shared" si="20"/>
        <v>2.0833333333333335E-4</v>
      </c>
      <c r="AT109" s="235">
        <f t="shared" si="21"/>
        <v>1.2962962962962963E-3</v>
      </c>
      <c r="AU109" s="237">
        <f>SUM(tabParametros[[#This Row],[Ausência por Doença]:[Férias, Adicional de Férias e 13º  com empregada em gozo de Licença Maternidade]])*SUM(tabParametros[[#This Row],[INSS]:[SEBRAE]])</f>
        <v>4.5918250000000008E-3</v>
      </c>
      <c r="AV109" s="234">
        <f>IF(tabParametros[[#This Row],[Função]]="Porteiro - 220 h",SUM(tabParametros[[#This Row],[Salário Base]:[Adicional de Acúmulo de função]])/220*20*1.5,IF(ISNUMBER(SEARCH("12 x 36",tabParametros[[#This Row],[Função]],1)),SUM(tabParametros[[#This Row],[Salário Base]:[Adicional de Acúmulo de função]])/210*15.5*1.5,0))</f>
        <v>0</v>
      </c>
      <c r="AW109" s="234">
        <f>IF(tabParametros[[#This Row],[Vagas contratadas]]&gt;0,(SUM(tabParametros[[#This Row],[Salário Base]:[Adicional de Acúmulo de função]])*30%+SUM(tabParametros[[#This Row],[Vale - Alimentação]:[Seguro de Vida]]))/tabParametros[[#This Row],[Vagas contratadas]]*tabParametros[[#This Row],[Vagas suspensas]],0)</f>
        <v>0</v>
      </c>
      <c r="AX109" s="234">
        <f>SUMIF(tabUniformes[Cargo],tabParametros[[#This Row],[Função]],tabUniformes[Valor unit. Mensal])</f>
        <v>100.80916666666666</v>
      </c>
      <c r="AY109" s="281">
        <f>IF(ISNUMBER(SEARCH("AUXILIAR DE LIMPEZA - 75 H",tabParametros[[#This Row],[Função]],1)),
SUMIF(tabLimpGeral[TIPO],"Material",tabLimpGeral[VALOR UNITÁRIO P/ HORA (R$)])*75,
IF(ISNUMBER(SEARCH("AUXILIAR DE LIMPEZA - 110 H",tabParametros[[#This Row],[Função]],1)),
SUMIF(tabLimpGeral[TIPO],"Material",tabLimpGeral[VALOR UNITÁRIO P/ HORA (R$)])*110,
IF(ISNUMBER(SEARCH("AUXILIAR DE LIMPEZA - 150 H",tabParametros[[#This Row],[Função]],1)),
SUMIF(tabLimpGeral[TIPO],"Material",tabLimpGeral[VALOR UNITÁRIO P/ HORA (R$)])*150,
IF(ISNUMBER(SEARCH("AUXILIAR DE LIMPEZA - 220 H",tabParametros[[#This Row],[Função]],1)),
SUMIF(tabLimpGeral[TIPO],"Material",tabLimpGeral[VALOR UNITÁRIO P/ HORA (R$)])*220,
IF(ISNUMBER(SEARCH("AUXILIAR DE LIMPEZA - 12 x 36",tabParametros[[#This Row],[Função]],1)),
SUMIF(tabLimpGeral[TIPO],"Material",tabLimpGeral[VALOR UNITÁRIO P/ HORA (R$)])*220,
IF(ISNUMBER(SEARCH("Limpador de vidros - 220 h",tabParametros[[#This Row],[Função]],1)),
SUMIF(tabVidros[TIPO],"Material",tabVidros[VALOR UNITÁRIO P/ POSTO (R$)]),
0))))))</f>
        <v>35.518212958583888</v>
      </c>
      <c r="AZ109" s="281">
        <f>IF(ISNUMBER(SEARCH("AUXILIAR DE LIMPEZA - 75 H",tabParametros[[#This Row],[Função]],1)),
SUMIF(tabLimpGeral[TIPO],"Equipamento",tabLimpGeral[VALOR UNITÁRIO P/ HORA (R$)])*75,
IF(ISNUMBER(SEARCH("AUXILIAR DE LIMPEZA - 110 H",tabParametros[[#This Row],[Função]],1)),
SUMIF(tabLimpGeral[TIPO],"Equipamento",tabLimpGeral[VALOR UNITÁRIO P/ HORA (R$)])*110,
IF(ISNUMBER(SEARCH("AUXILIAR DE LIMPEZA - 150 H",tabParametros[[#This Row],[Função]],1)),
SUMIF(tabLimpGeral[TIPO],"Equipamento",tabLimpGeral[VALOR UNITÁRIO P/ HORA (R$)])*150,
IF(ISNUMBER(SEARCH("AUXILIAR DE LIMPEZA - 220 H",tabParametros[[#This Row],[Função]],1)),
SUMIF(tabLimpGeral[TIPO],"Equipamento",tabLimpGeral[VALOR UNITÁRIO P/ HORA (R$)])*220,
IF(ISNUMBER(SEARCH("AUXILIAR DE LIMPEZA - 12 x 36",tabParametros[[#This Row],[Função]],1)),
SUMIF(tabLimpGeral[TIPO],"Equipamento",tabLimpGeral[VALOR UNITÁRIO P/ HORA (R$)])*220,
IF(ISNUMBER(SEARCH("Limpador de vidros - 220 h",tabParametros[[#This Row],[Função]],1)),
SUMIF(tabVidros[TIPO],"Equipamento",tabVidros[VALOR UNITÁRIO P/ POSTO (R$)]),
0))))))</f>
        <v>64.529393914825576</v>
      </c>
      <c r="BA109" s="281">
        <f>IF(ISNUMBER(SEARCH("AUXILIAR DE LIMPEZA - 75 H",tabParametros[[#This Row],[Função]],1)),
SUMIF(tabLimpGeral[TIPO],"Produto",tabLimpGeral[VALOR UNITÁRIO P/ HORA (R$)])*75,
IF(ISNUMBER(SEARCH("AUXILIAR DE LIMPEZA - 110 H",tabParametros[[#This Row],[Função]],1)),
SUMIF(tabLimpGeral[TIPO],"Produto",tabLimpGeral[VALOR UNITÁRIO P/ HORA (R$)])*110,
IF(ISNUMBER(SEARCH("AUXILIAR DE LIMPEZA - 150 H",tabParametros[[#This Row],[Função]],1)),
SUMIF(tabLimpGeral[TIPO],"Produto",tabLimpGeral[VALOR UNITÁRIO P/ HORA (R$)])*150,
IF(ISNUMBER(SEARCH("AUXILIAR DE LIMPEZA - 220 H",tabParametros[[#This Row],[Função]],1)),
SUMIF(tabLimpGeral[TIPO],"Produto",tabLimpGeral[VALOR UNITÁRIO P/ HORA (R$)])*220,
IF(ISNUMBER(SEARCH("AUXILIAR DE LIMPEZA - 12 x 36",tabParametros[[#This Row],[Função]],1)),
SUMIF(tabLimpGeral[TIPO],"Produto",tabLimpGeral[VALOR UNITÁRIO P/ HORA (R$)])*220,
IF(ISNUMBER(SEARCH("Limpador de vidros - 220 h",tabParametros[[#This Row],[Função]],1)),
SUMIF(tabVidros[TIPO],"Produto",tabVidros[VALOR UNITÁRIO P/ POSTO (R$)]),
0))))))</f>
        <v>690.27153277931654</v>
      </c>
      <c r="BB109" s="281">
        <v>0</v>
      </c>
      <c r="BC109" s="236">
        <f>VLOOKUP(tabParametros[[#Headers],[Custos Indiretos]],tabOutrosCustos[],3,0)</f>
        <v>189.64880140242613</v>
      </c>
      <c r="BD109" s="236">
        <f>VLOOKUP(tabParametros[[#Headers],[Lucro]],tabOutrosCustos[],3,0)</f>
        <v>159.30499317803796</v>
      </c>
      <c r="BE109" s="235">
        <f>VLOOKUP(tabParametros[[#Headers],[COFINS]],tabImpostosNacionais[],2,0)</f>
        <v>7.5999999999999998E-2</v>
      </c>
      <c r="BF109" s="235">
        <f>VLOOKUP(tabParametros[[#Headers],[PIS]],tabImpostosNacionais[],2,0)</f>
        <v>1.6500000000000001E-2</v>
      </c>
      <c r="BG109" s="235">
        <f>VLOOKUP(tabParametros[[#This Row],[Comarca]],tabComarca[],4,0)</f>
        <v>0.04</v>
      </c>
      <c r="BH109" s="238">
        <f>IFERROR(VLOOKUP(tabParametros[[#This Row],[CCT DA CATEGORIA]],tabSindicatos[],11,0),"")</f>
        <v>45658</v>
      </c>
      <c r="BI109" s="289" t="str">
        <f>IFERROR(VLOOKUP(tabParametros[[#This Row],[CCT DA CATEGORIA]],tabSindicatos[],12,0),"")</f>
        <v>-</v>
      </c>
      <c r="BJ109" s="293" t="str">
        <f>IFERROR(VLOOKUP(tabParametros[[#This Row],[CCT DA CATEGORIA]],tabSindicatos[],13,0),"")</f>
        <v>-</v>
      </c>
    </row>
    <row r="110" spans="1:62" x14ac:dyDescent="0.25">
      <c r="A110" s="233" t="s">
        <v>1449</v>
      </c>
      <c r="B110" s="198" t="s">
        <v>102</v>
      </c>
      <c r="C110" s="198" t="s">
        <v>1246</v>
      </c>
      <c r="D110" s="198" t="str">
        <f>VLOOKUP(tabParametros[[#This Row],[Código do Posto]],tabPostos[],4,0)</f>
        <v>Fethemg RM</v>
      </c>
      <c r="E110" s="289" t="str">
        <f>VLOOKUP(tabParametros[[#This Row],[Código do Posto]],tabPostos[],5,0)</f>
        <v>Limpeza</v>
      </c>
      <c r="F110" s="289" t="str">
        <f>VLOOKUP(tabParametros[[#This Row],[Código do Posto]],tabPostos[],6,0)</f>
        <v>PGJ</v>
      </c>
      <c r="G110" s="289">
        <f>VLOOKUP(tabParametros[[#This Row],[Código do Posto]],tabPostos[],7,0)</f>
        <v>1</v>
      </c>
      <c r="H110" s="289">
        <f>VLOOKUP(tabParametros[[#This Row],[Código do Posto]],tabPostos[],8,0)</f>
        <v>0</v>
      </c>
      <c r="I110" s="234">
        <f>VLOOKUP(tabParametros[[#This Row],[Código do Posto]],tabPostos[],9,0)</f>
        <v>1124.3900000000001</v>
      </c>
      <c r="J110" s="234">
        <f>IF(ISNUMBER(SEARCH("Eletricista",tabParametros[[#This Row],[Função]],1)),0.3*tabParametros[[#This Row],[Salário Base]],0)</f>
        <v>0</v>
      </c>
      <c r="K110" s="234">
        <f>IF(OR(ISNUMBER(SEARCH("Bombeiro Hidraulico",tabParametros[[#This Row],[Função]],1)),ISNUMBER(SEARCH("Jardineiro",tabParametros[[#This Row],[Função]],1)),ISNUMBER(SEARCH("Lavador de Veiculos",tabParametros[[#This Row],[Função]],1)),ISNUMBER(SEARCH("Marceneiro",tabParametros[[#This Row],[Função]],1)),ISNUMBER(SEARCH("Pintor",tabParametros[[#This Row],[Função]],1))),0.2*'BASE GERAL'!$R$4,0)</f>
        <v>0</v>
      </c>
      <c r="L110" s="234">
        <f>IF(AND(ISNUMBER(SEARCH("Noturno",tabParametros[[#This Row],[Função]],1)),tabParametros[[#This Row],[Comarca]]&lt;&gt;"Juiz de Fora"),tabParametros[[#This Row],[Salário Base]]/210*0.39*7*15.5,IF(ISNUMBER(SEARCH("Noturno",tabParametros[[#This Row],[Função]],1)),tabParametros[[#This Row],[Salário Base]]/210*0.2*8*15.5,0))</f>
        <v>0</v>
      </c>
      <c r="M110" s="234">
        <f>IF(ISNUMBER(SEARCH("Motorista II",tabParametros[[#This Row],[Função]],1)),0.25*tabParametros[[#This Row],[Salário Base]],0)</f>
        <v>0</v>
      </c>
      <c r="N110" s="250">
        <v>0</v>
      </c>
      <c r="O110" s="234">
        <f>IF(ISNUMBER(SEARCH("TECNOLOGIA DA INFORMACAO",tabParametros[[#This Row],[Função]],1)),0.0201*tabParametros[[#This Row],[Salário Base]],0)</f>
        <v>0</v>
      </c>
      <c r="P110" s="250" cm="1">
        <f t="array" ref="P110">_xlfn.IFS(
ISNUMBER(SEARCH("Auxiliar de Limpeza - 75 h",tabParametros[[#This Row],[Função]],1)),tabParametros[[#This Row],[Salário Base]]/75*0.75*30*0.12,
ISNUMBER(SEARCH("Auxiliar de Limpeza - 110 h",tabParametros[[#This Row],[Função]],1)),tabParametros[[#This Row],[Salário Base]]/110*1*30*0.12,
ISNUMBER(SEARCH("Auxiliar de Limpeza - 150 h",tabParametros[[#This Row],[Função]],1)),tabParametros[[#This Row],[Salário Base]]/150*1.5*30*0.12,
ISNUMBER(SEARCH("Auxiliar de Limpeza - 220 h",tabParametros[[#This Row],[Função]],1)),tabParametros[[#This Row],[Salário Base]]/220*2*30*0.12,
ISNUMBER(SEARCH("Auxiliar de Limpeza - 12 x 36",tabParametros[[#This Row],[Função]],1)),tabParametros[[#This Row],[Salário Base]]/220*2*30*0.12,
ISNUMBER(SEARCH("Auxiliar de Limpeza - 55 h",tabParametros[[#This Row],[Função]],1))=FALSE,0)</f>
        <v>40.478040000000007</v>
      </c>
      <c r="Q110" s="235">
        <f>VLOOKUP(tabParametros[[#Headers],[INSS]],tabImpostosNacionais[],2,0)</f>
        <v>0.2</v>
      </c>
      <c r="R110" s="235">
        <f>VLOOKUP(tabParametros[[#Headers],[SESI OU SESC]],tabImpostosNacionais[],2,0)</f>
        <v>1.4999999999999999E-2</v>
      </c>
      <c r="S110" s="235">
        <f>VLOOKUP(tabParametros[[#Headers],[SENAI OU SENAC]],tabImpostosNacionais[],2,0)</f>
        <v>0.01</v>
      </c>
      <c r="T110" s="235">
        <f>VLOOKUP(tabParametros[[#Headers],[INCRA]],tabImpostosNacionais[],2,0)</f>
        <v>2E-3</v>
      </c>
      <c r="U110" s="235">
        <f>VLOOKUP(tabParametros[[#Headers],[Salário Educação]],tabImpostosNacionais[],2,0)</f>
        <v>2.5000000000000001E-2</v>
      </c>
      <c r="V110" s="235">
        <f>VLOOKUP(tabParametros[[#Headers],[FGTS]],tabImpostosNacionais[],2,0)</f>
        <v>0.08</v>
      </c>
      <c r="W110" s="235">
        <f>VLOOKUP(tabParametros[[#Headers],[RAT Ajustado]],tabImpostosNacionais[],2,0)</f>
        <v>0.04</v>
      </c>
      <c r="X110" s="235">
        <f>VLOOKUP(tabParametros[[#Headers],[SEBRAE]],tabImpostosNacionais[],2,0)</f>
        <v>6.0000000000000001E-3</v>
      </c>
      <c r="Y110" s="235">
        <f t="shared" si="11"/>
        <v>8.3333333333333329E-2</v>
      </c>
      <c r="Z110" s="251">
        <f t="shared" si="12"/>
        <v>0.1111111111111111</v>
      </c>
      <c r="AA110" s="234">
        <f>VLOOKUP(tabParametros[[#This Row],[Comarca]],tabComarca[],5,0)</f>
        <v>6.4</v>
      </c>
      <c r="AB110" s="234">
        <f>IFERROR(VLOOKUP(tabParametros[[#This Row],[CCT DA CATEGORIA]],tabSindicatos[],6,0),0)</f>
        <v>29.15</v>
      </c>
      <c r="AC110" s="234">
        <f>IFERROR(VLOOKUP(tabParametros[[#This Row],[CCT DA CATEGORIA]],tabSindicatos[],7,0),0)</f>
        <v>0</v>
      </c>
      <c r="AD110" s="234" cm="1">
        <f t="array" ref="AD110">_xlfn.LET(
_xlpm.COMARCA, TRIM(UPPER(SUBSTITUTE(SUBSTITUTE(SUBSTITUTE(SUBSTITUTE(SUBSTITUTE(SUBSTITUTE(SUBSTITUTE(SUBSTITUTE(SUBSTITUTE(SUBSTITUTE(SUBSTITUTE(SUBSTITUTE(SUBSTITUTE(SUBSTITUTE(SUBSTITUTE(SUBSTITUTE(SUBSTITUTE(SUBSTITUTE(SUBSTITUTE(SUBSTITUTE(SUBSTITUTE(SUBSTITUTE(SUBSTITUTE(SUBSTITUTE(SUBSTITUTE(SUBSTITUTE(tabParametros[[#This Row],[Comarca]],"á","a"),"ã","a"),"â","a"),"é","e"),"ê","e"),"í","i"),"ó","o"),"õ","o"),"ô","o"),"ú","u"),"ç","c"),"Á","a"),"Ã","a"),"Â","a"),"É","e"),"Ê","e"),"Í","i"),"Ó","o"),"Õ","o"),"Ô","o"),"Ú","u"),"Ç","c"),"/MG","")," e ",", ")," ",""),".",""))),
_xlpm.MATRIZ_COMARCA, TRIM(UPPER(SUBSTITUTE(SUBSTITUTE(SUBSTITUTE(SUBSTITUTE(SUBSTITUTE(SUBSTITUTE(SUBSTITUTE(SUBSTITUTE(SUBSTITUTE(SUBSTITUTE(SUBSTITUTE(SUBSTITUTE(SUBSTITUTE(SUBSTITUTE(SUBSTITUTE(SUBSTITUTE(SUBSTITUTE(SUBSTITUTE(SUBSTITUTE(SUBSTITUTE(SUBSTITUTE(SUBSTITUTE(SUBSTITUTE(SUBSTITUTE(SUBSTITUTE(SUBSTITUTE(tabSindicatos[COMARCAS PAF],"á","a"),"ã","a"),"â","a"),"é","e"),"ê","e"),"í","i"),"ó","o"),"õ","o"),"ô","o"),"ú","u"),"ç","c"),"Á","a"),"Ã","a"),"Â","a"),"É","e"),"Ê","e"),"Í","i"),"Ó","o"),"Õ","o"),"Ô","o"),"Ú","u"),"Ç","c"),"/MG","")," e ",", ")," ",""),".",""))),
IFERROR(IF(_xlfn.XLOOKUP(tabParametros[[#This Row],[CCT DA CATEGORIA]],tabSindicatos[SINDICATOS],tabSindicatos[COMARCAS PAF])="",
VLOOKUP(tabParametros[[#This Row],[CCT DA CATEGORIA]],tabSindicatos[],8,0),
IF(ISNUMBER(SEARCH(TRIM(_xlpm.COMARCA),_xlfn.XLOOKUP(tabParametros[[#This Row],[CCT DA CATEGORIA]],tabSindicatos[SINDICATOS],_xlpm.MATRIZ_COMARCA),1)),VLOOKUP(tabParametros[[#This Row],[CCT DA CATEGORIA]],tabSindicatos[],8,0),0)
),0)
)</f>
        <v>0</v>
      </c>
      <c r="AE110" s="234">
        <f>IFERROR(VLOOKUP(tabParametros[[#This Row],[CCT DA CATEGORIA]],tabSindicatos[],9,0),0)</f>
        <v>15.07</v>
      </c>
      <c r="AF110" s="234">
        <f>IFERROR(VLOOKUP(tabParametros[[#This Row],[CCT DA CATEGORIA]],tabSindicatos[],10,0),0)</f>
        <v>0</v>
      </c>
      <c r="AG110" s="236">
        <f>VLOOKUP(tabParametros[[#Headers],[Seguro de Vida]],tabOutrosCustos[],3,0)</f>
        <v>3.36</v>
      </c>
      <c r="AH110" s="236">
        <f>IF(ISNUMBER(SEARCH("MOTORISTA",tabParametros[[#This Row],[Função]],1)),VLOOKUP("MOTORISTAS",tabDiarias[],2,0),IF(tabParametros[[#This Row],[Comarca]]="Belo Horizonte",VLOOKUP("LIMPEZA",tabDiarias[],2,0),0))</f>
        <v>0</v>
      </c>
      <c r="AI110" s="235">
        <f t="shared" si="13"/>
        <v>7.011766975308642E-3</v>
      </c>
      <c r="AJ110" s="237">
        <f>tabParametros[[#This Row],[FGTS]]*tabParametros[[#This Row],[Aviso Prévio Indenizado (API) e Reflexo do Aviso Prévio Indenizado]]</f>
        <v>5.609413580246914E-4</v>
      </c>
      <c r="AK110" s="237">
        <f>tabParametros[[#This Row],[FGTS]]*tabParametros[[#This Row],[Aviso Prévio Indenizado (API) e Reflexo do Aviso Prévio Indenizado]]*40%</f>
        <v>2.2437654320987658E-4</v>
      </c>
      <c r="AL110" s="235">
        <f t="shared" si="14"/>
        <v>3.5000000000000005E-3</v>
      </c>
      <c r="AM110" s="235">
        <f>tabParametros[[#This Row],[Aviso Prévio Trabalhado - APT]]*SUM(tabParametros[[#This Row],[INSS]:[SEBRAE]])</f>
        <v>1.3230000000000004E-3</v>
      </c>
      <c r="AN110" s="235">
        <f t="shared" si="15"/>
        <v>3.0577777777777773E-2</v>
      </c>
      <c r="AO110" s="235">
        <f t="shared" si="16"/>
        <v>8.3333333333333339E-4</v>
      </c>
      <c r="AP110" s="235">
        <f t="shared" si="17"/>
        <v>8.4444444444444437E-3</v>
      </c>
      <c r="AQ110" s="235">
        <f t="shared" si="18"/>
        <v>2.0277777777777777E-3</v>
      </c>
      <c r="AR110" s="235">
        <f t="shared" si="19"/>
        <v>1.7083333333333333E-4</v>
      </c>
      <c r="AS110" s="235">
        <f t="shared" si="20"/>
        <v>2.0833333333333335E-4</v>
      </c>
      <c r="AT110" s="235">
        <f t="shared" si="21"/>
        <v>1.2962962962962963E-3</v>
      </c>
      <c r="AU110" s="237">
        <f>SUM(tabParametros[[#This Row],[Ausência por Doença]:[Férias, Adicional de Férias e 13º  com empregada em gozo de Licença Maternidade]])*SUM(tabParametros[[#This Row],[INSS]:[SEBRAE]])</f>
        <v>4.5918250000000008E-3</v>
      </c>
      <c r="AV110" s="234">
        <f>IF(tabParametros[[#This Row],[Função]]="Porteiro - 220 h",SUM(tabParametros[[#This Row],[Salário Base]:[Adicional de Acúmulo de função]])/220*20*1.5,IF(ISNUMBER(SEARCH("12 x 36",tabParametros[[#This Row],[Função]],1)),SUM(tabParametros[[#This Row],[Salário Base]:[Adicional de Acúmulo de função]])/210*15.5*1.5,0))</f>
        <v>0</v>
      </c>
      <c r="AW110" s="234">
        <f>IF(tabParametros[[#This Row],[Vagas contratadas]]&gt;0,(SUM(tabParametros[[#This Row],[Salário Base]:[Adicional de Acúmulo de função]])*30%+SUM(tabParametros[[#This Row],[Vale - Alimentação]:[Seguro de Vida]]))/tabParametros[[#This Row],[Vagas contratadas]]*tabParametros[[#This Row],[Vagas suspensas]],0)</f>
        <v>0</v>
      </c>
      <c r="AX110" s="234">
        <f>SUMIF(tabUniformes[Cargo],tabParametros[[#This Row],[Função]],tabUniformes[Valor unit. Mensal])</f>
        <v>100.80916666666666</v>
      </c>
      <c r="AY110" s="281">
        <f>IF(ISNUMBER(SEARCH("AUXILIAR DE LIMPEZA - 75 H",tabParametros[[#This Row],[Função]],1)),
SUMIF(tabLimpGeral[TIPO],"Material",tabLimpGeral[VALOR UNITÁRIO P/ HORA (R$)])*75,
IF(ISNUMBER(SEARCH("AUXILIAR DE LIMPEZA - 110 H",tabParametros[[#This Row],[Função]],1)),
SUMIF(tabLimpGeral[TIPO],"Material",tabLimpGeral[VALOR UNITÁRIO P/ HORA (R$)])*110,
IF(ISNUMBER(SEARCH("AUXILIAR DE LIMPEZA - 150 H",tabParametros[[#This Row],[Função]],1)),
SUMIF(tabLimpGeral[TIPO],"Material",tabLimpGeral[VALOR UNITÁRIO P/ HORA (R$)])*150,
IF(ISNUMBER(SEARCH("AUXILIAR DE LIMPEZA - 220 H",tabParametros[[#This Row],[Função]],1)),
SUMIF(tabLimpGeral[TIPO],"Material",tabLimpGeral[VALOR UNITÁRIO P/ HORA (R$)])*220,
IF(ISNUMBER(SEARCH("AUXILIAR DE LIMPEZA - 12 x 36",tabParametros[[#This Row],[Função]],1)),
SUMIF(tabLimpGeral[TIPO],"Material",tabLimpGeral[VALOR UNITÁRIO P/ HORA (R$)])*220,
IF(ISNUMBER(SEARCH("Limpador de vidros - 220 h",tabParametros[[#This Row],[Função]],1)),
SUMIF(tabVidros[TIPO],"Material",tabVidros[VALOR UNITÁRIO P/ POSTO (R$)]),
0))))))</f>
        <v>24.216963380852651</v>
      </c>
      <c r="AZ110" s="281">
        <f>IF(ISNUMBER(SEARCH("AUXILIAR DE LIMPEZA - 75 H",tabParametros[[#This Row],[Função]],1)),
SUMIF(tabLimpGeral[TIPO],"Equipamento",tabLimpGeral[VALOR UNITÁRIO P/ HORA (R$)])*75,
IF(ISNUMBER(SEARCH("AUXILIAR DE LIMPEZA - 110 H",tabParametros[[#This Row],[Função]],1)),
SUMIF(tabLimpGeral[TIPO],"Equipamento",tabLimpGeral[VALOR UNITÁRIO P/ HORA (R$)])*110,
IF(ISNUMBER(SEARCH("AUXILIAR DE LIMPEZA - 150 H",tabParametros[[#This Row],[Função]],1)),
SUMIF(tabLimpGeral[TIPO],"Equipamento",tabLimpGeral[VALOR UNITÁRIO P/ HORA (R$)])*150,
IF(ISNUMBER(SEARCH("AUXILIAR DE LIMPEZA - 220 H",tabParametros[[#This Row],[Função]],1)),
SUMIF(tabLimpGeral[TIPO],"Equipamento",tabLimpGeral[VALOR UNITÁRIO P/ HORA (R$)])*220,
IF(ISNUMBER(SEARCH("AUXILIAR DE LIMPEZA - 12 x 36",tabParametros[[#This Row],[Função]],1)),
SUMIF(tabLimpGeral[TIPO],"Equipamento",tabLimpGeral[VALOR UNITÁRIO P/ HORA (R$)])*220,
IF(ISNUMBER(SEARCH("Limpador de vidros - 220 h",tabParametros[[#This Row],[Função]],1)),
SUMIF(tabVidros[TIPO],"Equipamento",tabVidros[VALOR UNITÁRIO P/ POSTO (R$)]),
0))))))</f>
        <v>43.997314032835618</v>
      </c>
      <c r="BA110" s="281">
        <f>IF(ISNUMBER(SEARCH("AUXILIAR DE LIMPEZA - 75 H",tabParametros[[#This Row],[Função]],1)),
SUMIF(tabLimpGeral[TIPO],"Produto",tabLimpGeral[VALOR UNITÁRIO P/ HORA (R$)])*75,
IF(ISNUMBER(SEARCH("AUXILIAR DE LIMPEZA - 110 H",tabParametros[[#This Row],[Função]],1)),
SUMIF(tabLimpGeral[TIPO],"Produto",tabLimpGeral[VALOR UNITÁRIO P/ HORA (R$)])*110,
IF(ISNUMBER(SEARCH("AUXILIAR DE LIMPEZA - 150 H",tabParametros[[#This Row],[Função]],1)),
SUMIF(tabLimpGeral[TIPO],"Produto",tabLimpGeral[VALOR UNITÁRIO P/ HORA (R$)])*150,
IF(ISNUMBER(SEARCH("AUXILIAR DE LIMPEZA - 220 H",tabParametros[[#This Row],[Função]],1)),
SUMIF(tabLimpGeral[TIPO],"Produto",tabLimpGeral[VALOR UNITÁRIO P/ HORA (R$)])*220,
IF(ISNUMBER(SEARCH("AUXILIAR DE LIMPEZA - 12 x 36",tabParametros[[#This Row],[Função]],1)),
SUMIF(tabLimpGeral[TIPO],"Produto",tabLimpGeral[VALOR UNITÁRIO P/ HORA (R$)])*220,
IF(ISNUMBER(SEARCH("Limpador de vidros - 220 h",tabParametros[[#This Row],[Função]],1)),
SUMIF(tabVidros[TIPO],"Produto",tabVidros[VALOR UNITÁRIO P/ POSTO (R$)]),
0))))))</f>
        <v>470.6396814404431</v>
      </c>
      <c r="BB110" s="281">
        <v>0</v>
      </c>
      <c r="BC110" s="236">
        <f>VLOOKUP(tabParametros[[#Headers],[Custos Indiretos]],tabOutrosCustos[],3,0)</f>
        <v>189.64880140242613</v>
      </c>
      <c r="BD110" s="236">
        <f>VLOOKUP(tabParametros[[#Headers],[Lucro]],tabOutrosCustos[],3,0)</f>
        <v>159.30499317803796</v>
      </c>
      <c r="BE110" s="235">
        <f>VLOOKUP(tabParametros[[#Headers],[COFINS]],tabImpostosNacionais[],2,0)</f>
        <v>7.5999999999999998E-2</v>
      </c>
      <c r="BF110" s="235">
        <f>VLOOKUP(tabParametros[[#Headers],[PIS]],tabImpostosNacionais[],2,0)</f>
        <v>1.6500000000000001E-2</v>
      </c>
      <c r="BG110" s="235">
        <f>VLOOKUP(tabParametros[[#This Row],[Comarca]],tabComarca[],4,0)</f>
        <v>0.02</v>
      </c>
      <c r="BH110" s="238">
        <f>IFERROR(VLOOKUP(tabParametros[[#This Row],[CCT DA CATEGORIA]],tabSindicatos[],11,0),"")</f>
        <v>45658</v>
      </c>
      <c r="BI110" s="289" t="str">
        <f>IFERROR(VLOOKUP(tabParametros[[#This Row],[CCT DA CATEGORIA]],tabSindicatos[],12,0),"")</f>
        <v>-</v>
      </c>
      <c r="BJ110" s="293" t="str">
        <f>IFERROR(VLOOKUP(tabParametros[[#This Row],[CCT DA CATEGORIA]],tabSindicatos[],13,0),"")</f>
        <v>-</v>
      </c>
    </row>
    <row r="111" spans="1:62" x14ac:dyDescent="0.25">
      <c r="A111" s="233" t="s">
        <v>1450</v>
      </c>
      <c r="B111" s="198" t="s">
        <v>103</v>
      </c>
      <c r="C111" s="198" t="s">
        <v>1244</v>
      </c>
      <c r="D111" s="198" t="str">
        <f>VLOOKUP(tabParametros[[#This Row],[Código do Posto]],tabPostos[],4,0)</f>
        <v>Seethur</v>
      </c>
      <c r="E111" s="289" t="str">
        <f>VLOOKUP(tabParametros[[#This Row],[Código do Posto]],tabPostos[],5,0)</f>
        <v>Limpeza</v>
      </c>
      <c r="F111" s="289" t="str">
        <f>VLOOKUP(tabParametros[[#This Row],[Código do Posto]],tabPostos[],6,0)</f>
        <v>PGJ</v>
      </c>
      <c r="G111" s="289">
        <f>VLOOKUP(tabParametros[[#This Row],[Código do Posto]],tabPostos[],7,0)</f>
        <v>1</v>
      </c>
      <c r="H111" s="289">
        <f>VLOOKUP(tabParametros[[#This Row],[Código do Posto]],tabPostos[],8,0)</f>
        <v>0</v>
      </c>
      <c r="I111" s="234">
        <f>VLOOKUP(tabParametros[[#This Row],[Código do Posto]],tabPostos[],9,0)</f>
        <v>798.14</v>
      </c>
      <c r="J111" s="234">
        <f>IF(ISNUMBER(SEARCH("Eletricista",tabParametros[[#This Row],[Função]],1)),0.3*tabParametros[[#This Row],[Salário Base]],0)</f>
        <v>0</v>
      </c>
      <c r="K111" s="234">
        <f>IF(OR(ISNUMBER(SEARCH("Bombeiro Hidraulico",tabParametros[[#This Row],[Função]],1)),ISNUMBER(SEARCH("Jardineiro",tabParametros[[#This Row],[Função]],1)),ISNUMBER(SEARCH("Lavador de Veiculos",tabParametros[[#This Row],[Função]],1)),ISNUMBER(SEARCH("Marceneiro",tabParametros[[#This Row],[Função]],1)),ISNUMBER(SEARCH("Pintor",tabParametros[[#This Row],[Função]],1))),0.2*'BASE GERAL'!$R$4,0)</f>
        <v>0</v>
      </c>
      <c r="L111" s="234">
        <f>IF(AND(ISNUMBER(SEARCH("Noturno",tabParametros[[#This Row],[Função]],1)),tabParametros[[#This Row],[Comarca]]&lt;&gt;"Juiz de Fora"),tabParametros[[#This Row],[Salário Base]]/210*0.39*7*15.5,IF(ISNUMBER(SEARCH("Noturno",tabParametros[[#This Row],[Função]],1)),tabParametros[[#This Row],[Salário Base]]/210*0.2*8*15.5,0))</f>
        <v>0</v>
      </c>
      <c r="M111" s="234">
        <f>IF(ISNUMBER(SEARCH("Motorista II",tabParametros[[#This Row],[Função]],1)),0.25*tabParametros[[#This Row],[Salário Base]],0)</f>
        <v>0</v>
      </c>
      <c r="N111" s="250">
        <v>0</v>
      </c>
      <c r="O111" s="234">
        <f>IF(ISNUMBER(SEARCH("TECNOLOGIA DA INFORMACAO",tabParametros[[#This Row],[Função]],1)),0.0201*tabParametros[[#This Row],[Salário Base]],0)</f>
        <v>0</v>
      </c>
      <c r="P111" s="250" cm="1">
        <f t="array" ref="P111">_xlfn.IFS(
ISNUMBER(SEARCH("Auxiliar de Limpeza - 75 h",tabParametros[[#This Row],[Função]],1)),tabParametros[[#This Row],[Salário Base]]/75*0.75*30*0.12,
ISNUMBER(SEARCH("Auxiliar de Limpeza - 110 h",tabParametros[[#This Row],[Função]],1)),tabParametros[[#This Row],[Salário Base]]/110*1*30*0.12,
ISNUMBER(SEARCH("Auxiliar de Limpeza - 150 h",tabParametros[[#This Row],[Função]],1)),tabParametros[[#This Row],[Salário Base]]/150*1.5*30*0.12,
ISNUMBER(SEARCH("Auxiliar de Limpeza - 220 h",tabParametros[[#This Row],[Função]],1)),tabParametros[[#This Row],[Salário Base]]/220*2*30*0.12,
ISNUMBER(SEARCH("Auxiliar de Limpeza - 12 x 36",tabParametros[[#This Row],[Função]],1)),tabParametros[[#This Row],[Salário Base]]/220*2*30*0.12,
ISNUMBER(SEARCH("Auxiliar de Limpeza - 55 h",tabParametros[[#This Row],[Função]],1))=FALSE,0)</f>
        <v>26.120945454545453</v>
      </c>
      <c r="Q111" s="235">
        <f>VLOOKUP(tabParametros[[#Headers],[INSS]],tabImpostosNacionais[],2,0)</f>
        <v>0.2</v>
      </c>
      <c r="R111" s="235">
        <f>VLOOKUP(tabParametros[[#Headers],[SESI OU SESC]],tabImpostosNacionais[],2,0)</f>
        <v>1.4999999999999999E-2</v>
      </c>
      <c r="S111" s="235">
        <f>VLOOKUP(tabParametros[[#Headers],[SENAI OU SENAC]],tabImpostosNacionais[],2,0)</f>
        <v>0.01</v>
      </c>
      <c r="T111" s="235">
        <f>VLOOKUP(tabParametros[[#Headers],[INCRA]],tabImpostosNacionais[],2,0)</f>
        <v>2E-3</v>
      </c>
      <c r="U111" s="235">
        <f>VLOOKUP(tabParametros[[#Headers],[Salário Educação]],tabImpostosNacionais[],2,0)</f>
        <v>2.5000000000000001E-2</v>
      </c>
      <c r="V111" s="235">
        <f>VLOOKUP(tabParametros[[#Headers],[FGTS]],tabImpostosNacionais[],2,0)</f>
        <v>0.08</v>
      </c>
      <c r="W111" s="235">
        <f>VLOOKUP(tabParametros[[#Headers],[RAT Ajustado]],tabImpostosNacionais[],2,0)</f>
        <v>0.04</v>
      </c>
      <c r="X111" s="235">
        <f>VLOOKUP(tabParametros[[#Headers],[SEBRAE]],tabImpostosNacionais[],2,0)</f>
        <v>6.0000000000000001E-3</v>
      </c>
      <c r="Y111" s="235">
        <f t="shared" si="11"/>
        <v>8.3333333333333329E-2</v>
      </c>
      <c r="Z111" s="251">
        <f t="shared" si="12"/>
        <v>0.1111111111111111</v>
      </c>
      <c r="AA111" s="234">
        <f>VLOOKUP(tabParametros[[#This Row],[Comarca]],tabComarca[],5,0)</f>
        <v>6.4</v>
      </c>
      <c r="AB111" s="234">
        <f>IFERROR(VLOOKUP(tabParametros[[#This Row],[CCT DA CATEGORIA]],tabSindicatos[],6,0),0)</f>
        <v>29.15</v>
      </c>
      <c r="AC111" s="234">
        <f>IFERROR(VLOOKUP(tabParametros[[#This Row],[CCT DA CATEGORIA]],tabSindicatos[],7,0),0)</f>
        <v>0</v>
      </c>
      <c r="AD111" s="234" cm="1">
        <f t="array" ref="AD111">_xlfn.LET(
_xlpm.COMARCA, TRIM(UPPER(SUBSTITUTE(SUBSTITUTE(SUBSTITUTE(SUBSTITUTE(SUBSTITUTE(SUBSTITUTE(SUBSTITUTE(SUBSTITUTE(SUBSTITUTE(SUBSTITUTE(SUBSTITUTE(SUBSTITUTE(SUBSTITUTE(SUBSTITUTE(SUBSTITUTE(SUBSTITUTE(SUBSTITUTE(SUBSTITUTE(SUBSTITUTE(SUBSTITUTE(SUBSTITUTE(SUBSTITUTE(SUBSTITUTE(SUBSTITUTE(SUBSTITUTE(SUBSTITUTE(tabParametros[[#This Row],[Comarca]],"á","a"),"ã","a"),"â","a"),"é","e"),"ê","e"),"í","i"),"ó","o"),"õ","o"),"ô","o"),"ú","u"),"ç","c"),"Á","a"),"Ã","a"),"Â","a"),"É","e"),"Ê","e"),"Í","i"),"Ó","o"),"Õ","o"),"Ô","o"),"Ú","u"),"Ç","c"),"/MG","")," e ",", ")," ",""),".",""))),
_xlpm.MATRIZ_COMARCA, TRIM(UPPER(SUBSTITUTE(SUBSTITUTE(SUBSTITUTE(SUBSTITUTE(SUBSTITUTE(SUBSTITUTE(SUBSTITUTE(SUBSTITUTE(SUBSTITUTE(SUBSTITUTE(SUBSTITUTE(SUBSTITUTE(SUBSTITUTE(SUBSTITUTE(SUBSTITUTE(SUBSTITUTE(SUBSTITUTE(SUBSTITUTE(SUBSTITUTE(SUBSTITUTE(SUBSTITUTE(SUBSTITUTE(SUBSTITUTE(SUBSTITUTE(SUBSTITUTE(SUBSTITUTE(tabSindicatos[COMARCAS PAF],"á","a"),"ã","a"),"â","a"),"é","e"),"ê","e"),"í","i"),"ó","o"),"õ","o"),"ô","o"),"ú","u"),"ç","c"),"Á","a"),"Ã","a"),"Â","a"),"É","e"),"Ê","e"),"Í","i"),"Ó","o"),"Õ","o"),"Ô","o"),"Ú","u"),"Ç","c"),"/MG","")," e ",", ")," ",""),".",""))),
IFERROR(IF(_xlfn.XLOOKUP(tabParametros[[#This Row],[CCT DA CATEGORIA]],tabSindicatos[SINDICATOS],tabSindicatos[COMARCAS PAF])="",
VLOOKUP(tabParametros[[#This Row],[CCT DA CATEGORIA]],tabSindicatos[],8,0),
IF(ISNUMBER(SEARCH(TRIM(_xlpm.COMARCA),_xlfn.XLOOKUP(tabParametros[[#This Row],[CCT DA CATEGORIA]],tabSindicatos[SINDICATOS],_xlpm.MATRIZ_COMARCA),1)),VLOOKUP(tabParametros[[#This Row],[CCT DA CATEGORIA]],tabSindicatos[],8,0),0)
),0)
)</f>
        <v>51.86</v>
      </c>
      <c r="AE111" s="234">
        <f>IFERROR(VLOOKUP(tabParametros[[#This Row],[CCT DA CATEGORIA]],tabSindicatos[],9,0),0)</f>
        <v>0</v>
      </c>
      <c r="AF111" s="234">
        <f>IFERROR(VLOOKUP(tabParametros[[#This Row],[CCT DA CATEGORIA]],tabSindicatos[],10,0),0)</f>
        <v>0</v>
      </c>
      <c r="AG111" s="236">
        <f>VLOOKUP(tabParametros[[#Headers],[Seguro de Vida]],tabOutrosCustos[],3,0)</f>
        <v>3.36</v>
      </c>
      <c r="AH111" s="236">
        <f>IF(ISNUMBER(SEARCH("MOTORISTA",tabParametros[[#This Row],[Função]],1)),VLOOKUP("MOTORISTAS",tabDiarias[],2,0),IF(tabParametros[[#This Row],[Comarca]]="Belo Horizonte",VLOOKUP("LIMPEZA",tabDiarias[],2,0),0))</f>
        <v>0</v>
      </c>
      <c r="AI111" s="235">
        <f t="shared" si="13"/>
        <v>7.011766975308642E-3</v>
      </c>
      <c r="AJ111" s="237">
        <f>tabParametros[[#This Row],[FGTS]]*tabParametros[[#This Row],[Aviso Prévio Indenizado (API) e Reflexo do Aviso Prévio Indenizado]]</f>
        <v>5.609413580246914E-4</v>
      </c>
      <c r="AK111" s="237">
        <f>tabParametros[[#This Row],[FGTS]]*tabParametros[[#This Row],[Aviso Prévio Indenizado (API) e Reflexo do Aviso Prévio Indenizado]]*40%</f>
        <v>2.2437654320987658E-4</v>
      </c>
      <c r="AL111" s="235">
        <f t="shared" si="14"/>
        <v>3.5000000000000005E-3</v>
      </c>
      <c r="AM111" s="235">
        <f>tabParametros[[#This Row],[Aviso Prévio Trabalhado - APT]]*SUM(tabParametros[[#This Row],[INSS]:[SEBRAE]])</f>
        <v>1.3230000000000004E-3</v>
      </c>
      <c r="AN111" s="235">
        <f t="shared" si="15"/>
        <v>3.0577777777777773E-2</v>
      </c>
      <c r="AO111" s="235">
        <f t="shared" si="16"/>
        <v>8.3333333333333339E-4</v>
      </c>
      <c r="AP111" s="235">
        <f t="shared" si="17"/>
        <v>8.4444444444444437E-3</v>
      </c>
      <c r="AQ111" s="235">
        <f t="shared" si="18"/>
        <v>2.0277777777777777E-3</v>
      </c>
      <c r="AR111" s="235">
        <f t="shared" si="19"/>
        <v>1.7083333333333333E-4</v>
      </c>
      <c r="AS111" s="235">
        <f t="shared" si="20"/>
        <v>2.0833333333333335E-4</v>
      </c>
      <c r="AT111" s="235">
        <f t="shared" si="21"/>
        <v>1.2962962962962963E-3</v>
      </c>
      <c r="AU111" s="237">
        <f>SUM(tabParametros[[#This Row],[Ausência por Doença]:[Férias, Adicional de Férias e 13º  com empregada em gozo de Licença Maternidade]])*SUM(tabParametros[[#This Row],[INSS]:[SEBRAE]])</f>
        <v>4.5918250000000008E-3</v>
      </c>
      <c r="AV111" s="234">
        <f>IF(tabParametros[[#This Row],[Função]]="Porteiro - 220 h",SUM(tabParametros[[#This Row],[Salário Base]:[Adicional de Acúmulo de função]])/220*20*1.5,IF(ISNUMBER(SEARCH("12 x 36",tabParametros[[#This Row],[Função]],1)),SUM(tabParametros[[#This Row],[Salário Base]:[Adicional de Acúmulo de função]])/210*15.5*1.5,0))</f>
        <v>0</v>
      </c>
      <c r="AW111" s="234">
        <f>IF(tabParametros[[#This Row],[Vagas contratadas]]&gt;0,(SUM(tabParametros[[#This Row],[Salário Base]:[Adicional de Acúmulo de função]])*30%+SUM(tabParametros[[#This Row],[Vale - Alimentação]:[Seguro de Vida]]))/tabParametros[[#This Row],[Vagas contratadas]]*tabParametros[[#This Row],[Vagas suspensas]],0)</f>
        <v>0</v>
      </c>
      <c r="AX111" s="234">
        <f>SUMIF(tabUniformes[Cargo],tabParametros[[#This Row],[Função]],tabUniformes[Valor unit. Mensal])</f>
        <v>62.806666666666665</v>
      </c>
      <c r="AY111" s="281">
        <f>IF(ISNUMBER(SEARCH("AUXILIAR DE LIMPEZA - 75 H",tabParametros[[#This Row],[Função]],1)),
SUMIF(tabLimpGeral[TIPO],"Material",tabLimpGeral[VALOR UNITÁRIO P/ HORA (R$)])*75,
IF(ISNUMBER(SEARCH("AUXILIAR DE LIMPEZA - 110 H",tabParametros[[#This Row],[Função]],1)),
SUMIF(tabLimpGeral[TIPO],"Material",tabLimpGeral[VALOR UNITÁRIO P/ HORA (R$)])*110,
IF(ISNUMBER(SEARCH("AUXILIAR DE LIMPEZA - 150 H",tabParametros[[#This Row],[Função]],1)),
SUMIF(tabLimpGeral[TIPO],"Material",tabLimpGeral[VALOR UNITÁRIO P/ HORA (R$)])*150,
IF(ISNUMBER(SEARCH("AUXILIAR DE LIMPEZA - 220 H",tabParametros[[#This Row],[Função]],1)),
SUMIF(tabLimpGeral[TIPO],"Material",tabLimpGeral[VALOR UNITÁRIO P/ HORA (R$)])*220,
IF(ISNUMBER(SEARCH("AUXILIAR DE LIMPEZA - 12 x 36",tabParametros[[#This Row],[Função]],1)),
SUMIF(tabLimpGeral[TIPO],"Material",tabLimpGeral[VALOR UNITÁRIO P/ HORA (R$)])*220,
IF(ISNUMBER(SEARCH("Limpador de vidros - 220 h",tabParametros[[#This Row],[Função]],1)),
SUMIF(tabVidros[TIPO],"Material",tabVidros[VALOR UNITÁRIO P/ POSTO (R$)]),
0))))))</f>
        <v>17.759106479291944</v>
      </c>
      <c r="AZ111" s="281">
        <f>IF(ISNUMBER(SEARCH("AUXILIAR DE LIMPEZA - 75 H",tabParametros[[#This Row],[Função]],1)),
SUMIF(tabLimpGeral[TIPO],"Equipamento",tabLimpGeral[VALOR UNITÁRIO P/ HORA (R$)])*75,
IF(ISNUMBER(SEARCH("AUXILIAR DE LIMPEZA - 110 H",tabParametros[[#This Row],[Função]],1)),
SUMIF(tabLimpGeral[TIPO],"Equipamento",tabLimpGeral[VALOR UNITÁRIO P/ HORA (R$)])*110,
IF(ISNUMBER(SEARCH("AUXILIAR DE LIMPEZA - 150 H",tabParametros[[#This Row],[Função]],1)),
SUMIF(tabLimpGeral[TIPO],"Equipamento",tabLimpGeral[VALOR UNITÁRIO P/ HORA (R$)])*150,
IF(ISNUMBER(SEARCH("AUXILIAR DE LIMPEZA - 220 H",tabParametros[[#This Row],[Função]],1)),
SUMIF(tabLimpGeral[TIPO],"Equipamento",tabLimpGeral[VALOR UNITÁRIO P/ HORA (R$)])*220,
IF(ISNUMBER(SEARCH("AUXILIAR DE LIMPEZA - 12 x 36",tabParametros[[#This Row],[Função]],1)),
SUMIF(tabLimpGeral[TIPO],"Equipamento",tabLimpGeral[VALOR UNITÁRIO P/ HORA (R$)])*220,
IF(ISNUMBER(SEARCH("Limpador de vidros - 220 h",tabParametros[[#This Row],[Função]],1)),
SUMIF(tabVidros[TIPO],"Equipamento",tabVidros[VALOR UNITÁRIO P/ POSTO (R$)]),
0))))))</f>
        <v>32.264696957412788</v>
      </c>
      <c r="BA111" s="281">
        <f>IF(ISNUMBER(SEARCH("AUXILIAR DE LIMPEZA - 75 H",tabParametros[[#This Row],[Função]],1)),
SUMIF(tabLimpGeral[TIPO],"Produto",tabLimpGeral[VALOR UNITÁRIO P/ HORA (R$)])*75,
IF(ISNUMBER(SEARCH("AUXILIAR DE LIMPEZA - 110 H",tabParametros[[#This Row],[Função]],1)),
SUMIF(tabLimpGeral[TIPO],"Produto",tabLimpGeral[VALOR UNITÁRIO P/ HORA (R$)])*110,
IF(ISNUMBER(SEARCH("AUXILIAR DE LIMPEZA - 150 H",tabParametros[[#This Row],[Função]],1)),
SUMIF(tabLimpGeral[TIPO],"Produto",tabLimpGeral[VALOR UNITÁRIO P/ HORA (R$)])*150,
IF(ISNUMBER(SEARCH("AUXILIAR DE LIMPEZA - 220 H",tabParametros[[#This Row],[Função]],1)),
SUMIF(tabLimpGeral[TIPO],"Produto",tabLimpGeral[VALOR UNITÁRIO P/ HORA (R$)])*220,
IF(ISNUMBER(SEARCH("AUXILIAR DE LIMPEZA - 12 x 36",tabParametros[[#This Row],[Função]],1)),
SUMIF(tabLimpGeral[TIPO],"Produto",tabLimpGeral[VALOR UNITÁRIO P/ HORA (R$)])*220,
IF(ISNUMBER(SEARCH("Limpador de vidros - 220 h",tabParametros[[#This Row],[Função]],1)),
SUMIF(tabVidros[TIPO],"Produto",tabVidros[VALOR UNITÁRIO P/ POSTO (R$)]),
0))))))</f>
        <v>345.13576638965827</v>
      </c>
      <c r="BB111" s="281">
        <v>0</v>
      </c>
      <c r="BC111" s="236">
        <f>VLOOKUP(tabParametros[[#Headers],[Custos Indiretos]],tabOutrosCustos[],3,0)</f>
        <v>189.64880140242613</v>
      </c>
      <c r="BD111" s="236">
        <f>VLOOKUP(tabParametros[[#Headers],[Lucro]],tabOutrosCustos[],3,0)</f>
        <v>159.30499317803796</v>
      </c>
      <c r="BE111" s="235">
        <f>VLOOKUP(tabParametros[[#Headers],[COFINS]],tabImpostosNacionais[],2,0)</f>
        <v>7.5999999999999998E-2</v>
      </c>
      <c r="BF111" s="235">
        <f>VLOOKUP(tabParametros[[#Headers],[PIS]],tabImpostosNacionais[],2,0)</f>
        <v>1.6500000000000001E-2</v>
      </c>
      <c r="BG111" s="235">
        <f>VLOOKUP(tabParametros[[#This Row],[Comarca]],tabComarca[],4,0)</f>
        <v>0.05</v>
      </c>
      <c r="BH111" s="238">
        <f>IFERROR(VLOOKUP(tabParametros[[#This Row],[CCT DA CATEGORIA]],tabSindicatos[],11,0),"")</f>
        <v>45658</v>
      </c>
      <c r="BI111" s="289" t="str">
        <f>IFERROR(VLOOKUP(tabParametros[[#This Row],[CCT DA CATEGORIA]],tabSindicatos[],12,0),"")</f>
        <v>-</v>
      </c>
      <c r="BJ111" s="293" t="str">
        <f>IFERROR(VLOOKUP(tabParametros[[#This Row],[CCT DA CATEGORIA]],tabSindicatos[],13,0),"")</f>
        <v>-</v>
      </c>
    </row>
    <row r="112" spans="1:62" x14ac:dyDescent="0.25">
      <c r="A112" s="233" t="s">
        <v>1451</v>
      </c>
      <c r="B112" s="198" t="s">
        <v>104</v>
      </c>
      <c r="C112" s="198" t="s">
        <v>1247</v>
      </c>
      <c r="D112" s="198" t="str">
        <f>VLOOKUP(tabParametros[[#This Row],[Código do Posto]],tabPostos[],4,0)</f>
        <v>Fethemg Interior</v>
      </c>
      <c r="E112" s="289" t="str">
        <f>VLOOKUP(tabParametros[[#This Row],[Código do Posto]],tabPostos[],5,0)</f>
        <v>Limpeza</v>
      </c>
      <c r="F112" s="289" t="str">
        <f>VLOOKUP(tabParametros[[#This Row],[Código do Posto]],tabPostos[],6,0)</f>
        <v>PGJ</v>
      </c>
      <c r="G112" s="289">
        <f>VLOOKUP(tabParametros[[#This Row],[Código do Posto]],tabPostos[],7,0)</f>
        <v>1</v>
      </c>
      <c r="H112" s="289">
        <f>VLOOKUP(tabParametros[[#This Row],[Código do Posto]],tabPostos[],8,0)</f>
        <v>0</v>
      </c>
      <c r="I112" s="234">
        <f>VLOOKUP(tabParametros[[#This Row],[Código do Posto]],tabPostos[],9,0)</f>
        <v>544.17999999999995</v>
      </c>
      <c r="J112" s="234">
        <f>IF(ISNUMBER(SEARCH("Eletricista",tabParametros[[#This Row],[Função]],1)),0.3*tabParametros[[#This Row],[Salário Base]],0)</f>
        <v>0</v>
      </c>
      <c r="K112" s="234">
        <f>IF(OR(ISNUMBER(SEARCH("Bombeiro Hidraulico",tabParametros[[#This Row],[Função]],1)),ISNUMBER(SEARCH("Jardineiro",tabParametros[[#This Row],[Função]],1)),ISNUMBER(SEARCH("Lavador de Veiculos",tabParametros[[#This Row],[Função]],1)),ISNUMBER(SEARCH("Marceneiro",tabParametros[[#This Row],[Função]],1)),ISNUMBER(SEARCH("Pintor",tabParametros[[#This Row],[Função]],1))),0.2*'BASE GERAL'!$R$4,0)</f>
        <v>0</v>
      </c>
      <c r="L112" s="234">
        <f>IF(AND(ISNUMBER(SEARCH("Noturno",tabParametros[[#This Row],[Função]],1)),tabParametros[[#This Row],[Comarca]]&lt;&gt;"Juiz de Fora"),tabParametros[[#This Row],[Salário Base]]/210*0.39*7*15.5,IF(ISNUMBER(SEARCH("Noturno",tabParametros[[#This Row],[Função]],1)),tabParametros[[#This Row],[Salário Base]]/210*0.2*8*15.5,0))</f>
        <v>0</v>
      </c>
      <c r="M112" s="234">
        <f>IF(ISNUMBER(SEARCH("Motorista II",tabParametros[[#This Row],[Função]],1)),0.25*tabParametros[[#This Row],[Salário Base]],0)</f>
        <v>0</v>
      </c>
      <c r="N112" s="250">
        <v>0</v>
      </c>
      <c r="O112" s="234">
        <f>IF(ISNUMBER(SEARCH("TECNOLOGIA DA INFORMACAO",tabParametros[[#This Row],[Função]],1)),0.0201*tabParametros[[#This Row],[Salário Base]],0)</f>
        <v>0</v>
      </c>
      <c r="P112" s="250" cm="1">
        <f t="array" ref="P112">_xlfn.IFS(
ISNUMBER(SEARCH("Auxiliar de Limpeza - 75 h",tabParametros[[#This Row],[Função]],1)),tabParametros[[#This Row],[Salário Base]]/75*0.75*30*0.12,
ISNUMBER(SEARCH("Auxiliar de Limpeza - 110 h",tabParametros[[#This Row],[Função]],1)),tabParametros[[#This Row],[Salário Base]]/110*1*30*0.12,
ISNUMBER(SEARCH("Auxiliar de Limpeza - 150 h",tabParametros[[#This Row],[Função]],1)),tabParametros[[#This Row],[Salário Base]]/150*1.5*30*0.12,
ISNUMBER(SEARCH("Auxiliar de Limpeza - 220 h",tabParametros[[#This Row],[Função]],1)),tabParametros[[#This Row],[Salário Base]]/220*2*30*0.12,
ISNUMBER(SEARCH("Auxiliar de Limpeza - 12 x 36",tabParametros[[#This Row],[Função]],1)),tabParametros[[#This Row],[Salário Base]]/220*2*30*0.12,
ISNUMBER(SEARCH("Auxiliar de Limpeza - 55 h",tabParametros[[#This Row],[Função]],1))=FALSE,0)</f>
        <v>19.590479999999999</v>
      </c>
      <c r="Q112" s="235">
        <f>VLOOKUP(tabParametros[[#Headers],[INSS]],tabImpostosNacionais[],2,0)</f>
        <v>0.2</v>
      </c>
      <c r="R112" s="235">
        <f>VLOOKUP(tabParametros[[#Headers],[SESI OU SESC]],tabImpostosNacionais[],2,0)</f>
        <v>1.4999999999999999E-2</v>
      </c>
      <c r="S112" s="235">
        <f>VLOOKUP(tabParametros[[#Headers],[SENAI OU SENAC]],tabImpostosNacionais[],2,0)</f>
        <v>0.01</v>
      </c>
      <c r="T112" s="235">
        <f>VLOOKUP(tabParametros[[#Headers],[INCRA]],tabImpostosNacionais[],2,0)</f>
        <v>2E-3</v>
      </c>
      <c r="U112" s="235">
        <f>VLOOKUP(tabParametros[[#Headers],[Salário Educação]],tabImpostosNacionais[],2,0)</f>
        <v>2.5000000000000001E-2</v>
      </c>
      <c r="V112" s="235">
        <f>VLOOKUP(tabParametros[[#Headers],[FGTS]],tabImpostosNacionais[],2,0)</f>
        <v>0.08</v>
      </c>
      <c r="W112" s="235">
        <f>VLOOKUP(tabParametros[[#Headers],[RAT Ajustado]],tabImpostosNacionais[],2,0)</f>
        <v>0.04</v>
      </c>
      <c r="X112" s="235">
        <f>VLOOKUP(tabParametros[[#Headers],[SEBRAE]],tabImpostosNacionais[],2,0)</f>
        <v>6.0000000000000001E-3</v>
      </c>
      <c r="Y112" s="235">
        <f t="shared" si="11"/>
        <v>8.3333333333333329E-2</v>
      </c>
      <c r="Z112" s="251">
        <f t="shared" si="12"/>
        <v>0.1111111111111111</v>
      </c>
      <c r="AA112" s="234">
        <f>VLOOKUP(tabParametros[[#This Row],[Comarca]],tabComarca[],5,0)</f>
        <v>6.4</v>
      </c>
      <c r="AB112" s="234">
        <f>IFERROR(VLOOKUP(tabParametros[[#This Row],[CCT DA CATEGORIA]],tabSindicatos[],6,0),0)</f>
        <v>29.15</v>
      </c>
      <c r="AC112" s="234">
        <f>IFERROR(VLOOKUP(tabParametros[[#This Row],[CCT DA CATEGORIA]],tabSindicatos[],7,0),0)</f>
        <v>0</v>
      </c>
      <c r="AD112" s="234" cm="1">
        <f t="array" ref="AD112">_xlfn.LET(
_xlpm.COMARCA, TRIM(UPPER(SUBSTITUTE(SUBSTITUTE(SUBSTITUTE(SUBSTITUTE(SUBSTITUTE(SUBSTITUTE(SUBSTITUTE(SUBSTITUTE(SUBSTITUTE(SUBSTITUTE(SUBSTITUTE(SUBSTITUTE(SUBSTITUTE(SUBSTITUTE(SUBSTITUTE(SUBSTITUTE(SUBSTITUTE(SUBSTITUTE(SUBSTITUTE(SUBSTITUTE(SUBSTITUTE(SUBSTITUTE(SUBSTITUTE(SUBSTITUTE(SUBSTITUTE(SUBSTITUTE(tabParametros[[#This Row],[Comarca]],"á","a"),"ã","a"),"â","a"),"é","e"),"ê","e"),"í","i"),"ó","o"),"õ","o"),"ô","o"),"ú","u"),"ç","c"),"Á","a"),"Ã","a"),"Â","a"),"É","e"),"Ê","e"),"Í","i"),"Ó","o"),"Õ","o"),"Ô","o"),"Ú","u"),"Ç","c"),"/MG","")," e ",", ")," ",""),".",""))),
_xlpm.MATRIZ_COMARCA, TRIM(UPPER(SUBSTITUTE(SUBSTITUTE(SUBSTITUTE(SUBSTITUTE(SUBSTITUTE(SUBSTITUTE(SUBSTITUTE(SUBSTITUTE(SUBSTITUTE(SUBSTITUTE(SUBSTITUTE(SUBSTITUTE(SUBSTITUTE(SUBSTITUTE(SUBSTITUTE(SUBSTITUTE(SUBSTITUTE(SUBSTITUTE(SUBSTITUTE(SUBSTITUTE(SUBSTITUTE(SUBSTITUTE(SUBSTITUTE(SUBSTITUTE(SUBSTITUTE(SUBSTITUTE(tabSindicatos[COMARCAS PAF],"á","a"),"ã","a"),"â","a"),"é","e"),"ê","e"),"í","i"),"ó","o"),"õ","o"),"ô","o"),"ú","u"),"ç","c"),"Á","a"),"Ã","a"),"Â","a"),"É","e"),"Ê","e"),"Í","i"),"Ó","o"),"Õ","o"),"Ô","o"),"Ú","u"),"Ç","c"),"/MG","")," e ",", ")," ",""),".",""))),
IFERROR(IF(_xlfn.XLOOKUP(tabParametros[[#This Row],[CCT DA CATEGORIA]],tabSindicatos[SINDICATOS],tabSindicatos[COMARCAS PAF])="",
VLOOKUP(tabParametros[[#This Row],[CCT DA CATEGORIA]],tabSindicatos[],8,0),
IF(ISNUMBER(SEARCH(TRIM(_xlpm.COMARCA),_xlfn.XLOOKUP(tabParametros[[#This Row],[CCT DA CATEGORIA]],tabSindicatos[SINDICATOS],_xlpm.MATRIZ_COMARCA),1)),VLOOKUP(tabParametros[[#This Row],[CCT DA CATEGORIA]],tabSindicatos[],8,0),0)
),0)
)</f>
        <v>0</v>
      </c>
      <c r="AE112" s="234">
        <f>IFERROR(VLOOKUP(tabParametros[[#This Row],[CCT DA CATEGORIA]],tabSindicatos[],9,0),0)</f>
        <v>15.07</v>
      </c>
      <c r="AF112" s="234">
        <f>IFERROR(VLOOKUP(tabParametros[[#This Row],[CCT DA CATEGORIA]],tabSindicatos[],10,0),0)</f>
        <v>0</v>
      </c>
      <c r="AG112" s="236">
        <f>VLOOKUP(tabParametros[[#Headers],[Seguro de Vida]],tabOutrosCustos[],3,0)</f>
        <v>3.36</v>
      </c>
      <c r="AH112" s="236">
        <f>IF(ISNUMBER(SEARCH("MOTORISTA",tabParametros[[#This Row],[Função]],1)),VLOOKUP("MOTORISTAS",tabDiarias[],2,0),IF(tabParametros[[#This Row],[Comarca]]="Belo Horizonte",VLOOKUP("LIMPEZA",tabDiarias[],2,0),0))</f>
        <v>0</v>
      </c>
      <c r="AI112" s="235">
        <f t="shared" si="13"/>
        <v>7.011766975308642E-3</v>
      </c>
      <c r="AJ112" s="237">
        <f>tabParametros[[#This Row],[FGTS]]*tabParametros[[#This Row],[Aviso Prévio Indenizado (API) e Reflexo do Aviso Prévio Indenizado]]</f>
        <v>5.609413580246914E-4</v>
      </c>
      <c r="AK112" s="237">
        <f>tabParametros[[#This Row],[FGTS]]*tabParametros[[#This Row],[Aviso Prévio Indenizado (API) e Reflexo do Aviso Prévio Indenizado]]*40%</f>
        <v>2.2437654320987658E-4</v>
      </c>
      <c r="AL112" s="235">
        <f t="shared" si="14"/>
        <v>3.5000000000000005E-3</v>
      </c>
      <c r="AM112" s="235">
        <f>tabParametros[[#This Row],[Aviso Prévio Trabalhado - APT]]*SUM(tabParametros[[#This Row],[INSS]:[SEBRAE]])</f>
        <v>1.3230000000000004E-3</v>
      </c>
      <c r="AN112" s="235">
        <f t="shared" si="15"/>
        <v>3.0577777777777773E-2</v>
      </c>
      <c r="AO112" s="235">
        <f t="shared" si="16"/>
        <v>8.3333333333333339E-4</v>
      </c>
      <c r="AP112" s="235">
        <f t="shared" si="17"/>
        <v>8.4444444444444437E-3</v>
      </c>
      <c r="AQ112" s="235">
        <f t="shared" si="18"/>
        <v>2.0277777777777777E-3</v>
      </c>
      <c r="AR112" s="235">
        <f t="shared" si="19"/>
        <v>1.7083333333333333E-4</v>
      </c>
      <c r="AS112" s="235">
        <f t="shared" si="20"/>
        <v>2.0833333333333335E-4</v>
      </c>
      <c r="AT112" s="235">
        <f t="shared" si="21"/>
        <v>1.2962962962962963E-3</v>
      </c>
      <c r="AU112" s="237">
        <f>SUM(tabParametros[[#This Row],[Ausência por Doença]:[Férias, Adicional de Férias e 13º  com empregada em gozo de Licença Maternidade]])*SUM(tabParametros[[#This Row],[INSS]:[SEBRAE]])</f>
        <v>4.5918250000000008E-3</v>
      </c>
      <c r="AV112" s="234">
        <f>IF(tabParametros[[#This Row],[Função]]="Porteiro - 220 h",SUM(tabParametros[[#This Row],[Salário Base]:[Adicional de Acúmulo de função]])/220*20*1.5,IF(ISNUMBER(SEARCH("12 x 36",tabParametros[[#This Row],[Função]],1)),SUM(tabParametros[[#This Row],[Salário Base]:[Adicional de Acúmulo de função]])/210*15.5*1.5,0))</f>
        <v>0</v>
      </c>
      <c r="AW112" s="234">
        <f>IF(tabParametros[[#This Row],[Vagas contratadas]]&gt;0,(SUM(tabParametros[[#This Row],[Salário Base]:[Adicional de Acúmulo de função]])*30%+SUM(tabParametros[[#This Row],[Vale - Alimentação]:[Seguro de Vida]]))/tabParametros[[#This Row],[Vagas contratadas]]*tabParametros[[#This Row],[Vagas suspensas]],0)</f>
        <v>0</v>
      </c>
      <c r="AX112" s="234">
        <f>SUMIF(tabUniformes[Cargo],tabParametros[[#This Row],[Função]],tabUniformes[Valor unit. Mensal])</f>
        <v>62.806666666666665</v>
      </c>
      <c r="AY112" s="281">
        <f>IF(ISNUMBER(SEARCH("AUXILIAR DE LIMPEZA - 75 H",tabParametros[[#This Row],[Função]],1)),
SUMIF(tabLimpGeral[TIPO],"Material",tabLimpGeral[VALOR UNITÁRIO P/ HORA (R$)])*75,
IF(ISNUMBER(SEARCH("AUXILIAR DE LIMPEZA - 110 H",tabParametros[[#This Row],[Função]],1)),
SUMIF(tabLimpGeral[TIPO],"Material",tabLimpGeral[VALOR UNITÁRIO P/ HORA (R$)])*110,
IF(ISNUMBER(SEARCH("AUXILIAR DE LIMPEZA - 150 H",tabParametros[[#This Row],[Função]],1)),
SUMIF(tabLimpGeral[TIPO],"Material",tabLimpGeral[VALOR UNITÁRIO P/ HORA (R$)])*150,
IF(ISNUMBER(SEARCH("AUXILIAR DE LIMPEZA - 220 H",tabParametros[[#This Row],[Função]],1)),
SUMIF(tabLimpGeral[TIPO],"Material",tabLimpGeral[VALOR UNITÁRIO P/ HORA (R$)])*220,
IF(ISNUMBER(SEARCH("AUXILIAR DE LIMPEZA - 12 x 36",tabParametros[[#This Row],[Função]],1)),
SUMIF(tabLimpGeral[TIPO],"Material",tabLimpGeral[VALOR UNITÁRIO P/ HORA (R$)])*220,
IF(ISNUMBER(SEARCH("Limpador de vidros - 220 h",tabParametros[[#This Row],[Função]],1)),
SUMIF(tabVidros[TIPO],"Material",tabVidros[VALOR UNITÁRIO P/ POSTO (R$)]),
0))))))</f>
        <v>12.108481690426325</v>
      </c>
      <c r="AZ112" s="281">
        <f>IF(ISNUMBER(SEARCH("AUXILIAR DE LIMPEZA - 75 H",tabParametros[[#This Row],[Função]],1)),
SUMIF(tabLimpGeral[TIPO],"Equipamento",tabLimpGeral[VALOR UNITÁRIO P/ HORA (R$)])*75,
IF(ISNUMBER(SEARCH("AUXILIAR DE LIMPEZA - 110 H",tabParametros[[#This Row],[Função]],1)),
SUMIF(tabLimpGeral[TIPO],"Equipamento",tabLimpGeral[VALOR UNITÁRIO P/ HORA (R$)])*110,
IF(ISNUMBER(SEARCH("AUXILIAR DE LIMPEZA - 150 H",tabParametros[[#This Row],[Função]],1)),
SUMIF(tabLimpGeral[TIPO],"Equipamento",tabLimpGeral[VALOR UNITÁRIO P/ HORA (R$)])*150,
IF(ISNUMBER(SEARCH("AUXILIAR DE LIMPEZA - 220 H",tabParametros[[#This Row],[Função]],1)),
SUMIF(tabLimpGeral[TIPO],"Equipamento",tabLimpGeral[VALOR UNITÁRIO P/ HORA (R$)])*220,
IF(ISNUMBER(SEARCH("AUXILIAR DE LIMPEZA - 12 x 36",tabParametros[[#This Row],[Função]],1)),
SUMIF(tabLimpGeral[TIPO],"Equipamento",tabLimpGeral[VALOR UNITÁRIO P/ HORA (R$)])*220,
IF(ISNUMBER(SEARCH("Limpador de vidros - 220 h",tabParametros[[#This Row],[Função]],1)),
SUMIF(tabVidros[TIPO],"Equipamento",tabVidros[VALOR UNITÁRIO P/ POSTO (R$)]),
0))))))</f>
        <v>21.998657016417809</v>
      </c>
      <c r="BA112" s="281">
        <f>IF(ISNUMBER(SEARCH("AUXILIAR DE LIMPEZA - 75 H",tabParametros[[#This Row],[Função]],1)),
SUMIF(tabLimpGeral[TIPO],"Produto",tabLimpGeral[VALOR UNITÁRIO P/ HORA (R$)])*75,
IF(ISNUMBER(SEARCH("AUXILIAR DE LIMPEZA - 110 H",tabParametros[[#This Row],[Função]],1)),
SUMIF(tabLimpGeral[TIPO],"Produto",tabLimpGeral[VALOR UNITÁRIO P/ HORA (R$)])*110,
IF(ISNUMBER(SEARCH("AUXILIAR DE LIMPEZA - 150 H",tabParametros[[#This Row],[Função]],1)),
SUMIF(tabLimpGeral[TIPO],"Produto",tabLimpGeral[VALOR UNITÁRIO P/ HORA (R$)])*150,
IF(ISNUMBER(SEARCH("AUXILIAR DE LIMPEZA - 220 H",tabParametros[[#This Row],[Função]],1)),
SUMIF(tabLimpGeral[TIPO],"Produto",tabLimpGeral[VALOR UNITÁRIO P/ HORA (R$)])*220,
IF(ISNUMBER(SEARCH("AUXILIAR DE LIMPEZA - 12 x 36",tabParametros[[#This Row],[Função]],1)),
SUMIF(tabLimpGeral[TIPO],"Produto",tabLimpGeral[VALOR UNITÁRIO P/ HORA (R$)])*220,
IF(ISNUMBER(SEARCH("Limpador de vidros - 220 h",tabParametros[[#This Row],[Função]],1)),
SUMIF(tabVidros[TIPO],"Produto",tabVidros[VALOR UNITÁRIO P/ POSTO (R$)]),
0))))))</f>
        <v>235.31984072022155</v>
      </c>
      <c r="BB112" s="281">
        <v>0</v>
      </c>
      <c r="BC112" s="236">
        <f>VLOOKUP(tabParametros[[#Headers],[Custos Indiretos]],tabOutrosCustos[],3,0)</f>
        <v>189.64880140242613</v>
      </c>
      <c r="BD112" s="236">
        <f>VLOOKUP(tabParametros[[#Headers],[Lucro]],tabOutrosCustos[],3,0)</f>
        <v>159.30499317803796</v>
      </c>
      <c r="BE112" s="235">
        <f>VLOOKUP(tabParametros[[#Headers],[COFINS]],tabImpostosNacionais[],2,0)</f>
        <v>7.5999999999999998E-2</v>
      </c>
      <c r="BF112" s="235">
        <f>VLOOKUP(tabParametros[[#Headers],[PIS]],tabImpostosNacionais[],2,0)</f>
        <v>1.6500000000000001E-2</v>
      </c>
      <c r="BG112" s="235">
        <f>VLOOKUP(tabParametros[[#This Row],[Comarca]],tabComarca[],4,0)</f>
        <v>0.05</v>
      </c>
      <c r="BH112" s="238">
        <f>IFERROR(VLOOKUP(tabParametros[[#This Row],[CCT DA CATEGORIA]],tabSindicatos[],11,0),"")</f>
        <v>45658</v>
      </c>
      <c r="BI112" s="289" t="str">
        <f>IFERROR(VLOOKUP(tabParametros[[#This Row],[CCT DA CATEGORIA]],tabSindicatos[],12,0),"")</f>
        <v>-</v>
      </c>
      <c r="BJ112" s="293" t="str">
        <f>IFERROR(VLOOKUP(tabParametros[[#This Row],[CCT DA CATEGORIA]],tabSindicatos[],13,0),"")</f>
        <v>-</v>
      </c>
    </row>
    <row r="113" spans="1:62" x14ac:dyDescent="0.25">
      <c r="A113" s="233" t="s">
        <v>1090</v>
      </c>
      <c r="B113" s="198" t="s">
        <v>105</v>
      </c>
      <c r="C113" s="198" t="s">
        <v>1244</v>
      </c>
      <c r="D113" s="198" t="str">
        <f>VLOOKUP(tabParametros[[#This Row],[Código do Posto]],tabPostos[],4,0)</f>
        <v>SECI</v>
      </c>
      <c r="E113" s="289" t="str">
        <f>VLOOKUP(tabParametros[[#This Row],[Código do Posto]],tabPostos[],5,0)</f>
        <v>Limpeza</v>
      </c>
      <c r="F113" s="289" t="str">
        <f>VLOOKUP(tabParametros[[#This Row],[Código do Posto]],tabPostos[],6,0)</f>
        <v>PGJ</v>
      </c>
      <c r="G113" s="289">
        <f>VLOOKUP(tabParametros[[#This Row],[Código do Posto]],tabPostos[],7,0)</f>
        <v>1</v>
      </c>
      <c r="H113" s="289">
        <f>VLOOKUP(tabParametros[[#This Row],[Código do Posto]],tabPostos[],8,0)</f>
        <v>0</v>
      </c>
      <c r="I113" s="234">
        <f>VLOOKUP(tabParametros[[#This Row],[Código do Posto]],tabPostos[],9,0)</f>
        <v>824.56</v>
      </c>
      <c r="J113" s="234">
        <f>IF(ISNUMBER(SEARCH("Eletricista",tabParametros[[#This Row],[Função]],1)),0.3*tabParametros[[#This Row],[Salário Base]],0)</f>
        <v>0</v>
      </c>
      <c r="K113" s="234">
        <f>IF(OR(ISNUMBER(SEARCH("Bombeiro Hidraulico",tabParametros[[#This Row],[Função]],1)),ISNUMBER(SEARCH("Jardineiro",tabParametros[[#This Row],[Função]],1)),ISNUMBER(SEARCH("Lavador de Veiculos",tabParametros[[#This Row],[Função]],1)),ISNUMBER(SEARCH("Marceneiro",tabParametros[[#This Row],[Função]],1)),ISNUMBER(SEARCH("Pintor",tabParametros[[#This Row],[Função]],1))),0.2*'BASE GERAL'!$R$4,0)</f>
        <v>0</v>
      </c>
      <c r="L113" s="234">
        <f>IF(AND(ISNUMBER(SEARCH("Noturno",tabParametros[[#This Row],[Função]],1)),tabParametros[[#This Row],[Comarca]]&lt;&gt;"Juiz de Fora"),tabParametros[[#This Row],[Salário Base]]/210*0.39*7*15.5,IF(ISNUMBER(SEARCH("Noturno",tabParametros[[#This Row],[Função]],1)),tabParametros[[#This Row],[Salário Base]]/210*0.2*8*15.5,0))</f>
        <v>0</v>
      </c>
      <c r="M113" s="234">
        <f>IF(ISNUMBER(SEARCH("Motorista II",tabParametros[[#This Row],[Função]],1)),0.25*tabParametros[[#This Row],[Salário Base]],0)</f>
        <v>0</v>
      </c>
      <c r="N113" s="250">
        <v>0</v>
      </c>
      <c r="O113" s="234">
        <f>IF(ISNUMBER(SEARCH("TECNOLOGIA DA INFORMACAO",tabParametros[[#This Row],[Função]],1)),0.0201*tabParametros[[#This Row],[Salário Base]],0)</f>
        <v>0</v>
      </c>
      <c r="P113" s="250" cm="1">
        <f t="array" ref="P113">_xlfn.IFS(
ISNUMBER(SEARCH("Auxiliar de Limpeza - 75 h",tabParametros[[#This Row],[Função]],1)),tabParametros[[#This Row],[Salário Base]]/75*0.75*30*0.12,
ISNUMBER(SEARCH("Auxiliar de Limpeza - 110 h",tabParametros[[#This Row],[Função]],1)),tabParametros[[#This Row],[Salário Base]]/110*1*30*0.12,
ISNUMBER(SEARCH("Auxiliar de Limpeza - 150 h",tabParametros[[#This Row],[Função]],1)),tabParametros[[#This Row],[Salário Base]]/150*1.5*30*0.12,
ISNUMBER(SEARCH("Auxiliar de Limpeza - 220 h",tabParametros[[#This Row],[Função]],1)),tabParametros[[#This Row],[Salário Base]]/220*2*30*0.12,
ISNUMBER(SEARCH("Auxiliar de Limpeza - 12 x 36",tabParametros[[#This Row],[Função]],1)),tabParametros[[#This Row],[Salário Base]]/220*2*30*0.12,
ISNUMBER(SEARCH("Auxiliar de Limpeza - 55 h",tabParametros[[#This Row],[Função]],1))=FALSE,0)</f>
        <v>26.985599999999998</v>
      </c>
      <c r="Q113" s="235">
        <f>VLOOKUP(tabParametros[[#Headers],[INSS]],tabImpostosNacionais[],2,0)</f>
        <v>0.2</v>
      </c>
      <c r="R113" s="235">
        <f>VLOOKUP(tabParametros[[#Headers],[SESI OU SESC]],tabImpostosNacionais[],2,0)</f>
        <v>1.4999999999999999E-2</v>
      </c>
      <c r="S113" s="235">
        <f>VLOOKUP(tabParametros[[#Headers],[SENAI OU SENAC]],tabImpostosNacionais[],2,0)</f>
        <v>0.01</v>
      </c>
      <c r="T113" s="235">
        <f>VLOOKUP(tabParametros[[#Headers],[INCRA]],tabImpostosNacionais[],2,0)</f>
        <v>2E-3</v>
      </c>
      <c r="U113" s="235">
        <f>VLOOKUP(tabParametros[[#Headers],[Salário Educação]],tabImpostosNacionais[],2,0)</f>
        <v>2.5000000000000001E-2</v>
      </c>
      <c r="V113" s="235">
        <f>VLOOKUP(tabParametros[[#Headers],[FGTS]],tabImpostosNacionais[],2,0)</f>
        <v>0.08</v>
      </c>
      <c r="W113" s="235">
        <f>VLOOKUP(tabParametros[[#Headers],[RAT Ajustado]],tabImpostosNacionais[],2,0)</f>
        <v>0.04</v>
      </c>
      <c r="X113" s="235">
        <f>VLOOKUP(tabParametros[[#Headers],[SEBRAE]],tabImpostosNacionais[],2,0)</f>
        <v>6.0000000000000001E-3</v>
      </c>
      <c r="Y113" s="235">
        <f t="shared" si="11"/>
        <v>8.3333333333333329E-2</v>
      </c>
      <c r="Z113" s="251">
        <f t="shared" si="12"/>
        <v>0.1111111111111111</v>
      </c>
      <c r="AA113" s="234">
        <f>VLOOKUP(tabParametros[[#This Row],[Comarca]],tabComarca[],5,0)</f>
        <v>6.4</v>
      </c>
      <c r="AB113" s="234">
        <f>IFERROR(VLOOKUP(tabParametros[[#This Row],[CCT DA CATEGORIA]],tabSindicatos[],6,0),0)</f>
        <v>29.15</v>
      </c>
      <c r="AC113" s="234">
        <f>IFERROR(VLOOKUP(tabParametros[[#This Row],[CCT DA CATEGORIA]],tabSindicatos[],7,0),0)</f>
        <v>0</v>
      </c>
      <c r="AD113" s="234" cm="1">
        <f t="array" ref="AD113">_xlfn.LET(
_xlpm.COMARCA, TRIM(UPPER(SUBSTITUTE(SUBSTITUTE(SUBSTITUTE(SUBSTITUTE(SUBSTITUTE(SUBSTITUTE(SUBSTITUTE(SUBSTITUTE(SUBSTITUTE(SUBSTITUTE(SUBSTITUTE(SUBSTITUTE(SUBSTITUTE(SUBSTITUTE(SUBSTITUTE(SUBSTITUTE(SUBSTITUTE(SUBSTITUTE(SUBSTITUTE(SUBSTITUTE(SUBSTITUTE(SUBSTITUTE(SUBSTITUTE(SUBSTITUTE(SUBSTITUTE(SUBSTITUTE(tabParametros[[#This Row],[Comarca]],"á","a"),"ã","a"),"â","a"),"é","e"),"ê","e"),"í","i"),"ó","o"),"õ","o"),"ô","o"),"ú","u"),"ç","c"),"Á","a"),"Ã","a"),"Â","a"),"É","e"),"Ê","e"),"Í","i"),"Ó","o"),"Õ","o"),"Ô","o"),"Ú","u"),"Ç","c"),"/MG","")," e ",", ")," ",""),".",""))),
_xlpm.MATRIZ_COMARCA, TRIM(UPPER(SUBSTITUTE(SUBSTITUTE(SUBSTITUTE(SUBSTITUTE(SUBSTITUTE(SUBSTITUTE(SUBSTITUTE(SUBSTITUTE(SUBSTITUTE(SUBSTITUTE(SUBSTITUTE(SUBSTITUTE(SUBSTITUTE(SUBSTITUTE(SUBSTITUTE(SUBSTITUTE(SUBSTITUTE(SUBSTITUTE(SUBSTITUTE(SUBSTITUTE(SUBSTITUTE(SUBSTITUTE(SUBSTITUTE(SUBSTITUTE(SUBSTITUTE(SUBSTITUTE(tabSindicatos[COMARCAS PAF],"á","a"),"ã","a"),"â","a"),"é","e"),"ê","e"),"í","i"),"ó","o"),"õ","o"),"ô","o"),"ú","u"),"ç","c"),"Á","a"),"Ã","a"),"Â","a"),"É","e"),"Ê","e"),"Í","i"),"Ó","o"),"Õ","o"),"Ô","o"),"Ú","u"),"Ç","c"),"/MG","")," e ",", ")," ",""),".",""))),
IFERROR(IF(_xlfn.XLOOKUP(tabParametros[[#This Row],[CCT DA CATEGORIA]],tabSindicatos[SINDICATOS],tabSindicatos[COMARCAS PAF])="",
VLOOKUP(tabParametros[[#This Row],[CCT DA CATEGORIA]],tabSindicatos[],8,0),
IF(ISNUMBER(SEARCH(TRIM(_xlpm.COMARCA),_xlfn.XLOOKUP(tabParametros[[#This Row],[CCT DA CATEGORIA]],tabSindicatos[SINDICATOS],_xlpm.MATRIZ_COMARCA),1)),VLOOKUP(tabParametros[[#This Row],[CCT DA CATEGORIA]],tabSindicatos[],8,0),0)
),0)
)</f>
        <v>51.86</v>
      </c>
      <c r="AE113" s="234">
        <f>IFERROR(VLOOKUP(tabParametros[[#This Row],[CCT DA CATEGORIA]],tabSindicatos[],9,0),0)</f>
        <v>0</v>
      </c>
      <c r="AF113" s="234">
        <f>IFERROR(VLOOKUP(tabParametros[[#This Row],[CCT DA CATEGORIA]],tabSindicatos[],10,0),0)</f>
        <v>0</v>
      </c>
      <c r="AG113" s="236">
        <f>VLOOKUP(tabParametros[[#Headers],[Seguro de Vida]],tabOutrosCustos[],3,0)</f>
        <v>3.36</v>
      </c>
      <c r="AH113" s="236">
        <f>IF(ISNUMBER(SEARCH("MOTORISTA",tabParametros[[#This Row],[Função]],1)),VLOOKUP("MOTORISTAS",tabDiarias[],2,0),IF(tabParametros[[#This Row],[Comarca]]="Belo Horizonte",VLOOKUP("LIMPEZA",tabDiarias[],2,0),0))</f>
        <v>0</v>
      </c>
      <c r="AI113" s="235">
        <f t="shared" si="13"/>
        <v>7.011766975308642E-3</v>
      </c>
      <c r="AJ113" s="237">
        <f>tabParametros[[#This Row],[FGTS]]*tabParametros[[#This Row],[Aviso Prévio Indenizado (API) e Reflexo do Aviso Prévio Indenizado]]</f>
        <v>5.609413580246914E-4</v>
      </c>
      <c r="AK113" s="237">
        <f>tabParametros[[#This Row],[FGTS]]*tabParametros[[#This Row],[Aviso Prévio Indenizado (API) e Reflexo do Aviso Prévio Indenizado]]*40%</f>
        <v>2.2437654320987658E-4</v>
      </c>
      <c r="AL113" s="235">
        <f t="shared" si="14"/>
        <v>3.5000000000000005E-3</v>
      </c>
      <c r="AM113" s="235">
        <f>tabParametros[[#This Row],[Aviso Prévio Trabalhado - APT]]*SUM(tabParametros[[#This Row],[INSS]:[SEBRAE]])</f>
        <v>1.3230000000000004E-3</v>
      </c>
      <c r="AN113" s="235">
        <f t="shared" si="15"/>
        <v>3.0577777777777773E-2</v>
      </c>
      <c r="AO113" s="235">
        <f t="shared" si="16"/>
        <v>8.3333333333333339E-4</v>
      </c>
      <c r="AP113" s="235">
        <f t="shared" si="17"/>
        <v>8.4444444444444437E-3</v>
      </c>
      <c r="AQ113" s="235">
        <f t="shared" si="18"/>
        <v>2.0277777777777777E-3</v>
      </c>
      <c r="AR113" s="235">
        <f t="shared" si="19"/>
        <v>1.7083333333333333E-4</v>
      </c>
      <c r="AS113" s="235">
        <f t="shared" si="20"/>
        <v>2.0833333333333335E-4</v>
      </c>
      <c r="AT113" s="235">
        <f t="shared" si="21"/>
        <v>1.2962962962962963E-3</v>
      </c>
      <c r="AU113" s="237">
        <f>SUM(tabParametros[[#This Row],[Ausência por Doença]:[Férias, Adicional de Férias e 13º  com empregada em gozo de Licença Maternidade]])*SUM(tabParametros[[#This Row],[INSS]:[SEBRAE]])</f>
        <v>4.5918250000000008E-3</v>
      </c>
      <c r="AV113" s="234">
        <f>IF(tabParametros[[#This Row],[Função]]="Porteiro - 220 h",SUM(tabParametros[[#This Row],[Salário Base]:[Adicional de Acúmulo de função]])/220*20*1.5,IF(ISNUMBER(SEARCH("12 x 36",tabParametros[[#This Row],[Função]],1)),SUM(tabParametros[[#This Row],[Salário Base]:[Adicional de Acúmulo de função]])/210*15.5*1.5,0))</f>
        <v>0</v>
      </c>
      <c r="AW113" s="234">
        <f>IF(tabParametros[[#This Row],[Vagas contratadas]]&gt;0,(SUM(tabParametros[[#This Row],[Salário Base]:[Adicional de Acúmulo de função]])*30%+SUM(tabParametros[[#This Row],[Vale - Alimentação]:[Seguro de Vida]]))/tabParametros[[#This Row],[Vagas contratadas]]*tabParametros[[#This Row],[Vagas suspensas]],0)</f>
        <v>0</v>
      </c>
      <c r="AX113" s="234">
        <f>SUMIF(tabUniformes[Cargo],tabParametros[[#This Row],[Função]],tabUniformes[Valor unit. Mensal])</f>
        <v>62.806666666666665</v>
      </c>
      <c r="AY113" s="281">
        <f>IF(ISNUMBER(SEARCH("AUXILIAR DE LIMPEZA - 75 H",tabParametros[[#This Row],[Função]],1)),
SUMIF(tabLimpGeral[TIPO],"Material",tabLimpGeral[VALOR UNITÁRIO P/ HORA (R$)])*75,
IF(ISNUMBER(SEARCH("AUXILIAR DE LIMPEZA - 110 H",tabParametros[[#This Row],[Função]],1)),
SUMIF(tabLimpGeral[TIPO],"Material",tabLimpGeral[VALOR UNITÁRIO P/ HORA (R$)])*110,
IF(ISNUMBER(SEARCH("AUXILIAR DE LIMPEZA - 150 H",tabParametros[[#This Row],[Função]],1)),
SUMIF(tabLimpGeral[TIPO],"Material",tabLimpGeral[VALOR UNITÁRIO P/ HORA (R$)])*150,
IF(ISNUMBER(SEARCH("AUXILIAR DE LIMPEZA - 220 H",tabParametros[[#This Row],[Função]],1)),
SUMIF(tabLimpGeral[TIPO],"Material",tabLimpGeral[VALOR UNITÁRIO P/ HORA (R$)])*220,
IF(ISNUMBER(SEARCH("AUXILIAR DE LIMPEZA - 12 x 36",tabParametros[[#This Row],[Função]],1)),
SUMIF(tabLimpGeral[TIPO],"Material",tabLimpGeral[VALOR UNITÁRIO P/ HORA (R$)])*220,
IF(ISNUMBER(SEARCH("Limpador de vidros - 220 h",tabParametros[[#This Row],[Função]],1)),
SUMIF(tabVidros[TIPO],"Material",tabVidros[VALOR UNITÁRIO P/ POSTO (R$)]),
0))))))</f>
        <v>17.759106479291944</v>
      </c>
      <c r="AZ113" s="281">
        <f>IF(ISNUMBER(SEARCH("AUXILIAR DE LIMPEZA - 75 H",tabParametros[[#This Row],[Função]],1)),
SUMIF(tabLimpGeral[TIPO],"Equipamento",tabLimpGeral[VALOR UNITÁRIO P/ HORA (R$)])*75,
IF(ISNUMBER(SEARCH("AUXILIAR DE LIMPEZA - 110 H",tabParametros[[#This Row],[Função]],1)),
SUMIF(tabLimpGeral[TIPO],"Equipamento",tabLimpGeral[VALOR UNITÁRIO P/ HORA (R$)])*110,
IF(ISNUMBER(SEARCH("AUXILIAR DE LIMPEZA - 150 H",tabParametros[[#This Row],[Função]],1)),
SUMIF(tabLimpGeral[TIPO],"Equipamento",tabLimpGeral[VALOR UNITÁRIO P/ HORA (R$)])*150,
IF(ISNUMBER(SEARCH("AUXILIAR DE LIMPEZA - 220 H",tabParametros[[#This Row],[Função]],1)),
SUMIF(tabLimpGeral[TIPO],"Equipamento",tabLimpGeral[VALOR UNITÁRIO P/ HORA (R$)])*220,
IF(ISNUMBER(SEARCH("AUXILIAR DE LIMPEZA - 12 x 36",tabParametros[[#This Row],[Função]],1)),
SUMIF(tabLimpGeral[TIPO],"Equipamento",tabLimpGeral[VALOR UNITÁRIO P/ HORA (R$)])*220,
IF(ISNUMBER(SEARCH("Limpador de vidros - 220 h",tabParametros[[#This Row],[Função]],1)),
SUMIF(tabVidros[TIPO],"Equipamento",tabVidros[VALOR UNITÁRIO P/ POSTO (R$)]),
0))))))</f>
        <v>32.264696957412788</v>
      </c>
      <c r="BA113" s="281">
        <f>IF(ISNUMBER(SEARCH("AUXILIAR DE LIMPEZA - 75 H",tabParametros[[#This Row],[Função]],1)),
SUMIF(tabLimpGeral[TIPO],"Produto",tabLimpGeral[VALOR UNITÁRIO P/ HORA (R$)])*75,
IF(ISNUMBER(SEARCH("AUXILIAR DE LIMPEZA - 110 H",tabParametros[[#This Row],[Função]],1)),
SUMIF(tabLimpGeral[TIPO],"Produto",tabLimpGeral[VALOR UNITÁRIO P/ HORA (R$)])*110,
IF(ISNUMBER(SEARCH("AUXILIAR DE LIMPEZA - 150 H",tabParametros[[#This Row],[Função]],1)),
SUMIF(tabLimpGeral[TIPO],"Produto",tabLimpGeral[VALOR UNITÁRIO P/ HORA (R$)])*150,
IF(ISNUMBER(SEARCH("AUXILIAR DE LIMPEZA - 220 H",tabParametros[[#This Row],[Função]],1)),
SUMIF(tabLimpGeral[TIPO],"Produto",tabLimpGeral[VALOR UNITÁRIO P/ HORA (R$)])*220,
IF(ISNUMBER(SEARCH("AUXILIAR DE LIMPEZA - 12 x 36",tabParametros[[#This Row],[Função]],1)),
SUMIF(tabLimpGeral[TIPO],"Produto",tabLimpGeral[VALOR UNITÁRIO P/ HORA (R$)])*220,
IF(ISNUMBER(SEARCH("Limpador de vidros - 220 h",tabParametros[[#This Row],[Função]],1)),
SUMIF(tabVidros[TIPO],"Produto",tabVidros[VALOR UNITÁRIO P/ POSTO (R$)]),
0))))))</f>
        <v>345.13576638965827</v>
      </c>
      <c r="BB113" s="281">
        <v>0</v>
      </c>
      <c r="BC113" s="236">
        <f>VLOOKUP(tabParametros[[#Headers],[Custos Indiretos]],tabOutrosCustos[],3,0)</f>
        <v>189.64880140242613</v>
      </c>
      <c r="BD113" s="236">
        <f>VLOOKUP(tabParametros[[#Headers],[Lucro]],tabOutrosCustos[],3,0)</f>
        <v>159.30499317803796</v>
      </c>
      <c r="BE113" s="235">
        <f>VLOOKUP(tabParametros[[#Headers],[COFINS]],tabImpostosNacionais[],2,0)</f>
        <v>7.5999999999999998E-2</v>
      </c>
      <c r="BF113" s="235">
        <f>VLOOKUP(tabParametros[[#Headers],[PIS]],tabImpostosNacionais[],2,0)</f>
        <v>1.6500000000000001E-2</v>
      </c>
      <c r="BG113" s="235">
        <f>VLOOKUP(tabParametros[[#This Row],[Comarca]],tabComarca[],4,0)</f>
        <v>0.03</v>
      </c>
      <c r="BH113" s="238">
        <f>IFERROR(VLOOKUP(tabParametros[[#This Row],[CCT DA CATEGORIA]],tabSindicatos[],11,0),"")</f>
        <v>45658</v>
      </c>
      <c r="BI113" s="289" t="str">
        <f>IFERROR(VLOOKUP(tabParametros[[#This Row],[CCT DA CATEGORIA]],tabSindicatos[],12,0),"")</f>
        <v>-</v>
      </c>
      <c r="BJ113" s="293" t="str">
        <f>IFERROR(VLOOKUP(tabParametros[[#This Row],[CCT DA CATEGORIA]],tabSindicatos[],13,0),"")</f>
        <v>-</v>
      </c>
    </row>
    <row r="114" spans="1:62" x14ac:dyDescent="0.25">
      <c r="A114" s="233" t="s">
        <v>1272</v>
      </c>
      <c r="B114" s="198" t="s">
        <v>105</v>
      </c>
      <c r="C114" s="198" t="s">
        <v>1246</v>
      </c>
      <c r="D114" s="198" t="str">
        <f>VLOOKUP(tabParametros[[#This Row],[Código do Posto]],tabPostos[],4,0)</f>
        <v>SECI</v>
      </c>
      <c r="E114" s="289" t="str">
        <f>VLOOKUP(tabParametros[[#This Row],[Código do Posto]],tabPostos[],5,0)</f>
        <v>Limpeza</v>
      </c>
      <c r="F114" s="289" t="str">
        <f>VLOOKUP(tabParametros[[#This Row],[Código do Posto]],tabPostos[],6,0)</f>
        <v>PGJ</v>
      </c>
      <c r="G114" s="289">
        <f>VLOOKUP(tabParametros[[#This Row],[Código do Posto]],tabPostos[],7,0)</f>
        <v>1</v>
      </c>
      <c r="H114" s="289">
        <f>VLOOKUP(tabParametros[[#This Row],[Código do Posto]],tabPostos[],8,0)</f>
        <v>0</v>
      </c>
      <c r="I114" s="234">
        <f>VLOOKUP(tabParametros[[#This Row],[Código do Posto]],tabPostos[],9,0)</f>
        <v>1124.3900000000001</v>
      </c>
      <c r="J114" s="234">
        <f>IF(ISNUMBER(SEARCH("Eletricista",tabParametros[[#This Row],[Função]],1)),0.3*tabParametros[[#This Row],[Salário Base]],0)</f>
        <v>0</v>
      </c>
      <c r="K114" s="234">
        <f>IF(OR(ISNUMBER(SEARCH("Bombeiro Hidraulico",tabParametros[[#This Row],[Função]],1)),ISNUMBER(SEARCH("Jardineiro",tabParametros[[#This Row],[Função]],1)),ISNUMBER(SEARCH("Lavador de Veiculos",tabParametros[[#This Row],[Função]],1)),ISNUMBER(SEARCH("Marceneiro",tabParametros[[#This Row],[Função]],1)),ISNUMBER(SEARCH("Pintor",tabParametros[[#This Row],[Função]],1))),0.2*'BASE GERAL'!$R$4,0)</f>
        <v>0</v>
      </c>
      <c r="L114" s="234">
        <f>IF(AND(ISNUMBER(SEARCH("Noturno",tabParametros[[#This Row],[Função]],1)),tabParametros[[#This Row],[Comarca]]&lt;&gt;"Juiz de Fora"),tabParametros[[#This Row],[Salário Base]]/210*0.39*7*15.5,IF(ISNUMBER(SEARCH("Noturno",tabParametros[[#This Row],[Função]],1)),tabParametros[[#This Row],[Salário Base]]/210*0.2*8*15.5,0))</f>
        <v>0</v>
      </c>
      <c r="M114" s="234">
        <f>IF(ISNUMBER(SEARCH("Motorista II",tabParametros[[#This Row],[Função]],1)),0.25*tabParametros[[#This Row],[Salário Base]],0)</f>
        <v>0</v>
      </c>
      <c r="N114" s="250">
        <v>0</v>
      </c>
      <c r="O114" s="234">
        <f>IF(ISNUMBER(SEARCH("TECNOLOGIA DA INFORMACAO",tabParametros[[#This Row],[Função]],1)),0.0201*tabParametros[[#This Row],[Salário Base]],0)</f>
        <v>0</v>
      </c>
      <c r="P114" s="250" cm="1">
        <f t="array" ref="P114">_xlfn.IFS(
ISNUMBER(SEARCH("Auxiliar de Limpeza - 75 h",tabParametros[[#This Row],[Função]],1)),tabParametros[[#This Row],[Salário Base]]/75*0.75*30*0.12,
ISNUMBER(SEARCH("Auxiliar de Limpeza - 110 h",tabParametros[[#This Row],[Função]],1)),tabParametros[[#This Row],[Salário Base]]/110*1*30*0.12,
ISNUMBER(SEARCH("Auxiliar de Limpeza - 150 h",tabParametros[[#This Row],[Função]],1)),tabParametros[[#This Row],[Salário Base]]/150*1.5*30*0.12,
ISNUMBER(SEARCH("Auxiliar de Limpeza - 220 h",tabParametros[[#This Row],[Função]],1)),tabParametros[[#This Row],[Salário Base]]/220*2*30*0.12,
ISNUMBER(SEARCH("Auxiliar de Limpeza - 12 x 36",tabParametros[[#This Row],[Função]],1)),tabParametros[[#This Row],[Salário Base]]/220*2*30*0.12,
ISNUMBER(SEARCH("Auxiliar de Limpeza - 55 h",tabParametros[[#This Row],[Função]],1))=FALSE,0)</f>
        <v>40.478040000000007</v>
      </c>
      <c r="Q114" s="235">
        <f>VLOOKUP(tabParametros[[#Headers],[INSS]],tabImpostosNacionais[],2,0)</f>
        <v>0.2</v>
      </c>
      <c r="R114" s="235">
        <f>VLOOKUP(tabParametros[[#Headers],[SESI OU SESC]],tabImpostosNacionais[],2,0)</f>
        <v>1.4999999999999999E-2</v>
      </c>
      <c r="S114" s="235">
        <f>VLOOKUP(tabParametros[[#Headers],[SENAI OU SENAC]],tabImpostosNacionais[],2,0)</f>
        <v>0.01</v>
      </c>
      <c r="T114" s="235">
        <f>VLOOKUP(tabParametros[[#Headers],[INCRA]],tabImpostosNacionais[],2,0)</f>
        <v>2E-3</v>
      </c>
      <c r="U114" s="235">
        <f>VLOOKUP(tabParametros[[#Headers],[Salário Educação]],tabImpostosNacionais[],2,0)</f>
        <v>2.5000000000000001E-2</v>
      </c>
      <c r="V114" s="235">
        <f>VLOOKUP(tabParametros[[#Headers],[FGTS]],tabImpostosNacionais[],2,0)</f>
        <v>0.08</v>
      </c>
      <c r="W114" s="235">
        <f>VLOOKUP(tabParametros[[#Headers],[RAT Ajustado]],tabImpostosNacionais[],2,0)</f>
        <v>0.04</v>
      </c>
      <c r="X114" s="235">
        <f>VLOOKUP(tabParametros[[#Headers],[SEBRAE]],tabImpostosNacionais[],2,0)</f>
        <v>6.0000000000000001E-3</v>
      </c>
      <c r="Y114" s="235">
        <f t="shared" si="11"/>
        <v>8.3333333333333329E-2</v>
      </c>
      <c r="Z114" s="251">
        <f t="shared" si="12"/>
        <v>0.1111111111111111</v>
      </c>
      <c r="AA114" s="234">
        <f>VLOOKUP(tabParametros[[#This Row],[Comarca]],tabComarca[],5,0)</f>
        <v>6.4</v>
      </c>
      <c r="AB114" s="234">
        <f>IFERROR(VLOOKUP(tabParametros[[#This Row],[CCT DA CATEGORIA]],tabSindicatos[],6,0),0)</f>
        <v>29.15</v>
      </c>
      <c r="AC114" s="234">
        <f>IFERROR(VLOOKUP(tabParametros[[#This Row],[CCT DA CATEGORIA]],tabSindicatos[],7,0),0)</f>
        <v>0</v>
      </c>
      <c r="AD114" s="234" cm="1">
        <f t="array" ref="AD114">_xlfn.LET(
_xlpm.COMARCA, TRIM(UPPER(SUBSTITUTE(SUBSTITUTE(SUBSTITUTE(SUBSTITUTE(SUBSTITUTE(SUBSTITUTE(SUBSTITUTE(SUBSTITUTE(SUBSTITUTE(SUBSTITUTE(SUBSTITUTE(SUBSTITUTE(SUBSTITUTE(SUBSTITUTE(SUBSTITUTE(SUBSTITUTE(SUBSTITUTE(SUBSTITUTE(SUBSTITUTE(SUBSTITUTE(SUBSTITUTE(SUBSTITUTE(SUBSTITUTE(SUBSTITUTE(SUBSTITUTE(SUBSTITUTE(tabParametros[[#This Row],[Comarca]],"á","a"),"ã","a"),"â","a"),"é","e"),"ê","e"),"í","i"),"ó","o"),"õ","o"),"ô","o"),"ú","u"),"ç","c"),"Á","a"),"Ã","a"),"Â","a"),"É","e"),"Ê","e"),"Í","i"),"Ó","o"),"Õ","o"),"Ô","o"),"Ú","u"),"Ç","c"),"/MG","")," e ",", ")," ",""),".",""))),
_xlpm.MATRIZ_COMARCA, TRIM(UPPER(SUBSTITUTE(SUBSTITUTE(SUBSTITUTE(SUBSTITUTE(SUBSTITUTE(SUBSTITUTE(SUBSTITUTE(SUBSTITUTE(SUBSTITUTE(SUBSTITUTE(SUBSTITUTE(SUBSTITUTE(SUBSTITUTE(SUBSTITUTE(SUBSTITUTE(SUBSTITUTE(SUBSTITUTE(SUBSTITUTE(SUBSTITUTE(SUBSTITUTE(SUBSTITUTE(SUBSTITUTE(SUBSTITUTE(SUBSTITUTE(SUBSTITUTE(SUBSTITUTE(tabSindicatos[COMARCAS PAF],"á","a"),"ã","a"),"â","a"),"é","e"),"ê","e"),"í","i"),"ó","o"),"õ","o"),"ô","o"),"ú","u"),"ç","c"),"Á","a"),"Ã","a"),"Â","a"),"É","e"),"Ê","e"),"Í","i"),"Ó","o"),"Õ","o"),"Ô","o"),"Ú","u"),"Ç","c"),"/MG","")," e ",", ")," ",""),".",""))),
IFERROR(IF(_xlfn.XLOOKUP(tabParametros[[#This Row],[CCT DA CATEGORIA]],tabSindicatos[SINDICATOS],tabSindicatos[COMARCAS PAF])="",
VLOOKUP(tabParametros[[#This Row],[CCT DA CATEGORIA]],tabSindicatos[],8,0),
IF(ISNUMBER(SEARCH(TRIM(_xlpm.COMARCA),_xlfn.XLOOKUP(tabParametros[[#This Row],[CCT DA CATEGORIA]],tabSindicatos[SINDICATOS],_xlpm.MATRIZ_COMARCA),1)),VLOOKUP(tabParametros[[#This Row],[CCT DA CATEGORIA]],tabSindicatos[],8,0),0)
),0)
)</f>
        <v>51.86</v>
      </c>
      <c r="AE114" s="234">
        <f>IFERROR(VLOOKUP(tabParametros[[#This Row],[CCT DA CATEGORIA]],tabSindicatos[],9,0),0)</f>
        <v>0</v>
      </c>
      <c r="AF114" s="234">
        <f>IFERROR(VLOOKUP(tabParametros[[#This Row],[CCT DA CATEGORIA]],tabSindicatos[],10,0),0)</f>
        <v>0</v>
      </c>
      <c r="AG114" s="236">
        <f>VLOOKUP(tabParametros[[#Headers],[Seguro de Vida]],tabOutrosCustos[],3,0)</f>
        <v>3.36</v>
      </c>
      <c r="AH114" s="236">
        <f>IF(ISNUMBER(SEARCH("MOTORISTA",tabParametros[[#This Row],[Função]],1)),VLOOKUP("MOTORISTAS",tabDiarias[],2,0),IF(tabParametros[[#This Row],[Comarca]]="Belo Horizonte",VLOOKUP("LIMPEZA",tabDiarias[],2,0),0))</f>
        <v>0</v>
      </c>
      <c r="AI114" s="235">
        <f t="shared" si="13"/>
        <v>7.011766975308642E-3</v>
      </c>
      <c r="AJ114" s="237">
        <f>tabParametros[[#This Row],[FGTS]]*tabParametros[[#This Row],[Aviso Prévio Indenizado (API) e Reflexo do Aviso Prévio Indenizado]]</f>
        <v>5.609413580246914E-4</v>
      </c>
      <c r="AK114" s="237">
        <f>tabParametros[[#This Row],[FGTS]]*tabParametros[[#This Row],[Aviso Prévio Indenizado (API) e Reflexo do Aviso Prévio Indenizado]]*40%</f>
        <v>2.2437654320987658E-4</v>
      </c>
      <c r="AL114" s="235">
        <f t="shared" si="14"/>
        <v>3.5000000000000005E-3</v>
      </c>
      <c r="AM114" s="235">
        <f>tabParametros[[#This Row],[Aviso Prévio Trabalhado - APT]]*SUM(tabParametros[[#This Row],[INSS]:[SEBRAE]])</f>
        <v>1.3230000000000004E-3</v>
      </c>
      <c r="AN114" s="235">
        <f t="shared" si="15"/>
        <v>3.0577777777777773E-2</v>
      </c>
      <c r="AO114" s="235">
        <f t="shared" si="16"/>
        <v>8.3333333333333339E-4</v>
      </c>
      <c r="AP114" s="235">
        <f t="shared" si="17"/>
        <v>8.4444444444444437E-3</v>
      </c>
      <c r="AQ114" s="235">
        <f t="shared" si="18"/>
        <v>2.0277777777777777E-3</v>
      </c>
      <c r="AR114" s="235">
        <f t="shared" si="19"/>
        <v>1.7083333333333333E-4</v>
      </c>
      <c r="AS114" s="235">
        <f t="shared" si="20"/>
        <v>2.0833333333333335E-4</v>
      </c>
      <c r="AT114" s="235">
        <f t="shared" si="21"/>
        <v>1.2962962962962963E-3</v>
      </c>
      <c r="AU114" s="237">
        <f>SUM(tabParametros[[#This Row],[Ausência por Doença]:[Férias, Adicional de Férias e 13º  com empregada em gozo de Licença Maternidade]])*SUM(tabParametros[[#This Row],[INSS]:[SEBRAE]])</f>
        <v>4.5918250000000008E-3</v>
      </c>
      <c r="AV114" s="234">
        <f>IF(tabParametros[[#This Row],[Função]]="Porteiro - 220 h",SUM(tabParametros[[#This Row],[Salário Base]:[Adicional de Acúmulo de função]])/220*20*1.5,IF(ISNUMBER(SEARCH("12 x 36",tabParametros[[#This Row],[Função]],1)),SUM(tabParametros[[#This Row],[Salário Base]:[Adicional de Acúmulo de função]])/210*15.5*1.5,0))</f>
        <v>0</v>
      </c>
      <c r="AW114" s="234">
        <f>IF(tabParametros[[#This Row],[Vagas contratadas]]&gt;0,(SUM(tabParametros[[#This Row],[Salário Base]:[Adicional de Acúmulo de função]])*30%+SUM(tabParametros[[#This Row],[Vale - Alimentação]:[Seguro de Vida]]))/tabParametros[[#This Row],[Vagas contratadas]]*tabParametros[[#This Row],[Vagas suspensas]],0)</f>
        <v>0</v>
      </c>
      <c r="AX114" s="234">
        <f>SUMIF(tabUniformes[Cargo],tabParametros[[#This Row],[Função]],tabUniformes[Valor unit. Mensal])</f>
        <v>100.80916666666666</v>
      </c>
      <c r="AY114" s="281">
        <f>IF(ISNUMBER(SEARCH("AUXILIAR DE LIMPEZA - 75 H",tabParametros[[#This Row],[Função]],1)),
SUMIF(tabLimpGeral[TIPO],"Material",tabLimpGeral[VALOR UNITÁRIO P/ HORA (R$)])*75,
IF(ISNUMBER(SEARCH("AUXILIAR DE LIMPEZA - 110 H",tabParametros[[#This Row],[Função]],1)),
SUMIF(tabLimpGeral[TIPO],"Material",tabLimpGeral[VALOR UNITÁRIO P/ HORA (R$)])*110,
IF(ISNUMBER(SEARCH("AUXILIAR DE LIMPEZA - 150 H",tabParametros[[#This Row],[Função]],1)),
SUMIF(tabLimpGeral[TIPO],"Material",tabLimpGeral[VALOR UNITÁRIO P/ HORA (R$)])*150,
IF(ISNUMBER(SEARCH("AUXILIAR DE LIMPEZA - 220 H",tabParametros[[#This Row],[Função]],1)),
SUMIF(tabLimpGeral[TIPO],"Material",tabLimpGeral[VALOR UNITÁRIO P/ HORA (R$)])*220,
IF(ISNUMBER(SEARCH("AUXILIAR DE LIMPEZA - 12 x 36",tabParametros[[#This Row],[Função]],1)),
SUMIF(tabLimpGeral[TIPO],"Material",tabLimpGeral[VALOR UNITÁRIO P/ HORA (R$)])*220,
IF(ISNUMBER(SEARCH("Limpador de vidros - 220 h",tabParametros[[#This Row],[Função]],1)),
SUMIF(tabVidros[TIPO],"Material",tabVidros[VALOR UNITÁRIO P/ POSTO (R$)]),
0))))))</f>
        <v>24.216963380852651</v>
      </c>
      <c r="AZ114" s="281">
        <f>IF(ISNUMBER(SEARCH("AUXILIAR DE LIMPEZA - 75 H",tabParametros[[#This Row],[Função]],1)),
SUMIF(tabLimpGeral[TIPO],"Equipamento",tabLimpGeral[VALOR UNITÁRIO P/ HORA (R$)])*75,
IF(ISNUMBER(SEARCH("AUXILIAR DE LIMPEZA - 110 H",tabParametros[[#This Row],[Função]],1)),
SUMIF(tabLimpGeral[TIPO],"Equipamento",tabLimpGeral[VALOR UNITÁRIO P/ HORA (R$)])*110,
IF(ISNUMBER(SEARCH("AUXILIAR DE LIMPEZA - 150 H",tabParametros[[#This Row],[Função]],1)),
SUMIF(tabLimpGeral[TIPO],"Equipamento",tabLimpGeral[VALOR UNITÁRIO P/ HORA (R$)])*150,
IF(ISNUMBER(SEARCH("AUXILIAR DE LIMPEZA - 220 H",tabParametros[[#This Row],[Função]],1)),
SUMIF(tabLimpGeral[TIPO],"Equipamento",tabLimpGeral[VALOR UNITÁRIO P/ HORA (R$)])*220,
IF(ISNUMBER(SEARCH("AUXILIAR DE LIMPEZA - 12 x 36",tabParametros[[#This Row],[Função]],1)),
SUMIF(tabLimpGeral[TIPO],"Equipamento",tabLimpGeral[VALOR UNITÁRIO P/ HORA (R$)])*220,
IF(ISNUMBER(SEARCH("Limpador de vidros - 220 h",tabParametros[[#This Row],[Função]],1)),
SUMIF(tabVidros[TIPO],"Equipamento",tabVidros[VALOR UNITÁRIO P/ POSTO (R$)]),
0))))))</f>
        <v>43.997314032835618</v>
      </c>
      <c r="BA114" s="281">
        <f>IF(ISNUMBER(SEARCH("AUXILIAR DE LIMPEZA - 75 H",tabParametros[[#This Row],[Função]],1)),
SUMIF(tabLimpGeral[TIPO],"Produto",tabLimpGeral[VALOR UNITÁRIO P/ HORA (R$)])*75,
IF(ISNUMBER(SEARCH("AUXILIAR DE LIMPEZA - 110 H",tabParametros[[#This Row],[Função]],1)),
SUMIF(tabLimpGeral[TIPO],"Produto",tabLimpGeral[VALOR UNITÁRIO P/ HORA (R$)])*110,
IF(ISNUMBER(SEARCH("AUXILIAR DE LIMPEZA - 150 H",tabParametros[[#This Row],[Função]],1)),
SUMIF(tabLimpGeral[TIPO],"Produto",tabLimpGeral[VALOR UNITÁRIO P/ HORA (R$)])*150,
IF(ISNUMBER(SEARCH("AUXILIAR DE LIMPEZA - 220 H",tabParametros[[#This Row],[Função]],1)),
SUMIF(tabLimpGeral[TIPO],"Produto",tabLimpGeral[VALOR UNITÁRIO P/ HORA (R$)])*220,
IF(ISNUMBER(SEARCH("AUXILIAR DE LIMPEZA - 12 x 36",tabParametros[[#This Row],[Função]],1)),
SUMIF(tabLimpGeral[TIPO],"Produto",tabLimpGeral[VALOR UNITÁRIO P/ HORA (R$)])*220,
IF(ISNUMBER(SEARCH("Limpador de vidros - 220 h",tabParametros[[#This Row],[Função]],1)),
SUMIF(tabVidros[TIPO],"Produto",tabVidros[VALOR UNITÁRIO P/ POSTO (R$)]),
0))))))</f>
        <v>470.6396814404431</v>
      </c>
      <c r="BB114" s="281">
        <v>0</v>
      </c>
      <c r="BC114" s="236">
        <f>VLOOKUP(tabParametros[[#Headers],[Custos Indiretos]],tabOutrosCustos[],3,0)</f>
        <v>189.64880140242613</v>
      </c>
      <c r="BD114" s="236">
        <f>VLOOKUP(tabParametros[[#Headers],[Lucro]],tabOutrosCustos[],3,0)</f>
        <v>159.30499317803796</v>
      </c>
      <c r="BE114" s="235">
        <f>VLOOKUP(tabParametros[[#Headers],[COFINS]],tabImpostosNacionais[],2,0)</f>
        <v>7.5999999999999998E-2</v>
      </c>
      <c r="BF114" s="235">
        <f>VLOOKUP(tabParametros[[#Headers],[PIS]],tabImpostosNacionais[],2,0)</f>
        <v>1.6500000000000001E-2</v>
      </c>
      <c r="BG114" s="235">
        <f>VLOOKUP(tabParametros[[#This Row],[Comarca]],tabComarca[],4,0)</f>
        <v>0.03</v>
      </c>
      <c r="BH114" s="238">
        <f>IFERROR(VLOOKUP(tabParametros[[#This Row],[CCT DA CATEGORIA]],tabSindicatos[],11,0),"")</f>
        <v>45658</v>
      </c>
      <c r="BI114" s="289" t="str">
        <f>IFERROR(VLOOKUP(tabParametros[[#This Row],[CCT DA CATEGORIA]],tabSindicatos[],12,0),"")</f>
        <v>-</v>
      </c>
      <c r="BJ114" s="293" t="str">
        <f>IFERROR(VLOOKUP(tabParametros[[#This Row],[CCT DA CATEGORIA]],tabSindicatos[],13,0),"")</f>
        <v>-</v>
      </c>
    </row>
    <row r="115" spans="1:62" x14ac:dyDescent="0.25">
      <c r="A115" s="233" t="s">
        <v>1452</v>
      </c>
      <c r="B115" s="198" t="s">
        <v>105</v>
      </c>
      <c r="C115" s="198" t="s">
        <v>1245</v>
      </c>
      <c r="D115" s="198" t="str">
        <f>VLOOKUP(tabParametros[[#This Row],[Código do Posto]],tabPostos[],4,0)</f>
        <v>SECI</v>
      </c>
      <c r="E115" s="289" t="str">
        <f>VLOOKUP(tabParametros[[#This Row],[Código do Posto]],tabPostos[],5,0)</f>
        <v>Limpeza</v>
      </c>
      <c r="F115" s="289" t="str">
        <f>VLOOKUP(tabParametros[[#This Row],[Código do Posto]],tabPostos[],6,0)</f>
        <v>PGJ</v>
      </c>
      <c r="G115" s="289">
        <f>VLOOKUP(tabParametros[[#This Row],[Código do Posto]],tabPostos[],7,0)</f>
        <v>2</v>
      </c>
      <c r="H115" s="289">
        <f>VLOOKUP(tabParametros[[#This Row],[Código do Posto]],tabPostos[],8,0)</f>
        <v>0</v>
      </c>
      <c r="I115" s="234">
        <f>VLOOKUP(tabParametros[[#This Row],[Código do Posto]],tabPostos[],9,0)</f>
        <v>1649.12</v>
      </c>
      <c r="J115" s="234">
        <f>IF(ISNUMBER(SEARCH("Eletricista",tabParametros[[#This Row],[Função]],1)),0.3*tabParametros[[#This Row],[Salário Base]],0)</f>
        <v>0</v>
      </c>
      <c r="K115" s="234">
        <f>IF(OR(ISNUMBER(SEARCH("Bombeiro Hidraulico",tabParametros[[#This Row],[Função]],1)),ISNUMBER(SEARCH("Jardineiro",tabParametros[[#This Row],[Função]],1)),ISNUMBER(SEARCH("Lavador de Veiculos",tabParametros[[#This Row],[Função]],1)),ISNUMBER(SEARCH("Marceneiro",tabParametros[[#This Row],[Função]],1)),ISNUMBER(SEARCH("Pintor",tabParametros[[#This Row],[Função]],1))),0.2*'BASE GERAL'!$R$4,0)</f>
        <v>0</v>
      </c>
      <c r="L115" s="234">
        <f>IF(AND(ISNUMBER(SEARCH("Noturno",tabParametros[[#This Row],[Função]],1)),tabParametros[[#This Row],[Comarca]]&lt;&gt;"Juiz de Fora"),tabParametros[[#This Row],[Salário Base]]/210*0.39*7*15.5,IF(ISNUMBER(SEARCH("Noturno",tabParametros[[#This Row],[Função]],1)),tabParametros[[#This Row],[Salário Base]]/210*0.2*8*15.5,0))</f>
        <v>0</v>
      </c>
      <c r="M115" s="234">
        <f>IF(ISNUMBER(SEARCH("Motorista II",tabParametros[[#This Row],[Função]],1)),0.25*tabParametros[[#This Row],[Salário Base]],0)</f>
        <v>0</v>
      </c>
      <c r="N115" s="250">
        <v>0</v>
      </c>
      <c r="O115" s="234">
        <f>IF(ISNUMBER(SEARCH("TECNOLOGIA DA INFORMACAO",tabParametros[[#This Row],[Função]],1)),0.0201*tabParametros[[#This Row],[Salário Base]],0)</f>
        <v>0</v>
      </c>
      <c r="P115" s="250" cm="1">
        <f t="array" ref="P115">_xlfn.IFS(
ISNUMBER(SEARCH("Auxiliar de Limpeza - 75 h",tabParametros[[#This Row],[Função]],1)),tabParametros[[#This Row],[Salário Base]]/75*0.75*30*0.12,
ISNUMBER(SEARCH("Auxiliar de Limpeza - 110 h",tabParametros[[#This Row],[Função]],1)),tabParametros[[#This Row],[Salário Base]]/110*1*30*0.12,
ISNUMBER(SEARCH("Auxiliar de Limpeza - 150 h",tabParametros[[#This Row],[Função]],1)),tabParametros[[#This Row],[Salário Base]]/150*1.5*30*0.12,
ISNUMBER(SEARCH("Auxiliar de Limpeza - 220 h",tabParametros[[#This Row],[Função]],1)),tabParametros[[#This Row],[Salário Base]]/220*2*30*0.12,
ISNUMBER(SEARCH("Auxiliar de Limpeza - 12 x 36",tabParametros[[#This Row],[Função]],1)),tabParametros[[#This Row],[Salário Base]]/220*2*30*0.12,
ISNUMBER(SEARCH("Auxiliar de Limpeza - 55 h",tabParametros[[#This Row],[Função]],1))=FALSE,0)</f>
        <v>53.971199999999996</v>
      </c>
      <c r="Q115" s="235">
        <f>VLOOKUP(tabParametros[[#Headers],[INSS]],tabImpostosNacionais[],2,0)</f>
        <v>0.2</v>
      </c>
      <c r="R115" s="235">
        <f>VLOOKUP(tabParametros[[#Headers],[SESI OU SESC]],tabImpostosNacionais[],2,0)</f>
        <v>1.4999999999999999E-2</v>
      </c>
      <c r="S115" s="235">
        <f>VLOOKUP(tabParametros[[#Headers],[SENAI OU SENAC]],tabImpostosNacionais[],2,0)</f>
        <v>0.01</v>
      </c>
      <c r="T115" s="235">
        <f>VLOOKUP(tabParametros[[#Headers],[INCRA]],tabImpostosNacionais[],2,0)</f>
        <v>2E-3</v>
      </c>
      <c r="U115" s="235">
        <f>VLOOKUP(tabParametros[[#Headers],[Salário Educação]],tabImpostosNacionais[],2,0)</f>
        <v>2.5000000000000001E-2</v>
      </c>
      <c r="V115" s="235">
        <f>VLOOKUP(tabParametros[[#Headers],[FGTS]],tabImpostosNacionais[],2,0)</f>
        <v>0.08</v>
      </c>
      <c r="W115" s="235">
        <f>VLOOKUP(tabParametros[[#Headers],[RAT Ajustado]],tabImpostosNacionais[],2,0)</f>
        <v>0.04</v>
      </c>
      <c r="X115" s="235">
        <f>VLOOKUP(tabParametros[[#Headers],[SEBRAE]],tabImpostosNacionais[],2,0)</f>
        <v>6.0000000000000001E-3</v>
      </c>
      <c r="Y115" s="235">
        <f t="shared" si="11"/>
        <v>8.3333333333333329E-2</v>
      </c>
      <c r="Z115" s="251">
        <f t="shared" si="12"/>
        <v>0.1111111111111111</v>
      </c>
      <c r="AA115" s="234">
        <f>VLOOKUP(tabParametros[[#This Row],[Comarca]],tabComarca[],5,0)</f>
        <v>6.4</v>
      </c>
      <c r="AB115" s="234">
        <f>IFERROR(VLOOKUP(tabParametros[[#This Row],[CCT DA CATEGORIA]],tabSindicatos[],6,0),0)</f>
        <v>29.15</v>
      </c>
      <c r="AC115" s="234">
        <f>IFERROR(VLOOKUP(tabParametros[[#This Row],[CCT DA CATEGORIA]],tabSindicatos[],7,0),0)</f>
        <v>0</v>
      </c>
      <c r="AD115" s="234" cm="1">
        <f t="array" ref="AD115">_xlfn.LET(
_xlpm.COMARCA, TRIM(UPPER(SUBSTITUTE(SUBSTITUTE(SUBSTITUTE(SUBSTITUTE(SUBSTITUTE(SUBSTITUTE(SUBSTITUTE(SUBSTITUTE(SUBSTITUTE(SUBSTITUTE(SUBSTITUTE(SUBSTITUTE(SUBSTITUTE(SUBSTITUTE(SUBSTITUTE(SUBSTITUTE(SUBSTITUTE(SUBSTITUTE(SUBSTITUTE(SUBSTITUTE(SUBSTITUTE(SUBSTITUTE(SUBSTITUTE(SUBSTITUTE(SUBSTITUTE(SUBSTITUTE(tabParametros[[#This Row],[Comarca]],"á","a"),"ã","a"),"â","a"),"é","e"),"ê","e"),"í","i"),"ó","o"),"õ","o"),"ô","o"),"ú","u"),"ç","c"),"Á","a"),"Ã","a"),"Â","a"),"É","e"),"Ê","e"),"Í","i"),"Ó","o"),"Õ","o"),"Ô","o"),"Ú","u"),"Ç","c"),"/MG","")," e ",", ")," ",""),".",""))),
_xlpm.MATRIZ_COMARCA, TRIM(UPPER(SUBSTITUTE(SUBSTITUTE(SUBSTITUTE(SUBSTITUTE(SUBSTITUTE(SUBSTITUTE(SUBSTITUTE(SUBSTITUTE(SUBSTITUTE(SUBSTITUTE(SUBSTITUTE(SUBSTITUTE(SUBSTITUTE(SUBSTITUTE(SUBSTITUTE(SUBSTITUTE(SUBSTITUTE(SUBSTITUTE(SUBSTITUTE(SUBSTITUTE(SUBSTITUTE(SUBSTITUTE(SUBSTITUTE(SUBSTITUTE(SUBSTITUTE(SUBSTITUTE(tabSindicatos[COMARCAS PAF],"á","a"),"ã","a"),"â","a"),"é","e"),"ê","e"),"í","i"),"ó","o"),"õ","o"),"ô","o"),"ú","u"),"ç","c"),"Á","a"),"Ã","a"),"Â","a"),"É","e"),"Ê","e"),"Í","i"),"Ó","o"),"Õ","o"),"Ô","o"),"Ú","u"),"Ç","c"),"/MG","")," e ",", ")," ",""),".",""))),
IFERROR(IF(_xlfn.XLOOKUP(tabParametros[[#This Row],[CCT DA CATEGORIA]],tabSindicatos[SINDICATOS],tabSindicatos[COMARCAS PAF])="",
VLOOKUP(tabParametros[[#This Row],[CCT DA CATEGORIA]],tabSindicatos[],8,0),
IF(ISNUMBER(SEARCH(TRIM(_xlpm.COMARCA),_xlfn.XLOOKUP(tabParametros[[#This Row],[CCT DA CATEGORIA]],tabSindicatos[SINDICATOS],_xlpm.MATRIZ_COMARCA),1)),VLOOKUP(tabParametros[[#This Row],[CCT DA CATEGORIA]],tabSindicatos[],8,0),0)
),0)
)</f>
        <v>51.86</v>
      </c>
      <c r="AE115" s="234">
        <f>IFERROR(VLOOKUP(tabParametros[[#This Row],[CCT DA CATEGORIA]],tabSindicatos[],9,0),0)</f>
        <v>0</v>
      </c>
      <c r="AF115" s="234">
        <f>IFERROR(VLOOKUP(tabParametros[[#This Row],[CCT DA CATEGORIA]],tabSindicatos[],10,0),0)</f>
        <v>0</v>
      </c>
      <c r="AG115" s="236">
        <f>VLOOKUP(tabParametros[[#Headers],[Seguro de Vida]],tabOutrosCustos[],3,0)</f>
        <v>3.36</v>
      </c>
      <c r="AH115" s="236">
        <f>IF(ISNUMBER(SEARCH("MOTORISTA",tabParametros[[#This Row],[Função]],1)),VLOOKUP("MOTORISTAS",tabDiarias[],2,0),IF(tabParametros[[#This Row],[Comarca]]="Belo Horizonte",VLOOKUP("LIMPEZA",tabDiarias[],2,0),0))</f>
        <v>0</v>
      </c>
      <c r="AI115" s="235">
        <f t="shared" si="13"/>
        <v>7.011766975308642E-3</v>
      </c>
      <c r="AJ115" s="237">
        <f>tabParametros[[#This Row],[FGTS]]*tabParametros[[#This Row],[Aviso Prévio Indenizado (API) e Reflexo do Aviso Prévio Indenizado]]</f>
        <v>5.609413580246914E-4</v>
      </c>
      <c r="AK115" s="237">
        <f>tabParametros[[#This Row],[FGTS]]*tabParametros[[#This Row],[Aviso Prévio Indenizado (API) e Reflexo do Aviso Prévio Indenizado]]*40%</f>
        <v>2.2437654320987658E-4</v>
      </c>
      <c r="AL115" s="235">
        <f t="shared" si="14"/>
        <v>3.5000000000000005E-3</v>
      </c>
      <c r="AM115" s="235">
        <f>tabParametros[[#This Row],[Aviso Prévio Trabalhado - APT]]*SUM(tabParametros[[#This Row],[INSS]:[SEBRAE]])</f>
        <v>1.3230000000000004E-3</v>
      </c>
      <c r="AN115" s="235">
        <f t="shared" si="15"/>
        <v>3.0577777777777773E-2</v>
      </c>
      <c r="AO115" s="235">
        <f t="shared" si="16"/>
        <v>8.3333333333333339E-4</v>
      </c>
      <c r="AP115" s="235">
        <f t="shared" si="17"/>
        <v>8.4444444444444437E-3</v>
      </c>
      <c r="AQ115" s="235">
        <f t="shared" si="18"/>
        <v>2.0277777777777777E-3</v>
      </c>
      <c r="AR115" s="235">
        <f t="shared" si="19"/>
        <v>1.7083333333333333E-4</v>
      </c>
      <c r="AS115" s="235">
        <f t="shared" si="20"/>
        <v>2.0833333333333335E-4</v>
      </c>
      <c r="AT115" s="235">
        <f t="shared" si="21"/>
        <v>1.2962962962962963E-3</v>
      </c>
      <c r="AU115" s="237">
        <f>SUM(tabParametros[[#This Row],[Ausência por Doença]:[Férias, Adicional de Férias e 13º  com empregada em gozo de Licença Maternidade]])*SUM(tabParametros[[#This Row],[INSS]:[SEBRAE]])</f>
        <v>4.5918250000000008E-3</v>
      </c>
      <c r="AV115" s="234">
        <f>IF(tabParametros[[#This Row],[Função]]="Porteiro - 220 h",SUM(tabParametros[[#This Row],[Salário Base]:[Adicional de Acúmulo de função]])/220*20*1.5,IF(ISNUMBER(SEARCH("12 x 36",tabParametros[[#This Row],[Função]],1)),SUM(tabParametros[[#This Row],[Salário Base]:[Adicional de Acúmulo de função]])/210*15.5*1.5,0))</f>
        <v>0</v>
      </c>
      <c r="AW115" s="234">
        <f>IF(tabParametros[[#This Row],[Vagas contratadas]]&gt;0,(SUM(tabParametros[[#This Row],[Salário Base]:[Adicional de Acúmulo de função]])*30%+SUM(tabParametros[[#This Row],[Vale - Alimentação]:[Seguro de Vida]]))/tabParametros[[#This Row],[Vagas contratadas]]*tabParametros[[#This Row],[Vagas suspensas]],0)</f>
        <v>0</v>
      </c>
      <c r="AX115" s="234">
        <f>SUMIF(tabUniformes[Cargo],tabParametros[[#This Row],[Função]],tabUniformes[Valor unit. Mensal])</f>
        <v>100.80916666666666</v>
      </c>
      <c r="AY115" s="281">
        <f>IF(ISNUMBER(SEARCH("AUXILIAR DE LIMPEZA - 75 H",tabParametros[[#This Row],[Função]],1)),
SUMIF(tabLimpGeral[TIPO],"Material",tabLimpGeral[VALOR UNITÁRIO P/ HORA (R$)])*75,
IF(ISNUMBER(SEARCH("AUXILIAR DE LIMPEZA - 110 H",tabParametros[[#This Row],[Função]],1)),
SUMIF(tabLimpGeral[TIPO],"Material",tabLimpGeral[VALOR UNITÁRIO P/ HORA (R$)])*110,
IF(ISNUMBER(SEARCH("AUXILIAR DE LIMPEZA - 150 H",tabParametros[[#This Row],[Função]],1)),
SUMIF(tabLimpGeral[TIPO],"Material",tabLimpGeral[VALOR UNITÁRIO P/ HORA (R$)])*150,
IF(ISNUMBER(SEARCH("AUXILIAR DE LIMPEZA - 220 H",tabParametros[[#This Row],[Função]],1)),
SUMIF(tabLimpGeral[TIPO],"Material",tabLimpGeral[VALOR UNITÁRIO P/ HORA (R$)])*220,
IF(ISNUMBER(SEARCH("AUXILIAR DE LIMPEZA - 12 x 36",tabParametros[[#This Row],[Função]],1)),
SUMIF(tabLimpGeral[TIPO],"Material",tabLimpGeral[VALOR UNITÁRIO P/ HORA (R$)])*220,
IF(ISNUMBER(SEARCH("Limpador de vidros - 220 h",tabParametros[[#This Row],[Função]],1)),
SUMIF(tabVidros[TIPO],"Material",tabVidros[VALOR UNITÁRIO P/ POSTO (R$)]),
0))))))</f>
        <v>35.518212958583888</v>
      </c>
      <c r="AZ115" s="281">
        <f>IF(ISNUMBER(SEARCH("AUXILIAR DE LIMPEZA - 75 H",tabParametros[[#This Row],[Função]],1)),
SUMIF(tabLimpGeral[TIPO],"Equipamento",tabLimpGeral[VALOR UNITÁRIO P/ HORA (R$)])*75,
IF(ISNUMBER(SEARCH("AUXILIAR DE LIMPEZA - 110 H",tabParametros[[#This Row],[Função]],1)),
SUMIF(tabLimpGeral[TIPO],"Equipamento",tabLimpGeral[VALOR UNITÁRIO P/ HORA (R$)])*110,
IF(ISNUMBER(SEARCH("AUXILIAR DE LIMPEZA - 150 H",tabParametros[[#This Row],[Função]],1)),
SUMIF(tabLimpGeral[TIPO],"Equipamento",tabLimpGeral[VALOR UNITÁRIO P/ HORA (R$)])*150,
IF(ISNUMBER(SEARCH("AUXILIAR DE LIMPEZA - 220 H",tabParametros[[#This Row],[Função]],1)),
SUMIF(tabLimpGeral[TIPO],"Equipamento",tabLimpGeral[VALOR UNITÁRIO P/ HORA (R$)])*220,
IF(ISNUMBER(SEARCH("AUXILIAR DE LIMPEZA - 12 x 36",tabParametros[[#This Row],[Função]],1)),
SUMIF(tabLimpGeral[TIPO],"Equipamento",tabLimpGeral[VALOR UNITÁRIO P/ HORA (R$)])*220,
IF(ISNUMBER(SEARCH("Limpador de vidros - 220 h",tabParametros[[#This Row],[Função]],1)),
SUMIF(tabVidros[TIPO],"Equipamento",tabVidros[VALOR UNITÁRIO P/ POSTO (R$)]),
0))))))</f>
        <v>64.529393914825576</v>
      </c>
      <c r="BA115" s="281">
        <f>IF(ISNUMBER(SEARCH("AUXILIAR DE LIMPEZA - 75 H",tabParametros[[#This Row],[Função]],1)),
SUMIF(tabLimpGeral[TIPO],"Produto",tabLimpGeral[VALOR UNITÁRIO P/ HORA (R$)])*75,
IF(ISNUMBER(SEARCH("AUXILIAR DE LIMPEZA - 110 H",tabParametros[[#This Row],[Função]],1)),
SUMIF(tabLimpGeral[TIPO],"Produto",tabLimpGeral[VALOR UNITÁRIO P/ HORA (R$)])*110,
IF(ISNUMBER(SEARCH("AUXILIAR DE LIMPEZA - 150 H",tabParametros[[#This Row],[Função]],1)),
SUMIF(tabLimpGeral[TIPO],"Produto",tabLimpGeral[VALOR UNITÁRIO P/ HORA (R$)])*150,
IF(ISNUMBER(SEARCH("AUXILIAR DE LIMPEZA - 220 H",tabParametros[[#This Row],[Função]],1)),
SUMIF(tabLimpGeral[TIPO],"Produto",tabLimpGeral[VALOR UNITÁRIO P/ HORA (R$)])*220,
IF(ISNUMBER(SEARCH("AUXILIAR DE LIMPEZA - 12 x 36",tabParametros[[#This Row],[Função]],1)),
SUMIF(tabLimpGeral[TIPO],"Produto",tabLimpGeral[VALOR UNITÁRIO P/ HORA (R$)])*220,
IF(ISNUMBER(SEARCH("Limpador de vidros - 220 h",tabParametros[[#This Row],[Função]],1)),
SUMIF(tabVidros[TIPO],"Produto",tabVidros[VALOR UNITÁRIO P/ POSTO (R$)]),
0))))))</f>
        <v>690.27153277931654</v>
      </c>
      <c r="BB115" s="281">
        <v>0</v>
      </c>
      <c r="BC115" s="236">
        <f>VLOOKUP(tabParametros[[#Headers],[Custos Indiretos]],tabOutrosCustos[],3,0)</f>
        <v>189.64880140242613</v>
      </c>
      <c r="BD115" s="236">
        <f>VLOOKUP(tabParametros[[#Headers],[Lucro]],tabOutrosCustos[],3,0)</f>
        <v>159.30499317803796</v>
      </c>
      <c r="BE115" s="235">
        <f>VLOOKUP(tabParametros[[#Headers],[COFINS]],tabImpostosNacionais[],2,0)</f>
        <v>7.5999999999999998E-2</v>
      </c>
      <c r="BF115" s="235">
        <f>VLOOKUP(tabParametros[[#Headers],[PIS]],tabImpostosNacionais[],2,0)</f>
        <v>1.6500000000000001E-2</v>
      </c>
      <c r="BG115" s="235">
        <f>VLOOKUP(tabParametros[[#This Row],[Comarca]],tabComarca[],4,0)</f>
        <v>0.03</v>
      </c>
      <c r="BH115" s="238">
        <f>IFERROR(VLOOKUP(tabParametros[[#This Row],[CCT DA CATEGORIA]],tabSindicatos[],11,0),"")</f>
        <v>45658</v>
      </c>
      <c r="BI115" s="289" t="str">
        <f>IFERROR(VLOOKUP(tabParametros[[#This Row],[CCT DA CATEGORIA]],tabSindicatos[],12,0),"")</f>
        <v>-</v>
      </c>
      <c r="BJ115" s="293" t="str">
        <f>IFERROR(VLOOKUP(tabParametros[[#This Row],[CCT DA CATEGORIA]],tabSindicatos[],13,0),"")</f>
        <v>-</v>
      </c>
    </row>
    <row r="116" spans="1:62" x14ac:dyDescent="0.25">
      <c r="A116" s="233" t="s">
        <v>1453</v>
      </c>
      <c r="B116" s="198" t="s">
        <v>106</v>
      </c>
      <c r="C116" s="198" t="s">
        <v>1246</v>
      </c>
      <c r="D116" s="198" t="str">
        <f>VLOOKUP(tabParametros[[#This Row],[Código do Posto]],tabPostos[],4,0)</f>
        <v>Itabira</v>
      </c>
      <c r="E116" s="289" t="str">
        <f>VLOOKUP(tabParametros[[#This Row],[Código do Posto]],tabPostos[],5,0)</f>
        <v>Limpeza</v>
      </c>
      <c r="F116" s="289" t="str">
        <f>VLOOKUP(tabParametros[[#This Row],[Código do Posto]],tabPostos[],6,0)</f>
        <v>PGJ</v>
      </c>
      <c r="G116" s="289">
        <f>VLOOKUP(tabParametros[[#This Row],[Código do Posto]],tabPostos[],7,0)</f>
        <v>1</v>
      </c>
      <c r="H116" s="289">
        <f>VLOOKUP(tabParametros[[#This Row],[Código do Posto]],tabPostos[],8,0)</f>
        <v>0</v>
      </c>
      <c r="I116" s="234">
        <f>VLOOKUP(tabParametros[[#This Row],[Código do Posto]],tabPostos[],9,0)</f>
        <v>1124.3900000000001</v>
      </c>
      <c r="J116" s="234">
        <f>IF(ISNUMBER(SEARCH("Eletricista",tabParametros[[#This Row],[Função]],1)),0.3*tabParametros[[#This Row],[Salário Base]],0)</f>
        <v>0</v>
      </c>
      <c r="K116" s="234">
        <f>IF(OR(ISNUMBER(SEARCH("Bombeiro Hidraulico",tabParametros[[#This Row],[Função]],1)),ISNUMBER(SEARCH("Jardineiro",tabParametros[[#This Row],[Função]],1)),ISNUMBER(SEARCH("Lavador de Veiculos",tabParametros[[#This Row],[Função]],1)),ISNUMBER(SEARCH("Marceneiro",tabParametros[[#This Row],[Função]],1)),ISNUMBER(SEARCH("Pintor",tabParametros[[#This Row],[Função]],1))),0.2*'BASE GERAL'!$R$4,0)</f>
        <v>0</v>
      </c>
      <c r="L116" s="234">
        <f>IF(AND(ISNUMBER(SEARCH("Noturno",tabParametros[[#This Row],[Função]],1)),tabParametros[[#This Row],[Comarca]]&lt;&gt;"Juiz de Fora"),tabParametros[[#This Row],[Salário Base]]/210*0.39*7*15.5,IF(ISNUMBER(SEARCH("Noturno",tabParametros[[#This Row],[Função]],1)),tabParametros[[#This Row],[Salário Base]]/210*0.2*8*15.5,0))</f>
        <v>0</v>
      </c>
      <c r="M116" s="234">
        <f>IF(ISNUMBER(SEARCH("Motorista II",tabParametros[[#This Row],[Função]],1)),0.25*tabParametros[[#This Row],[Salário Base]],0)</f>
        <v>0</v>
      </c>
      <c r="N116" s="250">
        <v>0</v>
      </c>
      <c r="O116" s="234">
        <f>IF(ISNUMBER(SEARCH("TECNOLOGIA DA INFORMACAO",tabParametros[[#This Row],[Função]],1)),0.0201*tabParametros[[#This Row],[Salário Base]],0)</f>
        <v>0</v>
      </c>
      <c r="P116" s="250" cm="1">
        <f t="array" ref="P116">_xlfn.IFS(
ISNUMBER(SEARCH("Auxiliar de Limpeza - 75 h",tabParametros[[#This Row],[Função]],1)),tabParametros[[#This Row],[Salário Base]]/75*0.75*30*0.12,
ISNUMBER(SEARCH("Auxiliar de Limpeza - 110 h",tabParametros[[#This Row],[Função]],1)),tabParametros[[#This Row],[Salário Base]]/110*1*30*0.12,
ISNUMBER(SEARCH("Auxiliar de Limpeza - 150 h",tabParametros[[#This Row],[Função]],1)),tabParametros[[#This Row],[Salário Base]]/150*1.5*30*0.12,
ISNUMBER(SEARCH("Auxiliar de Limpeza - 220 h",tabParametros[[#This Row],[Função]],1)),tabParametros[[#This Row],[Salário Base]]/220*2*30*0.12,
ISNUMBER(SEARCH("Auxiliar de Limpeza - 12 x 36",tabParametros[[#This Row],[Função]],1)),tabParametros[[#This Row],[Salário Base]]/220*2*30*0.12,
ISNUMBER(SEARCH("Auxiliar de Limpeza - 55 h",tabParametros[[#This Row],[Função]],1))=FALSE,0)</f>
        <v>40.478040000000007</v>
      </c>
      <c r="Q116" s="235">
        <f>VLOOKUP(tabParametros[[#Headers],[INSS]],tabImpostosNacionais[],2,0)</f>
        <v>0.2</v>
      </c>
      <c r="R116" s="235">
        <f>VLOOKUP(tabParametros[[#Headers],[SESI OU SESC]],tabImpostosNacionais[],2,0)</f>
        <v>1.4999999999999999E-2</v>
      </c>
      <c r="S116" s="235">
        <f>VLOOKUP(tabParametros[[#Headers],[SENAI OU SENAC]],tabImpostosNacionais[],2,0)</f>
        <v>0.01</v>
      </c>
      <c r="T116" s="235">
        <f>VLOOKUP(tabParametros[[#Headers],[INCRA]],tabImpostosNacionais[],2,0)</f>
        <v>2E-3</v>
      </c>
      <c r="U116" s="235">
        <f>VLOOKUP(tabParametros[[#Headers],[Salário Educação]],tabImpostosNacionais[],2,0)</f>
        <v>2.5000000000000001E-2</v>
      </c>
      <c r="V116" s="235">
        <f>VLOOKUP(tabParametros[[#Headers],[FGTS]],tabImpostosNacionais[],2,0)</f>
        <v>0.08</v>
      </c>
      <c r="W116" s="235">
        <f>VLOOKUP(tabParametros[[#Headers],[RAT Ajustado]],tabImpostosNacionais[],2,0)</f>
        <v>0.04</v>
      </c>
      <c r="X116" s="235">
        <f>VLOOKUP(tabParametros[[#Headers],[SEBRAE]],tabImpostosNacionais[],2,0)</f>
        <v>6.0000000000000001E-3</v>
      </c>
      <c r="Y116" s="235">
        <f t="shared" si="11"/>
        <v>8.3333333333333329E-2</v>
      </c>
      <c r="Z116" s="251">
        <f t="shared" si="12"/>
        <v>0.1111111111111111</v>
      </c>
      <c r="AA116" s="234">
        <f>VLOOKUP(tabParametros[[#This Row],[Comarca]],tabComarca[],5,0)</f>
        <v>6.4</v>
      </c>
      <c r="AB116" s="234">
        <f>IFERROR(VLOOKUP(tabParametros[[#This Row],[CCT DA CATEGORIA]],tabSindicatos[],6,0),0)</f>
        <v>29.15</v>
      </c>
      <c r="AC116" s="234">
        <f>IFERROR(VLOOKUP(tabParametros[[#This Row],[CCT DA CATEGORIA]],tabSindicatos[],7,0),0)</f>
        <v>0</v>
      </c>
      <c r="AD116" s="234" cm="1">
        <f t="array" ref="AD116">_xlfn.LET(
_xlpm.COMARCA, TRIM(UPPER(SUBSTITUTE(SUBSTITUTE(SUBSTITUTE(SUBSTITUTE(SUBSTITUTE(SUBSTITUTE(SUBSTITUTE(SUBSTITUTE(SUBSTITUTE(SUBSTITUTE(SUBSTITUTE(SUBSTITUTE(SUBSTITUTE(SUBSTITUTE(SUBSTITUTE(SUBSTITUTE(SUBSTITUTE(SUBSTITUTE(SUBSTITUTE(SUBSTITUTE(SUBSTITUTE(SUBSTITUTE(SUBSTITUTE(SUBSTITUTE(SUBSTITUTE(SUBSTITUTE(tabParametros[[#This Row],[Comarca]],"á","a"),"ã","a"),"â","a"),"é","e"),"ê","e"),"í","i"),"ó","o"),"õ","o"),"ô","o"),"ú","u"),"ç","c"),"Á","a"),"Ã","a"),"Â","a"),"É","e"),"Ê","e"),"Í","i"),"Ó","o"),"Õ","o"),"Ô","o"),"Ú","u"),"Ç","c"),"/MG","")," e ",", ")," ",""),".",""))),
_xlpm.MATRIZ_COMARCA, TRIM(UPPER(SUBSTITUTE(SUBSTITUTE(SUBSTITUTE(SUBSTITUTE(SUBSTITUTE(SUBSTITUTE(SUBSTITUTE(SUBSTITUTE(SUBSTITUTE(SUBSTITUTE(SUBSTITUTE(SUBSTITUTE(SUBSTITUTE(SUBSTITUTE(SUBSTITUTE(SUBSTITUTE(SUBSTITUTE(SUBSTITUTE(SUBSTITUTE(SUBSTITUTE(SUBSTITUTE(SUBSTITUTE(SUBSTITUTE(SUBSTITUTE(SUBSTITUTE(SUBSTITUTE(tabSindicatos[COMARCAS PAF],"á","a"),"ã","a"),"â","a"),"é","e"),"ê","e"),"í","i"),"ó","o"),"õ","o"),"ô","o"),"ú","u"),"ç","c"),"Á","a"),"Ã","a"),"Â","a"),"É","e"),"Ê","e"),"Í","i"),"Ó","o"),"Õ","o"),"Ô","o"),"Ú","u"),"Ç","c"),"/MG","")," e ",", ")," ",""),".",""))),
IFERROR(IF(_xlfn.XLOOKUP(tabParametros[[#This Row],[CCT DA CATEGORIA]],tabSindicatos[SINDICATOS],tabSindicatos[COMARCAS PAF])="",
VLOOKUP(tabParametros[[#This Row],[CCT DA CATEGORIA]],tabSindicatos[],8,0),
IF(ISNUMBER(SEARCH(TRIM(_xlpm.COMARCA),_xlfn.XLOOKUP(tabParametros[[#This Row],[CCT DA CATEGORIA]],tabSindicatos[SINDICATOS],_xlpm.MATRIZ_COMARCA),1)),VLOOKUP(tabParametros[[#This Row],[CCT DA CATEGORIA]],tabSindicatos[],8,0),0)
),0)
)</f>
        <v>51.88</v>
      </c>
      <c r="AE116" s="234">
        <f>IFERROR(VLOOKUP(tabParametros[[#This Row],[CCT DA CATEGORIA]],tabSindicatos[],9,0),0)</f>
        <v>0</v>
      </c>
      <c r="AF116" s="234">
        <f>IFERROR(VLOOKUP(tabParametros[[#This Row],[CCT DA CATEGORIA]],tabSindicatos[],10,0),0)</f>
        <v>0</v>
      </c>
      <c r="AG116" s="236">
        <f>VLOOKUP(tabParametros[[#Headers],[Seguro de Vida]],tabOutrosCustos[],3,0)</f>
        <v>3.36</v>
      </c>
      <c r="AH116" s="236">
        <f>IF(ISNUMBER(SEARCH("MOTORISTA",tabParametros[[#This Row],[Função]],1)),VLOOKUP("MOTORISTAS",tabDiarias[],2,0),IF(tabParametros[[#This Row],[Comarca]]="Belo Horizonte",VLOOKUP("LIMPEZA",tabDiarias[],2,0),0))</f>
        <v>0</v>
      </c>
      <c r="AI116" s="235">
        <f t="shared" si="13"/>
        <v>7.011766975308642E-3</v>
      </c>
      <c r="AJ116" s="237">
        <f>tabParametros[[#This Row],[FGTS]]*tabParametros[[#This Row],[Aviso Prévio Indenizado (API) e Reflexo do Aviso Prévio Indenizado]]</f>
        <v>5.609413580246914E-4</v>
      </c>
      <c r="AK116" s="237">
        <f>tabParametros[[#This Row],[FGTS]]*tabParametros[[#This Row],[Aviso Prévio Indenizado (API) e Reflexo do Aviso Prévio Indenizado]]*40%</f>
        <v>2.2437654320987658E-4</v>
      </c>
      <c r="AL116" s="235">
        <f t="shared" si="14"/>
        <v>3.5000000000000005E-3</v>
      </c>
      <c r="AM116" s="235">
        <f>tabParametros[[#This Row],[Aviso Prévio Trabalhado - APT]]*SUM(tabParametros[[#This Row],[INSS]:[SEBRAE]])</f>
        <v>1.3230000000000004E-3</v>
      </c>
      <c r="AN116" s="235">
        <f t="shared" si="15"/>
        <v>3.0577777777777773E-2</v>
      </c>
      <c r="AO116" s="235">
        <f t="shared" si="16"/>
        <v>8.3333333333333339E-4</v>
      </c>
      <c r="AP116" s="235">
        <f t="shared" si="17"/>
        <v>8.4444444444444437E-3</v>
      </c>
      <c r="AQ116" s="235">
        <f t="shared" si="18"/>
        <v>2.0277777777777777E-3</v>
      </c>
      <c r="AR116" s="235">
        <f t="shared" si="19"/>
        <v>1.7083333333333333E-4</v>
      </c>
      <c r="AS116" s="235">
        <f t="shared" si="20"/>
        <v>2.0833333333333335E-4</v>
      </c>
      <c r="AT116" s="235">
        <f t="shared" si="21"/>
        <v>1.2962962962962963E-3</v>
      </c>
      <c r="AU116" s="237">
        <f>SUM(tabParametros[[#This Row],[Ausência por Doença]:[Férias, Adicional de Férias e 13º  com empregada em gozo de Licença Maternidade]])*SUM(tabParametros[[#This Row],[INSS]:[SEBRAE]])</f>
        <v>4.5918250000000008E-3</v>
      </c>
      <c r="AV116" s="234">
        <f>IF(tabParametros[[#This Row],[Função]]="Porteiro - 220 h",SUM(tabParametros[[#This Row],[Salário Base]:[Adicional de Acúmulo de função]])/220*20*1.5,IF(ISNUMBER(SEARCH("12 x 36",tabParametros[[#This Row],[Função]],1)),SUM(tabParametros[[#This Row],[Salário Base]:[Adicional de Acúmulo de função]])/210*15.5*1.5,0))</f>
        <v>0</v>
      </c>
      <c r="AW116" s="234">
        <f>IF(tabParametros[[#This Row],[Vagas contratadas]]&gt;0,(SUM(tabParametros[[#This Row],[Salário Base]:[Adicional de Acúmulo de função]])*30%+SUM(tabParametros[[#This Row],[Vale - Alimentação]:[Seguro de Vida]]))/tabParametros[[#This Row],[Vagas contratadas]]*tabParametros[[#This Row],[Vagas suspensas]],0)</f>
        <v>0</v>
      </c>
      <c r="AX116" s="234">
        <f>SUMIF(tabUniformes[Cargo],tabParametros[[#This Row],[Função]],tabUniformes[Valor unit. Mensal])</f>
        <v>100.80916666666666</v>
      </c>
      <c r="AY116" s="281">
        <f>IF(ISNUMBER(SEARCH("AUXILIAR DE LIMPEZA - 75 H",tabParametros[[#This Row],[Função]],1)),
SUMIF(tabLimpGeral[TIPO],"Material",tabLimpGeral[VALOR UNITÁRIO P/ HORA (R$)])*75,
IF(ISNUMBER(SEARCH("AUXILIAR DE LIMPEZA - 110 H",tabParametros[[#This Row],[Função]],1)),
SUMIF(tabLimpGeral[TIPO],"Material",tabLimpGeral[VALOR UNITÁRIO P/ HORA (R$)])*110,
IF(ISNUMBER(SEARCH("AUXILIAR DE LIMPEZA - 150 H",tabParametros[[#This Row],[Função]],1)),
SUMIF(tabLimpGeral[TIPO],"Material",tabLimpGeral[VALOR UNITÁRIO P/ HORA (R$)])*150,
IF(ISNUMBER(SEARCH("AUXILIAR DE LIMPEZA - 220 H",tabParametros[[#This Row],[Função]],1)),
SUMIF(tabLimpGeral[TIPO],"Material",tabLimpGeral[VALOR UNITÁRIO P/ HORA (R$)])*220,
IF(ISNUMBER(SEARCH("AUXILIAR DE LIMPEZA - 12 x 36",tabParametros[[#This Row],[Função]],1)),
SUMIF(tabLimpGeral[TIPO],"Material",tabLimpGeral[VALOR UNITÁRIO P/ HORA (R$)])*220,
IF(ISNUMBER(SEARCH("Limpador de vidros - 220 h",tabParametros[[#This Row],[Função]],1)),
SUMIF(tabVidros[TIPO],"Material",tabVidros[VALOR UNITÁRIO P/ POSTO (R$)]),
0))))))</f>
        <v>24.216963380852651</v>
      </c>
      <c r="AZ116" s="281">
        <f>IF(ISNUMBER(SEARCH("AUXILIAR DE LIMPEZA - 75 H",tabParametros[[#This Row],[Função]],1)),
SUMIF(tabLimpGeral[TIPO],"Equipamento",tabLimpGeral[VALOR UNITÁRIO P/ HORA (R$)])*75,
IF(ISNUMBER(SEARCH("AUXILIAR DE LIMPEZA - 110 H",tabParametros[[#This Row],[Função]],1)),
SUMIF(tabLimpGeral[TIPO],"Equipamento",tabLimpGeral[VALOR UNITÁRIO P/ HORA (R$)])*110,
IF(ISNUMBER(SEARCH("AUXILIAR DE LIMPEZA - 150 H",tabParametros[[#This Row],[Função]],1)),
SUMIF(tabLimpGeral[TIPO],"Equipamento",tabLimpGeral[VALOR UNITÁRIO P/ HORA (R$)])*150,
IF(ISNUMBER(SEARCH("AUXILIAR DE LIMPEZA - 220 H",tabParametros[[#This Row],[Função]],1)),
SUMIF(tabLimpGeral[TIPO],"Equipamento",tabLimpGeral[VALOR UNITÁRIO P/ HORA (R$)])*220,
IF(ISNUMBER(SEARCH("AUXILIAR DE LIMPEZA - 12 x 36",tabParametros[[#This Row],[Função]],1)),
SUMIF(tabLimpGeral[TIPO],"Equipamento",tabLimpGeral[VALOR UNITÁRIO P/ HORA (R$)])*220,
IF(ISNUMBER(SEARCH("Limpador de vidros - 220 h",tabParametros[[#This Row],[Função]],1)),
SUMIF(tabVidros[TIPO],"Equipamento",tabVidros[VALOR UNITÁRIO P/ POSTO (R$)]),
0))))))</f>
        <v>43.997314032835618</v>
      </c>
      <c r="BA116" s="281">
        <f>IF(ISNUMBER(SEARCH("AUXILIAR DE LIMPEZA - 75 H",tabParametros[[#This Row],[Função]],1)),
SUMIF(tabLimpGeral[TIPO],"Produto",tabLimpGeral[VALOR UNITÁRIO P/ HORA (R$)])*75,
IF(ISNUMBER(SEARCH("AUXILIAR DE LIMPEZA - 110 H",tabParametros[[#This Row],[Função]],1)),
SUMIF(tabLimpGeral[TIPO],"Produto",tabLimpGeral[VALOR UNITÁRIO P/ HORA (R$)])*110,
IF(ISNUMBER(SEARCH("AUXILIAR DE LIMPEZA - 150 H",tabParametros[[#This Row],[Função]],1)),
SUMIF(tabLimpGeral[TIPO],"Produto",tabLimpGeral[VALOR UNITÁRIO P/ HORA (R$)])*150,
IF(ISNUMBER(SEARCH("AUXILIAR DE LIMPEZA - 220 H",tabParametros[[#This Row],[Função]],1)),
SUMIF(tabLimpGeral[TIPO],"Produto",tabLimpGeral[VALOR UNITÁRIO P/ HORA (R$)])*220,
IF(ISNUMBER(SEARCH("AUXILIAR DE LIMPEZA - 12 x 36",tabParametros[[#This Row],[Função]],1)),
SUMIF(tabLimpGeral[TIPO],"Produto",tabLimpGeral[VALOR UNITÁRIO P/ HORA (R$)])*220,
IF(ISNUMBER(SEARCH("Limpador de vidros - 220 h",tabParametros[[#This Row],[Função]],1)),
SUMIF(tabVidros[TIPO],"Produto",tabVidros[VALOR UNITÁRIO P/ POSTO (R$)]),
0))))))</f>
        <v>470.6396814404431</v>
      </c>
      <c r="BB116" s="281">
        <v>0</v>
      </c>
      <c r="BC116" s="236">
        <f>VLOOKUP(tabParametros[[#Headers],[Custos Indiretos]],tabOutrosCustos[],3,0)</f>
        <v>189.64880140242613</v>
      </c>
      <c r="BD116" s="236">
        <f>VLOOKUP(tabParametros[[#Headers],[Lucro]],tabOutrosCustos[],3,0)</f>
        <v>159.30499317803796</v>
      </c>
      <c r="BE116" s="235">
        <f>VLOOKUP(tabParametros[[#Headers],[COFINS]],tabImpostosNacionais[],2,0)</f>
        <v>7.5999999999999998E-2</v>
      </c>
      <c r="BF116" s="235">
        <f>VLOOKUP(tabParametros[[#Headers],[PIS]],tabImpostosNacionais[],2,0)</f>
        <v>1.6500000000000001E-2</v>
      </c>
      <c r="BG116" s="235">
        <f>VLOOKUP(tabParametros[[#This Row],[Comarca]],tabComarca[],4,0)</f>
        <v>0.03</v>
      </c>
      <c r="BH116" s="238">
        <f>IFERROR(VLOOKUP(tabParametros[[#This Row],[CCT DA CATEGORIA]],tabSindicatos[],11,0),"")</f>
        <v>45658</v>
      </c>
      <c r="BI116" s="289" t="str">
        <f>IFERROR(VLOOKUP(tabParametros[[#This Row],[CCT DA CATEGORIA]],tabSindicatos[],12,0),"")</f>
        <v>-</v>
      </c>
      <c r="BJ116" s="293" t="str">
        <f>IFERROR(VLOOKUP(tabParametros[[#This Row],[CCT DA CATEGORIA]],tabSindicatos[],13,0),"")</f>
        <v>-</v>
      </c>
    </row>
    <row r="117" spans="1:62" x14ac:dyDescent="0.25">
      <c r="A117" s="233" t="s">
        <v>1454</v>
      </c>
      <c r="B117" s="198" t="s">
        <v>107</v>
      </c>
      <c r="C117" s="198" t="s">
        <v>1245</v>
      </c>
      <c r="D117" s="198" t="str">
        <f>VLOOKUP(tabParametros[[#This Row],[Código do Posto]],tabPostos[],4,0)</f>
        <v>Fethemg Interior</v>
      </c>
      <c r="E117" s="289" t="str">
        <f>VLOOKUP(tabParametros[[#This Row],[Código do Posto]],tabPostos[],5,0)</f>
        <v>Limpeza</v>
      </c>
      <c r="F117" s="289" t="str">
        <f>VLOOKUP(tabParametros[[#This Row],[Código do Posto]],tabPostos[],6,0)</f>
        <v>PGJ</v>
      </c>
      <c r="G117" s="289">
        <f>VLOOKUP(tabParametros[[#This Row],[Código do Posto]],tabPostos[],7,0)</f>
        <v>1</v>
      </c>
      <c r="H117" s="289">
        <f>VLOOKUP(tabParametros[[#This Row],[Código do Posto]],tabPostos[],8,0)</f>
        <v>0</v>
      </c>
      <c r="I117" s="234">
        <f>VLOOKUP(tabParametros[[#This Row],[Código do Posto]],tabPostos[],9,0)</f>
        <v>1596.28</v>
      </c>
      <c r="J117" s="234">
        <f>IF(ISNUMBER(SEARCH("Eletricista",tabParametros[[#This Row],[Função]],1)),0.3*tabParametros[[#This Row],[Salário Base]],0)</f>
        <v>0</v>
      </c>
      <c r="K117" s="234">
        <f>IF(OR(ISNUMBER(SEARCH("Bombeiro Hidraulico",tabParametros[[#This Row],[Função]],1)),ISNUMBER(SEARCH("Jardineiro",tabParametros[[#This Row],[Função]],1)),ISNUMBER(SEARCH("Lavador de Veiculos",tabParametros[[#This Row],[Função]],1)),ISNUMBER(SEARCH("Marceneiro",tabParametros[[#This Row],[Função]],1)),ISNUMBER(SEARCH("Pintor",tabParametros[[#This Row],[Função]],1))),0.2*'BASE GERAL'!$R$4,0)</f>
        <v>0</v>
      </c>
      <c r="L117" s="234">
        <f>IF(AND(ISNUMBER(SEARCH("Noturno",tabParametros[[#This Row],[Função]],1)),tabParametros[[#This Row],[Comarca]]&lt;&gt;"Juiz de Fora"),tabParametros[[#This Row],[Salário Base]]/210*0.39*7*15.5,IF(ISNUMBER(SEARCH("Noturno",tabParametros[[#This Row],[Função]],1)),tabParametros[[#This Row],[Salário Base]]/210*0.2*8*15.5,0))</f>
        <v>0</v>
      </c>
      <c r="M117" s="234">
        <f>IF(ISNUMBER(SEARCH("Motorista II",tabParametros[[#This Row],[Função]],1)),0.25*tabParametros[[#This Row],[Salário Base]],0)</f>
        <v>0</v>
      </c>
      <c r="N117" s="250">
        <v>0</v>
      </c>
      <c r="O117" s="234">
        <f>IF(ISNUMBER(SEARCH("TECNOLOGIA DA INFORMACAO",tabParametros[[#This Row],[Função]],1)),0.0201*tabParametros[[#This Row],[Salário Base]],0)</f>
        <v>0</v>
      </c>
      <c r="P117" s="250" cm="1">
        <f t="array" ref="P117">_xlfn.IFS(
ISNUMBER(SEARCH("Auxiliar de Limpeza - 75 h",tabParametros[[#This Row],[Função]],1)),tabParametros[[#This Row],[Salário Base]]/75*0.75*30*0.12,
ISNUMBER(SEARCH("Auxiliar de Limpeza - 110 h",tabParametros[[#This Row],[Função]],1)),tabParametros[[#This Row],[Salário Base]]/110*1*30*0.12,
ISNUMBER(SEARCH("Auxiliar de Limpeza - 150 h",tabParametros[[#This Row],[Função]],1)),tabParametros[[#This Row],[Salário Base]]/150*1.5*30*0.12,
ISNUMBER(SEARCH("Auxiliar de Limpeza - 220 h",tabParametros[[#This Row],[Função]],1)),tabParametros[[#This Row],[Salário Base]]/220*2*30*0.12,
ISNUMBER(SEARCH("Auxiliar de Limpeza - 12 x 36",tabParametros[[#This Row],[Função]],1)),tabParametros[[#This Row],[Salário Base]]/220*2*30*0.12,
ISNUMBER(SEARCH("Auxiliar de Limpeza - 55 h",tabParametros[[#This Row],[Função]],1))=FALSE,0)</f>
        <v>52.241890909090905</v>
      </c>
      <c r="Q117" s="235">
        <f>VLOOKUP(tabParametros[[#Headers],[INSS]],tabImpostosNacionais[],2,0)</f>
        <v>0.2</v>
      </c>
      <c r="R117" s="235">
        <f>VLOOKUP(tabParametros[[#Headers],[SESI OU SESC]],tabImpostosNacionais[],2,0)</f>
        <v>1.4999999999999999E-2</v>
      </c>
      <c r="S117" s="235">
        <f>VLOOKUP(tabParametros[[#Headers],[SENAI OU SENAC]],tabImpostosNacionais[],2,0)</f>
        <v>0.01</v>
      </c>
      <c r="T117" s="235">
        <f>VLOOKUP(tabParametros[[#Headers],[INCRA]],tabImpostosNacionais[],2,0)</f>
        <v>2E-3</v>
      </c>
      <c r="U117" s="235">
        <f>VLOOKUP(tabParametros[[#Headers],[Salário Educação]],tabImpostosNacionais[],2,0)</f>
        <v>2.5000000000000001E-2</v>
      </c>
      <c r="V117" s="235">
        <f>VLOOKUP(tabParametros[[#Headers],[FGTS]],tabImpostosNacionais[],2,0)</f>
        <v>0.08</v>
      </c>
      <c r="W117" s="235">
        <f>VLOOKUP(tabParametros[[#Headers],[RAT Ajustado]],tabImpostosNacionais[],2,0)</f>
        <v>0.04</v>
      </c>
      <c r="X117" s="235">
        <f>VLOOKUP(tabParametros[[#Headers],[SEBRAE]],tabImpostosNacionais[],2,0)</f>
        <v>6.0000000000000001E-3</v>
      </c>
      <c r="Y117" s="235">
        <f t="shared" si="11"/>
        <v>8.3333333333333329E-2</v>
      </c>
      <c r="Z117" s="251">
        <f t="shared" si="12"/>
        <v>0.1111111111111111</v>
      </c>
      <c r="AA117" s="234">
        <f>VLOOKUP(tabParametros[[#This Row],[Comarca]],tabComarca[],5,0)</f>
        <v>6.4</v>
      </c>
      <c r="AB117" s="234">
        <f>IFERROR(VLOOKUP(tabParametros[[#This Row],[CCT DA CATEGORIA]],tabSindicatos[],6,0),0)</f>
        <v>29.15</v>
      </c>
      <c r="AC117" s="234">
        <f>IFERROR(VLOOKUP(tabParametros[[#This Row],[CCT DA CATEGORIA]],tabSindicatos[],7,0),0)</f>
        <v>0</v>
      </c>
      <c r="AD117" s="234" cm="1">
        <f t="array" ref="AD117">_xlfn.LET(
_xlpm.COMARCA, TRIM(UPPER(SUBSTITUTE(SUBSTITUTE(SUBSTITUTE(SUBSTITUTE(SUBSTITUTE(SUBSTITUTE(SUBSTITUTE(SUBSTITUTE(SUBSTITUTE(SUBSTITUTE(SUBSTITUTE(SUBSTITUTE(SUBSTITUTE(SUBSTITUTE(SUBSTITUTE(SUBSTITUTE(SUBSTITUTE(SUBSTITUTE(SUBSTITUTE(SUBSTITUTE(SUBSTITUTE(SUBSTITUTE(SUBSTITUTE(SUBSTITUTE(SUBSTITUTE(SUBSTITUTE(tabParametros[[#This Row],[Comarca]],"á","a"),"ã","a"),"â","a"),"é","e"),"ê","e"),"í","i"),"ó","o"),"õ","o"),"ô","o"),"ú","u"),"ç","c"),"Á","a"),"Ã","a"),"Â","a"),"É","e"),"Ê","e"),"Í","i"),"Ó","o"),"Õ","o"),"Ô","o"),"Ú","u"),"Ç","c"),"/MG","")," e ",", ")," ",""),".",""))),
_xlpm.MATRIZ_COMARCA, TRIM(UPPER(SUBSTITUTE(SUBSTITUTE(SUBSTITUTE(SUBSTITUTE(SUBSTITUTE(SUBSTITUTE(SUBSTITUTE(SUBSTITUTE(SUBSTITUTE(SUBSTITUTE(SUBSTITUTE(SUBSTITUTE(SUBSTITUTE(SUBSTITUTE(SUBSTITUTE(SUBSTITUTE(SUBSTITUTE(SUBSTITUTE(SUBSTITUTE(SUBSTITUTE(SUBSTITUTE(SUBSTITUTE(SUBSTITUTE(SUBSTITUTE(SUBSTITUTE(SUBSTITUTE(tabSindicatos[COMARCAS PAF],"á","a"),"ã","a"),"â","a"),"é","e"),"ê","e"),"í","i"),"ó","o"),"õ","o"),"ô","o"),"ú","u"),"ç","c"),"Á","a"),"Ã","a"),"Â","a"),"É","e"),"Ê","e"),"Í","i"),"Ó","o"),"Õ","o"),"Ô","o"),"Ú","u"),"Ç","c"),"/MG","")," e ",", ")," ",""),".",""))),
IFERROR(IF(_xlfn.XLOOKUP(tabParametros[[#This Row],[CCT DA CATEGORIA]],tabSindicatos[SINDICATOS],tabSindicatos[COMARCAS PAF])="",
VLOOKUP(tabParametros[[#This Row],[CCT DA CATEGORIA]],tabSindicatos[],8,0),
IF(ISNUMBER(SEARCH(TRIM(_xlpm.COMARCA),_xlfn.XLOOKUP(tabParametros[[#This Row],[CCT DA CATEGORIA]],tabSindicatos[SINDICATOS],_xlpm.MATRIZ_COMARCA),1)),VLOOKUP(tabParametros[[#This Row],[CCT DA CATEGORIA]],tabSindicatos[],8,0),0)
),0)
)</f>
        <v>0</v>
      </c>
      <c r="AE117" s="234">
        <f>IFERROR(VLOOKUP(tabParametros[[#This Row],[CCT DA CATEGORIA]],tabSindicatos[],9,0),0)</f>
        <v>15.07</v>
      </c>
      <c r="AF117" s="234">
        <f>IFERROR(VLOOKUP(tabParametros[[#This Row],[CCT DA CATEGORIA]],tabSindicatos[],10,0),0)</f>
        <v>0</v>
      </c>
      <c r="AG117" s="236">
        <f>VLOOKUP(tabParametros[[#Headers],[Seguro de Vida]],tabOutrosCustos[],3,0)</f>
        <v>3.36</v>
      </c>
      <c r="AH117" s="236">
        <f>IF(ISNUMBER(SEARCH("MOTORISTA",tabParametros[[#This Row],[Função]],1)),VLOOKUP("MOTORISTAS",tabDiarias[],2,0),IF(tabParametros[[#This Row],[Comarca]]="Belo Horizonte",VLOOKUP("LIMPEZA",tabDiarias[],2,0),0))</f>
        <v>0</v>
      </c>
      <c r="AI117" s="235">
        <f t="shared" si="13"/>
        <v>7.011766975308642E-3</v>
      </c>
      <c r="AJ117" s="237">
        <f>tabParametros[[#This Row],[FGTS]]*tabParametros[[#This Row],[Aviso Prévio Indenizado (API) e Reflexo do Aviso Prévio Indenizado]]</f>
        <v>5.609413580246914E-4</v>
      </c>
      <c r="AK117" s="237">
        <f>tabParametros[[#This Row],[FGTS]]*tabParametros[[#This Row],[Aviso Prévio Indenizado (API) e Reflexo do Aviso Prévio Indenizado]]*40%</f>
        <v>2.2437654320987658E-4</v>
      </c>
      <c r="AL117" s="235">
        <f t="shared" si="14"/>
        <v>3.5000000000000005E-3</v>
      </c>
      <c r="AM117" s="235">
        <f>tabParametros[[#This Row],[Aviso Prévio Trabalhado - APT]]*SUM(tabParametros[[#This Row],[INSS]:[SEBRAE]])</f>
        <v>1.3230000000000004E-3</v>
      </c>
      <c r="AN117" s="235">
        <f t="shared" si="15"/>
        <v>3.0577777777777773E-2</v>
      </c>
      <c r="AO117" s="235">
        <f t="shared" si="16"/>
        <v>8.3333333333333339E-4</v>
      </c>
      <c r="AP117" s="235">
        <f t="shared" si="17"/>
        <v>8.4444444444444437E-3</v>
      </c>
      <c r="AQ117" s="235">
        <f t="shared" si="18"/>
        <v>2.0277777777777777E-3</v>
      </c>
      <c r="AR117" s="235">
        <f t="shared" si="19"/>
        <v>1.7083333333333333E-4</v>
      </c>
      <c r="AS117" s="235">
        <f t="shared" si="20"/>
        <v>2.0833333333333335E-4</v>
      </c>
      <c r="AT117" s="235">
        <f t="shared" si="21"/>
        <v>1.2962962962962963E-3</v>
      </c>
      <c r="AU117" s="237">
        <f>SUM(tabParametros[[#This Row],[Ausência por Doença]:[Férias, Adicional de Férias e 13º  com empregada em gozo de Licença Maternidade]])*SUM(tabParametros[[#This Row],[INSS]:[SEBRAE]])</f>
        <v>4.5918250000000008E-3</v>
      </c>
      <c r="AV117" s="234">
        <f>IF(tabParametros[[#This Row],[Função]]="Porteiro - 220 h",SUM(tabParametros[[#This Row],[Salário Base]:[Adicional de Acúmulo de função]])/220*20*1.5,IF(ISNUMBER(SEARCH("12 x 36",tabParametros[[#This Row],[Função]],1)),SUM(tabParametros[[#This Row],[Salário Base]:[Adicional de Acúmulo de função]])/210*15.5*1.5,0))</f>
        <v>0</v>
      </c>
      <c r="AW117" s="234">
        <f>IF(tabParametros[[#This Row],[Vagas contratadas]]&gt;0,(SUM(tabParametros[[#This Row],[Salário Base]:[Adicional de Acúmulo de função]])*30%+SUM(tabParametros[[#This Row],[Vale - Alimentação]:[Seguro de Vida]]))/tabParametros[[#This Row],[Vagas contratadas]]*tabParametros[[#This Row],[Vagas suspensas]],0)</f>
        <v>0</v>
      </c>
      <c r="AX117" s="234">
        <f>SUMIF(tabUniformes[Cargo],tabParametros[[#This Row],[Função]],tabUniformes[Valor unit. Mensal])</f>
        <v>100.80916666666666</v>
      </c>
      <c r="AY117" s="281">
        <f>IF(ISNUMBER(SEARCH("AUXILIAR DE LIMPEZA - 75 H",tabParametros[[#This Row],[Função]],1)),
SUMIF(tabLimpGeral[TIPO],"Material",tabLimpGeral[VALOR UNITÁRIO P/ HORA (R$)])*75,
IF(ISNUMBER(SEARCH("AUXILIAR DE LIMPEZA - 110 H",tabParametros[[#This Row],[Função]],1)),
SUMIF(tabLimpGeral[TIPO],"Material",tabLimpGeral[VALOR UNITÁRIO P/ HORA (R$)])*110,
IF(ISNUMBER(SEARCH("AUXILIAR DE LIMPEZA - 150 H",tabParametros[[#This Row],[Função]],1)),
SUMIF(tabLimpGeral[TIPO],"Material",tabLimpGeral[VALOR UNITÁRIO P/ HORA (R$)])*150,
IF(ISNUMBER(SEARCH("AUXILIAR DE LIMPEZA - 220 H",tabParametros[[#This Row],[Função]],1)),
SUMIF(tabLimpGeral[TIPO],"Material",tabLimpGeral[VALOR UNITÁRIO P/ HORA (R$)])*220,
IF(ISNUMBER(SEARCH("AUXILIAR DE LIMPEZA - 12 x 36",tabParametros[[#This Row],[Função]],1)),
SUMIF(tabLimpGeral[TIPO],"Material",tabLimpGeral[VALOR UNITÁRIO P/ HORA (R$)])*220,
IF(ISNUMBER(SEARCH("Limpador de vidros - 220 h",tabParametros[[#This Row],[Função]],1)),
SUMIF(tabVidros[TIPO],"Material",tabVidros[VALOR UNITÁRIO P/ POSTO (R$)]),
0))))))</f>
        <v>35.518212958583888</v>
      </c>
      <c r="AZ117" s="281">
        <f>IF(ISNUMBER(SEARCH("AUXILIAR DE LIMPEZA - 75 H",tabParametros[[#This Row],[Função]],1)),
SUMIF(tabLimpGeral[TIPO],"Equipamento",tabLimpGeral[VALOR UNITÁRIO P/ HORA (R$)])*75,
IF(ISNUMBER(SEARCH("AUXILIAR DE LIMPEZA - 110 H",tabParametros[[#This Row],[Função]],1)),
SUMIF(tabLimpGeral[TIPO],"Equipamento",tabLimpGeral[VALOR UNITÁRIO P/ HORA (R$)])*110,
IF(ISNUMBER(SEARCH("AUXILIAR DE LIMPEZA - 150 H",tabParametros[[#This Row],[Função]],1)),
SUMIF(tabLimpGeral[TIPO],"Equipamento",tabLimpGeral[VALOR UNITÁRIO P/ HORA (R$)])*150,
IF(ISNUMBER(SEARCH("AUXILIAR DE LIMPEZA - 220 H",tabParametros[[#This Row],[Função]],1)),
SUMIF(tabLimpGeral[TIPO],"Equipamento",tabLimpGeral[VALOR UNITÁRIO P/ HORA (R$)])*220,
IF(ISNUMBER(SEARCH("AUXILIAR DE LIMPEZA - 12 x 36",tabParametros[[#This Row],[Função]],1)),
SUMIF(tabLimpGeral[TIPO],"Equipamento",tabLimpGeral[VALOR UNITÁRIO P/ HORA (R$)])*220,
IF(ISNUMBER(SEARCH("Limpador de vidros - 220 h",tabParametros[[#This Row],[Função]],1)),
SUMIF(tabVidros[TIPO],"Equipamento",tabVidros[VALOR UNITÁRIO P/ POSTO (R$)]),
0))))))</f>
        <v>64.529393914825576</v>
      </c>
      <c r="BA117" s="281">
        <f>IF(ISNUMBER(SEARCH("AUXILIAR DE LIMPEZA - 75 H",tabParametros[[#This Row],[Função]],1)),
SUMIF(tabLimpGeral[TIPO],"Produto",tabLimpGeral[VALOR UNITÁRIO P/ HORA (R$)])*75,
IF(ISNUMBER(SEARCH("AUXILIAR DE LIMPEZA - 110 H",tabParametros[[#This Row],[Função]],1)),
SUMIF(tabLimpGeral[TIPO],"Produto",tabLimpGeral[VALOR UNITÁRIO P/ HORA (R$)])*110,
IF(ISNUMBER(SEARCH("AUXILIAR DE LIMPEZA - 150 H",tabParametros[[#This Row],[Função]],1)),
SUMIF(tabLimpGeral[TIPO],"Produto",tabLimpGeral[VALOR UNITÁRIO P/ HORA (R$)])*150,
IF(ISNUMBER(SEARCH("AUXILIAR DE LIMPEZA - 220 H",tabParametros[[#This Row],[Função]],1)),
SUMIF(tabLimpGeral[TIPO],"Produto",tabLimpGeral[VALOR UNITÁRIO P/ HORA (R$)])*220,
IF(ISNUMBER(SEARCH("AUXILIAR DE LIMPEZA - 12 x 36",tabParametros[[#This Row],[Função]],1)),
SUMIF(tabLimpGeral[TIPO],"Produto",tabLimpGeral[VALOR UNITÁRIO P/ HORA (R$)])*220,
IF(ISNUMBER(SEARCH("Limpador de vidros - 220 h",tabParametros[[#This Row],[Função]],1)),
SUMIF(tabVidros[TIPO],"Produto",tabVidros[VALOR UNITÁRIO P/ POSTO (R$)]),
0))))))</f>
        <v>690.27153277931654</v>
      </c>
      <c r="BB117" s="281">
        <v>0</v>
      </c>
      <c r="BC117" s="236">
        <f>VLOOKUP(tabParametros[[#Headers],[Custos Indiretos]],tabOutrosCustos[],3,0)</f>
        <v>189.64880140242613</v>
      </c>
      <c r="BD117" s="236">
        <f>VLOOKUP(tabParametros[[#Headers],[Lucro]],tabOutrosCustos[],3,0)</f>
        <v>159.30499317803796</v>
      </c>
      <c r="BE117" s="235">
        <f>VLOOKUP(tabParametros[[#Headers],[COFINS]],tabImpostosNacionais[],2,0)</f>
        <v>7.5999999999999998E-2</v>
      </c>
      <c r="BF117" s="235">
        <f>VLOOKUP(tabParametros[[#Headers],[PIS]],tabImpostosNacionais[],2,0)</f>
        <v>1.6500000000000001E-2</v>
      </c>
      <c r="BG117" s="235">
        <f>VLOOKUP(tabParametros[[#This Row],[Comarca]],tabComarca[],4,0)</f>
        <v>0.03</v>
      </c>
      <c r="BH117" s="238">
        <f>IFERROR(VLOOKUP(tabParametros[[#This Row],[CCT DA CATEGORIA]],tabSindicatos[],11,0),"")</f>
        <v>45658</v>
      </c>
      <c r="BI117" s="289" t="str">
        <f>IFERROR(VLOOKUP(tabParametros[[#This Row],[CCT DA CATEGORIA]],tabSindicatos[],12,0),"")</f>
        <v>-</v>
      </c>
      <c r="BJ117" s="293" t="str">
        <f>IFERROR(VLOOKUP(tabParametros[[#This Row],[CCT DA CATEGORIA]],tabSindicatos[],13,0),"")</f>
        <v>-</v>
      </c>
    </row>
    <row r="118" spans="1:62" x14ac:dyDescent="0.25">
      <c r="A118" s="233" t="s">
        <v>1455</v>
      </c>
      <c r="B118" s="198" t="s">
        <v>108</v>
      </c>
      <c r="C118" s="198" t="s">
        <v>1247</v>
      </c>
      <c r="D118" s="198" t="str">
        <f>VLOOKUP(tabParametros[[#This Row],[Código do Posto]],tabPostos[],4,0)</f>
        <v>Fethemg Interior</v>
      </c>
      <c r="E118" s="289" t="str">
        <f>VLOOKUP(tabParametros[[#This Row],[Código do Posto]],tabPostos[],5,0)</f>
        <v>Limpeza</v>
      </c>
      <c r="F118" s="289" t="str">
        <f>VLOOKUP(tabParametros[[#This Row],[Código do Posto]],tabPostos[],6,0)</f>
        <v>PGJ</v>
      </c>
      <c r="G118" s="289">
        <f>VLOOKUP(tabParametros[[#This Row],[Código do Posto]],tabPostos[],7,0)</f>
        <v>1</v>
      </c>
      <c r="H118" s="289">
        <f>VLOOKUP(tabParametros[[#This Row],[Código do Posto]],tabPostos[],8,0)</f>
        <v>0</v>
      </c>
      <c r="I118" s="234">
        <f>VLOOKUP(tabParametros[[#This Row],[Código do Posto]],tabPostos[],9,0)</f>
        <v>544.17999999999995</v>
      </c>
      <c r="J118" s="234">
        <f>IF(ISNUMBER(SEARCH("Eletricista",tabParametros[[#This Row],[Função]],1)),0.3*tabParametros[[#This Row],[Salário Base]],0)</f>
        <v>0</v>
      </c>
      <c r="K118" s="234">
        <f>IF(OR(ISNUMBER(SEARCH("Bombeiro Hidraulico",tabParametros[[#This Row],[Função]],1)),ISNUMBER(SEARCH("Jardineiro",tabParametros[[#This Row],[Função]],1)),ISNUMBER(SEARCH("Lavador de Veiculos",tabParametros[[#This Row],[Função]],1)),ISNUMBER(SEARCH("Marceneiro",tabParametros[[#This Row],[Função]],1)),ISNUMBER(SEARCH("Pintor",tabParametros[[#This Row],[Função]],1))),0.2*'BASE GERAL'!$R$4,0)</f>
        <v>0</v>
      </c>
      <c r="L118" s="234">
        <f>IF(AND(ISNUMBER(SEARCH("Noturno",tabParametros[[#This Row],[Função]],1)),tabParametros[[#This Row],[Comarca]]&lt;&gt;"Juiz de Fora"),tabParametros[[#This Row],[Salário Base]]/210*0.39*7*15.5,IF(ISNUMBER(SEARCH("Noturno",tabParametros[[#This Row],[Função]],1)),tabParametros[[#This Row],[Salário Base]]/210*0.2*8*15.5,0))</f>
        <v>0</v>
      </c>
      <c r="M118" s="234">
        <f>IF(ISNUMBER(SEARCH("Motorista II",tabParametros[[#This Row],[Função]],1)),0.25*tabParametros[[#This Row],[Salário Base]],0)</f>
        <v>0</v>
      </c>
      <c r="N118" s="250">
        <v>0</v>
      </c>
      <c r="O118" s="234">
        <f>IF(ISNUMBER(SEARCH("TECNOLOGIA DA INFORMACAO",tabParametros[[#This Row],[Função]],1)),0.0201*tabParametros[[#This Row],[Salário Base]],0)</f>
        <v>0</v>
      </c>
      <c r="P118" s="250" cm="1">
        <f t="array" ref="P118">_xlfn.IFS(
ISNUMBER(SEARCH("Auxiliar de Limpeza - 75 h",tabParametros[[#This Row],[Função]],1)),tabParametros[[#This Row],[Salário Base]]/75*0.75*30*0.12,
ISNUMBER(SEARCH("Auxiliar de Limpeza - 110 h",tabParametros[[#This Row],[Função]],1)),tabParametros[[#This Row],[Salário Base]]/110*1*30*0.12,
ISNUMBER(SEARCH("Auxiliar de Limpeza - 150 h",tabParametros[[#This Row],[Função]],1)),tabParametros[[#This Row],[Salário Base]]/150*1.5*30*0.12,
ISNUMBER(SEARCH("Auxiliar de Limpeza - 220 h",tabParametros[[#This Row],[Função]],1)),tabParametros[[#This Row],[Salário Base]]/220*2*30*0.12,
ISNUMBER(SEARCH("Auxiliar de Limpeza - 12 x 36",tabParametros[[#This Row],[Função]],1)),tabParametros[[#This Row],[Salário Base]]/220*2*30*0.12,
ISNUMBER(SEARCH("Auxiliar de Limpeza - 55 h",tabParametros[[#This Row],[Função]],1))=FALSE,0)</f>
        <v>19.590479999999999</v>
      </c>
      <c r="Q118" s="235">
        <f>VLOOKUP(tabParametros[[#Headers],[INSS]],tabImpostosNacionais[],2,0)</f>
        <v>0.2</v>
      </c>
      <c r="R118" s="235">
        <f>VLOOKUP(tabParametros[[#Headers],[SESI OU SESC]],tabImpostosNacionais[],2,0)</f>
        <v>1.4999999999999999E-2</v>
      </c>
      <c r="S118" s="235">
        <f>VLOOKUP(tabParametros[[#Headers],[SENAI OU SENAC]],tabImpostosNacionais[],2,0)</f>
        <v>0.01</v>
      </c>
      <c r="T118" s="235">
        <f>VLOOKUP(tabParametros[[#Headers],[INCRA]],tabImpostosNacionais[],2,0)</f>
        <v>2E-3</v>
      </c>
      <c r="U118" s="235">
        <f>VLOOKUP(tabParametros[[#Headers],[Salário Educação]],tabImpostosNacionais[],2,0)</f>
        <v>2.5000000000000001E-2</v>
      </c>
      <c r="V118" s="235">
        <f>VLOOKUP(tabParametros[[#Headers],[FGTS]],tabImpostosNacionais[],2,0)</f>
        <v>0.08</v>
      </c>
      <c r="W118" s="235">
        <f>VLOOKUP(tabParametros[[#Headers],[RAT Ajustado]],tabImpostosNacionais[],2,0)</f>
        <v>0.04</v>
      </c>
      <c r="X118" s="235">
        <f>VLOOKUP(tabParametros[[#Headers],[SEBRAE]],tabImpostosNacionais[],2,0)</f>
        <v>6.0000000000000001E-3</v>
      </c>
      <c r="Y118" s="235">
        <f t="shared" si="11"/>
        <v>8.3333333333333329E-2</v>
      </c>
      <c r="Z118" s="251">
        <f t="shared" si="12"/>
        <v>0.1111111111111111</v>
      </c>
      <c r="AA118" s="234">
        <f>VLOOKUP(tabParametros[[#This Row],[Comarca]],tabComarca[],5,0)</f>
        <v>6.4</v>
      </c>
      <c r="AB118" s="234">
        <f>IFERROR(VLOOKUP(tabParametros[[#This Row],[CCT DA CATEGORIA]],tabSindicatos[],6,0),0)</f>
        <v>29.15</v>
      </c>
      <c r="AC118" s="234">
        <f>IFERROR(VLOOKUP(tabParametros[[#This Row],[CCT DA CATEGORIA]],tabSindicatos[],7,0),0)</f>
        <v>0</v>
      </c>
      <c r="AD118" s="234" cm="1">
        <f t="array" ref="AD118">_xlfn.LET(
_xlpm.COMARCA, TRIM(UPPER(SUBSTITUTE(SUBSTITUTE(SUBSTITUTE(SUBSTITUTE(SUBSTITUTE(SUBSTITUTE(SUBSTITUTE(SUBSTITUTE(SUBSTITUTE(SUBSTITUTE(SUBSTITUTE(SUBSTITUTE(SUBSTITUTE(SUBSTITUTE(SUBSTITUTE(SUBSTITUTE(SUBSTITUTE(SUBSTITUTE(SUBSTITUTE(SUBSTITUTE(SUBSTITUTE(SUBSTITUTE(SUBSTITUTE(SUBSTITUTE(SUBSTITUTE(SUBSTITUTE(tabParametros[[#This Row],[Comarca]],"á","a"),"ã","a"),"â","a"),"é","e"),"ê","e"),"í","i"),"ó","o"),"õ","o"),"ô","o"),"ú","u"),"ç","c"),"Á","a"),"Ã","a"),"Â","a"),"É","e"),"Ê","e"),"Í","i"),"Ó","o"),"Õ","o"),"Ô","o"),"Ú","u"),"Ç","c"),"/MG","")," e ",", ")," ",""),".",""))),
_xlpm.MATRIZ_COMARCA, TRIM(UPPER(SUBSTITUTE(SUBSTITUTE(SUBSTITUTE(SUBSTITUTE(SUBSTITUTE(SUBSTITUTE(SUBSTITUTE(SUBSTITUTE(SUBSTITUTE(SUBSTITUTE(SUBSTITUTE(SUBSTITUTE(SUBSTITUTE(SUBSTITUTE(SUBSTITUTE(SUBSTITUTE(SUBSTITUTE(SUBSTITUTE(SUBSTITUTE(SUBSTITUTE(SUBSTITUTE(SUBSTITUTE(SUBSTITUTE(SUBSTITUTE(SUBSTITUTE(SUBSTITUTE(tabSindicatos[COMARCAS PAF],"á","a"),"ã","a"),"â","a"),"é","e"),"ê","e"),"í","i"),"ó","o"),"õ","o"),"ô","o"),"ú","u"),"ç","c"),"Á","a"),"Ã","a"),"Â","a"),"É","e"),"Ê","e"),"Í","i"),"Ó","o"),"Õ","o"),"Ô","o"),"Ú","u"),"Ç","c"),"/MG","")," e ",", ")," ",""),".",""))),
IFERROR(IF(_xlfn.XLOOKUP(tabParametros[[#This Row],[CCT DA CATEGORIA]],tabSindicatos[SINDICATOS],tabSindicatos[COMARCAS PAF])="",
VLOOKUP(tabParametros[[#This Row],[CCT DA CATEGORIA]],tabSindicatos[],8,0),
IF(ISNUMBER(SEARCH(TRIM(_xlpm.COMARCA),_xlfn.XLOOKUP(tabParametros[[#This Row],[CCT DA CATEGORIA]],tabSindicatos[SINDICATOS],_xlpm.MATRIZ_COMARCA),1)),VLOOKUP(tabParametros[[#This Row],[CCT DA CATEGORIA]],tabSindicatos[],8,0),0)
),0)
)</f>
        <v>0</v>
      </c>
      <c r="AE118" s="234">
        <f>IFERROR(VLOOKUP(tabParametros[[#This Row],[CCT DA CATEGORIA]],tabSindicatos[],9,0),0)</f>
        <v>15.07</v>
      </c>
      <c r="AF118" s="234">
        <f>IFERROR(VLOOKUP(tabParametros[[#This Row],[CCT DA CATEGORIA]],tabSindicatos[],10,0),0)</f>
        <v>0</v>
      </c>
      <c r="AG118" s="236">
        <f>VLOOKUP(tabParametros[[#Headers],[Seguro de Vida]],tabOutrosCustos[],3,0)</f>
        <v>3.36</v>
      </c>
      <c r="AH118" s="236">
        <f>IF(ISNUMBER(SEARCH("MOTORISTA",tabParametros[[#This Row],[Função]],1)),VLOOKUP("MOTORISTAS",tabDiarias[],2,0),IF(tabParametros[[#This Row],[Comarca]]="Belo Horizonte",VLOOKUP("LIMPEZA",tabDiarias[],2,0),0))</f>
        <v>0</v>
      </c>
      <c r="AI118" s="235">
        <f t="shared" si="13"/>
        <v>7.011766975308642E-3</v>
      </c>
      <c r="AJ118" s="237">
        <f>tabParametros[[#This Row],[FGTS]]*tabParametros[[#This Row],[Aviso Prévio Indenizado (API) e Reflexo do Aviso Prévio Indenizado]]</f>
        <v>5.609413580246914E-4</v>
      </c>
      <c r="AK118" s="237">
        <f>tabParametros[[#This Row],[FGTS]]*tabParametros[[#This Row],[Aviso Prévio Indenizado (API) e Reflexo do Aviso Prévio Indenizado]]*40%</f>
        <v>2.2437654320987658E-4</v>
      </c>
      <c r="AL118" s="235">
        <f t="shared" si="14"/>
        <v>3.5000000000000005E-3</v>
      </c>
      <c r="AM118" s="235">
        <f>tabParametros[[#This Row],[Aviso Prévio Trabalhado - APT]]*SUM(tabParametros[[#This Row],[INSS]:[SEBRAE]])</f>
        <v>1.3230000000000004E-3</v>
      </c>
      <c r="AN118" s="235">
        <f t="shared" si="15"/>
        <v>3.0577777777777773E-2</v>
      </c>
      <c r="AO118" s="235">
        <f t="shared" si="16"/>
        <v>8.3333333333333339E-4</v>
      </c>
      <c r="AP118" s="235">
        <f t="shared" si="17"/>
        <v>8.4444444444444437E-3</v>
      </c>
      <c r="AQ118" s="235">
        <f t="shared" si="18"/>
        <v>2.0277777777777777E-3</v>
      </c>
      <c r="AR118" s="235">
        <f t="shared" si="19"/>
        <v>1.7083333333333333E-4</v>
      </c>
      <c r="AS118" s="235">
        <f t="shared" si="20"/>
        <v>2.0833333333333335E-4</v>
      </c>
      <c r="AT118" s="235">
        <f t="shared" si="21"/>
        <v>1.2962962962962963E-3</v>
      </c>
      <c r="AU118" s="237">
        <f>SUM(tabParametros[[#This Row],[Ausência por Doença]:[Férias, Adicional de Férias e 13º  com empregada em gozo de Licença Maternidade]])*SUM(tabParametros[[#This Row],[INSS]:[SEBRAE]])</f>
        <v>4.5918250000000008E-3</v>
      </c>
      <c r="AV118" s="234">
        <f>IF(tabParametros[[#This Row],[Função]]="Porteiro - 220 h",SUM(tabParametros[[#This Row],[Salário Base]:[Adicional de Acúmulo de função]])/220*20*1.5,IF(ISNUMBER(SEARCH("12 x 36",tabParametros[[#This Row],[Função]],1)),SUM(tabParametros[[#This Row],[Salário Base]:[Adicional de Acúmulo de função]])/210*15.5*1.5,0))</f>
        <v>0</v>
      </c>
      <c r="AW118" s="234">
        <f>IF(tabParametros[[#This Row],[Vagas contratadas]]&gt;0,(SUM(tabParametros[[#This Row],[Salário Base]:[Adicional de Acúmulo de função]])*30%+SUM(tabParametros[[#This Row],[Vale - Alimentação]:[Seguro de Vida]]))/tabParametros[[#This Row],[Vagas contratadas]]*tabParametros[[#This Row],[Vagas suspensas]],0)</f>
        <v>0</v>
      </c>
      <c r="AX118" s="234">
        <f>SUMIF(tabUniformes[Cargo],tabParametros[[#This Row],[Função]],tabUniformes[Valor unit. Mensal])</f>
        <v>62.806666666666665</v>
      </c>
      <c r="AY118" s="281">
        <f>IF(ISNUMBER(SEARCH("AUXILIAR DE LIMPEZA - 75 H",tabParametros[[#This Row],[Função]],1)),
SUMIF(tabLimpGeral[TIPO],"Material",tabLimpGeral[VALOR UNITÁRIO P/ HORA (R$)])*75,
IF(ISNUMBER(SEARCH("AUXILIAR DE LIMPEZA - 110 H",tabParametros[[#This Row],[Função]],1)),
SUMIF(tabLimpGeral[TIPO],"Material",tabLimpGeral[VALOR UNITÁRIO P/ HORA (R$)])*110,
IF(ISNUMBER(SEARCH("AUXILIAR DE LIMPEZA - 150 H",tabParametros[[#This Row],[Função]],1)),
SUMIF(tabLimpGeral[TIPO],"Material",tabLimpGeral[VALOR UNITÁRIO P/ HORA (R$)])*150,
IF(ISNUMBER(SEARCH("AUXILIAR DE LIMPEZA - 220 H",tabParametros[[#This Row],[Função]],1)),
SUMIF(tabLimpGeral[TIPO],"Material",tabLimpGeral[VALOR UNITÁRIO P/ HORA (R$)])*220,
IF(ISNUMBER(SEARCH("AUXILIAR DE LIMPEZA - 12 x 36",tabParametros[[#This Row],[Função]],1)),
SUMIF(tabLimpGeral[TIPO],"Material",tabLimpGeral[VALOR UNITÁRIO P/ HORA (R$)])*220,
IF(ISNUMBER(SEARCH("Limpador de vidros - 220 h",tabParametros[[#This Row],[Função]],1)),
SUMIF(tabVidros[TIPO],"Material",tabVidros[VALOR UNITÁRIO P/ POSTO (R$)]),
0))))))</f>
        <v>12.108481690426325</v>
      </c>
      <c r="AZ118" s="281">
        <f>IF(ISNUMBER(SEARCH("AUXILIAR DE LIMPEZA - 75 H",tabParametros[[#This Row],[Função]],1)),
SUMIF(tabLimpGeral[TIPO],"Equipamento",tabLimpGeral[VALOR UNITÁRIO P/ HORA (R$)])*75,
IF(ISNUMBER(SEARCH("AUXILIAR DE LIMPEZA - 110 H",tabParametros[[#This Row],[Função]],1)),
SUMIF(tabLimpGeral[TIPO],"Equipamento",tabLimpGeral[VALOR UNITÁRIO P/ HORA (R$)])*110,
IF(ISNUMBER(SEARCH("AUXILIAR DE LIMPEZA - 150 H",tabParametros[[#This Row],[Função]],1)),
SUMIF(tabLimpGeral[TIPO],"Equipamento",tabLimpGeral[VALOR UNITÁRIO P/ HORA (R$)])*150,
IF(ISNUMBER(SEARCH("AUXILIAR DE LIMPEZA - 220 H",tabParametros[[#This Row],[Função]],1)),
SUMIF(tabLimpGeral[TIPO],"Equipamento",tabLimpGeral[VALOR UNITÁRIO P/ HORA (R$)])*220,
IF(ISNUMBER(SEARCH("AUXILIAR DE LIMPEZA - 12 x 36",tabParametros[[#This Row],[Função]],1)),
SUMIF(tabLimpGeral[TIPO],"Equipamento",tabLimpGeral[VALOR UNITÁRIO P/ HORA (R$)])*220,
IF(ISNUMBER(SEARCH("Limpador de vidros - 220 h",tabParametros[[#This Row],[Função]],1)),
SUMIF(tabVidros[TIPO],"Equipamento",tabVidros[VALOR UNITÁRIO P/ POSTO (R$)]),
0))))))</f>
        <v>21.998657016417809</v>
      </c>
      <c r="BA118" s="281">
        <f>IF(ISNUMBER(SEARCH("AUXILIAR DE LIMPEZA - 75 H",tabParametros[[#This Row],[Função]],1)),
SUMIF(tabLimpGeral[TIPO],"Produto",tabLimpGeral[VALOR UNITÁRIO P/ HORA (R$)])*75,
IF(ISNUMBER(SEARCH("AUXILIAR DE LIMPEZA - 110 H",tabParametros[[#This Row],[Função]],1)),
SUMIF(tabLimpGeral[TIPO],"Produto",tabLimpGeral[VALOR UNITÁRIO P/ HORA (R$)])*110,
IF(ISNUMBER(SEARCH("AUXILIAR DE LIMPEZA - 150 H",tabParametros[[#This Row],[Função]],1)),
SUMIF(tabLimpGeral[TIPO],"Produto",tabLimpGeral[VALOR UNITÁRIO P/ HORA (R$)])*150,
IF(ISNUMBER(SEARCH("AUXILIAR DE LIMPEZA - 220 H",tabParametros[[#This Row],[Função]],1)),
SUMIF(tabLimpGeral[TIPO],"Produto",tabLimpGeral[VALOR UNITÁRIO P/ HORA (R$)])*220,
IF(ISNUMBER(SEARCH("AUXILIAR DE LIMPEZA - 12 x 36",tabParametros[[#This Row],[Função]],1)),
SUMIF(tabLimpGeral[TIPO],"Produto",tabLimpGeral[VALOR UNITÁRIO P/ HORA (R$)])*220,
IF(ISNUMBER(SEARCH("Limpador de vidros - 220 h",tabParametros[[#This Row],[Função]],1)),
SUMIF(tabVidros[TIPO],"Produto",tabVidros[VALOR UNITÁRIO P/ POSTO (R$)]),
0))))))</f>
        <v>235.31984072022155</v>
      </c>
      <c r="BB118" s="281">
        <v>0</v>
      </c>
      <c r="BC118" s="236">
        <f>VLOOKUP(tabParametros[[#Headers],[Custos Indiretos]],tabOutrosCustos[],3,0)</f>
        <v>189.64880140242613</v>
      </c>
      <c r="BD118" s="236">
        <f>VLOOKUP(tabParametros[[#Headers],[Lucro]],tabOutrosCustos[],3,0)</f>
        <v>159.30499317803796</v>
      </c>
      <c r="BE118" s="235">
        <f>VLOOKUP(tabParametros[[#Headers],[COFINS]],tabImpostosNacionais[],2,0)</f>
        <v>7.5999999999999998E-2</v>
      </c>
      <c r="BF118" s="235">
        <f>VLOOKUP(tabParametros[[#Headers],[PIS]],tabImpostosNacionais[],2,0)</f>
        <v>1.6500000000000001E-2</v>
      </c>
      <c r="BG118" s="235">
        <f>VLOOKUP(tabParametros[[#This Row],[Comarca]],tabComarca[],4,0)</f>
        <v>0.05</v>
      </c>
      <c r="BH118" s="238">
        <f>IFERROR(VLOOKUP(tabParametros[[#This Row],[CCT DA CATEGORIA]],tabSindicatos[],11,0),"")</f>
        <v>45658</v>
      </c>
      <c r="BI118" s="289" t="str">
        <f>IFERROR(VLOOKUP(tabParametros[[#This Row],[CCT DA CATEGORIA]],tabSindicatos[],12,0),"")</f>
        <v>-</v>
      </c>
      <c r="BJ118" s="293" t="str">
        <f>IFERROR(VLOOKUP(tabParametros[[#This Row],[CCT DA CATEGORIA]],tabSindicatos[],13,0),"")</f>
        <v>-</v>
      </c>
    </row>
    <row r="119" spans="1:62" x14ac:dyDescent="0.25">
      <c r="A119" s="233" t="s">
        <v>1456</v>
      </c>
      <c r="B119" s="198" t="s">
        <v>109</v>
      </c>
      <c r="C119" s="198" t="s">
        <v>1244</v>
      </c>
      <c r="D119" s="198" t="str">
        <f>VLOOKUP(tabParametros[[#This Row],[Código do Posto]],tabPostos[],4,0)</f>
        <v>Regiao de Sao Lourenco</v>
      </c>
      <c r="E119" s="289" t="str">
        <f>VLOOKUP(tabParametros[[#This Row],[Código do Posto]],tabPostos[],5,0)</f>
        <v>Limpeza</v>
      </c>
      <c r="F119" s="289" t="str">
        <f>VLOOKUP(tabParametros[[#This Row],[Código do Posto]],tabPostos[],6,0)</f>
        <v>PGJ</v>
      </c>
      <c r="G119" s="289">
        <f>VLOOKUP(tabParametros[[#This Row],[Código do Posto]],tabPostos[],7,0)</f>
        <v>1</v>
      </c>
      <c r="H119" s="289">
        <f>VLOOKUP(tabParametros[[#This Row],[Código do Posto]],tabPostos[],8,0)</f>
        <v>0</v>
      </c>
      <c r="I119" s="234">
        <f>VLOOKUP(tabParametros[[#This Row],[Código do Posto]],tabPostos[],9,0)</f>
        <v>798.14</v>
      </c>
      <c r="J119" s="234">
        <f>IF(ISNUMBER(SEARCH("Eletricista",tabParametros[[#This Row],[Função]],1)),0.3*tabParametros[[#This Row],[Salário Base]],0)</f>
        <v>0</v>
      </c>
      <c r="K119" s="234">
        <f>IF(OR(ISNUMBER(SEARCH("Bombeiro Hidraulico",tabParametros[[#This Row],[Função]],1)),ISNUMBER(SEARCH("Jardineiro",tabParametros[[#This Row],[Função]],1)),ISNUMBER(SEARCH("Lavador de Veiculos",tabParametros[[#This Row],[Função]],1)),ISNUMBER(SEARCH("Marceneiro",tabParametros[[#This Row],[Função]],1)),ISNUMBER(SEARCH("Pintor",tabParametros[[#This Row],[Função]],1))),0.2*'BASE GERAL'!$R$4,0)</f>
        <v>0</v>
      </c>
      <c r="L119" s="234">
        <f>IF(AND(ISNUMBER(SEARCH("Noturno",tabParametros[[#This Row],[Função]],1)),tabParametros[[#This Row],[Comarca]]&lt;&gt;"Juiz de Fora"),tabParametros[[#This Row],[Salário Base]]/210*0.39*7*15.5,IF(ISNUMBER(SEARCH("Noturno",tabParametros[[#This Row],[Função]],1)),tabParametros[[#This Row],[Salário Base]]/210*0.2*8*15.5,0))</f>
        <v>0</v>
      </c>
      <c r="M119" s="234">
        <f>IF(ISNUMBER(SEARCH("Motorista II",tabParametros[[#This Row],[Função]],1)),0.25*tabParametros[[#This Row],[Salário Base]],0)</f>
        <v>0</v>
      </c>
      <c r="N119" s="250">
        <v>0</v>
      </c>
      <c r="O119" s="234">
        <f>IF(ISNUMBER(SEARCH("TECNOLOGIA DA INFORMACAO",tabParametros[[#This Row],[Função]],1)),0.0201*tabParametros[[#This Row],[Salário Base]],0)</f>
        <v>0</v>
      </c>
      <c r="P119" s="250" cm="1">
        <f t="array" ref="P119">_xlfn.IFS(
ISNUMBER(SEARCH("Auxiliar de Limpeza - 75 h",tabParametros[[#This Row],[Função]],1)),tabParametros[[#This Row],[Salário Base]]/75*0.75*30*0.12,
ISNUMBER(SEARCH("Auxiliar de Limpeza - 110 h",tabParametros[[#This Row],[Função]],1)),tabParametros[[#This Row],[Salário Base]]/110*1*30*0.12,
ISNUMBER(SEARCH("Auxiliar de Limpeza - 150 h",tabParametros[[#This Row],[Função]],1)),tabParametros[[#This Row],[Salário Base]]/150*1.5*30*0.12,
ISNUMBER(SEARCH("Auxiliar de Limpeza - 220 h",tabParametros[[#This Row],[Função]],1)),tabParametros[[#This Row],[Salário Base]]/220*2*30*0.12,
ISNUMBER(SEARCH("Auxiliar de Limpeza - 12 x 36",tabParametros[[#This Row],[Função]],1)),tabParametros[[#This Row],[Salário Base]]/220*2*30*0.12,
ISNUMBER(SEARCH("Auxiliar de Limpeza - 55 h",tabParametros[[#This Row],[Função]],1))=FALSE,0)</f>
        <v>26.120945454545453</v>
      </c>
      <c r="Q119" s="235">
        <f>VLOOKUP(tabParametros[[#Headers],[INSS]],tabImpostosNacionais[],2,0)</f>
        <v>0.2</v>
      </c>
      <c r="R119" s="235">
        <f>VLOOKUP(tabParametros[[#Headers],[SESI OU SESC]],tabImpostosNacionais[],2,0)</f>
        <v>1.4999999999999999E-2</v>
      </c>
      <c r="S119" s="235">
        <f>VLOOKUP(tabParametros[[#Headers],[SENAI OU SENAC]],tabImpostosNacionais[],2,0)</f>
        <v>0.01</v>
      </c>
      <c r="T119" s="235">
        <f>VLOOKUP(tabParametros[[#Headers],[INCRA]],tabImpostosNacionais[],2,0)</f>
        <v>2E-3</v>
      </c>
      <c r="U119" s="235">
        <f>VLOOKUP(tabParametros[[#Headers],[Salário Educação]],tabImpostosNacionais[],2,0)</f>
        <v>2.5000000000000001E-2</v>
      </c>
      <c r="V119" s="235">
        <f>VLOOKUP(tabParametros[[#Headers],[FGTS]],tabImpostosNacionais[],2,0)</f>
        <v>0.08</v>
      </c>
      <c r="W119" s="235">
        <f>VLOOKUP(tabParametros[[#Headers],[RAT Ajustado]],tabImpostosNacionais[],2,0)</f>
        <v>0.04</v>
      </c>
      <c r="X119" s="235">
        <f>VLOOKUP(tabParametros[[#Headers],[SEBRAE]],tabImpostosNacionais[],2,0)</f>
        <v>6.0000000000000001E-3</v>
      </c>
      <c r="Y119" s="235">
        <f t="shared" si="11"/>
        <v>8.3333333333333329E-2</v>
      </c>
      <c r="Z119" s="251">
        <f t="shared" si="12"/>
        <v>0.1111111111111111</v>
      </c>
      <c r="AA119" s="234">
        <f>VLOOKUP(tabParametros[[#This Row],[Comarca]],tabComarca[],5,0)</f>
        <v>6.4</v>
      </c>
      <c r="AB119" s="234">
        <f>IFERROR(VLOOKUP(tabParametros[[#This Row],[CCT DA CATEGORIA]],tabSindicatos[],6,0),0)</f>
        <v>29.15</v>
      </c>
      <c r="AC119" s="234">
        <f>IFERROR(VLOOKUP(tabParametros[[#This Row],[CCT DA CATEGORIA]],tabSindicatos[],7,0),0)</f>
        <v>0</v>
      </c>
      <c r="AD119" s="234" cm="1">
        <f t="array" ref="AD119">_xlfn.LET(
_xlpm.COMARCA, TRIM(UPPER(SUBSTITUTE(SUBSTITUTE(SUBSTITUTE(SUBSTITUTE(SUBSTITUTE(SUBSTITUTE(SUBSTITUTE(SUBSTITUTE(SUBSTITUTE(SUBSTITUTE(SUBSTITUTE(SUBSTITUTE(SUBSTITUTE(SUBSTITUTE(SUBSTITUTE(SUBSTITUTE(SUBSTITUTE(SUBSTITUTE(SUBSTITUTE(SUBSTITUTE(SUBSTITUTE(SUBSTITUTE(SUBSTITUTE(SUBSTITUTE(SUBSTITUTE(SUBSTITUTE(tabParametros[[#This Row],[Comarca]],"á","a"),"ã","a"),"â","a"),"é","e"),"ê","e"),"í","i"),"ó","o"),"õ","o"),"ô","o"),"ú","u"),"ç","c"),"Á","a"),"Ã","a"),"Â","a"),"É","e"),"Ê","e"),"Í","i"),"Ó","o"),"Õ","o"),"Ô","o"),"Ú","u"),"Ç","c"),"/MG","")," e ",", ")," ",""),".",""))),
_xlpm.MATRIZ_COMARCA, TRIM(UPPER(SUBSTITUTE(SUBSTITUTE(SUBSTITUTE(SUBSTITUTE(SUBSTITUTE(SUBSTITUTE(SUBSTITUTE(SUBSTITUTE(SUBSTITUTE(SUBSTITUTE(SUBSTITUTE(SUBSTITUTE(SUBSTITUTE(SUBSTITUTE(SUBSTITUTE(SUBSTITUTE(SUBSTITUTE(SUBSTITUTE(SUBSTITUTE(SUBSTITUTE(SUBSTITUTE(SUBSTITUTE(SUBSTITUTE(SUBSTITUTE(SUBSTITUTE(SUBSTITUTE(tabSindicatos[COMARCAS PAF],"á","a"),"ã","a"),"â","a"),"é","e"),"ê","e"),"í","i"),"ó","o"),"õ","o"),"ô","o"),"ú","u"),"ç","c"),"Á","a"),"Ã","a"),"Â","a"),"É","e"),"Ê","e"),"Í","i"),"Ó","o"),"Õ","o"),"Ô","o"),"Ú","u"),"Ç","c"),"/MG","")," e ",", ")," ",""),".",""))),
IFERROR(IF(_xlfn.XLOOKUP(tabParametros[[#This Row],[CCT DA CATEGORIA]],tabSindicatos[SINDICATOS],tabSindicatos[COMARCAS PAF])="",
VLOOKUP(tabParametros[[#This Row],[CCT DA CATEGORIA]],tabSindicatos[],8,0),
IF(ISNUMBER(SEARCH(TRIM(_xlpm.COMARCA),_xlfn.XLOOKUP(tabParametros[[#This Row],[CCT DA CATEGORIA]],tabSindicatos[SINDICATOS],_xlpm.MATRIZ_COMARCA),1)),VLOOKUP(tabParametros[[#This Row],[CCT DA CATEGORIA]],tabSindicatos[],8,0),0)
),0)
)</f>
        <v>53.27</v>
      </c>
      <c r="AE119" s="234">
        <f>IFERROR(VLOOKUP(tabParametros[[#This Row],[CCT DA CATEGORIA]],tabSindicatos[],9,0),0)</f>
        <v>0</v>
      </c>
      <c r="AF119" s="234">
        <f>IFERROR(VLOOKUP(tabParametros[[#This Row],[CCT DA CATEGORIA]],tabSindicatos[],10,0),0)</f>
        <v>0</v>
      </c>
      <c r="AG119" s="236">
        <f>VLOOKUP(tabParametros[[#Headers],[Seguro de Vida]],tabOutrosCustos[],3,0)</f>
        <v>3.36</v>
      </c>
      <c r="AH119" s="236">
        <f>IF(ISNUMBER(SEARCH("MOTORISTA",tabParametros[[#This Row],[Função]],1)),VLOOKUP("MOTORISTAS",tabDiarias[],2,0),IF(tabParametros[[#This Row],[Comarca]]="Belo Horizonte",VLOOKUP("LIMPEZA",tabDiarias[],2,0),0))</f>
        <v>0</v>
      </c>
      <c r="AI119" s="235">
        <f t="shared" si="13"/>
        <v>7.011766975308642E-3</v>
      </c>
      <c r="AJ119" s="237">
        <f>tabParametros[[#This Row],[FGTS]]*tabParametros[[#This Row],[Aviso Prévio Indenizado (API) e Reflexo do Aviso Prévio Indenizado]]</f>
        <v>5.609413580246914E-4</v>
      </c>
      <c r="AK119" s="237">
        <f>tabParametros[[#This Row],[FGTS]]*tabParametros[[#This Row],[Aviso Prévio Indenizado (API) e Reflexo do Aviso Prévio Indenizado]]*40%</f>
        <v>2.2437654320987658E-4</v>
      </c>
      <c r="AL119" s="235">
        <f t="shared" si="14"/>
        <v>3.5000000000000005E-3</v>
      </c>
      <c r="AM119" s="235">
        <f>tabParametros[[#This Row],[Aviso Prévio Trabalhado - APT]]*SUM(tabParametros[[#This Row],[INSS]:[SEBRAE]])</f>
        <v>1.3230000000000004E-3</v>
      </c>
      <c r="AN119" s="235">
        <f t="shared" si="15"/>
        <v>3.0577777777777773E-2</v>
      </c>
      <c r="AO119" s="235">
        <f t="shared" si="16"/>
        <v>8.3333333333333339E-4</v>
      </c>
      <c r="AP119" s="235">
        <f t="shared" si="17"/>
        <v>8.4444444444444437E-3</v>
      </c>
      <c r="AQ119" s="235">
        <f t="shared" si="18"/>
        <v>2.0277777777777777E-3</v>
      </c>
      <c r="AR119" s="235">
        <f t="shared" si="19"/>
        <v>1.7083333333333333E-4</v>
      </c>
      <c r="AS119" s="235">
        <f t="shared" si="20"/>
        <v>2.0833333333333335E-4</v>
      </c>
      <c r="AT119" s="235">
        <f t="shared" si="21"/>
        <v>1.2962962962962963E-3</v>
      </c>
      <c r="AU119" s="237">
        <f>SUM(tabParametros[[#This Row],[Ausência por Doença]:[Férias, Adicional de Férias e 13º  com empregada em gozo de Licença Maternidade]])*SUM(tabParametros[[#This Row],[INSS]:[SEBRAE]])</f>
        <v>4.5918250000000008E-3</v>
      </c>
      <c r="AV119" s="234">
        <f>IF(tabParametros[[#This Row],[Função]]="Porteiro - 220 h",SUM(tabParametros[[#This Row],[Salário Base]:[Adicional de Acúmulo de função]])/220*20*1.5,IF(ISNUMBER(SEARCH("12 x 36",tabParametros[[#This Row],[Função]],1)),SUM(tabParametros[[#This Row],[Salário Base]:[Adicional de Acúmulo de função]])/210*15.5*1.5,0))</f>
        <v>0</v>
      </c>
      <c r="AW119" s="234">
        <f>IF(tabParametros[[#This Row],[Vagas contratadas]]&gt;0,(SUM(tabParametros[[#This Row],[Salário Base]:[Adicional de Acúmulo de função]])*30%+SUM(tabParametros[[#This Row],[Vale - Alimentação]:[Seguro de Vida]]))/tabParametros[[#This Row],[Vagas contratadas]]*tabParametros[[#This Row],[Vagas suspensas]],0)</f>
        <v>0</v>
      </c>
      <c r="AX119" s="234">
        <f>SUMIF(tabUniformes[Cargo],tabParametros[[#This Row],[Função]],tabUniformes[Valor unit. Mensal])</f>
        <v>62.806666666666665</v>
      </c>
      <c r="AY119" s="281">
        <f>IF(ISNUMBER(SEARCH("AUXILIAR DE LIMPEZA - 75 H",tabParametros[[#This Row],[Função]],1)),
SUMIF(tabLimpGeral[TIPO],"Material",tabLimpGeral[VALOR UNITÁRIO P/ HORA (R$)])*75,
IF(ISNUMBER(SEARCH("AUXILIAR DE LIMPEZA - 110 H",tabParametros[[#This Row],[Função]],1)),
SUMIF(tabLimpGeral[TIPO],"Material",tabLimpGeral[VALOR UNITÁRIO P/ HORA (R$)])*110,
IF(ISNUMBER(SEARCH("AUXILIAR DE LIMPEZA - 150 H",tabParametros[[#This Row],[Função]],1)),
SUMIF(tabLimpGeral[TIPO],"Material",tabLimpGeral[VALOR UNITÁRIO P/ HORA (R$)])*150,
IF(ISNUMBER(SEARCH("AUXILIAR DE LIMPEZA - 220 H",tabParametros[[#This Row],[Função]],1)),
SUMIF(tabLimpGeral[TIPO],"Material",tabLimpGeral[VALOR UNITÁRIO P/ HORA (R$)])*220,
IF(ISNUMBER(SEARCH("AUXILIAR DE LIMPEZA - 12 x 36",tabParametros[[#This Row],[Função]],1)),
SUMIF(tabLimpGeral[TIPO],"Material",tabLimpGeral[VALOR UNITÁRIO P/ HORA (R$)])*220,
IF(ISNUMBER(SEARCH("Limpador de vidros - 220 h",tabParametros[[#This Row],[Função]],1)),
SUMIF(tabVidros[TIPO],"Material",tabVidros[VALOR UNITÁRIO P/ POSTO (R$)]),
0))))))</f>
        <v>17.759106479291944</v>
      </c>
      <c r="AZ119" s="281">
        <f>IF(ISNUMBER(SEARCH("AUXILIAR DE LIMPEZA - 75 H",tabParametros[[#This Row],[Função]],1)),
SUMIF(tabLimpGeral[TIPO],"Equipamento",tabLimpGeral[VALOR UNITÁRIO P/ HORA (R$)])*75,
IF(ISNUMBER(SEARCH("AUXILIAR DE LIMPEZA - 110 H",tabParametros[[#This Row],[Função]],1)),
SUMIF(tabLimpGeral[TIPO],"Equipamento",tabLimpGeral[VALOR UNITÁRIO P/ HORA (R$)])*110,
IF(ISNUMBER(SEARCH("AUXILIAR DE LIMPEZA - 150 H",tabParametros[[#This Row],[Função]],1)),
SUMIF(tabLimpGeral[TIPO],"Equipamento",tabLimpGeral[VALOR UNITÁRIO P/ HORA (R$)])*150,
IF(ISNUMBER(SEARCH("AUXILIAR DE LIMPEZA - 220 H",tabParametros[[#This Row],[Função]],1)),
SUMIF(tabLimpGeral[TIPO],"Equipamento",tabLimpGeral[VALOR UNITÁRIO P/ HORA (R$)])*220,
IF(ISNUMBER(SEARCH("AUXILIAR DE LIMPEZA - 12 x 36",tabParametros[[#This Row],[Função]],1)),
SUMIF(tabLimpGeral[TIPO],"Equipamento",tabLimpGeral[VALOR UNITÁRIO P/ HORA (R$)])*220,
IF(ISNUMBER(SEARCH("Limpador de vidros - 220 h",tabParametros[[#This Row],[Função]],1)),
SUMIF(tabVidros[TIPO],"Equipamento",tabVidros[VALOR UNITÁRIO P/ POSTO (R$)]),
0))))))</f>
        <v>32.264696957412788</v>
      </c>
      <c r="BA119" s="281">
        <f>IF(ISNUMBER(SEARCH("AUXILIAR DE LIMPEZA - 75 H",tabParametros[[#This Row],[Função]],1)),
SUMIF(tabLimpGeral[TIPO],"Produto",tabLimpGeral[VALOR UNITÁRIO P/ HORA (R$)])*75,
IF(ISNUMBER(SEARCH("AUXILIAR DE LIMPEZA - 110 H",tabParametros[[#This Row],[Função]],1)),
SUMIF(tabLimpGeral[TIPO],"Produto",tabLimpGeral[VALOR UNITÁRIO P/ HORA (R$)])*110,
IF(ISNUMBER(SEARCH("AUXILIAR DE LIMPEZA - 150 H",tabParametros[[#This Row],[Função]],1)),
SUMIF(tabLimpGeral[TIPO],"Produto",tabLimpGeral[VALOR UNITÁRIO P/ HORA (R$)])*150,
IF(ISNUMBER(SEARCH("AUXILIAR DE LIMPEZA - 220 H",tabParametros[[#This Row],[Função]],1)),
SUMIF(tabLimpGeral[TIPO],"Produto",tabLimpGeral[VALOR UNITÁRIO P/ HORA (R$)])*220,
IF(ISNUMBER(SEARCH("AUXILIAR DE LIMPEZA - 12 x 36",tabParametros[[#This Row],[Função]],1)),
SUMIF(tabLimpGeral[TIPO],"Produto",tabLimpGeral[VALOR UNITÁRIO P/ HORA (R$)])*220,
IF(ISNUMBER(SEARCH("Limpador de vidros - 220 h",tabParametros[[#This Row],[Função]],1)),
SUMIF(tabVidros[TIPO],"Produto",tabVidros[VALOR UNITÁRIO P/ POSTO (R$)]),
0))))))</f>
        <v>345.13576638965827</v>
      </c>
      <c r="BB119" s="281">
        <v>0</v>
      </c>
      <c r="BC119" s="236">
        <f>VLOOKUP(tabParametros[[#Headers],[Custos Indiretos]],tabOutrosCustos[],3,0)</f>
        <v>189.64880140242613</v>
      </c>
      <c r="BD119" s="236">
        <f>VLOOKUP(tabParametros[[#Headers],[Lucro]],tabOutrosCustos[],3,0)</f>
        <v>159.30499317803796</v>
      </c>
      <c r="BE119" s="235">
        <f>VLOOKUP(tabParametros[[#Headers],[COFINS]],tabImpostosNacionais[],2,0)</f>
        <v>7.5999999999999998E-2</v>
      </c>
      <c r="BF119" s="235">
        <f>VLOOKUP(tabParametros[[#Headers],[PIS]],tabImpostosNacionais[],2,0)</f>
        <v>1.6500000000000001E-2</v>
      </c>
      <c r="BG119" s="235">
        <f>VLOOKUP(tabParametros[[#This Row],[Comarca]],tabComarca[],4,0)</f>
        <v>0.02</v>
      </c>
      <c r="BH119" s="238">
        <f>IFERROR(VLOOKUP(tabParametros[[#This Row],[CCT DA CATEGORIA]],tabSindicatos[],11,0),"")</f>
        <v>45658</v>
      </c>
      <c r="BI119" s="289" t="str">
        <f>IFERROR(VLOOKUP(tabParametros[[#This Row],[CCT DA CATEGORIA]],tabSindicatos[],12,0),"")</f>
        <v>-</v>
      </c>
      <c r="BJ119" s="293" t="str">
        <f>IFERROR(VLOOKUP(tabParametros[[#This Row],[CCT DA CATEGORIA]],tabSindicatos[],13,0),"")</f>
        <v>-</v>
      </c>
    </row>
    <row r="120" spans="1:62" x14ac:dyDescent="0.25">
      <c r="A120" s="233" t="s">
        <v>1457</v>
      </c>
      <c r="B120" s="198" t="s">
        <v>109</v>
      </c>
      <c r="C120" s="198" t="s">
        <v>1245</v>
      </c>
      <c r="D120" s="198" t="str">
        <f>VLOOKUP(tabParametros[[#This Row],[Código do Posto]],tabPostos[],4,0)</f>
        <v>Regiao de Sao Lourenco</v>
      </c>
      <c r="E120" s="289" t="str">
        <f>VLOOKUP(tabParametros[[#This Row],[Código do Posto]],tabPostos[],5,0)</f>
        <v>Limpeza</v>
      </c>
      <c r="F120" s="289" t="str">
        <f>VLOOKUP(tabParametros[[#This Row],[Código do Posto]],tabPostos[],6,0)</f>
        <v>PGJ</v>
      </c>
      <c r="G120" s="289">
        <f>VLOOKUP(tabParametros[[#This Row],[Código do Posto]],tabPostos[],7,0)</f>
        <v>1</v>
      </c>
      <c r="H120" s="289">
        <f>VLOOKUP(tabParametros[[#This Row],[Código do Posto]],tabPostos[],8,0)</f>
        <v>0</v>
      </c>
      <c r="I120" s="234">
        <f>VLOOKUP(tabParametros[[#This Row],[Código do Posto]],tabPostos[],9,0)</f>
        <v>1596.28</v>
      </c>
      <c r="J120" s="234">
        <f>IF(ISNUMBER(SEARCH("Eletricista",tabParametros[[#This Row],[Função]],1)),0.3*tabParametros[[#This Row],[Salário Base]],0)</f>
        <v>0</v>
      </c>
      <c r="K120" s="234">
        <f>IF(OR(ISNUMBER(SEARCH("Bombeiro Hidraulico",tabParametros[[#This Row],[Função]],1)),ISNUMBER(SEARCH("Jardineiro",tabParametros[[#This Row],[Função]],1)),ISNUMBER(SEARCH("Lavador de Veiculos",tabParametros[[#This Row],[Função]],1)),ISNUMBER(SEARCH("Marceneiro",tabParametros[[#This Row],[Função]],1)),ISNUMBER(SEARCH("Pintor",tabParametros[[#This Row],[Função]],1))),0.2*'BASE GERAL'!$R$4,0)</f>
        <v>0</v>
      </c>
      <c r="L120" s="234">
        <f>IF(AND(ISNUMBER(SEARCH("Noturno",tabParametros[[#This Row],[Função]],1)),tabParametros[[#This Row],[Comarca]]&lt;&gt;"Juiz de Fora"),tabParametros[[#This Row],[Salário Base]]/210*0.39*7*15.5,IF(ISNUMBER(SEARCH("Noturno",tabParametros[[#This Row],[Função]],1)),tabParametros[[#This Row],[Salário Base]]/210*0.2*8*15.5,0))</f>
        <v>0</v>
      </c>
      <c r="M120" s="234">
        <f>IF(ISNUMBER(SEARCH("Motorista II",tabParametros[[#This Row],[Função]],1)),0.25*tabParametros[[#This Row],[Salário Base]],0)</f>
        <v>0</v>
      </c>
      <c r="N120" s="250">
        <v>0</v>
      </c>
      <c r="O120" s="234">
        <f>IF(ISNUMBER(SEARCH("TECNOLOGIA DA INFORMACAO",tabParametros[[#This Row],[Função]],1)),0.0201*tabParametros[[#This Row],[Salário Base]],0)</f>
        <v>0</v>
      </c>
      <c r="P120" s="250" cm="1">
        <f t="array" ref="P120">_xlfn.IFS(
ISNUMBER(SEARCH("Auxiliar de Limpeza - 75 h",tabParametros[[#This Row],[Função]],1)),tabParametros[[#This Row],[Salário Base]]/75*0.75*30*0.12,
ISNUMBER(SEARCH("Auxiliar de Limpeza - 110 h",tabParametros[[#This Row],[Função]],1)),tabParametros[[#This Row],[Salário Base]]/110*1*30*0.12,
ISNUMBER(SEARCH("Auxiliar de Limpeza - 150 h",tabParametros[[#This Row],[Função]],1)),tabParametros[[#This Row],[Salário Base]]/150*1.5*30*0.12,
ISNUMBER(SEARCH("Auxiliar de Limpeza - 220 h",tabParametros[[#This Row],[Função]],1)),tabParametros[[#This Row],[Salário Base]]/220*2*30*0.12,
ISNUMBER(SEARCH("Auxiliar de Limpeza - 12 x 36",tabParametros[[#This Row],[Função]],1)),tabParametros[[#This Row],[Salário Base]]/220*2*30*0.12,
ISNUMBER(SEARCH("Auxiliar de Limpeza - 55 h",tabParametros[[#This Row],[Função]],1))=FALSE,0)</f>
        <v>52.241890909090905</v>
      </c>
      <c r="Q120" s="235">
        <f>VLOOKUP(tabParametros[[#Headers],[INSS]],tabImpostosNacionais[],2,0)</f>
        <v>0.2</v>
      </c>
      <c r="R120" s="235">
        <f>VLOOKUP(tabParametros[[#Headers],[SESI OU SESC]],tabImpostosNacionais[],2,0)</f>
        <v>1.4999999999999999E-2</v>
      </c>
      <c r="S120" s="235">
        <f>VLOOKUP(tabParametros[[#Headers],[SENAI OU SENAC]],tabImpostosNacionais[],2,0)</f>
        <v>0.01</v>
      </c>
      <c r="T120" s="235">
        <f>VLOOKUP(tabParametros[[#Headers],[INCRA]],tabImpostosNacionais[],2,0)</f>
        <v>2E-3</v>
      </c>
      <c r="U120" s="235">
        <f>VLOOKUP(tabParametros[[#Headers],[Salário Educação]],tabImpostosNacionais[],2,0)</f>
        <v>2.5000000000000001E-2</v>
      </c>
      <c r="V120" s="235">
        <f>VLOOKUP(tabParametros[[#Headers],[FGTS]],tabImpostosNacionais[],2,0)</f>
        <v>0.08</v>
      </c>
      <c r="W120" s="235">
        <f>VLOOKUP(tabParametros[[#Headers],[RAT Ajustado]],tabImpostosNacionais[],2,0)</f>
        <v>0.04</v>
      </c>
      <c r="X120" s="235">
        <f>VLOOKUP(tabParametros[[#Headers],[SEBRAE]],tabImpostosNacionais[],2,0)</f>
        <v>6.0000000000000001E-3</v>
      </c>
      <c r="Y120" s="235">
        <f t="shared" si="11"/>
        <v>8.3333333333333329E-2</v>
      </c>
      <c r="Z120" s="251">
        <f t="shared" si="12"/>
        <v>0.1111111111111111</v>
      </c>
      <c r="AA120" s="234">
        <f>VLOOKUP(tabParametros[[#This Row],[Comarca]],tabComarca[],5,0)</f>
        <v>6.4</v>
      </c>
      <c r="AB120" s="234">
        <f>IFERROR(VLOOKUP(tabParametros[[#This Row],[CCT DA CATEGORIA]],tabSindicatos[],6,0),0)</f>
        <v>29.15</v>
      </c>
      <c r="AC120" s="234">
        <f>IFERROR(VLOOKUP(tabParametros[[#This Row],[CCT DA CATEGORIA]],tabSindicatos[],7,0),0)</f>
        <v>0</v>
      </c>
      <c r="AD120" s="234" cm="1">
        <f t="array" ref="AD120">_xlfn.LET(
_xlpm.COMARCA, TRIM(UPPER(SUBSTITUTE(SUBSTITUTE(SUBSTITUTE(SUBSTITUTE(SUBSTITUTE(SUBSTITUTE(SUBSTITUTE(SUBSTITUTE(SUBSTITUTE(SUBSTITUTE(SUBSTITUTE(SUBSTITUTE(SUBSTITUTE(SUBSTITUTE(SUBSTITUTE(SUBSTITUTE(SUBSTITUTE(SUBSTITUTE(SUBSTITUTE(SUBSTITUTE(SUBSTITUTE(SUBSTITUTE(SUBSTITUTE(SUBSTITUTE(SUBSTITUTE(SUBSTITUTE(tabParametros[[#This Row],[Comarca]],"á","a"),"ã","a"),"â","a"),"é","e"),"ê","e"),"í","i"),"ó","o"),"õ","o"),"ô","o"),"ú","u"),"ç","c"),"Á","a"),"Ã","a"),"Â","a"),"É","e"),"Ê","e"),"Í","i"),"Ó","o"),"Õ","o"),"Ô","o"),"Ú","u"),"Ç","c"),"/MG","")," e ",", ")," ",""),".",""))),
_xlpm.MATRIZ_COMARCA, TRIM(UPPER(SUBSTITUTE(SUBSTITUTE(SUBSTITUTE(SUBSTITUTE(SUBSTITUTE(SUBSTITUTE(SUBSTITUTE(SUBSTITUTE(SUBSTITUTE(SUBSTITUTE(SUBSTITUTE(SUBSTITUTE(SUBSTITUTE(SUBSTITUTE(SUBSTITUTE(SUBSTITUTE(SUBSTITUTE(SUBSTITUTE(SUBSTITUTE(SUBSTITUTE(SUBSTITUTE(SUBSTITUTE(SUBSTITUTE(SUBSTITUTE(SUBSTITUTE(SUBSTITUTE(tabSindicatos[COMARCAS PAF],"á","a"),"ã","a"),"â","a"),"é","e"),"ê","e"),"í","i"),"ó","o"),"õ","o"),"ô","o"),"ú","u"),"ç","c"),"Á","a"),"Ã","a"),"Â","a"),"É","e"),"Ê","e"),"Í","i"),"Ó","o"),"Õ","o"),"Ô","o"),"Ú","u"),"Ç","c"),"/MG","")," e ",", ")," ",""),".",""))),
IFERROR(IF(_xlfn.XLOOKUP(tabParametros[[#This Row],[CCT DA CATEGORIA]],tabSindicatos[SINDICATOS],tabSindicatos[COMARCAS PAF])="",
VLOOKUP(tabParametros[[#This Row],[CCT DA CATEGORIA]],tabSindicatos[],8,0),
IF(ISNUMBER(SEARCH(TRIM(_xlpm.COMARCA),_xlfn.XLOOKUP(tabParametros[[#This Row],[CCT DA CATEGORIA]],tabSindicatos[SINDICATOS],_xlpm.MATRIZ_COMARCA),1)),VLOOKUP(tabParametros[[#This Row],[CCT DA CATEGORIA]],tabSindicatos[],8,0),0)
),0)
)</f>
        <v>53.27</v>
      </c>
      <c r="AE120" s="234">
        <f>IFERROR(VLOOKUP(tabParametros[[#This Row],[CCT DA CATEGORIA]],tabSindicatos[],9,0),0)</f>
        <v>0</v>
      </c>
      <c r="AF120" s="234">
        <f>IFERROR(VLOOKUP(tabParametros[[#This Row],[CCT DA CATEGORIA]],tabSindicatos[],10,0),0)</f>
        <v>0</v>
      </c>
      <c r="AG120" s="236">
        <f>VLOOKUP(tabParametros[[#Headers],[Seguro de Vida]],tabOutrosCustos[],3,0)</f>
        <v>3.36</v>
      </c>
      <c r="AH120" s="236">
        <f>IF(ISNUMBER(SEARCH("MOTORISTA",tabParametros[[#This Row],[Função]],1)),VLOOKUP("MOTORISTAS",tabDiarias[],2,0),IF(tabParametros[[#This Row],[Comarca]]="Belo Horizonte",VLOOKUP("LIMPEZA",tabDiarias[],2,0),0))</f>
        <v>0</v>
      </c>
      <c r="AI120" s="235">
        <f t="shared" si="13"/>
        <v>7.011766975308642E-3</v>
      </c>
      <c r="AJ120" s="237">
        <f>tabParametros[[#This Row],[FGTS]]*tabParametros[[#This Row],[Aviso Prévio Indenizado (API) e Reflexo do Aviso Prévio Indenizado]]</f>
        <v>5.609413580246914E-4</v>
      </c>
      <c r="AK120" s="237">
        <f>tabParametros[[#This Row],[FGTS]]*tabParametros[[#This Row],[Aviso Prévio Indenizado (API) e Reflexo do Aviso Prévio Indenizado]]*40%</f>
        <v>2.2437654320987658E-4</v>
      </c>
      <c r="AL120" s="235">
        <f t="shared" si="14"/>
        <v>3.5000000000000005E-3</v>
      </c>
      <c r="AM120" s="235">
        <f>tabParametros[[#This Row],[Aviso Prévio Trabalhado - APT]]*SUM(tabParametros[[#This Row],[INSS]:[SEBRAE]])</f>
        <v>1.3230000000000004E-3</v>
      </c>
      <c r="AN120" s="235">
        <f t="shared" si="15"/>
        <v>3.0577777777777773E-2</v>
      </c>
      <c r="AO120" s="235">
        <f t="shared" si="16"/>
        <v>8.3333333333333339E-4</v>
      </c>
      <c r="AP120" s="235">
        <f t="shared" si="17"/>
        <v>8.4444444444444437E-3</v>
      </c>
      <c r="AQ120" s="235">
        <f t="shared" si="18"/>
        <v>2.0277777777777777E-3</v>
      </c>
      <c r="AR120" s="235">
        <f t="shared" si="19"/>
        <v>1.7083333333333333E-4</v>
      </c>
      <c r="AS120" s="235">
        <f t="shared" si="20"/>
        <v>2.0833333333333335E-4</v>
      </c>
      <c r="AT120" s="235">
        <f t="shared" si="21"/>
        <v>1.2962962962962963E-3</v>
      </c>
      <c r="AU120" s="237">
        <f>SUM(tabParametros[[#This Row],[Ausência por Doença]:[Férias, Adicional de Férias e 13º  com empregada em gozo de Licença Maternidade]])*SUM(tabParametros[[#This Row],[INSS]:[SEBRAE]])</f>
        <v>4.5918250000000008E-3</v>
      </c>
      <c r="AV120" s="234">
        <f>IF(tabParametros[[#This Row],[Função]]="Porteiro - 220 h",SUM(tabParametros[[#This Row],[Salário Base]:[Adicional de Acúmulo de função]])/220*20*1.5,IF(ISNUMBER(SEARCH("12 x 36",tabParametros[[#This Row],[Função]],1)),SUM(tabParametros[[#This Row],[Salário Base]:[Adicional de Acúmulo de função]])/210*15.5*1.5,0))</f>
        <v>0</v>
      </c>
      <c r="AW120" s="234">
        <f>IF(tabParametros[[#This Row],[Vagas contratadas]]&gt;0,(SUM(tabParametros[[#This Row],[Salário Base]:[Adicional de Acúmulo de função]])*30%+SUM(tabParametros[[#This Row],[Vale - Alimentação]:[Seguro de Vida]]))/tabParametros[[#This Row],[Vagas contratadas]]*tabParametros[[#This Row],[Vagas suspensas]],0)</f>
        <v>0</v>
      </c>
      <c r="AX120" s="234">
        <f>SUMIF(tabUniformes[Cargo],tabParametros[[#This Row],[Função]],tabUniformes[Valor unit. Mensal])</f>
        <v>100.80916666666666</v>
      </c>
      <c r="AY120" s="281">
        <f>IF(ISNUMBER(SEARCH("AUXILIAR DE LIMPEZA - 75 H",tabParametros[[#This Row],[Função]],1)),
SUMIF(tabLimpGeral[TIPO],"Material",tabLimpGeral[VALOR UNITÁRIO P/ HORA (R$)])*75,
IF(ISNUMBER(SEARCH("AUXILIAR DE LIMPEZA - 110 H",tabParametros[[#This Row],[Função]],1)),
SUMIF(tabLimpGeral[TIPO],"Material",tabLimpGeral[VALOR UNITÁRIO P/ HORA (R$)])*110,
IF(ISNUMBER(SEARCH("AUXILIAR DE LIMPEZA - 150 H",tabParametros[[#This Row],[Função]],1)),
SUMIF(tabLimpGeral[TIPO],"Material",tabLimpGeral[VALOR UNITÁRIO P/ HORA (R$)])*150,
IF(ISNUMBER(SEARCH("AUXILIAR DE LIMPEZA - 220 H",tabParametros[[#This Row],[Função]],1)),
SUMIF(tabLimpGeral[TIPO],"Material",tabLimpGeral[VALOR UNITÁRIO P/ HORA (R$)])*220,
IF(ISNUMBER(SEARCH("AUXILIAR DE LIMPEZA - 12 x 36",tabParametros[[#This Row],[Função]],1)),
SUMIF(tabLimpGeral[TIPO],"Material",tabLimpGeral[VALOR UNITÁRIO P/ HORA (R$)])*220,
IF(ISNUMBER(SEARCH("Limpador de vidros - 220 h",tabParametros[[#This Row],[Função]],1)),
SUMIF(tabVidros[TIPO],"Material",tabVidros[VALOR UNITÁRIO P/ POSTO (R$)]),
0))))))</f>
        <v>35.518212958583888</v>
      </c>
      <c r="AZ120" s="281">
        <f>IF(ISNUMBER(SEARCH("AUXILIAR DE LIMPEZA - 75 H",tabParametros[[#This Row],[Função]],1)),
SUMIF(tabLimpGeral[TIPO],"Equipamento",tabLimpGeral[VALOR UNITÁRIO P/ HORA (R$)])*75,
IF(ISNUMBER(SEARCH("AUXILIAR DE LIMPEZA - 110 H",tabParametros[[#This Row],[Função]],1)),
SUMIF(tabLimpGeral[TIPO],"Equipamento",tabLimpGeral[VALOR UNITÁRIO P/ HORA (R$)])*110,
IF(ISNUMBER(SEARCH("AUXILIAR DE LIMPEZA - 150 H",tabParametros[[#This Row],[Função]],1)),
SUMIF(tabLimpGeral[TIPO],"Equipamento",tabLimpGeral[VALOR UNITÁRIO P/ HORA (R$)])*150,
IF(ISNUMBER(SEARCH("AUXILIAR DE LIMPEZA - 220 H",tabParametros[[#This Row],[Função]],1)),
SUMIF(tabLimpGeral[TIPO],"Equipamento",tabLimpGeral[VALOR UNITÁRIO P/ HORA (R$)])*220,
IF(ISNUMBER(SEARCH("AUXILIAR DE LIMPEZA - 12 x 36",tabParametros[[#This Row],[Função]],1)),
SUMIF(tabLimpGeral[TIPO],"Equipamento",tabLimpGeral[VALOR UNITÁRIO P/ HORA (R$)])*220,
IF(ISNUMBER(SEARCH("Limpador de vidros - 220 h",tabParametros[[#This Row],[Função]],1)),
SUMIF(tabVidros[TIPO],"Equipamento",tabVidros[VALOR UNITÁRIO P/ POSTO (R$)]),
0))))))</f>
        <v>64.529393914825576</v>
      </c>
      <c r="BA120" s="281">
        <f>IF(ISNUMBER(SEARCH("AUXILIAR DE LIMPEZA - 75 H",tabParametros[[#This Row],[Função]],1)),
SUMIF(tabLimpGeral[TIPO],"Produto",tabLimpGeral[VALOR UNITÁRIO P/ HORA (R$)])*75,
IF(ISNUMBER(SEARCH("AUXILIAR DE LIMPEZA - 110 H",tabParametros[[#This Row],[Função]],1)),
SUMIF(tabLimpGeral[TIPO],"Produto",tabLimpGeral[VALOR UNITÁRIO P/ HORA (R$)])*110,
IF(ISNUMBER(SEARCH("AUXILIAR DE LIMPEZA - 150 H",tabParametros[[#This Row],[Função]],1)),
SUMIF(tabLimpGeral[TIPO],"Produto",tabLimpGeral[VALOR UNITÁRIO P/ HORA (R$)])*150,
IF(ISNUMBER(SEARCH("AUXILIAR DE LIMPEZA - 220 H",tabParametros[[#This Row],[Função]],1)),
SUMIF(tabLimpGeral[TIPO],"Produto",tabLimpGeral[VALOR UNITÁRIO P/ HORA (R$)])*220,
IF(ISNUMBER(SEARCH("AUXILIAR DE LIMPEZA - 12 x 36",tabParametros[[#This Row],[Função]],1)),
SUMIF(tabLimpGeral[TIPO],"Produto",tabLimpGeral[VALOR UNITÁRIO P/ HORA (R$)])*220,
IF(ISNUMBER(SEARCH("Limpador de vidros - 220 h",tabParametros[[#This Row],[Função]],1)),
SUMIF(tabVidros[TIPO],"Produto",tabVidros[VALOR UNITÁRIO P/ POSTO (R$)]),
0))))))</f>
        <v>690.27153277931654</v>
      </c>
      <c r="BB120" s="281">
        <v>0</v>
      </c>
      <c r="BC120" s="236">
        <f>VLOOKUP(tabParametros[[#Headers],[Custos Indiretos]],tabOutrosCustos[],3,0)</f>
        <v>189.64880140242613</v>
      </c>
      <c r="BD120" s="236">
        <f>VLOOKUP(tabParametros[[#Headers],[Lucro]],tabOutrosCustos[],3,0)</f>
        <v>159.30499317803796</v>
      </c>
      <c r="BE120" s="235">
        <f>VLOOKUP(tabParametros[[#Headers],[COFINS]],tabImpostosNacionais[],2,0)</f>
        <v>7.5999999999999998E-2</v>
      </c>
      <c r="BF120" s="235">
        <f>VLOOKUP(tabParametros[[#Headers],[PIS]],tabImpostosNacionais[],2,0)</f>
        <v>1.6500000000000001E-2</v>
      </c>
      <c r="BG120" s="235">
        <f>VLOOKUP(tabParametros[[#This Row],[Comarca]],tabComarca[],4,0)</f>
        <v>0.02</v>
      </c>
      <c r="BH120" s="238">
        <f>IFERROR(VLOOKUP(tabParametros[[#This Row],[CCT DA CATEGORIA]],tabSindicatos[],11,0),"")</f>
        <v>45658</v>
      </c>
      <c r="BI120" s="289" t="str">
        <f>IFERROR(VLOOKUP(tabParametros[[#This Row],[CCT DA CATEGORIA]],tabSindicatos[],12,0),"")</f>
        <v>-</v>
      </c>
      <c r="BJ120" s="293" t="str">
        <f>IFERROR(VLOOKUP(tabParametros[[#This Row],[CCT DA CATEGORIA]],tabSindicatos[],13,0),"")</f>
        <v>-</v>
      </c>
    </row>
    <row r="121" spans="1:62" x14ac:dyDescent="0.25">
      <c r="A121" s="233" t="s">
        <v>1458</v>
      </c>
      <c r="B121" s="198" t="s">
        <v>110</v>
      </c>
      <c r="C121" s="198" t="s">
        <v>1247</v>
      </c>
      <c r="D121" s="198" t="str">
        <f>VLOOKUP(tabParametros[[#This Row],[Código do Posto]],tabPostos[],4,0)</f>
        <v>Fethemg Interior</v>
      </c>
      <c r="E121" s="289" t="str">
        <f>VLOOKUP(tabParametros[[#This Row],[Código do Posto]],tabPostos[],5,0)</f>
        <v>Limpeza</v>
      </c>
      <c r="F121" s="289" t="str">
        <f>VLOOKUP(tabParametros[[#This Row],[Código do Posto]],tabPostos[],6,0)</f>
        <v>PGJ</v>
      </c>
      <c r="G121" s="289">
        <f>VLOOKUP(tabParametros[[#This Row],[Código do Posto]],tabPostos[],7,0)</f>
        <v>1</v>
      </c>
      <c r="H121" s="289">
        <f>VLOOKUP(tabParametros[[#This Row],[Código do Posto]],tabPostos[],8,0)</f>
        <v>0</v>
      </c>
      <c r="I121" s="234">
        <f>VLOOKUP(tabParametros[[#This Row],[Código do Posto]],tabPostos[],9,0)</f>
        <v>544.17999999999995</v>
      </c>
      <c r="J121" s="234">
        <f>IF(ISNUMBER(SEARCH("Eletricista",tabParametros[[#This Row],[Função]],1)),0.3*tabParametros[[#This Row],[Salário Base]],0)</f>
        <v>0</v>
      </c>
      <c r="K121" s="234">
        <f>IF(OR(ISNUMBER(SEARCH("Bombeiro Hidraulico",tabParametros[[#This Row],[Função]],1)),ISNUMBER(SEARCH("Jardineiro",tabParametros[[#This Row],[Função]],1)),ISNUMBER(SEARCH("Lavador de Veiculos",tabParametros[[#This Row],[Função]],1)),ISNUMBER(SEARCH("Marceneiro",tabParametros[[#This Row],[Função]],1)),ISNUMBER(SEARCH("Pintor",tabParametros[[#This Row],[Função]],1))),0.2*'BASE GERAL'!$R$4,0)</f>
        <v>0</v>
      </c>
      <c r="L121" s="234">
        <f>IF(AND(ISNUMBER(SEARCH("Noturno",tabParametros[[#This Row],[Função]],1)),tabParametros[[#This Row],[Comarca]]&lt;&gt;"Juiz de Fora"),tabParametros[[#This Row],[Salário Base]]/210*0.39*7*15.5,IF(ISNUMBER(SEARCH("Noturno",tabParametros[[#This Row],[Função]],1)),tabParametros[[#This Row],[Salário Base]]/210*0.2*8*15.5,0))</f>
        <v>0</v>
      </c>
      <c r="M121" s="234">
        <f>IF(ISNUMBER(SEARCH("Motorista II",tabParametros[[#This Row],[Função]],1)),0.25*tabParametros[[#This Row],[Salário Base]],0)</f>
        <v>0</v>
      </c>
      <c r="N121" s="250">
        <v>0</v>
      </c>
      <c r="O121" s="234">
        <f>IF(ISNUMBER(SEARCH("TECNOLOGIA DA INFORMACAO",tabParametros[[#This Row],[Função]],1)),0.0201*tabParametros[[#This Row],[Salário Base]],0)</f>
        <v>0</v>
      </c>
      <c r="P121" s="250" cm="1">
        <f t="array" ref="P121">_xlfn.IFS(
ISNUMBER(SEARCH("Auxiliar de Limpeza - 75 h",tabParametros[[#This Row],[Função]],1)),tabParametros[[#This Row],[Salário Base]]/75*0.75*30*0.12,
ISNUMBER(SEARCH("Auxiliar de Limpeza - 110 h",tabParametros[[#This Row],[Função]],1)),tabParametros[[#This Row],[Salário Base]]/110*1*30*0.12,
ISNUMBER(SEARCH("Auxiliar de Limpeza - 150 h",tabParametros[[#This Row],[Função]],1)),tabParametros[[#This Row],[Salário Base]]/150*1.5*30*0.12,
ISNUMBER(SEARCH("Auxiliar de Limpeza - 220 h",tabParametros[[#This Row],[Função]],1)),tabParametros[[#This Row],[Salário Base]]/220*2*30*0.12,
ISNUMBER(SEARCH("Auxiliar de Limpeza - 12 x 36",tabParametros[[#This Row],[Função]],1)),tabParametros[[#This Row],[Salário Base]]/220*2*30*0.12,
ISNUMBER(SEARCH("Auxiliar de Limpeza - 55 h",tabParametros[[#This Row],[Função]],1))=FALSE,0)</f>
        <v>19.590479999999999</v>
      </c>
      <c r="Q121" s="235">
        <f>VLOOKUP(tabParametros[[#Headers],[INSS]],tabImpostosNacionais[],2,0)</f>
        <v>0.2</v>
      </c>
      <c r="R121" s="235">
        <f>VLOOKUP(tabParametros[[#Headers],[SESI OU SESC]],tabImpostosNacionais[],2,0)</f>
        <v>1.4999999999999999E-2</v>
      </c>
      <c r="S121" s="235">
        <f>VLOOKUP(tabParametros[[#Headers],[SENAI OU SENAC]],tabImpostosNacionais[],2,0)</f>
        <v>0.01</v>
      </c>
      <c r="T121" s="235">
        <f>VLOOKUP(tabParametros[[#Headers],[INCRA]],tabImpostosNacionais[],2,0)</f>
        <v>2E-3</v>
      </c>
      <c r="U121" s="235">
        <f>VLOOKUP(tabParametros[[#Headers],[Salário Educação]],tabImpostosNacionais[],2,0)</f>
        <v>2.5000000000000001E-2</v>
      </c>
      <c r="V121" s="235">
        <f>VLOOKUP(tabParametros[[#Headers],[FGTS]],tabImpostosNacionais[],2,0)</f>
        <v>0.08</v>
      </c>
      <c r="W121" s="235">
        <f>VLOOKUP(tabParametros[[#Headers],[RAT Ajustado]],tabImpostosNacionais[],2,0)</f>
        <v>0.04</v>
      </c>
      <c r="X121" s="235">
        <f>VLOOKUP(tabParametros[[#Headers],[SEBRAE]],tabImpostosNacionais[],2,0)</f>
        <v>6.0000000000000001E-3</v>
      </c>
      <c r="Y121" s="235">
        <f t="shared" si="11"/>
        <v>8.3333333333333329E-2</v>
      </c>
      <c r="Z121" s="251">
        <f t="shared" si="12"/>
        <v>0.1111111111111111</v>
      </c>
      <c r="AA121" s="234">
        <f>VLOOKUP(tabParametros[[#This Row],[Comarca]],tabComarca[],5,0)</f>
        <v>6.4</v>
      </c>
      <c r="AB121" s="234">
        <f>IFERROR(VLOOKUP(tabParametros[[#This Row],[CCT DA CATEGORIA]],tabSindicatos[],6,0),0)</f>
        <v>29.15</v>
      </c>
      <c r="AC121" s="234">
        <f>IFERROR(VLOOKUP(tabParametros[[#This Row],[CCT DA CATEGORIA]],tabSindicatos[],7,0),0)</f>
        <v>0</v>
      </c>
      <c r="AD121" s="234" cm="1">
        <f t="array" ref="AD121">_xlfn.LET(
_xlpm.COMARCA, TRIM(UPPER(SUBSTITUTE(SUBSTITUTE(SUBSTITUTE(SUBSTITUTE(SUBSTITUTE(SUBSTITUTE(SUBSTITUTE(SUBSTITUTE(SUBSTITUTE(SUBSTITUTE(SUBSTITUTE(SUBSTITUTE(SUBSTITUTE(SUBSTITUTE(SUBSTITUTE(SUBSTITUTE(SUBSTITUTE(SUBSTITUTE(SUBSTITUTE(SUBSTITUTE(SUBSTITUTE(SUBSTITUTE(SUBSTITUTE(SUBSTITUTE(SUBSTITUTE(SUBSTITUTE(tabParametros[[#This Row],[Comarca]],"á","a"),"ã","a"),"â","a"),"é","e"),"ê","e"),"í","i"),"ó","o"),"õ","o"),"ô","o"),"ú","u"),"ç","c"),"Á","a"),"Ã","a"),"Â","a"),"É","e"),"Ê","e"),"Í","i"),"Ó","o"),"Õ","o"),"Ô","o"),"Ú","u"),"Ç","c"),"/MG","")," e ",", ")," ",""),".",""))),
_xlpm.MATRIZ_COMARCA, TRIM(UPPER(SUBSTITUTE(SUBSTITUTE(SUBSTITUTE(SUBSTITUTE(SUBSTITUTE(SUBSTITUTE(SUBSTITUTE(SUBSTITUTE(SUBSTITUTE(SUBSTITUTE(SUBSTITUTE(SUBSTITUTE(SUBSTITUTE(SUBSTITUTE(SUBSTITUTE(SUBSTITUTE(SUBSTITUTE(SUBSTITUTE(SUBSTITUTE(SUBSTITUTE(SUBSTITUTE(SUBSTITUTE(SUBSTITUTE(SUBSTITUTE(SUBSTITUTE(SUBSTITUTE(tabSindicatos[COMARCAS PAF],"á","a"),"ã","a"),"â","a"),"é","e"),"ê","e"),"í","i"),"ó","o"),"õ","o"),"ô","o"),"ú","u"),"ç","c"),"Á","a"),"Ã","a"),"Â","a"),"É","e"),"Ê","e"),"Í","i"),"Ó","o"),"Õ","o"),"Ô","o"),"Ú","u"),"Ç","c"),"/MG","")," e ",", ")," ",""),".",""))),
IFERROR(IF(_xlfn.XLOOKUP(tabParametros[[#This Row],[CCT DA CATEGORIA]],tabSindicatos[SINDICATOS],tabSindicatos[COMARCAS PAF])="",
VLOOKUP(tabParametros[[#This Row],[CCT DA CATEGORIA]],tabSindicatos[],8,0),
IF(ISNUMBER(SEARCH(TRIM(_xlpm.COMARCA),_xlfn.XLOOKUP(tabParametros[[#This Row],[CCT DA CATEGORIA]],tabSindicatos[SINDICATOS],_xlpm.MATRIZ_COMARCA),1)),VLOOKUP(tabParametros[[#This Row],[CCT DA CATEGORIA]],tabSindicatos[],8,0),0)
),0)
)</f>
        <v>0</v>
      </c>
      <c r="AE121" s="234">
        <f>IFERROR(VLOOKUP(tabParametros[[#This Row],[CCT DA CATEGORIA]],tabSindicatos[],9,0),0)</f>
        <v>15.07</v>
      </c>
      <c r="AF121" s="234">
        <f>IFERROR(VLOOKUP(tabParametros[[#This Row],[CCT DA CATEGORIA]],tabSindicatos[],10,0),0)</f>
        <v>0</v>
      </c>
      <c r="AG121" s="236">
        <f>VLOOKUP(tabParametros[[#Headers],[Seguro de Vida]],tabOutrosCustos[],3,0)</f>
        <v>3.36</v>
      </c>
      <c r="AH121" s="236">
        <f>IF(ISNUMBER(SEARCH("MOTORISTA",tabParametros[[#This Row],[Função]],1)),VLOOKUP("MOTORISTAS",tabDiarias[],2,0),IF(tabParametros[[#This Row],[Comarca]]="Belo Horizonte",VLOOKUP("LIMPEZA",tabDiarias[],2,0),0))</f>
        <v>0</v>
      </c>
      <c r="AI121" s="235">
        <f t="shared" si="13"/>
        <v>7.011766975308642E-3</v>
      </c>
      <c r="AJ121" s="237">
        <f>tabParametros[[#This Row],[FGTS]]*tabParametros[[#This Row],[Aviso Prévio Indenizado (API) e Reflexo do Aviso Prévio Indenizado]]</f>
        <v>5.609413580246914E-4</v>
      </c>
      <c r="AK121" s="237">
        <f>tabParametros[[#This Row],[FGTS]]*tabParametros[[#This Row],[Aviso Prévio Indenizado (API) e Reflexo do Aviso Prévio Indenizado]]*40%</f>
        <v>2.2437654320987658E-4</v>
      </c>
      <c r="AL121" s="235">
        <f t="shared" si="14"/>
        <v>3.5000000000000005E-3</v>
      </c>
      <c r="AM121" s="235">
        <f>tabParametros[[#This Row],[Aviso Prévio Trabalhado - APT]]*SUM(tabParametros[[#This Row],[INSS]:[SEBRAE]])</f>
        <v>1.3230000000000004E-3</v>
      </c>
      <c r="AN121" s="235">
        <f t="shared" si="15"/>
        <v>3.0577777777777773E-2</v>
      </c>
      <c r="AO121" s="235">
        <f t="shared" si="16"/>
        <v>8.3333333333333339E-4</v>
      </c>
      <c r="AP121" s="235">
        <f t="shared" si="17"/>
        <v>8.4444444444444437E-3</v>
      </c>
      <c r="AQ121" s="235">
        <f t="shared" si="18"/>
        <v>2.0277777777777777E-3</v>
      </c>
      <c r="AR121" s="235">
        <f t="shared" si="19"/>
        <v>1.7083333333333333E-4</v>
      </c>
      <c r="AS121" s="235">
        <f t="shared" si="20"/>
        <v>2.0833333333333335E-4</v>
      </c>
      <c r="AT121" s="235">
        <f t="shared" si="21"/>
        <v>1.2962962962962963E-3</v>
      </c>
      <c r="AU121" s="237">
        <f>SUM(tabParametros[[#This Row],[Ausência por Doença]:[Férias, Adicional de Férias e 13º  com empregada em gozo de Licença Maternidade]])*SUM(tabParametros[[#This Row],[INSS]:[SEBRAE]])</f>
        <v>4.5918250000000008E-3</v>
      </c>
      <c r="AV121" s="234">
        <f>IF(tabParametros[[#This Row],[Função]]="Porteiro - 220 h",SUM(tabParametros[[#This Row],[Salário Base]:[Adicional de Acúmulo de função]])/220*20*1.5,IF(ISNUMBER(SEARCH("12 x 36",tabParametros[[#This Row],[Função]],1)),SUM(tabParametros[[#This Row],[Salário Base]:[Adicional de Acúmulo de função]])/210*15.5*1.5,0))</f>
        <v>0</v>
      </c>
      <c r="AW121" s="234">
        <f>IF(tabParametros[[#This Row],[Vagas contratadas]]&gt;0,(SUM(tabParametros[[#This Row],[Salário Base]:[Adicional de Acúmulo de função]])*30%+SUM(tabParametros[[#This Row],[Vale - Alimentação]:[Seguro de Vida]]))/tabParametros[[#This Row],[Vagas contratadas]]*tabParametros[[#This Row],[Vagas suspensas]],0)</f>
        <v>0</v>
      </c>
      <c r="AX121" s="234">
        <f>SUMIF(tabUniformes[Cargo],tabParametros[[#This Row],[Função]],tabUniformes[Valor unit. Mensal])</f>
        <v>62.806666666666665</v>
      </c>
      <c r="AY121" s="281">
        <f>IF(ISNUMBER(SEARCH("AUXILIAR DE LIMPEZA - 75 H",tabParametros[[#This Row],[Função]],1)),
SUMIF(tabLimpGeral[TIPO],"Material",tabLimpGeral[VALOR UNITÁRIO P/ HORA (R$)])*75,
IF(ISNUMBER(SEARCH("AUXILIAR DE LIMPEZA - 110 H",tabParametros[[#This Row],[Função]],1)),
SUMIF(tabLimpGeral[TIPO],"Material",tabLimpGeral[VALOR UNITÁRIO P/ HORA (R$)])*110,
IF(ISNUMBER(SEARCH("AUXILIAR DE LIMPEZA - 150 H",tabParametros[[#This Row],[Função]],1)),
SUMIF(tabLimpGeral[TIPO],"Material",tabLimpGeral[VALOR UNITÁRIO P/ HORA (R$)])*150,
IF(ISNUMBER(SEARCH("AUXILIAR DE LIMPEZA - 220 H",tabParametros[[#This Row],[Função]],1)),
SUMIF(tabLimpGeral[TIPO],"Material",tabLimpGeral[VALOR UNITÁRIO P/ HORA (R$)])*220,
IF(ISNUMBER(SEARCH("AUXILIAR DE LIMPEZA - 12 x 36",tabParametros[[#This Row],[Função]],1)),
SUMIF(tabLimpGeral[TIPO],"Material",tabLimpGeral[VALOR UNITÁRIO P/ HORA (R$)])*220,
IF(ISNUMBER(SEARCH("Limpador de vidros - 220 h",tabParametros[[#This Row],[Função]],1)),
SUMIF(tabVidros[TIPO],"Material",tabVidros[VALOR UNITÁRIO P/ POSTO (R$)]),
0))))))</f>
        <v>12.108481690426325</v>
      </c>
      <c r="AZ121" s="281">
        <f>IF(ISNUMBER(SEARCH("AUXILIAR DE LIMPEZA - 75 H",tabParametros[[#This Row],[Função]],1)),
SUMIF(tabLimpGeral[TIPO],"Equipamento",tabLimpGeral[VALOR UNITÁRIO P/ HORA (R$)])*75,
IF(ISNUMBER(SEARCH("AUXILIAR DE LIMPEZA - 110 H",tabParametros[[#This Row],[Função]],1)),
SUMIF(tabLimpGeral[TIPO],"Equipamento",tabLimpGeral[VALOR UNITÁRIO P/ HORA (R$)])*110,
IF(ISNUMBER(SEARCH("AUXILIAR DE LIMPEZA - 150 H",tabParametros[[#This Row],[Função]],1)),
SUMIF(tabLimpGeral[TIPO],"Equipamento",tabLimpGeral[VALOR UNITÁRIO P/ HORA (R$)])*150,
IF(ISNUMBER(SEARCH("AUXILIAR DE LIMPEZA - 220 H",tabParametros[[#This Row],[Função]],1)),
SUMIF(tabLimpGeral[TIPO],"Equipamento",tabLimpGeral[VALOR UNITÁRIO P/ HORA (R$)])*220,
IF(ISNUMBER(SEARCH("AUXILIAR DE LIMPEZA - 12 x 36",tabParametros[[#This Row],[Função]],1)),
SUMIF(tabLimpGeral[TIPO],"Equipamento",tabLimpGeral[VALOR UNITÁRIO P/ HORA (R$)])*220,
IF(ISNUMBER(SEARCH("Limpador de vidros - 220 h",tabParametros[[#This Row],[Função]],1)),
SUMIF(tabVidros[TIPO],"Equipamento",tabVidros[VALOR UNITÁRIO P/ POSTO (R$)]),
0))))))</f>
        <v>21.998657016417809</v>
      </c>
      <c r="BA121" s="281">
        <f>IF(ISNUMBER(SEARCH("AUXILIAR DE LIMPEZA - 75 H",tabParametros[[#This Row],[Função]],1)),
SUMIF(tabLimpGeral[TIPO],"Produto",tabLimpGeral[VALOR UNITÁRIO P/ HORA (R$)])*75,
IF(ISNUMBER(SEARCH("AUXILIAR DE LIMPEZA - 110 H",tabParametros[[#This Row],[Função]],1)),
SUMIF(tabLimpGeral[TIPO],"Produto",tabLimpGeral[VALOR UNITÁRIO P/ HORA (R$)])*110,
IF(ISNUMBER(SEARCH("AUXILIAR DE LIMPEZA - 150 H",tabParametros[[#This Row],[Função]],1)),
SUMIF(tabLimpGeral[TIPO],"Produto",tabLimpGeral[VALOR UNITÁRIO P/ HORA (R$)])*150,
IF(ISNUMBER(SEARCH("AUXILIAR DE LIMPEZA - 220 H",tabParametros[[#This Row],[Função]],1)),
SUMIF(tabLimpGeral[TIPO],"Produto",tabLimpGeral[VALOR UNITÁRIO P/ HORA (R$)])*220,
IF(ISNUMBER(SEARCH("AUXILIAR DE LIMPEZA - 12 x 36",tabParametros[[#This Row],[Função]],1)),
SUMIF(tabLimpGeral[TIPO],"Produto",tabLimpGeral[VALOR UNITÁRIO P/ HORA (R$)])*220,
IF(ISNUMBER(SEARCH("Limpador de vidros - 220 h",tabParametros[[#This Row],[Função]],1)),
SUMIF(tabVidros[TIPO],"Produto",tabVidros[VALOR UNITÁRIO P/ POSTO (R$)]),
0))))))</f>
        <v>235.31984072022155</v>
      </c>
      <c r="BB121" s="281">
        <v>0</v>
      </c>
      <c r="BC121" s="236">
        <f>VLOOKUP(tabParametros[[#Headers],[Custos Indiretos]],tabOutrosCustos[],3,0)</f>
        <v>189.64880140242613</v>
      </c>
      <c r="BD121" s="236">
        <f>VLOOKUP(tabParametros[[#Headers],[Lucro]],tabOutrosCustos[],3,0)</f>
        <v>159.30499317803796</v>
      </c>
      <c r="BE121" s="235">
        <f>VLOOKUP(tabParametros[[#Headers],[COFINS]],tabImpostosNacionais[],2,0)</f>
        <v>7.5999999999999998E-2</v>
      </c>
      <c r="BF121" s="235">
        <f>VLOOKUP(tabParametros[[#Headers],[PIS]],tabImpostosNacionais[],2,0)</f>
        <v>1.6500000000000001E-2</v>
      </c>
      <c r="BG121" s="235">
        <f>VLOOKUP(tabParametros[[#This Row],[Comarca]],tabComarca[],4,0)</f>
        <v>0.05</v>
      </c>
      <c r="BH121" s="238">
        <f>IFERROR(VLOOKUP(tabParametros[[#This Row],[CCT DA CATEGORIA]],tabSindicatos[],11,0),"")</f>
        <v>45658</v>
      </c>
      <c r="BI121" s="289" t="str">
        <f>IFERROR(VLOOKUP(tabParametros[[#This Row],[CCT DA CATEGORIA]],tabSindicatos[],12,0),"")</f>
        <v>-</v>
      </c>
      <c r="BJ121" s="293" t="str">
        <f>IFERROR(VLOOKUP(tabParametros[[#This Row],[CCT DA CATEGORIA]],tabSindicatos[],13,0),"")</f>
        <v>-</v>
      </c>
    </row>
    <row r="122" spans="1:62" x14ac:dyDescent="0.25">
      <c r="A122" s="233" t="s">
        <v>1459</v>
      </c>
      <c r="B122" s="198" t="s">
        <v>111</v>
      </c>
      <c r="C122" s="198" t="s">
        <v>1247</v>
      </c>
      <c r="D122" s="198" t="str">
        <f>VLOOKUP(tabParametros[[#This Row],[Código do Posto]],tabPostos[],4,0)</f>
        <v>Regiao de Teofilo Otoni</v>
      </c>
      <c r="E122" s="289" t="str">
        <f>VLOOKUP(tabParametros[[#This Row],[Código do Posto]],tabPostos[],5,0)</f>
        <v>Limpeza</v>
      </c>
      <c r="F122" s="289" t="str">
        <f>VLOOKUP(tabParametros[[#This Row],[Código do Posto]],tabPostos[],6,0)</f>
        <v>PGJ</v>
      </c>
      <c r="G122" s="289">
        <f>VLOOKUP(tabParametros[[#This Row],[Código do Posto]],tabPostos[],7,0)</f>
        <v>1</v>
      </c>
      <c r="H122" s="289">
        <f>VLOOKUP(tabParametros[[#This Row],[Código do Posto]],tabPostos[],8,0)</f>
        <v>0</v>
      </c>
      <c r="I122" s="234">
        <f>VLOOKUP(tabParametros[[#This Row],[Código do Posto]],tabPostos[],9,0)</f>
        <v>544.17999999999995</v>
      </c>
      <c r="J122" s="234">
        <f>IF(ISNUMBER(SEARCH("Eletricista",tabParametros[[#This Row],[Função]],1)),0.3*tabParametros[[#This Row],[Salário Base]],0)</f>
        <v>0</v>
      </c>
      <c r="K122" s="234">
        <f>IF(OR(ISNUMBER(SEARCH("Bombeiro Hidraulico",tabParametros[[#This Row],[Função]],1)),ISNUMBER(SEARCH("Jardineiro",tabParametros[[#This Row],[Função]],1)),ISNUMBER(SEARCH("Lavador de Veiculos",tabParametros[[#This Row],[Função]],1)),ISNUMBER(SEARCH("Marceneiro",tabParametros[[#This Row],[Função]],1)),ISNUMBER(SEARCH("Pintor",tabParametros[[#This Row],[Função]],1))),0.2*'BASE GERAL'!$R$4,0)</f>
        <v>0</v>
      </c>
      <c r="L122" s="234">
        <f>IF(AND(ISNUMBER(SEARCH("Noturno",tabParametros[[#This Row],[Função]],1)),tabParametros[[#This Row],[Comarca]]&lt;&gt;"Juiz de Fora"),tabParametros[[#This Row],[Salário Base]]/210*0.39*7*15.5,IF(ISNUMBER(SEARCH("Noturno",tabParametros[[#This Row],[Função]],1)),tabParametros[[#This Row],[Salário Base]]/210*0.2*8*15.5,0))</f>
        <v>0</v>
      </c>
      <c r="M122" s="234">
        <f>IF(ISNUMBER(SEARCH("Motorista II",tabParametros[[#This Row],[Função]],1)),0.25*tabParametros[[#This Row],[Salário Base]],0)</f>
        <v>0</v>
      </c>
      <c r="N122" s="250">
        <v>0</v>
      </c>
      <c r="O122" s="234">
        <f>IF(ISNUMBER(SEARCH("TECNOLOGIA DA INFORMACAO",tabParametros[[#This Row],[Função]],1)),0.0201*tabParametros[[#This Row],[Salário Base]],0)</f>
        <v>0</v>
      </c>
      <c r="P122" s="250" cm="1">
        <f t="array" ref="P122">_xlfn.IFS(
ISNUMBER(SEARCH("Auxiliar de Limpeza - 75 h",tabParametros[[#This Row],[Função]],1)),tabParametros[[#This Row],[Salário Base]]/75*0.75*30*0.12,
ISNUMBER(SEARCH("Auxiliar de Limpeza - 110 h",tabParametros[[#This Row],[Função]],1)),tabParametros[[#This Row],[Salário Base]]/110*1*30*0.12,
ISNUMBER(SEARCH("Auxiliar de Limpeza - 150 h",tabParametros[[#This Row],[Função]],1)),tabParametros[[#This Row],[Salário Base]]/150*1.5*30*0.12,
ISNUMBER(SEARCH("Auxiliar de Limpeza - 220 h",tabParametros[[#This Row],[Função]],1)),tabParametros[[#This Row],[Salário Base]]/220*2*30*0.12,
ISNUMBER(SEARCH("Auxiliar de Limpeza - 12 x 36",tabParametros[[#This Row],[Função]],1)),tabParametros[[#This Row],[Salário Base]]/220*2*30*0.12,
ISNUMBER(SEARCH("Auxiliar de Limpeza - 55 h",tabParametros[[#This Row],[Função]],1))=FALSE,0)</f>
        <v>19.590479999999999</v>
      </c>
      <c r="Q122" s="235">
        <f>VLOOKUP(tabParametros[[#Headers],[INSS]],tabImpostosNacionais[],2,0)</f>
        <v>0.2</v>
      </c>
      <c r="R122" s="235">
        <f>VLOOKUP(tabParametros[[#Headers],[SESI OU SESC]],tabImpostosNacionais[],2,0)</f>
        <v>1.4999999999999999E-2</v>
      </c>
      <c r="S122" s="235">
        <f>VLOOKUP(tabParametros[[#Headers],[SENAI OU SENAC]],tabImpostosNacionais[],2,0)</f>
        <v>0.01</v>
      </c>
      <c r="T122" s="235">
        <f>VLOOKUP(tabParametros[[#Headers],[INCRA]],tabImpostosNacionais[],2,0)</f>
        <v>2E-3</v>
      </c>
      <c r="U122" s="235">
        <f>VLOOKUP(tabParametros[[#Headers],[Salário Educação]],tabImpostosNacionais[],2,0)</f>
        <v>2.5000000000000001E-2</v>
      </c>
      <c r="V122" s="235">
        <f>VLOOKUP(tabParametros[[#Headers],[FGTS]],tabImpostosNacionais[],2,0)</f>
        <v>0.08</v>
      </c>
      <c r="W122" s="235">
        <f>VLOOKUP(tabParametros[[#Headers],[RAT Ajustado]],tabImpostosNacionais[],2,0)</f>
        <v>0.04</v>
      </c>
      <c r="X122" s="235">
        <f>VLOOKUP(tabParametros[[#Headers],[SEBRAE]],tabImpostosNacionais[],2,0)</f>
        <v>6.0000000000000001E-3</v>
      </c>
      <c r="Y122" s="235">
        <f t="shared" si="11"/>
        <v>8.3333333333333329E-2</v>
      </c>
      <c r="Z122" s="251">
        <f t="shared" si="12"/>
        <v>0.1111111111111111</v>
      </c>
      <c r="AA122" s="234">
        <f>VLOOKUP(tabParametros[[#This Row],[Comarca]],tabComarca[],5,0)</f>
        <v>6.4</v>
      </c>
      <c r="AB122" s="234">
        <f>IFERROR(VLOOKUP(tabParametros[[#This Row],[CCT DA CATEGORIA]],tabSindicatos[],6,0),0)</f>
        <v>29.15</v>
      </c>
      <c r="AC122" s="234">
        <f>IFERROR(VLOOKUP(tabParametros[[#This Row],[CCT DA CATEGORIA]],tabSindicatos[],7,0),0)</f>
        <v>0</v>
      </c>
      <c r="AD122" s="234" cm="1">
        <f t="array" ref="AD122">_xlfn.LET(
_xlpm.COMARCA, TRIM(UPPER(SUBSTITUTE(SUBSTITUTE(SUBSTITUTE(SUBSTITUTE(SUBSTITUTE(SUBSTITUTE(SUBSTITUTE(SUBSTITUTE(SUBSTITUTE(SUBSTITUTE(SUBSTITUTE(SUBSTITUTE(SUBSTITUTE(SUBSTITUTE(SUBSTITUTE(SUBSTITUTE(SUBSTITUTE(SUBSTITUTE(SUBSTITUTE(SUBSTITUTE(SUBSTITUTE(SUBSTITUTE(SUBSTITUTE(SUBSTITUTE(SUBSTITUTE(SUBSTITUTE(tabParametros[[#This Row],[Comarca]],"á","a"),"ã","a"),"â","a"),"é","e"),"ê","e"),"í","i"),"ó","o"),"õ","o"),"ô","o"),"ú","u"),"ç","c"),"Á","a"),"Ã","a"),"Â","a"),"É","e"),"Ê","e"),"Í","i"),"Ó","o"),"Õ","o"),"Ô","o"),"Ú","u"),"Ç","c"),"/MG","")," e ",", ")," ",""),".",""))),
_xlpm.MATRIZ_COMARCA, TRIM(UPPER(SUBSTITUTE(SUBSTITUTE(SUBSTITUTE(SUBSTITUTE(SUBSTITUTE(SUBSTITUTE(SUBSTITUTE(SUBSTITUTE(SUBSTITUTE(SUBSTITUTE(SUBSTITUTE(SUBSTITUTE(SUBSTITUTE(SUBSTITUTE(SUBSTITUTE(SUBSTITUTE(SUBSTITUTE(SUBSTITUTE(SUBSTITUTE(SUBSTITUTE(SUBSTITUTE(SUBSTITUTE(SUBSTITUTE(SUBSTITUTE(SUBSTITUTE(SUBSTITUTE(tabSindicatos[COMARCAS PAF],"á","a"),"ã","a"),"â","a"),"é","e"),"ê","e"),"í","i"),"ó","o"),"õ","o"),"ô","o"),"ú","u"),"ç","c"),"Á","a"),"Ã","a"),"Â","a"),"É","e"),"Ê","e"),"Í","i"),"Ó","o"),"Õ","o"),"Ô","o"),"Ú","u"),"Ç","c"),"/MG","")," e ",", ")," ",""),".",""))),
IFERROR(IF(_xlfn.XLOOKUP(tabParametros[[#This Row],[CCT DA CATEGORIA]],tabSindicatos[SINDICATOS],tabSindicatos[COMARCAS PAF])="",
VLOOKUP(tabParametros[[#This Row],[CCT DA CATEGORIA]],tabSindicatos[],8,0),
IF(ISNUMBER(SEARCH(TRIM(_xlpm.COMARCA),_xlfn.XLOOKUP(tabParametros[[#This Row],[CCT DA CATEGORIA]],tabSindicatos[SINDICATOS],_xlpm.MATRIZ_COMARCA),1)),VLOOKUP(tabParametros[[#This Row],[CCT DA CATEGORIA]],tabSindicatos[],8,0),0)
),0)
)</f>
        <v>0</v>
      </c>
      <c r="AE122" s="234">
        <f>IFERROR(VLOOKUP(tabParametros[[#This Row],[CCT DA CATEGORIA]],tabSindicatos[],9,0),0)</f>
        <v>15.07</v>
      </c>
      <c r="AF122" s="234">
        <f>IFERROR(VLOOKUP(tabParametros[[#This Row],[CCT DA CATEGORIA]],tabSindicatos[],10,0),0)</f>
        <v>0</v>
      </c>
      <c r="AG122" s="236">
        <f>VLOOKUP(tabParametros[[#Headers],[Seguro de Vida]],tabOutrosCustos[],3,0)</f>
        <v>3.36</v>
      </c>
      <c r="AH122" s="236">
        <f>IF(ISNUMBER(SEARCH("MOTORISTA",tabParametros[[#This Row],[Função]],1)),VLOOKUP("MOTORISTAS",tabDiarias[],2,0),IF(tabParametros[[#This Row],[Comarca]]="Belo Horizonte",VLOOKUP("LIMPEZA",tabDiarias[],2,0),0))</f>
        <v>0</v>
      </c>
      <c r="AI122" s="235">
        <f t="shared" si="13"/>
        <v>7.011766975308642E-3</v>
      </c>
      <c r="AJ122" s="237">
        <f>tabParametros[[#This Row],[FGTS]]*tabParametros[[#This Row],[Aviso Prévio Indenizado (API) e Reflexo do Aviso Prévio Indenizado]]</f>
        <v>5.609413580246914E-4</v>
      </c>
      <c r="AK122" s="237">
        <f>tabParametros[[#This Row],[FGTS]]*tabParametros[[#This Row],[Aviso Prévio Indenizado (API) e Reflexo do Aviso Prévio Indenizado]]*40%</f>
        <v>2.2437654320987658E-4</v>
      </c>
      <c r="AL122" s="235">
        <f t="shared" si="14"/>
        <v>3.5000000000000005E-3</v>
      </c>
      <c r="AM122" s="235">
        <f>tabParametros[[#This Row],[Aviso Prévio Trabalhado - APT]]*SUM(tabParametros[[#This Row],[INSS]:[SEBRAE]])</f>
        <v>1.3230000000000004E-3</v>
      </c>
      <c r="AN122" s="235">
        <f t="shared" si="15"/>
        <v>3.0577777777777773E-2</v>
      </c>
      <c r="AO122" s="235">
        <f t="shared" si="16"/>
        <v>8.3333333333333339E-4</v>
      </c>
      <c r="AP122" s="235">
        <f t="shared" si="17"/>
        <v>8.4444444444444437E-3</v>
      </c>
      <c r="AQ122" s="235">
        <f t="shared" si="18"/>
        <v>2.0277777777777777E-3</v>
      </c>
      <c r="AR122" s="235">
        <f t="shared" si="19"/>
        <v>1.7083333333333333E-4</v>
      </c>
      <c r="AS122" s="235">
        <f t="shared" si="20"/>
        <v>2.0833333333333335E-4</v>
      </c>
      <c r="AT122" s="235">
        <f t="shared" si="21"/>
        <v>1.2962962962962963E-3</v>
      </c>
      <c r="AU122" s="237">
        <f>SUM(tabParametros[[#This Row],[Ausência por Doença]:[Férias, Adicional de Férias e 13º  com empregada em gozo de Licença Maternidade]])*SUM(tabParametros[[#This Row],[INSS]:[SEBRAE]])</f>
        <v>4.5918250000000008E-3</v>
      </c>
      <c r="AV122" s="234">
        <f>IF(tabParametros[[#This Row],[Função]]="Porteiro - 220 h",SUM(tabParametros[[#This Row],[Salário Base]:[Adicional de Acúmulo de função]])/220*20*1.5,IF(ISNUMBER(SEARCH("12 x 36",tabParametros[[#This Row],[Função]],1)),SUM(tabParametros[[#This Row],[Salário Base]:[Adicional de Acúmulo de função]])/210*15.5*1.5,0))</f>
        <v>0</v>
      </c>
      <c r="AW122" s="234">
        <f>IF(tabParametros[[#This Row],[Vagas contratadas]]&gt;0,(SUM(tabParametros[[#This Row],[Salário Base]:[Adicional de Acúmulo de função]])*30%+SUM(tabParametros[[#This Row],[Vale - Alimentação]:[Seguro de Vida]]))/tabParametros[[#This Row],[Vagas contratadas]]*tabParametros[[#This Row],[Vagas suspensas]],0)</f>
        <v>0</v>
      </c>
      <c r="AX122" s="234">
        <f>SUMIF(tabUniformes[Cargo],tabParametros[[#This Row],[Função]],tabUniformes[Valor unit. Mensal])</f>
        <v>62.806666666666665</v>
      </c>
      <c r="AY122" s="281">
        <f>IF(ISNUMBER(SEARCH("AUXILIAR DE LIMPEZA - 75 H",tabParametros[[#This Row],[Função]],1)),
SUMIF(tabLimpGeral[TIPO],"Material",tabLimpGeral[VALOR UNITÁRIO P/ HORA (R$)])*75,
IF(ISNUMBER(SEARCH("AUXILIAR DE LIMPEZA - 110 H",tabParametros[[#This Row],[Função]],1)),
SUMIF(tabLimpGeral[TIPO],"Material",tabLimpGeral[VALOR UNITÁRIO P/ HORA (R$)])*110,
IF(ISNUMBER(SEARCH("AUXILIAR DE LIMPEZA - 150 H",tabParametros[[#This Row],[Função]],1)),
SUMIF(tabLimpGeral[TIPO],"Material",tabLimpGeral[VALOR UNITÁRIO P/ HORA (R$)])*150,
IF(ISNUMBER(SEARCH("AUXILIAR DE LIMPEZA - 220 H",tabParametros[[#This Row],[Função]],1)),
SUMIF(tabLimpGeral[TIPO],"Material",tabLimpGeral[VALOR UNITÁRIO P/ HORA (R$)])*220,
IF(ISNUMBER(SEARCH("AUXILIAR DE LIMPEZA - 12 x 36",tabParametros[[#This Row],[Função]],1)),
SUMIF(tabLimpGeral[TIPO],"Material",tabLimpGeral[VALOR UNITÁRIO P/ HORA (R$)])*220,
IF(ISNUMBER(SEARCH("Limpador de vidros - 220 h",tabParametros[[#This Row],[Função]],1)),
SUMIF(tabVidros[TIPO],"Material",tabVidros[VALOR UNITÁRIO P/ POSTO (R$)]),
0))))))</f>
        <v>12.108481690426325</v>
      </c>
      <c r="AZ122" s="281">
        <f>IF(ISNUMBER(SEARCH("AUXILIAR DE LIMPEZA - 75 H",tabParametros[[#This Row],[Função]],1)),
SUMIF(tabLimpGeral[TIPO],"Equipamento",tabLimpGeral[VALOR UNITÁRIO P/ HORA (R$)])*75,
IF(ISNUMBER(SEARCH("AUXILIAR DE LIMPEZA - 110 H",tabParametros[[#This Row],[Função]],1)),
SUMIF(tabLimpGeral[TIPO],"Equipamento",tabLimpGeral[VALOR UNITÁRIO P/ HORA (R$)])*110,
IF(ISNUMBER(SEARCH("AUXILIAR DE LIMPEZA - 150 H",tabParametros[[#This Row],[Função]],1)),
SUMIF(tabLimpGeral[TIPO],"Equipamento",tabLimpGeral[VALOR UNITÁRIO P/ HORA (R$)])*150,
IF(ISNUMBER(SEARCH("AUXILIAR DE LIMPEZA - 220 H",tabParametros[[#This Row],[Função]],1)),
SUMIF(tabLimpGeral[TIPO],"Equipamento",tabLimpGeral[VALOR UNITÁRIO P/ HORA (R$)])*220,
IF(ISNUMBER(SEARCH("AUXILIAR DE LIMPEZA - 12 x 36",tabParametros[[#This Row],[Função]],1)),
SUMIF(tabLimpGeral[TIPO],"Equipamento",tabLimpGeral[VALOR UNITÁRIO P/ HORA (R$)])*220,
IF(ISNUMBER(SEARCH("Limpador de vidros - 220 h",tabParametros[[#This Row],[Função]],1)),
SUMIF(tabVidros[TIPO],"Equipamento",tabVidros[VALOR UNITÁRIO P/ POSTO (R$)]),
0))))))</f>
        <v>21.998657016417809</v>
      </c>
      <c r="BA122" s="281">
        <f>IF(ISNUMBER(SEARCH("AUXILIAR DE LIMPEZA - 75 H",tabParametros[[#This Row],[Função]],1)),
SUMIF(tabLimpGeral[TIPO],"Produto",tabLimpGeral[VALOR UNITÁRIO P/ HORA (R$)])*75,
IF(ISNUMBER(SEARCH("AUXILIAR DE LIMPEZA - 110 H",tabParametros[[#This Row],[Função]],1)),
SUMIF(tabLimpGeral[TIPO],"Produto",tabLimpGeral[VALOR UNITÁRIO P/ HORA (R$)])*110,
IF(ISNUMBER(SEARCH("AUXILIAR DE LIMPEZA - 150 H",tabParametros[[#This Row],[Função]],1)),
SUMIF(tabLimpGeral[TIPO],"Produto",tabLimpGeral[VALOR UNITÁRIO P/ HORA (R$)])*150,
IF(ISNUMBER(SEARCH("AUXILIAR DE LIMPEZA - 220 H",tabParametros[[#This Row],[Função]],1)),
SUMIF(tabLimpGeral[TIPO],"Produto",tabLimpGeral[VALOR UNITÁRIO P/ HORA (R$)])*220,
IF(ISNUMBER(SEARCH("AUXILIAR DE LIMPEZA - 12 x 36",tabParametros[[#This Row],[Função]],1)),
SUMIF(tabLimpGeral[TIPO],"Produto",tabLimpGeral[VALOR UNITÁRIO P/ HORA (R$)])*220,
IF(ISNUMBER(SEARCH("Limpador de vidros - 220 h",tabParametros[[#This Row],[Função]],1)),
SUMIF(tabVidros[TIPO],"Produto",tabVidros[VALOR UNITÁRIO P/ POSTO (R$)]),
0))))))</f>
        <v>235.31984072022155</v>
      </c>
      <c r="BB122" s="281">
        <v>0</v>
      </c>
      <c r="BC122" s="236">
        <f>VLOOKUP(tabParametros[[#Headers],[Custos Indiretos]],tabOutrosCustos[],3,0)</f>
        <v>189.64880140242613</v>
      </c>
      <c r="BD122" s="236">
        <f>VLOOKUP(tabParametros[[#Headers],[Lucro]],tabOutrosCustos[],3,0)</f>
        <v>159.30499317803796</v>
      </c>
      <c r="BE122" s="235">
        <f>VLOOKUP(tabParametros[[#Headers],[COFINS]],tabImpostosNacionais[],2,0)</f>
        <v>7.5999999999999998E-2</v>
      </c>
      <c r="BF122" s="235">
        <f>VLOOKUP(tabParametros[[#Headers],[PIS]],tabImpostosNacionais[],2,0)</f>
        <v>1.6500000000000001E-2</v>
      </c>
      <c r="BG122" s="235">
        <f>VLOOKUP(tabParametros[[#This Row],[Comarca]],tabComarca[],4,0)</f>
        <v>0.03</v>
      </c>
      <c r="BH122" s="238">
        <f>IFERROR(VLOOKUP(tabParametros[[#This Row],[CCT DA CATEGORIA]],tabSindicatos[],11,0),"")</f>
        <v>45658</v>
      </c>
      <c r="BI122" s="289" t="str">
        <f>IFERROR(VLOOKUP(tabParametros[[#This Row],[CCT DA CATEGORIA]],tabSindicatos[],12,0),"")</f>
        <v>-</v>
      </c>
      <c r="BJ122" s="293" t="str">
        <f>IFERROR(VLOOKUP(tabParametros[[#This Row],[CCT DA CATEGORIA]],tabSindicatos[],13,0),"")</f>
        <v>-</v>
      </c>
    </row>
    <row r="123" spans="1:62" x14ac:dyDescent="0.25">
      <c r="A123" s="233" t="s">
        <v>1460</v>
      </c>
      <c r="B123" s="198" t="s">
        <v>112</v>
      </c>
      <c r="C123" s="198" t="s">
        <v>1247</v>
      </c>
      <c r="D123" s="198" t="str">
        <f>VLOOKUP(tabParametros[[#This Row],[Código do Posto]],tabPostos[],4,0)</f>
        <v>Regiao de Sao Lourenco</v>
      </c>
      <c r="E123" s="289" t="str">
        <f>VLOOKUP(tabParametros[[#This Row],[Código do Posto]],tabPostos[],5,0)</f>
        <v>Limpeza</v>
      </c>
      <c r="F123" s="289" t="str">
        <f>VLOOKUP(tabParametros[[#This Row],[Código do Posto]],tabPostos[],6,0)</f>
        <v>PGJ</v>
      </c>
      <c r="G123" s="289">
        <f>VLOOKUP(tabParametros[[#This Row],[Código do Posto]],tabPostos[],7,0)</f>
        <v>1</v>
      </c>
      <c r="H123" s="289">
        <f>VLOOKUP(tabParametros[[#This Row],[Código do Posto]],tabPostos[],8,0)</f>
        <v>0</v>
      </c>
      <c r="I123" s="234">
        <f>VLOOKUP(tabParametros[[#This Row],[Código do Posto]],tabPostos[],9,0)</f>
        <v>544.17999999999995</v>
      </c>
      <c r="J123" s="234">
        <f>IF(ISNUMBER(SEARCH("Eletricista",tabParametros[[#This Row],[Função]],1)),0.3*tabParametros[[#This Row],[Salário Base]],0)</f>
        <v>0</v>
      </c>
      <c r="K123" s="234">
        <f>IF(OR(ISNUMBER(SEARCH("Bombeiro Hidraulico",tabParametros[[#This Row],[Função]],1)),ISNUMBER(SEARCH("Jardineiro",tabParametros[[#This Row],[Função]],1)),ISNUMBER(SEARCH("Lavador de Veiculos",tabParametros[[#This Row],[Função]],1)),ISNUMBER(SEARCH("Marceneiro",tabParametros[[#This Row],[Função]],1)),ISNUMBER(SEARCH("Pintor",tabParametros[[#This Row],[Função]],1))),0.2*'BASE GERAL'!$R$4,0)</f>
        <v>0</v>
      </c>
      <c r="L123" s="234">
        <f>IF(AND(ISNUMBER(SEARCH("Noturno",tabParametros[[#This Row],[Função]],1)),tabParametros[[#This Row],[Comarca]]&lt;&gt;"Juiz de Fora"),tabParametros[[#This Row],[Salário Base]]/210*0.39*7*15.5,IF(ISNUMBER(SEARCH("Noturno",tabParametros[[#This Row],[Função]],1)),tabParametros[[#This Row],[Salário Base]]/210*0.2*8*15.5,0))</f>
        <v>0</v>
      </c>
      <c r="M123" s="234">
        <f>IF(ISNUMBER(SEARCH("Motorista II",tabParametros[[#This Row],[Função]],1)),0.25*tabParametros[[#This Row],[Salário Base]],0)</f>
        <v>0</v>
      </c>
      <c r="N123" s="250">
        <v>0</v>
      </c>
      <c r="O123" s="234">
        <f>IF(ISNUMBER(SEARCH("TECNOLOGIA DA INFORMACAO",tabParametros[[#This Row],[Função]],1)),0.0201*tabParametros[[#This Row],[Salário Base]],0)</f>
        <v>0</v>
      </c>
      <c r="P123" s="250" cm="1">
        <f t="array" ref="P123">_xlfn.IFS(
ISNUMBER(SEARCH("Auxiliar de Limpeza - 75 h",tabParametros[[#This Row],[Função]],1)),tabParametros[[#This Row],[Salário Base]]/75*0.75*30*0.12,
ISNUMBER(SEARCH("Auxiliar de Limpeza - 110 h",tabParametros[[#This Row],[Função]],1)),tabParametros[[#This Row],[Salário Base]]/110*1*30*0.12,
ISNUMBER(SEARCH("Auxiliar de Limpeza - 150 h",tabParametros[[#This Row],[Função]],1)),tabParametros[[#This Row],[Salário Base]]/150*1.5*30*0.12,
ISNUMBER(SEARCH("Auxiliar de Limpeza - 220 h",tabParametros[[#This Row],[Função]],1)),tabParametros[[#This Row],[Salário Base]]/220*2*30*0.12,
ISNUMBER(SEARCH("Auxiliar de Limpeza - 12 x 36",tabParametros[[#This Row],[Função]],1)),tabParametros[[#This Row],[Salário Base]]/220*2*30*0.12,
ISNUMBER(SEARCH("Auxiliar de Limpeza - 55 h",tabParametros[[#This Row],[Função]],1))=FALSE,0)</f>
        <v>19.590479999999999</v>
      </c>
      <c r="Q123" s="235">
        <f>VLOOKUP(tabParametros[[#Headers],[INSS]],tabImpostosNacionais[],2,0)</f>
        <v>0.2</v>
      </c>
      <c r="R123" s="235">
        <f>VLOOKUP(tabParametros[[#Headers],[SESI OU SESC]],tabImpostosNacionais[],2,0)</f>
        <v>1.4999999999999999E-2</v>
      </c>
      <c r="S123" s="235">
        <f>VLOOKUP(tabParametros[[#Headers],[SENAI OU SENAC]],tabImpostosNacionais[],2,0)</f>
        <v>0.01</v>
      </c>
      <c r="T123" s="235">
        <f>VLOOKUP(tabParametros[[#Headers],[INCRA]],tabImpostosNacionais[],2,0)</f>
        <v>2E-3</v>
      </c>
      <c r="U123" s="235">
        <f>VLOOKUP(tabParametros[[#Headers],[Salário Educação]],tabImpostosNacionais[],2,0)</f>
        <v>2.5000000000000001E-2</v>
      </c>
      <c r="V123" s="235">
        <f>VLOOKUP(tabParametros[[#Headers],[FGTS]],tabImpostosNacionais[],2,0)</f>
        <v>0.08</v>
      </c>
      <c r="W123" s="235">
        <f>VLOOKUP(tabParametros[[#Headers],[RAT Ajustado]],tabImpostosNacionais[],2,0)</f>
        <v>0.04</v>
      </c>
      <c r="X123" s="235">
        <f>VLOOKUP(tabParametros[[#Headers],[SEBRAE]],tabImpostosNacionais[],2,0)</f>
        <v>6.0000000000000001E-3</v>
      </c>
      <c r="Y123" s="235">
        <f t="shared" si="11"/>
        <v>8.3333333333333329E-2</v>
      </c>
      <c r="Z123" s="251">
        <f t="shared" si="12"/>
        <v>0.1111111111111111</v>
      </c>
      <c r="AA123" s="234">
        <f>VLOOKUP(tabParametros[[#This Row],[Comarca]],tabComarca[],5,0)</f>
        <v>6.4</v>
      </c>
      <c r="AB123" s="234">
        <f>IFERROR(VLOOKUP(tabParametros[[#This Row],[CCT DA CATEGORIA]],tabSindicatos[],6,0),0)</f>
        <v>29.15</v>
      </c>
      <c r="AC123" s="234">
        <f>IFERROR(VLOOKUP(tabParametros[[#This Row],[CCT DA CATEGORIA]],tabSindicatos[],7,0),0)</f>
        <v>0</v>
      </c>
      <c r="AD123" s="234" cm="1">
        <f t="array" ref="AD123">_xlfn.LET(
_xlpm.COMARCA, TRIM(UPPER(SUBSTITUTE(SUBSTITUTE(SUBSTITUTE(SUBSTITUTE(SUBSTITUTE(SUBSTITUTE(SUBSTITUTE(SUBSTITUTE(SUBSTITUTE(SUBSTITUTE(SUBSTITUTE(SUBSTITUTE(SUBSTITUTE(SUBSTITUTE(SUBSTITUTE(SUBSTITUTE(SUBSTITUTE(SUBSTITUTE(SUBSTITUTE(SUBSTITUTE(SUBSTITUTE(SUBSTITUTE(SUBSTITUTE(SUBSTITUTE(SUBSTITUTE(SUBSTITUTE(tabParametros[[#This Row],[Comarca]],"á","a"),"ã","a"),"â","a"),"é","e"),"ê","e"),"í","i"),"ó","o"),"õ","o"),"ô","o"),"ú","u"),"ç","c"),"Á","a"),"Ã","a"),"Â","a"),"É","e"),"Ê","e"),"Í","i"),"Ó","o"),"Õ","o"),"Ô","o"),"Ú","u"),"Ç","c"),"/MG","")," e ",", ")," ",""),".",""))),
_xlpm.MATRIZ_COMARCA, TRIM(UPPER(SUBSTITUTE(SUBSTITUTE(SUBSTITUTE(SUBSTITUTE(SUBSTITUTE(SUBSTITUTE(SUBSTITUTE(SUBSTITUTE(SUBSTITUTE(SUBSTITUTE(SUBSTITUTE(SUBSTITUTE(SUBSTITUTE(SUBSTITUTE(SUBSTITUTE(SUBSTITUTE(SUBSTITUTE(SUBSTITUTE(SUBSTITUTE(SUBSTITUTE(SUBSTITUTE(SUBSTITUTE(SUBSTITUTE(SUBSTITUTE(SUBSTITUTE(SUBSTITUTE(tabSindicatos[COMARCAS PAF],"á","a"),"ã","a"),"â","a"),"é","e"),"ê","e"),"í","i"),"ó","o"),"õ","o"),"ô","o"),"ú","u"),"ç","c"),"Á","a"),"Ã","a"),"Â","a"),"É","e"),"Ê","e"),"Í","i"),"Ó","o"),"Õ","o"),"Ô","o"),"Ú","u"),"Ç","c"),"/MG","")," e ",", ")," ",""),".",""))),
IFERROR(IF(_xlfn.XLOOKUP(tabParametros[[#This Row],[CCT DA CATEGORIA]],tabSindicatos[SINDICATOS],tabSindicatos[COMARCAS PAF])="",
VLOOKUP(tabParametros[[#This Row],[CCT DA CATEGORIA]],tabSindicatos[],8,0),
IF(ISNUMBER(SEARCH(TRIM(_xlpm.COMARCA),_xlfn.XLOOKUP(tabParametros[[#This Row],[CCT DA CATEGORIA]],tabSindicatos[SINDICATOS],_xlpm.MATRIZ_COMARCA),1)),VLOOKUP(tabParametros[[#This Row],[CCT DA CATEGORIA]],tabSindicatos[],8,0),0)
),0)
)</f>
        <v>0</v>
      </c>
      <c r="AE123" s="234">
        <f>IFERROR(VLOOKUP(tabParametros[[#This Row],[CCT DA CATEGORIA]],tabSindicatos[],9,0),0)</f>
        <v>0</v>
      </c>
      <c r="AF123" s="234">
        <f>IFERROR(VLOOKUP(tabParametros[[#This Row],[CCT DA CATEGORIA]],tabSindicatos[],10,0),0)</f>
        <v>0</v>
      </c>
      <c r="AG123" s="236">
        <f>VLOOKUP(tabParametros[[#Headers],[Seguro de Vida]],tabOutrosCustos[],3,0)</f>
        <v>3.36</v>
      </c>
      <c r="AH123" s="236">
        <f>IF(ISNUMBER(SEARCH("MOTORISTA",tabParametros[[#This Row],[Função]],1)),VLOOKUP("MOTORISTAS",tabDiarias[],2,0),IF(tabParametros[[#This Row],[Comarca]]="Belo Horizonte",VLOOKUP("LIMPEZA",tabDiarias[],2,0),0))</f>
        <v>0</v>
      </c>
      <c r="AI123" s="235">
        <f t="shared" si="13"/>
        <v>7.011766975308642E-3</v>
      </c>
      <c r="AJ123" s="237">
        <f>tabParametros[[#This Row],[FGTS]]*tabParametros[[#This Row],[Aviso Prévio Indenizado (API) e Reflexo do Aviso Prévio Indenizado]]</f>
        <v>5.609413580246914E-4</v>
      </c>
      <c r="AK123" s="237">
        <f>tabParametros[[#This Row],[FGTS]]*tabParametros[[#This Row],[Aviso Prévio Indenizado (API) e Reflexo do Aviso Prévio Indenizado]]*40%</f>
        <v>2.2437654320987658E-4</v>
      </c>
      <c r="AL123" s="235">
        <f t="shared" si="14"/>
        <v>3.5000000000000005E-3</v>
      </c>
      <c r="AM123" s="235">
        <f>tabParametros[[#This Row],[Aviso Prévio Trabalhado - APT]]*SUM(tabParametros[[#This Row],[INSS]:[SEBRAE]])</f>
        <v>1.3230000000000004E-3</v>
      </c>
      <c r="AN123" s="235">
        <f t="shared" si="15"/>
        <v>3.0577777777777773E-2</v>
      </c>
      <c r="AO123" s="235">
        <f t="shared" si="16"/>
        <v>8.3333333333333339E-4</v>
      </c>
      <c r="AP123" s="235">
        <f t="shared" si="17"/>
        <v>8.4444444444444437E-3</v>
      </c>
      <c r="AQ123" s="235">
        <f t="shared" si="18"/>
        <v>2.0277777777777777E-3</v>
      </c>
      <c r="AR123" s="235">
        <f t="shared" si="19"/>
        <v>1.7083333333333333E-4</v>
      </c>
      <c r="AS123" s="235">
        <f t="shared" si="20"/>
        <v>2.0833333333333335E-4</v>
      </c>
      <c r="AT123" s="235">
        <f t="shared" si="21"/>
        <v>1.2962962962962963E-3</v>
      </c>
      <c r="AU123" s="237">
        <f>SUM(tabParametros[[#This Row],[Ausência por Doença]:[Férias, Adicional de Férias e 13º  com empregada em gozo de Licença Maternidade]])*SUM(tabParametros[[#This Row],[INSS]:[SEBRAE]])</f>
        <v>4.5918250000000008E-3</v>
      </c>
      <c r="AV123" s="234">
        <f>IF(tabParametros[[#This Row],[Função]]="Porteiro - 220 h",SUM(tabParametros[[#This Row],[Salário Base]:[Adicional de Acúmulo de função]])/220*20*1.5,IF(ISNUMBER(SEARCH("12 x 36",tabParametros[[#This Row],[Função]],1)),SUM(tabParametros[[#This Row],[Salário Base]:[Adicional de Acúmulo de função]])/210*15.5*1.5,0))</f>
        <v>0</v>
      </c>
      <c r="AW123" s="234">
        <f>IF(tabParametros[[#This Row],[Vagas contratadas]]&gt;0,(SUM(tabParametros[[#This Row],[Salário Base]:[Adicional de Acúmulo de função]])*30%+SUM(tabParametros[[#This Row],[Vale - Alimentação]:[Seguro de Vida]]))/tabParametros[[#This Row],[Vagas contratadas]]*tabParametros[[#This Row],[Vagas suspensas]],0)</f>
        <v>0</v>
      </c>
      <c r="AX123" s="234">
        <f>SUMIF(tabUniformes[Cargo],tabParametros[[#This Row],[Função]],tabUniformes[Valor unit. Mensal])</f>
        <v>62.806666666666665</v>
      </c>
      <c r="AY123" s="281">
        <f>IF(ISNUMBER(SEARCH("AUXILIAR DE LIMPEZA - 75 H",tabParametros[[#This Row],[Função]],1)),
SUMIF(tabLimpGeral[TIPO],"Material",tabLimpGeral[VALOR UNITÁRIO P/ HORA (R$)])*75,
IF(ISNUMBER(SEARCH("AUXILIAR DE LIMPEZA - 110 H",tabParametros[[#This Row],[Função]],1)),
SUMIF(tabLimpGeral[TIPO],"Material",tabLimpGeral[VALOR UNITÁRIO P/ HORA (R$)])*110,
IF(ISNUMBER(SEARCH("AUXILIAR DE LIMPEZA - 150 H",tabParametros[[#This Row],[Função]],1)),
SUMIF(tabLimpGeral[TIPO],"Material",tabLimpGeral[VALOR UNITÁRIO P/ HORA (R$)])*150,
IF(ISNUMBER(SEARCH("AUXILIAR DE LIMPEZA - 220 H",tabParametros[[#This Row],[Função]],1)),
SUMIF(tabLimpGeral[TIPO],"Material",tabLimpGeral[VALOR UNITÁRIO P/ HORA (R$)])*220,
IF(ISNUMBER(SEARCH("AUXILIAR DE LIMPEZA - 12 x 36",tabParametros[[#This Row],[Função]],1)),
SUMIF(tabLimpGeral[TIPO],"Material",tabLimpGeral[VALOR UNITÁRIO P/ HORA (R$)])*220,
IF(ISNUMBER(SEARCH("Limpador de vidros - 220 h",tabParametros[[#This Row],[Função]],1)),
SUMIF(tabVidros[TIPO],"Material",tabVidros[VALOR UNITÁRIO P/ POSTO (R$)]),
0))))))</f>
        <v>12.108481690426325</v>
      </c>
      <c r="AZ123" s="281">
        <f>IF(ISNUMBER(SEARCH("AUXILIAR DE LIMPEZA - 75 H",tabParametros[[#This Row],[Função]],1)),
SUMIF(tabLimpGeral[TIPO],"Equipamento",tabLimpGeral[VALOR UNITÁRIO P/ HORA (R$)])*75,
IF(ISNUMBER(SEARCH("AUXILIAR DE LIMPEZA - 110 H",tabParametros[[#This Row],[Função]],1)),
SUMIF(tabLimpGeral[TIPO],"Equipamento",tabLimpGeral[VALOR UNITÁRIO P/ HORA (R$)])*110,
IF(ISNUMBER(SEARCH("AUXILIAR DE LIMPEZA - 150 H",tabParametros[[#This Row],[Função]],1)),
SUMIF(tabLimpGeral[TIPO],"Equipamento",tabLimpGeral[VALOR UNITÁRIO P/ HORA (R$)])*150,
IF(ISNUMBER(SEARCH("AUXILIAR DE LIMPEZA - 220 H",tabParametros[[#This Row],[Função]],1)),
SUMIF(tabLimpGeral[TIPO],"Equipamento",tabLimpGeral[VALOR UNITÁRIO P/ HORA (R$)])*220,
IF(ISNUMBER(SEARCH("AUXILIAR DE LIMPEZA - 12 x 36",tabParametros[[#This Row],[Função]],1)),
SUMIF(tabLimpGeral[TIPO],"Equipamento",tabLimpGeral[VALOR UNITÁRIO P/ HORA (R$)])*220,
IF(ISNUMBER(SEARCH("Limpador de vidros - 220 h",tabParametros[[#This Row],[Função]],1)),
SUMIF(tabVidros[TIPO],"Equipamento",tabVidros[VALOR UNITÁRIO P/ POSTO (R$)]),
0))))))</f>
        <v>21.998657016417809</v>
      </c>
      <c r="BA123" s="281">
        <f>IF(ISNUMBER(SEARCH("AUXILIAR DE LIMPEZA - 75 H",tabParametros[[#This Row],[Função]],1)),
SUMIF(tabLimpGeral[TIPO],"Produto",tabLimpGeral[VALOR UNITÁRIO P/ HORA (R$)])*75,
IF(ISNUMBER(SEARCH("AUXILIAR DE LIMPEZA - 110 H",tabParametros[[#This Row],[Função]],1)),
SUMIF(tabLimpGeral[TIPO],"Produto",tabLimpGeral[VALOR UNITÁRIO P/ HORA (R$)])*110,
IF(ISNUMBER(SEARCH("AUXILIAR DE LIMPEZA - 150 H",tabParametros[[#This Row],[Função]],1)),
SUMIF(tabLimpGeral[TIPO],"Produto",tabLimpGeral[VALOR UNITÁRIO P/ HORA (R$)])*150,
IF(ISNUMBER(SEARCH("AUXILIAR DE LIMPEZA - 220 H",tabParametros[[#This Row],[Função]],1)),
SUMIF(tabLimpGeral[TIPO],"Produto",tabLimpGeral[VALOR UNITÁRIO P/ HORA (R$)])*220,
IF(ISNUMBER(SEARCH("AUXILIAR DE LIMPEZA - 12 x 36",tabParametros[[#This Row],[Função]],1)),
SUMIF(tabLimpGeral[TIPO],"Produto",tabLimpGeral[VALOR UNITÁRIO P/ HORA (R$)])*220,
IF(ISNUMBER(SEARCH("Limpador de vidros - 220 h",tabParametros[[#This Row],[Função]],1)),
SUMIF(tabVidros[TIPO],"Produto",tabVidros[VALOR UNITÁRIO P/ POSTO (R$)]),
0))))))</f>
        <v>235.31984072022155</v>
      </c>
      <c r="BB123" s="281">
        <v>0</v>
      </c>
      <c r="BC123" s="236">
        <f>VLOOKUP(tabParametros[[#Headers],[Custos Indiretos]],tabOutrosCustos[],3,0)</f>
        <v>189.64880140242613</v>
      </c>
      <c r="BD123" s="236">
        <f>VLOOKUP(tabParametros[[#Headers],[Lucro]],tabOutrosCustos[],3,0)</f>
        <v>159.30499317803796</v>
      </c>
      <c r="BE123" s="235">
        <f>VLOOKUP(tabParametros[[#Headers],[COFINS]],tabImpostosNacionais[],2,0)</f>
        <v>7.5999999999999998E-2</v>
      </c>
      <c r="BF123" s="235">
        <f>VLOOKUP(tabParametros[[#Headers],[PIS]],tabImpostosNacionais[],2,0)</f>
        <v>1.6500000000000001E-2</v>
      </c>
      <c r="BG123" s="235">
        <f>VLOOKUP(tabParametros[[#This Row],[Comarca]],tabComarca[],4,0)</f>
        <v>0.03</v>
      </c>
      <c r="BH123" s="238">
        <f>IFERROR(VLOOKUP(tabParametros[[#This Row],[CCT DA CATEGORIA]],tabSindicatos[],11,0),"")</f>
        <v>45658</v>
      </c>
      <c r="BI123" s="289" t="str">
        <f>IFERROR(VLOOKUP(tabParametros[[#This Row],[CCT DA CATEGORIA]],tabSindicatos[],12,0),"")</f>
        <v>-</v>
      </c>
      <c r="BJ123" s="293" t="str">
        <f>IFERROR(VLOOKUP(tabParametros[[#This Row],[CCT DA CATEGORIA]],tabSindicatos[],13,0),"")</f>
        <v>-</v>
      </c>
    </row>
    <row r="124" spans="1:62" x14ac:dyDescent="0.25">
      <c r="A124" s="233" t="s">
        <v>1273</v>
      </c>
      <c r="B124" s="198" t="s">
        <v>113</v>
      </c>
      <c r="C124" s="198" t="s">
        <v>1247</v>
      </c>
      <c r="D124" s="198" t="str">
        <f>VLOOKUP(tabParametros[[#This Row],[Código do Posto]],tabPostos[],4,0)</f>
        <v>Alto Paranaiba</v>
      </c>
      <c r="E124" s="289" t="str">
        <f>VLOOKUP(tabParametros[[#This Row],[Código do Posto]],tabPostos[],5,0)</f>
        <v>Limpeza</v>
      </c>
      <c r="F124" s="289" t="str">
        <f>VLOOKUP(tabParametros[[#This Row],[Código do Posto]],tabPostos[],6,0)</f>
        <v>PGJ</v>
      </c>
      <c r="G124" s="289">
        <f>VLOOKUP(tabParametros[[#This Row],[Código do Posto]],tabPostos[],7,0)</f>
        <v>1</v>
      </c>
      <c r="H124" s="289">
        <f>VLOOKUP(tabParametros[[#This Row],[Código do Posto]],tabPostos[],8,0)</f>
        <v>0</v>
      </c>
      <c r="I124" s="234">
        <f>VLOOKUP(tabParametros[[#This Row],[Código do Posto]],tabPostos[],9,0)</f>
        <v>544.17999999999995</v>
      </c>
      <c r="J124" s="234">
        <f>IF(ISNUMBER(SEARCH("Eletricista",tabParametros[[#This Row],[Função]],1)),0.3*tabParametros[[#This Row],[Salário Base]],0)</f>
        <v>0</v>
      </c>
      <c r="K124" s="234">
        <f>IF(OR(ISNUMBER(SEARCH("Bombeiro Hidraulico",tabParametros[[#This Row],[Função]],1)),ISNUMBER(SEARCH("Jardineiro",tabParametros[[#This Row],[Função]],1)),ISNUMBER(SEARCH("Lavador de Veiculos",tabParametros[[#This Row],[Função]],1)),ISNUMBER(SEARCH("Marceneiro",tabParametros[[#This Row],[Função]],1)),ISNUMBER(SEARCH("Pintor",tabParametros[[#This Row],[Função]],1))),0.2*'BASE GERAL'!$R$4,0)</f>
        <v>0</v>
      </c>
      <c r="L124" s="234">
        <f>IF(AND(ISNUMBER(SEARCH("Noturno",tabParametros[[#This Row],[Função]],1)),tabParametros[[#This Row],[Comarca]]&lt;&gt;"Juiz de Fora"),tabParametros[[#This Row],[Salário Base]]/210*0.39*7*15.5,IF(ISNUMBER(SEARCH("Noturno",tabParametros[[#This Row],[Função]],1)),tabParametros[[#This Row],[Salário Base]]/210*0.2*8*15.5,0))</f>
        <v>0</v>
      </c>
      <c r="M124" s="234">
        <f>IF(ISNUMBER(SEARCH("Motorista II",tabParametros[[#This Row],[Função]],1)),0.25*tabParametros[[#This Row],[Salário Base]],0)</f>
        <v>0</v>
      </c>
      <c r="N124" s="250">
        <v>0</v>
      </c>
      <c r="O124" s="234">
        <f>IF(ISNUMBER(SEARCH("TECNOLOGIA DA INFORMACAO",tabParametros[[#This Row],[Função]],1)),0.0201*tabParametros[[#This Row],[Salário Base]],0)</f>
        <v>0</v>
      </c>
      <c r="P124" s="250" cm="1">
        <f t="array" ref="P124">_xlfn.IFS(
ISNUMBER(SEARCH("Auxiliar de Limpeza - 75 h",tabParametros[[#This Row],[Função]],1)),tabParametros[[#This Row],[Salário Base]]/75*0.75*30*0.12,
ISNUMBER(SEARCH("Auxiliar de Limpeza - 110 h",tabParametros[[#This Row],[Função]],1)),tabParametros[[#This Row],[Salário Base]]/110*1*30*0.12,
ISNUMBER(SEARCH("Auxiliar de Limpeza - 150 h",tabParametros[[#This Row],[Função]],1)),tabParametros[[#This Row],[Salário Base]]/150*1.5*30*0.12,
ISNUMBER(SEARCH("Auxiliar de Limpeza - 220 h",tabParametros[[#This Row],[Função]],1)),tabParametros[[#This Row],[Salário Base]]/220*2*30*0.12,
ISNUMBER(SEARCH("Auxiliar de Limpeza - 12 x 36",tabParametros[[#This Row],[Função]],1)),tabParametros[[#This Row],[Salário Base]]/220*2*30*0.12,
ISNUMBER(SEARCH("Auxiliar de Limpeza - 55 h",tabParametros[[#This Row],[Função]],1))=FALSE,0)</f>
        <v>19.590479999999999</v>
      </c>
      <c r="Q124" s="235">
        <f>VLOOKUP(tabParametros[[#Headers],[INSS]],tabImpostosNacionais[],2,0)</f>
        <v>0.2</v>
      </c>
      <c r="R124" s="235">
        <f>VLOOKUP(tabParametros[[#Headers],[SESI OU SESC]],tabImpostosNacionais[],2,0)</f>
        <v>1.4999999999999999E-2</v>
      </c>
      <c r="S124" s="235">
        <f>VLOOKUP(tabParametros[[#Headers],[SENAI OU SENAC]],tabImpostosNacionais[],2,0)</f>
        <v>0.01</v>
      </c>
      <c r="T124" s="235">
        <f>VLOOKUP(tabParametros[[#Headers],[INCRA]],tabImpostosNacionais[],2,0)</f>
        <v>2E-3</v>
      </c>
      <c r="U124" s="235">
        <f>VLOOKUP(tabParametros[[#Headers],[Salário Educação]],tabImpostosNacionais[],2,0)</f>
        <v>2.5000000000000001E-2</v>
      </c>
      <c r="V124" s="235">
        <f>VLOOKUP(tabParametros[[#Headers],[FGTS]],tabImpostosNacionais[],2,0)</f>
        <v>0.08</v>
      </c>
      <c r="W124" s="235">
        <f>VLOOKUP(tabParametros[[#Headers],[RAT Ajustado]],tabImpostosNacionais[],2,0)</f>
        <v>0.04</v>
      </c>
      <c r="X124" s="235">
        <f>VLOOKUP(tabParametros[[#Headers],[SEBRAE]],tabImpostosNacionais[],2,0)</f>
        <v>6.0000000000000001E-3</v>
      </c>
      <c r="Y124" s="235">
        <f t="shared" si="11"/>
        <v>8.3333333333333329E-2</v>
      </c>
      <c r="Z124" s="251">
        <f t="shared" si="12"/>
        <v>0.1111111111111111</v>
      </c>
      <c r="AA124" s="234">
        <f>VLOOKUP(tabParametros[[#This Row],[Comarca]],tabComarca[],5,0)</f>
        <v>6.4</v>
      </c>
      <c r="AB124" s="234">
        <f>IFERROR(VLOOKUP(tabParametros[[#This Row],[CCT DA CATEGORIA]],tabSindicatos[],6,0),0)</f>
        <v>0</v>
      </c>
      <c r="AC124" s="234">
        <f>IFERROR(VLOOKUP(tabParametros[[#This Row],[CCT DA CATEGORIA]],tabSindicatos[],7,0),0)</f>
        <v>387.79</v>
      </c>
      <c r="AD124" s="234" cm="1">
        <f t="array" ref="AD124">_xlfn.LET(
_xlpm.COMARCA, TRIM(UPPER(SUBSTITUTE(SUBSTITUTE(SUBSTITUTE(SUBSTITUTE(SUBSTITUTE(SUBSTITUTE(SUBSTITUTE(SUBSTITUTE(SUBSTITUTE(SUBSTITUTE(SUBSTITUTE(SUBSTITUTE(SUBSTITUTE(SUBSTITUTE(SUBSTITUTE(SUBSTITUTE(SUBSTITUTE(SUBSTITUTE(SUBSTITUTE(SUBSTITUTE(SUBSTITUTE(SUBSTITUTE(SUBSTITUTE(SUBSTITUTE(SUBSTITUTE(SUBSTITUTE(tabParametros[[#This Row],[Comarca]],"á","a"),"ã","a"),"â","a"),"é","e"),"ê","e"),"í","i"),"ó","o"),"õ","o"),"ô","o"),"ú","u"),"ç","c"),"Á","a"),"Ã","a"),"Â","a"),"É","e"),"Ê","e"),"Í","i"),"Ó","o"),"Õ","o"),"Ô","o"),"Ú","u"),"Ç","c"),"/MG","")," e ",", ")," ",""),".",""))),
_xlpm.MATRIZ_COMARCA, TRIM(UPPER(SUBSTITUTE(SUBSTITUTE(SUBSTITUTE(SUBSTITUTE(SUBSTITUTE(SUBSTITUTE(SUBSTITUTE(SUBSTITUTE(SUBSTITUTE(SUBSTITUTE(SUBSTITUTE(SUBSTITUTE(SUBSTITUTE(SUBSTITUTE(SUBSTITUTE(SUBSTITUTE(SUBSTITUTE(SUBSTITUTE(SUBSTITUTE(SUBSTITUTE(SUBSTITUTE(SUBSTITUTE(SUBSTITUTE(SUBSTITUTE(SUBSTITUTE(SUBSTITUTE(tabSindicatos[COMARCAS PAF],"á","a"),"ã","a"),"â","a"),"é","e"),"ê","e"),"í","i"),"ó","o"),"õ","o"),"ô","o"),"ú","u"),"ç","c"),"Á","a"),"Ã","a"),"Â","a"),"É","e"),"Ê","e"),"Í","i"),"Ó","o"),"Õ","o"),"Ô","o"),"Ú","u"),"Ç","c"),"/MG","")," e ",", ")," ",""),".",""))),
IFERROR(IF(_xlfn.XLOOKUP(tabParametros[[#This Row],[CCT DA CATEGORIA]],tabSindicatos[SINDICATOS],tabSindicatos[COMARCAS PAF])="",
VLOOKUP(tabParametros[[#This Row],[CCT DA CATEGORIA]],tabSindicatos[],8,0),
IF(ISNUMBER(SEARCH(TRIM(_xlpm.COMARCA),_xlfn.XLOOKUP(tabParametros[[#This Row],[CCT DA CATEGORIA]],tabSindicatos[SINDICATOS],_xlpm.MATRIZ_COMARCA),1)),VLOOKUP(tabParametros[[#This Row],[CCT DA CATEGORIA]],tabSindicatos[],8,0),0)
),0)
)</f>
        <v>42.97</v>
      </c>
      <c r="AE124" s="234">
        <f>IFERROR(VLOOKUP(tabParametros[[#This Row],[CCT DA CATEGORIA]],tabSindicatos[],9,0),0)</f>
        <v>0</v>
      </c>
      <c r="AF124" s="234">
        <f>IFERROR(VLOOKUP(tabParametros[[#This Row],[CCT DA CATEGORIA]],tabSindicatos[],10,0),0)</f>
        <v>0</v>
      </c>
      <c r="AG124" s="236">
        <f>VLOOKUP(tabParametros[[#Headers],[Seguro de Vida]],tabOutrosCustos[],3,0)</f>
        <v>3.36</v>
      </c>
      <c r="AH124" s="236">
        <f>IF(ISNUMBER(SEARCH("MOTORISTA",tabParametros[[#This Row],[Função]],1)),VLOOKUP("MOTORISTAS",tabDiarias[],2,0),IF(tabParametros[[#This Row],[Comarca]]="Belo Horizonte",VLOOKUP("LIMPEZA",tabDiarias[],2,0),0))</f>
        <v>0</v>
      </c>
      <c r="AI124" s="235">
        <f t="shared" si="13"/>
        <v>7.011766975308642E-3</v>
      </c>
      <c r="AJ124" s="237">
        <f>tabParametros[[#This Row],[FGTS]]*tabParametros[[#This Row],[Aviso Prévio Indenizado (API) e Reflexo do Aviso Prévio Indenizado]]</f>
        <v>5.609413580246914E-4</v>
      </c>
      <c r="AK124" s="237">
        <f>tabParametros[[#This Row],[FGTS]]*tabParametros[[#This Row],[Aviso Prévio Indenizado (API) e Reflexo do Aviso Prévio Indenizado]]*40%</f>
        <v>2.2437654320987658E-4</v>
      </c>
      <c r="AL124" s="235">
        <f t="shared" si="14"/>
        <v>3.5000000000000005E-3</v>
      </c>
      <c r="AM124" s="235">
        <f>tabParametros[[#This Row],[Aviso Prévio Trabalhado - APT]]*SUM(tabParametros[[#This Row],[INSS]:[SEBRAE]])</f>
        <v>1.3230000000000004E-3</v>
      </c>
      <c r="AN124" s="235">
        <f t="shared" si="15"/>
        <v>3.0577777777777773E-2</v>
      </c>
      <c r="AO124" s="235">
        <f t="shared" si="16"/>
        <v>8.3333333333333339E-4</v>
      </c>
      <c r="AP124" s="235">
        <f t="shared" si="17"/>
        <v>8.4444444444444437E-3</v>
      </c>
      <c r="AQ124" s="235">
        <f t="shared" si="18"/>
        <v>2.0277777777777777E-3</v>
      </c>
      <c r="AR124" s="235">
        <f t="shared" si="19"/>
        <v>1.7083333333333333E-4</v>
      </c>
      <c r="AS124" s="235">
        <f t="shared" si="20"/>
        <v>2.0833333333333335E-4</v>
      </c>
      <c r="AT124" s="235">
        <f t="shared" si="21"/>
        <v>1.2962962962962963E-3</v>
      </c>
      <c r="AU124" s="237">
        <f>SUM(tabParametros[[#This Row],[Ausência por Doença]:[Férias, Adicional de Férias e 13º  com empregada em gozo de Licença Maternidade]])*SUM(tabParametros[[#This Row],[INSS]:[SEBRAE]])</f>
        <v>4.5918250000000008E-3</v>
      </c>
      <c r="AV124" s="234">
        <f>IF(tabParametros[[#This Row],[Função]]="Porteiro - 220 h",SUM(tabParametros[[#This Row],[Salário Base]:[Adicional de Acúmulo de função]])/220*20*1.5,IF(ISNUMBER(SEARCH("12 x 36",tabParametros[[#This Row],[Função]],1)),SUM(tabParametros[[#This Row],[Salário Base]:[Adicional de Acúmulo de função]])/210*15.5*1.5,0))</f>
        <v>0</v>
      </c>
      <c r="AW124" s="234">
        <f>IF(tabParametros[[#This Row],[Vagas contratadas]]&gt;0,(SUM(tabParametros[[#This Row],[Salário Base]:[Adicional de Acúmulo de função]])*30%+SUM(tabParametros[[#This Row],[Vale - Alimentação]:[Seguro de Vida]]))/tabParametros[[#This Row],[Vagas contratadas]]*tabParametros[[#This Row],[Vagas suspensas]],0)</f>
        <v>0</v>
      </c>
      <c r="AX124" s="234">
        <f>SUMIF(tabUniformes[Cargo],tabParametros[[#This Row],[Função]],tabUniformes[Valor unit. Mensal])</f>
        <v>62.806666666666665</v>
      </c>
      <c r="AY124" s="281">
        <f>IF(ISNUMBER(SEARCH("AUXILIAR DE LIMPEZA - 75 H",tabParametros[[#This Row],[Função]],1)),
SUMIF(tabLimpGeral[TIPO],"Material",tabLimpGeral[VALOR UNITÁRIO P/ HORA (R$)])*75,
IF(ISNUMBER(SEARCH("AUXILIAR DE LIMPEZA - 110 H",tabParametros[[#This Row],[Função]],1)),
SUMIF(tabLimpGeral[TIPO],"Material",tabLimpGeral[VALOR UNITÁRIO P/ HORA (R$)])*110,
IF(ISNUMBER(SEARCH("AUXILIAR DE LIMPEZA - 150 H",tabParametros[[#This Row],[Função]],1)),
SUMIF(tabLimpGeral[TIPO],"Material",tabLimpGeral[VALOR UNITÁRIO P/ HORA (R$)])*150,
IF(ISNUMBER(SEARCH("AUXILIAR DE LIMPEZA - 220 H",tabParametros[[#This Row],[Função]],1)),
SUMIF(tabLimpGeral[TIPO],"Material",tabLimpGeral[VALOR UNITÁRIO P/ HORA (R$)])*220,
IF(ISNUMBER(SEARCH("AUXILIAR DE LIMPEZA - 12 x 36",tabParametros[[#This Row],[Função]],1)),
SUMIF(tabLimpGeral[TIPO],"Material",tabLimpGeral[VALOR UNITÁRIO P/ HORA (R$)])*220,
IF(ISNUMBER(SEARCH("Limpador de vidros - 220 h",tabParametros[[#This Row],[Função]],1)),
SUMIF(tabVidros[TIPO],"Material",tabVidros[VALOR UNITÁRIO P/ POSTO (R$)]),
0))))))</f>
        <v>12.108481690426325</v>
      </c>
      <c r="AZ124" s="281">
        <f>IF(ISNUMBER(SEARCH("AUXILIAR DE LIMPEZA - 75 H",tabParametros[[#This Row],[Função]],1)),
SUMIF(tabLimpGeral[TIPO],"Equipamento",tabLimpGeral[VALOR UNITÁRIO P/ HORA (R$)])*75,
IF(ISNUMBER(SEARCH("AUXILIAR DE LIMPEZA - 110 H",tabParametros[[#This Row],[Função]],1)),
SUMIF(tabLimpGeral[TIPO],"Equipamento",tabLimpGeral[VALOR UNITÁRIO P/ HORA (R$)])*110,
IF(ISNUMBER(SEARCH("AUXILIAR DE LIMPEZA - 150 H",tabParametros[[#This Row],[Função]],1)),
SUMIF(tabLimpGeral[TIPO],"Equipamento",tabLimpGeral[VALOR UNITÁRIO P/ HORA (R$)])*150,
IF(ISNUMBER(SEARCH("AUXILIAR DE LIMPEZA - 220 H",tabParametros[[#This Row],[Função]],1)),
SUMIF(tabLimpGeral[TIPO],"Equipamento",tabLimpGeral[VALOR UNITÁRIO P/ HORA (R$)])*220,
IF(ISNUMBER(SEARCH("AUXILIAR DE LIMPEZA - 12 x 36",tabParametros[[#This Row],[Função]],1)),
SUMIF(tabLimpGeral[TIPO],"Equipamento",tabLimpGeral[VALOR UNITÁRIO P/ HORA (R$)])*220,
IF(ISNUMBER(SEARCH("Limpador de vidros - 220 h",tabParametros[[#This Row],[Função]],1)),
SUMIF(tabVidros[TIPO],"Equipamento",tabVidros[VALOR UNITÁRIO P/ POSTO (R$)]),
0))))))</f>
        <v>21.998657016417809</v>
      </c>
      <c r="BA124" s="281">
        <f>IF(ISNUMBER(SEARCH("AUXILIAR DE LIMPEZA - 75 H",tabParametros[[#This Row],[Função]],1)),
SUMIF(tabLimpGeral[TIPO],"Produto",tabLimpGeral[VALOR UNITÁRIO P/ HORA (R$)])*75,
IF(ISNUMBER(SEARCH("AUXILIAR DE LIMPEZA - 110 H",tabParametros[[#This Row],[Função]],1)),
SUMIF(tabLimpGeral[TIPO],"Produto",tabLimpGeral[VALOR UNITÁRIO P/ HORA (R$)])*110,
IF(ISNUMBER(SEARCH("AUXILIAR DE LIMPEZA - 150 H",tabParametros[[#This Row],[Função]],1)),
SUMIF(tabLimpGeral[TIPO],"Produto",tabLimpGeral[VALOR UNITÁRIO P/ HORA (R$)])*150,
IF(ISNUMBER(SEARCH("AUXILIAR DE LIMPEZA - 220 H",tabParametros[[#This Row],[Função]],1)),
SUMIF(tabLimpGeral[TIPO],"Produto",tabLimpGeral[VALOR UNITÁRIO P/ HORA (R$)])*220,
IF(ISNUMBER(SEARCH("AUXILIAR DE LIMPEZA - 12 x 36",tabParametros[[#This Row],[Função]],1)),
SUMIF(tabLimpGeral[TIPO],"Produto",tabLimpGeral[VALOR UNITÁRIO P/ HORA (R$)])*220,
IF(ISNUMBER(SEARCH("Limpador de vidros - 220 h",tabParametros[[#This Row],[Função]],1)),
SUMIF(tabVidros[TIPO],"Produto",tabVidros[VALOR UNITÁRIO P/ POSTO (R$)]),
0))))))</f>
        <v>235.31984072022155</v>
      </c>
      <c r="BB124" s="281">
        <v>0</v>
      </c>
      <c r="BC124" s="236">
        <f>VLOOKUP(tabParametros[[#Headers],[Custos Indiretos]],tabOutrosCustos[],3,0)</f>
        <v>189.64880140242613</v>
      </c>
      <c r="BD124" s="236">
        <f>VLOOKUP(tabParametros[[#Headers],[Lucro]],tabOutrosCustos[],3,0)</f>
        <v>159.30499317803796</v>
      </c>
      <c r="BE124" s="235">
        <f>VLOOKUP(tabParametros[[#Headers],[COFINS]],tabImpostosNacionais[],2,0)</f>
        <v>7.5999999999999998E-2</v>
      </c>
      <c r="BF124" s="235">
        <f>VLOOKUP(tabParametros[[#Headers],[PIS]],tabImpostosNacionais[],2,0)</f>
        <v>1.6500000000000001E-2</v>
      </c>
      <c r="BG124" s="235">
        <f>VLOOKUP(tabParametros[[#This Row],[Comarca]],tabComarca[],4,0)</f>
        <v>0.05</v>
      </c>
      <c r="BH124" s="238">
        <f>IFERROR(VLOOKUP(tabParametros[[#This Row],[CCT DA CATEGORIA]],tabSindicatos[],11,0),"")</f>
        <v>45658</v>
      </c>
      <c r="BI124" s="289" t="str">
        <f>IFERROR(VLOOKUP(tabParametros[[#This Row],[CCT DA CATEGORIA]],tabSindicatos[],12,0),"")</f>
        <v>-</v>
      </c>
      <c r="BJ124" s="293" t="str">
        <f>IFERROR(VLOOKUP(tabParametros[[#This Row],[CCT DA CATEGORIA]],tabSindicatos[],13,0),"")</f>
        <v>-</v>
      </c>
    </row>
    <row r="125" spans="1:62" x14ac:dyDescent="0.25">
      <c r="A125" s="233" t="s">
        <v>1461</v>
      </c>
      <c r="B125" s="198" t="s">
        <v>113</v>
      </c>
      <c r="C125" s="198" t="s">
        <v>1244</v>
      </c>
      <c r="D125" s="198" t="str">
        <f>VLOOKUP(tabParametros[[#This Row],[Código do Posto]],tabPostos[],4,0)</f>
        <v>Alto Paranaiba</v>
      </c>
      <c r="E125" s="289" t="str">
        <f>VLOOKUP(tabParametros[[#This Row],[Código do Posto]],tabPostos[],5,0)</f>
        <v>Limpeza</v>
      </c>
      <c r="F125" s="289" t="str">
        <f>VLOOKUP(tabParametros[[#This Row],[Código do Posto]],tabPostos[],6,0)</f>
        <v>PGJ</v>
      </c>
      <c r="G125" s="289">
        <f>VLOOKUP(tabParametros[[#This Row],[Código do Posto]],tabPostos[],7,0)</f>
        <v>1</v>
      </c>
      <c r="H125" s="289">
        <f>VLOOKUP(tabParametros[[#This Row],[Código do Posto]],tabPostos[],8,0)</f>
        <v>0</v>
      </c>
      <c r="I125" s="234">
        <f>VLOOKUP(tabParametros[[#This Row],[Código do Posto]],tabPostos[],9,0)</f>
        <v>798.14</v>
      </c>
      <c r="J125" s="234">
        <f>IF(ISNUMBER(SEARCH("Eletricista",tabParametros[[#This Row],[Função]],1)),0.3*tabParametros[[#This Row],[Salário Base]],0)</f>
        <v>0</v>
      </c>
      <c r="K125" s="234">
        <f>IF(OR(ISNUMBER(SEARCH("Bombeiro Hidraulico",tabParametros[[#This Row],[Função]],1)),ISNUMBER(SEARCH("Jardineiro",tabParametros[[#This Row],[Função]],1)),ISNUMBER(SEARCH("Lavador de Veiculos",tabParametros[[#This Row],[Função]],1)),ISNUMBER(SEARCH("Marceneiro",tabParametros[[#This Row],[Função]],1)),ISNUMBER(SEARCH("Pintor",tabParametros[[#This Row],[Função]],1))),0.2*'BASE GERAL'!$R$4,0)</f>
        <v>0</v>
      </c>
      <c r="L125" s="234">
        <f>IF(AND(ISNUMBER(SEARCH("Noturno",tabParametros[[#This Row],[Função]],1)),tabParametros[[#This Row],[Comarca]]&lt;&gt;"Juiz de Fora"),tabParametros[[#This Row],[Salário Base]]/210*0.39*7*15.5,IF(ISNUMBER(SEARCH("Noturno",tabParametros[[#This Row],[Função]],1)),tabParametros[[#This Row],[Salário Base]]/210*0.2*8*15.5,0))</f>
        <v>0</v>
      </c>
      <c r="M125" s="234">
        <f>IF(ISNUMBER(SEARCH("Motorista II",tabParametros[[#This Row],[Função]],1)),0.25*tabParametros[[#This Row],[Salário Base]],0)</f>
        <v>0</v>
      </c>
      <c r="N125" s="250">
        <v>0</v>
      </c>
      <c r="O125" s="234">
        <f>IF(ISNUMBER(SEARCH("TECNOLOGIA DA INFORMACAO",tabParametros[[#This Row],[Função]],1)),0.0201*tabParametros[[#This Row],[Salário Base]],0)</f>
        <v>0</v>
      </c>
      <c r="P125" s="250" cm="1">
        <f t="array" ref="P125">_xlfn.IFS(
ISNUMBER(SEARCH("Auxiliar de Limpeza - 75 h",tabParametros[[#This Row],[Função]],1)),tabParametros[[#This Row],[Salário Base]]/75*0.75*30*0.12,
ISNUMBER(SEARCH("Auxiliar de Limpeza - 110 h",tabParametros[[#This Row],[Função]],1)),tabParametros[[#This Row],[Salário Base]]/110*1*30*0.12,
ISNUMBER(SEARCH("Auxiliar de Limpeza - 150 h",tabParametros[[#This Row],[Função]],1)),tabParametros[[#This Row],[Salário Base]]/150*1.5*30*0.12,
ISNUMBER(SEARCH("Auxiliar de Limpeza - 220 h",tabParametros[[#This Row],[Função]],1)),tabParametros[[#This Row],[Salário Base]]/220*2*30*0.12,
ISNUMBER(SEARCH("Auxiliar de Limpeza - 12 x 36",tabParametros[[#This Row],[Função]],1)),tabParametros[[#This Row],[Salário Base]]/220*2*30*0.12,
ISNUMBER(SEARCH("Auxiliar de Limpeza - 55 h",tabParametros[[#This Row],[Função]],1))=FALSE,0)</f>
        <v>26.120945454545453</v>
      </c>
      <c r="Q125" s="235">
        <f>VLOOKUP(tabParametros[[#Headers],[INSS]],tabImpostosNacionais[],2,0)</f>
        <v>0.2</v>
      </c>
      <c r="R125" s="235">
        <f>VLOOKUP(tabParametros[[#Headers],[SESI OU SESC]],tabImpostosNacionais[],2,0)</f>
        <v>1.4999999999999999E-2</v>
      </c>
      <c r="S125" s="235">
        <f>VLOOKUP(tabParametros[[#Headers],[SENAI OU SENAC]],tabImpostosNacionais[],2,0)</f>
        <v>0.01</v>
      </c>
      <c r="T125" s="235">
        <f>VLOOKUP(tabParametros[[#Headers],[INCRA]],tabImpostosNacionais[],2,0)</f>
        <v>2E-3</v>
      </c>
      <c r="U125" s="235">
        <f>VLOOKUP(tabParametros[[#Headers],[Salário Educação]],tabImpostosNacionais[],2,0)</f>
        <v>2.5000000000000001E-2</v>
      </c>
      <c r="V125" s="235">
        <f>VLOOKUP(tabParametros[[#Headers],[FGTS]],tabImpostosNacionais[],2,0)</f>
        <v>0.08</v>
      </c>
      <c r="W125" s="235">
        <f>VLOOKUP(tabParametros[[#Headers],[RAT Ajustado]],tabImpostosNacionais[],2,0)</f>
        <v>0.04</v>
      </c>
      <c r="X125" s="235">
        <f>VLOOKUP(tabParametros[[#Headers],[SEBRAE]],tabImpostosNacionais[],2,0)</f>
        <v>6.0000000000000001E-3</v>
      </c>
      <c r="Y125" s="235">
        <f t="shared" si="11"/>
        <v>8.3333333333333329E-2</v>
      </c>
      <c r="Z125" s="251">
        <f t="shared" si="12"/>
        <v>0.1111111111111111</v>
      </c>
      <c r="AA125" s="234">
        <f>VLOOKUP(tabParametros[[#This Row],[Comarca]],tabComarca[],5,0)</f>
        <v>6.4</v>
      </c>
      <c r="AB125" s="234">
        <f>IFERROR(VLOOKUP(tabParametros[[#This Row],[CCT DA CATEGORIA]],tabSindicatos[],6,0),0)</f>
        <v>0</v>
      </c>
      <c r="AC125" s="234">
        <f>IFERROR(VLOOKUP(tabParametros[[#This Row],[CCT DA CATEGORIA]],tabSindicatos[],7,0),0)</f>
        <v>387.79</v>
      </c>
      <c r="AD125" s="234" cm="1">
        <f t="array" ref="AD125">_xlfn.LET(
_xlpm.COMARCA, TRIM(UPPER(SUBSTITUTE(SUBSTITUTE(SUBSTITUTE(SUBSTITUTE(SUBSTITUTE(SUBSTITUTE(SUBSTITUTE(SUBSTITUTE(SUBSTITUTE(SUBSTITUTE(SUBSTITUTE(SUBSTITUTE(SUBSTITUTE(SUBSTITUTE(SUBSTITUTE(SUBSTITUTE(SUBSTITUTE(SUBSTITUTE(SUBSTITUTE(SUBSTITUTE(SUBSTITUTE(SUBSTITUTE(SUBSTITUTE(SUBSTITUTE(SUBSTITUTE(SUBSTITUTE(tabParametros[[#This Row],[Comarca]],"á","a"),"ã","a"),"â","a"),"é","e"),"ê","e"),"í","i"),"ó","o"),"õ","o"),"ô","o"),"ú","u"),"ç","c"),"Á","a"),"Ã","a"),"Â","a"),"É","e"),"Ê","e"),"Í","i"),"Ó","o"),"Õ","o"),"Ô","o"),"Ú","u"),"Ç","c"),"/MG","")," e ",", ")," ",""),".",""))),
_xlpm.MATRIZ_COMARCA, TRIM(UPPER(SUBSTITUTE(SUBSTITUTE(SUBSTITUTE(SUBSTITUTE(SUBSTITUTE(SUBSTITUTE(SUBSTITUTE(SUBSTITUTE(SUBSTITUTE(SUBSTITUTE(SUBSTITUTE(SUBSTITUTE(SUBSTITUTE(SUBSTITUTE(SUBSTITUTE(SUBSTITUTE(SUBSTITUTE(SUBSTITUTE(SUBSTITUTE(SUBSTITUTE(SUBSTITUTE(SUBSTITUTE(SUBSTITUTE(SUBSTITUTE(SUBSTITUTE(SUBSTITUTE(tabSindicatos[COMARCAS PAF],"á","a"),"ã","a"),"â","a"),"é","e"),"ê","e"),"í","i"),"ó","o"),"õ","o"),"ô","o"),"ú","u"),"ç","c"),"Á","a"),"Ã","a"),"Â","a"),"É","e"),"Ê","e"),"Í","i"),"Ó","o"),"Õ","o"),"Ô","o"),"Ú","u"),"Ç","c"),"/MG","")," e ",", ")," ",""),".",""))),
IFERROR(IF(_xlfn.XLOOKUP(tabParametros[[#This Row],[CCT DA CATEGORIA]],tabSindicatos[SINDICATOS],tabSindicatos[COMARCAS PAF])="",
VLOOKUP(tabParametros[[#This Row],[CCT DA CATEGORIA]],tabSindicatos[],8,0),
IF(ISNUMBER(SEARCH(TRIM(_xlpm.COMARCA),_xlfn.XLOOKUP(tabParametros[[#This Row],[CCT DA CATEGORIA]],tabSindicatos[SINDICATOS],_xlpm.MATRIZ_COMARCA),1)),VLOOKUP(tabParametros[[#This Row],[CCT DA CATEGORIA]],tabSindicatos[],8,0),0)
),0)
)</f>
        <v>42.97</v>
      </c>
      <c r="AE125" s="234">
        <f>IFERROR(VLOOKUP(tabParametros[[#This Row],[CCT DA CATEGORIA]],tabSindicatos[],9,0),0)</f>
        <v>0</v>
      </c>
      <c r="AF125" s="234">
        <f>IFERROR(VLOOKUP(tabParametros[[#This Row],[CCT DA CATEGORIA]],tabSindicatos[],10,0),0)</f>
        <v>0</v>
      </c>
      <c r="AG125" s="236">
        <f>VLOOKUP(tabParametros[[#Headers],[Seguro de Vida]],tabOutrosCustos[],3,0)</f>
        <v>3.36</v>
      </c>
      <c r="AH125" s="236">
        <f>IF(ISNUMBER(SEARCH("MOTORISTA",tabParametros[[#This Row],[Função]],1)),VLOOKUP("MOTORISTAS",tabDiarias[],2,0),IF(tabParametros[[#This Row],[Comarca]]="Belo Horizonte",VLOOKUP("LIMPEZA",tabDiarias[],2,0),0))</f>
        <v>0</v>
      </c>
      <c r="AI125" s="235">
        <f t="shared" si="13"/>
        <v>7.011766975308642E-3</v>
      </c>
      <c r="AJ125" s="237">
        <f>tabParametros[[#This Row],[FGTS]]*tabParametros[[#This Row],[Aviso Prévio Indenizado (API) e Reflexo do Aviso Prévio Indenizado]]</f>
        <v>5.609413580246914E-4</v>
      </c>
      <c r="AK125" s="237">
        <f>tabParametros[[#This Row],[FGTS]]*tabParametros[[#This Row],[Aviso Prévio Indenizado (API) e Reflexo do Aviso Prévio Indenizado]]*40%</f>
        <v>2.2437654320987658E-4</v>
      </c>
      <c r="AL125" s="235">
        <f t="shared" si="14"/>
        <v>3.5000000000000005E-3</v>
      </c>
      <c r="AM125" s="235">
        <f>tabParametros[[#This Row],[Aviso Prévio Trabalhado - APT]]*SUM(tabParametros[[#This Row],[INSS]:[SEBRAE]])</f>
        <v>1.3230000000000004E-3</v>
      </c>
      <c r="AN125" s="235">
        <f t="shared" si="15"/>
        <v>3.0577777777777773E-2</v>
      </c>
      <c r="AO125" s="235">
        <f t="shared" si="16"/>
        <v>8.3333333333333339E-4</v>
      </c>
      <c r="AP125" s="235">
        <f t="shared" si="17"/>
        <v>8.4444444444444437E-3</v>
      </c>
      <c r="AQ125" s="235">
        <f t="shared" si="18"/>
        <v>2.0277777777777777E-3</v>
      </c>
      <c r="AR125" s="235">
        <f t="shared" si="19"/>
        <v>1.7083333333333333E-4</v>
      </c>
      <c r="AS125" s="235">
        <f t="shared" si="20"/>
        <v>2.0833333333333335E-4</v>
      </c>
      <c r="AT125" s="235">
        <f t="shared" si="21"/>
        <v>1.2962962962962963E-3</v>
      </c>
      <c r="AU125" s="237">
        <f>SUM(tabParametros[[#This Row],[Ausência por Doença]:[Férias, Adicional de Férias e 13º  com empregada em gozo de Licença Maternidade]])*SUM(tabParametros[[#This Row],[INSS]:[SEBRAE]])</f>
        <v>4.5918250000000008E-3</v>
      </c>
      <c r="AV125" s="234">
        <f>IF(tabParametros[[#This Row],[Função]]="Porteiro - 220 h",SUM(tabParametros[[#This Row],[Salário Base]:[Adicional de Acúmulo de função]])/220*20*1.5,IF(ISNUMBER(SEARCH("12 x 36",tabParametros[[#This Row],[Função]],1)),SUM(tabParametros[[#This Row],[Salário Base]:[Adicional de Acúmulo de função]])/210*15.5*1.5,0))</f>
        <v>0</v>
      </c>
      <c r="AW125" s="234">
        <f>IF(tabParametros[[#This Row],[Vagas contratadas]]&gt;0,(SUM(tabParametros[[#This Row],[Salário Base]:[Adicional de Acúmulo de função]])*30%+SUM(tabParametros[[#This Row],[Vale - Alimentação]:[Seguro de Vida]]))/tabParametros[[#This Row],[Vagas contratadas]]*tabParametros[[#This Row],[Vagas suspensas]],0)</f>
        <v>0</v>
      </c>
      <c r="AX125" s="234">
        <f>SUMIF(tabUniformes[Cargo],tabParametros[[#This Row],[Função]],tabUniformes[Valor unit. Mensal])</f>
        <v>62.806666666666665</v>
      </c>
      <c r="AY125" s="281">
        <f>IF(ISNUMBER(SEARCH("AUXILIAR DE LIMPEZA - 75 H",tabParametros[[#This Row],[Função]],1)),
SUMIF(tabLimpGeral[TIPO],"Material",tabLimpGeral[VALOR UNITÁRIO P/ HORA (R$)])*75,
IF(ISNUMBER(SEARCH("AUXILIAR DE LIMPEZA - 110 H",tabParametros[[#This Row],[Função]],1)),
SUMIF(tabLimpGeral[TIPO],"Material",tabLimpGeral[VALOR UNITÁRIO P/ HORA (R$)])*110,
IF(ISNUMBER(SEARCH("AUXILIAR DE LIMPEZA - 150 H",tabParametros[[#This Row],[Função]],1)),
SUMIF(tabLimpGeral[TIPO],"Material",tabLimpGeral[VALOR UNITÁRIO P/ HORA (R$)])*150,
IF(ISNUMBER(SEARCH("AUXILIAR DE LIMPEZA - 220 H",tabParametros[[#This Row],[Função]],1)),
SUMIF(tabLimpGeral[TIPO],"Material",tabLimpGeral[VALOR UNITÁRIO P/ HORA (R$)])*220,
IF(ISNUMBER(SEARCH("AUXILIAR DE LIMPEZA - 12 x 36",tabParametros[[#This Row],[Função]],1)),
SUMIF(tabLimpGeral[TIPO],"Material",tabLimpGeral[VALOR UNITÁRIO P/ HORA (R$)])*220,
IF(ISNUMBER(SEARCH("Limpador de vidros - 220 h",tabParametros[[#This Row],[Função]],1)),
SUMIF(tabVidros[TIPO],"Material",tabVidros[VALOR UNITÁRIO P/ POSTO (R$)]),
0))))))</f>
        <v>17.759106479291944</v>
      </c>
      <c r="AZ125" s="281">
        <f>IF(ISNUMBER(SEARCH("AUXILIAR DE LIMPEZA - 75 H",tabParametros[[#This Row],[Função]],1)),
SUMIF(tabLimpGeral[TIPO],"Equipamento",tabLimpGeral[VALOR UNITÁRIO P/ HORA (R$)])*75,
IF(ISNUMBER(SEARCH("AUXILIAR DE LIMPEZA - 110 H",tabParametros[[#This Row],[Função]],1)),
SUMIF(tabLimpGeral[TIPO],"Equipamento",tabLimpGeral[VALOR UNITÁRIO P/ HORA (R$)])*110,
IF(ISNUMBER(SEARCH("AUXILIAR DE LIMPEZA - 150 H",tabParametros[[#This Row],[Função]],1)),
SUMIF(tabLimpGeral[TIPO],"Equipamento",tabLimpGeral[VALOR UNITÁRIO P/ HORA (R$)])*150,
IF(ISNUMBER(SEARCH("AUXILIAR DE LIMPEZA - 220 H",tabParametros[[#This Row],[Função]],1)),
SUMIF(tabLimpGeral[TIPO],"Equipamento",tabLimpGeral[VALOR UNITÁRIO P/ HORA (R$)])*220,
IF(ISNUMBER(SEARCH("AUXILIAR DE LIMPEZA - 12 x 36",tabParametros[[#This Row],[Função]],1)),
SUMIF(tabLimpGeral[TIPO],"Equipamento",tabLimpGeral[VALOR UNITÁRIO P/ HORA (R$)])*220,
IF(ISNUMBER(SEARCH("Limpador de vidros - 220 h",tabParametros[[#This Row],[Função]],1)),
SUMIF(tabVidros[TIPO],"Equipamento",tabVidros[VALOR UNITÁRIO P/ POSTO (R$)]),
0))))))</f>
        <v>32.264696957412788</v>
      </c>
      <c r="BA125" s="281">
        <f>IF(ISNUMBER(SEARCH("AUXILIAR DE LIMPEZA - 75 H",tabParametros[[#This Row],[Função]],1)),
SUMIF(tabLimpGeral[TIPO],"Produto",tabLimpGeral[VALOR UNITÁRIO P/ HORA (R$)])*75,
IF(ISNUMBER(SEARCH("AUXILIAR DE LIMPEZA - 110 H",tabParametros[[#This Row],[Função]],1)),
SUMIF(tabLimpGeral[TIPO],"Produto",tabLimpGeral[VALOR UNITÁRIO P/ HORA (R$)])*110,
IF(ISNUMBER(SEARCH("AUXILIAR DE LIMPEZA - 150 H",tabParametros[[#This Row],[Função]],1)),
SUMIF(tabLimpGeral[TIPO],"Produto",tabLimpGeral[VALOR UNITÁRIO P/ HORA (R$)])*150,
IF(ISNUMBER(SEARCH("AUXILIAR DE LIMPEZA - 220 H",tabParametros[[#This Row],[Função]],1)),
SUMIF(tabLimpGeral[TIPO],"Produto",tabLimpGeral[VALOR UNITÁRIO P/ HORA (R$)])*220,
IF(ISNUMBER(SEARCH("AUXILIAR DE LIMPEZA - 12 x 36",tabParametros[[#This Row],[Função]],1)),
SUMIF(tabLimpGeral[TIPO],"Produto",tabLimpGeral[VALOR UNITÁRIO P/ HORA (R$)])*220,
IF(ISNUMBER(SEARCH("Limpador de vidros - 220 h",tabParametros[[#This Row],[Função]],1)),
SUMIF(tabVidros[TIPO],"Produto",tabVidros[VALOR UNITÁRIO P/ POSTO (R$)]),
0))))))</f>
        <v>345.13576638965827</v>
      </c>
      <c r="BB125" s="281">
        <v>0</v>
      </c>
      <c r="BC125" s="236">
        <f>VLOOKUP(tabParametros[[#Headers],[Custos Indiretos]],tabOutrosCustos[],3,0)</f>
        <v>189.64880140242613</v>
      </c>
      <c r="BD125" s="236">
        <f>VLOOKUP(tabParametros[[#Headers],[Lucro]],tabOutrosCustos[],3,0)</f>
        <v>159.30499317803796</v>
      </c>
      <c r="BE125" s="235">
        <f>VLOOKUP(tabParametros[[#Headers],[COFINS]],tabImpostosNacionais[],2,0)</f>
        <v>7.5999999999999998E-2</v>
      </c>
      <c r="BF125" s="235">
        <f>VLOOKUP(tabParametros[[#Headers],[PIS]],tabImpostosNacionais[],2,0)</f>
        <v>1.6500000000000001E-2</v>
      </c>
      <c r="BG125" s="235">
        <f>VLOOKUP(tabParametros[[#This Row],[Comarca]],tabComarca[],4,0)</f>
        <v>0.05</v>
      </c>
      <c r="BH125" s="238">
        <f>IFERROR(VLOOKUP(tabParametros[[#This Row],[CCT DA CATEGORIA]],tabSindicatos[],11,0),"")</f>
        <v>45658</v>
      </c>
      <c r="BI125" s="289" t="str">
        <f>IFERROR(VLOOKUP(tabParametros[[#This Row],[CCT DA CATEGORIA]],tabSindicatos[],12,0),"")</f>
        <v>-</v>
      </c>
      <c r="BJ125" s="293" t="str">
        <f>IFERROR(VLOOKUP(tabParametros[[#This Row],[CCT DA CATEGORIA]],tabSindicatos[],13,0),"")</f>
        <v>-</v>
      </c>
    </row>
    <row r="126" spans="1:62" x14ac:dyDescent="0.25">
      <c r="A126" s="233" t="s">
        <v>1462</v>
      </c>
      <c r="B126" s="198" t="s">
        <v>114</v>
      </c>
      <c r="C126" s="198" t="s">
        <v>1247</v>
      </c>
      <c r="D126" s="198" t="str">
        <f>VLOOKUP(tabParametros[[#This Row],[Código do Posto]],tabPostos[],4,0)</f>
        <v>Regiao de Divinopolis</v>
      </c>
      <c r="E126" s="289" t="str">
        <f>VLOOKUP(tabParametros[[#This Row],[Código do Posto]],tabPostos[],5,0)</f>
        <v>Limpeza</v>
      </c>
      <c r="F126" s="289" t="str">
        <f>VLOOKUP(tabParametros[[#This Row],[Código do Posto]],tabPostos[],6,0)</f>
        <v>PGJ</v>
      </c>
      <c r="G126" s="289">
        <f>VLOOKUP(tabParametros[[#This Row],[Código do Posto]],tabPostos[],7,0)</f>
        <v>1</v>
      </c>
      <c r="H126" s="289">
        <f>VLOOKUP(tabParametros[[#This Row],[Código do Posto]],tabPostos[],8,0)</f>
        <v>0</v>
      </c>
      <c r="I126" s="234">
        <f>VLOOKUP(tabParametros[[#This Row],[Código do Posto]],tabPostos[],9,0)</f>
        <v>544.17999999999995</v>
      </c>
      <c r="J126" s="234">
        <f>IF(ISNUMBER(SEARCH("Eletricista",tabParametros[[#This Row],[Função]],1)),0.3*tabParametros[[#This Row],[Salário Base]],0)</f>
        <v>0</v>
      </c>
      <c r="K126" s="234">
        <f>IF(OR(ISNUMBER(SEARCH("Bombeiro Hidraulico",tabParametros[[#This Row],[Função]],1)),ISNUMBER(SEARCH("Jardineiro",tabParametros[[#This Row],[Função]],1)),ISNUMBER(SEARCH("Lavador de Veiculos",tabParametros[[#This Row],[Função]],1)),ISNUMBER(SEARCH("Marceneiro",tabParametros[[#This Row],[Função]],1)),ISNUMBER(SEARCH("Pintor",tabParametros[[#This Row],[Função]],1))),0.2*'BASE GERAL'!$R$4,0)</f>
        <v>0</v>
      </c>
      <c r="L126" s="234">
        <f>IF(AND(ISNUMBER(SEARCH("Noturno",tabParametros[[#This Row],[Função]],1)),tabParametros[[#This Row],[Comarca]]&lt;&gt;"Juiz de Fora"),tabParametros[[#This Row],[Salário Base]]/210*0.39*7*15.5,IF(ISNUMBER(SEARCH("Noturno",tabParametros[[#This Row],[Função]],1)),tabParametros[[#This Row],[Salário Base]]/210*0.2*8*15.5,0))</f>
        <v>0</v>
      </c>
      <c r="M126" s="234">
        <f>IF(ISNUMBER(SEARCH("Motorista II",tabParametros[[#This Row],[Função]],1)),0.25*tabParametros[[#This Row],[Salário Base]],0)</f>
        <v>0</v>
      </c>
      <c r="N126" s="250">
        <v>0</v>
      </c>
      <c r="O126" s="234">
        <f>IF(ISNUMBER(SEARCH("TECNOLOGIA DA INFORMACAO",tabParametros[[#This Row],[Função]],1)),0.0201*tabParametros[[#This Row],[Salário Base]],0)</f>
        <v>0</v>
      </c>
      <c r="P126" s="250" cm="1">
        <f t="array" ref="P126">_xlfn.IFS(
ISNUMBER(SEARCH("Auxiliar de Limpeza - 75 h",tabParametros[[#This Row],[Função]],1)),tabParametros[[#This Row],[Salário Base]]/75*0.75*30*0.12,
ISNUMBER(SEARCH("Auxiliar de Limpeza - 110 h",tabParametros[[#This Row],[Função]],1)),tabParametros[[#This Row],[Salário Base]]/110*1*30*0.12,
ISNUMBER(SEARCH("Auxiliar de Limpeza - 150 h",tabParametros[[#This Row],[Função]],1)),tabParametros[[#This Row],[Salário Base]]/150*1.5*30*0.12,
ISNUMBER(SEARCH("Auxiliar de Limpeza - 220 h",tabParametros[[#This Row],[Função]],1)),tabParametros[[#This Row],[Salário Base]]/220*2*30*0.12,
ISNUMBER(SEARCH("Auxiliar de Limpeza - 12 x 36",tabParametros[[#This Row],[Função]],1)),tabParametros[[#This Row],[Salário Base]]/220*2*30*0.12,
ISNUMBER(SEARCH("Auxiliar de Limpeza - 55 h",tabParametros[[#This Row],[Função]],1))=FALSE,0)</f>
        <v>19.590479999999999</v>
      </c>
      <c r="Q126" s="235">
        <f>VLOOKUP(tabParametros[[#Headers],[INSS]],tabImpostosNacionais[],2,0)</f>
        <v>0.2</v>
      </c>
      <c r="R126" s="235">
        <f>VLOOKUP(tabParametros[[#Headers],[SESI OU SESC]],tabImpostosNacionais[],2,0)</f>
        <v>1.4999999999999999E-2</v>
      </c>
      <c r="S126" s="235">
        <f>VLOOKUP(tabParametros[[#Headers],[SENAI OU SENAC]],tabImpostosNacionais[],2,0)</f>
        <v>0.01</v>
      </c>
      <c r="T126" s="235">
        <f>VLOOKUP(tabParametros[[#Headers],[INCRA]],tabImpostosNacionais[],2,0)</f>
        <v>2E-3</v>
      </c>
      <c r="U126" s="235">
        <f>VLOOKUP(tabParametros[[#Headers],[Salário Educação]],tabImpostosNacionais[],2,0)</f>
        <v>2.5000000000000001E-2</v>
      </c>
      <c r="V126" s="235">
        <f>VLOOKUP(tabParametros[[#Headers],[FGTS]],tabImpostosNacionais[],2,0)</f>
        <v>0.08</v>
      </c>
      <c r="W126" s="235">
        <f>VLOOKUP(tabParametros[[#Headers],[RAT Ajustado]],tabImpostosNacionais[],2,0)</f>
        <v>0.04</v>
      </c>
      <c r="X126" s="235">
        <f>VLOOKUP(tabParametros[[#Headers],[SEBRAE]],tabImpostosNacionais[],2,0)</f>
        <v>6.0000000000000001E-3</v>
      </c>
      <c r="Y126" s="235">
        <f t="shared" si="11"/>
        <v>8.3333333333333329E-2</v>
      </c>
      <c r="Z126" s="251">
        <f t="shared" si="12"/>
        <v>0.1111111111111111</v>
      </c>
      <c r="AA126" s="234">
        <f>VLOOKUP(tabParametros[[#This Row],[Comarca]],tabComarca[],5,0)</f>
        <v>6.4</v>
      </c>
      <c r="AB126" s="234">
        <f>IFERROR(VLOOKUP(tabParametros[[#This Row],[CCT DA CATEGORIA]],tabSindicatos[],6,0),0)</f>
        <v>29.15</v>
      </c>
      <c r="AC126" s="234">
        <f>IFERROR(VLOOKUP(tabParametros[[#This Row],[CCT DA CATEGORIA]],tabSindicatos[],7,0),0)</f>
        <v>0</v>
      </c>
      <c r="AD126" s="234" cm="1">
        <f t="array" ref="AD126">_xlfn.LET(
_xlpm.COMARCA, TRIM(UPPER(SUBSTITUTE(SUBSTITUTE(SUBSTITUTE(SUBSTITUTE(SUBSTITUTE(SUBSTITUTE(SUBSTITUTE(SUBSTITUTE(SUBSTITUTE(SUBSTITUTE(SUBSTITUTE(SUBSTITUTE(SUBSTITUTE(SUBSTITUTE(SUBSTITUTE(SUBSTITUTE(SUBSTITUTE(SUBSTITUTE(SUBSTITUTE(SUBSTITUTE(SUBSTITUTE(SUBSTITUTE(SUBSTITUTE(SUBSTITUTE(SUBSTITUTE(SUBSTITUTE(tabParametros[[#This Row],[Comarca]],"á","a"),"ã","a"),"â","a"),"é","e"),"ê","e"),"í","i"),"ó","o"),"õ","o"),"ô","o"),"ú","u"),"ç","c"),"Á","a"),"Ã","a"),"Â","a"),"É","e"),"Ê","e"),"Í","i"),"Ó","o"),"Õ","o"),"Ô","o"),"Ú","u"),"Ç","c"),"/MG","")," e ",", ")," ",""),".",""))),
_xlpm.MATRIZ_COMARCA, TRIM(UPPER(SUBSTITUTE(SUBSTITUTE(SUBSTITUTE(SUBSTITUTE(SUBSTITUTE(SUBSTITUTE(SUBSTITUTE(SUBSTITUTE(SUBSTITUTE(SUBSTITUTE(SUBSTITUTE(SUBSTITUTE(SUBSTITUTE(SUBSTITUTE(SUBSTITUTE(SUBSTITUTE(SUBSTITUTE(SUBSTITUTE(SUBSTITUTE(SUBSTITUTE(SUBSTITUTE(SUBSTITUTE(SUBSTITUTE(SUBSTITUTE(SUBSTITUTE(SUBSTITUTE(tabSindicatos[COMARCAS PAF],"á","a"),"ã","a"),"â","a"),"é","e"),"ê","e"),"í","i"),"ó","o"),"õ","o"),"ô","o"),"ú","u"),"ç","c"),"Á","a"),"Ã","a"),"Â","a"),"É","e"),"Ê","e"),"Í","i"),"Ó","o"),"Õ","o"),"Ô","o"),"Ú","u"),"Ç","c"),"/MG","")," e ",", ")," ",""),".",""))),
IFERROR(IF(_xlfn.XLOOKUP(tabParametros[[#This Row],[CCT DA CATEGORIA]],tabSindicatos[SINDICATOS],tabSindicatos[COMARCAS PAF])="",
VLOOKUP(tabParametros[[#This Row],[CCT DA CATEGORIA]],tabSindicatos[],8,0),
IF(ISNUMBER(SEARCH(TRIM(_xlpm.COMARCA),_xlfn.XLOOKUP(tabParametros[[#This Row],[CCT DA CATEGORIA]],tabSindicatos[SINDICATOS],_xlpm.MATRIZ_COMARCA),1)),VLOOKUP(tabParametros[[#This Row],[CCT DA CATEGORIA]],tabSindicatos[],8,0),0)
),0)
)</f>
        <v>0</v>
      </c>
      <c r="AE126" s="234">
        <f>IFERROR(VLOOKUP(tabParametros[[#This Row],[CCT DA CATEGORIA]],tabSindicatos[],9,0),0)</f>
        <v>0</v>
      </c>
      <c r="AF126" s="234">
        <f>IFERROR(VLOOKUP(tabParametros[[#This Row],[CCT DA CATEGORIA]],tabSindicatos[],10,0),0)</f>
        <v>0</v>
      </c>
      <c r="AG126" s="236">
        <f>VLOOKUP(tabParametros[[#Headers],[Seguro de Vida]],tabOutrosCustos[],3,0)</f>
        <v>3.36</v>
      </c>
      <c r="AH126" s="236">
        <f>IF(ISNUMBER(SEARCH("MOTORISTA",tabParametros[[#This Row],[Função]],1)),VLOOKUP("MOTORISTAS",tabDiarias[],2,0),IF(tabParametros[[#This Row],[Comarca]]="Belo Horizonte",VLOOKUP("LIMPEZA",tabDiarias[],2,0),0))</f>
        <v>0</v>
      </c>
      <c r="AI126" s="235">
        <f t="shared" si="13"/>
        <v>7.011766975308642E-3</v>
      </c>
      <c r="AJ126" s="237">
        <f>tabParametros[[#This Row],[FGTS]]*tabParametros[[#This Row],[Aviso Prévio Indenizado (API) e Reflexo do Aviso Prévio Indenizado]]</f>
        <v>5.609413580246914E-4</v>
      </c>
      <c r="AK126" s="237">
        <f>tabParametros[[#This Row],[FGTS]]*tabParametros[[#This Row],[Aviso Prévio Indenizado (API) e Reflexo do Aviso Prévio Indenizado]]*40%</f>
        <v>2.2437654320987658E-4</v>
      </c>
      <c r="AL126" s="235">
        <f t="shared" si="14"/>
        <v>3.5000000000000005E-3</v>
      </c>
      <c r="AM126" s="235">
        <f>tabParametros[[#This Row],[Aviso Prévio Trabalhado - APT]]*SUM(tabParametros[[#This Row],[INSS]:[SEBRAE]])</f>
        <v>1.3230000000000004E-3</v>
      </c>
      <c r="AN126" s="235">
        <f t="shared" si="15"/>
        <v>3.0577777777777773E-2</v>
      </c>
      <c r="AO126" s="235">
        <f t="shared" si="16"/>
        <v>8.3333333333333339E-4</v>
      </c>
      <c r="AP126" s="235">
        <f t="shared" si="17"/>
        <v>8.4444444444444437E-3</v>
      </c>
      <c r="AQ126" s="235">
        <f t="shared" si="18"/>
        <v>2.0277777777777777E-3</v>
      </c>
      <c r="AR126" s="235">
        <f t="shared" si="19"/>
        <v>1.7083333333333333E-4</v>
      </c>
      <c r="AS126" s="235">
        <f t="shared" si="20"/>
        <v>2.0833333333333335E-4</v>
      </c>
      <c r="AT126" s="235">
        <f t="shared" si="21"/>
        <v>1.2962962962962963E-3</v>
      </c>
      <c r="AU126" s="237">
        <f>SUM(tabParametros[[#This Row],[Ausência por Doença]:[Férias, Adicional de Férias e 13º  com empregada em gozo de Licença Maternidade]])*SUM(tabParametros[[#This Row],[INSS]:[SEBRAE]])</f>
        <v>4.5918250000000008E-3</v>
      </c>
      <c r="AV126" s="234">
        <f>IF(tabParametros[[#This Row],[Função]]="Porteiro - 220 h",SUM(tabParametros[[#This Row],[Salário Base]:[Adicional de Acúmulo de função]])/220*20*1.5,IF(ISNUMBER(SEARCH("12 x 36",tabParametros[[#This Row],[Função]],1)),SUM(tabParametros[[#This Row],[Salário Base]:[Adicional de Acúmulo de função]])/210*15.5*1.5,0))</f>
        <v>0</v>
      </c>
      <c r="AW126" s="234">
        <f>IF(tabParametros[[#This Row],[Vagas contratadas]]&gt;0,(SUM(tabParametros[[#This Row],[Salário Base]:[Adicional de Acúmulo de função]])*30%+SUM(tabParametros[[#This Row],[Vale - Alimentação]:[Seguro de Vida]]))/tabParametros[[#This Row],[Vagas contratadas]]*tabParametros[[#This Row],[Vagas suspensas]],0)</f>
        <v>0</v>
      </c>
      <c r="AX126" s="234">
        <f>SUMIF(tabUniformes[Cargo],tabParametros[[#This Row],[Função]],tabUniformes[Valor unit. Mensal])</f>
        <v>62.806666666666665</v>
      </c>
      <c r="AY126" s="281">
        <f>IF(ISNUMBER(SEARCH("AUXILIAR DE LIMPEZA - 75 H",tabParametros[[#This Row],[Função]],1)),
SUMIF(tabLimpGeral[TIPO],"Material",tabLimpGeral[VALOR UNITÁRIO P/ HORA (R$)])*75,
IF(ISNUMBER(SEARCH("AUXILIAR DE LIMPEZA - 110 H",tabParametros[[#This Row],[Função]],1)),
SUMIF(tabLimpGeral[TIPO],"Material",tabLimpGeral[VALOR UNITÁRIO P/ HORA (R$)])*110,
IF(ISNUMBER(SEARCH("AUXILIAR DE LIMPEZA - 150 H",tabParametros[[#This Row],[Função]],1)),
SUMIF(tabLimpGeral[TIPO],"Material",tabLimpGeral[VALOR UNITÁRIO P/ HORA (R$)])*150,
IF(ISNUMBER(SEARCH("AUXILIAR DE LIMPEZA - 220 H",tabParametros[[#This Row],[Função]],1)),
SUMIF(tabLimpGeral[TIPO],"Material",tabLimpGeral[VALOR UNITÁRIO P/ HORA (R$)])*220,
IF(ISNUMBER(SEARCH("AUXILIAR DE LIMPEZA - 12 x 36",tabParametros[[#This Row],[Função]],1)),
SUMIF(tabLimpGeral[TIPO],"Material",tabLimpGeral[VALOR UNITÁRIO P/ HORA (R$)])*220,
IF(ISNUMBER(SEARCH("Limpador de vidros - 220 h",tabParametros[[#This Row],[Função]],1)),
SUMIF(tabVidros[TIPO],"Material",tabVidros[VALOR UNITÁRIO P/ POSTO (R$)]),
0))))))</f>
        <v>12.108481690426325</v>
      </c>
      <c r="AZ126" s="281">
        <f>IF(ISNUMBER(SEARCH("AUXILIAR DE LIMPEZA - 75 H",tabParametros[[#This Row],[Função]],1)),
SUMIF(tabLimpGeral[TIPO],"Equipamento",tabLimpGeral[VALOR UNITÁRIO P/ HORA (R$)])*75,
IF(ISNUMBER(SEARCH("AUXILIAR DE LIMPEZA - 110 H",tabParametros[[#This Row],[Função]],1)),
SUMIF(tabLimpGeral[TIPO],"Equipamento",tabLimpGeral[VALOR UNITÁRIO P/ HORA (R$)])*110,
IF(ISNUMBER(SEARCH("AUXILIAR DE LIMPEZA - 150 H",tabParametros[[#This Row],[Função]],1)),
SUMIF(tabLimpGeral[TIPO],"Equipamento",tabLimpGeral[VALOR UNITÁRIO P/ HORA (R$)])*150,
IF(ISNUMBER(SEARCH("AUXILIAR DE LIMPEZA - 220 H",tabParametros[[#This Row],[Função]],1)),
SUMIF(tabLimpGeral[TIPO],"Equipamento",tabLimpGeral[VALOR UNITÁRIO P/ HORA (R$)])*220,
IF(ISNUMBER(SEARCH("AUXILIAR DE LIMPEZA - 12 x 36",tabParametros[[#This Row],[Função]],1)),
SUMIF(tabLimpGeral[TIPO],"Equipamento",tabLimpGeral[VALOR UNITÁRIO P/ HORA (R$)])*220,
IF(ISNUMBER(SEARCH("Limpador de vidros - 220 h",tabParametros[[#This Row],[Função]],1)),
SUMIF(tabVidros[TIPO],"Equipamento",tabVidros[VALOR UNITÁRIO P/ POSTO (R$)]),
0))))))</f>
        <v>21.998657016417809</v>
      </c>
      <c r="BA126" s="281">
        <f>IF(ISNUMBER(SEARCH("AUXILIAR DE LIMPEZA - 75 H",tabParametros[[#This Row],[Função]],1)),
SUMIF(tabLimpGeral[TIPO],"Produto",tabLimpGeral[VALOR UNITÁRIO P/ HORA (R$)])*75,
IF(ISNUMBER(SEARCH("AUXILIAR DE LIMPEZA - 110 H",tabParametros[[#This Row],[Função]],1)),
SUMIF(tabLimpGeral[TIPO],"Produto",tabLimpGeral[VALOR UNITÁRIO P/ HORA (R$)])*110,
IF(ISNUMBER(SEARCH("AUXILIAR DE LIMPEZA - 150 H",tabParametros[[#This Row],[Função]],1)),
SUMIF(tabLimpGeral[TIPO],"Produto",tabLimpGeral[VALOR UNITÁRIO P/ HORA (R$)])*150,
IF(ISNUMBER(SEARCH("AUXILIAR DE LIMPEZA - 220 H",tabParametros[[#This Row],[Função]],1)),
SUMIF(tabLimpGeral[TIPO],"Produto",tabLimpGeral[VALOR UNITÁRIO P/ HORA (R$)])*220,
IF(ISNUMBER(SEARCH("AUXILIAR DE LIMPEZA - 12 x 36",tabParametros[[#This Row],[Função]],1)),
SUMIF(tabLimpGeral[TIPO],"Produto",tabLimpGeral[VALOR UNITÁRIO P/ HORA (R$)])*220,
IF(ISNUMBER(SEARCH("Limpador de vidros - 220 h",tabParametros[[#This Row],[Função]],1)),
SUMIF(tabVidros[TIPO],"Produto",tabVidros[VALOR UNITÁRIO P/ POSTO (R$)]),
0))))))</f>
        <v>235.31984072022155</v>
      </c>
      <c r="BB126" s="281">
        <v>0</v>
      </c>
      <c r="BC126" s="236">
        <f>VLOOKUP(tabParametros[[#Headers],[Custos Indiretos]],tabOutrosCustos[],3,0)</f>
        <v>189.64880140242613</v>
      </c>
      <c r="BD126" s="236">
        <f>VLOOKUP(tabParametros[[#Headers],[Lucro]],tabOutrosCustos[],3,0)</f>
        <v>159.30499317803796</v>
      </c>
      <c r="BE126" s="235">
        <f>VLOOKUP(tabParametros[[#Headers],[COFINS]],tabImpostosNacionais[],2,0)</f>
        <v>7.5999999999999998E-2</v>
      </c>
      <c r="BF126" s="235">
        <f>VLOOKUP(tabParametros[[#Headers],[PIS]],tabImpostosNacionais[],2,0)</f>
        <v>1.6500000000000001E-2</v>
      </c>
      <c r="BG126" s="235">
        <f>VLOOKUP(tabParametros[[#This Row],[Comarca]],tabComarca[],4,0)</f>
        <v>0.03</v>
      </c>
      <c r="BH126" s="238">
        <f>IFERROR(VLOOKUP(tabParametros[[#This Row],[CCT DA CATEGORIA]],tabSindicatos[],11,0),"")</f>
        <v>45658</v>
      </c>
      <c r="BI126" s="289" t="str">
        <f>IFERROR(VLOOKUP(tabParametros[[#This Row],[CCT DA CATEGORIA]],tabSindicatos[],12,0),"")</f>
        <v>-</v>
      </c>
      <c r="BJ126" s="293" t="str">
        <f>IFERROR(VLOOKUP(tabParametros[[#This Row],[CCT DA CATEGORIA]],tabSindicatos[],13,0),"")</f>
        <v>-</v>
      </c>
    </row>
    <row r="127" spans="1:62" x14ac:dyDescent="0.25">
      <c r="A127" s="233" t="s">
        <v>1463</v>
      </c>
      <c r="B127" s="198" t="s">
        <v>115</v>
      </c>
      <c r="C127" s="198" t="s">
        <v>1245</v>
      </c>
      <c r="D127" s="198" t="str">
        <f>VLOOKUP(tabParametros[[#This Row],[Código do Posto]],tabPostos[],4,0)</f>
        <v>Fethemg Interior</v>
      </c>
      <c r="E127" s="289" t="str">
        <f>VLOOKUP(tabParametros[[#This Row],[Código do Posto]],tabPostos[],5,0)</f>
        <v>Limpeza</v>
      </c>
      <c r="F127" s="289" t="str">
        <f>VLOOKUP(tabParametros[[#This Row],[Código do Posto]],tabPostos[],6,0)</f>
        <v>PGJ</v>
      </c>
      <c r="G127" s="289">
        <f>VLOOKUP(tabParametros[[#This Row],[Código do Posto]],tabPostos[],7,0)</f>
        <v>2</v>
      </c>
      <c r="H127" s="289">
        <f>VLOOKUP(tabParametros[[#This Row],[Código do Posto]],tabPostos[],8,0)</f>
        <v>0</v>
      </c>
      <c r="I127" s="234">
        <f>VLOOKUP(tabParametros[[#This Row],[Código do Posto]],tabPostos[],9,0)</f>
        <v>1596.28</v>
      </c>
      <c r="J127" s="234">
        <f>IF(ISNUMBER(SEARCH("Eletricista",tabParametros[[#This Row],[Função]],1)),0.3*tabParametros[[#This Row],[Salário Base]],0)</f>
        <v>0</v>
      </c>
      <c r="K127" s="234">
        <f>IF(OR(ISNUMBER(SEARCH("Bombeiro Hidraulico",tabParametros[[#This Row],[Função]],1)),ISNUMBER(SEARCH("Jardineiro",tabParametros[[#This Row],[Função]],1)),ISNUMBER(SEARCH("Lavador de Veiculos",tabParametros[[#This Row],[Função]],1)),ISNUMBER(SEARCH("Marceneiro",tabParametros[[#This Row],[Função]],1)),ISNUMBER(SEARCH("Pintor",tabParametros[[#This Row],[Função]],1))),0.2*'BASE GERAL'!$R$4,0)</f>
        <v>0</v>
      </c>
      <c r="L127" s="234">
        <f>IF(AND(ISNUMBER(SEARCH("Noturno",tabParametros[[#This Row],[Função]],1)),tabParametros[[#This Row],[Comarca]]&lt;&gt;"Juiz de Fora"),tabParametros[[#This Row],[Salário Base]]/210*0.39*7*15.5,IF(ISNUMBER(SEARCH("Noturno",tabParametros[[#This Row],[Função]],1)),tabParametros[[#This Row],[Salário Base]]/210*0.2*8*15.5,0))</f>
        <v>0</v>
      </c>
      <c r="M127" s="234">
        <f>IF(ISNUMBER(SEARCH("Motorista II",tabParametros[[#This Row],[Função]],1)),0.25*tabParametros[[#This Row],[Salário Base]],0)</f>
        <v>0</v>
      </c>
      <c r="N127" s="250">
        <v>0</v>
      </c>
      <c r="O127" s="234">
        <f>IF(ISNUMBER(SEARCH("TECNOLOGIA DA INFORMACAO",tabParametros[[#This Row],[Função]],1)),0.0201*tabParametros[[#This Row],[Salário Base]],0)</f>
        <v>0</v>
      </c>
      <c r="P127" s="250" cm="1">
        <f t="array" ref="P127">_xlfn.IFS(
ISNUMBER(SEARCH("Auxiliar de Limpeza - 75 h",tabParametros[[#This Row],[Função]],1)),tabParametros[[#This Row],[Salário Base]]/75*0.75*30*0.12,
ISNUMBER(SEARCH("Auxiliar de Limpeza - 110 h",tabParametros[[#This Row],[Função]],1)),tabParametros[[#This Row],[Salário Base]]/110*1*30*0.12,
ISNUMBER(SEARCH("Auxiliar de Limpeza - 150 h",tabParametros[[#This Row],[Função]],1)),tabParametros[[#This Row],[Salário Base]]/150*1.5*30*0.12,
ISNUMBER(SEARCH("Auxiliar de Limpeza - 220 h",tabParametros[[#This Row],[Função]],1)),tabParametros[[#This Row],[Salário Base]]/220*2*30*0.12,
ISNUMBER(SEARCH("Auxiliar de Limpeza - 12 x 36",tabParametros[[#This Row],[Função]],1)),tabParametros[[#This Row],[Salário Base]]/220*2*30*0.12,
ISNUMBER(SEARCH("Auxiliar de Limpeza - 55 h",tabParametros[[#This Row],[Função]],1))=FALSE,0)</f>
        <v>52.241890909090905</v>
      </c>
      <c r="Q127" s="235">
        <f>VLOOKUP(tabParametros[[#Headers],[INSS]],tabImpostosNacionais[],2,0)</f>
        <v>0.2</v>
      </c>
      <c r="R127" s="235">
        <f>VLOOKUP(tabParametros[[#Headers],[SESI OU SESC]],tabImpostosNacionais[],2,0)</f>
        <v>1.4999999999999999E-2</v>
      </c>
      <c r="S127" s="235">
        <f>VLOOKUP(tabParametros[[#Headers],[SENAI OU SENAC]],tabImpostosNacionais[],2,0)</f>
        <v>0.01</v>
      </c>
      <c r="T127" s="235">
        <f>VLOOKUP(tabParametros[[#Headers],[INCRA]],tabImpostosNacionais[],2,0)</f>
        <v>2E-3</v>
      </c>
      <c r="U127" s="235">
        <f>VLOOKUP(tabParametros[[#Headers],[Salário Educação]],tabImpostosNacionais[],2,0)</f>
        <v>2.5000000000000001E-2</v>
      </c>
      <c r="V127" s="235">
        <f>VLOOKUP(tabParametros[[#Headers],[FGTS]],tabImpostosNacionais[],2,0)</f>
        <v>0.08</v>
      </c>
      <c r="W127" s="235">
        <f>VLOOKUP(tabParametros[[#Headers],[RAT Ajustado]],tabImpostosNacionais[],2,0)</f>
        <v>0.04</v>
      </c>
      <c r="X127" s="235">
        <f>VLOOKUP(tabParametros[[#Headers],[SEBRAE]],tabImpostosNacionais[],2,0)</f>
        <v>6.0000000000000001E-3</v>
      </c>
      <c r="Y127" s="235">
        <f t="shared" si="11"/>
        <v>8.3333333333333329E-2</v>
      </c>
      <c r="Z127" s="251">
        <f t="shared" si="12"/>
        <v>0.1111111111111111</v>
      </c>
      <c r="AA127" s="234">
        <f>VLOOKUP(tabParametros[[#This Row],[Comarca]],tabComarca[],5,0)</f>
        <v>6.4</v>
      </c>
      <c r="AB127" s="234">
        <f>IFERROR(VLOOKUP(tabParametros[[#This Row],[CCT DA CATEGORIA]],tabSindicatos[],6,0),0)</f>
        <v>29.15</v>
      </c>
      <c r="AC127" s="234">
        <f>IFERROR(VLOOKUP(tabParametros[[#This Row],[CCT DA CATEGORIA]],tabSindicatos[],7,0),0)</f>
        <v>0</v>
      </c>
      <c r="AD127" s="234" cm="1">
        <f t="array" ref="AD127">_xlfn.LET(
_xlpm.COMARCA, TRIM(UPPER(SUBSTITUTE(SUBSTITUTE(SUBSTITUTE(SUBSTITUTE(SUBSTITUTE(SUBSTITUTE(SUBSTITUTE(SUBSTITUTE(SUBSTITUTE(SUBSTITUTE(SUBSTITUTE(SUBSTITUTE(SUBSTITUTE(SUBSTITUTE(SUBSTITUTE(SUBSTITUTE(SUBSTITUTE(SUBSTITUTE(SUBSTITUTE(SUBSTITUTE(SUBSTITUTE(SUBSTITUTE(SUBSTITUTE(SUBSTITUTE(SUBSTITUTE(SUBSTITUTE(tabParametros[[#This Row],[Comarca]],"á","a"),"ã","a"),"â","a"),"é","e"),"ê","e"),"í","i"),"ó","o"),"õ","o"),"ô","o"),"ú","u"),"ç","c"),"Á","a"),"Ã","a"),"Â","a"),"É","e"),"Ê","e"),"Í","i"),"Ó","o"),"Õ","o"),"Ô","o"),"Ú","u"),"Ç","c"),"/MG","")," e ",", ")," ",""),".",""))),
_xlpm.MATRIZ_COMARCA, TRIM(UPPER(SUBSTITUTE(SUBSTITUTE(SUBSTITUTE(SUBSTITUTE(SUBSTITUTE(SUBSTITUTE(SUBSTITUTE(SUBSTITUTE(SUBSTITUTE(SUBSTITUTE(SUBSTITUTE(SUBSTITUTE(SUBSTITUTE(SUBSTITUTE(SUBSTITUTE(SUBSTITUTE(SUBSTITUTE(SUBSTITUTE(SUBSTITUTE(SUBSTITUTE(SUBSTITUTE(SUBSTITUTE(SUBSTITUTE(SUBSTITUTE(SUBSTITUTE(SUBSTITUTE(tabSindicatos[COMARCAS PAF],"á","a"),"ã","a"),"â","a"),"é","e"),"ê","e"),"í","i"),"ó","o"),"õ","o"),"ô","o"),"ú","u"),"ç","c"),"Á","a"),"Ã","a"),"Â","a"),"É","e"),"Ê","e"),"Í","i"),"Ó","o"),"Õ","o"),"Ô","o"),"Ú","u"),"Ç","c"),"/MG","")," e ",", ")," ",""),".",""))),
IFERROR(IF(_xlfn.XLOOKUP(tabParametros[[#This Row],[CCT DA CATEGORIA]],tabSindicatos[SINDICATOS],tabSindicatos[COMARCAS PAF])="",
VLOOKUP(tabParametros[[#This Row],[CCT DA CATEGORIA]],tabSindicatos[],8,0),
IF(ISNUMBER(SEARCH(TRIM(_xlpm.COMARCA),_xlfn.XLOOKUP(tabParametros[[#This Row],[CCT DA CATEGORIA]],tabSindicatos[SINDICATOS],_xlpm.MATRIZ_COMARCA),1)),VLOOKUP(tabParametros[[#This Row],[CCT DA CATEGORIA]],tabSindicatos[],8,0),0)
),0)
)</f>
        <v>0</v>
      </c>
      <c r="AE127" s="234">
        <f>IFERROR(VLOOKUP(tabParametros[[#This Row],[CCT DA CATEGORIA]],tabSindicatos[],9,0),0)</f>
        <v>15.07</v>
      </c>
      <c r="AF127" s="234">
        <f>IFERROR(VLOOKUP(tabParametros[[#This Row],[CCT DA CATEGORIA]],tabSindicatos[],10,0),0)</f>
        <v>0</v>
      </c>
      <c r="AG127" s="236">
        <f>VLOOKUP(tabParametros[[#Headers],[Seguro de Vida]],tabOutrosCustos[],3,0)</f>
        <v>3.36</v>
      </c>
      <c r="AH127" s="236">
        <f>IF(ISNUMBER(SEARCH("MOTORISTA",tabParametros[[#This Row],[Função]],1)),VLOOKUP("MOTORISTAS",tabDiarias[],2,0),IF(tabParametros[[#This Row],[Comarca]]="Belo Horizonte",VLOOKUP("LIMPEZA",tabDiarias[],2,0),0))</f>
        <v>0</v>
      </c>
      <c r="AI127" s="235">
        <f t="shared" si="13"/>
        <v>7.011766975308642E-3</v>
      </c>
      <c r="AJ127" s="237">
        <f>tabParametros[[#This Row],[FGTS]]*tabParametros[[#This Row],[Aviso Prévio Indenizado (API) e Reflexo do Aviso Prévio Indenizado]]</f>
        <v>5.609413580246914E-4</v>
      </c>
      <c r="AK127" s="237">
        <f>tabParametros[[#This Row],[FGTS]]*tabParametros[[#This Row],[Aviso Prévio Indenizado (API) e Reflexo do Aviso Prévio Indenizado]]*40%</f>
        <v>2.2437654320987658E-4</v>
      </c>
      <c r="AL127" s="235">
        <f t="shared" si="14"/>
        <v>3.5000000000000005E-3</v>
      </c>
      <c r="AM127" s="235">
        <f>tabParametros[[#This Row],[Aviso Prévio Trabalhado - APT]]*SUM(tabParametros[[#This Row],[INSS]:[SEBRAE]])</f>
        <v>1.3230000000000004E-3</v>
      </c>
      <c r="AN127" s="235">
        <f t="shared" si="15"/>
        <v>3.0577777777777773E-2</v>
      </c>
      <c r="AO127" s="235">
        <f t="shared" si="16"/>
        <v>8.3333333333333339E-4</v>
      </c>
      <c r="AP127" s="235">
        <f t="shared" si="17"/>
        <v>8.4444444444444437E-3</v>
      </c>
      <c r="AQ127" s="235">
        <f t="shared" si="18"/>
        <v>2.0277777777777777E-3</v>
      </c>
      <c r="AR127" s="235">
        <f t="shared" si="19"/>
        <v>1.7083333333333333E-4</v>
      </c>
      <c r="AS127" s="235">
        <f t="shared" si="20"/>
        <v>2.0833333333333335E-4</v>
      </c>
      <c r="AT127" s="235">
        <f t="shared" si="21"/>
        <v>1.2962962962962963E-3</v>
      </c>
      <c r="AU127" s="237">
        <f>SUM(tabParametros[[#This Row],[Ausência por Doença]:[Férias, Adicional de Férias e 13º  com empregada em gozo de Licença Maternidade]])*SUM(tabParametros[[#This Row],[INSS]:[SEBRAE]])</f>
        <v>4.5918250000000008E-3</v>
      </c>
      <c r="AV127" s="234">
        <f>IF(tabParametros[[#This Row],[Função]]="Porteiro - 220 h",SUM(tabParametros[[#This Row],[Salário Base]:[Adicional de Acúmulo de função]])/220*20*1.5,IF(ISNUMBER(SEARCH("12 x 36",tabParametros[[#This Row],[Função]],1)),SUM(tabParametros[[#This Row],[Salário Base]:[Adicional de Acúmulo de função]])/210*15.5*1.5,0))</f>
        <v>0</v>
      </c>
      <c r="AW127" s="234">
        <f>IF(tabParametros[[#This Row],[Vagas contratadas]]&gt;0,(SUM(tabParametros[[#This Row],[Salário Base]:[Adicional de Acúmulo de função]])*30%+SUM(tabParametros[[#This Row],[Vale - Alimentação]:[Seguro de Vida]]))/tabParametros[[#This Row],[Vagas contratadas]]*tabParametros[[#This Row],[Vagas suspensas]],0)</f>
        <v>0</v>
      </c>
      <c r="AX127" s="234">
        <f>SUMIF(tabUniformes[Cargo],tabParametros[[#This Row],[Função]],tabUniformes[Valor unit. Mensal])</f>
        <v>100.80916666666666</v>
      </c>
      <c r="AY127" s="281">
        <f>IF(ISNUMBER(SEARCH("AUXILIAR DE LIMPEZA - 75 H",tabParametros[[#This Row],[Função]],1)),
SUMIF(tabLimpGeral[TIPO],"Material",tabLimpGeral[VALOR UNITÁRIO P/ HORA (R$)])*75,
IF(ISNUMBER(SEARCH("AUXILIAR DE LIMPEZA - 110 H",tabParametros[[#This Row],[Função]],1)),
SUMIF(tabLimpGeral[TIPO],"Material",tabLimpGeral[VALOR UNITÁRIO P/ HORA (R$)])*110,
IF(ISNUMBER(SEARCH("AUXILIAR DE LIMPEZA - 150 H",tabParametros[[#This Row],[Função]],1)),
SUMIF(tabLimpGeral[TIPO],"Material",tabLimpGeral[VALOR UNITÁRIO P/ HORA (R$)])*150,
IF(ISNUMBER(SEARCH("AUXILIAR DE LIMPEZA - 220 H",tabParametros[[#This Row],[Função]],1)),
SUMIF(tabLimpGeral[TIPO],"Material",tabLimpGeral[VALOR UNITÁRIO P/ HORA (R$)])*220,
IF(ISNUMBER(SEARCH("AUXILIAR DE LIMPEZA - 12 x 36",tabParametros[[#This Row],[Função]],1)),
SUMIF(tabLimpGeral[TIPO],"Material",tabLimpGeral[VALOR UNITÁRIO P/ HORA (R$)])*220,
IF(ISNUMBER(SEARCH("Limpador de vidros - 220 h",tabParametros[[#This Row],[Função]],1)),
SUMIF(tabVidros[TIPO],"Material",tabVidros[VALOR UNITÁRIO P/ POSTO (R$)]),
0))))))</f>
        <v>35.518212958583888</v>
      </c>
      <c r="AZ127" s="281">
        <f>IF(ISNUMBER(SEARCH("AUXILIAR DE LIMPEZA - 75 H",tabParametros[[#This Row],[Função]],1)),
SUMIF(tabLimpGeral[TIPO],"Equipamento",tabLimpGeral[VALOR UNITÁRIO P/ HORA (R$)])*75,
IF(ISNUMBER(SEARCH("AUXILIAR DE LIMPEZA - 110 H",tabParametros[[#This Row],[Função]],1)),
SUMIF(tabLimpGeral[TIPO],"Equipamento",tabLimpGeral[VALOR UNITÁRIO P/ HORA (R$)])*110,
IF(ISNUMBER(SEARCH("AUXILIAR DE LIMPEZA - 150 H",tabParametros[[#This Row],[Função]],1)),
SUMIF(tabLimpGeral[TIPO],"Equipamento",tabLimpGeral[VALOR UNITÁRIO P/ HORA (R$)])*150,
IF(ISNUMBER(SEARCH("AUXILIAR DE LIMPEZA - 220 H",tabParametros[[#This Row],[Função]],1)),
SUMIF(tabLimpGeral[TIPO],"Equipamento",tabLimpGeral[VALOR UNITÁRIO P/ HORA (R$)])*220,
IF(ISNUMBER(SEARCH("AUXILIAR DE LIMPEZA - 12 x 36",tabParametros[[#This Row],[Função]],1)),
SUMIF(tabLimpGeral[TIPO],"Equipamento",tabLimpGeral[VALOR UNITÁRIO P/ HORA (R$)])*220,
IF(ISNUMBER(SEARCH("Limpador de vidros - 220 h",tabParametros[[#This Row],[Função]],1)),
SUMIF(tabVidros[TIPO],"Equipamento",tabVidros[VALOR UNITÁRIO P/ POSTO (R$)]),
0))))))</f>
        <v>64.529393914825576</v>
      </c>
      <c r="BA127" s="281">
        <f>IF(ISNUMBER(SEARCH("AUXILIAR DE LIMPEZA - 75 H",tabParametros[[#This Row],[Função]],1)),
SUMIF(tabLimpGeral[TIPO],"Produto",tabLimpGeral[VALOR UNITÁRIO P/ HORA (R$)])*75,
IF(ISNUMBER(SEARCH("AUXILIAR DE LIMPEZA - 110 H",tabParametros[[#This Row],[Função]],1)),
SUMIF(tabLimpGeral[TIPO],"Produto",tabLimpGeral[VALOR UNITÁRIO P/ HORA (R$)])*110,
IF(ISNUMBER(SEARCH("AUXILIAR DE LIMPEZA - 150 H",tabParametros[[#This Row],[Função]],1)),
SUMIF(tabLimpGeral[TIPO],"Produto",tabLimpGeral[VALOR UNITÁRIO P/ HORA (R$)])*150,
IF(ISNUMBER(SEARCH("AUXILIAR DE LIMPEZA - 220 H",tabParametros[[#This Row],[Função]],1)),
SUMIF(tabLimpGeral[TIPO],"Produto",tabLimpGeral[VALOR UNITÁRIO P/ HORA (R$)])*220,
IF(ISNUMBER(SEARCH("AUXILIAR DE LIMPEZA - 12 x 36",tabParametros[[#This Row],[Função]],1)),
SUMIF(tabLimpGeral[TIPO],"Produto",tabLimpGeral[VALOR UNITÁRIO P/ HORA (R$)])*220,
IF(ISNUMBER(SEARCH("Limpador de vidros - 220 h",tabParametros[[#This Row],[Função]],1)),
SUMIF(tabVidros[TIPO],"Produto",tabVidros[VALOR UNITÁRIO P/ POSTO (R$)]),
0))))))</f>
        <v>690.27153277931654</v>
      </c>
      <c r="BB127" s="281">
        <v>0</v>
      </c>
      <c r="BC127" s="236">
        <f>VLOOKUP(tabParametros[[#Headers],[Custos Indiretos]],tabOutrosCustos[],3,0)</f>
        <v>189.64880140242613</v>
      </c>
      <c r="BD127" s="236">
        <f>VLOOKUP(tabParametros[[#Headers],[Lucro]],tabOutrosCustos[],3,0)</f>
        <v>159.30499317803796</v>
      </c>
      <c r="BE127" s="235">
        <f>VLOOKUP(tabParametros[[#Headers],[COFINS]],tabImpostosNacionais[],2,0)</f>
        <v>7.5999999999999998E-2</v>
      </c>
      <c r="BF127" s="235">
        <f>VLOOKUP(tabParametros[[#Headers],[PIS]],tabImpostosNacionais[],2,0)</f>
        <v>1.6500000000000001E-2</v>
      </c>
      <c r="BG127" s="235">
        <f>VLOOKUP(tabParametros[[#This Row],[Comarca]],tabComarca[],4,0)</f>
        <v>0.02</v>
      </c>
      <c r="BH127" s="238">
        <f>IFERROR(VLOOKUP(tabParametros[[#This Row],[CCT DA CATEGORIA]],tabSindicatos[],11,0),"")</f>
        <v>45658</v>
      </c>
      <c r="BI127" s="289" t="str">
        <f>IFERROR(VLOOKUP(tabParametros[[#This Row],[CCT DA CATEGORIA]],tabSindicatos[],12,0),"")</f>
        <v>-</v>
      </c>
      <c r="BJ127" s="293" t="str">
        <f>IFERROR(VLOOKUP(tabParametros[[#This Row],[CCT DA CATEGORIA]],tabSindicatos[],13,0),"")</f>
        <v>-</v>
      </c>
    </row>
    <row r="128" spans="1:62" x14ac:dyDescent="0.25">
      <c r="A128" s="233" t="s">
        <v>1464</v>
      </c>
      <c r="B128" s="198" t="s">
        <v>116</v>
      </c>
      <c r="C128" s="198" t="s">
        <v>1246</v>
      </c>
      <c r="D128" s="198" t="str">
        <f>VLOOKUP(tabParametros[[#This Row],[Código do Posto]],tabPostos[],4,0)</f>
        <v>Alto Paranaiba</v>
      </c>
      <c r="E128" s="289" t="str">
        <f>VLOOKUP(tabParametros[[#This Row],[Código do Posto]],tabPostos[],5,0)</f>
        <v>Limpeza</v>
      </c>
      <c r="F128" s="289" t="str">
        <f>VLOOKUP(tabParametros[[#This Row],[Código do Posto]],tabPostos[],6,0)</f>
        <v>PGJ</v>
      </c>
      <c r="G128" s="289">
        <f>VLOOKUP(tabParametros[[#This Row],[Código do Posto]],tabPostos[],7,0)</f>
        <v>1</v>
      </c>
      <c r="H128" s="289">
        <f>VLOOKUP(tabParametros[[#This Row],[Código do Posto]],tabPostos[],8,0)</f>
        <v>0</v>
      </c>
      <c r="I128" s="234">
        <f>VLOOKUP(tabParametros[[#This Row],[Código do Posto]],tabPostos[],9,0)</f>
        <v>1088.3699999999999</v>
      </c>
      <c r="J128" s="234">
        <f>IF(ISNUMBER(SEARCH("Eletricista",tabParametros[[#This Row],[Função]],1)),0.3*tabParametros[[#This Row],[Salário Base]],0)</f>
        <v>0</v>
      </c>
      <c r="K128" s="234">
        <f>IF(OR(ISNUMBER(SEARCH("Bombeiro Hidraulico",tabParametros[[#This Row],[Função]],1)),ISNUMBER(SEARCH("Jardineiro",tabParametros[[#This Row],[Função]],1)),ISNUMBER(SEARCH("Lavador de Veiculos",tabParametros[[#This Row],[Função]],1)),ISNUMBER(SEARCH("Marceneiro",tabParametros[[#This Row],[Função]],1)),ISNUMBER(SEARCH("Pintor",tabParametros[[#This Row],[Função]],1))),0.2*'BASE GERAL'!$R$4,0)</f>
        <v>0</v>
      </c>
      <c r="L128" s="234">
        <f>IF(AND(ISNUMBER(SEARCH("Noturno",tabParametros[[#This Row],[Função]],1)),tabParametros[[#This Row],[Comarca]]&lt;&gt;"Juiz de Fora"),tabParametros[[#This Row],[Salário Base]]/210*0.39*7*15.5,IF(ISNUMBER(SEARCH("Noturno",tabParametros[[#This Row],[Função]],1)),tabParametros[[#This Row],[Salário Base]]/210*0.2*8*15.5,0))</f>
        <v>0</v>
      </c>
      <c r="M128" s="234">
        <f>IF(ISNUMBER(SEARCH("Motorista II",tabParametros[[#This Row],[Função]],1)),0.25*tabParametros[[#This Row],[Salário Base]],0)</f>
        <v>0</v>
      </c>
      <c r="N128" s="250">
        <v>0</v>
      </c>
      <c r="O128" s="234">
        <f>IF(ISNUMBER(SEARCH("TECNOLOGIA DA INFORMACAO",tabParametros[[#This Row],[Função]],1)),0.0201*tabParametros[[#This Row],[Salário Base]],0)</f>
        <v>0</v>
      </c>
      <c r="P128" s="250" cm="1">
        <f t="array" ref="P128">_xlfn.IFS(
ISNUMBER(SEARCH("Auxiliar de Limpeza - 75 h",tabParametros[[#This Row],[Função]],1)),tabParametros[[#This Row],[Salário Base]]/75*0.75*30*0.12,
ISNUMBER(SEARCH("Auxiliar de Limpeza - 110 h",tabParametros[[#This Row],[Função]],1)),tabParametros[[#This Row],[Salário Base]]/110*1*30*0.12,
ISNUMBER(SEARCH("Auxiliar de Limpeza - 150 h",tabParametros[[#This Row],[Função]],1)),tabParametros[[#This Row],[Salário Base]]/150*1.5*30*0.12,
ISNUMBER(SEARCH("Auxiliar de Limpeza - 220 h",tabParametros[[#This Row],[Função]],1)),tabParametros[[#This Row],[Salário Base]]/220*2*30*0.12,
ISNUMBER(SEARCH("Auxiliar de Limpeza - 12 x 36",tabParametros[[#This Row],[Função]],1)),tabParametros[[#This Row],[Salário Base]]/220*2*30*0.12,
ISNUMBER(SEARCH("Auxiliar de Limpeza - 55 h",tabParametros[[#This Row],[Função]],1))=FALSE,0)</f>
        <v>39.181319999999985</v>
      </c>
      <c r="Q128" s="235">
        <f>VLOOKUP(tabParametros[[#Headers],[INSS]],tabImpostosNacionais[],2,0)</f>
        <v>0.2</v>
      </c>
      <c r="R128" s="235">
        <f>VLOOKUP(tabParametros[[#Headers],[SESI OU SESC]],tabImpostosNacionais[],2,0)</f>
        <v>1.4999999999999999E-2</v>
      </c>
      <c r="S128" s="235">
        <f>VLOOKUP(tabParametros[[#Headers],[SENAI OU SENAC]],tabImpostosNacionais[],2,0)</f>
        <v>0.01</v>
      </c>
      <c r="T128" s="235">
        <f>VLOOKUP(tabParametros[[#Headers],[INCRA]],tabImpostosNacionais[],2,0)</f>
        <v>2E-3</v>
      </c>
      <c r="U128" s="235">
        <f>VLOOKUP(tabParametros[[#Headers],[Salário Educação]],tabImpostosNacionais[],2,0)</f>
        <v>2.5000000000000001E-2</v>
      </c>
      <c r="V128" s="235">
        <f>VLOOKUP(tabParametros[[#Headers],[FGTS]],tabImpostosNacionais[],2,0)</f>
        <v>0.08</v>
      </c>
      <c r="W128" s="235">
        <f>VLOOKUP(tabParametros[[#Headers],[RAT Ajustado]],tabImpostosNacionais[],2,0)</f>
        <v>0.04</v>
      </c>
      <c r="X128" s="235">
        <f>VLOOKUP(tabParametros[[#Headers],[SEBRAE]],tabImpostosNacionais[],2,0)</f>
        <v>6.0000000000000001E-3</v>
      </c>
      <c r="Y128" s="235">
        <f t="shared" si="11"/>
        <v>8.3333333333333329E-2</v>
      </c>
      <c r="Z128" s="251">
        <f t="shared" si="12"/>
        <v>0.1111111111111111</v>
      </c>
      <c r="AA128" s="234">
        <f>VLOOKUP(tabParametros[[#This Row],[Comarca]],tabComarca[],5,0)</f>
        <v>6.4</v>
      </c>
      <c r="AB128" s="234">
        <f>IFERROR(VLOOKUP(tabParametros[[#This Row],[CCT DA CATEGORIA]],tabSindicatos[],6,0),0)</f>
        <v>0</v>
      </c>
      <c r="AC128" s="234">
        <f>IFERROR(VLOOKUP(tabParametros[[#This Row],[CCT DA CATEGORIA]],tabSindicatos[],7,0),0)</f>
        <v>387.79</v>
      </c>
      <c r="AD128" s="234" cm="1">
        <f t="array" ref="AD128">_xlfn.LET(
_xlpm.COMARCA, TRIM(UPPER(SUBSTITUTE(SUBSTITUTE(SUBSTITUTE(SUBSTITUTE(SUBSTITUTE(SUBSTITUTE(SUBSTITUTE(SUBSTITUTE(SUBSTITUTE(SUBSTITUTE(SUBSTITUTE(SUBSTITUTE(SUBSTITUTE(SUBSTITUTE(SUBSTITUTE(SUBSTITUTE(SUBSTITUTE(SUBSTITUTE(SUBSTITUTE(SUBSTITUTE(SUBSTITUTE(SUBSTITUTE(SUBSTITUTE(SUBSTITUTE(SUBSTITUTE(SUBSTITUTE(tabParametros[[#This Row],[Comarca]],"á","a"),"ã","a"),"â","a"),"é","e"),"ê","e"),"í","i"),"ó","o"),"õ","o"),"ô","o"),"ú","u"),"ç","c"),"Á","a"),"Ã","a"),"Â","a"),"É","e"),"Ê","e"),"Í","i"),"Ó","o"),"Õ","o"),"Ô","o"),"Ú","u"),"Ç","c"),"/MG","")," e ",", ")," ",""),".",""))),
_xlpm.MATRIZ_COMARCA, TRIM(UPPER(SUBSTITUTE(SUBSTITUTE(SUBSTITUTE(SUBSTITUTE(SUBSTITUTE(SUBSTITUTE(SUBSTITUTE(SUBSTITUTE(SUBSTITUTE(SUBSTITUTE(SUBSTITUTE(SUBSTITUTE(SUBSTITUTE(SUBSTITUTE(SUBSTITUTE(SUBSTITUTE(SUBSTITUTE(SUBSTITUTE(SUBSTITUTE(SUBSTITUTE(SUBSTITUTE(SUBSTITUTE(SUBSTITUTE(SUBSTITUTE(SUBSTITUTE(SUBSTITUTE(tabSindicatos[COMARCAS PAF],"á","a"),"ã","a"),"â","a"),"é","e"),"ê","e"),"í","i"),"ó","o"),"õ","o"),"ô","o"),"ú","u"),"ç","c"),"Á","a"),"Ã","a"),"Â","a"),"É","e"),"Ê","e"),"Í","i"),"Ó","o"),"Õ","o"),"Ô","o"),"Ú","u"),"Ç","c"),"/MG","")," e ",", ")," ",""),".",""))),
IFERROR(IF(_xlfn.XLOOKUP(tabParametros[[#This Row],[CCT DA CATEGORIA]],tabSindicatos[SINDICATOS],tabSindicatos[COMARCAS PAF])="",
VLOOKUP(tabParametros[[#This Row],[CCT DA CATEGORIA]],tabSindicatos[],8,0),
IF(ISNUMBER(SEARCH(TRIM(_xlpm.COMARCA),_xlfn.XLOOKUP(tabParametros[[#This Row],[CCT DA CATEGORIA]],tabSindicatos[SINDICATOS],_xlpm.MATRIZ_COMARCA),1)),VLOOKUP(tabParametros[[#This Row],[CCT DA CATEGORIA]],tabSindicatos[],8,0),0)
),0)
)</f>
        <v>42.97</v>
      </c>
      <c r="AE128" s="234">
        <f>IFERROR(VLOOKUP(tabParametros[[#This Row],[CCT DA CATEGORIA]],tabSindicatos[],9,0),0)</f>
        <v>0</v>
      </c>
      <c r="AF128" s="234">
        <f>IFERROR(VLOOKUP(tabParametros[[#This Row],[CCT DA CATEGORIA]],tabSindicatos[],10,0),0)</f>
        <v>0</v>
      </c>
      <c r="AG128" s="236">
        <f>VLOOKUP(tabParametros[[#Headers],[Seguro de Vida]],tabOutrosCustos[],3,0)</f>
        <v>3.36</v>
      </c>
      <c r="AH128" s="236">
        <f>IF(ISNUMBER(SEARCH("MOTORISTA",tabParametros[[#This Row],[Função]],1)),VLOOKUP("MOTORISTAS",tabDiarias[],2,0),IF(tabParametros[[#This Row],[Comarca]]="Belo Horizonte",VLOOKUP("LIMPEZA",tabDiarias[],2,0),0))</f>
        <v>0</v>
      </c>
      <c r="AI128" s="235">
        <f t="shared" si="13"/>
        <v>7.011766975308642E-3</v>
      </c>
      <c r="AJ128" s="237">
        <f>tabParametros[[#This Row],[FGTS]]*tabParametros[[#This Row],[Aviso Prévio Indenizado (API) e Reflexo do Aviso Prévio Indenizado]]</f>
        <v>5.609413580246914E-4</v>
      </c>
      <c r="AK128" s="237">
        <f>tabParametros[[#This Row],[FGTS]]*tabParametros[[#This Row],[Aviso Prévio Indenizado (API) e Reflexo do Aviso Prévio Indenizado]]*40%</f>
        <v>2.2437654320987658E-4</v>
      </c>
      <c r="AL128" s="235">
        <f t="shared" si="14"/>
        <v>3.5000000000000005E-3</v>
      </c>
      <c r="AM128" s="235">
        <f>tabParametros[[#This Row],[Aviso Prévio Trabalhado - APT]]*SUM(tabParametros[[#This Row],[INSS]:[SEBRAE]])</f>
        <v>1.3230000000000004E-3</v>
      </c>
      <c r="AN128" s="235">
        <f t="shared" si="15"/>
        <v>3.0577777777777773E-2</v>
      </c>
      <c r="AO128" s="235">
        <f t="shared" si="16"/>
        <v>8.3333333333333339E-4</v>
      </c>
      <c r="AP128" s="235">
        <f t="shared" si="17"/>
        <v>8.4444444444444437E-3</v>
      </c>
      <c r="AQ128" s="235">
        <f t="shared" si="18"/>
        <v>2.0277777777777777E-3</v>
      </c>
      <c r="AR128" s="235">
        <f t="shared" si="19"/>
        <v>1.7083333333333333E-4</v>
      </c>
      <c r="AS128" s="235">
        <f t="shared" si="20"/>
        <v>2.0833333333333335E-4</v>
      </c>
      <c r="AT128" s="235">
        <f t="shared" si="21"/>
        <v>1.2962962962962963E-3</v>
      </c>
      <c r="AU128" s="237">
        <f>SUM(tabParametros[[#This Row],[Ausência por Doença]:[Férias, Adicional de Férias e 13º  com empregada em gozo de Licença Maternidade]])*SUM(tabParametros[[#This Row],[INSS]:[SEBRAE]])</f>
        <v>4.5918250000000008E-3</v>
      </c>
      <c r="AV128" s="234">
        <f>IF(tabParametros[[#This Row],[Função]]="Porteiro - 220 h",SUM(tabParametros[[#This Row],[Salário Base]:[Adicional de Acúmulo de função]])/220*20*1.5,IF(ISNUMBER(SEARCH("12 x 36",tabParametros[[#This Row],[Função]],1)),SUM(tabParametros[[#This Row],[Salário Base]:[Adicional de Acúmulo de função]])/210*15.5*1.5,0))</f>
        <v>0</v>
      </c>
      <c r="AW128" s="234">
        <f>IF(tabParametros[[#This Row],[Vagas contratadas]]&gt;0,(SUM(tabParametros[[#This Row],[Salário Base]:[Adicional de Acúmulo de função]])*30%+SUM(tabParametros[[#This Row],[Vale - Alimentação]:[Seguro de Vida]]))/tabParametros[[#This Row],[Vagas contratadas]]*tabParametros[[#This Row],[Vagas suspensas]],0)</f>
        <v>0</v>
      </c>
      <c r="AX128" s="234">
        <f>SUMIF(tabUniformes[Cargo],tabParametros[[#This Row],[Função]],tabUniformes[Valor unit. Mensal])</f>
        <v>100.80916666666666</v>
      </c>
      <c r="AY128" s="281">
        <f>IF(ISNUMBER(SEARCH("AUXILIAR DE LIMPEZA - 75 H",tabParametros[[#This Row],[Função]],1)),
SUMIF(tabLimpGeral[TIPO],"Material",tabLimpGeral[VALOR UNITÁRIO P/ HORA (R$)])*75,
IF(ISNUMBER(SEARCH("AUXILIAR DE LIMPEZA - 110 H",tabParametros[[#This Row],[Função]],1)),
SUMIF(tabLimpGeral[TIPO],"Material",tabLimpGeral[VALOR UNITÁRIO P/ HORA (R$)])*110,
IF(ISNUMBER(SEARCH("AUXILIAR DE LIMPEZA - 150 H",tabParametros[[#This Row],[Função]],1)),
SUMIF(tabLimpGeral[TIPO],"Material",tabLimpGeral[VALOR UNITÁRIO P/ HORA (R$)])*150,
IF(ISNUMBER(SEARCH("AUXILIAR DE LIMPEZA - 220 H",tabParametros[[#This Row],[Função]],1)),
SUMIF(tabLimpGeral[TIPO],"Material",tabLimpGeral[VALOR UNITÁRIO P/ HORA (R$)])*220,
IF(ISNUMBER(SEARCH("AUXILIAR DE LIMPEZA - 12 x 36",tabParametros[[#This Row],[Função]],1)),
SUMIF(tabLimpGeral[TIPO],"Material",tabLimpGeral[VALOR UNITÁRIO P/ HORA (R$)])*220,
IF(ISNUMBER(SEARCH("Limpador de vidros - 220 h",tabParametros[[#This Row],[Função]],1)),
SUMIF(tabVidros[TIPO],"Material",tabVidros[VALOR UNITÁRIO P/ POSTO (R$)]),
0))))))</f>
        <v>24.216963380852651</v>
      </c>
      <c r="AZ128" s="281">
        <f>IF(ISNUMBER(SEARCH("AUXILIAR DE LIMPEZA - 75 H",tabParametros[[#This Row],[Função]],1)),
SUMIF(tabLimpGeral[TIPO],"Equipamento",tabLimpGeral[VALOR UNITÁRIO P/ HORA (R$)])*75,
IF(ISNUMBER(SEARCH("AUXILIAR DE LIMPEZA - 110 H",tabParametros[[#This Row],[Função]],1)),
SUMIF(tabLimpGeral[TIPO],"Equipamento",tabLimpGeral[VALOR UNITÁRIO P/ HORA (R$)])*110,
IF(ISNUMBER(SEARCH("AUXILIAR DE LIMPEZA - 150 H",tabParametros[[#This Row],[Função]],1)),
SUMIF(tabLimpGeral[TIPO],"Equipamento",tabLimpGeral[VALOR UNITÁRIO P/ HORA (R$)])*150,
IF(ISNUMBER(SEARCH("AUXILIAR DE LIMPEZA - 220 H",tabParametros[[#This Row],[Função]],1)),
SUMIF(tabLimpGeral[TIPO],"Equipamento",tabLimpGeral[VALOR UNITÁRIO P/ HORA (R$)])*220,
IF(ISNUMBER(SEARCH("AUXILIAR DE LIMPEZA - 12 x 36",tabParametros[[#This Row],[Função]],1)),
SUMIF(tabLimpGeral[TIPO],"Equipamento",tabLimpGeral[VALOR UNITÁRIO P/ HORA (R$)])*220,
IF(ISNUMBER(SEARCH("Limpador de vidros - 220 h",tabParametros[[#This Row],[Função]],1)),
SUMIF(tabVidros[TIPO],"Equipamento",tabVidros[VALOR UNITÁRIO P/ POSTO (R$)]),
0))))))</f>
        <v>43.997314032835618</v>
      </c>
      <c r="BA128" s="281">
        <f>IF(ISNUMBER(SEARCH("AUXILIAR DE LIMPEZA - 75 H",tabParametros[[#This Row],[Função]],1)),
SUMIF(tabLimpGeral[TIPO],"Produto",tabLimpGeral[VALOR UNITÁRIO P/ HORA (R$)])*75,
IF(ISNUMBER(SEARCH("AUXILIAR DE LIMPEZA - 110 H",tabParametros[[#This Row],[Função]],1)),
SUMIF(tabLimpGeral[TIPO],"Produto",tabLimpGeral[VALOR UNITÁRIO P/ HORA (R$)])*110,
IF(ISNUMBER(SEARCH("AUXILIAR DE LIMPEZA - 150 H",tabParametros[[#This Row],[Função]],1)),
SUMIF(tabLimpGeral[TIPO],"Produto",tabLimpGeral[VALOR UNITÁRIO P/ HORA (R$)])*150,
IF(ISNUMBER(SEARCH("AUXILIAR DE LIMPEZA - 220 H",tabParametros[[#This Row],[Função]],1)),
SUMIF(tabLimpGeral[TIPO],"Produto",tabLimpGeral[VALOR UNITÁRIO P/ HORA (R$)])*220,
IF(ISNUMBER(SEARCH("AUXILIAR DE LIMPEZA - 12 x 36",tabParametros[[#This Row],[Função]],1)),
SUMIF(tabLimpGeral[TIPO],"Produto",tabLimpGeral[VALOR UNITÁRIO P/ HORA (R$)])*220,
IF(ISNUMBER(SEARCH("Limpador de vidros - 220 h",tabParametros[[#This Row],[Função]],1)),
SUMIF(tabVidros[TIPO],"Produto",tabVidros[VALOR UNITÁRIO P/ POSTO (R$)]),
0))))))</f>
        <v>470.6396814404431</v>
      </c>
      <c r="BB128" s="281">
        <v>0</v>
      </c>
      <c r="BC128" s="236">
        <f>VLOOKUP(tabParametros[[#Headers],[Custos Indiretos]],tabOutrosCustos[],3,0)</f>
        <v>189.64880140242613</v>
      </c>
      <c r="BD128" s="236">
        <f>VLOOKUP(tabParametros[[#Headers],[Lucro]],tabOutrosCustos[],3,0)</f>
        <v>159.30499317803796</v>
      </c>
      <c r="BE128" s="235">
        <f>VLOOKUP(tabParametros[[#Headers],[COFINS]],tabImpostosNacionais[],2,0)</f>
        <v>7.5999999999999998E-2</v>
      </c>
      <c r="BF128" s="235">
        <f>VLOOKUP(tabParametros[[#Headers],[PIS]],tabImpostosNacionais[],2,0)</f>
        <v>1.6500000000000001E-2</v>
      </c>
      <c r="BG128" s="235">
        <f>VLOOKUP(tabParametros[[#This Row],[Comarca]],tabComarca[],4,0)</f>
        <v>0.04</v>
      </c>
      <c r="BH128" s="238">
        <f>IFERROR(VLOOKUP(tabParametros[[#This Row],[CCT DA CATEGORIA]],tabSindicatos[],11,0),"")</f>
        <v>45658</v>
      </c>
      <c r="BI128" s="289" t="str">
        <f>IFERROR(VLOOKUP(tabParametros[[#This Row],[CCT DA CATEGORIA]],tabSindicatos[],12,0),"")</f>
        <v>-</v>
      </c>
      <c r="BJ128" s="293" t="str">
        <f>IFERROR(VLOOKUP(tabParametros[[#This Row],[CCT DA CATEGORIA]],tabSindicatos[],13,0),"")</f>
        <v>-</v>
      </c>
    </row>
    <row r="129" spans="1:62" x14ac:dyDescent="0.25">
      <c r="A129" s="233" t="s">
        <v>1465</v>
      </c>
      <c r="B129" s="198" t="s">
        <v>117</v>
      </c>
      <c r="C129" s="198" t="s">
        <v>1244</v>
      </c>
      <c r="D129" s="198" t="str">
        <f>VLOOKUP(tabParametros[[#This Row],[Código do Posto]],tabPostos[],4,0)</f>
        <v>Alto Paranaiba</v>
      </c>
      <c r="E129" s="289" t="str">
        <f>VLOOKUP(tabParametros[[#This Row],[Código do Posto]],tabPostos[],5,0)</f>
        <v>Limpeza</v>
      </c>
      <c r="F129" s="289" t="str">
        <f>VLOOKUP(tabParametros[[#This Row],[Código do Posto]],tabPostos[],6,0)</f>
        <v>PGJ</v>
      </c>
      <c r="G129" s="289">
        <f>VLOOKUP(tabParametros[[#This Row],[Código do Posto]],tabPostos[],7,0)</f>
        <v>1</v>
      </c>
      <c r="H129" s="289">
        <f>VLOOKUP(tabParametros[[#This Row],[Código do Posto]],tabPostos[],8,0)</f>
        <v>0</v>
      </c>
      <c r="I129" s="234">
        <f>VLOOKUP(tabParametros[[#This Row],[Código do Posto]],tabPostos[],9,0)</f>
        <v>798.14</v>
      </c>
      <c r="J129" s="234">
        <f>IF(ISNUMBER(SEARCH("Eletricista",tabParametros[[#This Row],[Função]],1)),0.3*tabParametros[[#This Row],[Salário Base]],0)</f>
        <v>0</v>
      </c>
      <c r="K129" s="234">
        <f>IF(OR(ISNUMBER(SEARCH("Bombeiro Hidraulico",tabParametros[[#This Row],[Função]],1)),ISNUMBER(SEARCH("Jardineiro",tabParametros[[#This Row],[Função]],1)),ISNUMBER(SEARCH("Lavador de Veiculos",tabParametros[[#This Row],[Função]],1)),ISNUMBER(SEARCH("Marceneiro",tabParametros[[#This Row],[Função]],1)),ISNUMBER(SEARCH("Pintor",tabParametros[[#This Row],[Função]],1))),0.2*'BASE GERAL'!$R$4,0)</f>
        <v>0</v>
      </c>
      <c r="L129" s="234">
        <f>IF(AND(ISNUMBER(SEARCH("Noturno",tabParametros[[#This Row],[Função]],1)),tabParametros[[#This Row],[Comarca]]&lt;&gt;"Juiz de Fora"),tabParametros[[#This Row],[Salário Base]]/210*0.39*7*15.5,IF(ISNUMBER(SEARCH("Noturno",tabParametros[[#This Row],[Função]],1)),tabParametros[[#This Row],[Salário Base]]/210*0.2*8*15.5,0))</f>
        <v>0</v>
      </c>
      <c r="M129" s="234">
        <f>IF(ISNUMBER(SEARCH("Motorista II",tabParametros[[#This Row],[Função]],1)),0.25*tabParametros[[#This Row],[Salário Base]],0)</f>
        <v>0</v>
      </c>
      <c r="N129" s="250">
        <v>0</v>
      </c>
      <c r="O129" s="234">
        <f>IF(ISNUMBER(SEARCH("TECNOLOGIA DA INFORMACAO",tabParametros[[#This Row],[Função]],1)),0.0201*tabParametros[[#This Row],[Salário Base]],0)</f>
        <v>0</v>
      </c>
      <c r="P129" s="250" cm="1">
        <f t="array" ref="P129">_xlfn.IFS(
ISNUMBER(SEARCH("Auxiliar de Limpeza - 75 h",tabParametros[[#This Row],[Função]],1)),tabParametros[[#This Row],[Salário Base]]/75*0.75*30*0.12,
ISNUMBER(SEARCH("Auxiliar de Limpeza - 110 h",tabParametros[[#This Row],[Função]],1)),tabParametros[[#This Row],[Salário Base]]/110*1*30*0.12,
ISNUMBER(SEARCH("Auxiliar de Limpeza - 150 h",tabParametros[[#This Row],[Função]],1)),tabParametros[[#This Row],[Salário Base]]/150*1.5*30*0.12,
ISNUMBER(SEARCH("Auxiliar de Limpeza - 220 h",tabParametros[[#This Row],[Função]],1)),tabParametros[[#This Row],[Salário Base]]/220*2*30*0.12,
ISNUMBER(SEARCH("Auxiliar de Limpeza - 12 x 36",tabParametros[[#This Row],[Função]],1)),tabParametros[[#This Row],[Salário Base]]/220*2*30*0.12,
ISNUMBER(SEARCH("Auxiliar de Limpeza - 55 h",tabParametros[[#This Row],[Função]],1))=FALSE,0)</f>
        <v>26.120945454545453</v>
      </c>
      <c r="Q129" s="235">
        <f>VLOOKUP(tabParametros[[#Headers],[INSS]],tabImpostosNacionais[],2,0)</f>
        <v>0.2</v>
      </c>
      <c r="R129" s="235">
        <f>VLOOKUP(tabParametros[[#Headers],[SESI OU SESC]],tabImpostosNacionais[],2,0)</f>
        <v>1.4999999999999999E-2</v>
      </c>
      <c r="S129" s="235">
        <f>VLOOKUP(tabParametros[[#Headers],[SENAI OU SENAC]],tabImpostosNacionais[],2,0)</f>
        <v>0.01</v>
      </c>
      <c r="T129" s="235">
        <f>VLOOKUP(tabParametros[[#Headers],[INCRA]],tabImpostosNacionais[],2,0)</f>
        <v>2E-3</v>
      </c>
      <c r="U129" s="235">
        <f>VLOOKUP(tabParametros[[#Headers],[Salário Educação]],tabImpostosNacionais[],2,0)</f>
        <v>2.5000000000000001E-2</v>
      </c>
      <c r="V129" s="235">
        <f>VLOOKUP(tabParametros[[#Headers],[FGTS]],tabImpostosNacionais[],2,0)</f>
        <v>0.08</v>
      </c>
      <c r="W129" s="235">
        <f>VLOOKUP(tabParametros[[#Headers],[RAT Ajustado]],tabImpostosNacionais[],2,0)</f>
        <v>0.04</v>
      </c>
      <c r="X129" s="235">
        <f>VLOOKUP(tabParametros[[#Headers],[SEBRAE]],tabImpostosNacionais[],2,0)</f>
        <v>6.0000000000000001E-3</v>
      </c>
      <c r="Y129" s="235">
        <f t="shared" si="11"/>
        <v>8.3333333333333329E-2</v>
      </c>
      <c r="Z129" s="251">
        <f t="shared" si="12"/>
        <v>0.1111111111111111</v>
      </c>
      <c r="AA129" s="234">
        <f>VLOOKUP(tabParametros[[#This Row],[Comarca]],tabComarca[],5,0)</f>
        <v>6.4</v>
      </c>
      <c r="AB129" s="234">
        <f>IFERROR(VLOOKUP(tabParametros[[#This Row],[CCT DA CATEGORIA]],tabSindicatos[],6,0),0)</f>
        <v>0</v>
      </c>
      <c r="AC129" s="234">
        <f>IFERROR(VLOOKUP(tabParametros[[#This Row],[CCT DA CATEGORIA]],tabSindicatos[],7,0),0)</f>
        <v>387.79</v>
      </c>
      <c r="AD129" s="234" cm="1">
        <f t="array" ref="AD129">_xlfn.LET(
_xlpm.COMARCA, TRIM(UPPER(SUBSTITUTE(SUBSTITUTE(SUBSTITUTE(SUBSTITUTE(SUBSTITUTE(SUBSTITUTE(SUBSTITUTE(SUBSTITUTE(SUBSTITUTE(SUBSTITUTE(SUBSTITUTE(SUBSTITUTE(SUBSTITUTE(SUBSTITUTE(SUBSTITUTE(SUBSTITUTE(SUBSTITUTE(SUBSTITUTE(SUBSTITUTE(SUBSTITUTE(SUBSTITUTE(SUBSTITUTE(SUBSTITUTE(SUBSTITUTE(SUBSTITUTE(SUBSTITUTE(tabParametros[[#This Row],[Comarca]],"á","a"),"ã","a"),"â","a"),"é","e"),"ê","e"),"í","i"),"ó","o"),"õ","o"),"ô","o"),"ú","u"),"ç","c"),"Á","a"),"Ã","a"),"Â","a"),"É","e"),"Ê","e"),"Í","i"),"Ó","o"),"Õ","o"),"Ô","o"),"Ú","u"),"Ç","c"),"/MG","")," e ",", ")," ",""),".",""))),
_xlpm.MATRIZ_COMARCA, TRIM(UPPER(SUBSTITUTE(SUBSTITUTE(SUBSTITUTE(SUBSTITUTE(SUBSTITUTE(SUBSTITUTE(SUBSTITUTE(SUBSTITUTE(SUBSTITUTE(SUBSTITUTE(SUBSTITUTE(SUBSTITUTE(SUBSTITUTE(SUBSTITUTE(SUBSTITUTE(SUBSTITUTE(SUBSTITUTE(SUBSTITUTE(SUBSTITUTE(SUBSTITUTE(SUBSTITUTE(SUBSTITUTE(SUBSTITUTE(SUBSTITUTE(SUBSTITUTE(SUBSTITUTE(tabSindicatos[COMARCAS PAF],"á","a"),"ã","a"),"â","a"),"é","e"),"ê","e"),"í","i"),"ó","o"),"õ","o"),"ô","o"),"ú","u"),"ç","c"),"Á","a"),"Ã","a"),"Â","a"),"É","e"),"Ê","e"),"Í","i"),"Ó","o"),"Õ","o"),"Ô","o"),"Ú","u"),"Ç","c"),"/MG","")," e ",", ")," ",""),".",""))),
IFERROR(IF(_xlfn.XLOOKUP(tabParametros[[#This Row],[CCT DA CATEGORIA]],tabSindicatos[SINDICATOS],tabSindicatos[COMARCAS PAF])="",
VLOOKUP(tabParametros[[#This Row],[CCT DA CATEGORIA]],tabSindicatos[],8,0),
IF(ISNUMBER(SEARCH(TRIM(_xlpm.COMARCA),_xlfn.XLOOKUP(tabParametros[[#This Row],[CCT DA CATEGORIA]],tabSindicatos[SINDICATOS],_xlpm.MATRIZ_COMARCA),1)),VLOOKUP(tabParametros[[#This Row],[CCT DA CATEGORIA]],tabSindicatos[],8,0),0)
),0)
)</f>
        <v>42.97</v>
      </c>
      <c r="AE129" s="234">
        <f>IFERROR(VLOOKUP(tabParametros[[#This Row],[CCT DA CATEGORIA]],tabSindicatos[],9,0),0)</f>
        <v>0</v>
      </c>
      <c r="AF129" s="234">
        <f>IFERROR(VLOOKUP(tabParametros[[#This Row],[CCT DA CATEGORIA]],tabSindicatos[],10,0),0)</f>
        <v>0</v>
      </c>
      <c r="AG129" s="236">
        <f>VLOOKUP(tabParametros[[#Headers],[Seguro de Vida]],tabOutrosCustos[],3,0)</f>
        <v>3.36</v>
      </c>
      <c r="AH129" s="236">
        <f>IF(ISNUMBER(SEARCH("MOTORISTA",tabParametros[[#This Row],[Função]],1)),VLOOKUP("MOTORISTAS",tabDiarias[],2,0),IF(tabParametros[[#This Row],[Comarca]]="Belo Horizonte",VLOOKUP("LIMPEZA",tabDiarias[],2,0),0))</f>
        <v>0</v>
      </c>
      <c r="AI129" s="235">
        <f t="shared" si="13"/>
        <v>7.011766975308642E-3</v>
      </c>
      <c r="AJ129" s="237">
        <f>tabParametros[[#This Row],[FGTS]]*tabParametros[[#This Row],[Aviso Prévio Indenizado (API) e Reflexo do Aviso Prévio Indenizado]]</f>
        <v>5.609413580246914E-4</v>
      </c>
      <c r="AK129" s="237">
        <f>tabParametros[[#This Row],[FGTS]]*tabParametros[[#This Row],[Aviso Prévio Indenizado (API) e Reflexo do Aviso Prévio Indenizado]]*40%</f>
        <v>2.2437654320987658E-4</v>
      </c>
      <c r="AL129" s="235">
        <f t="shared" si="14"/>
        <v>3.5000000000000005E-3</v>
      </c>
      <c r="AM129" s="235">
        <f>tabParametros[[#This Row],[Aviso Prévio Trabalhado - APT]]*SUM(tabParametros[[#This Row],[INSS]:[SEBRAE]])</f>
        <v>1.3230000000000004E-3</v>
      </c>
      <c r="AN129" s="235">
        <f t="shared" si="15"/>
        <v>3.0577777777777773E-2</v>
      </c>
      <c r="AO129" s="235">
        <f t="shared" si="16"/>
        <v>8.3333333333333339E-4</v>
      </c>
      <c r="AP129" s="235">
        <f t="shared" si="17"/>
        <v>8.4444444444444437E-3</v>
      </c>
      <c r="AQ129" s="235">
        <f t="shared" si="18"/>
        <v>2.0277777777777777E-3</v>
      </c>
      <c r="AR129" s="235">
        <f t="shared" si="19"/>
        <v>1.7083333333333333E-4</v>
      </c>
      <c r="AS129" s="235">
        <f t="shared" si="20"/>
        <v>2.0833333333333335E-4</v>
      </c>
      <c r="AT129" s="235">
        <f t="shared" si="21"/>
        <v>1.2962962962962963E-3</v>
      </c>
      <c r="AU129" s="237">
        <f>SUM(tabParametros[[#This Row],[Ausência por Doença]:[Férias, Adicional de Férias e 13º  com empregada em gozo de Licença Maternidade]])*SUM(tabParametros[[#This Row],[INSS]:[SEBRAE]])</f>
        <v>4.5918250000000008E-3</v>
      </c>
      <c r="AV129" s="234">
        <f>IF(tabParametros[[#This Row],[Função]]="Porteiro - 220 h",SUM(tabParametros[[#This Row],[Salário Base]:[Adicional de Acúmulo de função]])/220*20*1.5,IF(ISNUMBER(SEARCH("12 x 36",tabParametros[[#This Row],[Função]],1)),SUM(tabParametros[[#This Row],[Salário Base]:[Adicional de Acúmulo de função]])/210*15.5*1.5,0))</f>
        <v>0</v>
      </c>
      <c r="AW129" s="234">
        <f>IF(tabParametros[[#This Row],[Vagas contratadas]]&gt;0,(SUM(tabParametros[[#This Row],[Salário Base]:[Adicional de Acúmulo de função]])*30%+SUM(tabParametros[[#This Row],[Vale - Alimentação]:[Seguro de Vida]]))/tabParametros[[#This Row],[Vagas contratadas]]*tabParametros[[#This Row],[Vagas suspensas]],0)</f>
        <v>0</v>
      </c>
      <c r="AX129" s="234">
        <f>SUMIF(tabUniformes[Cargo],tabParametros[[#This Row],[Função]],tabUniformes[Valor unit. Mensal])</f>
        <v>62.806666666666665</v>
      </c>
      <c r="AY129" s="281">
        <f>IF(ISNUMBER(SEARCH("AUXILIAR DE LIMPEZA - 75 H",tabParametros[[#This Row],[Função]],1)),
SUMIF(tabLimpGeral[TIPO],"Material",tabLimpGeral[VALOR UNITÁRIO P/ HORA (R$)])*75,
IF(ISNUMBER(SEARCH("AUXILIAR DE LIMPEZA - 110 H",tabParametros[[#This Row],[Função]],1)),
SUMIF(tabLimpGeral[TIPO],"Material",tabLimpGeral[VALOR UNITÁRIO P/ HORA (R$)])*110,
IF(ISNUMBER(SEARCH("AUXILIAR DE LIMPEZA - 150 H",tabParametros[[#This Row],[Função]],1)),
SUMIF(tabLimpGeral[TIPO],"Material",tabLimpGeral[VALOR UNITÁRIO P/ HORA (R$)])*150,
IF(ISNUMBER(SEARCH("AUXILIAR DE LIMPEZA - 220 H",tabParametros[[#This Row],[Função]],1)),
SUMIF(tabLimpGeral[TIPO],"Material",tabLimpGeral[VALOR UNITÁRIO P/ HORA (R$)])*220,
IF(ISNUMBER(SEARCH("AUXILIAR DE LIMPEZA - 12 x 36",tabParametros[[#This Row],[Função]],1)),
SUMIF(tabLimpGeral[TIPO],"Material",tabLimpGeral[VALOR UNITÁRIO P/ HORA (R$)])*220,
IF(ISNUMBER(SEARCH("Limpador de vidros - 220 h",tabParametros[[#This Row],[Função]],1)),
SUMIF(tabVidros[TIPO],"Material",tabVidros[VALOR UNITÁRIO P/ POSTO (R$)]),
0))))))</f>
        <v>17.759106479291944</v>
      </c>
      <c r="AZ129" s="281">
        <f>IF(ISNUMBER(SEARCH("AUXILIAR DE LIMPEZA - 75 H",tabParametros[[#This Row],[Função]],1)),
SUMIF(tabLimpGeral[TIPO],"Equipamento",tabLimpGeral[VALOR UNITÁRIO P/ HORA (R$)])*75,
IF(ISNUMBER(SEARCH("AUXILIAR DE LIMPEZA - 110 H",tabParametros[[#This Row],[Função]],1)),
SUMIF(tabLimpGeral[TIPO],"Equipamento",tabLimpGeral[VALOR UNITÁRIO P/ HORA (R$)])*110,
IF(ISNUMBER(SEARCH("AUXILIAR DE LIMPEZA - 150 H",tabParametros[[#This Row],[Função]],1)),
SUMIF(tabLimpGeral[TIPO],"Equipamento",tabLimpGeral[VALOR UNITÁRIO P/ HORA (R$)])*150,
IF(ISNUMBER(SEARCH("AUXILIAR DE LIMPEZA - 220 H",tabParametros[[#This Row],[Função]],1)),
SUMIF(tabLimpGeral[TIPO],"Equipamento",tabLimpGeral[VALOR UNITÁRIO P/ HORA (R$)])*220,
IF(ISNUMBER(SEARCH("AUXILIAR DE LIMPEZA - 12 x 36",tabParametros[[#This Row],[Função]],1)),
SUMIF(tabLimpGeral[TIPO],"Equipamento",tabLimpGeral[VALOR UNITÁRIO P/ HORA (R$)])*220,
IF(ISNUMBER(SEARCH("Limpador de vidros - 220 h",tabParametros[[#This Row],[Função]],1)),
SUMIF(tabVidros[TIPO],"Equipamento",tabVidros[VALOR UNITÁRIO P/ POSTO (R$)]),
0))))))</f>
        <v>32.264696957412788</v>
      </c>
      <c r="BA129" s="281">
        <f>IF(ISNUMBER(SEARCH("AUXILIAR DE LIMPEZA - 75 H",tabParametros[[#This Row],[Função]],1)),
SUMIF(tabLimpGeral[TIPO],"Produto",tabLimpGeral[VALOR UNITÁRIO P/ HORA (R$)])*75,
IF(ISNUMBER(SEARCH("AUXILIAR DE LIMPEZA - 110 H",tabParametros[[#This Row],[Função]],1)),
SUMIF(tabLimpGeral[TIPO],"Produto",tabLimpGeral[VALOR UNITÁRIO P/ HORA (R$)])*110,
IF(ISNUMBER(SEARCH("AUXILIAR DE LIMPEZA - 150 H",tabParametros[[#This Row],[Função]],1)),
SUMIF(tabLimpGeral[TIPO],"Produto",tabLimpGeral[VALOR UNITÁRIO P/ HORA (R$)])*150,
IF(ISNUMBER(SEARCH("AUXILIAR DE LIMPEZA - 220 H",tabParametros[[#This Row],[Função]],1)),
SUMIF(tabLimpGeral[TIPO],"Produto",tabLimpGeral[VALOR UNITÁRIO P/ HORA (R$)])*220,
IF(ISNUMBER(SEARCH("AUXILIAR DE LIMPEZA - 12 x 36",tabParametros[[#This Row],[Função]],1)),
SUMIF(tabLimpGeral[TIPO],"Produto",tabLimpGeral[VALOR UNITÁRIO P/ HORA (R$)])*220,
IF(ISNUMBER(SEARCH("Limpador de vidros - 220 h",tabParametros[[#This Row],[Função]],1)),
SUMIF(tabVidros[TIPO],"Produto",tabVidros[VALOR UNITÁRIO P/ POSTO (R$)]),
0))))))</f>
        <v>345.13576638965827</v>
      </c>
      <c r="BB129" s="281">
        <v>0</v>
      </c>
      <c r="BC129" s="236">
        <f>VLOOKUP(tabParametros[[#Headers],[Custos Indiretos]],tabOutrosCustos[],3,0)</f>
        <v>189.64880140242613</v>
      </c>
      <c r="BD129" s="236">
        <f>VLOOKUP(tabParametros[[#Headers],[Lucro]],tabOutrosCustos[],3,0)</f>
        <v>159.30499317803796</v>
      </c>
      <c r="BE129" s="235">
        <f>VLOOKUP(tabParametros[[#Headers],[COFINS]],tabImpostosNacionais[],2,0)</f>
        <v>7.5999999999999998E-2</v>
      </c>
      <c r="BF129" s="235">
        <f>VLOOKUP(tabParametros[[#Headers],[PIS]],tabImpostosNacionais[],2,0)</f>
        <v>1.6500000000000001E-2</v>
      </c>
      <c r="BG129" s="235">
        <f>VLOOKUP(tabParametros[[#This Row],[Comarca]],tabComarca[],4,0)</f>
        <v>0.03</v>
      </c>
      <c r="BH129" s="238">
        <f>IFERROR(VLOOKUP(tabParametros[[#This Row],[CCT DA CATEGORIA]],tabSindicatos[],11,0),"")</f>
        <v>45658</v>
      </c>
      <c r="BI129" s="289" t="str">
        <f>IFERROR(VLOOKUP(tabParametros[[#This Row],[CCT DA CATEGORIA]],tabSindicatos[],12,0),"")</f>
        <v>-</v>
      </c>
      <c r="BJ129" s="293" t="str">
        <f>IFERROR(VLOOKUP(tabParametros[[#This Row],[CCT DA CATEGORIA]],tabSindicatos[],13,0),"")</f>
        <v>-</v>
      </c>
    </row>
    <row r="130" spans="1:62" x14ac:dyDescent="0.25">
      <c r="A130" s="233" t="s">
        <v>1466</v>
      </c>
      <c r="B130" s="198" t="s">
        <v>118</v>
      </c>
      <c r="C130" s="198" t="s">
        <v>1247</v>
      </c>
      <c r="D130" s="198" t="str">
        <f>VLOOKUP(tabParametros[[#This Row],[Código do Posto]],tabPostos[],4,0)</f>
        <v>Fethemg Interior</v>
      </c>
      <c r="E130" s="289" t="str">
        <f>VLOOKUP(tabParametros[[#This Row],[Código do Posto]],tabPostos[],5,0)</f>
        <v>Limpeza</v>
      </c>
      <c r="F130" s="289" t="str">
        <f>VLOOKUP(tabParametros[[#This Row],[Código do Posto]],tabPostos[],6,0)</f>
        <v>PGJ</v>
      </c>
      <c r="G130" s="289">
        <f>VLOOKUP(tabParametros[[#This Row],[Código do Posto]],tabPostos[],7,0)</f>
        <v>1</v>
      </c>
      <c r="H130" s="289">
        <f>VLOOKUP(tabParametros[[#This Row],[Código do Posto]],tabPostos[],8,0)</f>
        <v>0</v>
      </c>
      <c r="I130" s="234">
        <f>VLOOKUP(tabParametros[[#This Row],[Código do Posto]],tabPostos[],9,0)</f>
        <v>544.17999999999995</v>
      </c>
      <c r="J130" s="234">
        <f>IF(ISNUMBER(SEARCH("Eletricista",tabParametros[[#This Row],[Função]],1)),0.3*tabParametros[[#This Row],[Salário Base]],0)</f>
        <v>0</v>
      </c>
      <c r="K130" s="234">
        <f>IF(OR(ISNUMBER(SEARCH("Bombeiro Hidraulico",tabParametros[[#This Row],[Função]],1)),ISNUMBER(SEARCH("Jardineiro",tabParametros[[#This Row],[Função]],1)),ISNUMBER(SEARCH("Lavador de Veiculos",tabParametros[[#This Row],[Função]],1)),ISNUMBER(SEARCH("Marceneiro",tabParametros[[#This Row],[Função]],1)),ISNUMBER(SEARCH("Pintor",tabParametros[[#This Row],[Função]],1))),0.2*'BASE GERAL'!$R$4,0)</f>
        <v>0</v>
      </c>
      <c r="L130" s="234">
        <f>IF(AND(ISNUMBER(SEARCH("Noturno",tabParametros[[#This Row],[Função]],1)),tabParametros[[#This Row],[Comarca]]&lt;&gt;"Juiz de Fora"),tabParametros[[#This Row],[Salário Base]]/210*0.39*7*15.5,IF(ISNUMBER(SEARCH("Noturno",tabParametros[[#This Row],[Função]],1)),tabParametros[[#This Row],[Salário Base]]/210*0.2*8*15.5,0))</f>
        <v>0</v>
      </c>
      <c r="M130" s="234">
        <f>IF(ISNUMBER(SEARCH("Motorista II",tabParametros[[#This Row],[Função]],1)),0.25*tabParametros[[#This Row],[Salário Base]],0)</f>
        <v>0</v>
      </c>
      <c r="N130" s="250">
        <v>0</v>
      </c>
      <c r="O130" s="234">
        <f>IF(ISNUMBER(SEARCH("TECNOLOGIA DA INFORMACAO",tabParametros[[#This Row],[Função]],1)),0.0201*tabParametros[[#This Row],[Salário Base]],0)</f>
        <v>0</v>
      </c>
      <c r="P130" s="250" cm="1">
        <f t="array" ref="P130">_xlfn.IFS(
ISNUMBER(SEARCH("Auxiliar de Limpeza - 75 h",tabParametros[[#This Row],[Função]],1)),tabParametros[[#This Row],[Salário Base]]/75*0.75*30*0.12,
ISNUMBER(SEARCH("Auxiliar de Limpeza - 110 h",tabParametros[[#This Row],[Função]],1)),tabParametros[[#This Row],[Salário Base]]/110*1*30*0.12,
ISNUMBER(SEARCH("Auxiliar de Limpeza - 150 h",tabParametros[[#This Row],[Função]],1)),tabParametros[[#This Row],[Salário Base]]/150*1.5*30*0.12,
ISNUMBER(SEARCH("Auxiliar de Limpeza - 220 h",tabParametros[[#This Row],[Função]],1)),tabParametros[[#This Row],[Salário Base]]/220*2*30*0.12,
ISNUMBER(SEARCH("Auxiliar de Limpeza - 12 x 36",tabParametros[[#This Row],[Função]],1)),tabParametros[[#This Row],[Salário Base]]/220*2*30*0.12,
ISNUMBER(SEARCH("Auxiliar de Limpeza - 55 h",tabParametros[[#This Row],[Função]],1))=FALSE,0)</f>
        <v>19.590479999999999</v>
      </c>
      <c r="Q130" s="235">
        <f>VLOOKUP(tabParametros[[#Headers],[INSS]],tabImpostosNacionais[],2,0)</f>
        <v>0.2</v>
      </c>
      <c r="R130" s="235">
        <f>VLOOKUP(tabParametros[[#Headers],[SESI OU SESC]],tabImpostosNacionais[],2,0)</f>
        <v>1.4999999999999999E-2</v>
      </c>
      <c r="S130" s="235">
        <f>VLOOKUP(tabParametros[[#Headers],[SENAI OU SENAC]],tabImpostosNacionais[],2,0)</f>
        <v>0.01</v>
      </c>
      <c r="T130" s="235">
        <f>VLOOKUP(tabParametros[[#Headers],[INCRA]],tabImpostosNacionais[],2,0)</f>
        <v>2E-3</v>
      </c>
      <c r="U130" s="235">
        <f>VLOOKUP(tabParametros[[#Headers],[Salário Educação]],tabImpostosNacionais[],2,0)</f>
        <v>2.5000000000000001E-2</v>
      </c>
      <c r="V130" s="235">
        <f>VLOOKUP(tabParametros[[#Headers],[FGTS]],tabImpostosNacionais[],2,0)</f>
        <v>0.08</v>
      </c>
      <c r="W130" s="235">
        <f>VLOOKUP(tabParametros[[#Headers],[RAT Ajustado]],tabImpostosNacionais[],2,0)</f>
        <v>0.04</v>
      </c>
      <c r="X130" s="235">
        <f>VLOOKUP(tabParametros[[#Headers],[SEBRAE]],tabImpostosNacionais[],2,0)</f>
        <v>6.0000000000000001E-3</v>
      </c>
      <c r="Y130" s="235">
        <f t="shared" si="11"/>
        <v>8.3333333333333329E-2</v>
      </c>
      <c r="Z130" s="251">
        <f t="shared" si="12"/>
        <v>0.1111111111111111</v>
      </c>
      <c r="AA130" s="234">
        <f>VLOOKUP(tabParametros[[#This Row],[Comarca]],tabComarca[],5,0)</f>
        <v>6.4</v>
      </c>
      <c r="AB130" s="234">
        <f>IFERROR(VLOOKUP(tabParametros[[#This Row],[CCT DA CATEGORIA]],tabSindicatos[],6,0),0)</f>
        <v>29.15</v>
      </c>
      <c r="AC130" s="234">
        <f>IFERROR(VLOOKUP(tabParametros[[#This Row],[CCT DA CATEGORIA]],tabSindicatos[],7,0),0)</f>
        <v>0</v>
      </c>
      <c r="AD130" s="234" cm="1">
        <f t="array" ref="AD130">_xlfn.LET(
_xlpm.COMARCA, TRIM(UPPER(SUBSTITUTE(SUBSTITUTE(SUBSTITUTE(SUBSTITUTE(SUBSTITUTE(SUBSTITUTE(SUBSTITUTE(SUBSTITUTE(SUBSTITUTE(SUBSTITUTE(SUBSTITUTE(SUBSTITUTE(SUBSTITUTE(SUBSTITUTE(SUBSTITUTE(SUBSTITUTE(SUBSTITUTE(SUBSTITUTE(SUBSTITUTE(SUBSTITUTE(SUBSTITUTE(SUBSTITUTE(SUBSTITUTE(SUBSTITUTE(SUBSTITUTE(SUBSTITUTE(tabParametros[[#This Row],[Comarca]],"á","a"),"ã","a"),"â","a"),"é","e"),"ê","e"),"í","i"),"ó","o"),"õ","o"),"ô","o"),"ú","u"),"ç","c"),"Á","a"),"Ã","a"),"Â","a"),"É","e"),"Ê","e"),"Í","i"),"Ó","o"),"Õ","o"),"Ô","o"),"Ú","u"),"Ç","c"),"/MG","")," e ",", ")," ",""),".",""))),
_xlpm.MATRIZ_COMARCA, TRIM(UPPER(SUBSTITUTE(SUBSTITUTE(SUBSTITUTE(SUBSTITUTE(SUBSTITUTE(SUBSTITUTE(SUBSTITUTE(SUBSTITUTE(SUBSTITUTE(SUBSTITUTE(SUBSTITUTE(SUBSTITUTE(SUBSTITUTE(SUBSTITUTE(SUBSTITUTE(SUBSTITUTE(SUBSTITUTE(SUBSTITUTE(SUBSTITUTE(SUBSTITUTE(SUBSTITUTE(SUBSTITUTE(SUBSTITUTE(SUBSTITUTE(SUBSTITUTE(SUBSTITUTE(tabSindicatos[COMARCAS PAF],"á","a"),"ã","a"),"â","a"),"é","e"),"ê","e"),"í","i"),"ó","o"),"õ","o"),"ô","o"),"ú","u"),"ç","c"),"Á","a"),"Ã","a"),"Â","a"),"É","e"),"Ê","e"),"Í","i"),"Ó","o"),"Õ","o"),"Ô","o"),"Ú","u"),"Ç","c"),"/MG","")," e ",", ")," ",""),".",""))),
IFERROR(IF(_xlfn.XLOOKUP(tabParametros[[#This Row],[CCT DA CATEGORIA]],tabSindicatos[SINDICATOS],tabSindicatos[COMARCAS PAF])="",
VLOOKUP(tabParametros[[#This Row],[CCT DA CATEGORIA]],tabSindicatos[],8,0),
IF(ISNUMBER(SEARCH(TRIM(_xlpm.COMARCA),_xlfn.XLOOKUP(tabParametros[[#This Row],[CCT DA CATEGORIA]],tabSindicatos[SINDICATOS],_xlpm.MATRIZ_COMARCA),1)),VLOOKUP(tabParametros[[#This Row],[CCT DA CATEGORIA]],tabSindicatos[],8,0),0)
),0)
)</f>
        <v>0</v>
      </c>
      <c r="AE130" s="234">
        <f>IFERROR(VLOOKUP(tabParametros[[#This Row],[CCT DA CATEGORIA]],tabSindicatos[],9,0),0)</f>
        <v>15.07</v>
      </c>
      <c r="AF130" s="234">
        <f>IFERROR(VLOOKUP(tabParametros[[#This Row],[CCT DA CATEGORIA]],tabSindicatos[],10,0),0)</f>
        <v>0</v>
      </c>
      <c r="AG130" s="236">
        <f>VLOOKUP(tabParametros[[#Headers],[Seguro de Vida]],tabOutrosCustos[],3,0)</f>
        <v>3.36</v>
      </c>
      <c r="AH130" s="236">
        <f>IF(ISNUMBER(SEARCH("MOTORISTA",tabParametros[[#This Row],[Função]],1)),VLOOKUP("MOTORISTAS",tabDiarias[],2,0),IF(tabParametros[[#This Row],[Comarca]]="Belo Horizonte",VLOOKUP("LIMPEZA",tabDiarias[],2,0),0))</f>
        <v>0</v>
      </c>
      <c r="AI130" s="235">
        <f t="shared" si="13"/>
        <v>7.011766975308642E-3</v>
      </c>
      <c r="AJ130" s="237">
        <f>tabParametros[[#This Row],[FGTS]]*tabParametros[[#This Row],[Aviso Prévio Indenizado (API) e Reflexo do Aviso Prévio Indenizado]]</f>
        <v>5.609413580246914E-4</v>
      </c>
      <c r="AK130" s="237">
        <f>tabParametros[[#This Row],[FGTS]]*tabParametros[[#This Row],[Aviso Prévio Indenizado (API) e Reflexo do Aviso Prévio Indenizado]]*40%</f>
        <v>2.2437654320987658E-4</v>
      </c>
      <c r="AL130" s="235">
        <f t="shared" si="14"/>
        <v>3.5000000000000005E-3</v>
      </c>
      <c r="AM130" s="235">
        <f>tabParametros[[#This Row],[Aviso Prévio Trabalhado - APT]]*SUM(tabParametros[[#This Row],[INSS]:[SEBRAE]])</f>
        <v>1.3230000000000004E-3</v>
      </c>
      <c r="AN130" s="235">
        <f t="shared" si="15"/>
        <v>3.0577777777777773E-2</v>
      </c>
      <c r="AO130" s="235">
        <f t="shared" si="16"/>
        <v>8.3333333333333339E-4</v>
      </c>
      <c r="AP130" s="235">
        <f t="shared" si="17"/>
        <v>8.4444444444444437E-3</v>
      </c>
      <c r="AQ130" s="235">
        <f t="shared" si="18"/>
        <v>2.0277777777777777E-3</v>
      </c>
      <c r="AR130" s="235">
        <f t="shared" si="19"/>
        <v>1.7083333333333333E-4</v>
      </c>
      <c r="AS130" s="235">
        <f t="shared" si="20"/>
        <v>2.0833333333333335E-4</v>
      </c>
      <c r="AT130" s="235">
        <f t="shared" si="21"/>
        <v>1.2962962962962963E-3</v>
      </c>
      <c r="AU130" s="237">
        <f>SUM(tabParametros[[#This Row],[Ausência por Doença]:[Férias, Adicional de Férias e 13º  com empregada em gozo de Licença Maternidade]])*SUM(tabParametros[[#This Row],[INSS]:[SEBRAE]])</f>
        <v>4.5918250000000008E-3</v>
      </c>
      <c r="AV130" s="234">
        <f>IF(tabParametros[[#This Row],[Função]]="Porteiro - 220 h",SUM(tabParametros[[#This Row],[Salário Base]:[Adicional de Acúmulo de função]])/220*20*1.5,IF(ISNUMBER(SEARCH("12 x 36",tabParametros[[#This Row],[Função]],1)),SUM(tabParametros[[#This Row],[Salário Base]:[Adicional de Acúmulo de função]])/210*15.5*1.5,0))</f>
        <v>0</v>
      </c>
      <c r="AW130" s="234">
        <f>IF(tabParametros[[#This Row],[Vagas contratadas]]&gt;0,(SUM(tabParametros[[#This Row],[Salário Base]:[Adicional de Acúmulo de função]])*30%+SUM(tabParametros[[#This Row],[Vale - Alimentação]:[Seguro de Vida]]))/tabParametros[[#This Row],[Vagas contratadas]]*tabParametros[[#This Row],[Vagas suspensas]],0)</f>
        <v>0</v>
      </c>
      <c r="AX130" s="234">
        <f>SUMIF(tabUniformes[Cargo],tabParametros[[#This Row],[Função]],tabUniformes[Valor unit. Mensal])</f>
        <v>62.806666666666665</v>
      </c>
      <c r="AY130" s="281">
        <f>IF(ISNUMBER(SEARCH("AUXILIAR DE LIMPEZA - 75 H",tabParametros[[#This Row],[Função]],1)),
SUMIF(tabLimpGeral[TIPO],"Material",tabLimpGeral[VALOR UNITÁRIO P/ HORA (R$)])*75,
IF(ISNUMBER(SEARCH("AUXILIAR DE LIMPEZA - 110 H",tabParametros[[#This Row],[Função]],1)),
SUMIF(tabLimpGeral[TIPO],"Material",tabLimpGeral[VALOR UNITÁRIO P/ HORA (R$)])*110,
IF(ISNUMBER(SEARCH("AUXILIAR DE LIMPEZA - 150 H",tabParametros[[#This Row],[Função]],1)),
SUMIF(tabLimpGeral[TIPO],"Material",tabLimpGeral[VALOR UNITÁRIO P/ HORA (R$)])*150,
IF(ISNUMBER(SEARCH("AUXILIAR DE LIMPEZA - 220 H",tabParametros[[#This Row],[Função]],1)),
SUMIF(tabLimpGeral[TIPO],"Material",tabLimpGeral[VALOR UNITÁRIO P/ HORA (R$)])*220,
IF(ISNUMBER(SEARCH("AUXILIAR DE LIMPEZA - 12 x 36",tabParametros[[#This Row],[Função]],1)),
SUMIF(tabLimpGeral[TIPO],"Material",tabLimpGeral[VALOR UNITÁRIO P/ HORA (R$)])*220,
IF(ISNUMBER(SEARCH("Limpador de vidros - 220 h",tabParametros[[#This Row],[Função]],1)),
SUMIF(tabVidros[TIPO],"Material",tabVidros[VALOR UNITÁRIO P/ POSTO (R$)]),
0))))))</f>
        <v>12.108481690426325</v>
      </c>
      <c r="AZ130" s="281">
        <f>IF(ISNUMBER(SEARCH("AUXILIAR DE LIMPEZA - 75 H",tabParametros[[#This Row],[Função]],1)),
SUMIF(tabLimpGeral[TIPO],"Equipamento",tabLimpGeral[VALOR UNITÁRIO P/ HORA (R$)])*75,
IF(ISNUMBER(SEARCH("AUXILIAR DE LIMPEZA - 110 H",tabParametros[[#This Row],[Função]],1)),
SUMIF(tabLimpGeral[TIPO],"Equipamento",tabLimpGeral[VALOR UNITÁRIO P/ HORA (R$)])*110,
IF(ISNUMBER(SEARCH("AUXILIAR DE LIMPEZA - 150 H",tabParametros[[#This Row],[Função]],1)),
SUMIF(tabLimpGeral[TIPO],"Equipamento",tabLimpGeral[VALOR UNITÁRIO P/ HORA (R$)])*150,
IF(ISNUMBER(SEARCH("AUXILIAR DE LIMPEZA - 220 H",tabParametros[[#This Row],[Função]],1)),
SUMIF(tabLimpGeral[TIPO],"Equipamento",tabLimpGeral[VALOR UNITÁRIO P/ HORA (R$)])*220,
IF(ISNUMBER(SEARCH("AUXILIAR DE LIMPEZA - 12 x 36",tabParametros[[#This Row],[Função]],1)),
SUMIF(tabLimpGeral[TIPO],"Equipamento",tabLimpGeral[VALOR UNITÁRIO P/ HORA (R$)])*220,
IF(ISNUMBER(SEARCH("Limpador de vidros - 220 h",tabParametros[[#This Row],[Função]],1)),
SUMIF(tabVidros[TIPO],"Equipamento",tabVidros[VALOR UNITÁRIO P/ POSTO (R$)]),
0))))))</f>
        <v>21.998657016417809</v>
      </c>
      <c r="BA130" s="281">
        <f>IF(ISNUMBER(SEARCH("AUXILIAR DE LIMPEZA - 75 H",tabParametros[[#This Row],[Função]],1)),
SUMIF(tabLimpGeral[TIPO],"Produto",tabLimpGeral[VALOR UNITÁRIO P/ HORA (R$)])*75,
IF(ISNUMBER(SEARCH("AUXILIAR DE LIMPEZA - 110 H",tabParametros[[#This Row],[Função]],1)),
SUMIF(tabLimpGeral[TIPO],"Produto",tabLimpGeral[VALOR UNITÁRIO P/ HORA (R$)])*110,
IF(ISNUMBER(SEARCH("AUXILIAR DE LIMPEZA - 150 H",tabParametros[[#This Row],[Função]],1)),
SUMIF(tabLimpGeral[TIPO],"Produto",tabLimpGeral[VALOR UNITÁRIO P/ HORA (R$)])*150,
IF(ISNUMBER(SEARCH("AUXILIAR DE LIMPEZA - 220 H",tabParametros[[#This Row],[Função]],1)),
SUMIF(tabLimpGeral[TIPO],"Produto",tabLimpGeral[VALOR UNITÁRIO P/ HORA (R$)])*220,
IF(ISNUMBER(SEARCH("AUXILIAR DE LIMPEZA - 12 x 36",tabParametros[[#This Row],[Função]],1)),
SUMIF(tabLimpGeral[TIPO],"Produto",tabLimpGeral[VALOR UNITÁRIO P/ HORA (R$)])*220,
IF(ISNUMBER(SEARCH("Limpador de vidros - 220 h",tabParametros[[#This Row],[Função]],1)),
SUMIF(tabVidros[TIPO],"Produto",tabVidros[VALOR UNITÁRIO P/ POSTO (R$)]),
0))))))</f>
        <v>235.31984072022155</v>
      </c>
      <c r="BB130" s="281">
        <v>0</v>
      </c>
      <c r="BC130" s="236">
        <f>VLOOKUP(tabParametros[[#Headers],[Custos Indiretos]],tabOutrosCustos[],3,0)</f>
        <v>189.64880140242613</v>
      </c>
      <c r="BD130" s="236">
        <f>VLOOKUP(tabParametros[[#Headers],[Lucro]],tabOutrosCustos[],3,0)</f>
        <v>159.30499317803796</v>
      </c>
      <c r="BE130" s="235">
        <f>VLOOKUP(tabParametros[[#Headers],[COFINS]],tabImpostosNacionais[],2,0)</f>
        <v>7.5999999999999998E-2</v>
      </c>
      <c r="BF130" s="235">
        <f>VLOOKUP(tabParametros[[#Headers],[PIS]],tabImpostosNacionais[],2,0)</f>
        <v>1.6500000000000001E-2</v>
      </c>
      <c r="BG130" s="235">
        <f>VLOOKUP(tabParametros[[#This Row],[Comarca]],tabComarca[],4,0)</f>
        <v>0.04</v>
      </c>
      <c r="BH130" s="238">
        <f>IFERROR(VLOOKUP(tabParametros[[#This Row],[CCT DA CATEGORIA]],tabSindicatos[],11,0),"")</f>
        <v>45658</v>
      </c>
      <c r="BI130" s="289" t="str">
        <f>IFERROR(VLOOKUP(tabParametros[[#This Row],[CCT DA CATEGORIA]],tabSindicatos[],12,0),"")</f>
        <v>-</v>
      </c>
      <c r="BJ130" s="293" t="str">
        <f>IFERROR(VLOOKUP(tabParametros[[#This Row],[CCT DA CATEGORIA]],tabSindicatos[],13,0),"")</f>
        <v>-</v>
      </c>
    </row>
    <row r="131" spans="1:62" x14ac:dyDescent="0.25">
      <c r="A131" s="233" t="s">
        <v>1467</v>
      </c>
      <c r="B131" s="198" t="s">
        <v>119</v>
      </c>
      <c r="C131" s="198" t="s">
        <v>1247</v>
      </c>
      <c r="D131" s="198" t="str">
        <f>VLOOKUP(tabParametros[[#This Row],[Código do Posto]],tabPostos[],4,0)</f>
        <v>Fethemg Interior</v>
      </c>
      <c r="E131" s="289" t="str">
        <f>VLOOKUP(tabParametros[[#This Row],[Código do Posto]],tabPostos[],5,0)</f>
        <v>Limpeza</v>
      </c>
      <c r="F131" s="289" t="str">
        <f>VLOOKUP(tabParametros[[#This Row],[Código do Posto]],tabPostos[],6,0)</f>
        <v>PGJ</v>
      </c>
      <c r="G131" s="289">
        <f>VLOOKUP(tabParametros[[#This Row],[Código do Posto]],tabPostos[],7,0)</f>
        <v>1</v>
      </c>
      <c r="H131" s="289">
        <f>VLOOKUP(tabParametros[[#This Row],[Código do Posto]],tabPostos[],8,0)</f>
        <v>0</v>
      </c>
      <c r="I131" s="234">
        <f>VLOOKUP(tabParametros[[#This Row],[Código do Posto]],tabPostos[],9,0)</f>
        <v>544.17999999999995</v>
      </c>
      <c r="J131" s="234">
        <f>IF(ISNUMBER(SEARCH("Eletricista",tabParametros[[#This Row],[Função]],1)),0.3*tabParametros[[#This Row],[Salário Base]],0)</f>
        <v>0</v>
      </c>
      <c r="K131" s="234">
        <f>IF(OR(ISNUMBER(SEARCH("Bombeiro Hidraulico",tabParametros[[#This Row],[Função]],1)),ISNUMBER(SEARCH("Jardineiro",tabParametros[[#This Row],[Função]],1)),ISNUMBER(SEARCH("Lavador de Veiculos",tabParametros[[#This Row],[Função]],1)),ISNUMBER(SEARCH("Marceneiro",tabParametros[[#This Row],[Função]],1)),ISNUMBER(SEARCH("Pintor",tabParametros[[#This Row],[Função]],1))),0.2*'BASE GERAL'!$R$4,0)</f>
        <v>0</v>
      </c>
      <c r="L131" s="234">
        <f>IF(AND(ISNUMBER(SEARCH("Noturno",tabParametros[[#This Row],[Função]],1)),tabParametros[[#This Row],[Comarca]]&lt;&gt;"Juiz de Fora"),tabParametros[[#This Row],[Salário Base]]/210*0.39*7*15.5,IF(ISNUMBER(SEARCH("Noturno",tabParametros[[#This Row],[Função]],1)),tabParametros[[#This Row],[Salário Base]]/210*0.2*8*15.5,0))</f>
        <v>0</v>
      </c>
      <c r="M131" s="234">
        <f>IF(ISNUMBER(SEARCH("Motorista II",tabParametros[[#This Row],[Função]],1)),0.25*tabParametros[[#This Row],[Salário Base]],0)</f>
        <v>0</v>
      </c>
      <c r="N131" s="250">
        <v>0</v>
      </c>
      <c r="O131" s="234">
        <f>IF(ISNUMBER(SEARCH("TECNOLOGIA DA INFORMACAO",tabParametros[[#This Row],[Função]],1)),0.0201*tabParametros[[#This Row],[Salário Base]],0)</f>
        <v>0</v>
      </c>
      <c r="P131" s="250" cm="1">
        <f t="array" ref="P131">_xlfn.IFS(
ISNUMBER(SEARCH("Auxiliar de Limpeza - 75 h",tabParametros[[#This Row],[Função]],1)),tabParametros[[#This Row],[Salário Base]]/75*0.75*30*0.12,
ISNUMBER(SEARCH("Auxiliar de Limpeza - 110 h",tabParametros[[#This Row],[Função]],1)),tabParametros[[#This Row],[Salário Base]]/110*1*30*0.12,
ISNUMBER(SEARCH("Auxiliar de Limpeza - 150 h",tabParametros[[#This Row],[Função]],1)),tabParametros[[#This Row],[Salário Base]]/150*1.5*30*0.12,
ISNUMBER(SEARCH("Auxiliar de Limpeza - 220 h",tabParametros[[#This Row],[Função]],1)),tabParametros[[#This Row],[Salário Base]]/220*2*30*0.12,
ISNUMBER(SEARCH("Auxiliar de Limpeza - 12 x 36",tabParametros[[#This Row],[Função]],1)),tabParametros[[#This Row],[Salário Base]]/220*2*30*0.12,
ISNUMBER(SEARCH("Auxiliar de Limpeza - 55 h",tabParametros[[#This Row],[Função]],1))=FALSE,0)</f>
        <v>19.590479999999999</v>
      </c>
      <c r="Q131" s="235">
        <f>VLOOKUP(tabParametros[[#Headers],[INSS]],tabImpostosNacionais[],2,0)</f>
        <v>0.2</v>
      </c>
      <c r="R131" s="235">
        <f>VLOOKUP(tabParametros[[#Headers],[SESI OU SESC]],tabImpostosNacionais[],2,0)</f>
        <v>1.4999999999999999E-2</v>
      </c>
      <c r="S131" s="235">
        <f>VLOOKUP(tabParametros[[#Headers],[SENAI OU SENAC]],tabImpostosNacionais[],2,0)</f>
        <v>0.01</v>
      </c>
      <c r="T131" s="235">
        <f>VLOOKUP(tabParametros[[#Headers],[INCRA]],tabImpostosNacionais[],2,0)</f>
        <v>2E-3</v>
      </c>
      <c r="U131" s="235">
        <f>VLOOKUP(tabParametros[[#Headers],[Salário Educação]],tabImpostosNacionais[],2,0)</f>
        <v>2.5000000000000001E-2</v>
      </c>
      <c r="V131" s="235">
        <f>VLOOKUP(tabParametros[[#Headers],[FGTS]],tabImpostosNacionais[],2,0)</f>
        <v>0.08</v>
      </c>
      <c r="W131" s="235">
        <f>VLOOKUP(tabParametros[[#Headers],[RAT Ajustado]],tabImpostosNacionais[],2,0)</f>
        <v>0.04</v>
      </c>
      <c r="X131" s="235">
        <f>VLOOKUP(tabParametros[[#Headers],[SEBRAE]],tabImpostosNacionais[],2,0)</f>
        <v>6.0000000000000001E-3</v>
      </c>
      <c r="Y131" s="235">
        <f t="shared" si="11"/>
        <v>8.3333333333333329E-2</v>
      </c>
      <c r="Z131" s="251">
        <f t="shared" si="12"/>
        <v>0.1111111111111111</v>
      </c>
      <c r="AA131" s="234">
        <f>VLOOKUP(tabParametros[[#This Row],[Comarca]],tabComarca[],5,0)</f>
        <v>6.4</v>
      </c>
      <c r="AB131" s="234">
        <f>IFERROR(VLOOKUP(tabParametros[[#This Row],[CCT DA CATEGORIA]],tabSindicatos[],6,0),0)</f>
        <v>29.15</v>
      </c>
      <c r="AC131" s="234">
        <f>IFERROR(VLOOKUP(tabParametros[[#This Row],[CCT DA CATEGORIA]],tabSindicatos[],7,0),0)</f>
        <v>0</v>
      </c>
      <c r="AD131" s="234" cm="1">
        <f t="array" ref="AD131">_xlfn.LET(
_xlpm.COMARCA, TRIM(UPPER(SUBSTITUTE(SUBSTITUTE(SUBSTITUTE(SUBSTITUTE(SUBSTITUTE(SUBSTITUTE(SUBSTITUTE(SUBSTITUTE(SUBSTITUTE(SUBSTITUTE(SUBSTITUTE(SUBSTITUTE(SUBSTITUTE(SUBSTITUTE(SUBSTITUTE(SUBSTITUTE(SUBSTITUTE(SUBSTITUTE(SUBSTITUTE(SUBSTITUTE(SUBSTITUTE(SUBSTITUTE(SUBSTITUTE(SUBSTITUTE(SUBSTITUTE(SUBSTITUTE(tabParametros[[#This Row],[Comarca]],"á","a"),"ã","a"),"â","a"),"é","e"),"ê","e"),"í","i"),"ó","o"),"õ","o"),"ô","o"),"ú","u"),"ç","c"),"Á","a"),"Ã","a"),"Â","a"),"É","e"),"Ê","e"),"Í","i"),"Ó","o"),"Õ","o"),"Ô","o"),"Ú","u"),"Ç","c"),"/MG","")," e ",", ")," ",""),".",""))),
_xlpm.MATRIZ_COMARCA, TRIM(UPPER(SUBSTITUTE(SUBSTITUTE(SUBSTITUTE(SUBSTITUTE(SUBSTITUTE(SUBSTITUTE(SUBSTITUTE(SUBSTITUTE(SUBSTITUTE(SUBSTITUTE(SUBSTITUTE(SUBSTITUTE(SUBSTITUTE(SUBSTITUTE(SUBSTITUTE(SUBSTITUTE(SUBSTITUTE(SUBSTITUTE(SUBSTITUTE(SUBSTITUTE(SUBSTITUTE(SUBSTITUTE(SUBSTITUTE(SUBSTITUTE(SUBSTITUTE(SUBSTITUTE(tabSindicatos[COMARCAS PAF],"á","a"),"ã","a"),"â","a"),"é","e"),"ê","e"),"í","i"),"ó","o"),"õ","o"),"ô","o"),"ú","u"),"ç","c"),"Á","a"),"Ã","a"),"Â","a"),"É","e"),"Ê","e"),"Í","i"),"Ó","o"),"Õ","o"),"Ô","o"),"Ú","u"),"Ç","c"),"/MG","")," e ",", ")," ",""),".",""))),
IFERROR(IF(_xlfn.XLOOKUP(tabParametros[[#This Row],[CCT DA CATEGORIA]],tabSindicatos[SINDICATOS],tabSindicatos[COMARCAS PAF])="",
VLOOKUP(tabParametros[[#This Row],[CCT DA CATEGORIA]],tabSindicatos[],8,0),
IF(ISNUMBER(SEARCH(TRIM(_xlpm.COMARCA),_xlfn.XLOOKUP(tabParametros[[#This Row],[CCT DA CATEGORIA]],tabSindicatos[SINDICATOS],_xlpm.MATRIZ_COMARCA),1)),VLOOKUP(tabParametros[[#This Row],[CCT DA CATEGORIA]],tabSindicatos[],8,0),0)
),0)
)</f>
        <v>0</v>
      </c>
      <c r="AE131" s="234">
        <f>IFERROR(VLOOKUP(tabParametros[[#This Row],[CCT DA CATEGORIA]],tabSindicatos[],9,0),0)</f>
        <v>15.07</v>
      </c>
      <c r="AF131" s="234">
        <f>IFERROR(VLOOKUP(tabParametros[[#This Row],[CCT DA CATEGORIA]],tabSindicatos[],10,0),0)</f>
        <v>0</v>
      </c>
      <c r="AG131" s="236">
        <f>VLOOKUP(tabParametros[[#Headers],[Seguro de Vida]],tabOutrosCustos[],3,0)</f>
        <v>3.36</v>
      </c>
      <c r="AH131" s="236">
        <f>IF(ISNUMBER(SEARCH("MOTORISTA",tabParametros[[#This Row],[Função]],1)),VLOOKUP("MOTORISTAS",tabDiarias[],2,0),IF(tabParametros[[#This Row],[Comarca]]="Belo Horizonte",VLOOKUP("LIMPEZA",tabDiarias[],2,0),0))</f>
        <v>0</v>
      </c>
      <c r="AI131" s="235">
        <f t="shared" si="13"/>
        <v>7.011766975308642E-3</v>
      </c>
      <c r="AJ131" s="237">
        <f>tabParametros[[#This Row],[FGTS]]*tabParametros[[#This Row],[Aviso Prévio Indenizado (API) e Reflexo do Aviso Prévio Indenizado]]</f>
        <v>5.609413580246914E-4</v>
      </c>
      <c r="AK131" s="237">
        <f>tabParametros[[#This Row],[FGTS]]*tabParametros[[#This Row],[Aviso Prévio Indenizado (API) e Reflexo do Aviso Prévio Indenizado]]*40%</f>
        <v>2.2437654320987658E-4</v>
      </c>
      <c r="AL131" s="235">
        <f t="shared" si="14"/>
        <v>3.5000000000000005E-3</v>
      </c>
      <c r="AM131" s="235">
        <f>tabParametros[[#This Row],[Aviso Prévio Trabalhado - APT]]*SUM(tabParametros[[#This Row],[INSS]:[SEBRAE]])</f>
        <v>1.3230000000000004E-3</v>
      </c>
      <c r="AN131" s="235">
        <f t="shared" si="15"/>
        <v>3.0577777777777773E-2</v>
      </c>
      <c r="AO131" s="235">
        <f t="shared" si="16"/>
        <v>8.3333333333333339E-4</v>
      </c>
      <c r="AP131" s="235">
        <f t="shared" si="17"/>
        <v>8.4444444444444437E-3</v>
      </c>
      <c r="AQ131" s="235">
        <f t="shared" si="18"/>
        <v>2.0277777777777777E-3</v>
      </c>
      <c r="AR131" s="235">
        <f t="shared" si="19"/>
        <v>1.7083333333333333E-4</v>
      </c>
      <c r="AS131" s="235">
        <f t="shared" si="20"/>
        <v>2.0833333333333335E-4</v>
      </c>
      <c r="AT131" s="235">
        <f t="shared" si="21"/>
        <v>1.2962962962962963E-3</v>
      </c>
      <c r="AU131" s="237">
        <f>SUM(tabParametros[[#This Row],[Ausência por Doença]:[Férias, Adicional de Férias e 13º  com empregada em gozo de Licença Maternidade]])*SUM(tabParametros[[#This Row],[INSS]:[SEBRAE]])</f>
        <v>4.5918250000000008E-3</v>
      </c>
      <c r="AV131" s="234">
        <f>IF(tabParametros[[#This Row],[Função]]="Porteiro - 220 h",SUM(tabParametros[[#This Row],[Salário Base]:[Adicional de Acúmulo de função]])/220*20*1.5,IF(ISNUMBER(SEARCH("12 x 36",tabParametros[[#This Row],[Função]],1)),SUM(tabParametros[[#This Row],[Salário Base]:[Adicional de Acúmulo de função]])/210*15.5*1.5,0))</f>
        <v>0</v>
      </c>
      <c r="AW131" s="234">
        <f>IF(tabParametros[[#This Row],[Vagas contratadas]]&gt;0,(SUM(tabParametros[[#This Row],[Salário Base]:[Adicional de Acúmulo de função]])*30%+SUM(tabParametros[[#This Row],[Vale - Alimentação]:[Seguro de Vida]]))/tabParametros[[#This Row],[Vagas contratadas]]*tabParametros[[#This Row],[Vagas suspensas]],0)</f>
        <v>0</v>
      </c>
      <c r="AX131" s="234">
        <f>SUMIF(tabUniformes[Cargo],tabParametros[[#This Row],[Função]],tabUniformes[Valor unit. Mensal])</f>
        <v>62.806666666666665</v>
      </c>
      <c r="AY131" s="281">
        <f>IF(ISNUMBER(SEARCH("AUXILIAR DE LIMPEZA - 75 H",tabParametros[[#This Row],[Função]],1)),
SUMIF(tabLimpGeral[TIPO],"Material",tabLimpGeral[VALOR UNITÁRIO P/ HORA (R$)])*75,
IF(ISNUMBER(SEARCH("AUXILIAR DE LIMPEZA - 110 H",tabParametros[[#This Row],[Função]],1)),
SUMIF(tabLimpGeral[TIPO],"Material",tabLimpGeral[VALOR UNITÁRIO P/ HORA (R$)])*110,
IF(ISNUMBER(SEARCH("AUXILIAR DE LIMPEZA - 150 H",tabParametros[[#This Row],[Função]],1)),
SUMIF(tabLimpGeral[TIPO],"Material",tabLimpGeral[VALOR UNITÁRIO P/ HORA (R$)])*150,
IF(ISNUMBER(SEARCH("AUXILIAR DE LIMPEZA - 220 H",tabParametros[[#This Row],[Função]],1)),
SUMIF(tabLimpGeral[TIPO],"Material",tabLimpGeral[VALOR UNITÁRIO P/ HORA (R$)])*220,
IF(ISNUMBER(SEARCH("AUXILIAR DE LIMPEZA - 12 x 36",tabParametros[[#This Row],[Função]],1)),
SUMIF(tabLimpGeral[TIPO],"Material",tabLimpGeral[VALOR UNITÁRIO P/ HORA (R$)])*220,
IF(ISNUMBER(SEARCH("Limpador de vidros - 220 h",tabParametros[[#This Row],[Função]],1)),
SUMIF(tabVidros[TIPO],"Material",tabVidros[VALOR UNITÁRIO P/ POSTO (R$)]),
0))))))</f>
        <v>12.108481690426325</v>
      </c>
      <c r="AZ131" s="281">
        <f>IF(ISNUMBER(SEARCH("AUXILIAR DE LIMPEZA - 75 H",tabParametros[[#This Row],[Função]],1)),
SUMIF(tabLimpGeral[TIPO],"Equipamento",tabLimpGeral[VALOR UNITÁRIO P/ HORA (R$)])*75,
IF(ISNUMBER(SEARCH("AUXILIAR DE LIMPEZA - 110 H",tabParametros[[#This Row],[Função]],1)),
SUMIF(tabLimpGeral[TIPO],"Equipamento",tabLimpGeral[VALOR UNITÁRIO P/ HORA (R$)])*110,
IF(ISNUMBER(SEARCH("AUXILIAR DE LIMPEZA - 150 H",tabParametros[[#This Row],[Função]],1)),
SUMIF(tabLimpGeral[TIPO],"Equipamento",tabLimpGeral[VALOR UNITÁRIO P/ HORA (R$)])*150,
IF(ISNUMBER(SEARCH("AUXILIAR DE LIMPEZA - 220 H",tabParametros[[#This Row],[Função]],1)),
SUMIF(tabLimpGeral[TIPO],"Equipamento",tabLimpGeral[VALOR UNITÁRIO P/ HORA (R$)])*220,
IF(ISNUMBER(SEARCH("AUXILIAR DE LIMPEZA - 12 x 36",tabParametros[[#This Row],[Função]],1)),
SUMIF(tabLimpGeral[TIPO],"Equipamento",tabLimpGeral[VALOR UNITÁRIO P/ HORA (R$)])*220,
IF(ISNUMBER(SEARCH("Limpador de vidros - 220 h",tabParametros[[#This Row],[Função]],1)),
SUMIF(tabVidros[TIPO],"Equipamento",tabVidros[VALOR UNITÁRIO P/ POSTO (R$)]),
0))))))</f>
        <v>21.998657016417809</v>
      </c>
      <c r="BA131" s="281">
        <f>IF(ISNUMBER(SEARCH("AUXILIAR DE LIMPEZA - 75 H",tabParametros[[#This Row],[Função]],1)),
SUMIF(tabLimpGeral[TIPO],"Produto",tabLimpGeral[VALOR UNITÁRIO P/ HORA (R$)])*75,
IF(ISNUMBER(SEARCH("AUXILIAR DE LIMPEZA - 110 H",tabParametros[[#This Row],[Função]],1)),
SUMIF(tabLimpGeral[TIPO],"Produto",tabLimpGeral[VALOR UNITÁRIO P/ HORA (R$)])*110,
IF(ISNUMBER(SEARCH("AUXILIAR DE LIMPEZA - 150 H",tabParametros[[#This Row],[Função]],1)),
SUMIF(tabLimpGeral[TIPO],"Produto",tabLimpGeral[VALOR UNITÁRIO P/ HORA (R$)])*150,
IF(ISNUMBER(SEARCH("AUXILIAR DE LIMPEZA - 220 H",tabParametros[[#This Row],[Função]],1)),
SUMIF(tabLimpGeral[TIPO],"Produto",tabLimpGeral[VALOR UNITÁRIO P/ HORA (R$)])*220,
IF(ISNUMBER(SEARCH("AUXILIAR DE LIMPEZA - 12 x 36",tabParametros[[#This Row],[Função]],1)),
SUMIF(tabLimpGeral[TIPO],"Produto",tabLimpGeral[VALOR UNITÁRIO P/ HORA (R$)])*220,
IF(ISNUMBER(SEARCH("Limpador de vidros - 220 h",tabParametros[[#This Row],[Função]],1)),
SUMIF(tabVidros[TIPO],"Produto",tabVidros[VALOR UNITÁRIO P/ POSTO (R$)]),
0))))))</f>
        <v>235.31984072022155</v>
      </c>
      <c r="BB131" s="281">
        <v>0</v>
      </c>
      <c r="BC131" s="236">
        <f>VLOOKUP(tabParametros[[#Headers],[Custos Indiretos]],tabOutrosCustos[],3,0)</f>
        <v>189.64880140242613</v>
      </c>
      <c r="BD131" s="236">
        <f>VLOOKUP(tabParametros[[#Headers],[Lucro]],tabOutrosCustos[],3,0)</f>
        <v>159.30499317803796</v>
      </c>
      <c r="BE131" s="235">
        <f>VLOOKUP(tabParametros[[#Headers],[COFINS]],tabImpostosNacionais[],2,0)</f>
        <v>7.5999999999999998E-2</v>
      </c>
      <c r="BF131" s="235">
        <f>VLOOKUP(tabParametros[[#Headers],[PIS]],tabImpostosNacionais[],2,0)</f>
        <v>1.6500000000000001E-2</v>
      </c>
      <c r="BG131" s="235">
        <f>VLOOKUP(tabParametros[[#This Row],[Comarca]],tabComarca[],4,0)</f>
        <v>0.03</v>
      </c>
      <c r="BH131" s="238">
        <f>IFERROR(VLOOKUP(tabParametros[[#This Row],[CCT DA CATEGORIA]],tabSindicatos[],11,0),"")</f>
        <v>45658</v>
      </c>
      <c r="BI131" s="289" t="str">
        <f>IFERROR(VLOOKUP(tabParametros[[#This Row],[CCT DA CATEGORIA]],tabSindicatos[],12,0),"")</f>
        <v>-</v>
      </c>
      <c r="BJ131" s="293" t="str">
        <f>IFERROR(VLOOKUP(tabParametros[[#This Row],[CCT DA CATEGORIA]],tabSindicatos[],13,0),"")</f>
        <v>-</v>
      </c>
    </row>
    <row r="132" spans="1:62" x14ac:dyDescent="0.25">
      <c r="A132" s="233" t="s">
        <v>1468</v>
      </c>
      <c r="B132" s="198" t="s">
        <v>120</v>
      </c>
      <c r="C132" s="198" t="s">
        <v>1245</v>
      </c>
      <c r="D132" s="198" t="str">
        <f>VLOOKUP(tabParametros[[#This Row],[Código do Posto]],tabPostos[],4,0)</f>
        <v>Sethac Norte de Minas</v>
      </c>
      <c r="E132" s="289" t="str">
        <f>VLOOKUP(tabParametros[[#This Row],[Código do Posto]],tabPostos[],5,0)</f>
        <v>Limpeza</v>
      </c>
      <c r="F132" s="289" t="str">
        <f>VLOOKUP(tabParametros[[#This Row],[Código do Posto]],tabPostos[],6,0)</f>
        <v>PGJ</v>
      </c>
      <c r="G132" s="289">
        <f>VLOOKUP(tabParametros[[#This Row],[Código do Posto]],tabPostos[],7,0)</f>
        <v>1</v>
      </c>
      <c r="H132" s="289">
        <f>VLOOKUP(tabParametros[[#This Row],[Código do Posto]],tabPostos[],8,0)</f>
        <v>0</v>
      </c>
      <c r="I132" s="234">
        <f>VLOOKUP(tabParametros[[#This Row],[Código do Posto]],tabPostos[],9,0)</f>
        <v>1596.28</v>
      </c>
      <c r="J132" s="234">
        <f>IF(ISNUMBER(SEARCH("Eletricista",tabParametros[[#This Row],[Função]],1)),0.3*tabParametros[[#This Row],[Salário Base]],0)</f>
        <v>0</v>
      </c>
      <c r="K132" s="234">
        <f>IF(OR(ISNUMBER(SEARCH("Bombeiro Hidraulico",tabParametros[[#This Row],[Função]],1)),ISNUMBER(SEARCH("Jardineiro",tabParametros[[#This Row],[Função]],1)),ISNUMBER(SEARCH("Lavador de Veiculos",tabParametros[[#This Row],[Função]],1)),ISNUMBER(SEARCH("Marceneiro",tabParametros[[#This Row],[Função]],1)),ISNUMBER(SEARCH("Pintor",tabParametros[[#This Row],[Função]],1))),0.2*'BASE GERAL'!$R$4,0)</f>
        <v>0</v>
      </c>
      <c r="L132" s="234">
        <f>IF(AND(ISNUMBER(SEARCH("Noturno",tabParametros[[#This Row],[Função]],1)),tabParametros[[#This Row],[Comarca]]&lt;&gt;"Juiz de Fora"),tabParametros[[#This Row],[Salário Base]]/210*0.39*7*15.5,IF(ISNUMBER(SEARCH("Noturno",tabParametros[[#This Row],[Função]],1)),tabParametros[[#This Row],[Salário Base]]/210*0.2*8*15.5,0))</f>
        <v>0</v>
      </c>
      <c r="M132" s="234">
        <f>IF(ISNUMBER(SEARCH("Motorista II",tabParametros[[#This Row],[Função]],1)),0.25*tabParametros[[#This Row],[Salário Base]],0)</f>
        <v>0</v>
      </c>
      <c r="N132" s="250">
        <v>0</v>
      </c>
      <c r="O132" s="234">
        <f>IF(ISNUMBER(SEARCH("TECNOLOGIA DA INFORMACAO",tabParametros[[#This Row],[Função]],1)),0.0201*tabParametros[[#This Row],[Salário Base]],0)</f>
        <v>0</v>
      </c>
      <c r="P132" s="250" cm="1">
        <f t="array" ref="P132">_xlfn.IFS(
ISNUMBER(SEARCH("Auxiliar de Limpeza - 75 h",tabParametros[[#This Row],[Função]],1)),tabParametros[[#This Row],[Salário Base]]/75*0.75*30*0.12,
ISNUMBER(SEARCH("Auxiliar de Limpeza - 110 h",tabParametros[[#This Row],[Função]],1)),tabParametros[[#This Row],[Salário Base]]/110*1*30*0.12,
ISNUMBER(SEARCH("Auxiliar de Limpeza - 150 h",tabParametros[[#This Row],[Função]],1)),tabParametros[[#This Row],[Salário Base]]/150*1.5*30*0.12,
ISNUMBER(SEARCH("Auxiliar de Limpeza - 220 h",tabParametros[[#This Row],[Função]],1)),tabParametros[[#This Row],[Salário Base]]/220*2*30*0.12,
ISNUMBER(SEARCH("Auxiliar de Limpeza - 12 x 36",tabParametros[[#This Row],[Função]],1)),tabParametros[[#This Row],[Salário Base]]/220*2*30*0.12,
ISNUMBER(SEARCH("Auxiliar de Limpeza - 55 h",tabParametros[[#This Row],[Função]],1))=FALSE,0)</f>
        <v>52.241890909090905</v>
      </c>
      <c r="Q132" s="235">
        <f>VLOOKUP(tabParametros[[#Headers],[INSS]],tabImpostosNacionais[],2,0)</f>
        <v>0.2</v>
      </c>
      <c r="R132" s="235">
        <f>VLOOKUP(tabParametros[[#Headers],[SESI OU SESC]],tabImpostosNacionais[],2,0)</f>
        <v>1.4999999999999999E-2</v>
      </c>
      <c r="S132" s="235">
        <f>VLOOKUP(tabParametros[[#Headers],[SENAI OU SENAC]],tabImpostosNacionais[],2,0)</f>
        <v>0.01</v>
      </c>
      <c r="T132" s="235">
        <f>VLOOKUP(tabParametros[[#Headers],[INCRA]],tabImpostosNacionais[],2,0)</f>
        <v>2E-3</v>
      </c>
      <c r="U132" s="235">
        <f>VLOOKUP(tabParametros[[#Headers],[Salário Educação]],tabImpostosNacionais[],2,0)</f>
        <v>2.5000000000000001E-2</v>
      </c>
      <c r="V132" s="235">
        <f>VLOOKUP(tabParametros[[#Headers],[FGTS]],tabImpostosNacionais[],2,0)</f>
        <v>0.08</v>
      </c>
      <c r="W132" s="235">
        <f>VLOOKUP(tabParametros[[#Headers],[RAT Ajustado]],tabImpostosNacionais[],2,0)</f>
        <v>0.04</v>
      </c>
      <c r="X132" s="235">
        <f>VLOOKUP(tabParametros[[#Headers],[SEBRAE]],tabImpostosNacionais[],2,0)</f>
        <v>6.0000000000000001E-3</v>
      </c>
      <c r="Y132" s="235">
        <f t="shared" ref="Y132:Y195" si="22">1/12</f>
        <v>8.3333333333333329E-2</v>
      </c>
      <c r="Z132" s="251">
        <f t="shared" ref="Z132:Z195" si="23">1/12+1/12/3</f>
        <v>0.1111111111111111</v>
      </c>
      <c r="AA132" s="234">
        <f>VLOOKUP(tabParametros[[#This Row],[Comarca]],tabComarca[],5,0)</f>
        <v>6.4</v>
      </c>
      <c r="AB132" s="234">
        <f>IFERROR(VLOOKUP(tabParametros[[#This Row],[CCT DA CATEGORIA]],tabSindicatos[],6,0),0)</f>
        <v>29.15</v>
      </c>
      <c r="AC132" s="234">
        <f>IFERROR(VLOOKUP(tabParametros[[#This Row],[CCT DA CATEGORIA]],tabSindicatos[],7,0),0)</f>
        <v>0</v>
      </c>
      <c r="AD132" s="234" cm="1">
        <f t="array" ref="AD132">_xlfn.LET(
_xlpm.COMARCA, TRIM(UPPER(SUBSTITUTE(SUBSTITUTE(SUBSTITUTE(SUBSTITUTE(SUBSTITUTE(SUBSTITUTE(SUBSTITUTE(SUBSTITUTE(SUBSTITUTE(SUBSTITUTE(SUBSTITUTE(SUBSTITUTE(SUBSTITUTE(SUBSTITUTE(SUBSTITUTE(SUBSTITUTE(SUBSTITUTE(SUBSTITUTE(SUBSTITUTE(SUBSTITUTE(SUBSTITUTE(SUBSTITUTE(SUBSTITUTE(SUBSTITUTE(SUBSTITUTE(SUBSTITUTE(tabParametros[[#This Row],[Comarca]],"á","a"),"ã","a"),"â","a"),"é","e"),"ê","e"),"í","i"),"ó","o"),"õ","o"),"ô","o"),"ú","u"),"ç","c"),"Á","a"),"Ã","a"),"Â","a"),"É","e"),"Ê","e"),"Í","i"),"Ó","o"),"Õ","o"),"Ô","o"),"Ú","u"),"Ç","c"),"/MG","")," e ",", ")," ",""),".",""))),
_xlpm.MATRIZ_COMARCA, TRIM(UPPER(SUBSTITUTE(SUBSTITUTE(SUBSTITUTE(SUBSTITUTE(SUBSTITUTE(SUBSTITUTE(SUBSTITUTE(SUBSTITUTE(SUBSTITUTE(SUBSTITUTE(SUBSTITUTE(SUBSTITUTE(SUBSTITUTE(SUBSTITUTE(SUBSTITUTE(SUBSTITUTE(SUBSTITUTE(SUBSTITUTE(SUBSTITUTE(SUBSTITUTE(SUBSTITUTE(SUBSTITUTE(SUBSTITUTE(SUBSTITUTE(SUBSTITUTE(SUBSTITUTE(tabSindicatos[COMARCAS PAF],"á","a"),"ã","a"),"â","a"),"é","e"),"ê","e"),"í","i"),"ó","o"),"õ","o"),"ô","o"),"ú","u"),"ç","c"),"Á","a"),"Ã","a"),"Â","a"),"É","e"),"Ê","e"),"Í","i"),"Ó","o"),"Õ","o"),"Ô","o"),"Ú","u"),"Ç","c"),"/MG","")," e ",", ")," ",""),".",""))),
IFERROR(IF(_xlfn.XLOOKUP(tabParametros[[#This Row],[CCT DA CATEGORIA]],tabSindicatos[SINDICATOS],tabSindicatos[COMARCAS PAF])="",
VLOOKUP(tabParametros[[#This Row],[CCT DA CATEGORIA]],tabSindicatos[],8,0),
IF(ISNUMBER(SEARCH(TRIM(_xlpm.COMARCA),_xlfn.XLOOKUP(tabParametros[[#This Row],[CCT DA CATEGORIA]],tabSindicatos[SINDICATOS],_xlpm.MATRIZ_COMARCA),1)),VLOOKUP(tabParametros[[#This Row],[CCT DA CATEGORIA]],tabSindicatos[],8,0),0)
),0)
)</f>
        <v>51.86</v>
      </c>
      <c r="AE132" s="234">
        <f>IFERROR(VLOOKUP(tabParametros[[#This Row],[CCT DA CATEGORIA]],tabSindicatos[],9,0),0)</f>
        <v>0</v>
      </c>
      <c r="AF132" s="234">
        <f>IFERROR(VLOOKUP(tabParametros[[#This Row],[CCT DA CATEGORIA]],tabSindicatos[],10,0),0)</f>
        <v>0</v>
      </c>
      <c r="AG132" s="236">
        <f>VLOOKUP(tabParametros[[#Headers],[Seguro de Vida]],tabOutrosCustos[],3,0)</f>
        <v>3.36</v>
      </c>
      <c r="AH132" s="236">
        <f>IF(ISNUMBER(SEARCH("MOTORISTA",tabParametros[[#This Row],[Função]],1)),VLOOKUP("MOTORISTAS",tabDiarias[],2,0),IF(tabParametros[[#This Row],[Comarca]]="Belo Horizonte",VLOOKUP("LIMPEZA",tabDiarias[],2,0),0))</f>
        <v>0</v>
      </c>
      <c r="AI132" s="235">
        <f t="shared" ref="AI132:AI195" si="24">(1/12*7%)+((1+1+1/3)*1/12)*(7%/12)+((1/12*0.05)+((1+1+1/3)*1/12)*(7%/12))/30*3*5/60</f>
        <v>7.011766975308642E-3</v>
      </c>
      <c r="AJ132" s="237">
        <f>tabParametros[[#This Row],[FGTS]]*tabParametros[[#This Row],[Aviso Prévio Indenizado (API) e Reflexo do Aviso Prévio Indenizado]]</f>
        <v>5.609413580246914E-4</v>
      </c>
      <c r="AK132" s="237">
        <f>tabParametros[[#This Row],[FGTS]]*tabParametros[[#This Row],[Aviso Prévio Indenizado (API) e Reflexo do Aviso Prévio Indenizado]]*40%</f>
        <v>2.2437654320987658E-4</v>
      </c>
      <c r="AL132" s="235">
        <f t="shared" ref="AL132:AL195" si="25">((1/30*7)*0.9)/60</f>
        <v>3.5000000000000005E-3</v>
      </c>
      <c r="AM132" s="235">
        <f>tabParametros[[#This Row],[Aviso Prévio Trabalhado - APT]]*SUM(tabParametros[[#This Row],[INSS]:[SEBRAE]])</f>
        <v>1.3230000000000004E-3</v>
      </c>
      <c r="AN132" s="235">
        <f t="shared" ref="AN132:AN195" si="26">0.4*0.08*0.8*(1+1/12+1/12+1/3/12)</f>
        <v>3.0577777777777773E-2</v>
      </c>
      <c r="AO132" s="235">
        <f t="shared" ref="AO132:AO195" si="27">(1*1%)/12</f>
        <v>8.3333333333333339E-4</v>
      </c>
      <c r="AP132" s="235">
        <f t="shared" ref="AP132:AP195" si="28">1/30*3.04/12</f>
        <v>8.4444444444444437E-3</v>
      </c>
      <c r="AQ132" s="235">
        <f t="shared" ref="AQ132:AQ195" si="29">0.73/30/12</f>
        <v>2.0277777777777777E-3</v>
      </c>
      <c r="AR132" s="235">
        <f t="shared" ref="AR132:AR195" si="30">5/30/12*1.23%</f>
        <v>1.7083333333333333E-4</v>
      </c>
      <c r="AS132" s="235">
        <f t="shared" ref="AS132:AS195" si="31">1/30*15*0.5%/12</f>
        <v>2.0833333333333335E-4</v>
      </c>
      <c r="AT132" s="235">
        <f t="shared" ref="AT132:AT195" si="32">((1/12+1/12+1/3/12)*4/12)*2%</f>
        <v>1.2962962962962963E-3</v>
      </c>
      <c r="AU132" s="237">
        <f>SUM(tabParametros[[#This Row],[Ausência por Doença]:[Férias, Adicional de Férias e 13º  com empregada em gozo de Licença Maternidade]])*SUM(tabParametros[[#This Row],[INSS]:[SEBRAE]])</f>
        <v>4.5918250000000008E-3</v>
      </c>
      <c r="AV132" s="234">
        <f>IF(tabParametros[[#This Row],[Função]]="Porteiro - 220 h",SUM(tabParametros[[#This Row],[Salário Base]:[Adicional de Acúmulo de função]])/220*20*1.5,IF(ISNUMBER(SEARCH("12 x 36",tabParametros[[#This Row],[Função]],1)),SUM(tabParametros[[#This Row],[Salário Base]:[Adicional de Acúmulo de função]])/210*15.5*1.5,0))</f>
        <v>0</v>
      </c>
      <c r="AW132" s="234">
        <f>IF(tabParametros[[#This Row],[Vagas contratadas]]&gt;0,(SUM(tabParametros[[#This Row],[Salário Base]:[Adicional de Acúmulo de função]])*30%+SUM(tabParametros[[#This Row],[Vale - Alimentação]:[Seguro de Vida]]))/tabParametros[[#This Row],[Vagas contratadas]]*tabParametros[[#This Row],[Vagas suspensas]],0)</f>
        <v>0</v>
      </c>
      <c r="AX132" s="234">
        <f>SUMIF(tabUniformes[Cargo],tabParametros[[#This Row],[Função]],tabUniformes[Valor unit. Mensal])</f>
        <v>100.80916666666666</v>
      </c>
      <c r="AY132" s="281">
        <f>IF(ISNUMBER(SEARCH("AUXILIAR DE LIMPEZA - 75 H",tabParametros[[#This Row],[Função]],1)),
SUMIF(tabLimpGeral[TIPO],"Material",tabLimpGeral[VALOR UNITÁRIO P/ HORA (R$)])*75,
IF(ISNUMBER(SEARCH("AUXILIAR DE LIMPEZA - 110 H",tabParametros[[#This Row],[Função]],1)),
SUMIF(tabLimpGeral[TIPO],"Material",tabLimpGeral[VALOR UNITÁRIO P/ HORA (R$)])*110,
IF(ISNUMBER(SEARCH("AUXILIAR DE LIMPEZA - 150 H",tabParametros[[#This Row],[Função]],1)),
SUMIF(tabLimpGeral[TIPO],"Material",tabLimpGeral[VALOR UNITÁRIO P/ HORA (R$)])*150,
IF(ISNUMBER(SEARCH("AUXILIAR DE LIMPEZA - 220 H",tabParametros[[#This Row],[Função]],1)),
SUMIF(tabLimpGeral[TIPO],"Material",tabLimpGeral[VALOR UNITÁRIO P/ HORA (R$)])*220,
IF(ISNUMBER(SEARCH("AUXILIAR DE LIMPEZA - 12 x 36",tabParametros[[#This Row],[Função]],1)),
SUMIF(tabLimpGeral[TIPO],"Material",tabLimpGeral[VALOR UNITÁRIO P/ HORA (R$)])*220,
IF(ISNUMBER(SEARCH("Limpador de vidros - 220 h",tabParametros[[#This Row],[Função]],1)),
SUMIF(tabVidros[TIPO],"Material",tabVidros[VALOR UNITÁRIO P/ POSTO (R$)]),
0))))))</f>
        <v>35.518212958583888</v>
      </c>
      <c r="AZ132" s="281">
        <f>IF(ISNUMBER(SEARCH("AUXILIAR DE LIMPEZA - 75 H",tabParametros[[#This Row],[Função]],1)),
SUMIF(tabLimpGeral[TIPO],"Equipamento",tabLimpGeral[VALOR UNITÁRIO P/ HORA (R$)])*75,
IF(ISNUMBER(SEARCH("AUXILIAR DE LIMPEZA - 110 H",tabParametros[[#This Row],[Função]],1)),
SUMIF(tabLimpGeral[TIPO],"Equipamento",tabLimpGeral[VALOR UNITÁRIO P/ HORA (R$)])*110,
IF(ISNUMBER(SEARCH("AUXILIAR DE LIMPEZA - 150 H",tabParametros[[#This Row],[Função]],1)),
SUMIF(tabLimpGeral[TIPO],"Equipamento",tabLimpGeral[VALOR UNITÁRIO P/ HORA (R$)])*150,
IF(ISNUMBER(SEARCH("AUXILIAR DE LIMPEZA - 220 H",tabParametros[[#This Row],[Função]],1)),
SUMIF(tabLimpGeral[TIPO],"Equipamento",tabLimpGeral[VALOR UNITÁRIO P/ HORA (R$)])*220,
IF(ISNUMBER(SEARCH("AUXILIAR DE LIMPEZA - 12 x 36",tabParametros[[#This Row],[Função]],1)),
SUMIF(tabLimpGeral[TIPO],"Equipamento",tabLimpGeral[VALOR UNITÁRIO P/ HORA (R$)])*220,
IF(ISNUMBER(SEARCH("Limpador de vidros - 220 h",tabParametros[[#This Row],[Função]],1)),
SUMIF(tabVidros[TIPO],"Equipamento",tabVidros[VALOR UNITÁRIO P/ POSTO (R$)]),
0))))))</f>
        <v>64.529393914825576</v>
      </c>
      <c r="BA132" s="281">
        <f>IF(ISNUMBER(SEARCH("AUXILIAR DE LIMPEZA - 75 H",tabParametros[[#This Row],[Função]],1)),
SUMIF(tabLimpGeral[TIPO],"Produto",tabLimpGeral[VALOR UNITÁRIO P/ HORA (R$)])*75,
IF(ISNUMBER(SEARCH("AUXILIAR DE LIMPEZA - 110 H",tabParametros[[#This Row],[Função]],1)),
SUMIF(tabLimpGeral[TIPO],"Produto",tabLimpGeral[VALOR UNITÁRIO P/ HORA (R$)])*110,
IF(ISNUMBER(SEARCH("AUXILIAR DE LIMPEZA - 150 H",tabParametros[[#This Row],[Função]],1)),
SUMIF(tabLimpGeral[TIPO],"Produto",tabLimpGeral[VALOR UNITÁRIO P/ HORA (R$)])*150,
IF(ISNUMBER(SEARCH("AUXILIAR DE LIMPEZA - 220 H",tabParametros[[#This Row],[Função]],1)),
SUMIF(tabLimpGeral[TIPO],"Produto",tabLimpGeral[VALOR UNITÁRIO P/ HORA (R$)])*220,
IF(ISNUMBER(SEARCH("AUXILIAR DE LIMPEZA - 12 x 36",tabParametros[[#This Row],[Função]],1)),
SUMIF(tabLimpGeral[TIPO],"Produto",tabLimpGeral[VALOR UNITÁRIO P/ HORA (R$)])*220,
IF(ISNUMBER(SEARCH("Limpador de vidros - 220 h",tabParametros[[#This Row],[Função]],1)),
SUMIF(tabVidros[TIPO],"Produto",tabVidros[VALOR UNITÁRIO P/ POSTO (R$)]),
0))))))</f>
        <v>690.27153277931654</v>
      </c>
      <c r="BB132" s="281">
        <v>0</v>
      </c>
      <c r="BC132" s="236">
        <f>VLOOKUP(tabParametros[[#Headers],[Custos Indiretos]],tabOutrosCustos[],3,0)</f>
        <v>189.64880140242613</v>
      </c>
      <c r="BD132" s="236">
        <f>VLOOKUP(tabParametros[[#Headers],[Lucro]],tabOutrosCustos[],3,0)</f>
        <v>159.30499317803796</v>
      </c>
      <c r="BE132" s="235">
        <f>VLOOKUP(tabParametros[[#Headers],[COFINS]],tabImpostosNacionais[],2,0)</f>
        <v>7.5999999999999998E-2</v>
      </c>
      <c r="BF132" s="235">
        <f>VLOOKUP(tabParametros[[#Headers],[PIS]],tabImpostosNacionais[],2,0)</f>
        <v>1.6500000000000001E-2</v>
      </c>
      <c r="BG132" s="235">
        <f>VLOOKUP(tabParametros[[#This Row],[Comarca]],tabComarca[],4,0)</f>
        <v>0.04</v>
      </c>
      <c r="BH132" s="238">
        <f>IFERROR(VLOOKUP(tabParametros[[#This Row],[CCT DA CATEGORIA]],tabSindicatos[],11,0),"")</f>
        <v>45658</v>
      </c>
      <c r="BI132" s="289" t="str">
        <f>IFERROR(VLOOKUP(tabParametros[[#This Row],[CCT DA CATEGORIA]],tabSindicatos[],12,0),"")</f>
        <v>-</v>
      </c>
      <c r="BJ132" s="293" t="str">
        <f>IFERROR(VLOOKUP(tabParametros[[#This Row],[CCT DA CATEGORIA]],tabSindicatos[],13,0),"")</f>
        <v>-</v>
      </c>
    </row>
    <row r="133" spans="1:62" x14ac:dyDescent="0.25">
      <c r="A133" s="233" t="s">
        <v>1469</v>
      </c>
      <c r="B133" s="198" t="s">
        <v>121</v>
      </c>
      <c r="C133" s="198" t="s">
        <v>1245</v>
      </c>
      <c r="D133" s="198" t="str">
        <f>VLOOKUP(tabParametros[[#This Row],[Código do Posto]],tabPostos[],4,0)</f>
        <v>Sethac Norte de Minas</v>
      </c>
      <c r="E133" s="289" t="str">
        <f>VLOOKUP(tabParametros[[#This Row],[Código do Posto]],tabPostos[],5,0)</f>
        <v>Limpeza</v>
      </c>
      <c r="F133" s="289" t="str">
        <f>VLOOKUP(tabParametros[[#This Row],[Código do Posto]],tabPostos[],6,0)</f>
        <v>PGJ</v>
      </c>
      <c r="G133" s="289">
        <f>VLOOKUP(tabParametros[[#This Row],[Código do Posto]],tabPostos[],7,0)</f>
        <v>1</v>
      </c>
      <c r="H133" s="289">
        <f>VLOOKUP(tabParametros[[#This Row],[Código do Posto]],tabPostos[],8,0)</f>
        <v>0</v>
      </c>
      <c r="I133" s="234">
        <f>VLOOKUP(tabParametros[[#This Row],[Código do Posto]],tabPostos[],9,0)</f>
        <v>1596.28</v>
      </c>
      <c r="J133" s="234">
        <f>IF(ISNUMBER(SEARCH("Eletricista",tabParametros[[#This Row],[Função]],1)),0.3*tabParametros[[#This Row],[Salário Base]],0)</f>
        <v>0</v>
      </c>
      <c r="K133" s="234">
        <f>IF(OR(ISNUMBER(SEARCH("Bombeiro Hidraulico",tabParametros[[#This Row],[Função]],1)),ISNUMBER(SEARCH("Jardineiro",tabParametros[[#This Row],[Função]],1)),ISNUMBER(SEARCH("Lavador de Veiculos",tabParametros[[#This Row],[Função]],1)),ISNUMBER(SEARCH("Marceneiro",tabParametros[[#This Row],[Função]],1)),ISNUMBER(SEARCH("Pintor",tabParametros[[#This Row],[Função]],1))),0.2*'BASE GERAL'!$R$4,0)</f>
        <v>0</v>
      </c>
      <c r="L133" s="234">
        <f>IF(AND(ISNUMBER(SEARCH("Noturno",tabParametros[[#This Row],[Função]],1)),tabParametros[[#This Row],[Comarca]]&lt;&gt;"Juiz de Fora"),tabParametros[[#This Row],[Salário Base]]/210*0.39*7*15.5,IF(ISNUMBER(SEARCH("Noturno",tabParametros[[#This Row],[Função]],1)),tabParametros[[#This Row],[Salário Base]]/210*0.2*8*15.5,0))</f>
        <v>0</v>
      </c>
      <c r="M133" s="234">
        <f>IF(ISNUMBER(SEARCH("Motorista II",tabParametros[[#This Row],[Função]],1)),0.25*tabParametros[[#This Row],[Salário Base]],0)</f>
        <v>0</v>
      </c>
      <c r="N133" s="250">
        <v>0</v>
      </c>
      <c r="O133" s="234">
        <f>IF(ISNUMBER(SEARCH("TECNOLOGIA DA INFORMACAO",tabParametros[[#This Row],[Função]],1)),0.0201*tabParametros[[#This Row],[Salário Base]],0)</f>
        <v>0</v>
      </c>
      <c r="P133" s="250" cm="1">
        <f t="array" ref="P133">_xlfn.IFS(
ISNUMBER(SEARCH("Auxiliar de Limpeza - 75 h",tabParametros[[#This Row],[Função]],1)),tabParametros[[#This Row],[Salário Base]]/75*0.75*30*0.12,
ISNUMBER(SEARCH("Auxiliar de Limpeza - 110 h",tabParametros[[#This Row],[Função]],1)),tabParametros[[#This Row],[Salário Base]]/110*1*30*0.12,
ISNUMBER(SEARCH("Auxiliar de Limpeza - 150 h",tabParametros[[#This Row],[Função]],1)),tabParametros[[#This Row],[Salário Base]]/150*1.5*30*0.12,
ISNUMBER(SEARCH("Auxiliar de Limpeza - 220 h",tabParametros[[#This Row],[Função]],1)),tabParametros[[#This Row],[Salário Base]]/220*2*30*0.12,
ISNUMBER(SEARCH("Auxiliar de Limpeza - 12 x 36",tabParametros[[#This Row],[Função]],1)),tabParametros[[#This Row],[Salário Base]]/220*2*30*0.12,
ISNUMBER(SEARCH("Auxiliar de Limpeza - 55 h",tabParametros[[#This Row],[Função]],1))=FALSE,0)</f>
        <v>52.241890909090905</v>
      </c>
      <c r="Q133" s="235">
        <f>VLOOKUP(tabParametros[[#Headers],[INSS]],tabImpostosNacionais[],2,0)</f>
        <v>0.2</v>
      </c>
      <c r="R133" s="235">
        <f>VLOOKUP(tabParametros[[#Headers],[SESI OU SESC]],tabImpostosNacionais[],2,0)</f>
        <v>1.4999999999999999E-2</v>
      </c>
      <c r="S133" s="235">
        <f>VLOOKUP(tabParametros[[#Headers],[SENAI OU SENAC]],tabImpostosNacionais[],2,0)</f>
        <v>0.01</v>
      </c>
      <c r="T133" s="235">
        <f>VLOOKUP(tabParametros[[#Headers],[INCRA]],tabImpostosNacionais[],2,0)</f>
        <v>2E-3</v>
      </c>
      <c r="U133" s="235">
        <f>VLOOKUP(tabParametros[[#Headers],[Salário Educação]],tabImpostosNacionais[],2,0)</f>
        <v>2.5000000000000001E-2</v>
      </c>
      <c r="V133" s="235">
        <f>VLOOKUP(tabParametros[[#Headers],[FGTS]],tabImpostosNacionais[],2,0)</f>
        <v>0.08</v>
      </c>
      <c r="W133" s="235">
        <f>VLOOKUP(tabParametros[[#Headers],[RAT Ajustado]],tabImpostosNacionais[],2,0)</f>
        <v>0.04</v>
      </c>
      <c r="X133" s="235">
        <f>VLOOKUP(tabParametros[[#Headers],[SEBRAE]],tabImpostosNacionais[],2,0)</f>
        <v>6.0000000000000001E-3</v>
      </c>
      <c r="Y133" s="235">
        <f t="shared" si="22"/>
        <v>8.3333333333333329E-2</v>
      </c>
      <c r="Z133" s="251">
        <f t="shared" si="23"/>
        <v>0.1111111111111111</v>
      </c>
      <c r="AA133" s="234">
        <f>VLOOKUP(tabParametros[[#This Row],[Comarca]],tabComarca[],5,0)</f>
        <v>6.4</v>
      </c>
      <c r="AB133" s="234">
        <f>IFERROR(VLOOKUP(tabParametros[[#This Row],[CCT DA CATEGORIA]],tabSindicatos[],6,0),0)</f>
        <v>29.15</v>
      </c>
      <c r="AC133" s="234">
        <f>IFERROR(VLOOKUP(tabParametros[[#This Row],[CCT DA CATEGORIA]],tabSindicatos[],7,0),0)</f>
        <v>0</v>
      </c>
      <c r="AD133" s="234" cm="1">
        <f t="array" ref="AD133">_xlfn.LET(
_xlpm.COMARCA, TRIM(UPPER(SUBSTITUTE(SUBSTITUTE(SUBSTITUTE(SUBSTITUTE(SUBSTITUTE(SUBSTITUTE(SUBSTITUTE(SUBSTITUTE(SUBSTITUTE(SUBSTITUTE(SUBSTITUTE(SUBSTITUTE(SUBSTITUTE(SUBSTITUTE(SUBSTITUTE(SUBSTITUTE(SUBSTITUTE(SUBSTITUTE(SUBSTITUTE(SUBSTITUTE(SUBSTITUTE(SUBSTITUTE(SUBSTITUTE(SUBSTITUTE(SUBSTITUTE(SUBSTITUTE(tabParametros[[#This Row],[Comarca]],"á","a"),"ã","a"),"â","a"),"é","e"),"ê","e"),"í","i"),"ó","o"),"õ","o"),"ô","o"),"ú","u"),"ç","c"),"Á","a"),"Ã","a"),"Â","a"),"É","e"),"Ê","e"),"Í","i"),"Ó","o"),"Õ","o"),"Ô","o"),"Ú","u"),"Ç","c"),"/MG","")," e ",", ")," ",""),".",""))),
_xlpm.MATRIZ_COMARCA, TRIM(UPPER(SUBSTITUTE(SUBSTITUTE(SUBSTITUTE(SUBSTITUTE(SUBSTITUTE(SUBSTITUTE(SUBSTITUTE(SUBSTITUTE(SUBSTITUTE(SUBSTITUTE(SUBSTITUTE(SUBSTITUTE(SUBSTITUTE(SUBSTITUTE(SUBSTITUTE(SUBSTITUTE(SUBSTITUTE(SUBSTITUTE(SUBSTITUTE(SUBSTITUTE(SUBSTITUTE(SUBSTITUTE(SUBSTITUTE(SUBSTITUTE(SUBSTITUTE(SUBSTITUTE(tabSindicatos[COMARCAS PAF],"á","a"),"ã","a"),"â","a"),"é","e"),"ê","e"),"í","i"),"ó","o"),"õ","o"),"ô","o"),"ú","u"),"ç","c"),"Á","a"),"Ã","a"),"Â","a"),"É","e"),"Ê","e"),"Í","i"),"Ó","o"),"Õ","o"),"Ô","o"),"Ú","u"),"Ç","c"),"/MG","")," e ",", ")," ",""),".",""))),
IFERROR(IF(_xlfn.XLOOKUP(tabParametros[[#This Row],[CCT DA CATEGORIA]],tabSindicatos[SINDICATOS],tabSindicatos[COMARCAS PAF])="",
VLOOKUP(tabParametros[[#This Row],[CCT DA CATEGORIA]],tabSindicatos[],8,0),
IF(ISNUMBER(SEARCH(TRIM(_xlpm.COMARCA),_xlfn.XLOOKUP(tabParametros[[#This Row],[CCT DA CATEGORIA]],tabSindicatos[SINDICATOS],_xlpm.MATRIZ_COMARCA),1)),VLOOKUP(tabParametros[[#This Row],[CCT DA CATEGORIA]],tabSindicatos[],8,0),0)
),0)
)</f>
        <v>51.86</v>
      </c>
      <c r="AE133" s="234">
        <f>IFERROR(VLOOKUP(tabParametros[[#This Row],[CCT DA CATEGORIA]],tabSindicatos[],9,0),0)</f>
        <v>0</v>
      </c>
      <c r="AF133" s="234">
        <f>IFERROR(VLOOKUP(tabParametros[[#This Row],[CCT DA CATEGORIA]],tabSindicatos[],10,0),0)</f>
        <v>0</v>
      </c>
      <c r="AG133" s="236">
        <f>VLOOKUP(tabParametros[[#Headers],[Seguro de Vida]],tabOutrosCustos[],3,0)</f>
        <v>3.36</v>
      </c>
      <c r="AH133" s="236">
        <f>IF(ISNUMBER(SEARCH("MOTORISTA",tabParametros[[#This Row],[Função]],1)),VLOOKUP("MOTORISTAS",tabDiarias[],2,0),IF(tabParametros[[#This Row],[Comarca]]="Belo Horizonte",VLOOKUP("LIMPEZA",tabDiarias[],2,0),0))</f>
        <v>0</v>
      </c>
      <c r="AI133" s="235">
        <f t="shared" si="24"/>
        <v>7.011766975308642E-3</v>
      </c>
      <c r="AJ133" s="237">
        <f>tabParametros[[#This Row],[FGTS]]*tabParametros[[#This Row],[Aviso Prévio Indenizado (API) e Reflexo do Aviso Prévio Indenizado]]</f>
        <v>5.609413580246914E-4</v>
      </c>
      <c r="AK133" s="237">
        <f>tabParametros[[#This Row],[FGTS]]*tabParametros[[#This Row],[Aviso Prévio Indenizado (API) e Reflexo do Aviso Prévio Indenizado]]*40%</f>
        <v>2.2437654320987658E-4</v>
      </c>
      <c r="AL133" s="235">
        <f t="shared" si="25"/>
        <v>3.5000000000000005E-3</v>
      </c>
      <c r="AM133" s="235">
        <f>tabParametros[[#This Row],[Aviso Prévio Trabalhado - APT]]*SUM(tabParametros[[#This Row],[INSS]:[SEBRAE]])</f>
        <v>1.3230000000000004E-3</v>
      </c>
      <c r="AN133" s="235">
        <f t="shared" si="26"/>
        <v>3.0577777777777773E-2</v>
      </c>
      <c r="AO133" s="235">
        <f t="shared" si="27"/>
        <v>8.3333333333333339E-4</v>
      </c>
      <c r="AP133" s="235">
        <f t="shared" si="28"/>
        <v>8.4444444444444437E-3</v>
      </c>
      <c r="AQ133" s="235">
        <f t="shared" si="29"/>
        <v>2.0277777777777777E-3</v>
      </c>
      <c r="AR133" s="235">
        <f t="shared" si="30"/>
        <v>1.7083333333333333E-4</v>
      </c>
      <c r="AS133" s="235">
        <f t="shared" si="31"/>
        <v>2.0833333333333335E-4</v>
      </c>
      <c r="AT133" s="235">
        <f t="shared" si="32"/>
        <v>1.2962962962962963E-3</v>
      </c>
      <c r="AU133" s="237">
        <f>SUM(tabParametros[[#This Row],[Ausência por Doença]:[Férias, Adicional de Férias e 13º  com empregada em gozo de Licença Maternidade]])*SUM(tabParametros[[#This Row],[INSS]:[SEBRAE]])</f>
        <v>4.5918250000000008E-3</v>
      </c>
      <c r="AV133" s="234">
        <f>IF(tabParametros[[#This Row],[Função]]="Porteiro - 220 h",SUM(tabParametros[[#This Row],[Salário Base]:[Adicional de Acúmulo de função]])/220*20*1.5,IF(ISNUMBER(SEARCH("12 x 36",tabParametros[[#This Row],[Função]],1)),SUM(tabParametros[[#This Row],[Salário Base]:[Adicional de Acúmulo de função]])/210*15.5*1.5,0))</f>
        <v>0</v>
      </c>
      <c r="AW133" s="234">
        <f>IF(tabParametros[[#This Row],[Vagas contratadas]]&gt;0,(SUM(tabParametros[[#This Row],[Salário Base]:[Adicional de Acúmulo de função]])*30%+SUM(tabParametros[[#This Row],[Vale - Alimentação]:[Seguro de Vida]]))/tabParametros[[#This Row],[Vagas contratadas]]*tabParametros[[#This Row],[Vagas suspensas]],0)</f>
        <v>0</v>
      </c>
      <c r="AX133" s="234">
        <f>SUMIF(tabUniformes[Cargo],tabParametros[[#This Row],[Função]],tabUniformes[Valor unit. Mensal])</f>
        <v>100.80916666666666</v>
      </c>
      <c r="AY133" s="281">
        <f>IF(ISNUMBER(SEARCH("AUXILIAR DE LIMPEZA - 75 H",tabParametros[[#This Row],[Função]],1)),
SUMIF(tabLimpGeral[TIPO],"Material",tabLimpGeral[VALOR UNITÁRIO P/ HORA (R$)])*75,
IF(ISNUMBER(SEARCH("AUXILIAR DE LIMPEZA - 110 H",tabParametros[[#This Row],[Função]],1)),
SUMIF(tabLimpGeral[TIPO],"Material",tabLimpGeral[VALOR UNITÁRIO P/ HORA (R$)])*110,
IF(ISNUMBER(SEARCH("AUXILIAR DE LIMPEZA - 150 H",tabParametros[[#This Row],[Função]],1)),
SUMIF(tabLimpGeral[TIPO],"Material",tabLimpGeral[VALOR UNITÁRIO P/ HORA (R$)])*150,
IF(ISNUMBER(SEARCH("AUXILIAR DE LIMPEZA - 220 H",tabParametros[[#This Row],[Função]],1)),
SUMIF(tabLimpGeral[TIPO],"Material",tabLimpGeral[VALOR UNITÁRIO P/ HORA (R$)])*220,
IF(ISNUMBER(SEARCH("AUXILIAR DE LIMPEZA - 12 x 36",tabParametros[[#This Row],[Função]],1)),
SUMIF(tabLimpGeral[TIPO],"Material",tabLimpGeral[VALOR UNITÁRIO P/ HORA (R$)])*220,
IF(ISNUMBER(SEARCH("Limpador de vidros - 220 h",tabParametros[[#This Row],[Função]],1)),
SUMIF(tabVidros[TIPO],"Material",tabVidros[VALOR UNITÁRIO P/ POSTO (R$)]),
0))))))</f>
        <v>35.518212958583888</v>
      </c>
      <c r="AZ133" s="281">
        <f>IF(ISNUMBER(SEARCH("AUXILIAR DE LIMPEZA - 75 H",tabParametros[[#This Row],[Função]],1)),
SUMIF(tabLimpGeral[TIPO],"Equipamento",tabLimpGeral[VALOR UNITÁRIO P/ HORA (R$)])*75,
IF(ISNUMBER(SEARCH("AUXILIAR DE LIMPEZA - 110 H",tabParametros[[#This Row],[Função]],1)),
SUMIF(tabLimpGeral[TIPO],"Equipamento",tabLimpGeral[VALOR UNITÁRIO P/ HORA (R$)])*110,
IF(ISNUMBER(SEARCH("AUXILIAR DE LIMPEZA - 150 H",tabParametros[[#This Row],[Função]],1)),
SUMIF(tabLimpGeral[TIPO],"Equipamento",tabLimpGeral[VALOR UNITÁRIO P/ HORA (R$)])*150,
IF(ISNUMBER(SEARCH("AUXILIAR DE LIMPEZA - 220 H",tabParametros[[#This Row],[Função]],1)),
SUMIF(tabLimpGeral[TIPO],"Equipamento",tabLimpGeral[VALOR UNITÁRIO P/ HORA (R$)])*220,
IF(ISNUMBER(SEARCH("AUXILIAR DE LIMPEZA - 12 x 36",tabParametros[[#This Row],[Função]],1)),
SUMIF(tabLimpGeral[TIPO],"Equipamento",tabLimpGeral[VALOR UNITÁRIO P/ HORA (R$)])*220,
IF(ISNUMBER(SEARCH("Limpador de vidros - 220 h",tabParametros[[#This Row],[Função]],1)),
SUMIF(tabVidros[TIPO],"Equipamento",tabVidros[VALOR UNITÁRIO P/ POSTO (R$)]),
0))))))</f>
        <v>64.529393914825576</v>
      </c>
      <c r="BA133" s="281">
        <f>IF(ISNUMBER(SEARCH("AUXILIAR DE LIMPEZA - 75 H",tabParametros[[#This Row],[Função]],1)),
SUMIF(tabLimpGeral[TIPO],"Produto",tabLimpGeral[VALOR UNITÁRIO P/ HORA (R$)])*75,
IF(ISNUMBER(SEARCH("AUXILIAR DE LIMPEZA - 110 H",tabParametros[[#This Row],[Função]],1)),
SUMIF(tabLimpGeral[TIPO],"Produto",tabLimpGeral[VALOR UNITÁRIO P/ HORA (R$)])*110,
IF(ISNUMBER(SEARCH("AUXILIAR DE LIMPEZA - 150 H",tabParametros[[#This Row],[Função]],1)),
SUMIF(tabLimpGeral[TIPO],"Produto",tabLimpGeral[VALOR UNITÁRIO P/ HORA (R$)])*150,
IF(ISNUMBER(SEARCH("AUXILIAR DE LIMPEZA - 220 H",tabParametros[[#This Row],[Função]],1)),
SUMIF(tabLimpGeral[TIPO],"Produto",tabLimpGeral[VALOR UNITÁRIO P/ HORA (R$)])*220,
IF(ISNUMBER(SEARCH("AUXILIAR DE LIMPEZA - 12 x 36",tabParametros[[#This Row],[Função]],1)),
SUMIF(tabLimpGeral[TIPO],"Produto",tabLimpGeral[VALOR UNITÁRIO P/ HORA (R$)])*220,
IF(ISNUMBER(SEARCH("Limpador de vidros - 220 h",tabParametros[[#This Row],[Função]],1)),
SUMIF(tabVidros[TIPO],"Produto",tabVidros[VALOR UNITÁRIO P/ POSTO (R$)]),
0))))))</f>
        <v>690.27153277931654</v>
      </c>
      <c r="BB133" s="281">
        <v>0</v>
      </c>
      <c r="BC133" s="236">
        <f>VLOOKUP(tabParametros[[#Headers],[Custos Indiretos]],tabOutrosCustos[],3,0)</f>
        <v>189.64880140242613</v>
      </c>
      <c r="BD133" s="236">
        <f>VLOOKUP(tabParametros[[#Headers],[Lucro]],tabOutrosCustos[],3,0)</f>
        <v>159.30499317803796</v>
      </c>
      <c r="BE133" s="235">
        <f>VLOOKUP(tabParametros[[#Headers],[COFINS]],tabImpostosNacionais[],2,0)</f>
        <v>7.5999999999999998E-2</v>
      </c>
      <c r="BF133" s="235">
        <f>VLOOKUP(tabParametros[[#Headers],[PIS]],tabImpostosNacionais[],2,0)</f>
        <v>1.6500000000000001E-2</v>
      </c>
      <c r="BG133" s="235">
        <f>VLOOKUP(tabParametros[[#This Row],[Comarca]],tabComarca[],4,0)</f>
        <v>0.03</v>
      </c>
      <c r="BH133" s="238">
        <f>IFERROR(VLOOKUP(tabParametros[[#This Row],[CCT DA CATEGORIA]],tabSindicatos[],11,0),"")</f>
        <v>45658</v>
      </c>
      <c r="BI133" s="289" t="str">
        <f>IFERROR(VLOOKUP(tabParametros[[#This Row],[CCT DA CATEGORIA]],tabSindicatos[],12,0),"")</f>
        <v>-</v>
      </c>
      <c r="BJ133" s="293" t="str">
        <f>IFERROR(VLOOKUP(tabParametros[[#This Row],[CCT DA CATEGORIA]],tabSindicatos[],13,0),"")</f>
        <v>-</v>
      </c>
    </row>
    <row r="134" spans="1:62" x14ac:dyDescent="0.25">
      <c r="A134" s="233" t="s">
        <v>1470</v>
      </c>
      <c r="B134" s="198" t="s">
        <v>122</v>
      </c>
      <c r="C134" s="198" t="s">
        <v>1247</v>
      </c>
      <c r="D134" s="198" t="str">
        <f>VLOOKUP(tabParametros[[#This Row],[Código do Posto]],tabPostos[],4,0)</f>
        <v>Regiao de Teofilo Otoni</v>
      </c>
      <c r="E134" s="289" t="str">
        <f>VLOOKUP(tabParametros[[#This Row],[Código do Posto]],tabPostos[],5,0)</f>
        <v>Limpeza</v>
      </c>
      <c r="F134" s="289" t="str">
        <f>VLOOKUP(tabParametros[[#This Row],[Código do Posto]],tabPostos[],6,0)</f>
        <v>PGJ</v>
      </c>
      <c r="G134" s="289">
        <f>VLOOKUP(tabParametros[[#This Row],[Código do Posto]],tabPostos[],7,0)</f>
        <v>1</v>
      </c>
      <c r="H134" s="289">
        <f>VLOOKUP(tabParametros[[#This Row],[Código do Posto]],tabPostos[],8,0)</f>
        <v>0</v>
      </c>
      <c r="I134" s="234">
        <f>VLOOKUP(tabParametros[[#This Row],[Código do Posto]],tabPostos[],9,0)</f>
        <v>544.17999999999995</v>
      </c>
      <c r="J134" s="234">
        <f>IF(ISNUMBER(SEARCH("Eletricista",tabParametros[[#This Row],[Função]],1)),0.3*tabParametros[[#This Row],[Salário Base]],0)</f>
        <v>0</v>
      </c>
      <c r="K134" s="234">
        <f>IF(OR(ISNUMBER(SEARCH("Bombeiro Hidraulico",tabParametros[[#This Row],[Função]],1)),ISNUMBER(SEARCH("Jardineiro",tabParametros[[#This Row],[Função]],1)),ISNUMBER(SEARCH("Lavador de Veiculos",tabParametros[[#This Row],[Função]],1)),ISNUMBER(SEARCH("Marceneiro",tabParametros[[#This Row],[Função]],1)),ISNUMBER(SEARCH("Pintor",tabParametros[[#This Row],[Função]],1))),0.2*'BASE GERAL'!$R$4,0)</f>
        <v>0</v>
      </c>
      <c r="L134" s="234">
        <f>IF(AND(ISNUMBER(SEARCH("Noturno",tabParametros[[#This Row],[Função]],1)),tabParametros[[#This Row],[Comarca]]&lt;&gt;"Juiz de Fora"),tabParametros[[#This Row],[Salário Base]]/210*0.39*7*15.5,IF(ISNUMBER(SEARCH("Noturno",tabParametros[[#This Row],[Função]],1)),tabParametros[[#This Row],[Salário Base]]/210*0.2*8*15.5,0))</f>
        <v>0</v>
      </c>
      <c r="M134" s="234">
        <f>IF(ISNUMBER(SEARCH("Motorista II",tabParametros[[#This Row],[Função]],1)),0.25*tabParametros[[#This Row],[Salário Base]],0)</f>
        <v>0</v>
      </c>
      <c r="N134" s="250">
        <v>0</v>
      </c>
      <c r="O134" s="234">
        <f>IF(ISNUMBER(SEARCH("TECNOLOGIA DA INFORMACAO",tabParametros[[#This Row],[Função]],1)),0.0201*tabParametros[[#This Row],[Salário Base]],0)</f>
        <v>0</v>
      </c>
      <c r="P134" s="250" cm="1">
        <f t="array" ref="P134">_xlfn.IFS(
ISNUMBER(SEARCH("Auxiliar de Limpeza - 75 h",tabParametros[[#This Row],[Função]],1)),tabParametros[[#This Row],[Salário Base]]/75*0.75*30*0.12,
ISNUMBER(SEARCH("Auxiliar de Limpeza - 110 h",tabParametros[[#This Row],[Função]],1)),tabParametros[[#This Row],[Salário Base]]/110*1*30*0.12,
ISNUMBER(SEARCH("Auxiliar de Limpeza - 150 h",tabParametros[[#This Row],[Função]],1)),tabParametros[[#This Row],[Salário Base]]/150*1.5*30*0.12,
ISNUMBER(SEARCH("Auxiliar de Limpeza - 220 h",tabParametros[[#This Row],[Função]],1)),tabParametros[[#This Row],[Salário Base]]/220*2*30*0.12,
ISNUMBER(SEARCH("Auxiliar de Limpeza - 12 x 36",tabParametros[[#This Row],[Função]],1)),tabParametros[[#This Row],[Salário Base]]/220*2*30*0.12,
ISNUMBER(SEARCH("Auxiliar de Limpeza - 55 h",tabParametros[[#This Row],[Função]],1))=FALSE,0)</f>
        <v>19.590479999999999</v>
      </c>
      <c r="Q134" s="235">
        <f>VLOOKUP(tabParametros[[#Headers],[INSS]],tabImpostosNacionais[],2,0)</f>
        <v>0.2</v>
      </c>
      <c r="R134" s="235">
        <f>VLOOKUP(tabParametros[[#Headers],[SESI OU SESC]],tabImpostosNacionais[],2,0)</f>
        <v>1.4999999999999999E-2</v>
      </c>
      <c r="S134" s="235">
        <f>VLOOKUP(tabParametros[[#Headers],[SENAI OU SENAC]],tabImpostosNacionais[],2,0)</f>
        <v>0.01</v>
      </c>
      <c r="T134" s="235">
        <f>VLOOKUP(tabParametros[[#Headers],[INCRA]],tabImpostosNacionais[],2,0)</f>
        <v>2E-3</v>
      </c>
      <c r="U134" s="235">
        <f>VLOOKUP(tabParametros[[#Headers],[Salário Educação]],tabImpostosNacionais[],2,0)</f>
        <v>2.5000000000000001E-2</v>
      </c>
      <c r="V134" s="235">
        <f>VLOOKUP(tabParametros[[#Headers],[FGTS]],tabImpostosNacionais[],2,0)</f>
        <v>0.08</v>
      </c>
      <c r="W134" s="235">
        <f>VLOOKUP(tabParametros[[#Headers],[RAT Ajustado]],tabImpostosNacionais[],2,0)</f>
        <v>0.04</v>
      </c>
      <c r="X134" s="235">
        <f>VLOOKUP(tabParametros[[#Headers],[SEBRAE]],tabImpostosNacionais[],2,0)</f>
        <v>6.0000000000000001E-3</v>
      </c>
      <c r="Y134" s="235">
        <f t="shared" si="22"/>
        <v>8.3333333333333329E-2</v>
      </c>
      <c r="Z134" s="251">
        <f t="shared" si="23"/>
        <v>0.1111111111111111</v>
      </c>
      <c r="AA134" s="234">
        <f>VLOOKUP(tabParametros[[#This Row],[Comarca]],tabComarca[],5,0)</f>
        <v>6.4</v>
      </c>
      <c r="AB134" s="234">
        <f>IFERROR(VLOOKUP(tabParametros[[#This Row],[CCT DA CATEGORIA]],tabSindicatos[],6,0),0)</f>
        <v>29.15</v>
      </c>
      <c r="AC134" s="234">
        <f>IFERROR(VLOOKUP(tabParametros[[#This Row],[CCT DA CATEGORIA]],tabSindicatos[],7,0),0)</f>
        <v>0</v>
      </c>
      <c r="AD134" s="234" cm="1">
        <f t="array" ref="AD134">_xlfn.LET(
_xlpm.COMARCA, TRIM(UPPER(SUBSTITUTE(SUBSTITUTE(SUBSTITUTE(SUBSTITUTE(SUBSTITUTE(SUBSTITUTE(SUBSTITUTE(SUBSTITUTE(SUBSTITUTE(SUBSTITUTE(SUBSTITUTE(SUBSTITUTE(SUBSTITUTE(SUBSTITUTE(SUBSTITUTE(SUBSTITUTE(SUBSTITUTE(SUBSTITUTE(SUBSTITUTE(SUBSTITUTE(SUBSTITUTE(SUBSTITUTE(SUBSTITUTE(SUBSTITUTE(SUBSTITUTE(SUBSTITUTE(tabParametros[[#This Row],[Comarca]],"á","a"),"ã","a"),"â","a"),"é","e"),"ê","e"),"í","i"),"ó","o"),"õ","o"),"ô","o"),"ú","u"),"ç","c"),"Á","a"),"Ã","a"),"Â","a"),"É","e"),"Ê","e"),"Í","i"),"Ó","o"),"Õ","o"),"Ô","o"),"Ú","u"),"Ç","c"),"/MG","")," e ",", ")," ",""),".",""))),
_xlpm.MATRIZ_COMARCA, TRIM(UPPER(SUBSTITUTE(SUBSTITUTE(SUBSTITUTE(SUBSTITUTE(SUBSTITUTE(SUBSTITUTE(SUBSTITUTE(SUBSTITUTE(SUBSTITUTE(SUBSTITUTE(SUBSTITUTE(SUBSTITUTE(SUBSTITUTE(SUBSTITUTE(SUBSTITUTE(SUBSTITUTE(SUBSTITUTE(SUBSTITUTE(SUBSTITUTE(SUBSTITUTE(SUBSTITUTE(SUBSTITUTE(SUBSTITUTE(SUBSTITUTE(SUBSTITUTE(SUBSTITUTE(tabSindicatos[COMARCAS PAF],"á","a"),"ã","a"),"â","a"),"é","e"),"ê","e"),"í","i"),"ó","o"),"õ","o"),"ô","o"),"ú","u"),"ç","c"),"Á","a"),"Ã","a"),"Â","a"),"É","e"),"Ê","e"),"Í","i"),"Ó","o"),"Õ","o"),"Ô","o"),"Ú","u"),"Ç","c"),"/MG","")," e ",", ")," ",""),".",""))),
IFERROR(IF(_xlfn.XLOOKUP(tabParametros[[#This Row],[CCT DA CATEGORIA]],tabSindicatos[SINDICATOS],tabSindicatos[COMARCAS PAF])="",
VLOOKUP(tabParametros[[#This Row],[CCT DA CATEGORIA]],tabSindicatos[],8,0),
IF(ISNUMBER(SEARCH(TRIM(_xlpm.COMARCA),_xlfn.XLOOKUP(tabParametros[[#This Row],[CCT DA CATEGORIA]],tabSindicatos[SINDICATOS],_xlpm.MATRIZ_COMARCA),1)),VLOOKUP(tabParametros[[#This Row],[CCT DA CATEGORIA]],tabSindicatos[],8,0),0)
),0)
)</f>
        <v>0</v>
      </c>
      <c r="AE134" s="234">
        <f>IFERROR(VLOOKUP(tabParametros[[#This Row],[CCT DA CATEGORIA]],tabSindicatos[],9,0),0)</f>
        <v>15.07</v>
      </c>
      <c r="AF134" s="234">
        <f>IFERROR(VLOOKUP(tabParametros[[#This Row],[CCT DA CATEGORIA]],tabSindicatos[],10,0),0)</f>
        <v>0</v>
      </c>
      <c r="AG134" s="236">
        <f>VLOOKUP(tabParametros[[#Headers],[Seguro de Vida]],tabOutrosCustos[],3,0)</f>
        <v>3.36</v>
      </c>
      <c r="AH134" s="236">
        <f>IF(ISNUMBER(SEARCH("MOTORISTA",tabParametros[[#This Row],[Função]],1)),VLOOKUP("MOTORISTAS",tabDiarias[],2,0),IF(tabParametros[[#This Row],[Comarca]]="Belo Horizonte",VLOOKUP("LIMPEZA",tabDiarias[],2,0),0))</f>
        <v>0</v>
      </c>
      <c r="AI134" s="235">
        <f t="shared" si="24"/>
        <v>7.011766975308642E-3</v>
      </c>
      <c r="AJ134" s="237">
        <f>tabParametros[[#This Row],[FGTS]]*tabParametros[[#This Row],[Aviso Prévio Indenizado (API) e Reflexo do Aviso Prévio Indenizado]]</f>
        <v>5.609413580246914E-4</v>
      </c>
      <c r="AK134" s="237">
        <f>tabParametros[[#This Row],[FGTS]]*tabParametros[[#This Row],[Aviso Prévio Indenizado (API) e Reflexo do Aviso Prévio Indenizado]]*40%</f>
        <v>2.2437654320987658E-4</v>
      </c>
      <c r="AL134" s="235">
        <f t="shared" si="25"/>
        <v>3.5000000000000005E-3</v>
      </c>
      <c r="AM134" s="235">
        <f>tabParametros[[#This Row],[Aviso Prévio Trabalhado - APT]]*SUM(tabParametros[[#This Row],[INSS]:[SEBRAE]])</f>
        <v>1.3230000000000004E-3</v>
      </c>
      <c r="AN134" s="235">
        <f t="shared" si="26"/>
        <v>3.0577777777777773E-2</v>
      </c>
      <c r="AO134" s="235">
        <f t="shared" si="27"/>
        <v>8.3333333333333339E-4</v>
      </c>
      <c r="AP134" s="235">
        <f t="shared" si="28"/>
        <v>8.4444444444444437E-3</v>
      </c>
      <c r="AQ134" s="235">
        <f t="shared" si="29"/>
        <v>2.0277777777777777E-3</v>
      </c>
      <c r="AR134" s="235">
        <f t="shared" si="30"/>
        <v>1.7083333333333333E-4</v>
      </c>
      <c r="AS134" s="235">
        <f t="shared" si="31"/>
        <v>2.0833333333333335E-4</v>
      </c>
      <c r="AT134" s="235">
        <f t="shared" si="32"/>
        <v>1.2962962962962963E-3</v>
      </c>
      <c r="AU134" s="237">
        <f>SUM(tabParametros[[#This Row],[Ausência por Doença]:[Férias, Adicional de Férias e 13º  com empregada em gozo de Licença Maternidade]])*SUM(tabParametros[[#This Row],[INSS]:[SEBRAE]])</f>
        <v>4.5918250000000008E-3</v>
      </c>
      <c r="AV134" s="234">
        <f>IF(tabParametros[[#This Row],[Função]]="Porteiro - 220 h",SUM(tabParametros[[#This Row],[Salário Base]:[Adicional de Acúmulo de função]])/220*20*1.5,IF(ISNUMBER(SEARCH("12 x 36",tabParametros[[#This Row],[Função]],1)),SUM(tabParametros[[#This Row],[Salário Base]:[Adicional de Acúmulo de função]])/210*15.5*1.5,0))</f>
        <v>0</v>
      </c>
      <c r="AW134" s="234">
        <f>IF(tabParametros[[#This Row],[Vagas contratadas]]&gt;0,(SUM(tabParametros[[#This Row],[Salário Base]:[Adicional de Acúmulo de função]])*30%+SUM(tabParametros[[#This Row],[Vale - Alimentação]:[Seguro de Vida]]))/tabParametros[[#This Row],[Vagas contratadas]]*tabParametros[[#This Row],[Vagas suspensas]],0)</f>
        <v>0</v>
      </c>
      <c r="AX134" s="234">
        <f>SUMIF(tabUniformes[Cargo],tabParametros[[#This Row],[Função]],tabUniformes[Valor unit. Mensal])</f>
        <v>62.806666666666665</v>
      </c>
      <c r="AY134" s="281">
        <f>IF(ISNUMBER(SEARCH("AUXILIAR DE LIMPEZA - 75 H",tabParametros[[#This Row],[Função]],1)),
SUMIF(tabLimpGeral[TIPO],"Material",tabLimpGeral[VALOR UNITÁRIO P/ HORA (R$)])*75,
IF(ISNUMBER(SEARCH("AUXILIAR DE LIMPEZA - 110 H",tabParametros[[#This Row],[Função]],1)),
SUMIF(tabLimpGeral[TIPO],"Material",tabLimpGeral[VALOR UNITÁRIO P/ HORA (R$)])*110,
IF(ISNUMBER(SEARCH("AUXILIAR DE LIMPEZA - 150 H",tabParametros[[#This Row],[Função]],1)),
SUMIF(tabLimpGeral[TIPO],"Material",tabLimpGeral[VALOR UNITÁRIO P/ HORA (R$)])*150,
IF(ISNUMBER(SEARCH("AUXILIAR DE LIMPEZA - 220 H",tabParametros[[#This Row],[Função]],1)),
SUMIF(tabLimpGeral[TIPO],"Material",tabLimpGeral[VALOR UNITÁRIO P/ HORA (R$)])*220,
IF(ISNUMBER(SEARCH("AUXILIAR DE LIMPEZA - 12 x 36",tabParametros[[#This Row],[Função]],1)),
SUMIF(tabLimpGeral[TIPO],"Material",tabLimpGeral[VALOR UNITÁRIO P/ HORA (R$)])*220,
IF(ISNUMBER(SEARCH("Limpador de vidros - 220 h",tabParametros[[#This Row],[Função]],1)),
SUMIF(tabVidros[TIPO],"Material",tabVidros[VALOR UNITÁRIO P/ POSTO (R$)]),
0))))))</f>
        <v>12.108481690426325</v>
      </c>
      <c r="AZ134" s="281">
        <f>IF(ISNUMBER(SEARCH("AUXILIAR DE LIMPEZA - 75 H",tabParametros[[#This Row],[Função]],1)),
SUMIF(tabLimpGeral[TIPO],"Equipamento",tabLimpGeral[VALOR UNITÁRIO P/ HORA (R$)])*75,
IF(ISNUMBER(SEARCH("AUXILIAR DE LIMPEZA - 110 H",tabParametros[[#This Row],[Função]],1)),
SUMIF(tabLimpGeral[TIPO],"Equipamento",tabLimpGeral[VALOR UNITÁRIO P/ HORA (R$)])*110,
IF(ISNUMBER(SEARCH("AUXILIAR DE LIMPEZA - 150 H",tabParametros[[#This Row],[Função]],1)),
SUMIF(tabLimpGeral[TIPO],"Equipamento",tabLimpGeral[VALOR UNITÁRIO P/ HORA (R$)])*150,
IF(ISNUMBER(SEARCH("AUXILIAR DE LIMPEZA - 220 H",tabParametros[[#This Row],[Função]],1)),
SUMIF(tabLimpGeral[TIPO],"Equipamento",tabLimpGeral[VALOR UNITÁRIO P/ HORA (R$)])*220,
IF(ISNUMBER(SEARCH("AUXILIAR DE LIMPEZA - 12 x 36",tabParametros[[#This Row],[Função]],1)),
SUMIF(tabLimpGeral[TIPO],"Equipamento",tabLimpGeral[VALOR UNITÁRIO P/ HORA (R$)])*220,
IF(ISNUMBER(SEARCH("Limpador de vidros - 220 h",tabParametros[[#This Row],[Função]],1)),
SUMIF(tabVidros[TIPO],"Equipamento",tabVidros[VALOR UNITÁRIO P/ POSTO (R$)]),
0))))))</f>
        <v>21.998657016417809</v>
      </c>
      <c r="BA134" s="281">
        <f>IF(ISNUMBER(SEARCH("AUXILIAR DE LIMPEZA - 75 H",tabParametros[[#This Row],[Função]],1)),
SUMIF(tabLimpGeral[TIPO],"Produto",tabLimpGeral[VALOR UNITÁRIO P/ HORA (R$)])*75,
IF(ISNUMBER(SEARCH("AUXILIAR DE LIMPEZA - 110 H",tabParametros[[#This Row],[Função]],1)),
SUMIF(tabLimpGeral[TIPO],"Produto",tabLimpGeral[VALOR UNITÁRIO P/ HORA (R$)])*110,
IF(ISNUMBER(SEARCH("AUXILIAR DE LIMPEZA - 150 H",tabParametros[[#This Row],[Função]],1)),
SUMIF(tabLimpGeral[TIPO],"Produto",tabLimpGeral[VALOR UNITÁRIO P/ HORA (R$)])*150,
IF(ISNUMBER(SEARCH("AUXILIAR DE LIMPEZA - 220 H",tabParametros[[#This Row],[Função]],1)),
SUMIF(tabLimpGeral[TIPO],"Produto",tabLimpGeral[VALOR UNITÁRIO P/ HORA (R$)])*220,
IF(ISNUMBER(SEARCH("AUXILIAR DE LIMPEZA - 12 x 36",tabParametros[[#This Row],[Função]],1)),
SUMIF(tabLimpGeral[TIPO],"Produto",tabLimpGeral[VALOR UNITÁRIO P/ HORA (R$)])*220,
IF(ISNUMBER(SEARCH("Limpador de vidros - 220 h",tabParametros[[#This Row],[Função]],1)),
SUMIF(tabVidros[TIPO],"Produto",tabVidros[VALOR UNITÁRIO P/ POSTO (R$)]),
0))))))</f>
        <v>235.31984072022155</v>
      </c>
      <c r="BB134" s="281">
        <v>0</v>
      </c>
      <c r="BC134" s="236">
        <f>VLOOKUP(tabParametros[[#Headers],[Custos Indiretos]],tabOutrosCustos[],3,0)</f>
        <v>189.64880140242613</v>
      </c>
      <c r="BD134" s="236">
        <f>VLOOKUP(tabParametros[[#Headers],[Lucro]],tabOutrosCustos[],3,0)</f>
        <v>159.30499317803796</v>
      </c>
      <c r="BE134" s="235">
        <f>VLOOKUP(tabParametros[[#Headers],[COFINS]],tabImpostosNacionais[],2,0)</f>
        <v>7.5999999999999998E-2</v>
      </c>
      <c r="BF134" s="235">
        <f>VLOOKUP(tabParametros[[#Headers],[PIS]],tabImpostosNacionais[],2,0)</f>
        <v>1.6500000000000001E-2</v>
      </c>
      <c r="BG134" s="235">
        <f>VLOOKUP(tabParametros[[#This Row],[Comarca]],tabComarca[],4,0)</f>
        <v>0.05</v>
      </c>
      <c r="BH134" s="238">
        <f>IFERROR(VLOOKUP(tabParametros[[#This Row],[CCT DA CATEGORIA]],tabSindicatos[],11,0),"")</f>
        <v>45658</v>
      </c>
      <c r="BI134" s="289" t="str">
        <f>IFERROR(VLOOKUP(tabParametros[[#This Row],[CCT DA CATEGORIA]],tabSindicatos[],12,0),"")</f>
        <v>-</v>
      </c>
      <c r="BJ134" s="293" t="str">
        <f>IFERROR(VLOOKUP(tabParametros[[#This Row],[CCT DA CATEGORIA]],tabSindicatos[],13,0),"")</f>
        <v>-</v>
      </c>
    </row>
    <row r="135" spans="1:62" x14ac:dyDescent="0.25">
      <c r="A135" s="233" t="s">
        <v>1471</v>
      </c>
      <c r="B135" s="198" t="s">
        <v>123</v>
      </c>
      <c r="C135" s="198" t="s">
        <v>1247</v>
      </c>
      <c r="D135" s="198" t="str">
        <f>VLOOKUP(tabParametros[[#This Row],[Código do Posto]],tabPostos[],4,0)</f>
        <v>Joao Monlevade</v>
      </c>
      <c r="E135" s="289" t="str">
        <f>VLOOKUP(tabParametros[[#This Row],[Código do Posto]],tabPostos[],5,0)</f>
        <v>Limpeza</v>
      </c>
      <c r="F135" s="289" t="str">
        <f>VLOOKUP(tabParametros[[#This Row],[Código do Posto]],tabPostos[],6,0)</f>
        <v>PGJ</v>
      </c>
      <c r="G135" s="289">
        <f>VLOOKUP(tabParametros[[#This Row],[Código do Posto]],tabPostos[],7,0)</f>
        <v>1</v>
      </c>
      <c r="H135" s="289">
        <f>VLOOKUP(tabParametros[[#This Row],[Código do Posto]],tabPostos[],8,0)</f>
        <v>0</v>
      </c>
      <c r="I135" s="234">
        <f>VLOOKUP(tabParametros[[#This Row],[Código do Posto]],tabPostos[],9,0)</f>
        <v>562.20000000000005</v>
      </c>
      <c r="J135" s="234">
        <f>IF(ISNUMBER(SEARCH("Eletricista",tabParametros[[#This Row],[Função]],1)),0.3*tabParametros[[#This Row],[Salário Base]],0)</f>
        <v>0</v>
      </c>
      <c r="K135" s="234">
        <f>IF(OR(ISNUMBER(SEARCH("Bombeiro Hidraulico",tabParametros[[#This Row],[Função]],1)),ISNUMBER(SEARCH("Jardineiro",tabParametros[[#This Row],[Função]],1)),ISNUMBER(SEARCH("Lavador de Veiculos",tabParametros[[#This Row],[Função]],1)),ISNUMBER(SEARCH("Marceneiro",tabParametros[[#This Row],[Função]],1)),ISNUMBER(SEARCH("Pintor",tabParametros[[#This Row],[Função]],1))),0.2*'BASE GERAL'!$R$4,0)</f>
        <v>0</v>
      </c>
      <c r="L135" s="234">
        <f>IF(AND(ISNUMBER(SEARCH("Noturno",tabParametros[[#This Row],[Função]],1)),tabParametros[[#This Row],[Comarca]]&lt;&gt;"Juiz de Fora"),tabParametros[[#This Row],[Salário Base]]/210*0.39*7*15.5,IF(ISNUMBER(SEARCH("Noturno",tabParametros[[#This Row],[Função]],1)),tabParametros[[#This Row],[Salário Base]]/210*0.2*8*15.5,0))</f>
        <v>0</v>
      </c>
      <c r="M135" s="234">
        <f>IF(ISNUMBER(SEARCH("Motorista II",tabParametros[[#This Row],[Função]],1)),0.25*tabParametros[[#This Row],[Salário Base]],0)</f>
        <v>0</v>
      </c>
      <c r="N135" s="250">
        <v>0</v>
      </c>
      <c r="O135" s="234">
        <f>IF(ISNUMBER(SEARCH("TECNOLOGIA DA INFORMACAO",tabParametros[[#This Row],[Função]],1)),0.0201*tabParametros[[#This Row],[Salário Base]],0)</f>
        <v>0</v>
      </c>
      <c r="P135" s="250" cm="1">
        <f t="array" ref="P135">_xlfn.IFS(
ISNUMBER(SEARCH("Auxiliar de Limpeza - 75 h",tabParametros[[#This Row],[Função]],1)),tabParametros[[#This Row],[Salário Base]]/75*0.75*30*0.12,
ISNUMBER(SEARCH("Auxiliar de Limpeza - 110 h",tabParametros[[#This Row],[Função]],1)),tabParametros[[#This Row],[Salário Base]]/110*1*30*0.12,
ISNUMBER(SEARCH("Auxiliar de Limpeza - 150 h",tabParametros[[#This Row],[Função]],1)),tabParametros[[#This Row],[Salário Base]]/150*1.5*30*0.12,
ISNUMBER(SEARCH("Auxiliar de Limpeza - 220 h",tabParametros[[#This Row],[Função]],1)),tabParametros[[#This Row],[Salário Base]]/220*2*30*0.12,
ISNUMBER(SEARCH("Auxiliar de Limpeza - 12 x 36",tabParametros[[#This Row],[Função]],1)),tabParametros[[#This Row],[Salário Base]]/220*2*30*0.12,
ISNUMBER(SEARCH("Auxiliar de Limpeza - 55 h",tabParametros[[#This Row],[Função]],1))=FALSE,0)</f>
        <v>20.2392</v>
      </c>
      <c r="Q135" s="235">
        <f>VLOOKUP(tabParametros[[#Headers],[INSS]],tabImpostosNacionais[],2,0)</f>
        <v>0.2</v>
      </c>
      <c r="R135" s="235">
        <f>VLOOKUP(tabParametros[[#Headers],[SESI OU SESC]],tabImpostosNacionais[],2,0)</f>
        <v>1.4999999999999999E-2</v>
      </c>
      <c r="S135" s="235">
        <f>VLOOKUP(tabParametros[[#Headers],[SENAI OU SENAC]],tabImpostosNacionais[],2,0)</f>
        <v>0.01</v>
      </c>
      <c r="T135" s="235">
        <f>VLOOKUP(tabParametros[[#Headers],[INCRA]],tabImpostosNacionais[],2,0)</f>
        <v>2E-3</v>
      </c>
      <c r="U135" s="235">
        <f>VLOOKUP(tabParametros[[#Headers],[Salário Educação]],tabImpostosNacionais[],2,0)</f>
        <v>2.5000000000000001E-2</v>
      </c>
      <c r="V135" s="235">
        <f>VLOOKUP(tabParametros[[#Headers],[FGTS]],tabImpostosNacionais[],2,0)</f>
        <v>0.08</v>
      </c>
      <c r="W135" s="235">
        <f>VLOOKUP(tabParametros[[#Headers],[RAT Ajustado]],tabImpostosNacionais[],2,0)</f>
        <v>0.04</v>
      </c>
      <c r="X135" s="235">
        <f>VLOOKUP(tabParametros[[#Headers],[SEBRAE]],tabImpostosNacionais[],2,0)</f>
        <v>6.0000000000000001E-3</v>
      </c>
      <c r="Y135" s="235">
        <f t="shared" si="22"/>
        <v>8.3333333333333329E-2</v>
      </c>
      <c r="Z135" s="251">
        <f t="shared" si="23"/>
        <v>0.1111111111111111</v>
      </c>
      <c r="AA135" s="234">
        <f>VLOOKUP(tabParametros[[#This Row],[Comarca]],tabComarca[],5,0)</f>
        <v>6.4</v>
      </c>
      <c r="AB135" s="234">
        <f>IFERROR(VLOOKUP(tabParametros[[#This Row],[CCT DA CATEGORIA]],tabSindicatos[],6,0),0)</f>
        <v>29.15</v>
      </c>
      <c r="AC135" s="234">
        <f>IFERROR(VLOOKUP(tabParametros[[#This Row],[CCT DA CATEGORIA]],tabSindicatos[],7,0),0)</f>
        <v>0</v>
      </c>
      <c r="AD135" s="234" cm="1">
        <f t="array" ref="AD135">_xlfn.LET(
_xlpm.COMARCA, TRIM(UPPER(SUBSTITUTE(SUBSTITUTE(SUBSTITUTE(SUBSTITUTE(SUBSTITUTE(SUBSTITUTE(SUBSTITUTE(SUBSTITUTE(SUBSTITUTE(SUBSTITUTE(SUBSTITUTE(SUBSTITUTE(SUBSTITUTE(SUBSTITUTE(SUBSTITUTE(SUBSTITUTE(SUBSTITUTE(SUBSTITUTE(SUBSTITUTE(SUBSTITUTE(SUBSTITUTE(SUBSTITUTE(SUBSTITUTE(SUBSTITUTE(SUBSTITUTE(SUBSTITUTE(tabParametros[[#This Row],[Comarca]],"á","a"),"ã","a"),"â","a"),"é","e"),"ê","e"),"í","i"),"ó","o"),"õ","o"),"ô","o"),"ú","u"),"ç","c"),"Á","a"),"Ã","a"),"Â","a"),"É","e"),"Ê","e"),"Í","i"),"Ó","o"),"Õ","o"),"Ô","o"),"Ú","u"),"Ç","c"),"/MG","")," e ",", ")," ",""),".",""))),
_xlpm.MATRIZ_COMARCA, TRIM(UPPER(SUBSTITUTE(SUBSTITUTE(SUBSTITUTE(SUBSTITUTE(SUBSTITUTE(SUBSTITUTE(SUBSTITUTE(SUBSTITUTE(SUBSTITUTE(SUBSTITUTE(SUBSTITUTE(SUBSTITUTE(SUBSTITUTE(SUBSTITUTE(SUBSTITUTE(SUBSTITUTE(SUBSTITUTE(SUBSTITUTE(SUBSTITUTE(SUBSTITUTE(SUBSTITUTE(SUBSTITUTE(SUBSTITUTE(SUBSTITUTE(SUBSTITUTE(SUBSTITUTE(tabSindicatos[COMARCAS PAF],"á","a"),"ã","a"),"â","a"),"é","e"),"ê","e"),"í","i"),"ó","o"),"õ","o"),"ô","o"),"ú","u"),"ç","c"),"Á","a"),"Ã","a"),"Â","a"),"É","e"),"Ê","e"),"Í","i"),"Ó","o"),"Õ","o"),"Ô","o"),"Ú","u"),"Ç","c"),"/MG","")," e ",", ")," ",""),".",""))),
IFERROR(IF(_xlfn.XLOOKUP(tabParametros[[#This Row],[CCT DA CATEGORIA]],tabSindicatos[SINDICATOS],tabSindicatos[COMARCAS PAF])="",
VLOOKUP(tabParametros[[#This Row],[CCT DA CATEGORIA]],tabSindicatos[],8,0),
IF(ISNUMBER(SEARCH(TRIM(_xlpm.COMARCA),_xlfn.XLOOKUP(tabParametros[[#This Row],[CCT DA CATEGORIA]],tabSindicatos[SINDICATOS],_xlpm.MATRIZ_COMARCA),1)),VLOOKUP(tabParametros[[#This Row],[CCT DA CATEGORIA]],tabSindicatos[],8,0),0)
),0)
)</f>
        <v>51.88</v>
      </c>
      <c r="AE135" s="234">
        <f>IFERROR(VLOOKUP(tabParametros[[#This Row],[CCT DA CATEGORIA]],tabSindicatos[],9,0),0)</f>
        <v>0</v>
      </c>
      <c r="AF135" s="234">
        <f>IFERROR(VLOOKUP(tabParametros[[#This Row],[CCT DA CATEGORIA]],tabSindicatos[],10,0),0)</f>
        <v>0</v>
      </c>
      <c r="AG135" s="236">
        <f>VLOOKUP(tabParametros[[#Headers],[Seguro de Vida]],tabOutrosCustos[],3,0)</f>
        <v>3.36</v>
      </c>
      <c r="AH135" s="236">
        <f>IF(ISNUMBER(SEARCH("MOTORISTA",tabParametros[[#This Row],[Função]],1)),VLOOKUP("MOTORISTAS",tabDiarias[],2,0),IF(tabParametros[[#This Row],[Comarca]]="Belo Horizonte",VLOOKUP("LIMPEZA",tabDiarias[],2,0),0))</f>
        <v>0</v>
      </c>
      <c r="AI135" s="235">
        <f t="shared" si="24"/>
        <v>7.011766975308642E-3</v>
      </c>
      <c r="AJ135" s="237">
        <f>tabParametros[[#This Row],[FGTS]]*tabParametros[[#This Row],[Aviso Prévio Indenizado (API) e Reflexo do Aviso Prévio Indenizado]]</f>
        <v>5.609413580246914E-4</v>
      </c>
      <c r="AK135" s="237">
        <f>tabParametros[[#This Row],[FGTS]]*tabParametros[[#This Row],[Aviso Prévio Indenizado (API) e Reflexo do Aviso Prévio Indenizado]]*40%</f>
        <v>2.2437654320987658E-4</v>
      </c>
      <c r="AL135" s="235">
        <f t="shared" si="25"/>
        <v>3.5000000000000005E-3</v>
      </c>
      <c r="AM135" s="235">
        <f>tabParametros[[#This Row],[Aviso Prévio Trabalhado - APT]]*SUM(tabParametros[[#This Row],[INSS]:[SEBRAE]])</f>
        <v>1.3230000000000004E-3</v>
      </c>
      <c r="AN135" s="235">
        <f t="shared" si="26"/>
        <v>3.0577777777777773E-2</v>
      </c>
      <c r="AO135" s="235">
        <f t="shared" si="27"/>
        <v>8.3333333333333339E-4</v>
      </c>
      <c r="AP135" s="235">
        <f t="shared" si="28"/>
        <v>8.4444444444444437E-3</v>
      </c>
      <c r="AQ135" s="235">
        <f t="shared" si="29"/>
        <v>2.0277777777777777E-3</v>
      </c>
      <c r="AR135" s="235">
        <f t="shared" si="30"/>
        <v>1.7083333333333333E-4</v>
      </c>
      <c r="AS135" s="235">
        <f t="shared" si="31"/>
        <v>2.0833333333333335E-4</v>
      </c>
      <c r="AT135" s="235">
        <f t="shared" si="32"/>
        <v>1.2962962962962963E-3</v>
      </c>
      <c r="AU135" s="237">
        <f>SUM(tabParametros[[#This Row],[Ausência por Doença]:[Férias, Adicional de Férias e 13º  com empregada em gozo de Licença Maternidade]])*SUM(tabParametros[[#This Row],[INSS]:[SEBRAE]])</f>
        <v>4.5918250000000008E-3</v>
      </c>
      <c r="AV135" s="234">
        <f>IF(tabParametros[[#This Row],[Função]]="Porteiro - 220 h",SUM(tabParametros[[#This Row],[Salário Base]:[Adicional de Acúmulo de função]])/220*20*1.5,IF(ISNUMBER(SEARCH("12 x 36",tabParametros[[#This Row],[Função]],1)),SUM(tabParametros[[#This Row],[Salário Base]:[Adicional de Acúmulo de função]])/210*15.5*1.5,0))</f>
        <v>0</v>
      </c>
      <c r="AW135" s="234">
        <f>IF(tabParametros[[#This Row],[Vagas contratadas]]&gt;0,(SUM(tabParametros[[#This Row],[Salário Base]:[Adicional de Acúmulo de função]])*30%+SUM(tabParametros[[#This Row],[Vale - Alimentação]:[Seguro de Vida]]))/tabParametros[[#This Row],[Vagas contratadas]]*tabParametros[[#This Row],[Vagas suspensas]],0)</f>
        <v>0</v>
      </c>
      <c r="AX135" s="234">
        <f>SUMIF(tabUniformes[Cargo],tabParametros[[#This Row],[Função]],tabUniformes[Valor unit. Mensal])</f>
        <v>62.806666666666665</v>
      </c>
      <c r="AY135" s="281">
        <f>IF(ISNUMBER(SEARCH("AUXILIAR DE LIMPEZA - 75 H",tabParametros[[#This Row],[Função]],1)),
SUMIF(tabLimpGeral[TIPO],"Material",tabLimpGeral[VALOR UNITÁRIO P/ HORA (R$)])*75,
IF(ISNUMBER(SEARCH("AUXILIAR DE LIMPEZA - 110 H",tabParametros[[#This Row],[Função]],1)),
SUMIF(tabLimpGeral[TIPO],"Material",tabLimpGeral[VALOR UNITÁRIO P/ HORA (R$)])*110,
IF(ISNUMBER(SEARCH("AUXILIAR DE LIMPEZA - 150 H",tabParametros[[#This Row],[Função]],1)),
SUMIF(tabLimpGeral[TIPO],"Material",tabLimpGeral[VALOR UNITÁRIO P/ HORA (R$)])*150,
IF(ISNUMBER(SEARCH("AUXILIAR DE LIMPEZA - 220 H",tabParametros[[#This Row],[Função]],1)),
SUMIF(tabLimpGeral[TIPO],"Material",tabLimpGeral[VALOR UNITÁRIO P/ HORA (R$)])*220,
IF(ISNUMBER(SEARCH("AUXILIAR DE LIMPEZA - 12 x 36",tabParametros[[#This Row],[Função]],1)),
SUMIF(tabLimpGeral[TIPO],"Material",tabLimpGeral[VALOR UNITÁRIO P/ HORA (R$)])*220,
IF(ISNUMBER(SEARCH("Limpador de vidros - 220 h",tabParametros[[#This Row],[Função]],1)),
SUMIF(tabVidros[TIPO],"Material",tabVidros[VALOR UNITÁRIO P/ POSTO (R$)]),
0))))))</f>
        <v>12.108481690426325</v>
      </c>
      <c r="AZ135" s="281">
        <f>IF(ISNUMBER(SEARCH("AUXILIAR DE LIMPEZA - 75 H",tabParametros[[#This Row],[Função]],1)),
SUMIF(tabLimpGeral[TIPO],"Equipamento",tabLimpGeral[VALOR UNITÁRIO P/ HORA (R$)])*75,
IF(ISNUMBER(SEARCH("AUXILIAR DE LIMPEZA - 110 H",tabParametros[[#This Row],[Função]],1)),
SUMIF(tabLimpGeral[TIPO],"Equipamento",tabLimpGeral[VALOR UNITÁRIO P/ HORA (R$)])*110,
IF(ISNUMBER(SEARCH("AUXILIAR DE LIMPEZA - 150 H",tabParametros[[#This Row],[Função]],1)),
SUMIF(tabLimpGeral[TIPO],"Equipamento",tabLimpGeral[VALOR UNITÁRIO P/ HORA (R$)])*150,
IF(ISNUMBER(SEARCH("AUXILIAR DE LIMPEZA - 220 H",tabParametros[[#This Row],[Função]],1)),
SUMIF(tabLimpGeral[TIPO],"Equipamento",tabLimpGeral[VALOR UNITÁRIO P/ HORA (R$)])*220,
IF(ISNUMBER(SEARCH("AUXILIAR DE LIMPEZA - 12 x 36",tabParametros[[#This Row],[Função]],1)),
SUMIF(tabLimpGeral[TIPO],"Equipamento",tabLimpGeral[VALOR UNITÁRIO P/ HORA (R$)])*220,
IF(ISNUMBER(SEARCH("Limpador de vidros - 220 h",tabParametros[[#This Row],[Função]],1)),
SUMIF(tabVidros[TIPO],"Equipamento",tabVidros[VALOR UNITÁRIO P/ POSTO (R$)]),
0))))))</f>
        <v>21.998657016417809</v>
      </c>
      <c r="BA135" s="281">
        <f>IF(ISNUMBER(SEARCH("AUXILIAR DE LIMPEZA - 75 H",tabParametros[[#This Row],[Função]],1)),
SUMIF(tabLimpGeral[TIPO],"Produto",tabLimpGeral[VALOR UNITÁRIO P/ HORA (R$)])*75,
IF(ISNUMBER(SEARCH("AUXILIAR DE LIMPEZA - 110 H",tabParametros[[#This Row],[Função]],1)),
SUMIF(tabLimpGeral[TIPO],"Produto",tabLimpGeral[VALOR UNITÁRIO P/ HORA (R$)])*110,
IF(ISNUMBER(SEARCH("AUXILIAR DE LIMPEZA - 150 H",tabParametros[[#This Row],[Função]],1)),
SUMIF(tabLimpGeral[TIPO],"Produto",tabLimpGeral[VALOR UNITÁRIO P/ HORA (R$)])*150,
IF(ISNUMBER(SEARCH("AUXILIAR DE LIMPEZA - 220 H",tabParametros[[#This Row],[Função]],1)),
SUMIF(tabLimpGeral[TIPO],"Produto",tabLimpGeral[VALOR UNITÁRIO P/ HORA (R$)])*220,
IF(ISNUMBER(SEARCH("AUXILIAR DE LIMPEZA - 12 x 36",tabParametros[[#This Row],[Função]],1)),
SUMIF(tabLimpGeral[TIPO],"Produto",tabLimpGeral[VALOR UNITÁRIO P/ HORA (R$)])*220,
IF(ISNUMBER(SEARCH("Limpador de vidros - 220 h",tabParametros[[#This Row],[Função]],1)),
SUMIF(tabVidros[TIPO],"Produto",tabVidros[VALOR UNITÁRIO P/ POSTO (R$)]),
0))))))</f>
        <v>235.31984072022155</v>
      </c>
      <c r="BB135" s="281">
        <v>0</v>
      </c>
      <c r="BC135" s="236">
        <f>VLOOKUP(tabParametros[[#Headers],[Custos Indiretos]],tabOutrosCustos[],3,0)</f>
        <v>189.64880140242613</v>
      </c>
      <c r="BD135" s="236">
        <f>VLOOKUP(tabParametros[[#Headers],[Lucro]],tabOutrosCustos[],3,0)</f>
        <v>159.30499317803796</v>
      </c>
      <c r="BE135" s="235">
        <f>VLOOKUP(tabParametros[[#Headers],[COFINS]],tabImpostosNacionais[],2,0)</f>
        <v>7.5999999999999998E-2</v>
      </c>
      <c r="BF135" s="235">
        <f>VLOOKUP(tabParametros[[#Headers],[PIS]],tabImpostosNacionais[],2,0)</f>
        <v>1.6500000000000001E-2</v>
      </c>
      <c r="BG135" s="235">
        <f>VLOOKUP(tabParametros[[#This Row],[Comarca]],tabComarca[],4,0)</f>
        <v>0.05</v>
      </c>
      <c r="BH135" s="238">
        <f>IFERROR(VLOOKUP(tabParametros[[#This Row],[CCT DA CATEGORIA]],tabSindicatos[],11,0),"")</f>
        <v>45658</v>
      </c>
      <c r="BI135" s="289" t="str">
        <f>IFERROR(VLOOKUP(tabParametros[[#This Row],[CCT DA CATEGORIA]],tabSindicatos[],12,0),"")</f>
        <v>-</v>
      </c>
      <c r="BJ135" s="293" t="str">
        <f>IFERROR(VLOOKUP(tabParametros[[#This Row],[CCT DA CATEGORIA]],tabSindicatos[],13,0),"")</f>
        <v>-</v>
      </c>
    </row>
    <row r="136" spans="1:62" x14ac:dyDescent="0.25">
      <c r="A136" s="233" t="s">
        <v>1472</v>
      </c>
      <c r="B136" s="198" t="s">
        <v>123</v>
      </c>
      <c r="C136" s="198" t="s">
        <v>1245</v>
      </c>
      <c r="D136" s="198" t="str">
        <f>VLOOKUP(tabParametros[[#This Row],[Código do Posto]],tabPostos[],4,0)</f>
        <v>Joao Monlevade</v>
      </c>
      <c r="E136" s="289" t="str">
        <f>VLOOKUP(tabParametros[[#This Row],[Código do Posto]],tabPostos[],5,0)</f>
        <v>Limpeza</v>
      </c>
      <c r="F136" s="289" t="str">
        <f>VLOOKUP(tabParametros[[#This Row],[Código do Posto]],tabPostos[],6,0)</f>
        <v>PGJ</v>
      </c>
      <c r="G136" s="289">
        <f>VLOOKUP(tabParametros[[#This Row],[Código do Posto]],tabPostos[],7,0)</f>
        <v>1</v>
      </c>
      <c r="H136" s="289">
        <f>VLOOKUP(tabParametros[[#This Row],[Código do Posto]],tabPostos[],8,0)</f>
        <v>0</v>
      </c>
      <c r="I136" s="234">
        <f>VLOOKUP(tabParametros[[#This Row],[Código do Posto]],tabPostos[],9,0)</f>
        <v>1649.12</v>
      </c>
      <c r="J136" s="234">
        <f>IF(ISNUMBER(SEARCH("Eletricista",tabParametros[[#This Row],[Função]],1)),0.3*tabParametros[[#This Row],[Salário Base]],0)</f>
        <v>0</v>
      </c>
      <c r="K136" s="234">
        <f>IF(OR(ISNUMBER(SEARCH("Bombeiro Hidraulico",tabParametros[[#This Row],[Função]],1)),ISNUMBER(SEARCH("Jardineiro",tabParametros[[#This Row],[Função]],1)),ISNUMBER(SEARCH("Lavador de Veiculos",tabParametros[[#This Row],[Função]],1)),ISNUMBER(SEARCH("Marceneiro",tabParametros[[#This Row],[Função]],1)),ISNUMBER(SEARCH("Pintor",tabParametros[[#This Row],[Função]],1))),0.2*'BASE GERAL'!$R$4,0)</f>
        <v>0</v>
      </c>
      <c r="L136" s="234">
        <f>IF(AND(ISNUMBER(SEARCH("Noturno",tabParametros[[#This Row],[Função]],1)),tabParametros[[#This Row],[Comarca]]&lt;&gt;"Juiz de Fora"),tabParametros[[#This Row],[Salário Base]]/210*0.39*7*15.5,IF(ISNUMBER(SEARCH("Noturno",tabParametros[[#This Row],[Função]],1)),tabParametros[[#This Row],[Salário Base]]/210*0.2*8*15.5,0))</f>
        <v>0</v>
      </c>
      <c r="M136" s="234">
        <f>IF(ISNUMBER(SEARCH("Motorista II",tabParametros[[#This Row],[Função]],1)),0.25*tabParametros[[#This Row],[Salário Base]],0)</f>
        <v>0</v>
      </c>
      <c r="N136" s="250">
        <v>0</v>
      </c>
      <c r="O136" s="234">
        <f>IF(ISNUMBER(SEARCH("TECNOLOGIA DA INFORMACAO",tabParametros[[#This Row],[Função]],1)),0.0201*tabParametros[[#This Row],[Salário Base]],0)</f>
        <v>0</v>
      </c>
      <c r="P136" s="250" cm="1">
        <f t="array" ref="P136">_xlfn.IFS(
ISNUMBER(SEARCH("Auxiliar de Limpeza - 75 h",tabParametros[[#This Row],[Função]],1)),tabParametros[[#This Row],[Salário Base]]/75*0.75*30*0.12,
ISNUMBER(SEARCH("Auxiliar de Limpeza - 110 h",tabParametros[[#This Row],[Função]],1)),tabParametros[[#This Row],[Salário Base]]/110*1*30*0.12,
ISNUMBER(SEARCH("Auxiliar de Limpeza - 150 h",tabParametros[[#This Row],[Função]],1)),tabParametros[[#This Row],[Salário Base]]/150*1.5*30*0.12,
ISNUMBER(SEARCH("Auxiliar de Limpeza - 220 h",tabParametros[[#This Row],[Função]],1)),tabParametros[[#This Row],[Salário Base]]/220*2*30*0.12,
ISNUMBER(SEARCH("Auxiliar de Limpeza - 12 x 36",tabParametros[[#This Row],[Função]],1)),tabParametros[[#This Row],[Salário Base]]/220*2*30*0.12,
ISNUMBER(SEARCH("Auxiliar de Limpeza - 55 h",tabParametros[[#This Row],[Função]],1))=FALSE,0)</f>
        <v>53.971199999999996</v>
      </c>
      <c r="Q136" s="235">
        <f>VLOOKUP(tabParametros[[#Headers],[INSS]],tabImpostosNacionais[],2,0)</f>
        <v>0.2</v>
      </c>
      <c r="R136" s="235">
        <f>VLOOKUP(tabParametros[[#Headers],[SESI OU SESC]],tabImpostosNacionais[],2,0)</f>
        <v>1.4999999999999999E-2</v>
      </c>
      <c r="S136" s="235">
        <f>VLOOKUP(tabParametros[[#Headers],[SENAI OU SENAC]],tabImpostosNacionais[],2,0)</f>
        <v>0.01</v>
      </c>
      <c r="T136" s="235">
        <f>VLOOKUP(tabParametros[[#Headers],[INCRA]],tabImpostosNacionais[],2,0)</f>
        <v>2E-3</v>
      </c>
      <c r="U136" s="235">
        <f>VLOOKUP(tabParametros[[#Headers],[Salário Educação]],tabImpostosNacionais[],2,0)</f>
        <v>2.5000000000000001E-2</v>
      </c>
      <c r="V136" s="235">
        <f>VLOOKUP(tabParametros[[#Headers],[FGTS]],tabImpostosNacionais[],2,0)</f>
        <v>0.08</v>
      </c>
      <c r="W136" s="235">
        <f>VLOOKUP(tabParametros[[#Headers],[RAT Ajustado]],tabImpostosNacionais[],2,0)</f>
        <v>0.04</v>
      </c>
      <c r="X136" s="235">
        <f>VLOOKUP(tabParametros[[#Headers],[SEBRAE]],tabImpostosNacionais[],2,0)</f>
        <v>6.0000000000000001E-3</v>
      </c>
      <c r="Y136" s="235">
        <f t="shared" si="22"/>
        <v>8.3333333333333329E-2</v>
      </c>
      <c r="Z136" s="251">
        <f t="shared" si="23"/>
        <v>0.1111111111111111</v>
      </c>
      <c r="AA136" s="234">
        <f>VLOOKUP(tabParametros[[#This Row],[Comarca]],tabComarca[],5,0)</f>
        <v>6.4</v>
      </c>
      <c r="AB136" s="234">
        <f>IFERROR(VLOOKUP(tabParametros[[#This Row],[CCT DA CATEGORIA]],tabSindicatos[],6,0),0)</f>
        <v>29.15</v>
      </c>
      <c r="AC136" s="234">
        <f>IFERROR(VLOOKUP(tabParametros[[#This Row],[CCT DA CATEGORIA]],tabSindicatos[],7,0),0)</f>
        <v>0</v>
      </c>
      <c r="AD136" s="234" cm="1">
        <f t="array" ref="AD136">_xlfn.LET(
_xlpm.COMARCA, TRIM(UPPER(SUBSTITUTE(SUBSTITUTE(SUBSTITUTE(SUBSTITUTE(SUBSTITUTE(SUBSTITUTE(SUBSTITUTE(SUBSTITUTE(SUBSTITUTE(SUBSTITUTE(SUBSTITUTE(SUBSTITUTE(SUBSTITUTE(SUBSTITUTE(SUBSTITUTE(SUBSTITUTE(SUBSTITUTE(SUBSTITUTE(SUBSTITUTE(SUBSTITUTE(SUBSTITUTE(SUBSTITUTE(SUBSTITUTE(SUBSTITUTE(SUBSTITUTE(SUBSTITUTE(tabParametros[[#This Row],[Comarca]],"á","a"),"ã","a"),"â","a"),"é","e"),"ê","e"),"í","i"),"ó","o"),"õ","o"),"ô","o"),"ú","u"),"ç","c"),"Á","a"),"Ã","a"),"Â","a"),"É","e"),"Ê","e"),"Í","i"),"Ó","o"),"Õ","o"),"Ô","o"),"Ú","u"),"Ç","c"),"/MG","")," e ",", ")," ",""),".",""))),
_xlpm.MATRIZ_COMARCA, TRIM(UPPER(SUBSTITUTE(SUBSTITUTE(SUBSTITUTE(SUBSTITUTE(SUBSTITUTE(SUBSTITUTE(SUBSTITUTE(SUBSTITUTE(SUBSTITUTE(SUBSTITUTE(SUBSTITUTE(SUBSTITUTE(SUBSTITUTE(SUBSTITUTE(SUBSTITUTE(SUBSTITUTE(SUBSTITUTE(SUBSTITUTE(SUBSTITUTE(SUBSTITUTE(SUBSTITUTE(SUBSTITUTE(SUBSTITUTE(SUBSTITUTE(SUBSTITUTE(SUBSTITUTE(tabSindicatos[COMARCAS PAF],"á","a"),"ã","a"),"â","a"),"é","e"),"ê","e"),"í","i"),"ó","o"),"õ","o"),"ô","o"),"ú","u"),"ç","c"),"Á","a"),"Ã","a"),"Â","a"),"É","e"),"Ê","e"),"Í","i"),"Ó","o"),"Õ","o"),"Ô","o"),"Ú","u"),"Ç","c"),"/MG","")," e ",", ")," ",""),".",""))),
IFERROR(IF(_xlfn.XLOOKUP(tabParametros[[#This Row],[CCT DA CATEGORIA]],tabSindicatos[SINDICATOS],tabSindicatos[COMARCAS PAF])="",
VLOOKUP(tabParametros[[#This Row],[CCT DA CATEGORIA]],tabSindicatos[],8,0),
IF(ISNUMBER(SEARCH(TRIM(_xlpm.COMARCA),_xlfn.XLOOKUP(tabParametros[[#This Row],[CCT DA CATEGORIA]],tabSindicatos[SINDICATOS],_xlpm.MATRIZ_COMARCA),1)),VLOOKUP(tabParametros[[#This Row],[CCT DA CATEGORIA]],tabSindicatos[],8,0),0)
),0)
)</f>
        <v>51.88</v>
      </c>
      <c r="AE136" s="234">
        <f>IFERROR(VLOOKUP(tabParametros[[#This Row],[CCT DA CATEGORIA]],tabSindicatos[],9,0),0)</f>
        <v>0</v>
      </c>
      <c r="AF136" s="234">
        <f>IFERROR(VLOOKUP(tabParametros[[#This Row],[CCT DA CATEGORIA]],tabSindicatos[],10,0),0)</f>
        <v>0</v>
      </c>
      <c r="AG136" s="236">
        <f>VLOOKUP(tabParametros[[#Headers],[Seguro de Vida]],tabOutrosCustos[],3,0)</f>
        <v>3.36</v>
      </c>
      <c r="AH136" s="236">
        <f>IF(ISNUMBER(SEARCH("MOTORISTA",tabParametros[[#This Row],[Função]],1)),VLOOKUP("MOTORISTAS",tabDiarias[],2,0),IF(tabParametros[[#This Row],[Comarca]]="Belo Horizonte",VLOOKUP("LIMPEZA",tabDiarias[],2,0),0))</f>
        <v>0</v>
      </c>
      <c r="AI136" s="235">
        <f t="shared" si="24"/>
        <v>7.011766975308642E-3</v>
      </c>
      <c r="AJ136" s="237">
        <f>tabParametros[[#This Row],[FGTS]]*tabParametros[[#This Row],[Aviso Prévio Indenizado (API) e Reflexo do Aviso Prévio Indenizado]]</f>
        <v>5.609413580246914E-4</v>
      </c>
      <c r="AK136" s="237">
        <f>tabParametros[[#This Row],[FGTS]]*tabParametros[[#This Row],[Aviso Prévio Indenizado (API) e Reflexo do Aviso Prévio Indenizado]]*40%</f>
        <v>2.2437654320987658E-4</v>
      </c>
      <c r="AL136" s="235">
        <f t="shared" si="25"/>
        <v>3.5000000000000005E-3</v>
      </c>
      <c r="AM136" s="235">
        <f>tabParametros[[#This Row],[Aviso Prévio Trabalhado - APT]]*SUM(tabParametros[[#This Row],[INSS]:[SEBRAE]])</f>
        <v>1.3230000000000004E-3</v>
      </c>
      <c r="AN136" s="235">
        <f t="shared" si="26"/>
        <v>3.0577777777777773E-2</v>
      </c>
      <c r="AO136" s="235">
        <f t="shared" si="27"/>
        <v>8.3333333333333339E-4</v>
      </c>
      <c r="AP136" s="235">
        <f t="shared" si="28"/>
        <v>8.4444444444444437E-3</v>
      </c>
      <c r="AQ136" s="235">
        <f t="shared" si="29"/>
        <v>2.0277777777777777E-3</v>
      </c>
      <c r="AR136" s="235">
        <f t="shared" si="30"/>
        <v>1.7083333333333333E-4</v>
      </c>
      <c r="AS136" s="235">
        <f t="shared" si="31"/>
        <v>2.0833333333333335E-4</v>
      </c>
      <c r="AT136" s="235">
        <f t="shared" si="32"/>
        <v>1.2962962962962963E-3</v>
      </c>
      <c r="AU136" s="237">
        <f>SUM(tabParametros[[#This Row],[Ausência por Doença]:[Férias, Adicional de Férias e 13º  com empregada em gozo de Licença Maternidade]])*SUM(tabParametros[[#This Row],[INSS]:[SEBRAE]])</f>
        <v>4.5918250000000008E-3</v>
      </c>
      <c r="AV136" s="234">
        <f>IF(tabParametros[[#This Row],[Função]]="Porteiro - 220 h",SUM(tabParametros[[#This Row],[Salário Base]:[Adicional de Acúmulo de função]])/220*20*1.5,IF(ISNUMBER(SEARCH("12 x 36",tabParametros[[#This Row],[Função]],1)),SUM(tabParametros[[#This Row],[Salário Base]:[Adicional de Acúmulo de função]])/210*15.5*1.5,0))</f>
        <v>0</v>
      </c>
      <c r="AW136" s="234">
        <f>IF(tabParametros[[#This Row],[Vagas contratadas]]&gt;0,(SUM(tabParametros[[#This Row],[Salário Base]:[Adicional de Acúmulo de função]])*30%+SUM(tabParametros[[#This Row],[Vale - Alimentação]:[Seguro de Vida]]))/tabParametros[[#This Row],[Vagas contratadas]]*tabParametros[[#This Row],[Vagas suspensas]],0)</f>
        <v>0</v>
      </c>
      <c r="AX136" s="234">
        <f>SUMIF(tabUniformes[Cargo],tabParametros[[#This Row],[Função]],tabUniformes[Valor unit. Mensal])</f>
        <v>100.80916666666666</v>
      </c>
      <c r="AY136" s="281">
        <f>IF(ISNUMBER(SEARCH("AUXILIAR DE LIMPEZA - 75 H",tabParametros[[#This Row],[Função]],1)),
SUMIF(tabLimpGeral[TIPO],"Material",tabLimpGeral[VALOR UNITÁRIO P/ HORA (R$)])*75,
IF(ISNUMBER(SEARCH("AUXILIAR DE LIMPEZA - 110 H",tabParametros[[#This Row],[Função]],1)),
SUMIF(tabLimpGeral[TIPO],"Material",tabLimpGeral[VALOR UNITÁRIO P/ HORA (R$)])*110,
IF(ISNUMBER(SEARCH("AUXILIAR DE LIMPEZA - 150 H",tabParametros[[#This Row],[Função]],1)),
SUMIF(tabLimpGeral[TIPO],"Material",tabLimpGeral[VALOR UNITÁRIO P/ HORA (R$)])*150,
IF(ISNUMBER(SEARCH("AUXILIAR DE LIMPEZA - 220 H",tabParametros[[#This Row],[Função]],1)),
SUMIF(tabLimpGeral[TIPO],"Material",tabLimpGeral[VALOR UNITÁRIO P/ HORA (R$)])*220,
IF(ISNUMBER(SEARCH("AUXILIAR DE LIMPEZA - 12 x 36",tabParametros[[#This Row],[Função]],1)),
SUMIF(tabLimpGeral[TIPO],"Material",tabLimpGeral[VALOR UNITÁRIO P/ HORA (R$)])*220,
IF(ISNUMBER(SEARCH("Limpador de vidros - 220 h",tabParametros[[#This Row],[Função]],1)),
SUMIF(tabVidros[TIPO],"Material",tabVidros[VALOR UNITÁRIO P/ POSTO (R$)]),
0))))))</f>
        <v>35.518212958583888</v>
      </c>
      <c r="AZ136" s="281">
        <f>IF(ISNUMBER(SEARCH("AUXILIAR DE LIMPEZA - 75 H",tabParametros[[#This Row],[Função]],1)),
SUMIF(tabLimpGeral[TIPO],"Equipamento",tabLimpGeral[VALOR UNITÁRIO P/ HORA (R$)])*75,
IF(ISNUMBER(SEARCH("AUXILIAR DE LIMPEZA - 110 H",tabParametros[[#This Row],[Função]],1)),
SUMIF(tabLimpGeral[TIPO],"Equipamento",tabLimpGeral[VALOR UNITÁRIO P/ HORA (R$)])*110,
IF(ISNUMBER(SEARCH("AUXILIAR DE LIMPEZA - 150 H",tabParametros[[#This Row],[Função]],1)),
SUMIF(tabLimpGeral[TIPO],"Equipamento",tabLimpGeral[VALOR UNITÁRIO P/ HORA (R$)])*150,
IF(ISNUMBER(SEARCH("AUXILIAR DE LIMPEZA - 220 H",tabParametros[[#This Row],[Função]],1)),
SUMIF(tabLimpGeral[TIPO],"Equipamento",tabLimpGeral[VALOR UNITÁRIO P/ HORA (R$)])*220,
IF(ISNUMBER(SEARCH("AUXILIAR DE LIMPEZA - 12 x 36",tabParametros[[#This Row],[Função]],1)),
SUMIF(tabLimpGeral[TIPO],"Equipamento",tabLimpGeral[VALOR UNITÁRIO P/ HORA (R$)])*220,
IF(ISNUMBER(SEARCH("Limpador de vidros - 220 h",tabParametros[[#This Row],[Função]],1)),
SUMIF(tabVidros[TIPO],"Equipamento",tabVidros[VALOR UNITÁRIO P/ POSTO (R$)]),
0))))))</f>
        <v>64.529393914825576</v>
      </c>
      <c r="BA136" s="281">
        <f>IF(ISNUMBER(SEARCH("AUXILIAR DE LIMPEZA - 75 H",tabParametros[[#This Row],[Função]],1)),
SUMIF(tabLimpGeral[TIPO],"Produto",tabLimpGeral[VALOR UNITÁRIO P/ HORA (R$)])*75,
IF(ISNUMBER(SEARCH("AUXILIAR DE LIMPEZA - 110 H",tabParametros[[#This Row],[Função]],1)),
SUMIF(tabLimpGeral[TIPO],"Produto",tabLimpGeral[VALOR UNITÁRIO P/ HORA (R$)])*110,
IF(ISNUMBER(SEARCH("AUXILIAR DE LIMPEZA - 150 H",tabParametros[[#This Row],[Função]],1)),
SUMIF(tabLimpGeral[TIPO],"Produto",tabLimpGeral[VALOR UNITÁRIO P/ HORA (R$)])*150,
IF(ISNUMBER(SEARCH("AUXILIAR DE LIMPEZA - 220 H",tabParametros[[#This Row],[Função]],1)),
SUMIF(tabLimpGeral[TIPO],"Produto",tabLimpGeral[VALOR UNITÁRIO P/ HORA (R$)])*220,
IF(ISNUMBER(SEARCH("AUXILIAR DE LIMPEZA - 12 x 36",tabParametros[[#This Row],[Função]],1)),
SUMIF(tabLimpGeral[TIPO],"Produto",tabLimpGeral[VALOR UNITÁRIO P/ HORA (R$)])*220,
IF(ISNUMBER(SEARCH("Limpador de vidros - 220 h",tabParametros[[#This Row],[Função]],1)),
SUMIF(tabVidros[TIPO],"Produto",tabVidros[VALOR UNITÁRIO P/ POSTO (R$)]),
0))))))</f>
        <v>690.27153277931654</v>
      </c>
      <c r="BB136" s="281">
        <v>0</v>
      </c>
      <c r="BC136" s="236">
        <f>VLOOKUP(tabParametros[[#Headers],[Custos Indiretos]],tabOutrosCustos[],3,0)</f>
        <v>189.64880140242613</v>
      </c>
      <c r="BD136" s="236">
        <f>VLOOKUP(tabParametros[[#Headers],[Lucro]],tabOutrosCustos[],3,0)</f>
        <v>159.30499317803796</v>
      </c>
      <c r="BE136" s="235">
        <f>VLOOKUP(tabParametros[[#Headers],[COFINS]],tabImpostosNacionais[],2,0)</f>
        <v>7.5999999999999998E-2</v>
      </c>
      <c r="BF136" s="235">
        <f>VLOOKUP(tabParametros[[#Headers],[PIS]],tabImpostosNacionais[],2,0)</f>
        <v>1.6500000000000001E-2</v>
      </c>
      <c r="BG136" s="235">
        <f>VLOOKUP(tabParametros[[#This Row],[Comarca]],tabComarca[],4,0)</f>
        <v>0.05</v>
      </c>
      <c r="BH136" s="238">
        <f>IFERROR(VLOOKUP(tabParametros[[#This Row],[CCT DA CATEGORIA]],tabSindicatos[],11,0),"")</f>
        <v>45658</v>
      </c>
      <c r="BI136" s="289" t="str">
        <f>IFERROR(VLOOKUP(tabParametros[[#This Row],[CCT DA CATEGORIA]],tabSindicatos[],12,0),"")</f>
        <v>-</v>
      </c>
      <c r="BJ136" s="293" t="str">
        <f>IFERROR(VLOOKUP(tabParametros[[#This Row],[CCT DA CATEGORIA]],tabSindicatos[],13,0),"")</f>
        <v>-</v>
      </c>
    </row>
    <row r="137" spans="1:62" x14ac:dyDescent="0.25">
      <c r="A137" s="233" t="s">
        <v>1473</v>
      </c>
      <c r="B137" s="198" t="s">
        <v>124</v>
      </c>
      <c r="C137" s="198" t="s">
        <v>1245</v>
      </c>
      <c r="D137" s="198" t="str">
        <f>VLOOKUP(tabParametros[[#This Row],[Código do Posto]],tabPostos[],4,0)</f>
        <v>Fethemg Interior</v>
      </c>
      <c r="E137" s="289" t="str">
        <f>VLOOKUP(tabParametros[[#This Row],[Código do Posto]],tabPostos[],5,0)</f>
        <v>Limpeza</v>
      </c>
      <c r="F137" s="289" t="str">
        <f>VLOOKUP(tabParametros[[#This Row],[Código do Posto]],tabPostos[],6,0)</f>
        <v>PGJ</v>
      </c>
      <c r="G137" s="289">
        <f>VLOOKUP(tabParametros[[#This Row],[Código do Posto]],tabPostos[],7,0)</f>
        <v>1</v>
      </c>
      <c r="H137" s="289">
        <f>VLOOKUP(tabParametros[[#This Row],[Código do Posto]],tabPostos[],8,0)</f>
        <v>0</v>
      </c>
      <c r="I137" s="234">
        <f>VLOOKUP(tabParametros[[#This Row],[Código do Posto]],tabPostos[],9,0)</f>
        <v>1596.28</v>
      </c>
      <c r="J137" s="234">
        <f>IF(ISNUMBER(SEARCH("Eletricista",tabParametros[[#This Row],[Função]],1)),0.3*tabParametros[[#This Row],[Salário Base]],0)</f>
        <v>0</v>
      </c>
      <c r="K137" s="234">
        <f>IF(OR(ISNUMBER(SEARCH("Bombeiro Hidraulico",tabParametros[[#This Row],[Função]],1)),ISNUMBER(SEARCH("Jardineiro",tabParametros[[#This Row],[Função]],1)),ISNUMBER(SEARCH("Lavador de Veiculos",tabParametros[[#This Row],[Função]],1)),ISNUMBER(SEARCH("Marceneiro",tabParametros[[#This Row],[Função]],1)),ISNUMBER(SEARCH("Pintor",tabParametros[[#This Row],[Função]],1))),0.2*'BASE GERAL'!$R$4,0)</f>
        <v>0</v>
      </c>
      <c r="L137" s="234">
        <f>IF(AND(ISNUMBER(SEARCH("Noturno",tabParametros[[#This Row],[Função]],1)),tabParametros[[#This Row],[Comarca]]&lt;&gt;"Juiz de Fora"),tabParametros[[#This Row],[Salário Base]]/210*0.39*7*15.5,IF(ISNUMBER(SEARCH("Noturno",tabParametros[[#This Row],[Função]],1)),tabParametros[[#This Row],[Salário Base]]/210*0.2*8*15.5,0))</f>
        <v>0</v>
      </c>
      <c r="M137" s="234">
        <f>IF(ISNUMBER(SEARCH("Motorista II",tabParametros[[#This Row],[Função]],1)),0.25*tabParametros[[#This Row],[Salário Base]],0)</f>
        <v>0</v>
      </c>
      <c r="N137" s="250">
        <v>0</v>
      </c>
      <c r="O137" s="234">
        <f>IF(ISNUMBER(SEARCH("TECNOLOGIA DA INFORMACAO",tabParametros[[#This Row],[Função]],1)),0.0201*tabParametros[[#This Row],[Salário Base]],0)</f>
        <v>0</v>
      </c>
      <c r="P137" s="250" cm="1">
        <f t="array" ref="P137">_xlfn.IFS(
ISNUMBER(SEARCH("Auxiliar de Limpeza - 75 h",tabParametros[[#This Row],[Função]],1)),tabParametros[[#This Row],[Salário Base]]/75*0.75*30*0.12,
ISNUMBER(SEARCH("Auxiliar de Limpeza - 110 h",tabParametros[[#This Row],[Função]],1)),tabParametros[[#This Row],[Salário Base]]/110*1*30*0.12,
ISNUMBER(SEARCH("Auxiliar de Limpeza - 150 h",tabParametros[[#This Row],[Função]],1)),tabParametros[[#This Row],[Salário Base]]/150*1.5*30*0.12,
ISNUMBER(SEARCH("Auxiliar de Limpeza - 220 h",tabParametros[[#This Row],[Função]],1)),tabParametros[[#This Row],[Salário Base]]/220*2*30*0.12,
ISNUMBER(SEARCH("Auxiliar de Limpeza - 12 x 36",tabParametros[[#This Row],[Função]],1)),tabParametros[[#This Row],[Salário Base]]/220*2*30*0.12,
ISNUMBER(SEARCH("Auxiliar de Limpeza - 55 h",tabParametros[[#This Row],[Função]],1))=FALSE,0)</f>
        <v>52.241890909090905</v>
      </c>
      <c r="Q137" s="235">
        <f>VLOOKUP(tabParametros[[#Headers],[INSS]],tabImpostosNacionais[],2,0)</f>
        <v>0.2</v>
      </c>
      <c r="R137" s="235">
        <f>VLOOKUP(tabParametros[[#Headers],[SESI OU SESC]],tabImpostosNacionais[],2,0)</f>
        <v>1.4999999999999999E-2</v>
      </c>
      <c r="S137" s="235">
        <f>VLOOKUP(tabParametros[[#Headers],[SENAI OU SENAC]],tabImpostosNacionais[],2,0)</f>
        <v>0.01</v>
      </c>
      <c r="T137" s="235">
        <f>VLOOKUP(tabParametros[[#Headers],[INCRA]],tabImpostosNacionais[],2,0)</f>
        <v>2E-3</v>
      </c>
      <c r="U137" s="235">
        <f>VLOOKUP(tabParametros[[#Headers],[Salário Educação]],tabImpostosNacionais[],2,0)</f>
        <v>2.5000000000000001E-2</v>
      </c>
      <c r="V137" s="235">
        <f>VLOOKUP(tabParametros[[#Headers],[FGTS]],tabImpostosNacionais[],2,0)</f>
        <v>0.08</v>
      </c>
      <c r="W137" s="235">
        <f>VLOOKUP(tabParametros[[#Headers],[RAT Ajustado]],tabImpostosNacionais[],2,0)</f>
        <v>0.04</v>
      </c>
      <c r="X137" s="235">
        <f>VLOOKUP(tabParametros[[#Headers],[SEBRAE]],tabImpostosNacionais[],2,0)</f>
        <v>6.0000000000000001E-3</v>
      </c>
      <c r="Y137" s="235">
        <f t="shared" si="22"/>
        <v>8.3333333333333329E-2</v>
      </c>
      <c r="Z137" s="251">
        <f t="shared" si="23"/>
        <v>0.1111111111111111</v>
      </c>
      <c r="AA137" s="234">
        <f>VLOOKUP(tabParametros[[#This Row],[Comarca]],tabComarca[],5,0)</f>
        <v>6.4</v>
      </c>
      <c r="AB137" s="234">
        <f>IFERROR(VLOOKUP(tabParametros[[#This Row],[CCT DA CATEGORIA]],tabSindicatos[],6,0),0)</f>
        <v>29.15</v>
      </c>
      <c r="AC137" s="234">
        <f>IFERROR(VLOOKUP(tabParametros[[#This Row],[CCT DA CATEGORIA]],tabSindicatos[],7,0),0)</f>
        <v>0</v>
      </c>
      <c r="AD137" s="234" cm="1">
        <f t="array" ref="AD137">_xlfn.LET(
_xlpm.COMARCA, TRIM(UPPER(SUBSTITUTE(SUBSTITUTE(SUBSTITUTE(SUBSTITUTE(SUBSTITUTE(SUBSTITUTE(SUBSTITUTE(SUBSTITUTE(SUBSTITUTE(SUBSTITUTE(SUBSTITUTE(SUBSTITUTE(SUBSTITUTE(SUBSTITUTE(SUBSTITUTE(SUBSTITUTE(SUBSTITUTE(SUBSTITUTE(SUBSTITUTE(SUBSTITUTE(SUBSTITUTE(SUBSTITUTE(SUBSTITUTE(SUBSTITUTE(SUBSTITUTE(SUBSTITUTE(tabParametros[[#This Row],[Comarca]],"á","a"),"ã","a"),"â","a"),"é","e"),"ê","e"),"í","i"),"ó","o"),"õ","o"),"ô","o"),"ú","u"),"ç","c"),"Á","a"),"Ã","a"),"Â","a"),"É","e"),"Ê","e"),"Í","i"),"Ó","o"),"Õ","o"),"Ô","o"),"Ú","u"),"Ç","c"),"/MG","")," e ",", ")," ",""),".",""))),
_xlpm.MATRIZ_COMARCA, TRIM(UPPER(SUBSTITUTE(SUBSTITUTE(SUBSTITUTE(SUBSTITUTE(SUBSTITUTE(SUBSTITUTE(SUBSTITUTE(SUBSTITUTE(SUBSTITUTE(SUBSTITUTE(SUBSTITUTE(SUBSTITUTE(SUBSTITUTE(SUBSTITUTE(SUBSTITUTE(SUBSTITUTE(SUBSTITUTE(SUBSTITUTE(SUBSTITUTE(SUBSTITUTE(SUBSTITUTE(SUBSTITUTE(SUBSTITUTE(SUBSTITUTE(SUBSTITUTE(SUBSTITUTE(tabSindicatos[COMARCAS PAF],"á","a"),"ã","a"),"â","a"),"é","e"),"ê","e"),"í","i"),"ó","o"),"õ","o"),"ô","o"),"ú","u"),"ç","c"),"Á","a"),"Ã","a"),"Â","a"),"É","e"),"Ê","e"),"Í","i"),"Ó","o"),"Õ","o"),"Ô","o"),"Ú","u"),"Ç","c"),"/MG","")," e ",", ")," ",""),".",""))),
IFERROR(IF(_xlfn.XLOOKUP(tabParametros[[#This Row],[CCT DA CATEGORIA]],tabSindicatos[SINDICATOS],tabSindicatos[COMARCAS PAF])="",
VLOOKUP(tabParametros[[#This Row],[CCT DA CATEGORIA]],tabSindicatos[],8,0),
IF(ISNUMBER(SEARCH(TRIM(_xlpm.COMARCA),_xlfn.XLOOKUP(tabParametros[[#This Row],[CCT DA CATEGORIA]],tabSindicatos[SINDICATOS],_xlpm.MATRIZ_COMARCA),1)),VLOOKUP(tabParametros[[#This Row],[CCT DA CATEGORIA]],tabSindicatos[],8,0),0)
),0)
)</f>
        <v>0</v>
      </c>
      <c r="AE137" s="234">
        <f>IFERROR(VLOOKUP(tabParametros[[#This Row],[CCT DA CATEGORIA]],tabSindicatos[],9,0),0)</f>
        <v>15.07</v>
      </c>
      <c r="AF137" s="234">
        <f>IFERROR(VLOOKUP(tabParametros[[#This Row],[CCT DA CATEGORIA]],tabSindicatos[],10,0),0)</f>
        <v>0</v>
      </c>
      <c r="AG137" s="236">
        <f>VLOOKUP(tabParametros[[#Headers],[Seguro de Vida]],tabOutrosCustos[],3,0)</f>
        <v>3.36</v>
      </c>
      <c r="AH137" s="236">
        <f>IF(ISNUMBER(SEARCH("MOTORISTA",tabParametros[[#This Row],[Função]],1)),VLOOKUP("MOTORISTAS",tabDiarias[],2,0),IF(tabParametros[[#This Row],[Comarca]]="Belo Horizonte",VLOOKUP("LIMPEZA",tabDiarias[],2,0),0))</f>
        <v>0</v>
      </c>
      <c r="AI137" s="235">
        <f t="shared" si="24"/>
        <v>7.011766975308642E-3</v>
      </c>
      <c r="AJ137" s="237">
        <f>tabParametros[[#This Row],[FGTS]]*tabParametros[[#This Row],[Aviso Prévio Indenizado (API) e Reflexo do Aviso Prévio Indenizado]]</f>
        <v>5.609413580246914E-4</v>
      </c>
      <c r="AK137" s="237">
        <f>tabParametros[[#This Row],[FGTS]]*tabParametros[[#This Row],[Aviso Prévio Indenizado (API) e Reflexo do Aviso Prévio Indenizado]]*40%</f>
        <v>2.2437654320987658E-4</v>
      </c>
      <c r="AL137" s="235">
        <f t="shared" si="25"/>
        <v>3.5000000000000005E-3</v>
      </c>
      <c r="AM137" s="235">
        <f>tabParametros[[#This Row],[Aviso Prévio Trabalhado - APT]]*SUM(tabParametros[[#This Row],[INSS]:[SEBRAE]])</f>
        <v>1.3230000000000004E-3</v>
      </c>
      <c r="AN137" s="235">
        <f t="shared" si="26"/>
        <v>3.0577777777777773E-2</v>
      </c>
      <c r="AO137" s="235">
        <f t="shared" si="27"/>
        <v>8.3333333333333339E-4</v>
      </c>
      <c r="AP137" s="235">
        <f t="shared" si="28"/>
        <v>8.4444444444444437E-3</v>
      </c>
      <c r="AQ137" s="235">
        <f t="shared" si="29"/>
        <v>2.0277777777777777E-3</v>
      </c>
      <c r="AR137" s="235">
        <f t="shared" si="30"/>
        <v>1.7083333333333333E-4</v>
      </c>
      <c r="AS137" s="235">
        <f t="shared" si="31"/>
        <v>2.0833333333333335E-4</v>
      </c>
      <c r="AT137" s="235">
        <f t="shared" si="32"/>
        <v>1.2962962962962963E-3</v>
      </c>
      <c r="AU137" s="237">
        <f>SUM(tabParametros[[#This Row],[Ausência por Doença]:[Férias, Adicional de Férias e 13º  com empregada em gozo de Licença Maternidade]])*SUM(tabParametros[[#This Row],[INSS]:[SEBRAE]])</f>
        <v>4.5918250000000008E-3</v>
      </c>
      <c r="AV137" s="234">
        <f>IF(tabParametros[[#This Row],[Função]]="Porteiro - 220 h",SUM(tabParametros[[#This Row],[Salário Base]:[Adicional de Acúmulo de função]])/220*20*1.5,IF(ISNUMBER(SEARCH("12 x 36",tabParametros[[#This Row],[Função]],1)),SUM(tabParametros[[#This Row],[Salário Base]:[Adicional de Acúmulo de função]])/210*15.5*1.5,0))</f>
        <v>0</v>
      </c>
      <c r="AW137" s="234">
        <f>IF(tabParametros[[#This Row],[Vagas contratadas]]&gt;0,(SUM(tabParametros[[#This Row],[Salário Base]:[Adicional de Acúmulo de função]])*30%+SUM(tabParametros[[#This Row],[Vale - Alimentação]:[Seguro de Vida]]))/tabParametros[[#This Row],[Vagas contratadas]]*tabParametros[[#This Row],[Vagas suspensas]],0)</f>
        <v>0</v>
      </c>
      <c r="AX137" s="234">
        <f>SUMIF(tabUniformes[Cargo],tabParametros[[#This Row],[Função]],tabUniformes[Valor unit. Mensal])</f>
        <v>100.80916666666666</v>
      </c>
      <c r="AY137" s="281">
        <f>IF(ISNUMBER(SEARCH("AUXILIAR DE LIMPEZA - 75 H",tabParametros[[#This Row],[Função]],1)),
SUMIF(tabLimpGeral[TIPO],"Material",tabLimpGeral[VALOR UNITÁRIO P/ HORA (R$)])*75,
IF(ISNUMBER(SEARCH("AUXILIAR DE LIMPEZA - 110 H",tabParametros[[#This Row],[Função]],1)),
SUMIF(tabLimpGeral[TIPO],"Material",tabLimpGeral[VALOR UNITÁRIO P/ HORA (R$)])*110,
IF(ISNUMBER(SEARCH("AUXILIAR DE LIMPEZA - 150 H",tabParametros[[#This Row],[Função]],1)),
SUMIF(tabLimpGeral[TIPO],"Material",tabLimpGeral[VALOR UNITÁRIO P/ HORA (R$)])*150,
IF(ISNUMBER(SEARCH("AUXILIAR DE LIMPEZA - 220 H",tabParametros[[#This Row],[Função]],1)),
SUMIF(tabLimpGeral[TIPO],"Material",tabLimpGeral[VALOR UNITÁRIO P/ HORA (R$)])*220,
IF(ISNUMBER(SEARCH("AUXILIAR DE LIMPEZA - 12 x 36",tabParametros[[#This Row],[Função]],1)),
SUMIF(tabLimpGeral[TIPO],"Material",tabLimpGeral[VALOR UNITÁRIO P/ HORA (R$)])*220,
IF(ISNUMBER(SEARCH("Limpador de vidros - 220 h",tabParametros[[#This Row],[Função]],1)),
SUMIF(tabVidros[TIPO],"Material",tabVidros[VALOR UNITÁRIO P/ POSTO (R$)]),
0))))))</f>
        <v>35.518212958583888</v>
      </c>
      <c r="AZ137" s="281">
        <f>IF(ISNUMBER(SEARCH("AUXILIAR DE LIMPEZA - 75 H",tabParametros[[#This Row],[Função]],1)),
SUMIF(tabLimpGeral[TIPO],"Equipamento",tabLimpGeral[VALOR UNITÁRIO P/ HORA (R$)])*75,
IF(ISNUMBER(SEARCH("AUXILIAR DE LIMPEZA - 110 H",tabParametros[[#This Row],[Função]],1)),
SUMIF(tabLimpGeral[TIPO],"Equipamento",tabLimpGeral[VALOR UNITÁRIO P/ HORA (R$)])*110,
IF(ISNUMBER(SEARCH("AUXILIAR DE LIMPEZA - 150 H",tabParametros[[#This Row],[Função]],1)),
SUMIF(tabLimpGeral[TIPO],"Equipamento",tabLimpGeral[VALOR UNITÁRIO P/ HORA (R$)])*150,
IF(ISNUMBER(SEARCH("AUXILIAR DE LIMPEZA - 220 H",tabParametros[[#This Row],[Função]],1)),
SUMIF(tabLimpGeral[TIPO],"Equipamento",tabLimpGeral[VALOR UNITÁRIO P/ HORA (R$)])*220,
IF(ISNUMBER(SEARCH("AUXILIAR DE LIMPEZA - 12 x 36",tabParametros[[#This Row],[Função]],1)),
SUMIF(tabLimpGeral[TIPO],"Equipamento",tabLimpGeral[VALOR UNITÁRIO P/ HORA (R$)])*220,
IF(ISNUMBER(SEARCH("Limpador de vidros - 220 h",tabParametros[[#This Row],[Função]],1)),
SUMIF(tabVidros[TIPO],"Equipamento",tabVidros[VALOR UNITÁRIO P/ POSTO (R$)]),
0))))))</f>
        <v>64.529393914825576</v>
      </c>
      <c r="BA137" s="281">
        <f>IF(ISNUMBER(SEARCH("AUXILIAR DE LIMPEZA - 75 H",tabParametros[[#This Row],[Função]],1)),
SUMIF(tabLimpGeral[TIPO],"Produto",tabLimpGeral[VALOR UNITÁRIO P/ HORA (R$)])*75,
IF(ISNUMBER(SEARCH("AUXILIAR DE LIMPEZA - 110 H",tabParametros[[#This Row],[Função]],1)),
SUMIF(tabLimpGeral[TIPO],"Produto",tabLimpGeral[VALOR UNITÁRIO P/ HORA (R$)])*110,
IF(ISNUMBER(SEARCH("AUXILIAR DE LIMPEZA - 150 H",tabParametros[[#This Row],[Função]],1)),
SUMIF(tabLimpGeral[TIPO],"Produto",tabLimpGeral[VALOR UNITÁRIO P/ HORA (R$)])*150,
IF(ISNUMBER(SEARCH("AUXILIAR DE LIMPEZA - 220 H",tabParametros[[#This Row],[Função]],1)),
SUMIF(tabLimpGeral[TIPO],"Produto",tabLimpGeral[VALOR UNITÁRIO P/ HORA (R$)])*220,
IF(ISNUMBER(SEARCH("AUXILIAR DE LIMPEZA - 12 x 36",tabParametros[[#This Row],[Função]],1)),
SUMIF(tabLimpGeral[TIPO],"Produto",tabLimpGeral[VALOR UNITÁRIO P/ HORA (R$)])*220,
IF(ISNUMBER(SEARCH("Limpador de vidros - 220 h",tabParametros[[#This Row],[Função]],1)),
SUMIF(tabVidros[TIPO],"Produto",tabVidros[VALOR UNITÁRIO P/ POSTO (R$)]),
0))))))</f>
        <v>690.27153277931654</v>
      </c>
      <c r="BB137" s="281">
        <v>0</v>
      </c>
      <c r="BC137" s="236">
        <f>VLOOKUP(tabParametros[[#Headers],[Custos Indiretos]],tabOutrosCustos[],3,0)</f>
        <v>189.64880140242613</v>
      </c>
      <c r="BD137" s="236">
        <f>VLOOKUP(tabParametros[[#Headers],[Lucro]],tabOutrosCustos[],3,0)</f>
        <v>159.30499317803796</v>
      </c>
      <c r="BE137" s="235">
        <f>VLOOKUP(tabParametros[[#Headers],[COFINS]],tabImpostosNacionais[],2,0)</f>
        <v>7.5999999999999998E-2</v>
      </c>
      <c r="BF137" s="235">
        <f>VLOOKUP(tabParametros[[#Headers],[PIS]],tabImpostosNacionais[],2,0)</f>
        <v>1.6500000000000001E-2</v>
      </c>
      <c r="BG137" s="235">
        <f>VLOOKUP(tabParametros[[#This Row],[Comarca]],tabComarca[],4,0)</f>
        <v>0.03</v>
      </c>
      <c r="BH137" s="238">
        <f>IFERROR(VLOOKUP(tabParametros[[#This Row],[CCT DA CATEGORIA]],tabSindicatos[],11,0),"")</f>
        <v>45658</v>
      </c>
      <c r="BI137" s="289" t="str">
        <f>IFERROR(VLOOKUP(tabParametros[[#This Row],[CCT DA CATEGORIA]],tabSindicatos[],12,0),"")</f>
        <v>-</v>
      </c>
      <c r="BJ137" s="293" t="str">
        <f>IFERROR(VLOOKUP(tabParametros[[#This Row],[CCT DA CATEGORIA]],tabSindicatos[],13,0),"")</f>
        <v>-</v>
      </c>
    </row>
    <row r="138" spans="1:62" x14ac:dyDescent="0.25">
      <c r="A138" s="233" t="s">
        <v>1474</v>
      </c>
      <c r="B138" s="198" t="s">
        <v>125</v>
      </c>
      <c r="C138" s="198" t="s">
        <v>1244</v>
      </c>
      <c r="D138" s="198" t="str">
        <f>VLOOKUP(tabParametros[[#This Row],[Código do Posto]],tabPostos[],4,0)</f>
        <v>Juiz de Fora</v>
      </c>
      <c r="E138" s="289" t="str">
        <f>VLOOKUP(tabParametros[[#This Row],[Código do Posto]],tabPostos[],5,0)</f>
        <v>Limpeza</v>
      </c>
      <c r="F138" s="289" t="str">
        <f>VLOOKUP(tabParametros[[#This Row],[Código do Posto]],tabPostos[],6,0)</f>
        <v>PGJ</v>
      </c>
      <c r="G138" s="289">
        <f>VLOOKUP(tabParametros[[#This Row],[Código do Posto]],tabPostos[],7,0)</f>
        <v>1</v>
      </c>
      <c r="H138" s="289">
        <f>VLOOKUP(tabParametros[[#This Row],[Código do Posto]],tabPostos[],8,0)</f>
        <v>0</v>
      </c>
      <c r="I138" s="234">
        <f>VLOOKUP(tabParametros[[#This Row],[Código do Posto]],tabPostos[],9,0)</f>
        <v>827.86</v>
      </c>
      <c r="J138" s="234">
        <f>IF(ISNUMBER(SEARCH("Eletricista",tabParametros[[#This Row],[Função]],1)),0.3*tabParametros[[#This Row],[Salário Base]],0)</f>
        <v>0</v>
      </c>
      <c r="K138" s="234">
        <f>IF(OR(ISNUMBER(SEARCH("Bombeiro Hidraulico",tabParametros[[#This Row],[Função]],1)),ISNUMBER(SEARCH("Jardineiro",tabParametros[[#This Row],[Função]],1)),ISNUMBER(SEARCH("Lavador de Veiculos",tabParametros[[#This Row],[Função]],1)),ISNUMBER(SEARCH("Marceneiro",tabParametros[[#This Row],[Função]],1)),ISNUMBER(SEARCH("Pintor",tabParametros[[#This Row],[Função]],1))),0.2*'BASE GERAL'!$R$4,0)</f>
        <v>0</v>
      </c>
      <c r="L138" s="234">
        <f>IF(AND(ISNUMBER(SEARCH("Noturno",tabParametros[[#This Row],[Função]],1)),tabParametros[[#This Row],[Comarca]]&lt;&gt;"Juiz de Fora"),tabParametros[[#This Row],[Salário Base]]/210*0.39*7*15.5,IF(ISNUMBER(SEARCH("Noturno",tabParametros[[#This Row],[Função]],1)),tabParametros[[#This Row],[Salário Base]]/210*0.2*8*15.5,0))</f>
        <v>0</v>
      </c>
      <c r="M138" s="234">
        <f>IF(ISNUMBER(SEARCH("Motorista II",tabParametros[[#This Row],[Função]],1)),0.25*tabParametros[[#This Row],[Salário Base]],0)</f>
        <v>0</v>
      </c>
      <c r="N138" s="250">
        <v>0</v>
      </c>
      <c r="O138" s="234">
        <f>IF(ISNUMBER(SEARCH("TECNOLOGIA DA INFORMACAO",tabParametros[[#This Row],[Função]],1)),0.0201*tabParametros[[#This Row],[Salário Base]],0)</f>
        <v>0</v>
      </c>
      <c r="P138" s="250" cm="1">
        <f t="array" ref="P138">_xlfn.IFS(
ISNUMBER(SEARCH("Auxiliar de Limpeza - 75 h",tabParametros[[#This Row],[Função]],1)),tabParametros[[#This Row],[Salário Base]]/75*0.75*30*0.12,
ISNUMBER(SEARCH("Auxiliar de Limpeza - 110 h",tabParametros[[#This Row],[Função]],1)),tabParametros[[#This Row],[Salário Base]]/110*1*30*0.12,
ISNUMBER(SEARCH("Auxiliar de Limpeza - 150 h",tabParametros[[#This Row],[Função]],1)),tabParametros[[#This Row],[Salário Base]]/150*1.5*30*0.12,
ISNUMBER(SEARCH("Auxiliar de Limpeza - 220 h",tabParametros[[#This Row],[Função]],1)),tabParametros[[#This Row],[Salário Base]]/220*2*30*0.12,
ISNUMBER(SEARCH("Auxiliar de Limpeza - 12 x 36",tabParametros[[#This Row],[Função]],1)),tabParametros[[#This Row],[Salário Base]]/220*2*30*0.12,
ISNUMBER(SEARCH("Auxiliar de Limpeza - 55 h",tabParametros[[#This Row],[Função]],1))=FALSE,0)</f>
        <v>27.093599999999999</v>
      </c>
      <c r="Q138" s="235">
        <f>VLOOKUP(tabParametros[[#Headers],[INSS]],tabImpostosNacionais[],2,0)</f>
        <v>0.2</v>
      </c>
      <c r="R138" s="235">
        <f>VLOOKUP(tabParametros[[#Headers],[SESI OU SESC]],tabImpostosNacionais[],2,0)</f>
        <v>1.4999999999999999E-2</v>
      </c>
      <c r="S138" s="235">
        <f>VLOOKUP(tabParametros[[#Headers],[SENAI OU SENAC]],tabImpostosNacionais[],2,0)</f>
        <v>0.01</v>
      </c>
      <c r="T138" s="235">
        <f>VLOOKUP(tabParametros[[#Headers],[INCRA]],tabImpostosNacionais[],2,0)</f>
        <v>2E-3</v>
      </c>
      <c r="U138" s="235">
        <f>VLOOKUP(tabParametros[[#Headers],[Salário Educação]],tabImpostosNacionais[],2,0)</f>
        <v>2.5000000000000001E-2</v>
      </c>
      <c r="V138" s="235">
        <f>VLOOKUP(tabParametros[[#Headers],[FGTS]],tabImpostosNacionais[],2,0)</f>
        <v>0.08</v>
      </c>
      <c r="W138" s="235">
        <f>VLOOKUP(tabParametros[[#Headers],[RAT Ajustado]],tabImpostosNacionais[],2,0)</f>
        <v>0.04</v>
      </c>
      <c r="X138" s="235">
        <f>VLOOKUP(tabParametros[[#Headers],[SEBRAE]],tabImpostosNacionais[],2,0)</f>
        <v>6.0000000000000001E-3</v>
      </c>
      <c r="Y138" s="235">
        <f t="shared" si="22"/>
        <v>8.3333333333333329E-2</v>
      </c>
      <c r="Z138" s="251">
        <f t="shared" si="23"/>
        <v>0.1111111111111111</v>
      </c>
      <c r="AA138" s="234">
        <f>VLOOKUP(tabParametros[[#This Row],[Comarca]],tabComarca[],5,0)</f>
        <v>6.4</v>
      </c>
      <c r="AB138" s="234">
        <f>IFERROR(VLOOKUP(tabParametros[[#This Row],[CCT DA CATEGORIA]],tabSindicatos[],6,0),0)</f>
        <v>29.15</v>
      </c>
      <c r="AC138" s="234">
        <f>IFERROR(VLOOKUP(tabParametros[[#This Row],[CCT DA CATEGORIA]],tabSindicatos[],7,0),0)</f>
        <v>0</v>
      </c>
      <c r="AD138" s="234" cm="1">
        <f t="array" ref="AD138">_xlfn.LET(
_xlpm.COMARCA, TRIM(UPPER(SUBSTITUTE(SUBSTITUTE(SUBSTITUTE(SUBSTITUTE(SUBSTITUTE(SUBSTITUTE(SUBSTITUTE(SUBSTITUTE(SUBSTITUTE(SUBSTITUTE(SUBSTITUTE(SUBSTITUTE(SUBSTITUTE(SUBSTITUTE(SUBSTITUTE(SUBSTITUTE(SUBSTITUTE(SUBSTITUTE(SUBSTITUTE(SUBSTITUTE(SUBSTITUTE(SUBSTITUTE(SUBSTITUTE(SUBSTITUTE(SUBSTITUTE(SUBSTITUTE(tabParametros[[#This Row],[Comarca]],"á","a"),"ã","a"),"â","a"),"é","e"),"ê","e"),"í","i"),"ó","o"),"õ","o"),"ô","o"),"ú","u"),"ç","c"),"Á","a"),"Ã","a"),"Â","a"),"É","e"),"Ê","e"),"Í","i"),"Ó","o"),"Õ","o"),"Ô","o"),"Ú","u"),"Ç","c"),"/MG","")," e ",", ")," ",""),".",""))),
_xlpm.MATRIZ_COMARCA, TRIM(UPPER(SUBSTITUTE(SUBSTITUTE(SUBSTITUTE(SUBSTITUTE(SUBSTITUTE(SUBSTITUTE(SUBSTITUTE(SUBSTITUTE(SUBSTITUTE(SUBSTITUTE(SUBSTITUTE(SUBSTITUTE(SUBSTITUTE(SUBSTITUTE(SUBSTITUTE(SUBSTITUTE(SUBSTITUTE(SUBSTITUTE(SUBSTITUTE(SUBSTITUTE(SUBSTITUTE(SUBSTITUTE(SUBSTITUTE(SUBSTITUTE(SUBSTITUTE(SUBSTITUTE(tabSindicatos[COMARCAS PAF],"á","a"),"ã","a"),"â","a"),"é","e"),"ê","e"),"í","i"),"ó","o"),"õ","o"),"ô","o"),"ú","u"),"ç","c"),"Á","a"),"Ã","a"),"Â","a"),"É","e"),"Ê","e"),"Í","i"),"Ó","o"),"Õ","o"),"Ô","o"),"Ú","u"),"Ç","c"),"/MG","")," e ",", ")," ",""),".",""))),
IFERROR(IF(_xlfn.XLOOKUP(tabParametros[[#This Row],[CCT DA CATEGORIA]],tabSindicatos[SINDICATOS],tabSindicatos[COMARCAS PAF])="",
VLOOKUP(tabParametros[[#This Row],[CCT DA CATEGORIA]],tabSindicatos[],8,0),
IF(ISNUMBER(SEARCH(TRIM(_xlpm.COMARCA),_xlfn.XLOOKUP(tabParametros[[#This Row],[CCT DA CATEGORIA]],tabSindicatos[SINDICATOS],_xlpm.MATRIZ_COMARCA),1)),VLOOKUP(tabParametros[[#This Row],[CCT DA CATEGORIA]],tabSindicatos[],8,0),0)
),0)
)</f>
        <v>56.3</v>
      </c>
      <c r="AE138" s="234">
        <f>IFERROR(VLOOKUP(tabParametros[[#This Row],[CCT DA CATEGORIA]],tabSindicatos[],9,0),0)</f>
        <v>14.69</v>
      </c>
      <c r="AF138" s="234">
        <f>IFERROR(VLOOKUP(tabParametros[[#This Row],[CCT DA CATEGORIA]],tabSindicatos[],10,0),0)</f>
        <v>0</v>
      </c>
      <c r="AG138" s="236">
        <f>VLOOKUP(tabParametros[[#Headers],[Seguro de Vida]],tabOutrosCustos[],3,0)</f>
        <v>3.36</v>
      </c>
      <c r="AH138" s="236">
        <f>IF(ISNUMBER(SEARCH("MOTORISTA",tabParametros[[#This Row],[Função]],1)),VLOOKUP("MOTORISTAS",tabDiarias[],2,0),IF(tabParametros[[#This Row],[Comarca]]="Belo Horizonte",VLOOKUP("LIMPEZA",tabDiarias[],2,0),0))</f>
        <v>0</v>
      </c>
      <c r="AI138" s="235">
        <f t="shared" si="24"/>
        <v>7.011766975308642E-3</v>
      </c>
      <c r="AJ138" s="237">
        <f>tabParametros[[#This Row],[FGTS]]*tabParametros[[#This Row],[Aviso Prévio Indenizado (API) e Reflexo do Aviso Prévio Indenizado]]</f>
        <v>5.609413580246914E-4</v>
      </c>
      <c r="AK138" s="237">
        <f>tabParametros[[#This Row],[FGTS]]*tabParametros[[#This Row],[Aviso Prévio Indenizado (API) e Reflexo do Aviso Prévio Indenizado]]*40%</f>
        <v>2.2437654320987658E-4</v>
      </c>
      <c r="AL138" s="235">
        <f t="shared" si="25"/>
        <v>3.5000000000000005E-3</v>
      </c>
      <c r="AM138" s="235">
        <f>tabParametros[[#This Row],[Aviso Prévio Trabalhado - APT]]*SUM(tabParametros[[#This Row],[INSS]:[SEBRAE]])</f>
        <v>1.3230000000000004E-3</v>
      </c>
      <c r="AN138" s="235">
        <f t="shared" si="26"/>
        <v>3.0577777777777773E-2</v>
      </c>
      <c r="AO138" s="235">
        <f t="shared" si="27"/>
        <v>8.3333333333333339E-4</v>
      </c>
      <c r="AP138" s="235">
        <f t="shared" si="28"/>
        <v>8.4444444444444437E-3</v>
      </c>
      <c r="AQ138" s="235">
        <f t="shared" si="29"/>
        <v>2.0277777777777777E-3</v>
      </c>
      <c r="AR138" s="235">
        <f t="shared" si="30"/>
        <v>1.7083333333333333E-4</v>
      </c>
      <c r="AS138" s="235">
        <f t="shared" si="31"/>
        <v>2.0833333333333335E-4</v>
      </c>
      <c r="AT138" s="235">
        <f t="shared" si="32"/>
        <v>1.2962962962962963E-3</v>
      </c>
      <c r="AU138" s="237">
        <f>SUM(tabParametros[[#This Row],[Ausência por Doença]:[Férias, Adicional de Férias e 13º  com empregada em gozo de Licença Maternidade]])*SUM(tabParametros[[#This Row],[INSS]:[SEBRAE]])</f>
        <v>4.5918250000000008E-3</v>
      </c>
      <c r="AV138" s="234">
        <f>IF(tabParametros[[#This Row],[Função]]="Porteiro - 220 h",SUM(tabParametros[[#This Row],[Salário Base]:[Adicional de Acúmulo de função]])/220*20*1.5,IF(ISNUMBER(SEARCH("12 x 36",tabParametros[[#This Row],[Função]],1)),SUM(tabParametros[[#This Row],[Salário Base]:[Adicional de Acúmulo de função]])/210*15.5*1.5,0))</f>
        <v>0</v>
      </c>
      <c r="AW138" s="234">
        <f>IF(tabParametros[[#This Row],[Vagas contratadas]]&gt;0,(SUM(tabParametros[[#This Row],[Salário Base]:[Adicional de Acúmulo de função]])*30%+SUM(tabParametros[[#This Row],[Vale - Alimentação]:[Seguro de Vida]]))/tabParametros[[#This Row],[Vagas contratadas]]*tabParametros[[#This Row],[Vagas suspensas]],0)</f>
        <v>0</v>
      </c>
      <c r="AX138" s="234">
        <f>SUMIF(tabUniformes[Cargo],tabParametros[[#This Row],[Função]],tabUniformes[Valor unit. Mensal])</f>
        <v>62.806666666666665</v>
      </c>
      <c r="AY138" s="281">
        <f>IF(ISNUMBER(SEARCH("AUXILIAR DE LIMPEZA - 75 H",tabParametros[[#This Row],[Função]],1)),
SUMIF(tabLimpGeral[TIPO],"Material",tabLimpGeral[VALOR UNITÁRIO P/ HORA (R$)])*75,
IF(ISNUMBER(SEARCH("AUXILIAR DE LIMPEZA - 110 H",tabParametros[[#This Row],[Função]],1)),
SUMIF(tabLimpGeral[TIPO],"Material",tabLimpGeral[VALOR UNITÁRIO P/ HORA (R$)])*110,
IF(ISNUMBER(SEARCH("AUXILIAR DE LIMPEZA - 150 H",tabParametros[[#This Row],[Função]],1)),
SUMIF(tabLimpGeral[TIPO],"Material",tabLimpGeral[VALOR UNITÁRIO P/ HORA (R$)])*150,
IF(ISNUMBER(SEARCH("AUXILIAR DE LIMPEZA - 220 H",tabParametros[[#This Row],[Função]],1)),
SUMIF(tabLimpGeral[TIPO],"Material",tabLimpGeral[VALOR UNITÁRIO P/ HORA (R$)])*220,
IF(ISNUMBER(SEARCH("AUXILIAR DE LIMPEZA - 12 x 36",tabParametros[[#This Row],[Função]],1)),
SUMIF(tabLimpGeral[TIPO],"Material",tabLimpGeral[VALOR UNITÁRIO P/ HORA (R$)])*220,
IF(ISNUMBER(SEARCH("Limpador de vidros - 220 h",tabParametros[[#This Row],[Função]],1)),
SUMIF(tabVidros[TIPO],"Material",tabVidros[VALOR UNITÁRIO P/ POSTO (R$)]),
0))))))</f>
        <v>17.759106479291944</v>
      </c>
      <c r="AZ138" s="281">
        <f>IF(ISNUMBER(SEARCH("AUXILIAR DE LIMPEZA - 75 H",tabParametros[[#This Row],[Função]],1)),
SUMIF(tabLimpGeral[TIPO],"Equipamento",tabLimpGeral[VALOR UNITÁRIO P/ HORA (R$)])*75,
IF(ISNUMBER(SEARCH("AUXILIAR DE LIMPEZA - 110 H",tabParametros[[#This Row],[Função]],1)),
SUMIF(tabLimpGeral[TIPO],"Equipamento",tabLimpGeral[VALOR UNITÁRIO P/ HORA (R$)])*110,
IF(ISNUMBER(SEARCH("AUXILIAR DE LIMPEZA - 150 H",tabParametros[[#This Row],[Função]],1)),
SUMIF(tabLimpGeral[TIPO],"Equipamento",tabLimpGeral[VALOR UNITÁRIO P/ HORA (R$)])*150,
IF(ISNUMBER(SEARCH("AUXILIAR DE LIMPEZA - 220 H",tabParametros[[#This Row],[Função]],1)),
SUMIF(tabLimpGeral[TIPO],"Equipamento",tabLimpGeral[VALOR UNITÁRIO P/ HORA (R$)])*220,
IF(ISNUMBER(SEARCH("AUXILIAR DE LIMPEZA - 12 x 36",tabParametros[[#This Row],[Função]],1)),
SUMIF(tabLimpGeral[TIPO],"Equipamento",tabLimpGeral[VALOR UNITÁRIO P/ HORA (R$)])*220,
IF(ISNUMBER(SEARCH("Limpador de vidros - 220 h",tabParametros[[#This Row],[Função]],1)),
SUMIF(tabVidros[TIPO],"Equipamento",tabVidros[VALOR UNITÁRIO P/ POSTO (R$)]),
0))))))</f>
        <v>32.264696957412788</v>
      </c>
      <c r="BA138" s="281">
        <f>IF(ISNUMBER(SEARCH("AUXILIAR DE LIMPEZA - 75 H",tabParametros[[#This Row],[Função]],1)),
SUMIF(tabLimpGeral[TIPO],"Produto",tabLimpGeral[VALOR UNITÁRIO P/ HORA (R$)])*75,
IF(ISNUMBER(SEARCH("AUXILIAR DE LIMPEZA - 110 H",tabParametros[[#This Row],[Função]],1)),
SUMIF(tabLimpGeral[TIPO],"Produto",tabLimpGeral[VALOR UNITÁRIO P/ HORA (R$)])*110,
IF(ISNUMBER(SEARCH("AUXILIAR DE LIMPEZA - 150 H",tabParametros[[#This Row],[Função]],1)),
SUMIF(tabLimpGeral[TIPO],"Produto",tabLimpGeral[VALOR UNITÁRIO P/ HORA (R$)])*150,
IF(ISNUMBER(SEARCH("AUXILIAR DE LIMPEZA - 220 H",tabParametros[[#This Row],[Função]],1)),
SUMIF(tabLimpGeral[TIPO],"Produto",tabLimpGeral[VALOR UNITÁRIO P/ HORA (R$)])*220,
IF(ISNUMBER(SEARCH("AUXILIAR DE LIMPEZA - 12 x 36",tabParametros[[#This Row],[Função]],1)),
SUMIF(tabLimpGeral[TIPO],"Produto",tabLimpGeral[VALOR UNITÁRIO P/ HORA (R$)])*220,
IF(ISNUMBER(SEARCH("Limpador de vidros - 220 h",tabParametros[[#This Row],[Função]],1)),
SUMIF(tabVidros[TIPO],"Produto",tabVidros[VALOR UNITÁRIO P/ POSTO (R$)]),
0))))))</f>
        <v>345.13576638965827</v>
      </c>
      <c r="BB138" s="281">
        <v>0</v>
      </c>
      <c r="BC138" s="236">
        <f>VLOOKUP(tabParametros[[#Headers],[Custos Indiretos]],tabOutrosCustos[],3,0)</f>
        <v>189.64880140242613</v>
      </c>
      <c r="BD138" s="236">
        <f>VLOOKUP(tabParametros[[#Headers],[Lucro]],tabOutrosCustos[],3,0)</f>
        <v>159.30499317803796</v>
      </c>
      <c r="BE138" s="235">
        <f>VLOOKUP(tabParametros[[#Headers],[COFINS]],tabImpostosNacionais[],2,0)</f>
        <v>7.5999999999999998E-2</v>
      </c>
      <c r="BF138" s="235">
        <f>VLOOKUP(tabParametros[[#Headers],[PIS]],tabImpostosNacionais[],2,0)</f>
        <v>1.6500000000000001E-2</v>
      </c>
      <c r="BG138" s="235">
        <f>VLOOKUP(tabParametros[[#This Row],[Comarca]],tabComarca[],4,0)</f>
        <v>0.03</v>
      </c>
      <c r="BH138" s="238">
        <f>IFERROR(VLOOKUP(tabParametros[[#This Row],[CCT DA CATEGORIA]],tabSindicatos[],11,0),"")</f>
        <v>45658</v>
      </c>
      <c r="BI138" s="289" t="str">
        <f>IFERROR(VLOOKUP(tabParametros[[#This Row],[CCT DA CATEGORIA]],tabSindicatos[],12,0),"")</f>
        <v>-</v>
      </c>
      <c r="BJ138" s="293" t="str">
        <f>IFERROR(VLOOKUP(tabParametros[[#This Row],[CCT DA CATEGORIA]],tabSindicatos[],13,0),"")</f>
        <v>-</v>
      </c>
    </row>
    <row r="139" spans="1:62" x14ac:dyDescent="0.25">
      <c r="A139" s="233" t="s">
        <v>1475</v>
      </c>
      <c r="B139" s="198" t="s">
        <v>125</v>
      </c>
      <c r="C139" s="198" t="s">
        <v>1245</v>
      </c>
      <c r="D139" s="198" t="str">
        <f>VLOOKUP(tabParametros[[#This Row],[Código do Posto]],tabPostos[],4,0)</f>
        <v>Juiz de Fora</v>
      </c>
      <c r="E139" s="289" t="str">
        <f>VLOOKUP(tabParametros[[#This Row],[Código do Posto]],tabPostos[],5,0)</f>
        <v>Limpeza</v>
      </c>
      <c r="F139" s="289" t="str">
        <f>VLOOKUP(tabParametros[[#This Row],[Código do Posto]],tabPostos[],6,0)</f>
        <v>PGJ</v>
      </c>
      <c r="G139" s="289">
        <f>VLOOKUP(tabParametros[[#This Row],[Código do Posto]],tabPostos[],7,0)</f>
        <v>4</v>
      </c>
      <c r="H139" s="289">
        <f>VLOOKUP(tabParametros[[#This Row],[Código do Posto]],tabPostos[],8,0)</f>
        <v>0</v>
      </c>
      <c r="I139" s="234">
        <f>VLOOKUP(tabParametros[[#This Row],[Código do Posto]],tabPostos[],9,0)</f>
        <v>1655.72</v>
      </c>
      <c r="J139" s="234">
        <f>IF(ISNUMBER(SEARCH("Eletricista",tabParametros[[#This Row],[Função]],1)),0.3*tabParametros[[#This Row],[Salário Base]],0)</f>
        <v>0</v>
      </c>
      <c r="K139" s="234">
        <f>IF(OR(ISNUMBER(SEARCH("Bombeiro Hidraulico",tabParametros[[#This Row],[Função]],1)),ISNUMBER(SEARCH("Jardineiro",tabParametros[[#This Row],[Função]],1)),ISNUMBER(SEARCH("Lavador de Veiculos",tabParametros[[#This Row],[Função]],1)),ISNUMBER(SEARCH("Marceneiro",tabParametros[[#This Row],[Função]],1)),ISNUMBER(SEARCH("Pintor",tabParametros[[#This Row],[Função]],1))),0.2*'BASE GERAL'!$R$4,0)</f>
        <v>0</v>
      </c>
      <c r="L139" s="234">
        <f>IF(AND(ISNUMBER(SEARCH("Noturno",tabParametros[[#This Row],[Função]],1)),tabParametros[[#This Row],[Comarca]]&lt;&gt;"Juiz de Fora"),tabParametros[[#This Row],[Salário Base]]/210*0.39*7*15.5,IF(ISNUMBER(SEARCH("Noturno",tabParametros[[#This Row],[Função]],1)),tabParametros[[#This Row],[Salário Base]]/210*0.2*8*15.5,0))</f>
        <v>0</v>
      </c>
      <c r="M139" s="234">
        <f>IF(ISNUMBER(SEARCH("Motorista II",tabParametros[[#This Row],[Função]],1)),0.25*tabParametros[[#This Row],[Salário Base]],0)</f>
        <v>0</v>
      </c>
      <c r="N139" s="250">
        <v>0</v>
      </c>
      <c r="O139" s="234">
        <f>IF(ISNUMBER(SEARCH("TECNOLOGIA DA INFORMACAO",tabParametros[[#This Row],[Função]],1)),0.0201*tabParametros[[#This Row],[Salário Base]],0)</f>
        <v>0</v>
      </c>
      <c r="P139" s="250" cm="1">
        <f t="array" ref="P139">_xlfn.IFS(
ISNUMBER(SEARCH("Auxiliar de Limpeza - 75 h",tabParametros[[#This Row],[Função]],1)),tabParametros[[#This Row],[Salário Base]]/75*0.75*30*0.12,
ISNUMBER(SEARCH("Auxiliar de Limpeza - 110 h",tabParametros[[#This Row],[Função]],1)),tabParametros[[#This Row],[Salário Base]]/110*1*30*0.12,
ISNUMBER(SEARCH("Auxiliar de Limpeza - 150 h",tabParametros[[#This Row],[Função]],1)),tabParametros[[#This Row],[Salário Base]]/150*1.5*30*0.12,
ISNUMBER(SEARCH("Auxiliar de Limpeza - 220 h",tabParametros[[#This Row],[Função]],1)),tabParametros[[#This Row],[Salário Base]]/220*2*30*0.12,
ISNUMBER(SEARCH("Auxiliar de Limpeza - 12 x 36",tabParametros[[#This Row],[Função]],1)),tabParametros[[#This Row],[Salário Base]]/220*2*30*0.12,
ISNUMBER(SEARCH("Auxiliar de Limpeza - 55 h",tabParametros[[#This Row],[Função]],1))=FALSE,0)</f>
        <v>54.187199999999997</v>
      </c>
      <c r="Q139" s="235">
        <f>VLOOKUP(tabParametros[[#Headers],[INSS]],tabImpostosNacionais[],2,0)</f>
        <v>0.2</v>
      </c>
      <c r="R139" s="235">
        <f>VLOOKUP(tabParametros[[#Headers],[SESI OU SESC]],tabImpostosNacionais[],2,0)</f>
        <v>1.4999999999999999E-2</v>
      </c>
      <c r="S139" s="235">
        <f>VLOOKUP(tabParametros[[#Headers],[SENAI OU SENAC]],tabImpostosNacionais[],2,0)</f>
        <v>0.01</v>
      </c>
      <c r="T139" s="235">
        <f>VLOOKUP(tabParametros[[#Headers],[INCRA]],tabImpostosNacionais[],2,0)</f>
        <v>2E-3</v>
      </c>
      <c r="U139" s="235">
        <f>VLOOKUP(tabParametros[[#Headers],[Salário Educação]],tabImpostosNacionais[],2,0)</f>
        <v>2.5000000000000001E-2</v>
      </c>
      <c r="V139" s="235">
        <f>VLOOKUP(tabParametros[[#Headers],[FGTS]],tabImpostosNacionais[],2,0)</f>
        <v>0.08</v>
      </c>
      <c r="W139" s="235">
        <f>VLOOKUP(tabParametros[[#Headers],[RAT Ajustado]],tabImpostosNacionais[],2,0)</f>
        <v>0.04</v>
      </c>
      <c r="X139" s="235">
        <f>VLOOKUP(tabParametros[[#Headers],[SEBRAE]],tabImpostosNacionais[],2,0)</f>
        <v>6.0000000000000001E-3</v>
      </c>
      <c r="Y139" s="235">
        <f t="shared" si="22"/>
        <v>8.3333333333333329E-2</v>
      </c>
      <c r="Z139" s="251">
        <f t="shared" si="23"/>
        <v>0.1111111111111111</v>
      </c>
      <c r="AA139" s="234">
        <f>VLOOKUP(tabParametros[[#This Row],[Comarca]],tabComarca[],5,0)</f>
        <v>6.4</v>
      </c>
      <c r="AB139" s="234">
        <f>IFERROR(VLOOKUP(tabParametros[[#This Row],[CCT DA CATEGORIA]],tabSindicatos[],6,0),0)</f>
        <v>29.15</v>
      </c>
      <c r="AC139" s="234">
        <f>IFERROR(VLOOKUP(tabParametros[[#This Row],[CCT DA CATEGORIA]],tabSindicatos[],7,0),0)</f>
        <v>0</v>
      </c>
      <c r="AD139" s="234" cm="1">
        <f t="array" ref="AD139">_xlfn.LET(
_xlpm.COMARCA, TRIM(UPPER(SUBSTITUTE(SUBSTITUTE(SUBSTITUTE(SUBSTITUTE(SUBSTITUTE(SUBSTITUTE(SUBSTITUTE(SUBSTITUTE(SUBSTITUTE(SUBSTITUTE(SUBSTITUTE(SUBSTITUTE(SUBSTITUTE(SUBSTITUTE(SUBSTITUTE(SUBSTITUTE(SUBSTITUTE(SUBSTITUTE(SUBSTITUTE(SUBSTITUTE(SUBSTITUTE(SUBSTITUTE(SUBSTITUTE(SUBSTITUTE(SUBSTITUTE(SUBSTITUTE(tabParametros[[#This Row],[Comarca]],"á","a"),"ã","a"),"â","a"),"é","e"),"ê","e"),"í","i"),"ó","o"),"õ","o"),"ô","o"),"ú","u"),"ç","c"),"Á","a"),"Ã","a"),"Â","a"),"É","e"),"Ê","e"),"Í","i"),"Ó","o"),"Õ","o"),"Ô","o"),"Ú","u"),"Ç","c"),"/MG","")," e ",", ")," ",""),".",""))),
_xlpm.MATRIZ_COMARCA, TRIM(UPPER(SUBSTITUTE(SUBSTITUTE(SUBSTITUTE(SUBSTITUTE(SUBSTITUTE(SUBSTITUTE(SUBSTITUTE(SUBSTITUTE(SUBSTITUTE(SUBSTITUTE(SUBSTITUTE(SUBSTITUTE(SUBSTITUTE(SUBSTITUTE(SUBSTITUTE(SUBSTITUTE(SUBSTITUTE(SUBSTITUTE(SUBSTITUTE(SUBSTITUTE(SUBSTITUTE(SUBSTITUTE(SUBSTITUTE(SUBSTITUTE(SUBSTITUTE(SUBSTITUTE(tabSindicatos[COMARCAS PAF],"á","a"),"ã","a"),"â","a"),"é","e"),"ê","e"),"í","i"),"ó","o"),"õ","o"),"ô","o"),"ú","u"),"ç","c"),"Á","a"),"Ã","a"),"Â","a"),"É","e"),"Ê","e"),"Í","i"),"Ó","o"),"Õ","o"),"Ô","o"),"Ú","u"),"Ç","c"),"/MG","")," e ",", ")," ",""),".",""))),
IFERROR(IF(_xlfn.XLOOKUP(tabParametros[[#This Row],[CCT DA CATEGORIA]],tabSindicatos[SINDICATOS],tabSindicatos[COMARCAS PAF])="",
VLOOKUP(tabParametros[[#This Row],[CCT DA CATEGORIA]],tabSindicatos[],8,0),
IF(ISNUMBER(SEARCH(TRIM(_xlpm.COMARCA),_xlfn.XLOOKUP(tabParametros[[#This Row],[CCT DA CATEGORIA]],tabSindicatos[SINDICATOS],_xlpm.MATRIZ_COMARCA),1)),VLOOKUP(tabParametros[[#This Row],[CCT DA CATEGORIA]],tabSindicatos[],8,0),0)
),0)
)</f>
        <v>56.3</v>
      </c>
      <c r="AE139" s="234">
        <f>IFERROR(VLOOKUP(tabParametros[[#This Row],[CCT DA CATEGORIA]],tabSindicatos[],9,0),0)</f>
        <v>14.69</v>
      </c>
      <c r="AF139" s="234">
        <f>IFERROR(VLOOKUP(tabParametros[[#This Row],[CCT DA CATEGORIA]],tabSindicatos[],10,0),0)</f>
        <v>0</v>
      </c>
      <c r="AG139" s="236">
        <f>VLOOKUP(tabParametros[[#Headers],[Seguro de Vida]],tabOutrosCustos[],3,0)</f>
        <v>3.36</v>
      </c>
      <c r="AH139" s="236">
        <f>IF(ISNUMBER(SEARCH("MOTORISTA",tabParametros[[#This Row],[Função]],1)),VLOOKUP("MOTORISTAS",tabDiarias[],2,0),IF(tabParametros[[#This Row],[Comarca]]="Belo Horizonte",VLOOKUP("LIMPEZA",tabDiarias[],2,0),0))</f>
        <v>0</v>
      </c>
      <c r="AI139" s="235">
        <f t="shared" si="24"/>
        <v>7.011766975308642E-3</v>
      </c>
      <c r="AJ139" s="237">
        <f>tabParametros[[#This Row],[FGTS]]*tabParametros[[#This Row],[Aviso Prévio Indenizado (API) e Reflexo do Aviso Prévio Indenizado]]</f>
        <v>5.609413580246914E-4</v>
      </c>
      <c r="AK139" s="237">
        <f>tabParametros[[#This Row],[FGTS]]*tabParametros[[#This Row],[Aviso Prévio Indenizado (API) e Reflexo do Aviso Prévio Indenizado]]*40%</f>
        <v>2.2437654320987658E-4</v>
      </c>
      <c r="AL139" s="235">
        <f t="shared" si="25"/>
        <v>3.5000000000000005E-3</v>
      </c>
      <c r="AM139" s="235">
        <f>tabParametros[[#This Row],[Aviso Prévio Trabalhado - APT]]*SUM(tabParametros[[#This Row],[INSS]:[SEBRAE]])</f>
        <v>1.3230000000000004E-3</v>
      </c>
      <c r="AN139" s="235">
        <f t="shared" si="26"/>
        <v>3.0577777777777773E-2</v>
      </c>
      <c r="AO139" s="235">
        <f t="shared" si="27"/>
        <v>8.3333333333333339E-4</v>
      </c>
      <c r="AP139" s="235">
        <f t="shared" si="28"/>
        <v>8.4444444444444437E-3</v>
      </c>
      <c r="AQ139" s="235">
        <f t="shared" si="29"/>
        <v>2.0277777777777777E-3</v>
      </c>
      <c r="AR139" s="235">
        <f t="shared" si="30"/>
        <v>1.7083333333333333E-4</v>
      </c>
      <c r="AS139" s="235">
        <f t="shared" si="31"/>
        <v>2.0833333333333335E-4</v>
      </c>
      <c r="AT139" s="235">
        <f t="shared" si="32"/>
        <v>1.2962962962962963E-3</v>
      </c>
      <c r="AU139" s="237">
        <f>SUM(tabParametros[[#This Row],[Ausência por Doença]:[Férias, Adicional de Férias e 13º  com empregada em gozo de Licença Maternidade]])*SUM(tabParametros[[#This Row],[INSS]:[SEBRAE]])</f>
        <v>4.5918250000000008E-3</v>
      </c>
      <c r="AV139" s="234">
        <f>IF(tabParametros[[#This Row],[Função]]="Porteiro - 220 h",SUM(tabParametros[[#This Row],[Salário Base]:[Adicional de Acúmulo de função]])/220*20*1.5,IF(ISNUMBER(SEARCH("12 x 36",tabParametros[[#This Row],[Função]],1)),SUM(tabParametros[[#This Row],[Salário Base]:[Adicional de Acúmulo de função]])/210*15.5*1.5,0))</f>
        <v>0</v>
      </c>
      <c r="AW139" s="234">
        <f>IF(tabParametros[[#This Row],[Vagas contratadas]]&gt;0,(SUM(tabParametros[[#This Row],[Salário Base]:[Adicional de Acúmulo de função]])*30%+SUM(tabParametros[[#This Row],[Vale - Alimentação]:[Seguro de Vida]]))/tabParametros[[#This Row],[Vagas contratadas]]*tabParametros[[#This Row],[Vagas suspensas]],0)</f>
        <v>0</v>
      </c>
      <c r="AX139" s="234">
        <f>SUMIF(tabUniformes[Cargo],tabParametros[[#This Row],[Função]],tabUniformes[Valor unit. Mensal])</f>
        <v>100.80916666666666</v>
      </c>
      <c r="AY139" s="281">
        <f>IF(ISNUMBER(SEARCH("AUXILIAR DE LIMPEZA - 75 H",tabParametros[[#This Row],[Função]],1)),
SUMIF(tabLimpGeral[TIPO],"Material",tabLimpGeral[VALOR UNITÁRIO P/ HORA (R$)])*75,
IF(ISNUMBER(SEARCH("AUXILIAR DE LIMPEZA - 110 H",tabParametros[[#This Row],[Função]],1)),
SUMIF(tabLimpGeral[TIPO],"Material",tabLimpGeral[VALOR UNITÁRIO P/ HORA (R$)])*110,
IF(ISNUMBER(SEARCH("AUXILIAR DE LIMPEZA - 150 H",tabParametros[[#This Row],[Função]],1)),
SUMIF(tabLimpGeral[TIPO],"Material",tabLimpGeral[VALOR UNITÁRIO P/ HORA (R$)])*150,
IF(ISNUMBER(SEARCH("AUXILIAR DE LIMPEZA - 220 H",tabParametros[[#This Row],[Função]],1)),
SUMIF(tabLimpGeral[TIPO],"Material",tabLimpGeral[VALOR UNITÁRIO P/ HORA (R$)])*220,
IF(ISNUMBER(SEARCH("AUXILIAR DE LIMPEZA - 12 x 36",tabParametros[[#This Row],[Função]],1)),
SUMIF(tabLimpGeral[TIPO],"Material",tabLimpGeral[VALOR UNITÁRIO P/ HORA (R$)])*220,
IF(ISNUMBER(SEARCH("Limpador de vidros - 220 h",tabParametros[[#This Row],[Função]],1)),
SUMIF(tabVidros[TIPO],"Material",tabVidros[VALOR UNITÁRIO P/ POSTO (R$)]),
0))))))</f>
        <v>35.518212958583888</v>
      </c>
      <c r="AZ139" s="281">
        <f>IF(ISNUMBER(SEARCH("AUXILIAR DE LIMPEZA - 75 H",tabParametros[[#This Row],[Função]],1)),
SUMIF(tabLimpGeral[TIPO],"Equipamento",tabLimpGeral[VALOR UNITÁRIO P/ HORA (R$)])*75,
IF(ISNUMBER(SEARCH("AUXILIAR DE LIMPEZA - 110 H",tabParametros[[#This Row],[Função]],1)),
SUMIF(tabLimpGeral[TIPO],"Equipamento",tabLimpGeral[VALOR UNITÁRIO P/ HORA (R$)])*110,
IF(ISNUMBER(SEARCH("AUXILIAR DE LIMPEZA - 150 H",tabParametros[[#This Row],[Função]],1)),
SUMIF(tabLimpGeral[TIPO],"Equipamento",tabLimpGeral[VALOR UNITÁRIO P/ HORA (R$)])*150,
IF(ISNUMBER(SEARCH("AUXILIAR DE LIMPEZA - 220 H",tabParametros[[#This Row],[Função]],1)),
SUMIF(tabLimpGeral[TIPO],"Equipamento",tabLimpGeral[VALOR UNITÁRIO P/ HORA (R$)])*220,
IF(ISNUMBER(SEARCH("AUXILIAR DE LIMPEZA - 12 x 36",tabParametros[[#This Row],[Função]],1)),
SUMIF(tabLimpGeral[TIPO],"Equipamento",tabLimpGeral[VALOR UNITÁRIO P/ HORA (R$)])*220,
IF(ISNUMBER(SEARCH("Limpador de vidros - 220 h",tabParametros[[#This Row],[Função]],1)),
SUMIF(tabVidros[TIPO],"Equipamento",tabVidros[VALOR UNITÁRIO P/ POSTO (R$)]),
0))))))</f>
        <v>64.529393914825576</v>
      </c>
      <c r="BA139" s="281">
        <f>IF(ISNUMBER(SEARCH("AUXILIAR DE LIMPEZA - 75 H",tabParametros[[#This Row],[Função]],1)),
SUMIF(tabLimpGeral[TIPO],"Produto",tabLimpGeral[VALOR UNITÁRIO P/ HORA (R$)])*75,
IF(ISNUMBER(SEARCH("AUXILIAR DE LIMPEZA - 110 H",tabParametros[[#This Row],[Função]],1)),
SUMIF(tabLimpGeral[TIPO],"Produto",tabLimpGeral[VALOR UNITÁRIO P/ HORA (R$)])*110,
IF(ISNUMBER(SEARCH("AUXILIAR DE LIMPEZA - 150 H",tabParametros[[#This Row],[Função]],1)),
SUMIF(tabLimpGeral[TIPO],"Produto",tabLimpGeral[VALOR UNITÁRIO P/ HORA (R$)])*150,
IF(ISNUMBER(SEARCH("AUXILIAR DE LIMPEZA - 220 H",tabParametros[[#This Row],[Função]],1)),
SUMIF(tabLimpGeral[TIPO],"Produto",tabLimpGeral[VALOR UNITÁRIO P/ HORA (R$)])*220,
IF(ISNUMBER(SEARCH("AUXILIAR DE LIMPEZA - 12 x 36",tabParametros[[#This Row],[Função]],1)),
SUMIF(tabLimpGeral[TIPO],"Produto",tabLimpGeral[VALOR UNITÁRIO P/ HORA (R$)])*220,
IF(ISNUMBER(SEARCH("Limpador de vidros - 220 h",tabParametros[[#This Row],[Função]],1)),
SUMIF(tabVidros[TIPO],"Produto",tabVidros[VALOR UNITÁRIO P/ POSTO (R$)]),
0))))))</f>
        <v>690.27153277931654</v>
      </c>
      <c r="BB139" s="281">
        <v>0</v>
      </c>
      <c r="BC139" s="236">
        <f>VLOOKUP(tabParametros[[#Headers],[Custos Indiretos]],tabOutrosCustos[],3,0)</f>
        <v>189.64880140242613</v>
      </c>
      <c r="BD139" s="236">
        <f>VLOOKUP(tabParametros[[#Headers],[Lucro]],tabOutrosCustos[],3,0)</f>
        <v>159.30499317803796</v>
      </c>
      <c r="BE139" s="235">
        <f>VLOOKUP(tabParametros[[#Headers],[COFINS]],tabImpostosNacionais[],2,0)</f>
        <v>7.5999999999999998E-2</v>
      </c>
      <c r="BF139" s="235">
        <f>VLOOKUP(tabParametros[[#Headers],[PIS]],tabImpostosNacionais[],2,0)</f>
        <v>1.6500000000000001E-2</v>
      </c>
      <c r="BG139" s="235">
        <f>VLOOKUP(tabParametros[[#This Row],[Comarca]],tabComarca[],4,0)</f>
        <v>0.03</v>
      </c>
      <c r="BH139" s="238">
        <f>IFERROR(VLOOKUP(tabParametros[[#This Row],[CCT DA CATEGORIA]],tabSindicatos[],11,0),"")</f>
        <v>45658</v>
      </c>
      <c r="BI139" s="289" t="str">
        <f>IFERROR(VLOOKUP(tabParametros[[#This Row],[CCT DA CATEGORIA]],tabSindicatos[],12,0),"")</f>
        <v>-</v>
      </c>
      <c r="BJ139" s="293" t="str">
        <f>IFERROR(VLOOKUP(tabParametros[[#This Row],[CCT DA CATEGORIA]],tabSindicatos[],13,0),"")</f>
        <v>-</v>
      </c>
    </row>
    <row r="140" spans="1:62" x14ac:dyDescent="0.25">
      <c r="A140" s="233" t="s">
        <v>1476</v>
      </c>
      <c r="B140" s="198" t="s">
        <v>126</v>
      </c>
      <c r="C140" s="198" t="s">
        <v>1246</v>
      </c>
      <c r="D140" s="198" t="str">
        <f>VLOOKUP(tabParametros[[#This Row],[Código do Posto]],tabPostos[],4,0)</f>
        <v>Regiao de Divinopolis</v>
      </c>
      <c r="E140" s="289" t="str">
        <f>VLOOKUP(tabParametros[[#This Row],[Código do Posto]],tabPostos[],5,0)</f>
        <v>Limpeza</v>
      </c>
      <c r="F140" s="289" t="str">
        <f>VLOOKUP(tabParametros[[#This Row],[Código do Posto]],tabPostos[],6,0)</f>
        <v>PGJ</v>
      </c>
      <c r="G140" s="289">
        <f>VLOOKUP(tabParametros[[#This Row],[Código do Posto]],tabPostos[],7,0)</f>
        <v>1</v>
      </c>
      <c r="H140" s="289">
        <f>VLOOKUP(tabParametros[[#This Row],[Código do Posto]],tabPostos[],8,0)</f>
        <v>0</v>
      </c>
      <c r="I140" s="234">
        <f>VLOOKUP(tabParametros[[#This Row],[Código do Posto]],tabPostos[],9,0)</f>
        <v>1088.3699999999999</v>
      </c>
      <c r="J140" s="234">
        <f>IF(ISNUMBER(SEARCH("Eletricista",tabParametros[[#This Row],[Função]],1)),0.3*tabParametros[[#This Row],[Salário Base]],0)</f>
        <v>0</v>
      </c>
      <c r="K140" s="234">
        <f>IF(OR(ISNUMBER(SEARCH("Bombeiro Hidraulico",tabParametros[[#This Row],[Função]],1)),ISNUMBER(SEARCH("Jardineiro",tabParametros[[#This Row],[Função]],1)),ISNUMBER(SEARCH("Lavador de Veiculos",tabParametros[[#This Row],[Função]],1)),ISNUMBER(SEARCH("Marceneiro",tabParametros[[#This Row],[Função]],1)),ISNUMBER(SEARCH("Pintor",tabParametros[[#This Row],[Função]],1))),0.2*'BASE GERAL'!$R$4,0)</f>
        <v>0</v>
      </c>
      <c r="L140" s="234">
        <f>IF(AND(ISNUMBER(SEARCH("Noturno",tabParametros[[#This Row],[Função]],1)),tabParametros[[#This Row],[Comarca]]&lt;&gt;"Juiz de Fora"),tabParametros[[#This Row],[Salário Base]]/210*0.39*7*15.5,IF(ISNUMBER(SEARCH("Noturno",tabParametros[[#This Row],[Função]],1)),tabParametros[[#This Row],[Salário Base]]/210*0.2*8*15.5,0))</f>
        <v>0</v>
      </c>
      <c r="M140" s="234">
        <f>IF(ISNUMBER(SEARCH("Motorista II",tabParametros[[#This Row],[Função]],1)),0.25*tabParametros[[#This Row],[Salário Base]],0)</f>
        <v>0</v>
      </c>
      <c r="N140" s="250">
        <v>0</v>
      </c>
      <c r="O140" s="234">
        <f>IF(ISNUMBER(SEARCH("TECNOLOGIA DA INFORMACAO",tabParametros[[#This Row],[Função]],1)),0.0201*tabParametros[[#This Row],[Salário Base]],0)</f>
        <v>0</v>
      </c>
      <c r="P140" s="250" cm="1">
        <f t="array" ref="P140">_xlfn.IFS(
ISNUMBER(SEARCH("Auxiliar de Limpeza - 75 h",tabParametros[[#This Row],[Função]],1)),tabParametros[[#This Row],[Salário Base]]/75*0.75*30*0.12,
ISNUMBER(SEARCH("Auxiliar de Limpeza - 110 h",tabParametros[[#This Row],[Função]],1)),tabParametros[[#This Row],[Salário Base]]/110*1*30*0.12,
ISNUMBER(SEARCH("Auxiliar de Limpeza - 150 h",tabParametros[[#This Row],[Função]],1)),tabParametros[[#This Row],[Salário Base]]/150*1.5*30*0.12,
ISNUMBER(SEARCH("Auxiliar de Limpeza - 220 h",tabParametros[[#This Row],[Função]],1)),tabParametros[[#This Row],[Salário Base]]/220*2*30*0.12,
ISNUMBER(SEARCH("Auxiliar de Limpeza - 12 x 36",tabParametros[[#This Row],[Função]],1)),tabParametros[[#This Row],[Salário Base]]/220*2*30*0.12,
ISNUMBER(SEARCH("Auxiliar de Limpeza - 55 h",tabParametros[[#This Row],[Função]],1))=FALSE,0)</f>
        <v>39.181319999999985</v>
      </c>
      <c r="Q140" s="235">
        <f>VLOOKUP(tabParametros[[#Headers],[INSS]],tabImpostosNacionais[],2,0)</f>
        <v>0.2</v>
      </c>
      <c r="R140" s="235">
        <f>VLOOKUP(tabParametros[[#Headers],[SESI OU SESC]],tabImpostosNacionais[],2,0)</f>
        <v>1.4999999999999999E-2</v>
      </c>
      <c r="S140" s="235">
        <f>VLOOKUP(tabParametros[[#Headers],[SENAI OU SENAC]],tabImpostosNacionais[],2,0)</f>
        <v>0.01</v>
      </c>
      <c r="T140" s="235">
        <f>VLOOKUP(tabParametros[[#Headers],[INCRA]],tabImpostosNacionais[],2,0)</f>
        <v>2E-3</v>
      </c>
      <c r="U140" s="235">
        <f>VLOOKUP(tabParametros[[#Headers],[Salário Educação]],tabImpostosNacionais[],2,0)</f>
        <v>2.5000000000000001E-2</v>
      </c>
      <c r="V140" s="235">
        <f>VLOOKUP(tabParametros[[#Headers],[FGTS]],tabImpostosNacionais[],2,0)</f>
        <v>0.08</v>
      </c>
      <c r="W140" s="235">
        <f>VLOOKUP(tabParametros[[#Headers],[RAT Ajustado]],tabImpostosNacionais[],2,0)</f>
        <v>0.04</v>
      </c>
      <c r="X140" s="235">
        <f>VLOOKUP(tabParametros[[#Headers],[SEBRAE]],tabImpostosNacionais[],2,0)</f>
        <v>6.0000000000000001E-3</v>
      </c>
      <c r="Y140" s="235">
        <f t="shared" si="22"/>
        <v>8.3333333333333329E-2</v>
      </c>
      <c r="Z140" s="251">
        <f t="shared" si="23"/>
        <v>0.1111111111111111</v>
      </c>
      <c r="AA140" s="234">
        <f>VLOOKUP(tabParametros[[#This Row],[Comarca]],tabComarca[],5,0)</f>
        <v>6.4</v>
      </c>
      <c r="AB140" s="234">
        <f>IFERROR(VLOOKUP(tabParametros[[#This Row],[CCT DA CATEGORIA]],tabSindicatos[],6,0),0)</f>
        <v>29.15</v>
      </c>
      <c r="AC140" s="234">
        <f>IFERROR(VLOOKUP(tabParametros[[#This Row],[CCT DA CATEGORIA]],tabSindicatos[],7,0),0)</f>
        <v>0</v>
      </c>
      <c r="AD140" s="234" cm="1">
        <f t="array" ref="AD140">_xlfn.LET(
_xlpm.COMARCA, TRIM(UPPER(SUBSTITUTE(SUBSTITUTE(SUBSTITUTE(SUBSTITUTE(SUBSTITUTE(SUBSTITUTE(SUBSTITUTE(SUBSTITUTE(SUBSTITUTE(SUBSTITUTE(SUBSTITUTE(SUBSTITUTE(SUBSTITUTE(SUBSTITUTE(SUBSTITUTE(SUBSTITUTE(SUBSTITUTE(SUBSTITUTE(SUBSTITUTE(SUBSTITUTE(SUBSTITUTE(SUBSTITUTE(SUBSTITUTE(SUBSTITUTE(SUBSTITUTE(SUBSTITUTE(tabParametros[[#This Row],[Comarca]],"á","a"),"ã","a"),"â","a"),"é","e"),"ê","e"),"í","i"),"ó","o"),"õ","o"),"ô","o"),"ú","u"),"ç","c"),"Á","a"),"Ã","a"),"Â","a"),"É","e"),"Ê","e"),"Í","i"),"Ó","o"),"Õ","o"),"Ô","o"),"Ú","u"),"Ç","c"),"/MG","")," e ",", ")," ",""),".",""))),
_xlpm.MATRIZ_COMARCA, TRIM(UPPER(SUBSTITUTE(SUBSTITUTE(SUBSTITUTE(SUBSTITUTE(SUBSTITUTE(SUBSTITUTE(SUBSTITUTE(SUBSTITUTE(SUBSTITUTE(SUBSTITUTE(SUBSTITUTE(SUBSTITUTE(SUBSTITUTE(SUBSTITUTE(SUBSTITUTE(SUBSTITUTE(SUBSTITUTE(SUBSTITUTE(SUBSTITUTE(SUBSTITUTE(SUBSTITUTE(SUBSTITUTE(SUBSTITUTE(SUBSTITUTE(SUBSTITUTE(SUBSTITUTE(tabSindicatos[COMARCAS PAF],"á","a"),"ã","a"),"â","a"),"é","e"),"ê","e"),"í","i"),"ó","o"),"õ","o"),"ô","o"),"ú","u"),"ç","c"),"Á","a"),"Ã","a"),"Â","a"),"É","e"),"Ê","e"),"Í","i"),"Ó","o"),"Õ","o"),"Ô","o"),"Ú","u"),"Ç","c"),"/MG","")," e ",", ")," ",""),".",""))),
IFERROR(IF(_xlfn.XLOOKUP(tabParametros[[#This Row],[CCT DA CATEGORIA]],tabSindicatos[SINDICATOS],tabSindicatos[COMARCAS PAF])="",
VLOOKUP(tabParametros[[#This Row],[CCT DA CATEGORIA]],tabSindicatos[],8,0),
IF(ISNUMBER(SEARCH(TRIM(_xlpm.COMARCA),_xlfn.XLOOKUP(tabParametros[[#This Row],[CCT DA CATEGORIA]],tabSindicatos[SINDICATOS],_xlpm.MATRIZ_COMARCA),1)),VLOOKUP(tabParametros[[#This Row],[CCT DA CATEGORIA]],tabSindicatos[],8,0),0)
),0)
)</f>
        <v>51.88</v>
      </c>
      <c r="AE140" s="234">
        <f>IFERROR(VLOOKUP(tabParametros[[#This Row],[CCT DA CATEGORIA]],tabSindicatos[],9,0),0)</f>
        <v>0</v>
      </c>
      <c r="AF140" s="234">
        <f>IFERROR(VLOOKUP(tabParametros[[#This Row],[CCT DA CATEGORIA]],tabSindicatos[],10,0),0)</f>
        <v>0</v>
      </c>
      <c r="AG140" s="236">
        <f>VLOOKUP(tabParametros[[#Headers],[Seguro de Vida]],tabOutrosCustos[],3,0)</f>
        <v>3.36</v>
      </c>
      <c r="AH140" s="236">
        <f>IF(ISNUMBER(SEARCH("MOTORISTA",tabParametros[[#This Row],[Função]],1)),VLOOKUP("MOTORISTAS",tabDiarias[],2,0),IF(tabParametros[[#This Row],[Comarca]]="Belo Horizonte",VLOOKUP("LIMPEZA",tabDiarias[],2,0),0))</f>
        <v>0</v>
      </c>
      <c r="AI140" s="235">
        <f t="shared" si="24"/>
        <v>7.011766975308642E-3</v>
      </c>
      <c r="AJ140" s="237">
        <f>tabParametros[[#This Row],[FGTS]]*tabParametros[[#This Row],[Aviso Prévio Indenizado (API) e Reflexo do Aviso Prévio Indenizado]]</f>
        <v>5.609413580246914E-4</v>
      </c>
      <c r="AK140" s="237">
        <f>tabParametros[[#This Row],[FGTS]]*tabParametros[[#This Row],[Aviso Prévio Indenizado (API) e Reflexo do Aviso Prévio Indenizado]]*40%</f>
        <v>2.2437654320987658E-4</v>
      </c>
      <c r="AL140" s="235">
        <f t="shared" si="25"/>
        <v>3.5000000000000005E-3</v>
      </c>
      <c r="AM140" s="235">
        <f>tabParametros[[#This Row],[Aviso Prévio Trabalhado - APT]]*SUM(tabParametros[[#This Row],[INSS]:[SEBRAE]])</f>
        <v>1.3230000000000004E-3</v>
      </c>
      <c r="AN140" s="235">
        <f t="shared" si="26"/>
        <v>3.0577777777777773E-2</v>
      </c>
      <c r="AO140" s="235">
        <f t="shared" si="27"/>
        <v>8.3333333333333339E-4</v>
      </c>
      <c r="AP140" s="235">
        <f t="shared" si="28"/>
        <v>8.4444444444444437E-3</v>
      </c>
      <c r="AQ140" s="235">
        <f t="shared" si="29"/>
        <v>2.0277777777777777E-3</v>
      </c>
      <c r="AR140" s="235">
        <f t="shared" si="30"/>
        <v>1.7083333333333333E-4</v>
      </c>
      <c r="AS140" s="235">
        <f t="shared" si="31"/>
        <v>2.0833333333333335E-4</v>
      </c>
      <c r="AT140" s="235">
        <f t="shared" si="32"/>
        <v>1.2962962962962963E-3</v>
      </c>
      <c r="AU140" s="237">
        <f>SUM(tabParametros[[#This Row],[Ausência por Doença]:[Férias, Adicional de Férias e 13º  com empregada em gozo de Licença Maternidade]])*SUM(tabParametros[[#This Row],[INSS]:[SEBRAE]])</f>
        <v>4.5918250000000008E-3</v>
      </c>
      <c r="AV140" s="234">
        <f>IF(tabParametros[[#This Row],[Função]]="Porteiro - 220 h",SUM(tabParametros[[#This Row],[Salário Base]:[Adicional de Acúmulo de função]])/220*20*1.5,IF(ISNUMBER(SEARCH("12 x 36",tabParametros[[#This Row],[Função]],1)),SUM(tabParametros[[#This Row],[Salário Base]:[Adicional de Acúmulo de função]])/210*15.5*1.5,0))</f>
        <v>0</v>
      </c>
      <c r="AW140" s="234">
        <f>IF(tabParametros[[#This Row],[Vagas contratadas]]&gt;0,(SUM(tabParametros[[#This Row],[Salário Base]:[Adicional de Acúmulo de função]])*30%+SUM(tabParametros[[#This Row],[Vale - Alimentação]:[Seguro de Vida]]))/tabParametros[[#This Row],[Vagas contratadas]]*tabParametros[[#This Row],[Vagas suspensas]],0)</f>
        <v>0</v>
      </c>
      <c r="AX140" s="234">
        <f>SUMIF(tabUniformes[Cargo],tabParametros[[#This Row],[Função]],tabUniformes[Valor unit. Mensal])</f>
        <v>100.80916666666666</v>
      </c>
      <c r="AY140" s="281">
        <f>IF(ISNUMBER(SEARCH("AUXILIAR DE LIMPEZA - 75 H",tabParametros[[#This Row],[Função]],1)),
SUMIF(tabLimpGeral[TIPO],"Material",tabLimpGeral[VALOR UNITÁRIO P/ HORA (R$)])*75,
IF(ISNUMBER(SEARCH("AUXILIAR DE LIMPEZA - 110 H",tabParametros[[#This Row],[Função]],1)),
SUMIF(tabLimpGeral[TIPO],"Material",tabLimpGeral[VALOR UNITÁRIO P/ HORA (R$)])*110,
IF(ISNUMBER(SEARCH("AUXILIAR DE LIMPEZA - 150 H",tabParametros[[#This Row],[Função]],1)),
SUMIF(tabLimpGeral[TIPO],"Material",tabLimpGeral[VALOR UNITÁRIO P/ HORA (R$)])*150,
IF(ISNUMBER(SEARCH("AUXILIAR DE LIMPEZA - 220 H",tabParametros[[#This Row],[Função]],1)),
SUMIF(tabLimpGeral[TIPO],"Material",tabLimpGeral[VALOR UNITÁRIO P/ HORA (R$)])*220,
IF(ISNUMBER(SEARCH("AUXILIAR DE LIMPEZA - 12 x 36",tabParametros[[#This Row],[Função]],1)),
SUMIF(tabLimpGeral[TIPO],"Material",tabLimpGeral[VALOR UNITÁRIO P/ HORA (R$)])*220,
IF(ISNUMBER(SEARCH("Limpador de vidros - 220 h",tabParametros[[#This Row],[Função]],1)),
SUMIF(tabVidros[TIPO],"Material",tabVidros[VALOR UNITÁRIO P/ POSTO (R$)]),
0))))))</f>
        <v>24.216963380852651</v>
      </c>
      <c r="AZ140" s="281">
        <f>IF(ISNUMBER(SEARCH("AUXILIAR DE LIMPEZA - 75 H",tabParametros[[#This Row],[Função]],1)),
SUMIF(tabLimpGeral[TIPO],"Equipamento",tabLimpGeral[VALOR UNITÁRIO P/ HORA (R$)])*75,
IF(ISNUMBER(SEARCH("AUXILIAR DE LIMPEZA - 110 H",tabParametros[[#This Row],[Função]],1)),
SUMIF(tabLimpGeral[TIPO],"Equipamento",tabLimpGeral[VALOR UNITÁRIO P/ HORA (R$)])*110,
IF(ISNUMBER(SEARCH("AUXILIAR DE LIMPEZA - 150 H",tabParametros[[#This Row],[Função]],1)),
SUMIF(tabLimpGeral[TIPO],"Equipamento",tabLimpGeral[VALOR UNITÁRIO P/ HORA (R$)])*150,
IF(ISNUMBER(SEARCH("AUXILIAR DE LIMPEZA - 220 H",tabParametros[[#This Row],[Função]],1)),
SUMIF(tabLimpGeral[TIPO],"Equipamento",tabLimpGeral[VALOR UNITÁRIO P/ HORA (R$)])*220,
IF(ISNUMBER(SEARCH("AUXILIAR DE LIMPEZA - 12 x 36",tabParametros[[#This Row],[Função]],1)),
SUMIF(tabLimpGeral[TIPO],"Equipamento",tabLimpGeral[VALOR UNITÁRIO P/ HORA (R$)])*220,
IF(ISNUMBER(SEARCH("Limpador de vidros - 220 h",tabParametros[[#This Row],[Função]],1)),
SUMIF(tabVidros[TIPO],"Equipamento",tabVidros[VALOR UNITÁRIO P/ POSTO (R$)]),
0))))))</f>
        <v>43.997314032835618</v>
      </c>
      <c r="BA140" s="281">
        <f>IF(ISNUMBER(SEARCH("AUXILIAR DE LIMPEZA - 75 H",tabParametros[[#This Row],[Função]],1)),
SUMIF(tabLimpGeral[TIPO],"Produto",tabLimpGeral[VALOR UNITÁRIO P/ HORA (R$)])*75,
IF(ISNUMBER(SEARCH("AUXILIAR DE LIMPEZA - 110 H",tabParametros[[#This Row],[Função]],1)),
SUMIF(tabLimpGeral[TIPO],"Produto",tabLimpGeral[VALOR UNITÁRIO P/ HORA (R$)])*110,
IF(ISNUMBER(SEARCH("AUXILIAR DE LIMPEZA - 150 H",tabParametros[[#This Row],[Função]],1)),
SUMIF(tabLimpGeral[TIPO],"Produto",tabLimpGeral[VALOR UNITÁRIO P/ HORA (R$)])*150,
IF(ISNUMBER(SEARCH("AUXILIAR DE LIMPEZA - 220 H",tabParametros[[#This Row],[Função]],1)),
SUMIF(tabLimpGeral[TIPO],"Produto",tabLimpGeral[VALOR UNITÁRIO P/ HORA (R$)])*220,
IF(ISNUMBER(SEARCH("AUXILIAR DE LIMPEZA - 12 x 36",tabParametros[[#This Row],[Função]],1)),
SUMIF(tabLimpGeral[TIPO],"Produto",tabLimpGeral[VALOR UNITÁRIO P/ HORA (R$)])*220,
IF(ISNUMBER(SEARCH("Limpador de vidros - 220 h",tabParametros[[#This Row],[Função]],1)),
SUMIF(tabVidros[TIPO],"Produto",tabVidros[VALOR UNITÁRIO P/ POSTO (R$)]),
0))))))</f>
        <v>470.6396814404431</v>
      </c>
      <c r="BB140" s="281">
        <v>0</v>
      </c>
      <c r="BC140" s="236">
        <f>VLOOKUP(tabParametros[[#Headers],[Custos Indiretos]],tabOutrosCustos[],3,0)</f>
        <v>189.64880140242613</v>
      </c>
      <c r="BD140" s="236">
        <f>VLOOKUP(tabParametros[[#Headers],[Lucro]],tabOutrosCustos[],3,0)</f>
        <v>159.30499317803796</v>
      </c>
      <c r="BE140" s="235">
        <f>VLOOKUP(tabParametros[[#Headers],[COFINS]],tabImpostosNacionais[],2,0)</f>
        <v>7.5999999999999998E-2</v>
      </c>
      <c r="BF140" s="235">
        <f>VLOOKUP(tabParametros[[#Headers],[PIS]],tabImpostosNacionais[],2,0)</f>
        <v>1.6500000000000001E-2</v>
      </c>
      <c r="BG140" s="235">
        <f>VLOOKUP(tabParametros[[#This Row],[Comarca]],tabComarca[],4,0)</f>
        <v>0.03</v>
      </c>
      <c r="BH140" s="238">
        <f>IFERROR(VLOOKUP(tabParametros[[#This Row],[CCT DA CATEGORIA]],tabSindicatos[],11,0),"")</f>
        <v>45658</v>
      </c>
      <c r="BI140" s="289" t="str">
        <f>IFERROR(VLOOKUP(tabParametros[[#This Row],[CCT DA CATEGORIA]],tabSindicatos[],12,0),"")</f>
        <v>-</v>
      </c>
      <c r="BJ140" s="293" t="str">
        <f>IFERROR(VLOOKUP(tabParametros[[#This Row],[CCT DA CATEGORIA]],tabSindicatos[],13,0),"")</f>
        <v>-</v>
      </c>
    </row>
    <row r="141" spans="1:62" x14ac:dyDescent="0.25">
      <c r="A141" s="233" t="s">
        <v>1477</v>
      </c>
      <c r="B141" s="198" t="s">
        <v>127</v>
      </c>
      <c r="C141" s="198" t="s">
        <v>1245</v>
      </c>
      <c r="D141" s="198" t="str">
        <f>VLOOKUP(tabParametros[[#This Row],[Código do Posto]],tabPostos[],4,0)</f>
        <v>Sind - Asseio</v>
      </c>
      <c r="E141" s="289" t="str">
        <f>VLOOKUP(tabParametros[[#This Row],[Código do Posto]],tabPostos[],5,0)</f>
        <v>Limpeza</v>
      </c>
      <c r="F141" s="289" t="str">
        <f>VLOOKUP(tabParametros[[#This Row],[Código do Posto]],tabPostos[],6,0)</f>
        <v>PGJ</v>
      </c>
      <c r="G141" s="289">
        <f>VLOOKUP(tabParametros[[#This Row],[Código do Posto]],tabPostos[],7,0)</f>
        <v>1</v>
      </c>
      <c r="H141" s="289">
        <f>VLOOKUP(tabParametros[[#This Row],[Código do Posto]],tabPostos[],8,0)</f>
        <v>0</v>
      </c>
      <c r="I141" s="234">
        <f>VLOOKUP(tabParametros[[#This Row],[Código do Posto]],tabPostos[],9,0)</f>
        <v>1649.12</v>
      </c>
      <c r="J141" s="234">
        <f>IF(ISNUMBER(SEARCH("Eletricista",tabParametros[[#This Row],[Função]],1)),0.3*tabParametros[[#This Row],[Salário Base]],0)</f>
        <v>0</v>
      </c>
      <c r="K141" s="234">
        <f>IF(OR(ISNUMBER(SEARCH("Bombeiro Hidraulico",tabParametros[[#This Row],[Função]],1)),ISNUMBER(SEARCH("Jardineiro",tabParametros[[#This Row],[Função]],1)),ISNUMBER(SEARCH("Lavador de Veiculos",tabParametros[[#This Row],[Função]],1)),ISNUMBER(SEARCH("Marceneiro",tabParametros[[#This Row],[Função]],1)),ISNUMBER(SEARCH("Pintor",tabParametros[[#This Row],[Função]],1))),0.2*'BASE GERAL'!$R$4,0)</f>
        <v>0</v>
      </c>
      <c r="L141" s="234">
        <f>IF(AND(ISNUMBER(SEARCH("Noturno",tabParametros[[#This Row],[Função]],1)),tabParametros[[#This Row],[Comarca]]&lt;&gt;"Juiz de Fora"),tabParametros[[#This Row],[Salário Base]]/210*0.39*7*15.5,IF(ISNUMBER(SEARCH("Noturno",tabParametros[[#This Row],[Função]],1)),tabParametros[[#This Row],[Salário Base]]/210*0.2*8*15.5,0))</f>
        <v>0</v>
      </c>
      <c r="M141" s="234">
        <f>IF(ISNUMBER(SEARCH("Motorista II",tabParametros[[#This Row],[Função]],1)),0.25*tabParametros[[#This Row],[Salário Base]],0)</f>
        <v>0</v>
      </c>
      <c r="N141" s="250">
        <v>0</v>
      </c>
      <c r="O141" s="234">
        <f>IF(ISNUMBER(SEARCH("TECNOLOGIA DA INFORMACAO",tabParametros[[#This Row],[Função]],1)),0.0201*tabParametros[[#This Row],[Salário Base]],0)</f>
        <v>0</v>
      </c>
      <c r="P141" s="250" cm="1">
        <f t="array" ref="P141">_xlfn.IFS(
ISNUMBER(SEARCH("Auxiliar de Limpeza - 75 h",tabParametros[[#This Row],[Função]],1)),tabParametros[[#This Row],[Salário Base]]/75*0.75*30*0.12,
ISNUMBER(SEARCH("Auxiliar de Limpeza - 110 h",tabParametros[[#This Row],[Função]],1)),tabParametros[[#This Row],[Salário Base]]/110*1*30*0.12,
ISNUMBER(SEARCH("Auxiliar de Limpeza - 150 h",tabParametros[[#This Row],[Função]],1)),tabParametros[[#This Row],[Salário Base]]/150*1.5*30*0.12,
ISNUMBER(SEARCH("Auxiliar de Limpeza - 220 h",tabParametros[[#This Row],[Função]],1)),tabParametros[[#This Row],[Salário Base]]/220*2*30*0.12,
ISNUMBER(SEARCH("Auxiliar de Limpeza - 12 x 36",tabParametros[[#This Row],[Função]],1)),tabParametros[[#This Row],[Salário Base]]/220*2*30*0.12,
ISNUMBER(SEARCH("Auxiliar de Limpeza - 55 h",tabParametros[[#This Row],[Função]],1))=FALSE,0)</f>
        <v>53.971199999999996</v>
      </c>
      <c r="Q141" s="235">
        <f>VLOOKUP(tabParametros[[#Headers],[INSS]],tabImpostosNacionais[],2,0)</f>
        <v>0.2</v>
      </c>
      <c r="R141" s="235">
        <f>VLOOKUP(tabParametros[[#Headers],[SESI OU SESC]],tabImpostosNacionais[],2,0)</f>
        <v>1.4999999999999999E-2</v>
      </c>
      <c r="S141" s="235">
        <f>VLOOKUP(tabParametros[[#Headers],[SENAI OU SENAC]],tabImpostosNacionais[],2,0)</f>
        <v>0.01</v>
      </c>
      <c r="T141" s="235">
        <f>VLOOKUP(tabParametros[[#Headers],[INCRA]],tabImpostosNacionais[],2,0)</f>
        <v>2E-3</v>
      </c>
      <c r="U141" s="235">
        <f>VLOOKUP(tabParametros[[#Headers],[Salário Educação]],tabImpostosNacionais[],2,0)</f>
        <v>2.5000000000000001E-2</v>
      </c>
      <c r="V141" s="235">
        <f>VLOOKUP(tabParametros[[#Headers],[FGTS]],tabImpostosNacionais[],2,0)</f>
        <v>0.08</v>
      </c>
      <c r="W141" s="235">
        <f>VLOOKUP(tabParametros[[#Headers],[RAT Ajustado]],tabImpostosNacionais[],2,0)</f>
        <v>0.04</v>
      </c>
      <c r="X141" s="235">
        <f>VLOOKUP(tabParametros[[#Headers],[SEBRAE]],tabImpostosNacionais[],2,0)</f>
        <v>6.0000000000000001E-3</v>
      </c>
      <c r="Y141" s="235">
        <f t="shared" si="22"/>
        <v>8.3333333333333329E-2</v>
      </c>
      <c r="Z141" s="251">
        <f t="shared" si="23"/>
        <v>0.1111111111111111</v>
      </c>
      <c r="AA141" s="234">
        <f>VLOOKUP(tabParametros[[#This Row],[Comarca]],tabComarca[],5,0)</f>
        <v>6.4</v>
      </c>
      <c r="AB141" s="234">
        <f>IFERROR(VLOOKUP(tabParametros[[#This Row],[CCT DA CATEGORIA]],tabSindicatos[],6,0),0)</f>
        <v>29.15</v>
      </c>
      <c r="AC141" s="234">
        <f>IFERROR(VLOOKUP(tabParametros[[#This Row],[CCT DA CATEGORIA]],tabSindicatos[],7,0),0)</f>
        <v>0</v>
      </c>
      <c r="AD141" s="234" cm="1">
        <f t="array" ref="AD141">_xlfn.LET(
_xlpm.COMARCA, TRIM(UPPER(SUBSTITUTE(SUBSTITUTE(SUBSTITUTE(SUBSTITUTE(SUBSTITUTE(SUBSTITUTE(SUBSTITUTE(SUBSTITUTE(SUBSTITUTE(SUBSTITUTE(SUBSTITUTE(SUBSTITUTE(SUBSTITUTE(SUBSTITUTE(SUBSTITUTE(SUBSTITUTE(SUBSTITUTE(SUBSTITUTE(SUBSTITUTE(SUBSTITUTE(SUBSTITUTE(SUBSTITUTE(SUBSTITUTE(SUBSTITUTE(SUBSTITUTE(SUBSTITUTE(tabParametros[[#This Row],[Comarca]],"á","a"),"ã","a"),"â","a"),"é","e"),"ê","e"),"í","i"),"ó","o"),"õ","o"),"ô","o"),"ú","u"),"ç","c"),"Á","a"),"Ã","a"),"Â","a"),"É","e"),"Ê","e"),"Í","i"),"Ó","o"),"Õ","o"),"Ô","o"),"Ú","u"),"Ç","c"),"/MG","")," e ",", ")," ",""),".",""))),
_xlpm.MATRIZ_COMARCA, TRIM(UPPER(SUBSTITUTE(SUBSTITUTE(SUBSTITUTE(SUBSTITUTE(SUBSTITUTE(SUBSTITUTE(SUBSTITUTE(SUBSTITUTE(SUBSTITUTE(SUBSTITUTE(SUBSTITUTE(SUBSTITUTE(SUBSTITUTE(SUBSTITUTE(SUBSTITUTE(SUBSTITUTE(SUBSTITUTE(SUBSTITUTE(SUBSTITUTE(SUBSTITUTE(SUBSTITUTE(SUBSTITUTE(SUBSTITUTE(SUBSTITUTE(SUBSTITUTE(SUBSTITUTE(tabSindicatos[COMARCAS PAF],"á","a"),"ã","a"),"â","a"),"é","e"),"ê","e"),"í","i"),"ó","o"),"õ","o"),"ô","o"),"ú","u"),"ç","c"),"Á","a"),"Ã","a"),"Â","a"),"É","e"),"Ê","e"),"Í","i"),"Ó","o"),"Õ","o"),"Ô","o"),"Ú","u"),"Ç","c"),"/MG","")," e ",", ")," ",""),".",""))),
IFERROR(IF(_xlfn.XLOOKUP(tabParametros[[#This Row],[CCT DA CATEGORIA]],tabSindicatos[SINDICATOS],tabSindicatos[COMARCAS PAF])="",
VLOOKUP(tabParametros[[#This Row],[CCT DA CATEGORIA]],tabSindicatos[],8,0),
IF(ISNUMBER(SEARCH(TRIM(_xlpm.COMARCA),_xlfn.XLOOKUP(tabParametros[[#This Row],[CCT DA CATEGORIA]],tabSindicatos[SINDICATOS],_xlpm.MATRIZ_COMARCA),1)),VLOOKUP(tabParametros[[#This Row],[CCT DA CATEGORIA]],tabSindicatos[],8,0),0)
),0)
)</f>
        <v>77.25</v>
      </c>
      <c r="AE141" s="234">
        <f>IFERROR(VLOOKUP(tabParametros[[#This Row],[CCT DA CATEGORIA]],tabSindicatos[],9,0),0)</f>
        <v>0</v>
      </c>
      <c r="AF141" s="234">
        <f>IFERROR(VLOOKUP(tabParametros[[#This Row],[CCT DA CATEGORIA]],tabSindicatos[],10,0),0)</f>
        <v>0</v>
      </c>
      <c r="AG141" s="236">
        <f>VLOOKUP(tabParametros[[#Headers],[Seguro de Vida]],tabOutrosCustos[],3,0)</f>
        <v>3.36</v>
      </c>
      <c r="AH141" s="236">
        <f>IF(ISNUMBER(SEARCH("MOTORISTA",tabParametros[[#This Row],[Função]],1)),VLOOKUP("MOTORISTAS",tabDiarias[],2,0),IF(tabParametros[[#This Row],[Comarca]]="Belo Horizonte",VLOOKUP("LIMPEZA",tabDiarias[],2,0),0))</f>
        <v>0</v>
      </c>
      <c r="AI141" s="235">
        <f t="shared" si="24"/>
        <v>7.011766975308642E-3</v>
      </c>
      <c r="AJ141" s="237">
        <f>tabParametros[[#This Row],[FGTS]]*tabParametros[[#This Row],[Aviso Prévio Indenizado (API) e Reflexo do Aviso Prévio Indenizado]]</f>
        <v>5.609413580246914E-4</v>
      </c>
      <c r="AK141" s="237">
        <f>tabParametros[[#This Row],[FGTS]]*tabParametros[[#This Row],[Aviso Prévio Indenizado (API) e Reflexo do Aviso Prévio Indenizado]]*40%</f>
        <v>2.2437654320987658E-4</v>
      </c>
      <c r="AL141" s="235">
        <f t="shared" si="25"/>
        <v>3.5000000000000005E-3</v>
      </c>
      <c r="AM141" s="235">
        <f>tabParametros[[#This Row],[Aviso Prévio Trabalhado - APT]]*SUM(tabParametros[[#This Row],[INSS]:[SEBRAE]])</f>
        <v>1.3230000000000004E-3</v>
      </c>
      <c r="AN141" s="235">
        <f t="shared" si="26"/>
        <v>3.0577777777777773E-2</v>
      </c>
      <c r="AO141" s="235">
        <f t="shared" si="27"/>
        <v>8.3333333333333339E-4</v>
      </c>
      <c r="AP141" s="235">
        <f t="shared" si="28"/>
        <v>8.4444444444444437E-3</v>
      </c>
      <c r="AQ141" s="235">
        <f t="shared" si="29"/>
        <v>2.0277777777777777E-3</v>
      </c>
      <c r="AR141" s="235">
        <f t="shared" si="30"/>
        <v>1.7083333333333333E-4</v>
      </c>
      <c r="AS141" s="235">
        <f t="shared" si="31"/>
        <v>2.0833333333333335E-4</v>
      </c>
      <c r="AT141" s="235">
        <f t="shared" si="32"/>
        <v>1.2962962962962963E-3</v>
      </c>
      <c r="AU141" s="237">
        <f>SUM(tabParametros[[#This Row],[Ausência por Doença]:[Férias, Adicional de Férias e 13º  com empregada em gozo de Licença Maternidade]])*SUM(tabParametros[[#This Row],[INSS]:[SEBRAE]])</f>
        <v>4.5918250000000008E-3</v>
      </c>
      <c r="AV141" s="234">
        <f>IF(tabParametros[[#This Row],[Função]]="Porteiro - 220 h",SUM(tabParametros[[#This Row],[Salário Base]:[Adicional de Acúmulo de função]])/220*20*1.5,IF(ISNUMBER(SEARCH("12 x 36",tabParametros[[#This Row],[Função]],1)),SUM(tabParametros[[#This Row],[Salário Base]:[Adicional de Acúmulo de função]])/210*15.5*1.5,0))</f>
        <v>0</v>
      </c>
      <c r="AW141" s="234">
        <f>IF(tabParametros[[#This Row],[Vagas contratadas]]&gt;0,(SUM(tabParametros[[#This Row],[Salário Base]:[Adicional de Acúmulo de função]])*30%+SUM(tabParametros[[#This Row],[Vale - Alimentação]:[Seguro de Vida]]))/tabParametros[[#This Row],[Vagas contratadas]]*tabParametros[[#This Row],[Vagas suspensas]],0)</f>
        <v>0</v>
      </c>
      <c r="AX141" s="234">
        <f>SUMIF(tabUniformes[Cargo],tabParametros[[#This Row],[Função]],tabUniformes[Valor unit. Mensal])</f>
        <v>100.80916666666666</v>
      </c>
      <c r="AY141" s="281">
        <f>IF(ISNUMBER(SEARCH("AUXILIAR DE LIMPEZA - 75 H",tabParametros[[#This Row],[Função]],1)),
SUMIF(tabLimpGeral[TIPO],"Material",tabLimpGeral[VALOR UNITÁRIO P/ HORA (R$)])*75,
IF(ISNUMBER(SEARCH("AUXILIAR DE LIMPEZA - 110 H",tabParametros[[#This Row],[Função]],1)),
SUMIF(tabLimpGeral[TIPO],"Material",tabLimpGeral[VALOR UNITÁRIO P/ HORA (R$)])*110,
IF(ISNUMBER(SEARCH("AUXILIAR DE LIMPEZA - 150 H",tabParametros[[#This Row],[Função]],1)),
SUMIF(tabLimpGeral[TIPO],"Material",tabLimpGeral[VALOR UNITÁRIO P/ HORA (R$)])*150,
IF(ISNUMBER(SEARCH("AUXILIAR DE LIMPEZA - 220 H",tabParametros[[#This Row],[Função]],1)),
SUMIF(tabLimpGeral[TIPO],"Material",tabLimpGeral[VALOR UNITÁRIO P/ HORA (R$)])*220,
IF(ISNUMBER(SEARCH("AUXILIAR DE LIMPEZA - 12 x 36",tabParametros[[#This Row],[Função]],1)),
SUMIF(tabLimpGeral[TIPO],"Material",tabLimpGeral[VALOR UNITÁRIO P/ HORA (R$)])*220,
IF(ISNUMBER(SEARCH("Limpador de vidros - 220 h",tabParametros[[#This Row],[Função]],1)),
SUMIF(tabVidros[TIPO],"Material",tabVidros[VALOR UNITÁRIO P/ POSTO (R$)]),
0))))))</f>
        <v>35.518212958583888</v>
      </c>
      <c r="AZ141" s="281">
        <f>IF(ISNUMBER(SEARCH("AUXILIAR DE LIMPEZA - 75 H",tabParametros[[#This Row],[Função]],1)),
SUMIF(tabLimpGeral[TIPO],"Equipamento",tabLimpGeral[VALOR UNITÁRIO P/ HORA (R$)])*75,
IF(ISNUMBER(SEARCH("AUXILIAR DE LIMPEZA - 110 H",tabParametros[[#This Row],[Função]],1)),
SUMIF(tabLimpGeral[TIPO],"Equipamento",tabLimpGeral[VALOR UNITÁRIO P/ HORA (R$)])*110,
IF(ISNUMBER(SEARCH("AUXILIAR DE LIMPEZA - 150 H",tabParametros[[#This Row],[Função]],1)),
SUMIF(tabLimpGeral[TIPO],"Equipamento",tabLimpGeral[VALOR UNITÁRIO P/ HORA (R$)])*150,
IF(ISNUMBER(SEARCH("AUXILIAR DE LIMPEZA - 220 H",tabParametros[[#This Row],[Função]],1)),
SUMIF(tabLimpGeral[TIPO],"Equipamento",tabLimpGeral[VALOR UNITÁRIO P/ HORA (R$)])*220,
IF(ISNUMBER(SEARCH("AUXILIAR DE LIMPEZA - 12 x 36",tabParametros[[#This Row],[Função]],1)),
SUMIF(tabLimpGeral[TIPO],"Equipamento",tabLimpGeral[VALOR UNITÁRIO P/ HORA (R$)])*220,
IF(ISNUMBER(SEARCH("Limpador de vidros - 220 h",tabParametros[[#This Row],[Função]],1)),
SUMIF(tabVidros[TIPO],"Equipamento",tabVidros[VALOR UNITÁRIO P/ POSTO (R$)]),
0))))))</f>
        <v>64.529393914825576</v>
      </c>
      <c r="BA141" s="281">
        <f>IF(ISNUMBER(SEARCH("AUXILIAR DE LIMPEZA - 75 H",tabParametros[[#This Row],[Função]],1)),
SUMIF(tabLimpGeral[TIPO],"Produto",tabLimpGeral[VALOR UNITÁRIO P/ HORA (R$)])*75,
IF(ISNUMBER(SEARCH("AUXILIAR DE LIMPEZA - 110 H",tabParametros[[#This Row],[Função]],1)),
SUMIF(tabLimpGeral[TIPO],"Produto",tabLimpGeral[VALOR UNITÁRIO P/ HORA (R$)])*110,
IF(ISNUMBER(SEARCH("AUXILIAR DE LIMPEZA - 150 H",tabParametros[[#This Row],[Função]],1)),
SUMIF(tabLimpGeral[TIPO],"Produto",tabLimpGeral[VALOR UNITÁRIO P/ HORA (R$)])*150,
IF(ISNUMBER(SEARCH("AUXILIAR DE LIMPEZA - 220 H",tabParametros[[#This Row],[Função]],1)),
SUMIF(tabLimpGeral[TIPO],"Produto",tabLimpGeral[VALOR UNITÁRIO P/ HORA (R$)])*220,
IF(ISNUMBER(SEARCH("AUXILIAR DE LIMPEZA - 12 x 36",tabParametros[[#This Row],[Função]],1)),
SUMIF(tabLimpGeral[TIPO],"Produto",tabLimpGeral[VALOR UNITÁRIO P/ HORA (R$)])*220,
IF(ISNUMBER(SEARCH("Limpador de vidros - 220 h",tabParametros[[#This Row],[Função]],1)),
SUMIF(tabVidros[TIPO],"Produto",tabVidros[VALOR UNITÁRIO P/ POSTO (R$)]),
0))))))</f>
        <v>690.27153277931654</v>
      </c>
      <c r="BB141" s="281">
        <v>0</v>
      </c>
      <c r="BC141" s="236">
        <f>VLOOKUP(tabParametros[[#Headers],[Custos Indiretos]],tabOutrosCustos[],3,0)</f>
        <v>189.64880140242613</v>
      </c>
      <c r="BD141" s="236">
        <f>VLOOKUP(tabParametros[[#Headers],[Lucro]],tabOutrosCustos[],3,0)</f>
        <v>159.30499317803796</v>
      </c>
      <c r="BE141" s="235">
        <f>VLOOKUP(tabParametros[[#Headers],[COFINS]],tabImpostosNacionais[],2,0)</f>
        <v>7.5999999999999998E-2</v>
      </c>
      <c r="BF141" s="235">
        <f>VLOOKUP(tabParametros[[#Headers],[PIS]],tabImpostosNacionais[],2,0)</f>
        <v>1.6500000000000001E-2</v>
      </c>
      <c r="BG141" s="235">
        <f>VLOOKUP(tabParametros[[#This Row],[Comarca]],tabComarca[],4,0)</f>
        <v>0.05</v>
      </c>
      <c r="BH141" s="238">
        <f>IFERROR(VLOOKUP(tabParametros[[#This Row],[CCT DA CATEGORIA]],tabSindicatos[],11,0),"")</f>
        <v>45658</v>
      </c>
      <c r="BI141" s="289" t="str">
        <f>IFERROR(VLOOKUP(tabParametros[[#This Row],[CCT DA CATEGORIA]],tabSindicatos[],12,0),"")</f>
        <v>-</v>
      </c>
      <c r="BJ141" s="293" t="str">
        <f>IFERROR(VLOOKUP(tabParametros[[#This Row],[CCT DA CATEGORIA]],tabSindicatos[],13,0),"")</f>
        <v>-</v>
      </c>
    </row>
    <row r="142" spans="1:62" x14ac:dyDescent="0.25">
      <c r="A142" s="233" t="s">
        <v>1478</v>
      </c>
      <c r="B142" s="198" t="s">
        <v>128</v>
      </c>
      <c r="C142" s="198" t="s">
        <v>1247</v>
      </c>
      <c r="D142" s="198" t="str">
        <f>VLOOKUP(tabParametros[[#This Row],[Código do Posto]],tabPostos[],4,0)</f>
        <v>Regiao de Sao Lourenco</v>
      </c>
      <c r="E142" s="289" t="str">
        <f>VLOOKUP(tabParametros[[#This Row],[Código do Posto]],tabPostos[],5,0)</f>
        <v>Limpeza</v>
      </c>
      <c r="F142" s="289" t="str">
        <f>VLOOKUP(tabParametros[[#This Row],[Código do Posto]],tabPostos[],6,0)</f>
        <v>PGJ</v>
      </c>
      <c r="G142" s="289">
        <f>VLOOKUP(tabParametros[[#This Row],[Código do Posto]],tabPostos[],7,0)</f>
        <v>1</v>
      </c>
      <c r="H142" s="289">
        <f>VLOOKUP(tabParametros[[#This Row],[Código do Posto]],tabPostos[],8,0)</f>
        <v>0</v>
      </c>
      <c r="I142" s="234">
        <f>VLOOKUP(tabParametros[[#This Row],[Código do Posto]],tabPostos[],9,0)</f>
        <v>544.17999999999995</v>
      </c>
      <c r="J142" s="234">
        <f>IF(ISNUMBER(SEARCH("Eletricista",tabParametros[[#This Row],[Função]],1)),0.3*tabParametros[[#This Row],[Salário Base]],0)</f>
        <v>0</v>
      </c>
      <c r="K142" s="234">
        <f>IF(OR(ISNUMBER(SEARCH("Bombeiro Hidraulico",tabParametros[[#This Row],[Função]],1)),ISNUMBER(SEARCH("Jardineiro",tabParametros[[#This Row],[Função]],1)),ISNUMBER(SEARCH("Lavador de Veiculos",tabParametros[[#This Row],[Função]],1)),ISNUMBER(SEARCH("Marceneiro",tabParametros[[#This Row],[Função]],1)),ISNUMBER(SEARCH("Pintor",tabParametros[[#This Row],[Função]],1))),0.2*'BASE GERAL'!$R$4,0)</f>
        <v>0</v>
      </c>
      <c r="L142" s="234">
        <f>IF(AND(ISNUMBER(SEARCH("Noturno",tabParametros[[#This Row],[Função]],1)),tabParametros[[#This Row],[Comarca]]&lt;&gt;"Juiz de Fora"),tabParametros[[#This Row],[Salário Base]]/210*0.39*7*15.5,IF(ISNUMBER(SEARCH("Noturno",tabParametros[[#This Row],[Função]],1)),tabParametros[[#This Row],[Salário Base]]/210*0.2*8*15.5,0))</f>
        <v>0</v>
      </c>
      <c r="M142" s="234">
        <f>IF(ISNUMBER(SEARCH("Motorista II",tabParametros[[#This Row],[Função]],1)),0.25*tabParametros[[#This Row],[Salário Base]],0)</f>
        <v>0</v>
      </c>
      <c r="N142" s="250">
        <v>0</v>
      </c>
      <c r="O142" s="234">
        <f>IF(ISNUMBER(SEARCH("TECNOLOGIA DA INFORMACAO",tabParametros[[#This Row],[Função]],1)),0.0201*tabParametros[[#This Row],[Salário Base]],0)</f>
        <v>0</v>
      </c>
      <c r="P142" s="250" cm="1">
        <f t="array" ref="P142">_xlfn.IFS(
ISNUMBER(SEARCH("Auxiliar de Limpeza - 75 h",tabParametros[[#This Row],[Função]],1)),tabParametros[[#This Row],[Salário Base]]/75*0.75*30*0.12,
ISNUMBER(SEARCH("Auxiliar de Limpeza - 110 h",tabParametros[[#This Row],[Função]],1)),tabParametros[[#This Row],[Salário Base]]/110*1*30*0.12,
ISNUMBER(SEARCH("Auxiliar de Limpeza - 150 h",tabParametros[[#This Row],[Função]],1)),tabParametros[[#This Row],[Salário Base]]/150*1.5*30*0.12,
ISNUMBER(SEARCH("Auxiliar de Limpeza - 220 h",tabParametros[[#This Row],[Função]],1)),tabParametros[[#This Row],[Salário Base]]/220*2*30*0.12,
ISNUMBER(SEARCH("Auxiliar de Limpeza - 12 x 36",tabParametros[[#This Row],[Função]],1)),tabParametros[[#This Row],[Salário Base]]/220*2*30*0.12,
ISNUMBER(SEARCH("Auxiliar de Limpeza - 55 h",tabParametros[[#This Row],[Função]],1))=FALSE,0)</f>
        <v>19.590479999999999</v>
      </c>
      <c r="Q142" s="235">
        <f>VLOOKUP(tabParametros[[#Headers],[INSS]],tabImpostosNacionais[],2,0)</f>
        <v>0.2</v>
      </c>
      <c r="R142" s="235">
        <f>VLOOKUP(tabParametros[[#Headers],[SESI OU SESC]],tabImpostosNacionais[],2,0)</f>
        <v>1.4999999999999999E-2</v>
      </c>
      <c r="S142" s="235">
        <f>VLOOKUP(tabParametros[[#Headers],[SENAI OU SENAC]],tabImpostosNacionais[],2,0)</f>
        <v>0.01</v>
      </c>
      <c r="T142" s="235">
        <f>VLOOKUP(tabParametros[[#Headers],[INCRA]],tabImpostosNacionais[],2,0)</f>
        <v>2E-3</v>
      </c>
      <c r="U142" s="235">
        <f>VLOOKUP(tabParametros[[#Headers],[Salário Educação]],tabImpostosNacionais[],2,0)</f>
        <v>2.5000000000000001E-2</v>
      </c>
      <c r="V142" s="235">
        <f>VLOOKUP(tabParametros[[#Headers],[FGTS]],tabImpostosNacionais[],2,0)</f>
        <v>0.08</v>
      </c>
      <c r="W142" s="235">
        <f>VLOOKUP(tabParametros[[#Headers],[RAT Ajustado]],tabImpostosNacionais[],2,0)</f>
        <v>0.04</v>
      </c>
      <c r="X142" s="235">
        <f>VLOOKUP(tabParametros[[#Headers],[SEBRAE]],tabImpostosNacionais[],2,0)</f>
        <v>6.0000000000000001E-3</v>
      </c>
      <c r="Y142" s="235">
        <f t="shared" si="22"/>
        <v>8.3333333333333329E-2</v>
      </c>
      <c r="Z142" s="251">
        <f t="shared" si="23"/>
        <v>0.1111111111111111</v>
      </c>
      <c r="AA142" s="234">
        <f>VLOOKUP(tabParametros[[#This Row],[Comarca]],tabComarca[],5,0)</f>
        <v>6.4</v>
      </c>
      <c r="AB142" s="234">
        <f>IFERROR(VLOOKUP(tabParametros[[#This Row],[CCT DA CATEGORIA]],tabSindicatos[],6,0),0)</f>
        <v>29.15</v>
      </c>
      <c r="AC142" s="234">
        <f>IFERROR(VLOOKUP(tabParametros[[#This Row],[CCT DA CATEGORIA]],tabSindicatos[],7,0),0)</f>
        <v>0</v>
      </c>
      <c r="AD142" s="234" cm="1">
        <f t="array" ref="AD142">_xlfn.LET(
_xlpm.COMARCA, TRIM(UPPER(SUBSTITUTE(SUBSTITUTE(SUBSTITUTE(SUBSTITUTE(SUBSTITUTE(SUBSTITUTE(SUBSTITUTE(SUBSTITUTE(SUBSTITUTE(SUBSTITUTE(SUBSTITUTE(SUBSTITUTE(SUBSTITUTE(SUBSTITUTE(SUBSTITUTE(SUBSTITUTE(SUBSTITUTE(SUBSTITUTE(SUBSTITUTE(SUBSTITUTE(SUBSTITUTE(SUBSTITUTE(SUBSTITUTE(SUBSTITUTE(SUBSTITUTE(SUBSTITUTE(tabParametros[[#This Row],[Comarca]],"á","a"),"ã","a"),"â","a"),"é","e"),"ê","e"),"í","i"),"ó","o"),"õ","o"),"ô","o"),"ú","u"),"ç","c"),"Á","a"),"Ã","a"),"Â","a"),"É","e"),"Ê","e"),"Í","i"),"Ó","o"),"Õ","o"),"Ô","o"),"Ú","u"),"Ç","c"),"/MG","")," e ",", ")," ",""),".",""))),
_xlpm.MATRIZ_COMARCA, TRIM(UPPER(SUBSTITUTE(SUBSTITUTE(SUBSTITUTE(SUBSTITUTE(SUBSTITUTE(SUBSTITUTE(SUBSTITUTE(SUBSTITUTE(SUBSTITUTE(SUBSTITUTE(SUBSTITUTE(SUBSTITUTE(SUBSTITUTE(SUBSTITUTE(SUBSTITUTE(SUBSTITUTE(SUBSTITUTE(SUBSTITUTE(SUBSTITUTE(SUBSTITUTE(SUBSTITUTE(SUBSTITUTE(SUBSTITUTE(SUBSTITUTE(SUBSTITUTE(SUBSTITUTE(tabSindicatos[COMARCAS PAF],"á","a"),"ã","a"),"â","a"),"é","e"),"ê","e"),"í","i"),"ó","o"),"õ","o"),"ô","o"),"ú","u"),"ç","c"),"Á","a"),"Ã","a"),"Â","a"),"É","e"),"Ê","e"),"Í","i"),"Ó","o"),"Õ","o"),"Ô","o"),"Ú","u"),"Ç","c"),"/MG","")," e ",", ")," ",""),".",""))),
IFERROR(IF(_xlfn.XLOOKUP(tabParametros[[#This Row],[CCT DA CATEGORIA]],tabSindicatos[SINDICATOS],tabSindicatos[COMARCAS PAF])="",
VLOOKUP(tabParametros[[#This Row],[CCT DA CATEGORIA]],tabSindicatos[],8,0),
IF(ISNUMBER(SEARCH(TRIM(_xlpm.COMARCA),_xlfn.XLOOKUP(tabParametros[[#This Row],[CCT DA CATEGORIA]],tabSindicatos[SINDICATOS],_xlpm.MATRIZ_COMARCA),1)),VLOOKUP(tabParametros[[#This Row],[CCT DA CATEGORIA]],tabSindicatos[],8,0),0)
),0)
)</f>
        <v>0</v>
      </c>
      <c r="AE142" s="234">
        <f>IFERROR(VLOOKUP(tabParametros[[#This Row],[CCT DA CATEGORIA]],tabSindicatos[],9,0),0)</f>
        <v>0</v>
      </c>
      <c r="AF142" s="234">
        <f>IFERROR(VLOOKUP(tabParametros[[#This Row],[CCT DA CATEGORIA]],tabSindicatos[],10,0),0)</f>
        <v>0</v>
      </c>
      <c r="AG142" s="236">
        <f>VLOOKUP(tabParametros[[#Headers],[Seguro de Vida]],tabOutrosCustos[],3,0)</f>
        <v>3.36</v>
      </c>
      <c r="AH142" s="236">
        <f>IF(ISNUMBER(SEARCH("MOTORISTA",tabParametros[[#This Row],[Função]],1)),VLOOKUP("MOTORISTAS",tabDiarias[],2,0),IF(tabParametros[[#This Row],[Comarca]]="Belo Horizonte",VLOOKUP("LIMPEZA",tabDiarias[],2,0),0))</f>
        <v>0</v>
      </c>
      <c r="AI142" s="235">
        <f t="shared" si="24"/>
        <v>7.011766975308642E-3</v>
      </c>
      <c r="AJ142" s="237">
        <f>tabParametros[[#This Row],[FGTS]]*tabParametros[[#This Row],[Aviso Prévio Indenizado (API) e Reflexo do Aviso Prévio Indenizado]]</f>
        <v>5.609413580246914E-4</v>
      </c>
      <c r="AK142" s="237">
        <f>tabParametros[[#This Row],[FGTS]]*tabParametros[[#This Row],[Aviso Prévio Indenizado (API) e Reflexo do Aviso Prévio Indenizado]]*40%</f>
        <v>2.2437654320987658E-4</v>
      </c>
      <c r="AL142" s="235">
        <f t="shared" si="25"/>
        <v>3.5000000000000005E-3</v>
      </c>
      <c r="AM142" s="235">
        <f>tabParametros[[#This Row],[Aviso Prévio Trabalhado - APT]]*SUM(tabParametros[[#This Row],[INSS]:[SEBRAE]])</f>
        <v>1.3230000000000004E-3</v>
      </c>
      <c r="AN142" s="235">
        <f t="shared" si="26"/>
        <v>3.0577777777777773E-2</v>
      </c>
      <c r="AO142" s="235">
        <f t="shared" si="27"/>
        <v>8.3333333333333339E-4</v>
      </c>
      <c r="AP142" s="235">
        <f t="shared" si="28"/>
        <v>8.4444444444444437E-3</v>
      </c>
      <c r="AQ142" s="235">
        <f t="shared" si="29"/>
        <v>2.0277777777777777E-3</v>
      </c>
      <c r="AR142" s="235">
        <f t="shared" si="30"/>
        <v>1.7083333333333333E-4</v>
      </c>
      <c r="AS142" s="235">
        <f t="shared" si="31"/>
        <v>2.0833333333333335E-4</v>
      </c>
      <c r="AT142" s="235">
        <f t="shared" si="32"/>
        <v>1.2962962962962963E-3</v>
      </c>
      <c r="AU142" s="237">
        <f>SUM(tabParametros[[#This Row],[Ausência por Doença]:[Férias, Adicional de Férias e 13º  com empregada em gozo de Licença Maternidade]])*SUM(tabParametros[[#This Row],[INSS]:[SEBRAE]])</f>
        <v>4.5918250000000008E-3</v>
      </c>
      <c r="AV142" s="234">
        <f>IF(tabParametros[[#This Row],[Função]]="Porteiro - 220 h",SUM(tabParametros[[#This Row],[Salário Base]:[Adicional de Acúmulo de função]])/220*20*1.5,IF(ISNUMBER(SEARCH("12 x 36",tabParametros[[#This Row],[Função]],1)),SUM(tabParametros[[#This Row],[Salário Base]:[Adicional de Acúmulo de função]])/210*15.5*1.5,0))</f>
        <v>0</v>
      </c>
      <c r="AW142" s="234">
        <f>IF(tabParametros[[#This Row],[Vagas contratadas]]&gt;0,(SUM(tabParametros[[#This Row],[Salário Base]:[Adicional de Acúmulo de função]])*30%+SUM(tabParametros[[#This Row],[Vale - Alimentação]:[Seguro de Vida]]))/tabParametros[[#This Row],[Vagas contratadas]]*tabParametros[[#This Row],[Vagas suspensas]],0)</f>
        <v>0</v>
      </c>
      <c r="AX142" s="234">
        <f>SUMIF(tabUniformes[Cargo],tabParametros[[#This Row],[Função]],tabUniformes[Valor unit. Mensal])</f>
        <v>62.806666666666665</v>
      </c>
      <c r="AY142" s="281">
        <f>IF(ISNUMBER(SEARCH("AUXILIAR DE LIMPEZA - 75 H",tabParametros[[#This Row],[Função]],1)),
SUMIF(tabLimpGeral[TIPO],"Material",tabLimpGeral[VALOR UNITÁRIO P/ HORA (R$)])*75,
IF(ISNUMBER(SEARCH("AUXILIAR DE LIMPEZA - 110 H",tabParametros[[#This Row],[Função]],1)),
SUMIF(tabLimpGeral[TIPO],"Material",tabLimpGeral[VALOR UNITÁRIO P/ HORA (R$)])*110,
IF(ISNUMBER(SEARCH("AUXILIAR DE LIMPEZA - 150 H",tabParametros[[#This Row],[Função]],1)),
SUMIF(tabLimpGeral[TIPO],"Material",tabLimpGeral[VALOR UNITÁRIO P/ HORA (R$)])*150,
IF(ISNUMBER(SEARCH("AUXILIAR DE LIMPEZA - 220 H",tabParametros[[#This Row],[Função]],1)),
SUMIF(tabLimpGeral[TIPO],"Material",tabLimpGeral[VALOR UNITÁRIO P/ HORA (R$)])*220,
IF(ISNUMBER(SEARCH("AUXILIAR DE LIMPEZA - 12 x 36",tabParametros[[#This Row],[Função]],1)),
SUMIF(tabLimpGeral[TIPO],"Material",tabLimpGeral[VALOR UNITÁRIO P/ HORA (R$)])*220,
IF(ISNUMBER(SEARCH("Limpador de vidros - 220 h",tabParametros[[#This Row],[Função]],1)),
SUMIF(tabVidros[TIPO],"Material",tabVidros[VALOR UNITÁRIO P/ POSTO (R$)]),
0))))))</f>
        <v>12.108481690426325</v>
      </c>
      <c r="AZ142" s="281">
        <f>IF(ISNUMBER(SEARCH("AUXILIAR DE LIMPEZA - 75 H",tabParametros[[#This Row],[Função]],1)),
SUMIF(tabLimpGeral[TIPO],"Equipamento",tabLimpGeral[VALOR UNITÁRIO P/ HORA (R$)])*75,
IF(ISNUMBER(SEARCH("AUXILIAR DE LIMPEZA - 110 H",tabParametros[[#This Row],[Função]],1)),
SUMIF(tabLimpGeral[TIPO],"Equipamento",tabLimpGeral[VALOR UNITÁRIO P/ HORA (R$)])*110,
IF(ISNUMBER(SEARCH("AUXILIAR DE LIMPEZA - 150 H",tabParametros[[#This Row],[Função]],1)),
SUMIF(tabLimpGeral[TIPO],"Equipamento",tabLimpGeral[VALOR UNITÁRIO P/ HORA (R$)])*150,
IF(ISNUMBER(SEARCH("AUXILIAR DE LIMPEZA - 220 H",tabParametros[[#This Row],[Função]],1)),
SUMIF(tabLimpGeral[TIPO],"Equipamento",tabLimpGeral[VALOR UNITÁRIO P/ HORA (R$)])*220,
IF(ISNUMBER(SEARCH("AUXILIAR DE LIMPEZA - 12 x 36",tabParametros[[#This Row],[Função]],1)),
SUMIF(tabLimpGeral[TIPO],"Equipamento",tabLimpGeral[VALOR UNITÁRIO P/ HORA (R$)])*220,
IF(ISNUMBER(SEARCH("Limpador de vidros - 220 h",tabParametros[[#This Row],[Função]],1)),
SUMIF(tabVidros[TIPO],"Equipamento",tabVidros[VALOR UNITÁRIO P/ POSTO (R$)]),
0))))))</f>
        <v>21.998657016417809</v>
      </c>
      <c r="BA142" s="281">
        <f>IF(ISNUMBER(SEARCH("AUXILIAR DE LIMPEZA - 75 H",tabParametros[[#This Row],[Função]],1)),
SUMIF(tabLimpGeral[TIPO],"Produto",tabLimpGeral[VALOR UNITÁRIO P/ HORA (R$)])*75,
IF(ISNUMBER(SEARCH("AUXILIAR DE LIMPEZA - 110 H",tabParametros[[#This Row],[Função]],1)),
SUMIF(tabLimpGeral[TIPO],"Produto",tabLimpGeral[VALOR UNITÁRIO P/ HORA (R$)])*110,
IF(ISNUMBER(SEARCH("AUXILIAR DE LIMPEZA - 150 H",tabParametros[[#This Row],[Função]],1)),
SUMIF(tabLimpGeral[TIPO],"Produto",tabLimpGeral[VALOR UNITÁRIO P/ HORA (R$)])*150,
IF(ISNUMBER(SEARCH("AUXILIAR DE LIMPEZA - 220 H",tabParametros[[#This Row],[Função]],1)),
SUMIF(tabLimpGeral[TIPO],"Produto",tabLimpGeral[VALOR UNITÁRIO P/ HORA (R$)])*220,
IF(ISNUMBER(SEARCH("AUXILIAR DE LIMPEZA - 12 x 36",tabParametros[[#This Row],[Função]],1)),
SUMIF(tabLimpGeral[TIPO],"Produto",tabLimpGeral[VALOR UNITÁRIO P/ HORA (R$)])*220,
IF(ISNUMBER(SEARCH("Limpador de vidros - 220 h",tabParametros[[#This Row],[Função]],1)),
SUMIF(tabVidros[TIPO],"Produto",tabVidros[VALOR UNITÁRIO P/ POSTO (R$)]),
0))))))</f>
        <v>235.31984072022155</v>
      </c>
      <c r="BB142" s="281">
        <v>0</v>
      </c>
      <c r="BC142" s="236">
        <f>VLOOKUP(tabParametros[[#Headers],[Custos Indiretos]],tabOutrosCustos[],3,0)</f>
        <v>189.64880140242613</v>
      </c>
      <c r="BD142" s="236">
        <f>VLOOKUP(tabParametros[[#Headers],[Lucro]],tabOutrosCustos[],3,0)</f>
        <v>159.30499317803796</v>
      </c>
      <c r="BE142" s="235">
        <f>VLOOKUP(tabParametros[[#Headers],[COFINS]],tabImpostosNacionais[],2,0)</f>
        <v>7.5999999999999998E-2</v>
      </c>
      <c r="BF142" s="235">
        <f>VLOOKUP(tabParametros[[#Headers],[PIS]],tabImpostosNacionais[],2,0)</f>
        <v>1.6500000000000001E-2</v>
      </c>
      <c r="BG142" s="235">
        <f>VLOOKUP(tabParametros[[#This Row],[Comarca]],tabComarca[],4,0)</f>
        <v>0.03</v>
      </c>
      <c r="BH142" s="238">
        <f>IFERROR(VLOOKUP(tabParametros[[#This Row],[CCT DA CATEGORIA]],tabSindicatos[],11,0),"")</f>
        <v>45658</v>
      </c>
      <c r="BI142" s="289" t="str">
        <f>IFERROR(VLOOKUP(tabParametros[[#This Row],[CCT DA CATEGORIA]],tabSindicatos[],12,0),"")</f>
        <v>-</v>
      </c>
      <c r="BJ142" s="293" t="str">
        <f>IFERROR(VLOOKUP(tabParametros[[#This Row],[CCT DA CATEGORIA]],tabSindicatos[],13,0),"")</f>
        <v>-</v>
      </c>
    </row>
    <row r="143" spans="1:62" x14ac:dyDescent="0.25">
      <c r="A143" s="233" t="s">
        <v>1479</v>
      </c>
      <c r="B143" s="198" t="s">
        <v>129</v>
      </c>
      <c r="C143" s="198" t="s">
        <v>1244</v>
      </c>
      <c r="D143" s="198" t="str">
        <f>VLOOKUP(tabParametros[[#This Row],[Código do Posto]],tabPostos[],4,0)</f>
        <v>Regiao de Sao Lourenco</v>
      </c>
      <c r="E143" s="289" t="str">
        <f>VLOOKUP(tabParametros[[#This Row],[Código do Posto]],tabPostos[],5,0)</f>
        <v>Limpeza</v>
      </c>
      <c r="F143" s="289" t="str">
        <f>VLOOKUP(tabParametros[[#This Row],[Código do Posto]],tabPostos[],6,0)</f>
        <v>PGJ</v>
      </c>
      <c r="G143" s="289">
        <f>VLOOKUP(tabParametros[[#This Row],[Código do Posto]],tabPostos[],7,0)</f>
        <v>1</v>
      </c>
      <c r="H143" s="289">
        <f>VLOOKUP(tabParametros[[#This Row],[Código do Posto]],tabPostos[],8,0)</f>
        <v>0</v>
      </c>
      <c r="I143" s="234">
        <f>VLOOKUP(tabParametros[[#This Row],[Código do Posto]],tabPostos[],9,0)</f>
        <v>798.14</v>
      </c>
      <c r="J143" s="234">
        <f>IF(ISNUMBER(SEARCH("Eletricista",tabParametros[[#This Row],[Função]],1)),0.3*tabParametros[[#This Row],[Salário Base]],0)</f>
        <v>0</v>
      </c>
      <c r="K143" s="234">
        <f>IF(OR(ISNUMBER(SEARCH("Bombeiro Hidraulico",tabParametros[[#This Row],[Função]],1)),ISNUMBER(SEARCH("Jardineiro",tabParametros[[#This Row],[Função]],1)),ISNUMBER(SEARCH("Lavador de Veiculos",tabParametros[[#This Row],[Função]],1)),ISNUMBER(SEARCH("Marceneiro",tabParametros[[#This Row],[Função]],1)),ISNUMBER(SEARCH("Pintor",tabParametros[[#This Row],[Função]],1))),0.2*'BASE GERAL'!$R$4,0)</f>
        <v>0</v>
      </c>
      <c r="L143" s="234">
        <f>IF(AND(ISNUMBER(SEARCH("Noturno",tabParametros[[#This Row],[Função]],1)),tabParametros[[#This Row],[Comarca]]&lt;&gt;"Juiz de Fora"),tabParametros[[#This Row],[Salário Base]]/210*0.39*7*15.5,IF(ISNUMBER(SEARCH("Noturno",tabParametros[[#This Row],[Função]],1)),tabParametros[[#This Row],[Salário Base]]/210*0.2*8*15.5,0))</f>
        <v>0</v>
      </c>
      <c r="M143" s="234">
        <f>IF(ISNUMBER(SEARCH("Motorista II",tabParametros[[#This Row],[Função]],1)),0.25*tabParametros[[#This Row],[Salário Base]],0)</f>
        <v>0</v>
      </c>
      <c r="N143" s="250">
        <v>0</v>
      </c>
      <c r="O143" s="234">
        <f>IF(ISNUMBER(SEARCH("TECNOLOGIA DA INFORMACAO",tabParametros[[#This Row],[Função]],1)),0.0201*tabParametros[[#This Row],[Salário Base]],0)</f>
        <v>0</v>
      </c>
      <c r="P143" s="250" cm="1">
        <f t="array" ref="P143">_xlfn.IFS(
ISNUMBER(SEARCH("Auxiliar de Limpeza - 75 h",tabParametros[[#This Row],[Função]],1)),tabParametros[[#This Row],[Salário Base]]/75*0.75*30*0.12,
ISNUMBER(SEARCH("Auxiliar de Limpeza - 110 h",tabParametros[[#This Row],[Função]],1)),tabParametros[[#This Row],[Salário Base]]/110*1*30*0.12,
ISNUMBER(SEARCH("Auxiliar de Limpeza - 150 h",tabParametros[[#This Row],[Função]],1)),tabParametros[[#This Row],[Salário Base]]/150*1.5*30*0.12,
ISNUMBER(SEARCH("Auxiliar de Limpeza - 220 h",tabParametros[[#This Row],[Função]],1)),tabParametros[[#This Row],[Salário Base]]/220*2*30*0.12,
ISNUMBER(SEARCH("Auxiliar de Limpeza - 12 x 36",tabParametros[[#This Row],[Função]],1)),tabParametros[[#This Row],[Salário Base]]/220*2*30*0.12,
ISNUMBER(SEARCH("Auxiliar de Limpeza - 55 h",tabParametros[[#This Row],[Função]],1))=FALSE,0)</f>
        <v>26.120945454545453</v>
      </c>
      <c r="Q143" s="235">
        <f>VLOOKUP(tabParametros[[#Headers],[INSS]],tabImpostosNacionais[],2,0)</f>
        <v>0.2</v>
      </c>
      <c r="R143" s="235">
        <f>VLOOKUP(tabParametros[[#Headers],[SESI OU SESC]],tabImpostosNacionais[],2,0)</f>
        <v>1.4999999999999999E-2</v>
      </c>
      <c r="S143" s="235">
        <f>VLOOKUP(tabParametros[[#Headers],[SENAI OU SENAC]],tabImpostosNacionais[],2,0)</f>
        <v>0.01</v>
      </c>
      <c r="T143" s="235">
        <f>VLOOKUP(tabParametros[[#Headers],[INCRA]],tabImpostosNacionais[],2,0)</f>
        <v>2E-3</v>
      </c>
      <c r="U143" s="235">
        <f>VLOOKUP(tabParametros[[#Headers],[Salário Educação]],tabImpostosNacionais[],2,0)</f>
        <v>2.5000000000000001E-2</v>
      </c>
      <c r="V143" s="235">
        <f>VLOOKUP(tabParametros[[#Headers],[FGTS]],tabImpostosNacionais[],2,0)</f>
        <v>0.08</v>
      </c>
      <c r="W143" s="235">
        <f>VLOOKUP(tabParametros[[#Headers],[RAT Ajustado]],tabImpostosNacionais[],2,0)</f>
        <v>0.04</v>
      </c>
      <c r="X143" s="235">
        <f>VLOOKUP(tabParametros[[#Headers],[SEBRAE]],tabImpostosNacionais[],2,0)</f>
        <v>6.0000000000000001E-3</v>
      </c>
      <c r="Y143" s="235">
        <f t="shared" si="22"/>
        <v>8.3333333333333329E-2</v>
      </c>
      <c r="Z143" s="251">
        <f t="shared" si="23"/>
        <v>0.1111111111111111</v>
      </c>
      <c r="AA143" s="234">
        <f>VLOOKUP(tabParametros[[#This Row],[Comarca]],tabComarca[],5,0)</f>
        <v>6.4</v>
      </c>
      <c r="AB143" s="234">
        <f>IFERROR(VLOOKUP(tabParametros[[#This Row],[CCT DA CATEGORIA]],tabSindicatos[],6,0),0)</f>
        <v>29.15</v>
      </c>
      <c r="AC143" s="234">
        <f>IFERROR(VLOOKUP(tabParametros[[#This Row],[CCT DA CATEGORIA]],tabSindicatos[],7,0),0)</f>
        <v>0</v>
      </c>
      <c r="AD143" s="234" cm="1">
        <f t="array" ref="AD143">_xlfn.LET(
_xlpm.COMARCA, TRIM(UPPER(SUBSTITUTE(SUBSTITUTE(SUBSTITUTE(SUBSTITUTE(SUBSTITUTE(SUBSTITUTE(SUBSTITUTE(SUBSTITUTE(SUBSTITUTE(SUBSTITUTE(SUBSTITUTE(SUBSTITUTE(SUBSTITUTE(SUBSTITUTE(SUBSTITUTE(SUBSTITUTE(SUBSTITUTE(SUBSTITUTE(SUBSTITUTE(SUBSTITUTE(SUBSTITUTE(SUBSTITUTE(SUBSTITUTE(SUBSTITUTE(SUBSTITUTE(SUBSTITUTE(tabParametros[[#This Row],[Comarca]],"á","a"),"ã","a"),"â","a"),"é","e"),"ê","e"),"í","i"),"ó","o"),"õ","o"),"ô","o"),"ú","u"),"ç","c"),"Á","a"),"Ã","a"),"Â","a"),"É","e"),"Ê","e"),"Í","i"),"Ó","o"),"Õ","o"),"Ô","o"),"Ú","u"),"Ç","c"),"/MG","")," e ",", ")," ",""),".",""))),
_xlpm.MATRIZ_COMARCA, TRIM(UPPER(SUBSTITUTE(SUBSTITUTE(SUBSTITUTE(SUBSTITUTE(SUBSTITUTE(SUBSTITUTE(SUBSTITUTE(SUBSTITUTE(SUBSTITUTE(SUBSTITUTE(SUBSTITUTE(SUBSTITUTE(SUBSTITUTE(SUBSTITUTE(SUBSTITUTE(SUBSTITUTE(SUBSTITUTE(SUBSTITUTE(SUBSTITUTE(SUBSTITUTE(SUBSTITUTE(SUBSTITUTE(SUBSTITUTE(SUBSTITUTE(SUBSTITUTE(SUBSTITUTE(tabSindicatos[COMARCAS PAF],"á","a"),"ã","a"),"â","a"),"é","e"),"ê","e"),"í","i"),"ó","o"),"õ","o"),"ô","o"),"ú","u"),"ç","c"),"Á","a"),"Ã","a"),"Â","a"),"É","e"),"Ê","e"),"Í","i"),"Ó","o"),"Õ","o"),"Ô","o"),"Ú","u"),"Ç","c"),"/MG","")," e ",", ")," ",""),".",""))),
IFERROR(IF(_xlfn.XLOOKUP(tabParametros[[#This Row],[CCT DA CATEGORIA]],tabSindicatos[SINDICATOS],tabSindicatos[COMARCAS PAF])="",
VLOOKUP(tabParametros[[#This Row],[CCT DA CATEGORIA]],tabSindicatos[],8,0),
IF(ISNUMBER(SEARCH(TRIM(_xlpm.COMARCA),_xlfn.XLOOKUP(tabParametros[[#This Row],[CCT DA CATEGORIA]],tabSindicatos[SINDICATOS],_xlpm.MATRIZ_COMARCA),1)),VLOOKUP(tabParametros[[#This Row],[CCT DA CATEGORIA]],tabSindicatos[],8,0),0)
),0)
)</f>
        <v>53.27</v>
      </c>
      <c r="AE143" s="234">
        <f>IFERROR(VLOOKUP(tabParametros[[#This Row],[CCT DA CATEGORIA]],tabSindicatos[],9,0),0)</f>
        <v>0</v>
      </c>
      <c r="AF143" s="234">
        <f>IFERROR(VLOOKUP(tabParametros[[#This Row],[CCT DA CATEGORIA]],tabSindicatos[],10,0),0)</f>
        <v>0</v>
      </c>
      <c r="AG143" s="236">
        <f>VLOOKUP(tabParametros[[#Headers],[Seguro de Vida]],tabOutrosCustos[],3,0)</f>
        <v>3.36</v>
      </c>
      <c r="AH143" s="236">
        <f>IF(ISNUMBER(SEARCH("MOTORISTA",tabParametros[[#This Row],[Função]],1)),VLOOKUP("MOTORISTAS",tabDiarias[],2,0),IF(tabParametros[[#This Row],[Comarca]]="Belo Horizonte",VLOOKUP("LIMPEZA",tabDiarias[],2,0),0))</f>
        <v>0</v>
      </c>
      <c r="AI143" s="235">
        <f t="shared" si="24"/>
        <v>7.011766975308642E-3</v>
      </c>
      <c r="AJ143" s="237">
        <f>tabParametros[[#This Row],[FGTS]]*tabParametros[[#This Row],[Aviso Prévio Indenizado (API) e Reflexo do Aviso Prévio Indenizado]]</f>
        <v>5.609413580246914E-4</v>
      </c>
      <c r="AK143" s="237">
        <f>tabParametros[[#This Row],[FGTS]]*tabParametros[[#This Row],[Aviso Prévio Indenizado (API) e Reflexo do Aviso Prévio Indenizado]]*40%</f>
        <v>2.2437654320987658E-4</v>
      </c>
      <c r="AL143" s="235">
        <f t="shared" si="25"/>
        <v>3.5000000000000005E-3</v>
      </c>
      <c r="AM143" s="235">
        <f>tabParametros[[#This Row],[Aviso Prévio Trabalhado - APT]]*SUM(tabParametros[[#This Row],[INSS]:[SEBRAE]])</f>
        <v>1.3230000000000004E-3</v>
      </c>
      <c r="AN143" s="235">
        <f t="shared" si="26"/>
        <v>3.0577777777777773E-2</v>
      </c>
      <c r="AO143" s="235">
        <f t="shared" si="27"/>
        <v>8.3333333333333339E-4</v>
      </c>
      <c r="AP143" s="235">
        <f t="shared" si="28"/>
        <v>8.4444444444444437E-3</v>
      </c>
      <c r="AQ143" s="235">
        <f t="shared" si="29"/>
        <v>2.0277777777777777E-3</v>
      </c>
      <c r="AR143" s="235">
        <f t="shared" si="30"/>
        <v>1.7083333333333333E-4</v>
      </c>
      <c r="AS143" s="235">
        <f t="shared" si="31"/>
        <v>2.0833333333333335E-4</v>
      </c>
      <c r="AT143" s="235">
        <f t="shared" si="32"/>
        <v>1.2962962962962963E-3</v>
      </c>
      <c r="AU143" s="237">
        <f>SUM(tabParametros[[#This Row],[Ausência por Doença]:[Férias, Adicional de Férias e 13º  com empregada em gozo de Licença Maternidade]])*SUM(tabParametros[[#This Row],[INSS]:[SEBRAE]])</f>
        <v>4.5918250000000008E-3</v>
      </c>
      <c r="AV143" s="234">
        <f>IF(tabParametros[[#This Row],[Função]]="Porteiro - 220 h",SUM(tabParametros[[#This Row],[Salário Base]:[Adicional de Acúmulo de função]])/220*20*1.5,IF(ISNUMBER(SEARCH("12 x 36",tabParametros[[#This Row],[Função]],1)),SUM(tabParametros[[#This Row],[Salário Base]:[Adicional de Acúmulo de função]])/210*15.5*1.5,0))</f>
        <v>0</v>
      </c>
      <c r="AW143" s="234">
        <f>IF(tabParametros[[#This Row],[Vagas contratadas]]&gt;0,(SUM(tabParametros[[#This Row],[Salário Base]:[Adicional de Acúmulo de função]])*30%+SUM(tabParametros[[#This Row],[Vale - Alimentação]:[Seguro de Vida]]))/tabParametros[[#This Row],[Vagas contratadas]]*tabParametros[[#This Row],[Vagas suspensas]],0)</f>
        <v>0</v>
      </c>
      <c r="AX143" s="234">
        <f>SUMIF(tabUniformes[Cargo],tabParametros[[#This Row],[Função]],tabUniformes[Valor unit. Mensal])</f>
        <v>62.806666666666665</v>
      </c>
      <c r="AY143" s="281">
        <f>IF(ISNUMBER(SEARCH("AUXILIAR DE LIMPEZA - 75 H",tabParametros[[#This Row],[Função]],1)),
SUMIF(tabLimpGeral[TIPO],"Material",tabLimpGeral[VALOR UNITÁRIO P/ HORA (R$)])*75,
IF(ISNUMBER(SEARCH("AUXILIAR DE LIMPEZA - 110 H",tabParametros[[#This Row],[Função]],1)),
SUMIF(tabLimpGeral[TIPO],"Material",tabLimpGeral[VALOR UNITÁRIO P/ HORA (R$)])*110,
IF(ISNUMBER(SEARCH("AUXILIAR DE LIMPEZA - 150 H",tabParametros[[#This Row],[Função]],1)),
SUMIF(tabLimpGeral[TIPO],"Material",tabLimpGeral[VALOR UNITÁRIO P/ HORA (R$)])*150,
IF(ISNUMBER(SEARCH("AUXILIAR DE LIMPEZA - 220 H",tabParametros[[#This Row],[Função]],1)),
SUMIF(tabLimpGeral[TIPO],"Material",tabLimpGeral[VALOR UNITÁRIO P/ HORA (R$)])*220,
IF(ISNUMBER(SEARCH("AUXILIAR DE LIMPEZA - 12 x 36",tabParametros[[#This Row],[Função]],1)),
SUMIF(tabLimpGeral[TIPO],"Material",tabLimpGeral[VALOR UNITÁRIO P/ HORA (R$)])*220,
IF(ISNUMBER(SEARCH("Limpador de vidros - 220 h",tabParametros[[#This Row],[Função]],1)),
SUMIF(tabVidros[TIPO],"Material",tabVidros[VALOR UNITÁRIO P/ POSTO (R$)]),
0))))))</f>
        <v>17.759106479291944</v>
      </c>
      <c r="AZ143" s="281">
        <f>IF(ISNUMBER(SEARCH("AUXILIAR DE LIMPEZA - 75 H",tabParametros[[#This Row],[Função]],1)),
SUMIF(tabLimpGeral[TIPO],"Equipamento",tabLimpGeral[VALOR UNITÁRIO P/ HORA (R$)])*75,
IF(ISNUMBER(SEARCH("AUXILIAR DE LIMPEZA - 110 H",tabParametros[[#This Row],[Função]],1)),
SUMIF(tabLimpGeral[TIPO],"Equipamento",tabLimpGeral[VALOR UNITÁRIO P/ HORA (R$)])*110,
IF(ISNUMBER(SEARCH("AUXILIAR DE LIMPEZA - 150 H",tabParametros[[#This Row],[Função]],1)),
SUMIF(tabLimpGeral[TIPO],"Equipamento",tabLimpGeral[VALOR UNITÁRIO P/ HORA (R$)])*150,
IF(ISNUMBER(SEARCH("AUXILIAR DE LIMPEZA - 220 H",tabParametros[[#This Row],[Função]],1)),
SUMIF(tabLimpGeral[TIPO],"Equipamento",tabLimpGeral[VALOR UNITÁRIO P/ HORA (R$)])*220,
IF(ISNUMBER(SEARCH("AUXILIAR DE LIMPEZA - 12 x 36",tabParametros[[#This Row],[Função]],1)),
SUMIF(tabLimpGeral[TIPO],"Equipamento",tabLimpGeral[VALOR UNITÁRIO P/ HORA (R$)])*220,
IF(ISNUMBER(SEARCH("Limpador de vidros - 220 h",tabParametros[[#This Row],[Função]],1)),
SUMIF(tabVidros[TIPO],"Equipamento",tabVidros[VALOR UNITÁRIO P/ POSTO (R$)]),
0))))))</f>
        <v>32.264696957412788</v>
      </c>
      <c r="BA143" s="281">
        <f>IF(ISNUMBER(SEARCH("AUXILIAR DE LIMPEZA - 75 H",tabParametros[[#This Row],[Função]],1)),
SUMIF(tabLimpGeral[TIPO],"Produto",tabLimpGeral[VALOR UNITÁRIO P/ HORA (R$)])*75,
IF(ISNUMBER(SEARCH("AUXILIAR DE LIMPEZA - 110 H",tabParametros[[#This Row],[Função]],1)),
SUMIF(tabLimpGeral[TIPO],"Produto",tabLimpGeral[VALOR UNITÁRIO P/ HORA (R$)])*110,
IF(ISNUMBER(SEARCH("AUXILIAR DE LIMPEZA - 150 H",tabParametros[[#This Row],[Função]],1)),
SUMIF(tabLimpGeral[TIPO],"Produto",tabLimpGeral[VALOR UNITÁRIO P/ HORA (R$)])*150,
IF(ISNUMBER(SEARCH("AUXILIAR DE LIMPEZA - 220 H",tabParametros[[#This Row],[Função]],1)),
SUMIF(tabLimpGeral[TIPO],"Produto",tabLimpGeral[VALOR UNITÁRIO P/ HORA (R$)])*220,
IF(ISNUMBER(SEARCH("AUXILIAR DE LIMPEZA - 12 x 36",tabParametros[[#This Row],[Função]],1)),
SUMIF(tabLimpGeral[TIPO],"Produto",tabLimpGeral[VALOR UNITÁRIO P/ HORA (R$)])*220,
IF(ISNUMBER(SEARCH("Limpador de vidros - 220 h",tabParametros[[#This Row],[Função]],1)),
SUMIF(tabVidros[TIPO],"Produto",tabVidros[VALOR UNITÁRIO P/ POSTO (R$)]),
0))))))</f>
        <v>345.13576638965827</v>
      </c>
      <c r="BB143" s="281">
        <v>0</v>
      </c>
      <c r="BC143" s="236">
        <f>VLOOKUP(tabParametros[[#Headers],[Custos Indiretos]],tabOutrosCustos[],3,0)</f>
        <v>189.64880140242613</v>
      </c>
      <c r="BD143" s="236">
        <f>VLOOKUP(tabParametros[[#Headers],[Lucro]],tabOutrosCustos[],3,0)</f>
        <v>159.30499317803796</v>
      </c>
      <c r="BE143" s="235">
        <f>VLOOKUP(tabParametros[[#Headers],[COFINS]],tabImpostosNacionais[],2,0)</f>
        <v>7.5999999999999998E-2</v>
      </c>
      <c r="BF143" s="235">
        <f>VLOOKUP(tabParametros[[#Headers],[PIS]],tabImpostosNacionais[],2,0)</f>
        <v>1.6500000000000001E-2</v>
      </c>
      <c r="BG143" s="235">
        <f>VLOOKUP(tabParametros[[#This Row],[Comarca]],tabComarca[],4,0)</f>
        <v>0.03</v>
      </c>
      <c r="BH143" s="238">
        <f>IFERROR(VLOOKUP(tabParametros[[#This Row],[CCT DA CATEGORIA]],tabSindicatos[],11,0),"")</f>
        <v>45658</v>
      </c>
      <c r="BI143" s="289" t="str">
        <f>IFERROR(VLOOKUP(tabParametros[[#This Row],[CCT DA CATEGORIA]],tabSindicatos[],12,0),"")</f>
        <v>-</v>
      </c>
      <c r="BJ143" s="293" t="str">
        <f>IFERROR(VLOOKUP(tabParametros[[#This Row],[CCT DA CATEGORIA]],tabSindicatos[],13,0),"")</f>
        <v>-</v>
      </c>
    </row>
    <row r="144" spans="1:62" x14ac:dyDescent="0.25">
      <c r="A144" s="233" t="s">
        <v>1480</v>
      </c>
      <c r="B144" s="198" t="s">
        <v>129</v>
      </c>
      <c r="C144" s="198" t="s">
        <v>1245</v>
      </c>
      <c r="D144" s="198" t="str">
        <f>VLOOKUP(tabParametros[[#This Row],[Código do Posto]],tabPostos[],4,0)</f>
        <v>Regiao de Sao Lourenco</v>
      </c>
      <c r="E144" s="289" t="str">
        <f>VLOOKUP(tabParametros[[#This Row],[Código do Posto]],tabPostos[],5,0)</f>
        <v>Limpeza</v>
      </c>
      <c r="F144" s="289" t="str">
        <f>VLOOKUP(tabParametros[[#This Row],[Código do Posto]],tabPostos[],6,0)</f>
        <v>PGJ</v>
      </c>
      <c r="G144" s="289">
        <f>VLOOKUP(tabParametros[[#This Row],[Código do Posto]],tabPostos[],7,0)</f>
        <v>2</v>
      </c>
      <c r="H144" s="289">
        <f>VLOOKUP(tabParametros[[#This Row],[Código do Posto]],tabPostos[],8,0)</f>
        <v>0</v>
      </c>
      <c r="I144" s="234">
        <f>VLOOKUP(tabParametros[[#This Row],[Código do Posto]],tabPostos[],9,0)</f>
        <v>1596.28</v>
      </c>
      <c r="J144" s="234">
        <f>IF(ISNUMBER(SEARCH("Eletricista",tabParametros[[#This Row],[Função]],1)),0.3*tabParametros[[#This Row],[Salário Base]],0)</f>
        <v>0</v>
      </c>
      <c r="K144" s="234">
        <f>IF(OR(ISNUMBER(SEARCH("Bombeiro Hidraulico",tabParametros[[#This Row],[Função]],1)),ISNUMBER(SEARCH("Jardineiro",tabParametros[[#This Row],[Função]],1)),ISNUMBER(SEARCH("Lavador de Veiculos",tabParametros[[#This Row],[Função]],1)),ISNUMBER(SEARCH("Marceneiro",tabParametros[[#This Row],[Função]],1)),ISNUMBER(SEARCH("Pintor",tabParametros[[#This Row],[Função]],1))),0.2*'BASE GERAL'!$R$4,0)</f>
        <v>0</v>
      </c>
      <c r="L144" s="234">
        <f>IF(AND(ISNUMBER(SEARCH("Noturno",tabParametros[[#This Row],[Função]],1)),tabParametros[[#This Row],[Comarca]]&lt;&gt;"Juiz de Fora"),tabParametros[[#This Row],[Salário Base]]/210*0.39*7*15.5,IF(ISNUMBER(SEARCH("Noturno",tabParametros[[#This Row],[Função]],1)),tabParametros[[#This Row],[Salário Base]]/210*0.2*8*15.5,0))</f>
        <v>0</v>
      </c>
      <c r="M144" s="234">
        <f>IF(ISNUMBER(SEARCH("Motorista II",tabParametros[[#This Row],[Função]],1)),0.25*tabParametros[[#This Row],[Salário Base]],0)</f>
        <v>0</v>
      </c>
      <c r="N144" s="250">
        <v>0</v>
      </c>
      <c r="O144" s="234">
        <f>IF(ISNUMBER(SEARCH("TECNOLOGIA DA INFORMACAO",tabParametros[[#This Row],[Função]],1)),0.0201*tabParametros[[#This Row],[Salário Base]],0)</f>
        <v>0</v>
      </c>
      <c r="P144" s="250" cm="1">
        <f t="array" ref="P144">_xlfn.IFS(
ISNUMBER(SEARCH("Auxiliar de Limpeza - 75 h",tabParametros[[#This Row],[Função]],1)),tabParametros[[#This Row],[Salário Base]]/75*0.75*30*0.12,
ISNUMBER(SEARCH("Auxiliar de Limpeza - 110 h",tabParametros[[#This Row],[Função]],1)),tabParametros[[#This Row],[Salário Base]]/110*1*30*0.12,
ISNUMBER(SEARCH("Auxiliar de Limpeza - 150 h",tabParametros[[#This Row],[Função]],1)),tabParametros[[#This Row],[Salário Base]]/150*1.5*30*0.12,
ISNUMBER(SEARCH("Auxiliar de Limpeza - 220 h",tabParametros[[#This Row],[Função]],1)),tabParametros[[#This Row],[Salário Base]]/220*2*30*0.12,
ISNUMBER(SEARCH("Auxiliar de Limpeza - 12 x 36",tabParametros[[#This Row],[Função]],1)),tabParametros[[#This Row],[Salário Base]]/220*2*30*0.12,
ISNUMBER(SEARCH("Auxiliar de Limpeza - 55 h",tabParametros[[#This Row],[Função]],1))=FALSE,0)</f>
        <v>52.241890909090905</v>
      </c>
      <c r="Q144" s="235">
        <f>VLOOKUP(tabParametros[[#Headers],[INSS]],tabImpostosNacionais[],2,0)</f>
        <v>0.2</v>
      </c>
      <c r="R144" s="235">
        <f>VLOOKUP(tabParametros[[#Headers],[SESI OU SESC]],tabImpostosNacionais[],2,0)</f>
        <v>1.4999999999999999E-2</v>
      </c>
      <c r="S144" s="235">
        <f>VLOOKUP(tabParametros[[#Headers],[SENAI OU SENAC]],tabImpostosNacionais[],2,0)</f>
        <v>0.01</v>
      </c>
      <c r="T144" s="235">
        <f>VLOOKUP(tabParametros[[#Headers],[INCRA]],tabImpostosNacionais[],2,0)</f>
        <v>2E-3</v>
      </c>
      <c r="U144" s="235">
        <f>VLOOKUP(tabParametros[[#Headers],[Salário Educação]],tabImpostosNacionais[],2,0)</f>
        <v>2.5000000000000001E-2</v>
      </c>
      <c r="V144" s="235">
        <f>VLOOKUP(tabParametros[[#Headers],[FGTS]],tabImpostosNacionais[],2,0)</f>
        <v>0.08</v>
      </c>
      <c r="W144" s="235">
        <f>VLOOKUP(tabParametros[[#Headers],[RAT Ajustado]],tabImpostosNacionais[],2,0)</f>
        <v>0.04</v>
      </c>
      <c r="X144" s="235">
        <f>VLOOKUP(tabParametros[[#Headers],[SEBRAE]],tabImpostosNacionais[],2,0)</f>
        <v>6.0000000000000001E-3</v>
      </c>
      <c r="Y144" s="235">
        <f t="shared" si="22"/>
        <v>8.3333333333333329E-2</v>
      </c>
      <c r="Z144" s="251">
        <f t="shared" si="23"/>
        <v>0.1111111111111111</v>
      </c>
      <c r="AA144" s="234">
        <f>VLOOKUP(tabParametros[[#This Row],[Comarca]],tabComarca[],5,0)</f>
        <v>6.4</v>
      </c>
      <c r="AB144" s="234">
        <f>IFERROR(VLOOKUP(tabParametros[[#This Row],[CCT DA CATEGORIA]],tabSindicatos[],6,0),0)</f>
        <v>29.15</v>
      </c>
      <c r="AC144" s="234">
        <f>IFERROR(VLOOKUP(tabParametros[[#This Row],[CCT DA CATEGORIA]],tabSindicatos[],7,0),0)</f>
        <v>0</v>
      </c>
      <c r="AD144" s="234" cm="1">
        <f t="array" ref="AD144">_xlfn.LET(
_xlpm.COMARCA, TRIM(UPPER(SUBSTITUTE(SUBSTITUTE(SUBSTITUTE(SUBSTITUTE(SUBSTITUTE(SUBSTITUTE(SUBSTITUTE(SUBSTITUTE(SUBSTITUTE(SUBSTITUTE(SUBSTITUTE(SUBSTITUTE(SUBSTITUTE(SUBSTITUTE(SUBSTITUTE(SUBSTITUTE(SUBSTITUTE(SUBSTITUTE(SUBSTITUTE(SUBSTITUTE(SUBSTITUTE(SUBSTITUTE(SUBSTITUTE(SUBSTITUTE(SUBSTITUTE(SUBSTITUTE(tabParametros[[#This Row],[Comarca]],"á","a"),"ã","a"),"â","a"),"é","e"),"ê","e"),"í","i"),"ó","o"),"õ","o"),"ô","o"),"ú","u"),"ç","c"),"Á","a"),"Ã","a"),"Â","a"),"É","e"),"Ê","e"),"Í","i"),"Ó","o"),"Õ","o"),"Ô","o"),"Ú","u"),"Ç","c"),"/MG","")," e ",", ")," ",""),".",""))),
_xlpm.MATRIZ_COMARCA, TRIM(UPPER(SUBSTITUTE(SUBSTITUTE(SUBSTITUTE(SUBSTITUTE(SUBSTITUTE(SUBSTITUTE(SUBSTITUTE(SUBSTITUTE(SUBSTITUTE(SUBSTITUTE(SUBSTITUTE(SUBSTITUTE(SUBSTITUTE(SUBSTITUTE(SUBSTITUTE(SUBSTITUTE(SUBSTITUTE(SUBSTITUTE(SUBSTITUTE(SUBSTITUTE(SUBSTITUTE(SUBSTITUTE(SUBSTITUTE(SUBSTITUTE(SUBSTITUTE(SUBSTITUTE(tabSindicatos[COMARCAS PAF],"á","a"),"ã","a"),"â","a"),"é","e"),"ê","e"),"í","i"),"ó","o"),"õ","o"),"ô","o"),"ú","u"),"ç","c"),"Á","a"),"Ã","a"),"Â","a"),"É","e"),"Ê","e"),"Í","i"),"Ó","o"),"Õ","o"),"Ô","o"),"Ú","u"),"Ç","c"),"/MG","")," e ",", ")," ",""),".",""))),
IFERROR(IF(_xlfn.XLOOKUP(tabParametros[[#This Row],[CCT DA CATEGORIA]],tabSindicatos[SINDICATOS],tabSindicatos[COMARCAS PAF])="",
VLOOKUP(tabParametros[[#This Row],[CCT DA CATEGORIA]],tabSindicatos[],8,0),
IF(ISNUMBER(SEARCH(TRIM(_xlpm.COMARCA),_xlfn.XLOOKUP(tabParametros[[#This Row],[CCT DA CATEGORIA]],tabSindicatos[SINDICATOS],_xlpm.MATRIZ_COMARCA),1)),VLOOKUP(tabParametros[[#This Row],[CCT DA CATEGORIA]],tabSindicatos[],8,0),0)
),0)
)</f>
        <v>53.27</v>
      </c>
      <c r="AE144" s="234">
        <f>IFERROR(VLOOKUP(tabParametros[[#This Row],[CCT DA CATEGORIA]],tabSindicatos[],9,0),0)</f>
        <v>0</v>
      </c>
      <c r="AF144" s="234">
        <f>IFERROR(VLOOKUP(tabParametros[[#This Row],[CCT DA CATEGORIA]],tabSindicatos[],10,0),0)</f>
        <v>0</v>
      </c>
      <c r="AG144" s="236">
        <f>VLOOKUP(tabParametros[[#Headers],[Seguro de Vida]],tabOutrosCustos[],3,0)</f>
        <v>3.36</v>
      </c>
      <c r="AH144" s="236">
        <f>IF(ISNUMBER(SEARCH("MOTORISTA",tabParametros[[#This Row],[Função]],1)),VLOOKUP("MOTORISTAS",tabDiarias[],2,0),IF(tabParametros[[#This Row],[Comarca]]="Belo Horizonte",VLOOKUP("LIMPEZA",tabDiarias[],2,0),0))</f>
        <v>0</v>
      </c>
      <c r="AI144" s="235">
        <f t="shared" si="24"/>
        <v>7.011766975308642E-3</v>
      </c>
      <c r="AJ144" s="237">
        <f>tabParametros[[#This Row],[FGTS]]*tabParametros[[#This Row],[Aviso Prévio Indenizado (API) e Reflexo do Aviso Prévio Indenizado]]</f>
        <v>5.609413580246914E-4</v>
      </c>
      <c r="AK144" s="237">
        <f>tabParametros[[#This Row],[FGTS]]*tabParametros[[#This Row],[Aviso Prévio Indenizado (API) e Reflexo do Aviso Prévio Indenizado]]*40%</f>
        <v>2.2437654320987658E-4</v>
      </c>
      <c r="AL144" s="235">
        <f t="shared" si="25"/>
        <v>3.5000000000000005E-3</v>
      </c>
      <c r="AM144" s="235">
        <f>tabParametros[[#This Row],[Aviso Prévio Trabalhado - APT]]*SUM(tabParametros[[#This Row],[INSS]:[SEBRAE]])</f>
        <v>1.3230000000000004E-3</v>
      </c>
      <c r="AN144" s="235">
        <f t="shared" si="26"/>
        <v>3.0577777777777773E-2</v>
      </c>
      <c r="AO144" s="235">
        <f t="shared" si="27"/>
        <v>8.3333333333333339E-4</v>
      </c>
      <c r="AP144" s="235">
        <f t="shared" si="28"/>
        <v>8.4444444444444437E-3</v>
      </c>
      <c r="AQ144" s="235">
        <f t="shared" si="29"/>
        <v>2.0277777777777777E-3</v>
      </c>
      <c r="AR144" s="235">
        <f t="shared" si="30"/>
        <v>1.7083333333333333E-4</v>
      </c>
      <c r="AS144" s="235">
        <f t="shared" si="31"/>
        <v>2.0833333333333335E-4</v>
      </c>
      <c r="AT144" s="235">
        <f t="shared" si="32"/>
        <v>1.2962962962962963E-3</v>
      </c>
      <c r="AU144" s="237">
        <f>SUM(tabParametros[[#This Row],[Ausência por Doença]:[Férias, Adicional de Férias e 13º  com empregada em gozo de Licença Maternidade]])*SUM(tabParametros[[#This Row],[INSS]:[SEBRAE]])</f>
        <v>4.5918250000000008E-3</v>
      </c>
      <c r="AV144" s="234">
        <f>IF(tabParametros[[#This Row],[Função]]="Porteiro - 220 h",SUM(tabParametros[[#This Row],[Salário Base]:[Adicional de Acúmulo de função]])/220*20*1.5,IF(ISNUMBER(SEARCH("12 x 36",tabParametros[[#This Row],[Função]],1)),SUM(tabParametros[[#This Row],[Salário Base]:[Adicional de Acúmulo de função]])/210*15.5*1.5,0))</f>
        <v>0</v>
      </c>
      <c r="AW144" s="234">
        <f>IF(tabParametros[[#This Row],[Vagas contratadas]]&gt;0,(SUM(tabParametros[[#This Row],[Salário Base]:[Adicional de Acúmulo de função]])*30%+SUM(tabParametros[[#This Row],[Vale - Alimentação]:[Seguro de Vida]]))/tabParametros[[#This Row],[Vagas contratadas]]*tabParametros[[#This Row],[Vagas suspensas]],0)</f>
        <v>0</v>
      </c>
      <c r="AX144" s="234">
        <f>SUMIF(tabUniformes[Cargo],tabParametros[[#This Row],[Função]],tabUniformes[Valor unit. Mensal])</f>
        <v>100.80916666666666</v>
      </c>
      <c r="AY144" s="281">
        <f>IF(ISNUMBER(SEARCH("AUXILIAR DE LIMPEZA - 75 H",tabParametros[[#This Row],[Função]],1)),
SUMIF(tabLimpGeral[TIPO],"Material",tabLimpGeral[VALOR UNITÁRIO P/ HORA (R$)])*75,
IF(ISNUMBER(SEARCH("AUXILIAR DE LIMPEZA - 110 H",tabParametros[[#This Row],[Função]],1)),
SUMIF(tabLimpGeral[TIPO],"Material",tabLimpGeral[VALOR UNITÁRIO P/ HORA (R$)])*110,
IF(ISNUMBER(SEARCH("AUXILIAR DE LIMPEZA - 150 H",tabParametros[[#This Row],[Função]],1)),
SUMIF(tabLimpGeral[TIPO],"Material",tabLimpGeral[VALOR UNITÁRIO P/ HORA (R$)])*150,
IF(ISNUMBER(SEARCH("AUXILIAR DE LIMPEZA - 220 H",tabParametros[[#This Row],[Função]],1)),
SUMIF(tabLimpGeral[TIPO],"Material",tabLimpGeral[VALOR UNITÁRIO P/ HORA (R$)])*220,
IF(ISNUMBER(SEARCH("AUXILIAR DE LIMPEZA - 12 x 36",tabParametros[[#This Row],[Função]],1)),
SUMIF(tabLimpGeral[TIPO],"Material",tabLimpGeral[VALOR UNITÁRIO P/ HORA (R$)])*220,
IF(ISNUMBER(SEARCH("Limpador de vidros - 220 h",tabParametros[[#This Row],[Função]],1)),
SUMIF(tabVidros[TIPO],"Material",tabVidros[VALOR UNITÁRIO P/ POSTO (R$)]),
0))))))</f>
        <v>35.518212958583888</v>
      </c>
      <c r="AZ144" s="281">
        <f>IF(ISNUMBER(SEARCH("AUXILIAR DE LIMPEZA - 75 H",tabParametros[[#This Row],[Função]],1)),
SUMIF(tabLimpGeral[TIPO],"Equipamento",tabLimpGeral[VALOR UNITÁRIO P/ HORA (R$)])*75,
IF(ISNUMBER(SEARCH("AUXILIAR DE LIMPEZA - 110 H",tabParametros[[#This Row],[Função]],1)),
SUMIF(tabLimpGeral[TIPO],"Equipamento",tabLimpGeral[VALOR UNITÁRIO P/ HORA (R$)])*110,
IF(ISNUMBER(SEARCH("AUXILIAR DE LIMPEZA - 150 H",tabParametros[[#This Row],[Função]],1)),
SUMIF(tabLimpGeral[TIPO],"Equipamento",tabLimpGeral[VALOR UNITÁRIO P/ HORA (R$)])*150,
IF(ISNUMBER(SEARCH("AUXILIAR DE LIMPEZA - 220 H",tabParametros[[#This Row],[Função]],1)),
SUMIF(tabLimpGeral[TIPO],"Equipamento",tabLimpGeral[VALOR UNITÁRIO P/ HORA (R$)])*220,
IF(ISNUMBER(SEARCH("AUXILIAR DE LIMPEZA - 12 x 36",tabParametros[[#This Row],[Função]],1)),
SUMIF(tabLimpGeral[TIPO],"Equipamento",tabLimpGeral[VALOR UNITÁRIO P/ HORA (R$)])*220,
IF(ISNUMBER(SEARCH("Limpador de vidros - 220 h",tabParametros[[#This Row],[Função]],1)),
SUMIF(tabVidros[TIPO],"Equipamento",tabVidros[VALOR UNITÁRIO P/ POSTO (R$)]),
0))))))</f>
        <v>64.529393914825576</v>
      </c>
      <c r="BA144" s="281">
        <f>IF(ISNUMBER(SEARCH("AUXILIAR DE LIMPEZA - 75 H",tabParametros[[#This Row],[Função]],1)),
SUMIF(tabLimpGeral[TIPO],"Produto",tabLimpGeral[VALOR UNITÁRIO P/ HORA (R$)])*75,
IF(ISNUMBER(SEARCH("AUXILIAR DE LIMPEZA - 110 H",tabParametros[[#This Row],[Função]],1)),
SUMIF(tabLimpGeral[TIPO],"Produto",tabLimpGeral[VALOR UNITÁRIO P/ HORA (R$)])*110,
IF(ISNUMBER(SEARCH("AUXILIAR DE LIMPEZA - 150 H",tabParametros[[#This Row],[Função]],1)),
SUMIF(tabLimpGeral[TIPO],"Produto",tabLimpGeral[VALOR UNITÁRIO P/ HORA (R$)])*150,
IF(ISNUMBER(SEARCH("AUXILIAR DE LIMPEZA - 220 H",tabParametros[[#This Row],[Função]],1)),
SUMIF(tabLimpGeral[TIPO],"Produto",tabLimpGeral[VALOR UNITÁRIO P/ HORA (R$)])*220,
IF(ISNUMBER(SEARCH("AUXILIAR DE LIMPEZA - 12 x 36",tabParametros[[#This Row],[Função]],1)),
SUMIF(tabLimpGeral[TIPO],"Produto",tabLimpGeral[VALOR UNITÁRIO P/ HORA (R$)])*220,
IF(ISNUMBER(SEARCH("Limpador de vidros - 220 h",tabParametros[[#This Row],[Função]],1)),
SUMIF(tabVidros[TIPO],"Produto",tabVidros[VALOR UNITÁRIO P/ POSTO (R$)]),
0))))))</f>
        <v>690.27153277931654</v>
      </c>
      <c r="BB144" s="281">
        <v>0</v>
      </c>
      <c r="BC144" s="236">
        <f>VLOOKUP(tabParametros[[#Headers],[Custos Indiretos]],tabOutrosCustos[],3,0)</f>
        <v>189.64880140242613</v>
      </c>
      <c r="BD144" s="236">
        <f>VLOOKUP(tabParametros[[#Headers],[Lucro]],tabOutrosCustos[],3,0)</f>
        <v>159.30499317803796</v>
      </c>
      <c r="BE144" s="235">
        <f>VLOOKUP(tabParametros[[#Headers],[COFINS]],tabImpostosNacionais[],2,0)</f>
        <v>7.5999999999999998E-2</v>
      </c>
      <c r="BF144" s="235">
        <f>VLOOKUP(tabParametros[[#Headers],[PIS]],tabImpostosNacionais[],2,0)</f>
        <v>1.6500000000000001E-2</v>
      </c>
      <c r="BG144" s="235">
        <f>VLOOKUP(tabParametros[[#This Row],[Comarca]],tabComarca[],4,0)</f>
        <v>0.03</v>
      </c>
      <c r="BH144" s="238">
        <f>IFERROR(VLOOKUP(tabParametros[[#This Row],[CCT DA CATEGORIA]],tabSindicatos[],11,0),"")</f>
        <v>45658</v>
      </c>
      <c r="BI144" s="289" t="str">
        <f>IFERROR(VLOOKUP(tabParametros[[#This Row],[CCT DA CATEGORIA]],tabSindicatos[],12,0),"")</f>
        <v>-</v>
      </c>
      <c r="BJ144" s="293" t="str">
        <f>IFERROR(VLOOKUP(tabParametros[[#This Row],[CCT DA CATEGORIA]],tabSindicatos[],13,0),"")</f>
        <v>-</v>
      </c>
    </row>
    <row r="145" spans="1:62" x14ac:dyDescent="0.25">
      <c r="A145" s="233" t="s">
        <v>1481</v>
      </c>
      <c r="B145" s="198" t="s">
        <v>130</v>
      </c>
      <c r="C145" s="198" t="s">
        <v>1247</v>
      </c>
      <c r="D145" s="198" t="str">
        <f>VLOOKUP(tabParametros[[#This Row],[Código do Posto]],tabPostos[],4,0)</f>
        <v>Regiao de Divinopolis</v>
      </c>
      <c r="E145" s="289" t="str">
        <f>VLOOKUP(tabParametros[[#This Row],[Código do Posto]],tabPostos[],5,0)</f>
        <v>Limpeza</v>
      </c>
      <c r="F145" s="289" t="str">
        <f>VLOOKUP(tabParametros[[#This Row],[Código do Posto]],tabPostos[],6,0)</f>
        <v>PGJ</v>
      </c>
      <c r="G145" s="289">
        <f>VLOOKUP(tabParametros[[#This Row],[Código do Posto]],tabPostos[],7,0)</f>
        <v>1</v>
      </c>
      <c r="H145" s="289">
        <f>VLOOKUP(tabParametros[[#This Row],[Código do Posto]],tabPostos[],8,0)</f>
        <v>0</v>
      </c>
      <c r="I145" s="234">
        <f>VLOOKUP(tabParametros[[#This Row],[Código do Posto]],tabPostos[],9,0)</f>
        <v>544.17999999999995</v>
      </c>
      <c r="J145" s="234">
        <f>IF(ISNUMBER(SEARCH("Eletricista",tabParametros[[#This Row],[Função]],1)),0.3*tabParametros[[#This Row],[Salário Base]],0)</f>
        <v>0</v>
      </c>
      <c r="K145" s="234">
        <f>IF(OR(ISNUMBER(SEARCH("Bombeiro Hidraulico",tabParametros[[#This Row],[Função]],1)),ISNUMBER(SEARCH("Jardineiro",tabParametros[[#This Row],[Função]],1)),ISNUMBER(SEARCH("Lavador de Veiculos",tabParametros[[#This Row],[Função]],1)),ISNUMBER(SEARCH("Marceneiro",tabParametros[[#This Row],[Função]],1)),ISNUMBER(SEARCH("Pintor",tabParametros[[#This Row],[Função]],1))),0.2*'BASE GERAL'!$R$4,0)</f>
        <v>0</v>
      </c>
      <c r="L145" s="234">
        <f>IF(AND(ISNUMBER(SEARCH("Noturno",tabParametros[[#This Row],[Função]],1)),tabParametros[[#This Row],[Comarca]]&lt;&gt;"Juiz de Fora"),tabParametros[[#This Row],[Salário Base]]/210*0.39*7*15.5,IF(ISNUMBER(SEARCH("Noturno",tabParametros[[#This Row],[Função]],1)),tabParametros[[#This Row],[Salário Base]]/210*0.2*8*15.5,0))</f>
        <v>0</v>
      </c>
      <c r="M145" s="234">
        <f>IF(ISNUMBER(SEARCH("Motorista II",tabParametros[[#This Row],[Função]],1)),0.25*tabParametros[[#This Row],[Salário Base]],0)</f>
        <v>0</v>
      </c>
      <c r="N145" s="250">
        <v>0</v>
      </c>
      <c r="O145" s="234">
        <f>IF(ISNUMBER(SEARCH("TECNOLOGIA DA INFORMACAO",tabParametros[[#This Row],[Função]],1)),0.0201*tabParametros[[#This Row],[Salário Base]],0)</f>
        <v>0</v>
      </c>
      <c r="P145" s="250" cm="1">
        <f t="array" ref="P145">_xlfn.IFS(
ISNUMBER(SEARCH("Auxiliar de Limpeza - 75 h",tabParametros[[#This Row],[Função]],1)),tabParametros[[#This Row],[Salário Base]]/75*0.75*30*0.12,
ISNUMBER(SEARCH("Auxiliar de Limpeza - 110 h",tabParametros[[#This Row],[Função]],1)),tabParametros[[#This Row],[Salário Base]]/110*1*30*0.12,
ISNUMBER(SEARCH("Auxiliar de Limpeza - 150 h",tabParametros[[#This Row],[Função]],1)),tabParametros[[#This Row],[Salário Base]]/150*1.5*30*0.12,
ISNUMBER(SEARCH("Auxiliar de Limpeza - 220 h",tabParametros[[#This Row],[Função]],1)),tabParametros[[#This Row],[Salário Base]]/220*2*30*0.12,
ISNUMBER(SEARCH("Auxiliar de Limpeza - 12 x 36",tabParametros[[#This Row],[Função]],1)),tabParametros[[#This Row],[Salário Base]]/220*2*30*0.12,
ISNUMBER(SEARCH("Auxiliar de Limpeza - 55 h",tabParametros[[#This Row],[Função]],1))=FALSE,0)</f>
        <v>19.590479999999999</v>
      </c>
      <c r="Q145" s="235">
        <f>VLOOKUP(tabParametros[[#Headers],[INSS]],tabImpostosNacionais[],2,0)</f>
        <v>0.2</v>
      </c>
      <c r="R145" s="235">
        <f>VLOOKUP(tabParametros[[#Headers],[SESI OU SESC]],tabImpostosNacionais[],2,0)</f>
        <v>1.4999999999999999E-2</v>
      </c>
      <c r="S145" s="235">
        <f>VLOOKUP(tabParametros[[#Headers],[SENAI OU SENAC]],tabImpostosNacionais[],2,0)</f>
        <v>0.01</v>
      </c>
      <c r="T145" s="235">
        <f>VLOOKUP(tabParametros[[#Headers],[INCRA]],tabImpostosNacionais[],2,0)</f>
        <v>2E-3</v>
      </c>
      <c r="U145" s="235">
        <f>VLOOKUP(tabParametros[[#Headers],[Salário Educação]],tabImpostosNacionais[],2,0)</f>
        <v>2.5000000000000001E-2</v>
      </c>
      <c r="V145" s="235">
        <f>VLOOKUP(tabParametros[[#Headers],[FGTS]],tabImpostosNacionais[],2,0)</f>
        <v>0.08</v>
      </c>
      <c r="W145" s="235">
        <f>VLOOKUP(tabParametros[[#Headers],[RAT Ajustado]],tabImpostosNacionais[],2,0)</f>
        <v>0.04</v>
      </c>
      <c r="X145" s="235">
        <f>VLOOKUP(tabParametros[[#Headers],[SEBRAE]],tabImpostosNacionais[],2,0)</f>
        <v>6.0000000000000001E-3</v>
      </c>
      <c r="Y145" s="235">
        <f t="shared" si="22"/>
        <v>8.3333333333333329E-2</v>
      </c>
      <c r="Z145" s="251">
        <f t="shared" si="23"/>
        <v>0.1111111111111111</v>
      </c>
      <c r="AA145" s="234">
        <f>VLOOKUP(tabParametros[[#This Row],[Comarca]],tabComarca[],5,0)</f>
        <v>6.4</v>
      </c>
      <c r="AB145" s="234">
        <f>IFERROR(VLOOKUP(tabParametros[[#This Row],[CCT DA CATEGORIA]],tabSindicatos[],6,0),0)</f>
        <v>29.15</v>
      </c>
      <c r="AC145" s="234">
        <f>IFERROR(VLOOKUP(tabParametros[[#This Row],[CCT DA CATEGORIA]],tabSindicatos[],7,0),0)</f>
        <v>0</v>
      </c>
      <c r="AD145" s="234" cm="1">
        <f t="array" ref="AD145">_xlfn.LET(
_xlpm.COMARCA, TRIM(UPPER(SUBSTITUTE(SUBSTITUTE(SUBSTITUTE(SUBSTITUTE(SUBSTITUTE(SUBSTITUTE(SUBSTITUTE(SUBSTITUTE(SUBSTITUTE(SUBSTITUTE(SUBSTITUTE(SUBSTITUTE(SUBSTITUTE(SUBSTITUTE(SUBSTITUTE(SUBSTITUTE(SUBSTITUTE(SUBSTITUTE(SUBSTITUTE(SUBSTITUTE(SUBSTITUTE(SUBSTITUTE(SUBSTITUTE(SUBSTITUTE(SUBSTITUTE(SUBSTITUTE(tabParametros[[#This Row],[Comarca]],"á","a"),"ã","a"),"â","a"),"é","e"),"ê","e"),"í","i"),"ó","o"),"õ","o"),"ô","o"),"ú","u"),"ç","c"),"Á","a"),"Ã","a"),"Â","a"),"É","e"),"Ê","e"),"Í","i"),"Ó","o"),"Õ","o"),"Ô","o"),"Ú","u"),"Ç","c"),"/MG","")," e ",", ")," ",""),".",""))),
_xlpm.MATRIZ_COMARCA, TRIM(UPPER(SUBSTITUTE(SUBSTITUTE(SUBSTITUTE(SUBSTITUTE(SUBSTITUTE(SUBSTITUTE(SUBSTITUTE(SUBSTITUTE(SUBSTITUTE(SUBSTITUTE(SUBSTITUTE(SUBSTITUTE(SUBSTITUTE(SUBSTITUTE(SUBSTITUTE(SUBSTITUTE(SUBSTITUTE(SUBSTITUTE(SUBSTITUTE(SUBSTITUTE(SUBSTITUTE(SUBSTITUTE(SUBSTITUTE(SUBSTITUTE(SUBSTITUTE(SUBSTITUTE(tabSindicatos[COMARCAS PAF],"á","a"),"ã","a"),"â","a"),"é","e"),"ê","e"),"í","i"),"ó","o"),"õ","o"),"ô","o"),"ú","u"),"ç","c"),"Á","a"),"Ã","a"),"Â","a"),"É","e"),"Ê","e"),"Í","i"),"Ó","o"),"Õ","o"),"Ô","o"),"Ú","u"),"Ç","c"),"/MG","")," e ",", ")," ",""),".",""))),
IFERROR(IF(_xlfn.XLOOKUP(tabParametros[[#This Row],[CCT DA CATEGORIA]],tabSindicatos[SINDICATOS],tabSindicatos[COMARCAS PAF])="",
VLOOKUP(tabParametros[[#This Row],[CCT DA CATEGORIA]],tabSindicatos[],8,0),
IF(ISNUMBER(SEARCH(TRIM(_xlpm.COMARCA),_xlfn.XLOOKUP(tabParametros[[#This Row],[CCT DA CATEGORIA]],tabSindicatos[SINDICATOS],_xlpm.MATRIZ_COMARCA),1)),VLOOKUP(tabParametros[[#This Row],[CCT DA CATEGORIA]],tabSindicatos[],8,0),0)
),0)
)</f>
        <v>0</v>
      </c>
      <c r="AE145" s="234">
        <f>IFERROR(VLOOKUP(tabParametros[[#This Row],[CCT DA CATEGORIA]],tabSindicatos[],9,0),0)</f>
        <v>0</v>
      </c>
      <c r="AF145" s="234">
        <f>IFERROR(VLOOKUP(tabParametros[[#This Row],[CCT DA CATEGORIA]],tabSindicatos[],10,0),0)</f>
        <v>0</v>
      </c>
      <c r="AG145" s="236">
        <f>VLOOKUP(tabParametros[[#Headers],[Seguro de Vida]],tabOutrosCustos[],3,0)</f>
        <v>3.36</v>
      </c>
      <c r="AH145" s="236">
        <f>IF(ISNUMBER(SEARCH("MOTORISTA",tabParametros[[#This Row],[Função]],1)),VLOOKUP("MOTORISTAS",tabDiarias[],2,0),IF(tabParametros[[#This Row],[Comarca]]="Belo Horizonte",VLOOKUP("LIMPEZA",tabDiarias[],2,0),0))</f>
        <v>0</v>
      </c>
      <c r="AI145" s="235">
        <f t="shared" si="24"/>
        <v>7.011766975308642E-3</v>
      </c>
      <c r="AJ145" s="237">
        <f>tabParametros[[#This Row],[FGTS]]*tabParametros[[#This Row],[Aviso Prévio Indenizado (API) e Reflexo do Aviso Prévio Indenizado]]</f>
        <v>5.609413580246914E-4</v>
      </c>
      <c r="AK145" s="237">
        <f>tabParametros[[#This Row],[FGTS]]*tabParametros[[#This Row],[Aviso Prévio Indenizado (API) e Reflexo do Aviso Prévio Indenizado]]*40%</f>
        <v>2.2437654320987658E-4</v>
      </c>
      <c r="AL145" s="235">
        <f t="shared" si="25"/>
        <v>3.5000000000000005E-3</v>
      </c>
      <c r="AM145" s="235">
        <f>tabParametros[[#This Row],[Aviso Prévio Trabalhado - APT]]*SUM(tabParametros[[#This Row],[INSS]:[SEBRAE]])</f>
        <v>1.3230000000000004E-3</v>
      </c>
      <c r="AN145" s="235">
        <f t="shared" si="26"/>
        <v>3.0577777777777773E-2</v>
      </c>
      <c r="AO145" s="235">
        <f t="shared" si="27"/>
        <v>8.3333333333333339E-4</v>
      </c>
      <c r="AP145" s="235">
        <f t="shared" si="28"/>
        <v>8.4444444444444437E-3</v>
      </c>
      <c r="AQ145" s="235">
        <f t="shared" si="29"/>
        <v>2.0277777777777777E-3</v>
      </c>
      <c r="AR145" s="235">
        <f t="shared" si="30"/>
        <v>1.7083333333333333E-4</v>
      </c>
      <c r="AS145" s="235">
        <f t="shared" si="31"/>
        <v>2.0833333333333335E-4</v>
      </c>
      <c r="AT145" s="235">
        <f t="shared" si="32"/>
        <v>1.2962962962962963E-3</v>
      </c>
      <c r="AU145" s="237">
        <f>SUM(tabParametros[[#This Row],[Ausência por Doença]:[Férias, Adicional de Férias e 13º  com empregada em gozo de Licença Maternidade]])*SUM(tabParametros[[#This Row],[INSS]:[SEBRAE]])</f>
        <v>4.5918250000000008E-3</v>
      </c>
      <c r="AV145" s="234">
        <f>IF(tabParametros[[#This Row],[Função]]="Porteiro - 220 h",SUM(tabParametros[[#This Row],[Salário Base]:[Adicional de Acúmulo de função]])/220*20*1.5,IF(ISNUMBER(SEARCH("12 x 36",tabParametros[[#This Row],[Função]],1)),SUM(tabParametros[[#This Row],[Salário Base]:[Adicional de Acúmulo de função]])/210*15.5*1.5,0))</f>
        <v>0</v>
      </c>
      <c r="AW145" s="234">
        <f>IF(tabParametros[[#This Row],[Vagas contratadas]]&gt;0,(SUM(tabParametros[[#This Row],[Salário Base]:[Adicional de Acúmulo de função]])*30%+SUM(tabParametros[[#This Row],[Vale - Alimentação]:[Seguro de Vida]]))/tabParametros[[#This Row],[Vagas contratadas]]*tabParametros[[#This Row],[Vagas suspensas]],0)</f>
        <v>0</v>
      </c>
      <c r="AX145" s="234">
        <f>SUMIF(tabUniformes[Cargo],tabParametros[[#This Row],[Função]],tabUniformes[Valor unit. Mensal])</f>
        <v>62.806666666666665</v>
      </c>
      <c r="AY145" s="281">
        <f>IF(ISNUMBER(SEARCH("AUXILIAR DE LIMPEZA - 75 H",tabParametros[[#This Row],[Função]],1)),
SUMIF(tabLimpGeral[TIPO],"Material",tabLimpGeral[VALOR UNITÁRIO P/ HORA (R$)])*75,
IF(ISNUMBER(SEARCH("AUXILIAR DE LIMPEZA - 110 H",tabParametros[[#This Row],[Função]],1)),
SUMIF(tabLimpGeral[TIPO],"Material",tabLimpGeral[VALOR UNITÁRIO P/ HORA (R$)])*110,
IF(ISNUMBER(SEARCH("AUXILIAR DE LIMPEZA - 150 H",tabParametros[[#This Row],[Função]],1)),
SUMIF(tabLimpGeral[TIPO],"Material",tabLimpGeral[VALOR UNITÁRIO P/ HORA (R$)])*150,
IF(ISNUMBER(SEARCH("AUXILIAR DE LIMPEZA - 220 H",tabParametros[[#This Row],[Função]],1)),
SUMIF(tabLimpGeral[TIPO],"Material",tabLimpGeral[VALOR UNITÁRIO P/ HORA (R$)])*220,
IF(ISNUMBER(SEARCH("AUXILIAR DE LIMPEZA - 12 x 36",tabParametros[[#This Row],[Função]],1)),
SUMIF(tabLimpGeral[TIPO],"Material",tabLimpGeral[VALOR UNITÁRIO P/ HORA (R$)])*220,
IF(ISNUMBER(SEARCH("Limpador de vidros - 220 h",tabParametros[[#This Row],[Função]],1)),
SUMIF(tabVidros[TIPO],"Material",tabVidros[VALOR UNITÁRIO P/ POSTO (R$)]),
0))))))</f>
        <v>12.108481690426325</v>
      </c>
      <c r="AZ145" s="281">
        <f>IF(ISNUMBER(SEARCH("AUXILIAR DE LIMPEZA - 75 H",tabParametros[[#This Row],[Função]],1)),
SUMIF(tabLimpGeral[TIPO],"Equipamento",tabLimpGeral[VALOR UNITÁRIO P/ HORA (R$)])*75,
IF(ISNUMBER(SEARCH("AUXILIAR DE LIMPEZA - 110 H",tabParametros[[#This Row],[Função]],1)),
SUMIF(tabLimpGeral[TIPO],"Equipamento",tabLimpGeral[VALOR UNITÁRIO P/ HORA (R$)])*110,
IF(ISNUMBER(SEARCH("AUXILIAR DE LIMPEZA - 150 H",tabParametros[[#This Row],[Função]],1)),
SUMIF(tabLimpGeral[TIPO],"Equipamento",tabLimpGeral[VALOR UNITÁRIO P/ HORA (R$)])*150,
IF(ISNUMBER(SEARCH("AUXILIAR DE LIMPEZA - 220 H",tabParametros[[#This Row],[Função]],1)),
SUMIF(tabLimpGeral[TIPO],"Equipamento",tabLimpGeral[VALOR UNITÁRIO P/ HORA (R$)])*220,
IF(ISNUMBER(SEARCH("AUXILIAR DE LIMPEZA - 12 x 36",tabParametros[[#This Row],[Função]],1)),
SUMIF(tabLimpGeral[TIPO],"Equipamento",tabLimpGeral[VALOR UNITÁRIO P/ HORA (R$)])*220,
IF(ISNUMBER(SEARCH("Limpador de vidros - 220 h",tabParametros[[#This Row],[Função]],1)),
SUMIF(tabVidros[TIPO],"Equipamento",tabVidros[VALOR UNITÁRIO P/ POSTO (R$)]),
0))))))</f>
        <v>21.998657016417809</v>
      </c>
      <c r="BA145" s="281">
        <f>IF(ISNUMBER(SEARCH("AUXILIAR DE LIMPEZA - 75 H",tabParametros[[#This Row],[Função]],1)),
SUMIF(tabLimpGeral[TIPO],"Produto",tabLimpGeral[VALOR UNITÁRIO P/ HORA (R$)])*75,
IF(ISNUMBER(SEARCH("AUXILIAR DE LIMPEZA - 110 H",tabParametros[[#This Row],[Função]],1)),
SUMIF(tabLimpGeral[TIPO],"Produto",tabLimpGeral[VALOR UNITÁRIO P/ HORA (R$)])*110,
IF(ISNUMBER(SEARCH("AUXILIAR DE LIMPEZA - 150 H",tabParametros[[#This Row],[Função]],1)),
SUMIF(tabLimpGeral[TIPO],"Produto",tabLimpGeral[VALOR UNITÁRIO P/ HORA (R$)])*150,
IF(ISNUMBER(SEARCH("AUXILIAR DE LIMPEZA - 220 H",tabParametros[[#This Row],[Função]],1)),
SUMIF(tabLimpGeral[TIPO],"Produto",tabLimpGeral[VALOR UNITÁRIO P/ HORA (R$)])*220,
IF(ISNUMBER(SEARCH("AUXILIAR DE LIMPEZA - 12 x 36",tabParametros[[#This Row],[Função]],1)),
SUMIF(tabLimpGeral[TIPO],"Produto",tabLimpGeral[VALOR UNITÁRIO P/ HORA (R$)])*220,
IF(ISNUMBER(SEARCH("Limpador de vidros - 220 h",tabParametros[[#This Row],[Função]],1)),
SUMIF(tabVidros[TIPO],"Produto",tabVidros[VALOR UNITÁRIO P/ POSTO (R$)]),
0))))))</f>
        <v>235.31984072022155</v>
      </c>
      <c r="BB145" s="281">
        <v>0</v>
      </c>
      <c r="BC145" s="236">
        <f>VLOOKUP(tabParametros[[#Headers],[Custos Indiretos]],tabOutrosCustos[],3,0)</f>
        <v>189.64880140242613</v>
      </c>
      <c r="BD145" s="236">
        <f>VLOOKUP(tabParametros[[#Headers],[Lucro]],tabOutrosCustos[],3,0)</f>
        <v>159.30499317803796</v>
      </c>
      <c r="BE145" s="235">
        <f>VLOOKUP(tabParametros[[#Headers],[COFINS]],tabImpostosNacionais[],2,0)</f>
        <v>7.5999999999999998E-2</v>
      </c>
      <c r="BF145" s="235">
        <f>VLOOKUP(tabParametros[[#Headers],[PIS]],tabImpostosNacionais[],2,0)</f>
        <v>1.6500000000000001E-2</v>
      </c>
      <c r="BG145" s="235">
        <f>VLOOKUP(tabParametros[[#This Row],[Comarca]],tabComarca[],4,0)</f>
        <v>0.03</v>
      </c>
      <c r="BH145" s="238">
        <f>IFERROR(VLOOKUP(tabParametros[[#This Row],[CCT DA CATEGORIA]],tabSindicatos[],11,0),"")</f>
        <v>45658</v>
      </c>
      <c r="BI145" s="289" t="str">
        <f>IFERROR(VLOOKUP(tabParametros[[#This Row],[CCT DA CATEGORIA]],tabSindicatos[],12,0),"")</f>
        <v>-</v>
      </c>
      <c r="BJ145" s="293" t="str">
        <f>IFERROR(VLOOKUP(tabParametros[[#This Row],[CCT DA CATEGORIA]],tabSindicatos[],13,0),"")</f>
        <v>-</v>
      </c>
    </row>
    <row r="146" spans="1:62" x14ac:dyDescent="0.25">
      <c r="A146" s="233" t="s">
        <v>1482</v>
      </c>
      <c r="B146" s="198" t="s">
        <v>131</v>
      </c>
      <c r="C146" s="198" t="s">
        <v>1245</v>
      </c>
      <c r="D146" s="198" t="str">
        <f>VLOOKUP(tabParametros[[#This Row],[Código do Posto]],tabPostos[],4,0)</f>
        <v>Regiao de Sao Lourenco</v>
      </c>
      <c r="E146" s="289" t="str">
        <f>VLOOKUP(tabParametros[[#This Row],[Código do Posto]],tabPostos[],5,0)</f>
        <v>Limpeza</v>
      </c>
      <c r="F146" s="289" t="str">
        <f>VLOOKUP(tabParametros[[#This Row],[Código do Posto]],tabPostos[],6,0)</f>
        <v>PGJ</v>
      </c>
      <c r="G146" s="289">
        <f>VLOOKUP(tabParametros[[#This Row],[Código do Posto]],tabPostos[],7,0)</f>
        <v>1</v>
      </c>
      <c r="H146" s="289">
        <f>VLOOKUP(tabParametros[[#This Row],[Código do Posto]],tabPostos[],8,0)</f>
        <v>0</v>
      </c>
      <c r="I146" s="234">
        <f>VLOOKUP(tabParametros[[#This Row],[Código do Posto]],tabPostos[],9,0)</f>
        <v>1596.28</v>
      </c>
      <c r="J146" s="234">
        <f>IF(ISNUMBER(SEARCH("Eletricista",tabParametros[[#This Row],[Função]],1)),0.3*tabParametros[[#This Row],[Salário Base]],0)</f>
        <v>0</v>
      </c>
      <c r="K146" s="234">
        <f>IF(OR(ISNUMBER(SEARCH("Bombeiro Hidraulico",tabParametros[[#This Row],[Função]],1)),ISNUMBER(SEARCH("Jardineiro",tabParametros[[#This Row],[Função]],1)),ISNUMBER(SEARCH("Lavador de Veiculos",tabParametros[[#This Row],[Função]],1)),ISNUMBER(SEARCH("Marceneiro",tabParametros[[#This Row],[Função]],1)),ISNUMBER(SEARCH("Pintor",tabParametros[[#This Row],[Função]],1))),0.2*'BASE GERAL'!$R$4,0)</f>
        <v>0</v>
      </c>
      <c r="L146" s="234">
        <f>IF(AND(ISNUMBER(SEARCH("Noturno",tabParametros[[#This Row],[Função]],1)),tabParametros[[#This Row],[Comarca]]&lt;&gt;"Juiz de Fora"),tabParametros[[#This Row],[Salário Base]]/210*0.39*7*15.5,IF(ISNUMBER(SEARCH("Noturno",tabParametros[[#This Row],[Função]],1)),tabParametros[[#This Row],[Salário Base]]/210*0.2*8*15.5,0))</f>
        <v>0</v>
      </c>
      <c r="M146" s="234">
        <f>IF(ISNUMBER(SEARCH("Motorista II",tabParametros[[#This Row],[Função]],1)),0.25*tabParametros[[#This Row],[Salário Base]],0)</f>
        <v>0</v>
      </c>
      <c r="N146" s="250">
        <v>0</v>
      </c>
      <c r="O146" s="234">
        <f>IF(ISNUMBER(SEARCH("TECNOLOGIA DA INFORMACAO",tabParametros[[#This Row],[Função]],1)),0.0201*tabParametros[[#This Row],[Salário Base]],0)</f>
        <v>0</v>
      </c>
      <c r="P146" s="250" cm="1">
        <f t="array" ref="P146">_xlfn.IFS(
ISNUMBER(SEARCH("Auxiliar de Limpeza - 75 h",tabParametros[[#This Row],[Função]],1)),tabParametros[[#This Row],[Salário Base]]/75*0.75*30*0.12,
ISNUMBER(SEARCH("Auxiliar de Limpeza - 110 h",tabParametros[[#This Row],[Função]],1)),tabParametros[[#This Row],[Salário Base]]/110*1*30*0.12,
ISNUMBER(SEARCH("Auxiliar de Limpeza - 150 h",tabParametros[[#This Row],[Função]],1)),tabParametros[[#This Row],[Salário Base]]/150*1.5*30*0.12,
ISNUMBER(SEARCH("Auxiliar de Limpeza - 220 h",tabParametros[[#This Row],[Função]],1)),tabParametros[[#This Row],[Salário Base]]/220*2*30*0.12,
ISNUMBER(SEARCH("Auxiliar de Limpeza - 12 x 36",tabParametros[[#This Row],[Função]],1)),tabParametros[[#This Row],[Salário Base]]/220*2*30*0.12,
ISNUMBER(SEARCH("Auxiliar de Limpeza - 55 h",tabParametros[[#This Row],[Função]],1))=FALSE,0)</f>
        <v>52.241890909090905</v>
      </c>
      <c r="Q146" s="235">
        <f>VLOOKUP(tabParametros[[#Headers],[INSS]],tabImpostosNacionais[],2,0)</f>
        <v>0.2</v>
      </c>
      <c r="R146" s="235">
        <f>VLOOKUP(tabParametros[[#Headers],[SESI OU SESC]],tabImpostosNacionais[],2,0)</f>
        <v>1.4999999999999999E-2</v>
      </c>
      <c r="S146" s="235">
        <f>VLOOKUP(tabParametros[[#Headers],[SENAI OU SENAC]],tabImpostosNacionais[],2,0)</f>
        <v>0.01</v>
      </c>
      <c r="T146" s="235">
        <f>VLOOKUP(tabParametros[[#Headers],[INCRA]],tabImpostosNacionais[],2,0)</f>
        <v>2E-3</v>
      </c>
      <c r="U146" s="235">
        <f>VLOOKUP(tabParametros[[#Headers],[Salário Educação]],tabImpostosNacionais[],2,0)</f>
        <v>2.5000000000000001E-2</v>
      </c>
      <c r="V146" s="235">
        <f>VLOOKUP(tabParametros[[#Headers],[FGTS]],tabImpostosNacionais[],2,0)</f>
        <v>0.08</v>
      </c>
      <c r="W146" s="235">
        <f>VLOOKUP(tabParametros[[#Headers],[RAT Ajustado]],tabImpostosNacionais[],2,0)</f>
        <v>0.04</v>
      </c>
      <c r="X146" s="235">
        <f>VLOOKUP(tabParametros[[#Headers],[SEBRAE]],tabImpostosNacionais[],2,0)</f>
        <v>6.0000000000000001E-3</v>
      </c>
      <c r="Y146" s="235">
        <f t="shared" si="22"/>
        <v>8.3333333333333329E-2</v>
      </c>
      <c r="Z146" s="251">
        <f t="shared" si="23"/>
        <v>0.1111111111111111</v>
      </c>
      <c r="AA146" s="234">
        <f>VLOOKUP(tabParametros[[#This Row],[Comarca]],tabComarca[],5,0)</f>
        <v>6.4</v>
      </c>
      <c r="AB146" s="234">
        <f>IFERROR(VLOOKUP(tabParametros[[#This Row],[CCT DA CATEGORIA]],tabSindicatos[],6,0),0)</f>
        <v>29.15</v>
      </c>
      <c r="AC146" s="234">
        <f>IFERROR(VLOOKUP(tabParametros[[#This Row],[CCT DA CATEGORIA]],tabSindicatos[],7,0),0)</f>
        <v>0</v>
      </c>
      <c r="AD146" s="234" cm="1">
        <f t="array" ref="AD146">_xlfn.LET(
_xlpm.COMARCA, TRIM(UPPER(SUBSTITUTE(SUBSTITUTE(SUBSTITUTE(SUBSTITUTE(SUBSTITUTE(SUBSTITUTE(SUBSTITUTE(SUBSTITUTE(SUBSTITUTE(SUBSTITUTE(SUBSTITUTE(SUBSTITUTE(SUBSTITUTE(SUBSTITUTE(SUBSTITUTE(SUBSTITUTE(SUBSTITUTE(SUBSTITUTE(SUBSTITUTE(SUBSTITUTE(SUBSTITUTE(SUBSTITUTE(SUBSTITUTE(SUBSTITUTE(SUBSTITUTE(SUBSTITUTE(tabParametros[[#This Row],[Comarca]],"á","a"),"ã","a"),"â","a"),"é","e"),"ê","e"),"í","i"),"ó","o"),"õ","o"),"ô","o"),"ú","u"),"ç","c"),"Á","a"),"Ã","a"),"Â","a"),"É","e"),"Ê","e"),"Í","i"),"Ó","o"),"Õ","o"),"Ô","o"),"Ú","u"),"Ç","c"),"/MG","")," e ",", ")," ",""),".",""))),
_xlpm.MATRIZ_COMARCA, TRIM(UPPER(SUBSTITUTE(SUBSTITUTE(SUBSTITUTE(SUBSTITUTE(SUBSTITUTE(SUBSTITUTE(SUBSTITUTE(SUBSTITUTE(SUBSTITUTE(SUBSTITUTE(SUBSTITUTE(SUBSTITUTE(SUBSTITUTE(SUBSTITUTE(SUBSTITUTE(SUBSTITUTE(SUBSTITUTE(SUBSTITUTE(SUBSTITUTE(SUBSTITUTE(SUBSTITUTE(SUBSTITUTE(SUBSTITUTE(SUBSTITUTE(SUBSTITUTE(SUBSTITUTE(tabSindicatos[COMARCAS PAF],"á","a"),"ã","a"),"â","a"),"é","e"),"ê","e"),"í","i"),"ó","o"),"õ","o"),"ô","o"),"ú","u"),"ç","c"),"Á","a"),"Ã","a"),"Â","a"),"É","e"),"Ê","e"),"Í","i"),"Ó","o"),"Õ","o"),"Ô","o"),"Ú","u"),"Ç","c"),"/MG","")," e ",", ")," ",""),".",""))),
IFERROR(IF(_xlfn.XLOOKUP(tabParametros[[#This Row],[CCT DA CATEGORIA]],tabSindicatos[SINDICATOS],tabSindicatos[COMARCAS PAF])="",
VLOOKUP(tabParametros[[#This Row],[CCT DA CATEGORIA]],tabSindicatos[],8,0),
IF(ISNUMBER(SEARCH(TRIM(_xlpm.COMARCA),_xlfn.XLOOKUP(tabParametros[[#This Row],[CCT DA CATEGORIA]],tabSindicatos[SINDICATOS],_xlpm.MATRIZ_COMARCA),1)),VLOOKUP(tabParametros[[#This Row],[CCT DA CATEGORIA]],tabSindicatos[],8,0),0)
),0)
)</f>
        <v>0</v>
      </c>
      <c r="AE146" s="234">
        <f>IFERROR(VLOOKUP(tabParametros[[#This Row],[CCT DA CATEGORIA]],tabSindicatos[],9,0),0)</f>
        <v>0</v>
      </c>
      <c r="AF146" s="234">
        <f>IFERROR(VLOOKUP(tabParametros[[#This Row],[CCT DA CATEGORIA]],tabSindicatos[],10,0),0)</f>
        <v>0</v>
      </c>
      <c r="AG146" s="236">
        <f>VLOOKUP(tabParametros[[#Headers],[Seguro de Vida]],tabOutrosCustos[],3,0)</f>
        <v>3.36</v>
      </c>
      <c r="AH146" s="236">
        <f>IF(ISNUMBER(SEARCH("MOTORISTA",tabParametros[[#This Row],[Função]],1)),VLOOKUP("MOTORISTAS",tabDiarias[],2,0),IF(tabParametros[[#This Row],[Comarca]]="Belo Horizonte",VLOOKUP("LIMPEZA",tabDiarias[],2,0),0))</f>
        <v>0</v>
      </c>
      <c r="AI146" s="235">
        <f t="shared" si="24"/>
        <v>7.011766975308642E-3</v>
      </c>
      <c r="AJ146" s="237">
        <f>tabParametros[[#This Row],[FGTS]]*tabParametros[[#This Row],[Aviso Prévio Indenizado (API) e Reflexo do Aviso Prévio Indenizado]]</f>
        <v>5.609413580246914E-4</v>
      </c>
      <c r="AK146" s="237">
        <f>tabParametros[[#This Row],[FGTS]]*tabParametros[[#This Row],[Aviso Prévio Indenizado (API) e Reflexo do Aviso Prévio Indenizado]]*40%</f>
        <v>2.2437654320987658E-4</v>
      </c>
      <c r="AL146" s="235">
        <f t="shared" si="25"/>
        <v>3.5000000000000005E-3</v>
      </c>
      <c r="AM146" s="235">
        <f>tabParametros[[#This Row],[Aviso Prévio Trabalhado - APT]]*SUM(tabParametros[[#This Row],[INSS]:[SEBRAE]])</f>
        <v>1.3230000000000004E-3</v>
      </c>
      <c r="AN146" s="235">
        <f t="shared" si="26"/>
        <v>3.0577777777777773E-2</v>
      </c>
      <c r="AO146" s="235">
        <f t="shared" si="27"/>
        <v>8.3333333333333339E-4</v>
      </c>
      <c r="AP146" s="235">
        <f t="shared" si="28"/>
        <v>8.4444444444444437E-3</v>
      </c>
      <c r="AQ146" s="235">
        <f t="shared" si="29"/>
        <v>2.0277777777777777E-3</v>
      </c>
      <c r="AR146" s="235">
        <f t="shared" si="30"/>
        <v>1.7083333333333333E-4</v>
      </c>
      <c r="AS146" s="235">
        <f t="shared" si="31"/>
        <v>2.0833333333333335E-4</v>
      </c>
      <c r="AT146" s="235">
        <f t="shared" si="32"/>
        <v>1.2962962962962963E-3</v>
      </c>
      <c r="AU146" s="237">
        <f>SUM(tabParametros[[#This Row],[Ausência por Doença]:[Férias, Adicional de Férias e 13º  com empregada em gozo de Licença Maternidade]])*SUM(tabParametros[[#This Row],[INSS]:[SEBRAE]])</f>
        <v>4.5918250000000008E-3</v>
      </c>
      <c r="AV146" s="234">
        <f>IF(tabParametros[[#This Row],[Função]]="Porteiro - 220 h",SUM(tabParametros[[#This Row],[Salário Base]:[Adicional de Acúmulo de função]])/220*20*1.5,IF(ISNUMBER(SEARCH("12 x 36",tabParametros[[#This Row],[Função]],1)),SUM(tabParametros[[#This Row],[Salário Base]:[Adicional de Acúmulo de função]])/210*15.5*1.5,0))</f>
        <v>0</v>
      </c>
      <c r="AW146" s="234">
        <f>IF(tabParametros[[#This Row],[Vagas contratadas]]&gt;0,(SUM(tabParametros[[#This Row],[Salário Base]:[Adicional de Acúmulo de função]])*30%+SUM(tabParametros[[#This Row],[Vale - Alimentação]:[Seguro de Vida]]))/tabParametros[[#This Row],[Vagas contratadas]]*tabParametros[[#This Row],[Vagas suspensas]],0)</f>
        <v>0</v>
      </c>
      <c r="AX146" s="234">
        <f>SUMIF(tabUniformes[Cargo],tabParametros[[#This Row],[Função]],tabUniformes[Valor unit. Mensal])</f>
        <v>100.80916666666666</v>
      </c>
      <c r="AY146" s="281">
        <f>IF(ISNUMBER(SEARCH("AUXILIAR DE LIMPEZA - 75 H",tabParametros[[#This Row],[Função]],1)),
SUMIF(tabLimpGeral[TIPO],"Material",tabLimpGeral[VALOR UNITÁRIO P/ HORA (R$)])*75,
IF(ISNUMBER(SEARCH("AUXILIAR DE LIMPEZA - 110 H",tabParametros[[#This Row],[Função]],1)),
SUMIF(tabLimpGeral[TIPO],"Material",tabLimpGeral[VALOR UNITÁRIO P/ HORA (R$)])*110,
IF(ISNUMBER(SEARCH("AUXILIAR DE LIMPEZA - 150 H",tabParametros[[#This Row],[Função]],1)),
SUMIF(tabLimpGeral[TIPO],"Material",tabLimpGeral[VALOR UNITÁRIO P/ HORA (R$)])*150,
IF(ISNUMBER(SEARCH("AUXILIAR DE LIMPEZA - 220 H",tabParametros[[#This Row],[Função]],1)),
SUMIF(tabLimpGeral[TIPO],"Material",tabLimpGeral[VALOR UNITÁRIO P/ HORA (R$)])*220,
IF(ISNUMBER(SEARCH("AUXILIAR DE LIMPEZA - 12 x 36",tabParametros[[#This Row],[Função]],1)),
SUMIF(tabLimpGeral[TIPO],"Material",tabLimpGeral[VALOR UNITÁRIO P/ HORA (R$)])*220,
IF(ISNUMBER(SEARCH("Limpador de vidros - 220 h",tabParametros[[#This Row],[Função]],1)),
SUMIF(tabVidros[TIPO],"Material",tabVidros[VALOR UNITÁRIO P/ POSTO (R$)]),
0))))))</f>
        <v>35.518212958583888</v>
      </c>
      <c r="AZ146" s="281">
        <f>IF(ISNUMBER(SEARCH("AUXILIAR DE LIMPEZA - 75 H",tabParametros[[#This Row],[Função]],1)),
SUMIF(tabLimpGeral[TIPO],"Equipamento",tabLimpGeral[VALOR UNITÁRIO P/ HORA (R$)])*75,
IF(ISNUMBER(SEARCH("AUXILIAR DE LIMPEZA - 110 H",tabParametros[[#This Row],[Função]],1)),
SUMIF(tabLimpGeral[TIPO],"Equipamento",tabLimpGeral[VALOR UNITÁRIO P/ HORA (R$)])*110,
IF(ISNUMBER(SEARCH("AUXILIAR DE LIMPEZA - 150 H",tabParametros[[#This Row],[Função]],1)),
SUMIF(tabLimpGeral[TIPO],"Equipamento",tabLimpGeral[VALOR UNITÁRIO P/ HORA (R$)])*150,
IF(ISNUMBER(SEARCH("AUXILIAR DE LIMPEZA - 220 H",tabParametros[[#This Row],[Função]],1)),
SUMIF(tabLimpGeral[TIPO],"Equipamento",tabLimpGeral[VALOR UNITÁRIO P/ HORA (R$)])*220,
IF(ISNUMBER(SEARCH("AUXILIAR DE LIMPEZA - 12 x 36",tabParametros[[#This Row],[Função]],1)),
SUMIF(tabLimpGeral[TIPO],"Equipamento",tabLimpGeral[VALOR UNITÁRIO P/ HORA (R$)])*220,
IF(ISNUMBER(SEARCH("Limpador de vidros - 220 h",tabParametros[[#This Row],[Função]],1)),
SUMIF(tabVidros[TIPO],"Equipamento",tabVidros[VALOR UNITÁRIO P/ POSTO (R$)]),
0))))))</f>
        <v>64.529393914825576</v>
      </c>
      <c r="BA146" s="281">
        <f>IF(ISNUMBER(SEARCH("AUXILIAR DE LIMPEZA - 75 H",tabParametros[[#This Row],[Função]],1)),
SUMIF(tabLimpGeral[TIPO],"Produto",tabLimpGeral[VALOR UNITÁRIO P/ HORA (R$)])*75,
IF(ISNUMBER(SEARCH("AUXILIAR DE LIMPEZA - 110 H",tabParametros[[#This Row],[Função]],1)),
SUMIF(tabLimpGeral[TIPO],"Produto",tabLimpGeral[VALOR UNITÁRIO P/ HORA (R$)])*110,
IF(ISNUMBER(SEARCH("AUXILIAR DE LIMPEZA - 150 H",tabParametros[[#This Row],[Função]],1)),
SUMIF(tabLimpGeral[TIPO],"Produto",tabLimpGeral[VALOR UNITÁRIO P/ HORA (R$)])*150,
IF(ISNUMBER(SEARCH("AUXILIAR DE LIMPEZA - 220 H",tabParametros[[#This Row],[Função]],1)),
SUMIF(tabLimpGeral[TIPO],"Produto",tabLimpGeral[VALOR UNITÁRIO P/ HORA (R$)])*220,
IF(ISNUMBER(SEARCH("AUXILIAR DE LIMPEZA - 12 x 36",tabParametros[[#This Row],[Função]],1)),
SUMIF(tabLimpGeral[TIPO],"Produto",tabLimpGeral[VALOR UNITÁRIO P/ HORA (R$)])*220,
IF(ISNUMBER(SEARCH("Limpador de vidros - 220 h",tabParametros[[#This Row],[Função]],1)),
SUMIF(tabVidros[TIPO],"Produto",tabVidros[VALOR UNITÁRIO P/ POSTO (R$)]),
0))))))</f>
        <v>690.27153277931654</v>
      </c>
      <c r="BB146" s="281">
        <v>0</v>
      </c>
      <c r="BC146" s="236">
        <f>VLOOKUP(tabParametros[[#Headers],[Custos Indiretos]],tabOutrosCustos[],3,0)</f>
        <v>189.64880140242613</v>
      </c>
      <c r="BD146" s="236">
        <f>VLOOKUP(tabParametros[[#Headers],[Lucro]],tabOutrosCustos[],3,0)</f>
        <v>159.30499317803796</v>
      </c>
      <c r="BE146" s="235">
        <f>VLOOKUP(tabParametros[[#Headers],[COFINS]],tabImpostosNacionais[],2,0)</f>
        <v>7.5999999999999998E-2</v>
      </c>
      <c r="BF146" s="235">
        <f>VLOOKUP(tabParametros[[#Headers],[PIS]],tabImpostosNacionais[],2,0)</f>
        <v>1.6500000000000001E-2</v>
      </c>
      <c r="BG146" s="235">
        <f>VLOOKUP(tabParametros[[#This Row],[Comarca]],tabComarca[],4,0)</f>
        <v>0.05</v>
      </c>
      <c r="BH146" s="238">
        <f>IFERROR(VLOOKUP(tabParametros[[#This Row],[CCT DA CATEGORIA]],tabSindicatos[],11,0),"")</f>
        <v>45658</v>
      </c>
      <c r="BI146" s="289" t="str">
        <f>IFERROR(VLOOKUP(tabParametros[[#This Row],[CCT DA CATEGORIA]],tabSindicatos[],12,0),"")</f>
        <v>-</v>
      </c>
      <c r="BJ146" s="293" t="str">
        <f>IFERROR(VLOOKUP(tabParametros[[#This Row],[CCT DA CATEGORIA]],tabSindicatos[],13,0),"")</f>
        <v>-</v>
      </c>
    </row>
    <row r="147" spans="1:62" x14ac:dyDescent="0.25">
      <c r="A147" s="233" t="s">
        <v>1483</v>
      </c>
      <c r="B147" s="198" t="s">
        <v>132</v>
      </c>
      <c r="C147" s="198" t="s">
        <v>1247</v>
      </c>
      <c r="D147" s="198" t="str">
        <f>VLOOKUP(tabParametros[[#This Row],[Código do Posto]],tabPostos[],4,0)</f>
        <v>Regiao de Teofilo Otoni</v>
      </c>
      <c r="E147" s="289" t="str">
        <f>VLOOKUP(tabParametros[[#This Row],[Código do Posto]],tabPostos[],5,0)</f>
        <v>Limpeza</v>
      </c>
      <c r="F147" s="289" t="str">
        <f>VLOOKUP(tabParametros[[#This Row],[Código do Posto]],tabPostos[],6,0)</f>
        <v>PGJ</v>
      </c>
      <c r="G147" s="289">
        <f>VLOOKUP(tabParametros[[#This Row],[Código do Posto]],tabPostos[],7,0)</f>
        <v>1</v>
      </c>
      <c r="H147" s="289">
        <f>VLOOKUP(tabParametros[[#This Row],[Código do Posto]],tabPostos[],8,0)</f>
        <v>0</v>
      </c>
      <c r="I147" s="234">
        <f>VLOOKUP(tabParametros[[#This Row],[Código do Posto]],tabPostos[],9,0)</f>
        <v>544.17999999999995</v>
      </c>
      <c r="J147" s="234">
        <f>IF(ISNUMBER(SEARCH("Eletricista",tabParametros[[#This Row],[Função]],1)),0.3*tabParametros[[#This Row],[Salário Base]],0)</f>
        <v>0</v>
      </c>
      <c r="K147" s="234">
        <f>IF(OR(ISNUMBER(SEARCH("Bombeiro Hidraulico",tabParametros[[#This Row],[Função]],1)),ISNUMBER(SEARCH("Jardineiro",tabParametros[[#This Row],[Função]],1)),ISNUMBER(SEARCH("Lavador de Veiculos",tabParametros[[#This Row],[Função]],1)),ISNUMBER(SEARCH("Marceneiro",tabParametros[[#This Row],[Função]],1)),ISNUMBER(SEARCH("Pintor",tabParametros[[#This Row],[Função]],1))),0.2*'BASE GERAL'!$R$4,0)</f>
        <v>0</v>
      </c>
      <c r="L147" s="234">
        <f>IF(AND(ISNUMBER(SEARCH("Noturno",tabParametros[[#This Row],[Função]],1)),tabParametros[[#This Row],[Comarca]]&lt;&gt;"Juiz de Fora"),tabParametros[[#This Row],[Salário Base]]/210*0.39*7*15.5,IF(ISNUMBER(SEARCH("Noturno",tabParametros[[#This Row],[Função]],1)),tabParametros[[#This Row],[Salário Base]]/210*0.2*8*15.5,0))</f>
        <v>0</v>
      </c>
      <c r="M147" s="234">
        <f>IF(ISNUMBER(SEARCH("Motorista II",tabParametros[[#This Row],[Função]],1)),0.25*tabParametros[[#This Row],[Salário Base]],0)</f>
        <v>0</v>
      </c>
      <c r="N147" s="250">
        <v>0</v>
      </c>
      <c r="O147" s="234">
        <f>IF(ISNUMBER(SEARCH("TECNOLOGIA DA INFORMACAO",tabParametros[[#This Row],[Função]],1)),0.0201*tabParametros[[#This Row],[Salário Base]],0)</f>
        <v>0</v>
      </c>
      <c r="P147" s="250" cm="1">
        <f t="array" ref="P147">_xlfn.IFS(
ISNUMBER(SEARCH("Auxiliar de Limpeza - 75 h",tabParametros[[#This Row],[Função]],1)),tabParametros[[#This Row],[Salário Base]]/75*0.75*30*0.12,
ISNUMBER(SEARCH("Auxiliar de Limpeza - 110 h",tabParametros[[#This Row],[Função]],1)),tabParametros[[#This Row],[Salário Base]]/110*1*30*0.12,
ISNUMBER(SEARCH("Auxiliar de Limpeza - 150 h",tabParametros[[#This Row],[Função]],1)),tabParametros[[#This Row],[Salário Base]]/150*1.5*30*0.12,
ISNUMBER(SEARCH("Auxiliar de Limpeza - 220 h",tabParametros[[#This Row],[Função]],1)),tabParametros[[#This Row],[Salário Base]]/220*2*30*0.12,
ISNUMBER(SEARCH("Auxiliar de Limpeza - 12 x 36",tabParametros[[#This Row],[Função]],1)),tabParametros[[#This Row],[Salário Base]]/220*2*30*0.12,
ISNUMBER(SEARCH("Auxiliar de Limpeza - 55 h",tabParametros[[#This Row],[Função]],1))=FALSE,0)</f>
        <v>19.590479999999999</v>
      </c>
      <c r="Q147" s="235">
        <f>VLOOKUP(tabParametros[[#Headers],[INSS]],tabImpostosNacionais[],2,0)</f>
        <v>0.2</v>
      </c>
      <c r="R147" s="235">
        <f>VLOOKUP(tabParametros[[#Headers],[SESI OU SESC]],tabImpostosNacionais[],2,0)</f>
        <v>1.4999999999999999E-2</v>
      </c>
      <c r="S147" s="235">
        <f>VLOOKUP(tabParametros[[#Headers],[SENAI OU SENAC]],tabImpostosNacionais[],2,0)</f>
        <v>0.01</v>
      </c>
      <c r="T147" s="235">
        <f>VLOOKUP(tabParametros[[#Headers],[INCRA]],tabImpostosNacionais[],2,0)</f>
        <v>2E-3</v>
      </c>
      <c r="U147" s="235">
        <f>VLOOKUP(tabParametros[[#Headers],[Salário Educação]],tabImpostosNacionais[],2,0)</f>
        <v>2.5000000000000001E-2</v>
      </c>
      <c r="V147" s="235">
        <f>VLOOKUP(tabParametros[[#Headers],[FGTS]],tabImpostosNacionais[],2,0)</f>
        <v>0.08</v>
      </c>
      <c r="W147" s="235">
        <f>VLOOKUP(tabParametros[[#Headers],[RAT Ajustado]],tabImpostosNacionais[],2,0)</f>
        <v>0.04</v>
      </c>
      <c r="X147" s="235">
        <f>VLOOKUP(tabParametros[[#Headers],[SEBRAE]],tabImpostosNacionais[],2,0)</f>
        <v>6.0000000000000001E-3</v>
      </c>
      <c r="Y147" s="235">
        <f t="shared" si="22"/>
        <v>8.3333333333333329E-2</v>
      </c>
      <c r="Z147" s="251">
        <f t="shared" si="23"/>
        <v>0.1111111111111111</v>
      </c>
      <c r="AA147" s="234">
        <f>VLOOKUP(tabParametros[[#This Row],[Comarca]],tabComarca[],5,0)</f>
        <v>6.4</v>
      </c>
      <c r="AB147" s="234">
        <f>IFERROR(VLOOKUP(tabParametros[[#This Row],[CCT DA CATEGORIA]],tabSindicatos[],6,0),0)</f>
        <v>29.15</v>
      </c>
      <c r="AC147" s="234">
        <f>IFERROR(VLOOKUP(tabParametros[[#This Row],[CCT DA CATEGORIA]],tabSindicatos[],7,0),0)</f>
        <v>0</v>
      </c>
      <c r="AD147" s="234" cm="1">
        <f t="array" ref="AD147">_xlfn.LET(
_xlpm.COMARCA, TRIM(UPPER(SUBSTITUTE(SUBSTITUTE(SUBSTITUTE(SUBSTITUTE(SUBSTITUTE(SUBSTITUTE(SUBSTITUTE(SUBSTITUTE(SUBSTITUTE(SUBSTITUTE(SUBSTITUTE(SUBSTITUTE(SUBSTITUTE(SUBSTITUTE(SUBSTITUTE(SUBSTITUTE(SUBSTITUTE(SUBSTITUTE(SUBSTITUTE(SUBSTITUTE(SUBSTITUTE(SUBSTITUTE(SUBSTITUTE(SUBSTITUTE(SUBSTITUTE(SUBSTITUTE(tabParametros[[#This Row],[Comarca]],"á","a"),"ã","a"),"â","a"),"é","e"),"ê","e"),"í","i"),"ó","o"),"õ","o"),"ô","o"),"ú","u"),"ç","c"),"Á","a"),"Ã","a"),"Â","a"),"É","e"),"Ê","e"),"Í","i"),"Ó","o"),"Õ","o"),"Ô","o"),"Ú","u"),"Ç","c"),"/MG","")," e ",", ")," ",""),".",""))),
_xlpm.MATRIZ_COMARCA, TRIM(UPPER(SUBSTITUTE(SUBSTITUTE(SUBSTITUTE(SUBSTITUTE(SUBSTITUTE(SUBSTITUTE(SUBSTITUTE(SUBSTITUTE(SUBSTITUTE(SUBSTITUTE(SUBSTITUTE(SUBSTITUTE(SUBSTITUTE(SUBSTITUTE(SUBSTITUTE(SUBSTITUTE(SUBSTITUTE(SUBSTITUTE(SUBSTITUTE(SUBSTITUTE(SUBSTITUTE(SUBSTITUTE(SUBSTITUTE(SUBSTITUTE(SUBSTITUTE(SUBSTITUTE(tabSindicatos[COMARCAS PAF],"á","a"),"ã","a"),"â","a"),"é","e"),"ê","e"),"í","i"),"ó","o"),"õ","o"),"ô","o"),"ú","u"),"ç","c"),"Á","a"),"Ã","a"),"Â","a"),"É","e"),"Ê","e"),"Í","i"),"Ó","o"),"Õ","o"),"Ô","o"),"Ú","u"),"Ç","c"),"/MG","")," e ",", ")," ",""),".",""))),
IFERROR(IF(_xlfn.XLOOKUP(tabParametros[[#This Row],[CCT DA CATEGORIA]],tabSindicatos[SINDICATOS],tabSindicatos[COMARCAS PAF])="",
VLOOKUP(tabParametros[[#This Row],[CCT DA CATEGORIA]],tabSindicatos[],8,0),
IF(ISNUMBER(SEARCH(TRIM(_xlpm.COMARCA),_xlfn.XLOOKUP(tabParametros[[#This Row],[CCT DA CATEGORIA]],tabSindicatos[SINDICATOS],_xlpm.MATRIZ_COMARCA),1)),VLOOKUP(tabParametros[[#This Row],[CCT DA CATEGORIA]],tabSindicatos[],8,0),0)
),0)
)</f>
        <v>0</v>
      </c>
      <c r="AE147" s="234">
        <f>IFERROR(VLOOKUP(tabParametros[[#This Row],[CCT DA CATEGORIA]],tabSindicatos[],9,0),0)</f>
        <v>15.07</v>
      </c>
      <c r="AF147" s="234">
        <f>IFERROR(VLOOKUP(tabParametros[[#This Row],[CCT DA CATEGORIA]],tabSindicatos[],10,0),0)</f>
        <v>0</v>
      </c>
      <c r="AG147" s="236">
        <f>VLOOKUP(tabParametros[[#Headers],[Seguro de Vida]],tabOutrosCustos[],3,0)</f>
        <v>3.36</v>
      </c>
      <c r="AH147" s="236">
        <f>IF(ISNUMBER(SEARCH("MOTORISTA",tabParametros[[#This Row],[Função]],1)),VLOOKUP("MOTORISTAS",tabDiarias[],2,0),IF(tabParametros[[#This Row],[Comarca]]="Belo Horizonte",VLOOKUP("LIMPEZA",tabDiarias[],2,0),0))</f>
        <v>0</v>
      </c>
      <c r="AI147" s="235">
        <f t="shared" si="24"/>
        <v>7.011766975308642E-3</v>
      </c>
      <c r="AJ147" s="237">
        <f>tabParametros[[#This Row],[FGTS]]*tabParametros[[#This Row],[Aviso Prévio Indenizado (API) e Reflexo do Aviso Prévio Indenizado]]</f>
        <v>5.609413580246914E-4</v>
      </c>
      <c r="AK147" s="237">
        <f>tabParametros[[#This Row],[FGTS]]*tabParametros[[#This Row],[Aviso Prévio Indenizado (API) e Reflexo do Aviso Prévio Indenizado]]*40%</f>
        <v>2.2437654320987658E-4</v>
      </c>
      <c r="AL147" s="235">
        <f t="shared" si="25"/>
        <v>3.5000000000000005E-3</v>
      </c>
      <c r="AM147" s="235">
        <f>tabParametros[[#This Row],[Aviso Prévio Trabalhado - APT]]*SUM(tabParametros[[#This Row],[INSS]:[SEBRAE]])</f>
        <v>1.3230000000000004E-3</v>
      </c>
      <c r="AN147" s="235">
        <f t="shared" si="26"/>
        <v>3.0577777777777773E-2</v>
      </c>
      <c r="AO147" s="235">
        <f t="shared" si="27"/>
        <v>8.3333333333333339E-4</v>
      </c>
      <c r="AP147" s="235">
        <f t="shared" si="28"/>
        <v>8.4444444444444437E-3</v>
      </c>
      <c r="AQ147" s="235">
        <f t="shared" si="29"/>
        <v>2.0277777777777777E-3</v>
      </c>
      <c r="AR147" s="235">
        <f t="shared" si="30"/>
        <v>1.7083333333333333E-4</v>
      </c>
      <c r="AS147" s="235">
        <f t="shared" si="31"/>
        <v>2.0833333333333335E-4</v>
      </c>
      <c r="AT147" s="235">
        <f t="shared" si="32"/>
        <v>1.2962962962962963E-3</v>
      </c>
      <c r="AU147" s="237">
        <f>SUM(tabParametros[[#This Row],[Ausência por Doença]:[Férias, Adicional de Férias e 13º  com empregada em gozo de Licença Maternidade]])*SUM(tabParametros[[#This Row],[INSS]:[SEBRAE]])</f>
        <v>4.5918250000000008E-3</v>
      </c>
      <c r="AV147" s="234">
        <f>IF(tabParametros[[#This Row],[Função]]="Porteiro - 220 h",SUM(tabParametros[[#This Row],[Salário Base]:[Adicional de Acúmulo de função]])/220*20*1.5,IF(ISNUMBER(SEARCH("12 x 36",tabParametros[[#This Row],[Função]],1)),SUM(tabParametros[[#This Row],[Salário Base]:[Adicional de Acúmulo de função]])/210*15.5*1.5,0))</f>
        <v>0</v>
      </c>
      <c r="AW147" s="234">
        <f>IF(tabParametros[[#This Row],[Vagas contratadas]]&gt;0,(SUM(tabParametros[[#This Row],[Salário Base]:[Adicional de Acúmulo de função]])*30%+SUM(tabParametros[[#This Row],[Vale - Alimentação]:[Seguro de Vida]]))/tabParametros[[#This Row],[Vagas contratadas]]*tabParametros[[#This Row],[Vagas suspensas]],0)</f>
        <v>0</v>
      </c>
      <c r="AX147" s="234">
        <f>SUMIF(tabUniformes[Cargo],tabParametros[[#This Row],[Função]],tabUniformes[Valor unit. Mensal])</f>
        <v>62.806666666666665</v>
      </c>
      <c r="AY147" s="281">
        <f>IF(ISNUMBER(SEARCH("AUXILIAR DE LIMPEZA - 75 H",tabParametros[[#This Row],[Função]],1)),
SUMIF(tabLimpGeral[TIPO],"Material",tabLimpGeral[VALOR UNITÁRIO P/ HORA (R$)])*75,
IF(ISNUMBER(SEARCH("AUXILIAR DE LIMPEZA - 110 H",tabParametros[[#This Row],[Função]],1)),
SUMIF(tabLimpGeral[TIPO],"Material",tabLimpGeral[VALOR UNITÁRIO P/ HORA (R$)])*110,
IF(ISNUMBER(SEARCH("AUXILIAR DE LIMPEZA - 150 H",tabParametros[[#This Row],[Função]],1)),
SUMIF(tabLimpGeral[TIPO],"Material",tabLimpGeral[VALOR UNITÁRIO P/ HORA (R$)])*150,
IF(ISNUMBER(SEARCH("AUXILIAR DE LIMPEZA - 220 H",tabParametros[[#This Row],[Função]],1)),
SUMIF(tabLimpGeral[TIPO],"Material",tabLimpGeral[VALOR UNITÁRIO P/ HORA (R$)])*220,
IF(ISNUMBER(SEARCH("AUXILIAR DE LIMPEZA - 12 x 36",tabParametros[[#This Row],[Função]],1)),
SUMIF(tabLimpGeral[TIPO],"Material",tabLimpGeral[VALOR UNITÁRIO P/ HORA (R$)])*220,
IF(ISNUMBER(SEARCH("Limpador de vidros - 220 h",tabParametros[[#This Row],[Função]],1)),
SUMIF(tabVidros[TIPO],"Material",tabVidros[VALOR UNITÁRIO P/ POSTO (R$)]),
0))))))</f>
        <v>12.108481690426325</v>
      </c>
      <c r="AZ147" s="281">
        <f>IF(ISNUMBER(SEARCH("AUXILIAR DE LIMPEZA - 75 H",tabParametros[[#This Row],[Função]],1)),
SUMIF(tabLimpGeral[TIPO],"Equipamento",tabLimpGeral[VALOR UNITÁRIO P/ HORA (R$)])*75,
IF(ISNUMBER(SEARCH("AUXILIAR DE LIMPEZA - 110 H",tabParametros[[#This Row],[Função]],1)),
SUMIF(tabLimpGeral[TIPO],"Equipamento",tabLimpGeral[VALOR UNITÁRIO P/ HORA (R$)])*110,
IF(ISNUMBER(SEARCH("AUXILIAR DE LIMPEZA - 150 H",tabParametros[[#This Row],[Função]],1)),
SUMIF(tabLimpGeral[TIPO],"Equipamento",tabLimpGeral[VALOR UNITÁRIO P/ HORA (R$)])*150,
IF(ISNUMBER(SEARCH("AUXILIAR DE LIMPEZA - 220 H",tabParametros[[#This Row],[Função]],1)),
SUMIF(tabLimpGeral[TIPO],"Equipamento",tabLimpGeral[VALOR UNITÁRIO P/ HORA (R$)])*220,
IF(ISNUMBER(SEARCH("AUXILIAR DE LIMPEZA - 12 x 36",tabParametros[[#This Row],[Função]],1)),
SUMIF(tabLimpGeral[TIPO],"Equipamento",tabLimpGeral[VALOR UNITÁRIO P/ HORA (R$)])*220,
IF(ISNUMBER(SEARCH("Limpador de vidros - 220 h",tabParametros[[#This Row],[Função]],1)),
SUMIF(tabVidros[TIPO],"Equipamento",tabVidros[VALOR UNITÁRIO P/ POSTO (R$)]),
0))))))</f>
        <v>21.998657016417809</v>
      </c>
      <c r="BA147" s="281">
        <f>IF(ISNUMBER(SEARCH("AUXILIAR DE LIMPEZA - 75 H",tabParametros[[#This Row],[Função]],1)),
SUMIF(tabLimpGeral[TIPO],"Produto",tabLimpGeral[VALOR UNITÁRIO P/ HORA (R$)])*75,
IF(ISNUMBER(SEARCH("AUXILIAR DE LIMPEZA - 110 H",tabParametros[[#This Row],[Função]],1)),
SUMIF(tabLimpGeral[TIPO],"Produto",tabLimpGeral[VALOR UNITÁRIO P/ HORA (R$)])*110,
IF(ISNUMBER(SEARCH("AUXILIAR DE LIMPEZA - 150 H",tabParametros[[#This Row],[Função]],1)),
SUMIF(tabLimpGeral[TIPO],"Produto",tabLimpGeral[VALOR UNITÁRIO P/ HORA (R$)])*150,
IF(ISNUMBER(SEARCH("AUXILIAR DE LIMPEZA - 220 H",tabParametros[[#This Row],[Função]],1)),
SUMIF(tabLimpGeral[TIPO],"Produto",tabLimpGeral[VALOR UNITÁRIO P/ HORA (R$)])*220,
IF(ISNUMBER(SEARCH("AUXILIAR DE LIMPEZA - 12 x 36",tabParametros[[#This Row],[Função]],1)),
SUMIF(tabLimpGeral[TIPO],"Produto",tabLimpGeral[VALOR UNITÁRIO P/ HORA (R$)])*220,
IF(ISNUMBER(SEARCH("Limpador de vidros - 220 h",tabParametros[[#This Row],[Função]],1)),
SUMIF(tabVidros[TIPO],"Produto",tabVidros[VALOR UNITÁRIO P/ POSTO (R$)]),
0))))))</f>
        <v>235.31984072022155</v>
      </c>
      <c r="BB147" s="281">
        <v>0</v>
      </c>
      <c r="BC147" s="236">
        <f>VLOOKUP(tabParametros[[#Headers],[Custos Indiretos]],tabOutrosCustos[],3,0)</f>
        <v>189.64880140242613</v>
      </c>
      <c r="BD147" s="236">
        <f>VLOOKUP(tabParametros[[#Headers],[Lucro]],tabOutrosCustos[],3,0)</f>
        <v>159.30499317803796</v>
      </c>
      <c r="BE147" s="235">
        <f>VLOOKUP(tabParametros[[#Headers],[COFINS]],tabImpostosNacionais[],2,0)</f>
        <v>7.5999999999999998E-2</v>
      </c>
      <c r="BF147" s="235">
        <f>VLOOKUP(tabParametros[[#Headers],[PIS]],tabImpostosNacionais[],2,0)</f>
        <v>1.6500000000000001E-2</v>
      </c>
      <c r="BG147" s="235">
        <f>VLOOKUP(tabParametros[[#This Row],[Comarca]],tabComarca[],4,0)</f>
        <v>0.03</v>
      </c>
      <c r="BH147" s="238">
        <f>IFERROR(VLOOKUP(tabParametros[[#This Row],[CCT DA CATEGORIA]],tabSindicatos[],11,0),"")</f>
        <v>45658</v>
      </c>
      <c r="BI147" s="289" t="str">
        <f>IFERROR(VLOOKUP(tabParametros[[#This Row],[CCT DA CATEGORIA]],tabSindicatos[],12,0),"")</f>
        <v>-</v>
      </c>
      <c r="BJ147" s="293" t="str">
        <f>IFERROR(VLOOKUP(tabParametros[[#This Row],[CCT DA CATEGORIA]],tabSindicatos[],13,0),"")</f>
        <v>-</v>
      </c>
    </row>
    <row r="148" spans="1:62" x14ac:dyDescent="0.25">
      <c r="A148" s="233" t="s">
        <v>1484</v>
      </c>
      <c r="B148" s="198" t="s">
        <v>133</v>
      </c>
      <c r="C148" s="198" t="s">
        <v>1245</v>
      </c>
      <c r="D148" s="198" t="str">
        <f>VLOOKUP(tabParametros[[#This Row],[Código do Posto]],tabPostos[],4,0)</f>
        <v>Sethac Norte de Minas</v>
      </c>
      <c r="E148" s="289" t="str">
        <f>VLOOKUP(tabParametros[[#This Row],[Código do Posto]],tabPostos[],5,0)</f>
        <v>Limpeza</v>
      </c>
      <c r="F148" s="289" t="str">
        <f>VLOOKUP(tabParametros[[#This Row],[Código do Posto]],tabPostos[],6,0)</f>
        <v>PGJ</v>
      </c>
      <c r="G148" s="289">
        <f>VLOOKUP(tabParametros[[#This Row],[Código do Posto]],tabPostos[],7,0)</f>
        <v>1</v>
      </c>
      <c r="H148" s="289">
        <f>VLOOKUP(tabParametros[[#This Row],[Código do Posto]],tabPostos[],8,0)</f>
        <v>0</v>
      </c>
      <c r="I148" s="234">
        <f>VLOOKUP(tabParametros[[#This Row],[Código do Posto]],tabPostos[],9,0)</f>
        <v>1596.28</v>
      </c>
      <c r="J148" s="234">
        <f>IF(ISNUMBER(SEARCH("Eletricista",tabParametros[[#This Row],[Função]],1)),0.3*tabParametros[[#This Row],[Salário Base]],0)</f>
        <v>0</v>
      </c>
      <c r="K148" s="234">
        <f>IF(OR(ISNUMBER(SEARCH("Bombeiro Hidraulico",tabParametros[[#This Row],[Função]],1)),ISNUMBER(SEARCH("Jardineiro",tabParametros[[#This Row],[Função]],1)),ISNUMBER(SEARCH("Lavador de Veiculos",tabParametros[[#This Row],[Função]],1)),ISNUMBER(SEARCH("Marceneiro",tabParametros[[#This Row],[Função]],1)),ISNUMBER(SEARCH("Pintor",tabParametros[[#This Row],[Função]],1))),0.2*'BASE GERAL'!$R$4,0)</f>
        <v>0</v>
      </c>
      <c r="L148" s="234">
        <f>IF(AND(ISNUMBER(SEARCH("Noturno",tabParametros[[#This Row],[Função]],1)),tabParametros[[#This Row],[Comarca]]&lt;&gt;"Juiz de Fora"),tabParametros[[#This Row],[Salário Base]]/210*0.39*7*15.5,IF(ISNUMBER(SEARCH("Noturno",tabParametros[[#This Row],[Função]],1)),tabParametros[[#This Row],[Salário Base]]/210*0.2*8*15.5,0))</f>
        <v>0</v>
      </c>
      <c r="M148" s="234">
        <f>IF(ISNUMBER(SEARCH("Motorista II",tabParametros[[#This Row],[Função]],1)),0.25*tabParametros[[#This Row],[Salário Base]],0)</f>
        <v>0</v>
      </c>
      <c r="N148" s="250">
        <v>0</v>
      </c>
      <c r="O148" s="234">
        <f>IF(ISNUMBER(SEARCH("TECNOLOGIA DA INFORMACAO",tabParametros[[#This Row],[Função]],1)),0.0201*tabParametros[[#This Row],[Salário Base]],0)</f>
        <v>0</v>
      </c>
      <c r="P148" s="250" cm="1">
        <f t="array" ref="P148">_xlfn.IFS(
ISNUMBER(SEARCH("Auxiliar de Limpeza - 75 h",tabParametros[[#This Row],[Função]],1)),tabParametros[[#This Row],[Salário Base]]/75*0.75*30*0.12,
ISNUMBER(SEARCH("Auxiliar de Limpeza - 110 h",tabParametros[[#This Row],[Função]],1)),tabParametros[[#This Row],[Salário Base]]/110*1*30*0.12,
ISNUMBER(SEARCH("Auxiliar de Limpeza - 150 h",tabParametros[[#This Row],[Função]],1)),tabParametros[[#This Row],[Salário Base]]/150*1.5*30*0.12,
ISNUMBER(SEARCH("Auxiliar de Limpeza - 220 h",tabParametros[[#This Row],[Função]],1)),tabParametros[[#This Row],[Salário Base]]/220*2*30*0.12,
ISNUMBER(SEARCH("Auxiliar de Limpeza - 12 x 36",tabParametros[[#This Row],[Função]],1)),tabParametros[[#This Row],[Salário Base]]/220*2*30*0.12,
ISNUMBER(SEARCH("Auxiliar de Limpeza - 55 h",tabParametros[[#This Row],[Função]],1))=FALSE,0)</f>
        <v>52.241890909090905</v>
      </c>
      <c r="Q148" s="235">
        <f>VLOOKUP(tabParametros[[#Headers],[INSS]],tabImpostosNacionais[],2,0)</f>
        <v>0.2</v>
      </c>
      <c r="R148" s="235">
        <f>VLOOKUP(tabParametros[[#Headers],[SESI OU SESC]],tabImpostosNacionais[],2,0)</f>
        <v>1.4999999999999999E-2</v>
      </c>
      <c r="S148" s="235">
        <f>VLOOKUP(tabParametros[[#Headers],[SENAI OU SENAC]],tabImpostosNacionais[],2,0)</f>
        <v>0.01</v>
      </c>
      <c r="T148" s="235">
        <f>VLOOKUP(tabParametros[[#Headers],[INCRA]],tabImpostosNacionais[],2,0)</f>
        <v>2E-3</v>
      </c>
      <c r="U148" s="235">
        <f>VLOOKUP(tabParametros[[#Headers],[Salário Educação]],tabImpostosNacionais[],2,0)</f>
        <v>2.5000000000000001E-2</v>
      </c>
      <c r="V148" s="235">
        <f>VLOOKUP(tabParametros[[#Headers],[FGTS]],tabImpostosNacionais[],2,0)</f>
        <v>0.08</v>
      </c>
      <c r="W148" s="235">
        <f>VLOOKUP(tabParametros[[#Headers],[RAT Ajustado]],tabImpostosNacionais[],2,0)</f>
        <v>0.04</v>
      </c>
      <c r="X148" s="235">
        <f>VLOOKUP(tabParametros[[#Headers],[SEBRAE]],tabImpostosNacionais[],2,0)</f>
        <v>6.0000000000000001E-3</v>
      </c>
      <c r="Y148" s="235">
        <f t="shared" si="22"/>
        <v>8.3333333333333329E-2</v>
      </c>
      <c r="Z148" s="251">
        <f t="shared" si="23"/>
        <v>0.1111111111111111</v>
      </c>
      <c r="AA148" s="234">
        <f>VLOOKUP(tabParametros[[#This Row],[Comarca]],tabComarca[],5,0)</f>
        <v>6.4</v>
      </c>
      <c r="AB148" s="234">
        <f>IFERROR(VLOOKUP(tabParametros[[#This Row],[CCT DA CATEGORIA]],tabSindicatos[],6,0),0)</f>
        <v>29.15</v>
      </c>
      <c r="AC148" s="234">
        <f>IFERROR(VLOOKUP(tabParametros[[#This Row],[CCT DA CATEGORIA]],tabSindicatos[],7,0),0)</f>
        <v>0</v>
      </c>
      <c r="AD148" s="234" cm="1">
        <f t="array" ref="AD148">_xlfn.LET(
_xlpm.COMARCA, TRIM(UPPER(SUBSTITUTE(SUBSTITUTE(SUBSTITUTE(SUBSTITUTE(SUBSTITUTE(SUBSTITUTE(SUBSTITUTE(SUBSTITUTE(SUBSTITUTE(SUBSTITUTE(SUBSTITUTE(SUBSTITUTE(SUBSTITUTE(SUBSTITUTE(SUBSTITUTE(SUBSTITUTE(SUBSTITUTE(SUBSTITUTE(SUBSTITUTE(SUBSTITUTE(SUBSTITUTE(SUBSTITUTE(SUBSTITUTE(SUBSTITUTE(SUBSTITUTE(SUBSTITUTE(tabParametros[[#This Row],[Comarca]],"á","a"),"ã","a"),"â","a"),"é","e"),"ê","e"),"í","i"),"ó","o"),"õ","o"),"ô","o"),"ú","u"),"ç","c"),"Á","a"),"Ã","a"),"Â","a"),"É","e"),"Ê","e"),"Í","i"),"Ó","o"),"Õ","o"),"Ô","o"),"Ú","u"),"Ç","c"),"/MG","")," e ",", ")," ",""),".",""))),
_xlpm.MATRIZ_COMARCA, TRIM(UPPER(SUBSTITUTE(SUBSTITUTE(SUBSTITUTE(SUBSTITUTE(SUBSTITUTE(SUBSTITUTE(SUBSTITUTE(SUBSTITUTE(SUBSTITUTE(SUBSTITUTE(SUBSTITUTE(SUBSTITUTE(SUBSTITUTE(SUBSTITUTE(SUBSTITUTE(SUBSTITUTE(SUBSTITUTE(SUBSTITUTE(SUBSTITUTE(SUBSTITUTE(SUBSTITUTE(SUBSTITUTE(SUBSTITUTE(SUBSTITUTE(SUBSTITUTE(SUBSTITUTE(tabSindicatos[COMARCAS PAF],"á","a"),"ã","a"),"â","a"),"é","e"),"ê","e"),"í","i"),"ó","o"),"õ","o"),"ô","o"),"ú","u"),"ç","c"),"Á","a"),"Ã","a"),"Â","a"),"É","e"),"Ê","e"),"Í","i"),"Ó","o"),"Õ","o"),"Ô","o"),"Ú","u"),"Ç","c"),"/MG","")," e ",", ")," ",""),".",""))),
IFERROR(IF(_xlfn.XLOOKUP(tabParametros[[#This Row],[CCT DA CATEGORIA]],tabSindicatos[SINDICATOS],tabSindicatos[COMARCAS PAF])="",
VLOOKUP(tabParametros[[#This Row],[CCT DA CATEGORIA]],tabSindicatos[],8,0),
IF(ISNUMBER(SEARCH(TRIM(_xlpm.COMARCA),_xlfn.XLOOKUP(tabParametros[[#This Row],[CCT DA CATEGORIA]],tabSindicatos[SINDICATOS],_xlpm.MATRIZ_COMARCA),1)),VLOOKUP(tabParametros[[#This Row],[CCT DA CATEGORIA]],tabSindicatos[],8,0),0)
),0)
)</f>
        <v>0</v>
      </c>
      <c r="AE148" s="234">
        <f>IFERROR(VLOOKUP(tabParametros[[#This Row],[CCT DA CATEGORIA]],tabSindicatos[],9,0),0)</f>
        <v>0</v>
      </c>
      <c r="AF148" s="234">
        <f>IFERROR(VLOOKUP(tabParametros[[#This Row],[CCT DA CATEGORIA]],tabSindicatos[],10,0),0)</f>
        <v>0</v>
      </c>
      <c r="AG148" s="236">
        <f>VLOOKUP(tabParametros[[#Headers],[Seguro de Vida]],tabOutrosCustos[],3,0)</f>
        <v>3.36</v>
      </c>
      <c r="AH148" s="236">
        <f>IF(ISNUMBER(SEARCH("MOTORISTA",tabParametros[[#This Row],[Função]],1)),VLOOKUP("MOTORISTAS",tabDiarias[],2,0),IF(tabParametros[[#This Row],[Comarca]]="Belo Horizonte",VLOOKUP("LIMPEZA",tabDiarias[],2,0),0))</f>
        <v>0</v>
      </c>
      <c r="AI148" s="235">
        <f t="shared" si="24"/>
        <v>7.011766975308642E-3</v>
      </c>
      <c r="AJ148" s="237">
        <f>tabParametros[[#This Row],[FGTS]]*tabParametros[[#This Row],[Aviso Prévio Indenizado (API) e Reflexo do Aviso Prévio Indenizado]]</f>
        <v>5.609413580246914E-4</v>
      </c>
      <c r="AK148" s="237">
        <f>tabParametros[[#This Row],[FGTS]]*tabParametros[[#This Row],[Aviso Prévio Indenizado (API) e Reflexo do Aviso Prévio Indenizado]]*40%</f>
        <v>2.2437654320987658E-4</v>
      </c>
      <c r="AL148" s="235">
        <f t="shared" si="25"/>
        <v>3.5000000000000005E-3</v>
      </c>
      <c r="AM148" s="235">
        <f>tabParametros[[#This Row],[Aviso Prévio Trabalhado - APT]]*SUM(tabParametros[[#This Row],[INSS]:[SEBRAE]])</f>
        <v>1.3230000000000004E-3</v>
      </c>
      <c r="AN148" s="235">
        <f t="shared" si="26"/>
        <v>3.0577777777777773E-2</v>
      </c>
      <c r="AO148" s="235">
        <f t="shared" si="27"/>
        <v>8.3333333333333339E-4</v>
      </c>
      <c r="AP148" s="235">
        <f t="shared" si="28"/>
        <v>8.4444444444444437E-3</v>
      </c>
      <c r="AQ148" s="235">
        <f t="shared" si="29"/>
        <v>2.0277777777777777E-3</v>
      </c>
      <c r="AR148" s="235">
        <f t="shared" si="30"/>
        <v>1.7083333333333333E-4</v>
      </c>
      <c r="AS148" s="235">
        <f t="shared" si="31"/>
        <v>2.0833333333333335E-4</v>
      </c>
      <c r="AT148" s="235">
        <f t="shared" si="32"/>
        <v>1.2962962962962963E-3</v>
      </c>
      <c r="AU148" s="237">
        <f>SUM(tabParametros[[#This Row],[Ausência por Doença]:[Férias, Adicional de Férias e 13º  com empregada em gozo de Licença Maternidade]])*SUM(tabParametros[[#This Row],[INSS]:[SEBRAE]])</f>
        <v>4.5918250000000008E-3</v>
      </c>
      <c r="AV148" s="234">
        <f>IF(tabParametros[[#This Row],[Função]]="Porteiro - 220 h",SUM(tabParametros[[#This Row],[Salário Base]:[Adicional de Acúmulo de função]])/220*20*1.5,IF(ISNUMBER(SEARCH("12 x 36",tabParametros[[#This Row],[Função]],1)),SUM(tabParametros[[#This Row],[Salário Base]:[Adicional de Acúmulo de função]])/210*15.5*1.5,0))</f>
        <v>0</v>
      </c>
      <c r="AW148" s="234">
        <f>IF(tabParametros[[#This Row],[Vagas contratadas]]&gt;0,(SUM(tabParametros[[#This Row],[Salário Base]:[Adicional de Acúmulo de função]])*30%+SUM(tabParametros[[#This Row],[Vale - Alimentação]:[Seguro de Vida]]))/tabParametros[[#This Row],[Vagas contratadas]]*tabParametros[[#This Row],[Vagas suspensas]],0)</f>
        <v>0</v>
      </c>
      <c r="AX148" s="234">
        <f>SUMIF(tabUniformes[Cargo],tabParametros[[#This Row],[Função]],tabUniformes[Valor unit. Mensal])</f>
        <v>100.80916666666666</v>
      </c>
      <c r="AY148" s="281">
        <f>IF(ISNUMBER(SEARCH("AUXILIAR DE LIMPEZA - 75 H",tabParametros[[#This Row],[Função]],1)),
SUMIF(tabLimpGeral[TIPO],"Material",tabLimpGeral[VALOR UNITÁRIO P/ HORA (R$)])*75,
IF(ISNUMBER(SEARCH("AUXILIAR DE LIMPEZA - 110 H",tabParametros[[#This Row],[Função]],1)),
SUMIF(tabLimpGeral[TIPO],"Material",tabLimpGeral[VALOR UNITÁRIO P/ HORA (R$)])*110,
IF(ISNUMBER(SEARCH("AUXILIAR DE LIMPEZA - 150 H",tabParametros[[#This Row],[Função]],1)),
SUMIF(tabLimpGeral[TIPO],"Material",tabLimpGeral[VALOR UNITÁRIO P/ HORA (R$)])*150,
IF(ISNUMBER(SEARCH("AUXILIAR DE LIMPEZA - 220 H",tabParametros[[#This Row],[Função]],1)),
SUMIF(tabLimpGeral[TIPO],"Material",tabLimpGeral[VALOR UNITÁRIO P/ HORA (R$)])*220,
IF(ISNUMBER(SEARCH("AUXILIAR DE LIMPEZA - 12 x 36",tabParametros[[#This Row],[Função]],1)),
SUMIF(tabLimpGeral[TIPO],"Material",tabLimpGeral[VALOR UNITÁRIO P/ HORA (R$)])*220,
IF(ISNUMBER(SEARCH("Limpador de vidros - 220 h",tabParametros[[#This Row],[Função]],1)),
SUMIF(tabVidros[TIPO],"Material",tabVidros[VALOR UNITÁRIO P/ POSTO (R$)]),
0))))))</f>
        <v>35.518212958583888</v>
      </c>
      <c r="AZ148" s="281">
        <f>IF(ISNUMBER(SEARCH("AUXILIAR DE LIMPEZA - 75 H",tabParametros[[#This Row],[Função]],1)),
SUMIF(tabLimpGeral[TIPO],"Equipamento",tabLimpGeral[VALOR UNITÁRIO P/ HORA (R$)])*75,
IF(ISNUMBER(SEARCH("AUXILIAR DE LIMPEZA - 110 H",tabParametros[[#This Row],[Função]],1)),
SUMIF(tabLimpGeral[TIPO],"Equipamento",tabLimpGeral[VALOR UNITÁRIO P/ HORA (R$)])*110,
IF(ISNUMBER(SEARCH("AUXILIAR DE LIMPEZA - 150 H",tabParametros[[#This Row],[Função]],1)),
SUMIF(tabLimpGeral[TIPO],"Equipamento",tabLimpGeral[VALOR UNITÁRIO P/ HORA (R$)])*150,
IF(ISNUMBER(SEARCH("AUXILIAR DE LIMPEZA - 220 H",tabParametros[[#This Row],[Função]],1)),
SUMIF(tabLimpGeral[TIPO],"Equipamento",tabLimpGeral[VALOR UNITÁRIO P/ HORA (R$)])*220,
IF(ISNUMBER(SEARCH("AUXILIAR DE LIMPEZA - 12 x 36",tabParametros[[#This Row],[Função]],1)),
SUMIF(tabLimpGeral[TIPO],"Equipamento",tabLimpGeral[VALOR UNITÁRIO P/ HORA (R$)])*220,
IF(ISNUMBER(SEARCH("Limpador de vidros - 220 h",tabParametros[[#This Row],[Função]],1)),
SUMIF(tabVidros[TIPO],"Equipamento",tabVidros[VALOR UNITÁRIO P/ POSTO (R$)]),
0))))))</f>
        <v>64.529393914825576</v>
      </c>
      <c r="BA148" s="281">
        <f>IF(ISNUMBER(SEARCH("AUXILIAR DE LIMPEZA - 75 H",tabParametros[[#This Row],[Função]],1)),
SUMIF(tabLimpGeral[TIPO],"Produto",tabLimpGeral[VALOR UNITÁRIO P/ HORA (R$)])*75,
IF(ISNUMBER(SEARCH("AUXILIAR DE LIMPEZA - 110 H",tabParametros[[#This Row],[Função]],1)),
SUMIF(tabLimpGeral[TIPO],"Produto",tabLimpGeral[VALOR UNITÁRIO P/ HORA (R$)])*110,
IF(ISNUMBER(SEARCH("AUXILIAR DE LIMPEZA - 150 H",tabParametros[[#This Row],[Função]],1)),
SUMIF(tabLimpGeral[TIPO],"Produto",tabLimpGeral[VALOR UNITÁRIO P/ HORA (R$)])*150,
IF(ISNUMBER(SEARCH("AUXILIAR DE LIMPEZA - 220 H",tabParametros[[#This Row],[Função]],1)),
SUMIF(tabLimpGeral[TIPO],"Produto",tabLimpGeral[VALOR UNITÁRIO P/ HORA (R$)])*220,
IF(ISNUMBER(SEARCH("AUXILIAR DE LIMPEZA - 12 x 36",tabParametros[[#This Row],[Função]],1)),
SUMIF(tabLimpGeral[TIPO],"Produto",tabLimpGeral[VALOR UNITÁRIO P/ HORA (R$)])*220,
IF(ISNUMBER(SEARCH("Limpador de vidros - 220 h",tabParametros[[#This Row],[Função]],1)),
SUMIF(tabVidros[TIPO],"Produto",tabVidros[VALOR UNITÁRIO P/ POSTO (R$)]),
0))))))</f>
        <v>690.27153277931654</v>
      </c>
      <c r="BB148" s="281">
        <v>0</v>
      </c>
      <c r="BC148" s="236">
        <f>VLOOKUP(tabParametros[[#Headers],[Custos Indiretos]],tabOutrosCustos[],3,0)</f>
        <v>189.64880140242613</v>
      </c>
      <c r="BD148" s="236">
        <f>VLOOKUP(tabParametros[[#Headers],[Lucro]],tabOutrosCustos[],3,0)</f>
        <v>159.30499317803796</v>
      </c>
      <c r="BE148" s="235">
        <f>VLOOKUP(tabParametros[[#Headers],[COFINS]],tabImpostosNacionais[],2,0)</f>
        <v>7.5999999999999998E-2</v>
      </c>
      <c r="BF148" s="235">
        <f>VLOOKUP(tabParametros[[#Headers],[PIS]],tabImpostosNacionais[],2,0)</f>
        <v>1.6500000000000001E-2</v>
      </c>
      <c r="BG148" s="235">
        <f>VLOOKUP(tabParametros[[#This Row],[Comarca]],tabComarca[],4,0)</f>
        <v>0.05</v>
      </c>
      <c r="BH148" s="238">
        <f>IFERROR(VLOOKUP(tabParametros[[#This Row],[CCT DA CATEGORIA]],tabSindicatos[],11,0),"")</f>
        <v>45658</v>
      </c>
      <c r="BI148" s="289" t="str">
        <f>IFERROR(VLOOKUP(tabParametros[[#This Row],[CCT DA CATEGORIA]],tabSindicatos[],12,0),"")</f>
        <v>-</v>
      </c>
      <c r="BJ148" s="293" t="str">
        <f>IFERROR(VLOOKUP(tabParametros[[#This Row],[CCT DA CATEGORIA]],tabSindicatos[],13,0),"")</f>
        <v>-</v>
      </c>
    </row>
    <row r="149" spans="1:62" x14ac:dyDescent="0.25">
      <c r="A149" s="233" t="s">
        <v>1485</v>
      </c>
      <c r="B149" s="198" t="s">
        <v>134</v>
      </c>
      <c r="C149" s="198" t="s">
        <v>1245</v>
      </c>
      <c r="D149" s="198" t="str">
        <f>VLOOKUP(tabParametros[[#This Row],[Código do Posto]],tabPostos[],4,0)</f>
        <v>Regiao de Juiz de Fora</v>
      </c>
      <c r="E149" s="289" t="str">
        <f>VLOOKUP(tabParametros[[#This Row],[Código do Posto]],tabPostos[],5,0)</f>
        <v>Limpeza</v>
      </c>
      <c r="F149" s="289" t="str">
        <f>VLOOKUP(tabParametros[[#This Row],[Código do Posto]],tabPostos[],6,0)</f>
        <v>PGJ</v>
      </c>
      <c r="G149" s="289">
        <f>VLOOKUP(tabParametros[[#This Row],[Código do Posto]],tabPostos[],7,0)</f>
        <v>1</v>
      </c>
      <c r="H149" s="289">
        <f>VLOOKUP(tabParametros[[#This Row],[Código do Posto]],tabPostos[],8,0)</f>
        <v>0</v>
      </c>
      <c r="I149" s="234">
        <f>VLOOKUP(tabParametros[[#This Row],[Código do Posto]],tabPostos[],9,0)</f>
        <v>1596.28</v>
      </c>
      <c r="J149" s="234">
        <f>IF(ISNUMBER(SEARCH("Eletricista",tabParametros[[#This Row],[Função]],1)),0.3*tabParametros[[#This Row],[Salário Base]],0)</f>
        <v>0</v>
      </c>
      <c r="K149" s="234">
        <f>IF(OR(ISNUMBER(SEARCH("Bombeiro Hidraulico",tabParametros[[#This Row],[Função]],1)),ISNUMBER(SEARCH("Jardineiro",tabParametros[[#This Row],[Função]],1)),ISNUMBER(SEARCH("Lavador de Veiculos",tabParametros[[#This Row],[Função]],1)),ISNUMBER(SEARCH("Marceneiro",tabParametros[[#This Row],[Função]],1)),ISNUMBER(SEARCH("Pintor",tabParametros[[#This Row],[Função]],1))),0.2*'BASE GERAL'!$R$4,0)</f>
        <v>0</v>
      </c>
      <c r="L149" s="234">
        <f>IF(AND(ISNUMBER(SEARCH("Noturno",tabParametros[[#This Row],[Função]],1)),tabParametros[[#This Row],[Comarca]]&lt;&gt;"Juiz de Fora"),tabParametros[[#This Row],[Salário Base]]/210*0.39*7*15.5,IF(ISNUMBER(SEARCH("Noturno",tabParametros[[#This Row],[Função]],1)),tabParametros[[#This Row],[Salário Base]]/210*0.2*8*15.5,0))</f>
        <v>0</v>
      </c>
      <c r="M149" s="234">
        <f>IF(ISNUMBER(SEARCH("Motorista II",tabParametros[[#This Row],[Função]],1)),0.25*tabParametros[[#This Row],[Salário Base]],0)</f>
        <v>0</v>
      </c>
      <c r="N149" s="250">
        <v>0</v>
      </c>
      <c r="O149" s="234">
        <f>IF(ISNUMBER(SEARCH("TECNOLOGIA DA INFORMACAO",tabParametros[[#This Row],[Função]],1)),0.0201*tabParametros[[#This Row],[Salário Base]],0)</f>
        <v>0</v>
      </c>
      <c r="P149" s="250" cm="1">
        <f t="array" ref="P149">_xlfn.IFS(
ISNUMBER(SEARCH("Auxiliar de Limpeza - 75 h",tabParametros[[#This Row],[Função]],1)),tabParametros[[#This Row],[Salário Base]]/75*0.75*30*0.12,
ISNUMBER(SEARCH("Auxiliar de Limpeza - 110 h",tabParametros[[#This Row],[Função]],1)),tabParametros[[#This Row],[Salário Base]]/110*1*30*0.12,
ISNUMBER(SEARCH("Auxiliar de Limpeza - 150 h",tabParametros[[#This Row],[Função]],1)),tabParametros[[#This Row],[Salário Base]]/150*1.5*30*0.12,
ISNUMBER(SEARCH("Auxiliar de Limpeza - 220 h",tabParametros[[#This Row],[Função]],1)),tabParametros[[#This Row],[Salário Base]]/220*2*30*0.12,
ISNUMBER(SEARCH("Auxiliar de Limpeza - 12 x 36",tabParametros[[#This Row],[Função]],1)),tabParametros[[#This Row],[Salário Base]]/220*2*30*0.12,
ISNUMBER(SEARCH("Auxiliar de Limpeza - 55 h",tabParametros[[#This Row],[Função]],1))=FALSE,0)</f>
        <v>52.241890909090905</v>
      </c>
      <c r="Q149" s="235">
        <f>VLOOKUP(tabParametros[[#Headers],[INSS]],tabImpostosNacionais[],2,0)</f>
        <v>0.2</v>
      </c>
      <c r="R149" s="235">
        <f>VLOOKUP(tabParametros[[#Headers],[SESI OU SESC]],tabImpostosNacionais[],2,0)</f>
        <v>1.4999999999999999E-2</v>
      </c>
      <c r="S149" s="235">
        <f>VLOOKUP(tabParametros[[#Headers],[SENAI OU SENAC]],tabImpostosNacionais[],2,0)</f>
        <v>0.01</v>
      </c>
      <c r="T149" s="235">
        <f>VLOOKUP(tabParametros[[#Headers],[INCRA]],tabImpostosNacionais[],2,0)</f>
        <v>2E-3</v>
      </c>
      <c r="U149" s="235">
        <f>VLOOKUP(tabParametros[[#Headers],[Salário Educação]],tabImpostosNacionais[],2,0)</f>
        <v>2.5000000000000001E-2</v>
      </c>
      <c r="V149" s="235">
        <f>VLOOKUP(tabParametros[[#Headers],[FGTS]],tabImpostosNacionais[],2,0)</f>
        <v>0.08</v>
      </c>
      <c r="W149" s="235">
        <f>VLOOKUP(tabParametros[[#Headers],[RAT Ajustado]],tabImpostosNacionais[],2,0)</f>
        <v>0.04</v>
      </c>
      <c r="X149" s="235">
        <f>VLOOKUP(tabParametros[[#Headers],[SEBRAE]],tabImpostosNacionais[],2,0)</f>
        <v>6.0000000000000001E-3</v>
      </c>
      <c r="Y149" s="235">
        <f t="shared" si="22"/>
        <v>8.3333333333333329E-2</v>
      </c>
      <c r="Z149" s="251">
        <f t="shared" si="23"/>
        <v>0.1111111111111111</v>
      </c>
      <c r="AA149" s="234">
        <f>VLOOKUP(tabParametros[[#This Row],[Comarca]],tabComarca[],5,0)</f>
        <v>6.4</v>
      </c>
      <c r="AB149" s="234">
        <f>IFERROR(VLOOKUP(tabParametros[[#This Row],[CCT DA CATEGORIA]],tabSindicatos[],6,0),0)</f>
        <v>29.15</v>
      </c>
      <c r="AC149" s="234">
        <f>IFERROR(VLOOKUP(tabParametros[[#This Row],[CCT DA CATEGORIA]],tabSindicatos[],7,0),0)</f>
        <v>0</v>
      </c>
      <c r="AD149" s="234" cm="1">
        <f t="array" ref="AD149">_xlfn.LET(
_xlpm.COMARCA, TRIM(UPPER(SUBSTITUTE(SUBSTITUTE(SUBSTITUTE(SUBSTITUTE(SUBSTITUTE(SUBSTITUTE(SUBSTITUTE(SUBSTITUTE(SUBSTITUTE(SUBSTITUTE(SUBSTITUTE(SUBSTITUTE(SUBSTITUTE(SUBSTITUTE(SUBSTITUTE(SUBSTITUTE(SUBSTITUTE(SUBSTITUTE(SUBSTITUTE(SUBSTITUTE(SUBSTITUTE(SUBSTITUTE(SUBSTITUTE(SUBSTITUTE(SUBSTITUTE(SUBSTITUTE(tabParametros[[#This Row],[Comarca]],"á","a"),"ã","a"),"â","a"),"é","e"),"ê","e"),"í","i"),"ó","o"),"õ","o"),"ô","o"),"ú","u"),"ç","c"),"Á","a"),"Ã","a"),"Â","a"),"É","e"),"Ê","e"),"Í","i"),"Ó","o"),"Õ","o"),"Ô","o"),"Ú","u"),"Ç","c"),"/MG","")," e ",", ")," ",""),".",""))),
_xlpm.MATRIZ_COMARCA, TRIM(UPPER(SUBSTITUTE(SUBSTITUTE(SUBSTITUTE(SUBSTITUTE(SUBSTITUTE(SUBSTITUTE(SUBSTITUTE(SUBSTITUTE(SUBSTITUTE(SUBSTITUTE(SUBSTITUTE(SUBSTITUTE(SUBSTITUTE(SUBSTITUTE(SUBSTITUTE(SUBSTITUTE(SUBSTITUTE(SUBSTITUTE(SUBSTITUTE(SUBSTITUTE(SUBSTITUTE(SUBSTITUTE(SUBSTITUTE(SUBSTITUTE(SUBSTITUTE(SUBSTITUTE(tabSindicatos[COMARCAS PAF],"á","a"),"ã","a"),"â","a"),"é","e"),"ê","e"),"í","i"),"ó","o"),"õ","o"),"ô","o"),"ú","u"),"ç","c"),"Á","a"),"Ã","a"),"Â","a"),"É","e"),"Ê","e"),"Í","i"),"Ó","o"),"Õ","o"),"Ô","o"),"Ú","u"),"Ç","c"),"/MG","")," e ",", ")," ",""),".",""))),
IFERROR(IF(_xlfn.XLOOKUP(tabParametros[[#This Row],[CCT DA CATEGORIA]],tabSindicatos[SINDICATOS],tabSindicatos[COMARCAS PAF])="",
VLOOKUP(tabParametros[[#This Row],[CCT DA CATEGORIA]],tabSindicatos[],8,0),
IF(ISNUMBER(SEARCH(TRIM(_xlpm.COMARCA),_xlfn.XLOOKUP(tabParametros[[#This Row],[CCT DA CATEGORIA]],tabSindicatos[SINDICATOS],_xlpm.MATRIZ_COMARCA),1)),VLOOKUP(tabParametros[[#This Row],[CCT DA CATEGORIA]],tabSindicatos[],8,0),0)
),0)
)</f>
        <v>51.88</v>
      </c>
      <c r="AE149" s="234">
        <f>IFERROR(VLOOKUP(tabParametros[[#This Row],[CCT DA CATEGORIA]],tabSindicatos[],9,0),0)</f>
        <v>0</v>
      </c>
      <c r="AF149" s="234">
        <f>IFERROR(VLOOKUP(tabParametros[[#This Row],[CCT DA CATEGORIA]],tabSindicatos[],10,0),0)</f>
        <v>0</v>
      </c>
      <c r="AG149" s="236">
        <f>VLOOKUP(tabParametros[[#Headers],[Seguro de Vida]],tabOutrosCustos[],3,0)</f>
        <v>3.36</v>
      </c>
      <c r="AH149" s="236">
        <f>IF(ISNUMBER(SEARCH("MOTORISTA",tabParametros[[#This Row],[Função]],1)),VLOOKUP("MOTORISTAS",tabDiarias[],2,0),IF(tabParametros[[#This Row],[Comarca]]="Belo Horizonte",VLOOKUP("LIMPEZA",tabDiarias[],2,0),0))</f>
        <v>0</v>
      </c>
      <c r="AI149" s="235">
        <f t="shared" si="24"/>
        <v>7.011766975308642E-3</v>
      </c>
      <c r="AJ149" s="237">
        <f>tabParametros[[#This Row],[FGTS]]*tabParametros[[#This Row],[Aviso Prévio Indenizado (API) e Reflexo do Aviso Prévio Indenizado]]</f>
        <v>5.609413580246914E-4</v>
      </c>
      <c r="AK149" s="237">
        <f>tabParametros[[#This Row],[FGTS]]*tabParametros[[#This Row],[Aviso Prévio Indenizado (API) e Reflexo do Aviso Prévio Indenizado]]*40%</f>
        <v>2.2437654320987658E-4</v>
      </c>
      <c r="AL149" s="235">
        <f t="shared" si="25"/>
        <v>3.5000000000000005E-3</v>
      </c>
      <c r="AM149" s="235">
        <f>tabParametros[[#This Row],[Aviso Prévio Trabalhado - APT]]*SUM(tabParametros[[#This Row],[INSS]:[SEBRAE]])</f>
        <v>1.3230000000000004E-3</v>
      </c>
      <c r="AN149" s="235">
        <f t="shared" si="26"/>
        <v>3.0577777777777773E-2</v>
      </c>
      <c r="AO149" s="235">
        <f t="shared" si="27"/>
        <v>8.3333333333333339E-4</v>
      </c>
      <c r="AP149" s="235">
        <f t="shared" si="28"/>
        <v>8.4444444444444437E-3</v>
      </c>
      <c r="AQ149" s="235">
        <f t="shared" si="29"/>
        <v>2.0277777777777777E-3</v>
      </c>
      <c r="AR149" s="235">
        <f t="shared" si="30"/>
        <v>1.7083333333333333E-4</v>
      </c>
      <c r="AS149" s="235">
        <f t="shared" si="31"/>
        <v>2.0833333333333335E-4</v>
      </c>
      <c r="AT149" s="235">
        <f t="shared" si="32"/>
        <v>1.2962962962962963E-3</v>
      </c>
      <c r="AU149" s="237">
        <f>SUM(tabParametros[[#This Row],[Ausência por Doença]:[Férias, Adicional de Férias e 13º  com empregada em gozo de Licença Maternidade]])*SUM(tabParametros[[#This Row],[INSS]:[SEBRAE]])</f>
        <v>4.5918250000000008E-3</v>
      </c>
      <c r="AV149" s="234">
        <f>IF(tabParametros[[#This Row],[Função]]="Porteiro - 220 h",SUM(tabParametros[[#This Row],[Salário Base]:[Adicional de Acúmulo de função]])/220*20*1.5,IF(ISNUMBER(SEARCH("12 x 36",tabParametros[[#This Row],[Função]],1)),SUM(tabParametros[[#This Row],[Salário Base]:[Adicional de Acúmulo de função]])/210*15.5*1.5,0))</f>
        <v>0</v>
      </c>
      <c r="AW149" s="234">
        <f>IF(tabParametros[[#This Row],[Vagas contratadas]]&gt;0,(SUM(tabParametros[[#This Row],[Salário Base]:[Adicional de Acúmulo de função]])*30%+SUM(tabParametros[[#This Row],[Vale - Alimentação]:[Seguro de Vida]]))/tabParametros[[#This Row],[Vagas contratadas]]*tabParametros[[#This Row],[Vagas suspensas]],0)</f>
        <v>0</v>
      </c>
      <c r="AX149" s="234">
        <f>SUMIF(tabUniformes[Cargo],tabParametros[[#This Row],[Função]],tabUniformes[Valor unit. Mensal])</f>
        <v>100.80916666666666</v>
      </c>
      <c r="AY149" s="281">
        <f>IF(ISNUMBER(SEARCH("AUXILIAR DE LIMPEZA - 75 H",tabParametros[[#This Row],[Função]],1)),
SUMIF(tabLimpGeral[TIPO],"Material",tabLimpGeral[VALOR UNITÁRIO P/ HORA (R$)])*75,
IF(ISNUMBER(SEARCH("AUXILIAR DE LIMPEZA - 110 H",tabParametros[[#This Row],[Função]],1)),
SUMIF(tabLimpGeral[TIPO],"Material",tabLimpGeral[VALOR UNITÁRIO P/ HORA (R$)])*110,
IF(ISNUMBER(SEARCH("AUXILIAR DE LIMPEZA - 150 H",tabParametros[[#This Row],[Função]],1)),
SUMIF(tabLimpGeral[TIPO],"Material",tabLimpGeral[VALOR UNITÁRIO P/ HORA (R$)])*150,
IF(ISNUMBER(SEARCH("AUXILIAR DE LIMPEZA - 220 H",tabParametros[[#This Row],[Função]],1)),
SUMIF(tabLimpGeral[TIPO],"Material",tabLimpGeral[VALOR UNITÁRIO P/ HORA (R$)])*220,
IF(ISNUMBER(SEARCH("AUXILIAR DE LIMPEZA - 12 x 36",tabParametros[[#This Row],[Função]],1)),
SUMIF(tabLimpGeral[TIPO],"Material",tabLimpGeral[VALOR UNITÁRIO P/ HORA (R$)])*220,
IF(ISNUMBER(SEARCH("Limpador de vidros - 220 h",tabParametros[[#This Row],[Função]],1)),
SUMIF(tabVidros[TIPO],"Material",tabVidros[VALOR UNITÁRIO P/ POSTO (R$)]),
0))))))</f>
        <v>35.518212958583888</v>
      </c>
      <c r="AZ149" s="281">
        <f>IF(ISNUMBER(SEARCH("AUXILIAR DE LIMPEZA - 75 H",tabParametros[[#This Row],[Função]],1)),
SUMIF(tabLimpGeral[TIPO],"Equipamento",tabLimpGeral[VALOR UNITÁRIO P/ HORA (R$)])*75,
IF(ISNUMBER(SEARCH("AUXILIAR DE LIMPEZA - 110 H",tabParametros[[#This Row],[Função]],1)),
SUMIF(tabLimpGeral[TIPO],"Equipamento",tabLimpGeral[VALOR UNITÁRIO P/ HORA (R$)])*110,
IF(ISNUMBER(SEARCH("AUXILIAR DE LIMPEZA - 150 H",tabParametros[[#This Row],[Função]],1)),
SUMIF(tabLimpGeral[TIPO],"Equipamento",tabLimpGeral[VALOR UNITÁRIO P/ HORA (R$)])*150,
IF(ISNUMBER(SEARCH("AUXILIAR DE LIMPEZA - 220 H",tabParametros[[#This Row],[Função]],1)),
SUMIF(tabLimpGeral[TIPO],"Equipamento",tabLimpGeral[VALOR UNITÁRIO P/ HORA (R$)])*220,
IF(ISNUMBER(SEARCH("AUXILIAR DE LIMPEZA - 12 x 36",tabParametros[[#This Row],[Função]],1)),
SUMIF(tabLimpGeral[TIPO],"Equipamento",tabLimpGeral[VALOR UNITÁRIO P/ HORA (R$)])*220,
IF(ISNUMBER(SEARCH("Limpador de vidros - 220 h",tabParametros[[#This Row],[Função]],1)),
SUMIF(tabVidros[TIPO],"Equipamento",tabVidros[VALOR UNITÁRIO P/ POSTO (R$)]),
0))))))</f>
        <v>64.529393914825576</v>
      </c>
      <c r="BA149" s="281">
        <f>IF(ISNUMBER(SEARCH("AUXILIAR DE LIMPEZA - 75 H",tabParametros[[#This Row],[Função]],1)),
SUMIF(tabLimpGeral[TIPO],"Produto",tabLimpGeral[VALOR UNITÁRIO P/ HORA (R$)])*75,
IF(ISNUMBER(SEARCH("AUXILIAR DE LIMPEZA - 110 H",tabParametros[[#This Row],[Função]],1)),
SUMIF(tabLimpGeral[TIPO],"Produto",tabLimpGeral[VALOR UNITÁRIO P/ HORA (R$)])*110,
IF(ISNUMBER(SEARCH("AUXILIAR DE LIMPEZA - 150 H",tabParametros[[#This Row],[Função]],1)),
SUMIF(tabLimpGeral[TIPO],"Produto",tabLimpGeral[VALOR UNITÁRIO P/ HORA (R$)])*150,
IF(ISNUMBER(SEARCH("AUXILIAR DE LIMPEZA - 220 H",tabParametros[[#This Row],[Função]],1)),
SUMIF(tabLimpGeral[TIPO],"Produto",tabLimpGeral[VALOR UNITÁRIO P/ HORA (R$)])*220,
IF(ISNUMBER(SEARCH("AUXILIAR DE LIMPEZA - 12 x 36",tabParametros[[#This Row],[Função]],1)),
SUMIF(tabLimpGeral[TIPO],"Produto",tabLimpGeral[VALOR UNITÁRIO P/ HORA (R$)])*220,
IF(ISNUMBER(SEARCH("Limpador de vidros - 220 h",tabParametros[[#This Row],[Função]],1)),
SUMIF(tabVidros[TIPO],"Produto",tabVidros[VALOR UNITÁRIO P/ POSTO (R$)]),
0))))))</f>
        <v>690.27153277931654</v>
      </c>
      <c r="BB149" s="281">
        <v>0</v>
      </c>
      <c r="BC149" s="236">
        <f>VLOOKUP(tabParametros[[#Headers],[Custos Indiretos]],tabOutrosCustos[],3,0)</f>
        <v>189.64880140242613</v>
      </c>
      <c r="BD149" s="236">
        <f>VLOOKUP(tabParametros[[#Headers],[Lucro]],tabOutrosCustos[],3,0)</f>
        <v>159.30499317803796</v>
      </c>
      <c r="BE149" s="235">
        <f>VLOOKUP(tabParametros[[#Headers],[COFINS]],tabImpostosNacionais[],2,0)</f>
        <v>7.5999999999999998E-2</v>
      </c>
      <c r="BF149" s="235">
        <f>VLOOKUP(tabParametros[[#Headers],[PIS]],tabImpostosNacionais[],2,0)</f>
        <v>1.6500000000000001E-2</v>
      </c>
      <c r="BG149" s="235">
        <f>VLOOKUP(tabParametros[[#This Row],[Comarca]],tabComarca[],4,0)</f>
        <v>0.03</v>
      </c>
      <c r="BH149" s="238">
        <f>IFERROR(VLOOKUP(tabParametros[[#This Row],[CCT DA CATEGORIA]],tabSindicatos[],11,0),"")</f>
        <v>45658</v>
      </c>
      <c r="BI149" s="289" t="str">
        <f>IFERROR(VLOOKUP(tabParametros[[#This Row],[CCT DA CATEGORIA]],tabSindicatos[],12,0),"")</f>
        <v>-</v>
      </c>
      <c r="BJ149" s="293" t="str">
        <f>IFERROR(VLOOKUP(tabParametros[[#This Row],[CCT DA CATEGORIA]],tabSindicatos[],13,0),"")</f>
        <v>-</v>
      </c>
    </row>
    <row r="150" spans="1:62" x14ac:dyDescent="0.25">
      <c r="A150" s="233" t="s">
        <v>1486</v>
      </c>
      <c r="B150" s="198" t="s">
        <v>135</v>
      </c>
      <c r="C150" s="198" t="s">
        <v>1244</v>
      </c>
      <c r="D150" s="198" t="str">
        <f>VLOOKUP(tabParametros[[#This Row],[Código do Posto]],tabPostos[],4,0)</f>
        <v>Regiao de Ouro Preto</v>
      </c>
      <c r="E150" s="289" t="str">
        <f>VLOOKUP(tabParametros[[#This Row],[Código do Posto]],tabPostos[],5,0)</f>
        <v>Limpeza</v>
      </c>
      <c r="F150" s="289" t="str">
        <f>VLOOKUP(tabParametros[[#This Row],[Código do Posto]],tabPostos[],6,0)</f>
        <v>PGJ</v>
      </c>
      <c r="G150" s="289">
        <f>VLOOKUP(tabParametros[[#This Row],[Código do Posto]],tabPostos[],7,0)</f>
        <v>1</v>
      </c>
      <c r="H150" s="289">
        <f>VLOOKUP(tabParametros[[#This Row],[Código do Posto]],tabPostos[],8,0)</f>
        <v>0</v>
      </c>
      <c r="I150" s="234">
        <f>VLOOKUP(tabParametros[[#This Row],[Código do Posto]],tabPostos[],9,0)</f>
        <v>798.14</v>
      </c>
      <c r="J150" s="234">
        <f>IF(ISNUMBER(SEARCH("Eletricista",tabParametros[[#This Row],[Função]],1)),0.3*tabParametros[[#This Row],[Salário Base]],0)</f>
        <v>0</v>
      </c>
      <c r="K150" s="234">
        <f>IF(OR(ISNUMBER(SEARCH("Bombeiro Hidraulico",tabParametros[[#This Row],[Função]],1)),ISNUMBER(SEARCH("Jardineiro",tabParametros[[#This Row],[Função]],1)),ISNUMBER(SEARCH("Lavador de Veiculos",tabParametros[[#This Row],[Função]],1)),ISNUMBER(SEARCH("Marceneiro",tabParametros[[#This Row],[Função]],1)),ISNUMBER(SEARCH("Pintor",tabParametros[[#This Row],[Função]],1))),0.2*'BASE GERAL'!$R$4,0)</f>
        <v>0</v>
      </c>
      <c r="L150" s="234">
        <f>IF(AND(ISNUMBER(SEARCH("Noturno",tabParametros[[#This Row],[Função]],1)),tabParametros[[#This Row],[Comarca]]&lt;&gt;"Juiz de Fora"),tabParametros[[#This Row],[Salário Base]]/210*0.39*7*15.5,IF(ISNUMBER(SEARCH("Noturno",tabParametros[[#This Row],[Função]],1)),tabParametros[[#This Row],[Salário Base]]/210*0.2*8*15.5,0))</f>
        <v>0</v>
      </c>
      <c r="M150" s="234">
        <f>IF(ISNUMBER(SEARCH("Motorista II",tabParametros[[#This Row],[Função]],1)),0.25*tabParametros[[#This Row],[Salário Base]],0)</f>
        <v>0</v>
      </c>
      <c r="N150" s="250">
        <v>0</v>
      </c>
      <c r="O150" s="234">
        <f>IF(ISNUMBER(SEARCH("TECNOLOGIA DA INFORMACAO",tabParametros[[#This Row],[Função]],1)),0.0201*tabParametros[[#This Row],[Salário Base]],0)</f>
        <v>0</v>
      </c>
      <c r="P150" s="250" cm="1">
        <f t="array" ref="P150">_xlfn.IFS(
ISNUMBER(SEARCH("Auxiliar de Limpeza - 75 h",tabParametros[[#This Row],[Função]],1)),tabParametros[[#This Row],[Salário Base]]/75*0.75*30*0.12,
ISNUMBER(SEARCH("Auxiliar de Limpeza - 110 h",tabParametros[[#This Row],[Função]],1)),tabParametros[[#This Row],[Salário Base]]/110*1*30*0.12,
ISNUMBER(SEARCH("Auxiliar de Limpeza - 150 h",tabParametros[[#This Row],[Função]],1)),tabParametros[[#This Row],[Salário Base]]/150*1.5*30*0.12,
ISNUMBER(SEARCH("Auxiliar de Limpeza - 220 h",tabParametros[[#This Row],[Função]],1)),tabParametros[[#This Row],[Salário Base]]/220*2*30*0.12,
ISNUMBER(SEARCH("Auxiliar de Limpeza - 12 x 36",tabParametros[[#This Row],[Função]],1)),tabParametros[[#This Row],[Salário Base]]/220*2*30*0.12,
ISNUMBER(SEARCH("Auxiliar de Limpeza - 55 h",tabParametros[[#This Row],[Função]],1))=FALSE,0)</f>
        <v>26.120945454545453</v>
      </c>
      <c r="Q150" s="235">
        <f>VLOOKUP(tabParametros[[#Headers],[INSS]],tabImpostosNacionais[],2,0)</f>
        <v>0.2</v>
      </c>
      <c r="R150" s="235">
        <f>VLOOKUP(tabParametros[[#Headers],[SESI OU SESC]],tabImpostosNacionais[],2,0)</f>
        <v>1.4999999999999999E-2</v>
      </c>
      <c r="S150" s="235">
        <f>VLOOKUP(tabParametros[[#Headers],[SENAI OU SENAC]],tabImpostosNacionais[],2,0)</f>
        <v>0.01</v>
      </c>
      <c r="T150" s="235">
        <f>VLOOKUP(tabParametros[[#Headers],[INCRA]],tabImpostosNacionais[],2,0)</f>
        <v>2E-3</v>
      </c>
      <c r="U150" s="235">
        <f>VLOOKUP(tabParametros[[#Headers],[Salário Educação]],tabImpostosNacionais[],2,0)</f>
        <v>2.5000000000000001E-2</v>
      </c>
      <c r="V150" s="235">
        <f>VLOOKUP(tabParametros[[#Headers],[FGTS]],tabImpostosNacionais[],2,0)</f>
        <v>0.08</v>
      </c>
      <c r="W150" s="235">
        <f>VLOOKUP(tabParametros[[#Headers],[RAT Ajustado]],tabImpostosNacionais[],2,0)</f>
        <v>0.04</v>
      </c>
      <c r="X150" s="235">
        <f>VLOOKUP(tabParametros[[#Headers],[SEBRAE]],tabImpostosNacionais[],2,0)</f>
        <v>6.0000000000000001E-3</v>
      </c>
      <c r="Y150" s="235">
        <f t="shared" si="22"/>
        <v>8.3333333333333329E-2</v>
      </c>
      <c r="Z150" s="251">
        <f t="shared" si="23"/>
        <v>0.1111111111111111</v>
      </c>
      <c r="AA150" s="234">
        <f>VLOOKUP(tabParametros[[#This Row],[Comarca]],tabComarca[],5,0)</f>
        <v>6.4</v>
      </c>
      <c r="AB150" s="234">
        <f>IFERROR(VLOOKUP(tabParametros[[#This Row],[CCT DA CATEGORIA]],tabSindicatos[],6,0),0)</f>
        <v>29.15</v>
      </c>
      <c r="AC150" s="234">
        <f>IFERROR(VLOOKUP(tabParametros[[#This Row],[CCT DA CATEGORIA]],tabSindicatos[],7,0),0)</f>
        <v>0</v>
      </c>
      <c r="AD150" s="234" cm="1">
        <f t="array" ref="AD150">_xlfn.LET(
_xlpm.COMARCA, TRIM(UPPER(SUBSTITUTE(SUBSTITUTE(SUBSTITUTE(SUBSTITUTE(SUBSTITUTE(SUBSTITUTE(SUBSTITUTE(SUBSTITUTE(SUBSTITUTE(SUBSTITUTE(SUBSTITUTE(SUBSTITUTE(SUBSTITUTE(SUBSTITUTE(SUBSTITUTE(SUBSTITUTE(SUBSTITUTE(SUBSTITUTE(SUBSTITUTE(SUBSTITUTE(SUBSTITUTE(SUBSTITUTE(SUBSTITUTE(SUBSTITUTE(SUBSTITUTE(SUBSTITUTE(tabParametros[[#This Row],[Comarca]],"á","a"),"ã","a"),"â","a"),"é","e"),"ê","e"),"í","i"),"ó","o"),"õ","o"),"ô","o"),"ú","u"),"ç","c"),"Á","a"),"Ã","a"),"Â","a"),"É","e"),"Ê","e"),"Í","i"),"Ó","o"),"Õ","o"),"Ô","o"),"Ú","u"),"Ç","c"),"/MG","")," e ",", ")," ",""),".",""))),
_xlpm.MATRIZ_COMARCA, TRIM(UPPER(SUBSTITUTE(SUBSTITUTE(SUBSTITUTE(SUBSTITUTE(SUBSTITUTE(SUBSTITUTE(SUBSTITUTE(SUBSTITUTE(SUBSTITUTE(SUBSTITUTE(SUBSTITUTE(SUBSTITUTE(SUBSTITUTE(SUBSTITUTE(SUBSTITUTE(SUBSTITUTE(SUBSTITUTE(SUBSTITUTE(SUBSTITUTE(SUBSTITUTE(SUBSTITUTE(SUBSTITUTE(SUBSTITUTE(SUBSTITUTE(SUBSTITUTE(SUBSTITUTE(tabSindicatos[COMARCAS PAF],"á","a"),"ã","a"),"â","a"),"é","e"),"ê","e"),"í","i"),"ó","o"),"õ","o"),"ô","o"),"ú","u"),"ç","c"),"Á","a"),"Ã","a"),"Â","a"),"É","e"),"Ê","e"),"Í","i"),"Ó","o"),"Õ","o"),"Ô","o"),"Ú","u"),"Ç","c"),"/MG","")," e ",", ")," ",""),".",""))),
IFERROR(IF(_xlfn.XLOOKUP(tabParametros[[#This Row],[CCT DA CATEGORIA]],tabSindicatos[SINDICATOS],tabSindicatos[COMARCAS PAF])="",
VLOOKUP(tabParametros[[#This Row],[CCT DA CATEGORIA]],tabSindicatos[],8,0),
IF(ISNUMBER(SEARCH(TRIM(_xlpm.COMARCA),_xlfn.XLOOKUP(tabParametros[[#This Row],[CCT DA CATEGORIA]],tabSindicatos[SINDICATOS],_xlpm.MATRIZ_COMARCA),1)),VLOOKUP(tabParametros[[#This Row],[CCT DA CATEGORIA]],tabSindicatos[],8,0),0)
),0)
)</f>
        <v>0</v>
      </c>
      <c r="AE150" s="234">
        <f>IFERROR(VLOOKUP(tabParametros[[#This Row],[CCT DA CATEGORIA]],tabSindicatos[],9,0),0)</f>
        <v>0</v>
      </c>
      <c r="AF150" s="234">
        <f>IFERROR(VLOOKUP(tabParametros[[#This Row],[CCT DA CATEGORIA]],tabSindicatos[],10,0),0)</f>
        <v>0</v>
      </c>
      <c r="AG150" s="236">
        <f>VLOOKUP(tabParametros[[#Headers],[Seguro de Vida]],tabOutrosCustos[],3,0)</f>
        <v>3.36</v>
      </c>
      <c r="AH150" s="236">
        <f>IF(ISNUMBER(SEARCH("MOTORISTA",tabParametros[[#This Row],[Função]],1)),VLOOKUP("MOTORISTAS",tabDiarias[],2,0),IF(tabParametros[[#This Row],[Comarca]]="Belo Horizonte",VLOOKUP("LIMPEZA",tabDiarias[],2,0),0))</f>
        <v>0</v>
      </c>
      <c r="AI150" s="235">
        <f t="shared" si="24"/>
        <v>7.011766975308642E-3</v>
      </c>
      <c r="AJ150" s="237">
        <f>tabParametros[[#This Row],[FGTS]]*tabParametros[[#This Row],[Aviso Prévio Indenizado (API) e Reflexo do Aviso Prévio Indenizado]]</f>
        <v>5.609413580246914E-4</v>
      </c>
      <c r="AK150" s="237">
        <f>tabParametros[[#This Row],[FGTS]]*tabParametros[[#This Row],[Aviso Prévio Indenizado (API) e Reflexo do Aviso Prévio Indenizado]]*40%</f>
        <v>2.2437654320987658E-4</v>
      </c>
      <c r="AL150" s="235">
        <f t="shared" si="25"/>
        <v>3.5000000000000005E-3</v>
      </c>
      <c r="AM150" s="235">
        <f>tabParametros[[#This Row],[Aviso Prévio Trabalhado - APT]]*SUM(tabParametros[[#This Row],[INSS]:[SEBRAE]])</f>
        <v>1.3230000000000004E-3</v>
      </c>
      <c r="AN150" s="235">
        <f t="shared" si="26"/>
        <v>3.0577777777777773E-2</v>
      </c>
      <c r="AO150" s="235">
        <f t="shared" si="27"/>
        <v>8.3333333333333339E-4</v>
      </c>
      <c r="AP150" s="235">
        <f t="shared" si="28"/>
        <v>8.4444444444444437E-3</v>
      </c>
      <c r="AQ150" s="235">
        <f t="shared" si="29"/>
        <v>2.0277777777777777E-3</v>
      </c>
      <c r="AR150" s="235">
        <f t="shared" si="30"/>
        <v>1.7083333333333333E-4</v>
      </c>
      <c r="AS150" s="235">
        <f t="shared" si="31"/>
        <v>2.0833333333333335E-4</v>
      </c>
      <c r="AT150" s="235">
        <f t="shared" si="32"/>
        <v>1.2962962962962963E-3</v>
      </c>
      <c r="AU150" s="237">
        <f>SUM(tabParametros[[#This Row],[Ausência por Doença]:[Férias, Adicional de Férias e 13º  com empregada em gozo de Licença Maternidade]])*SUM(tabParametros[[#This Row],[INSS]:[SEBRAE]])</f>
        <v>4.5918250000000008E-3</v>
      </c>
      <c r="AV150" s="234">
        <f>IF(tabParametros[[#This Row],[Função]]="Porteiro - 220 h",SUM(tabParametros[[#This Row],[Salário Base]:[Adicional de Acúmulo de função]])/220*20*1.5,IF(ISNUMBER(SEARCH("12 x 36",tabParametros[[#This Row],[Função]],1)),SUM(tabParametros[[#This Row],[Salário Base]:[Adicional de Acúmulo de função]])/210*15.5*1.5,0))</f>
        <v>0</v>
      </c>
      <c r="AW150" s="234">
        <f>IF(tabParametros[[#This Row],[Vagas contratadas]]&gt;0,(SUM(tabParametros[[#This Row],[Salário Base]:[Adicional de Acúmulo de função]])*30%+SUM(tabParametros[[#This Row],[Vale - Alimentação]:[Seguro de Vida]]))/tabParametros[[#This Row],[Vagas contratadas]]*tabParametros[[#This Row],[Vagas suspensas]],0)</f>
        <v>0</v>
      </c>
      <c r="AX150" s="234">
        <f>SUMIF(tabUniformes[Cargo],tabParametros[[#This Row],[Função]],tabUniformes[Valor unit. Mensal])</f>
        <v>62.806666666666665</v>
      </c>
      <c r="AY150" s="281">
        <f>IF(ISNUMBER(SEARCH("AUXILIAR DE LIMPEZA - 75 H",tabParametros[[#This Row],[Função]],1)),
SUMIF(tabLimpGeral[TIPO],"Material",tabLimpGeral[VALOR UNITÁRIO P/ HORA (R$)])*75,
IF(ISNUMBER(SEARCH("AUXILIAR DE LIMPEZA - 110 H",tabParametros[[#This Row],[Função]],1)),
SUMIF(tabLimpGeral[TIPO],"Material",tabLimpGeral[VALOR UNITÁRIO P/ HORA (R$)])*110,
IF(ISNUMBER(SEARCH("AUXILIAR DE LIMPEZA - 150 H",tabParametros[[#This Row],[Função]],1)),
SUMIF(tabLimpGeral[TIPO],"Material",tabLimpGeral[VALOR UNITÁRIO P/ HORA (R$)])*150,
IF(ISNUMBER(SEARCH("AUXILIAR DE LIMPEZA - 220 H",tabParametros[[#This Row],[Função]],1)),
SUMIF(tabLimpGeral[TIPO],"Material",tabLimpGeral[VALOR UNITÁRIO P/ HORA (R$)])*220,
IF(ISNUMBER(SEARCH("AUXILIAR DE LIMPEZA - 12 x 36",tabParametros[[#This Row],[Função]],1)),
SUMIF(tabLimpGeral[TIPO],"Material",tabLimpGeral[VALOR UNITÁRIO P/ HORA (R$)])*220,
IF(ISNUMBER(SEARCH("Limpador de vidros - 220 h",tabParametros[[#This Row],[Função]],1)),
SUMIF(tabVidros[TIPO],"Material",tabVidros[VALOR UNITÁRIO P/ POSTO (R$)]),
0))))))</f>
        <v>17.759106479291944</v>
      </c>
      <c r="AZ150" s="281">
        <f>IF(ISNUMBER(SEARCH("AUXILIAR DE LIMPEZA - 75 H",tabParametros[[#This Row],[Função]],1)),
SUMIF(tabLimpGeral[TIPO],"Equipamento",tabLimpGeral[VALOR UNITÁRIO P/ HORA (R$)])*75,
IF(ISNUMBER(SEARCH("AUXILIAR DE LIMPEZA - 110 H",tabParametros[[#This Row],[Função]],1)),
SUMIF(tabLimpGeral[TIPO],"Equipamento",tabLimpGeral[VALOR UNITÁRIO P/ HORA (R$)])*110,
IF(ISNUMBER(SEARCH("AUXILIAR DE LIMPEZA - 150 H",tabParametros[[#This Row],[Função]],1)),
SUMIF(tabLimpGeral[TIPO],"Equipamento",tabLimpGeral[VALOR UNITÁRIO P/ HORA (R$)])*150,
IF(ISNUMBER(SEARCH("AUXILIAR DE LIMPEZA - 220 H",tabParametros[[#This Row],[Função]],1)),
SUMIF(tabLimpGeral[TIPO],"Equipamento",tabLimpGeral[VALOR UNITÁRIO P/ HORA (R$)])*220,
IF(ISNUMBER(SEARCH("AUXILIAR DE LIMPEZA - 12 x 36",tabParametros[[#This Row],[Função]],1)),
SUMIF(tabLimpGeral[TIPO],"Equipamento",tabLimpGeral[VALOR UNITÁRIO P/ HORA (R$)])*220,
IF(ISNUMBER(SEARCH("Limpador de vidros - 220 h",tabParametros[[#This Row],[Função]],1)),
SUMIF(tabVidros[TIPO],"Equipamento",tabVidros[VALOR UNITÁRIO P/ POSTO (R$)]),
0))))))</f>
        <v>32.264696957412788</v>
      </c>
      <c r="BA150" s="281">
        <f>IF(ISNUMBER(SEARCH("AUXILIAR DE LIMPEZA - 75 H",tabParametros[[#This Row],[Função]],1)),
SUMIF(tabLimpGeral[TIPO],"Produto",tabLimpGeral[VALOR UNITÁRIO P/ HORA (R$)])*75,
IF(ISNUMBER(SEARCH("AUXILIAR DE LIMPEZA - 110 H",tabParametros[[#This Row],[Função]],1)),
SUMIF(tabLimpGeral[TIPO],"Produto",tabLimpGeral[VALOR UNITÁRIO P/ HORA (R$)])*110,
IF(ISNUMBER(SEARCH("AUXILIAR DE LIMPEZA - 150 H",tabParametros[[#This Row],[Função]],1)),
SUMIF(tabLimpGeral[TIPO],"Produto",tabLimpGeral[VALOR UNITÁRIO P/ HORA (R$)])*150,
IF(ISNUMBER(SEARCH("AUXILIAR DE LIMPEZA - 220 H",tabParametros[[#This Row],[Função]],1)),
SUMIF(tabLimpGeral[TIPO],"Produto",tabLimpGeral[VALOR UNITÁRIO P/ HORA (R$)])*220,
IF(ISNUMBER(SEARCH("AUXILIAR DE LIMPEZA - 12 x 36",tabParametros[[#This Row],[Função]],1)),
SUMIF(tabLimpGeral[TIPO],"Produto",tabLimpGeral[VALOR UNITÁRIO P/ HORA (R$)])*220,
IF(ISNUMBER(SEARCH("Limpador de vidros - 220 h",tabParametros[[#This Row],[Função]],1)),
SUMIF(tabVidros[TIPO],"Produto",tabVidros[VALOR UNITÁRIO P/ POSTO (R$)]),
0))))))</f>
        <v>345.13576638965827</v>
      </c>
      <c r="BB150" s="281">
        <v>0</v>
      </c>
      <c r="BC150" s="236">
        <f>VLOOKUP(tabParametros[[#Headers],[Custos Indiretos]],tabOutrosCustos[],3,0)</f>
        <v>189.64880140242613</v>
      </c>
      <c r="BD150" s="236">
        <f>VLOOKUP(tabParametros[[#Headers],[Lucro]],tabOutrosCustos[],3,0)</f>
        <v>159.30499317803796</v>
      </c>
      <c r="BE150" s="235">
        <f>VLOOKUP(tabParametros[[#Headers],[COFINS]],tabImpostosNacionais[],2,0)</f>
        <v>7.5999999999999998E-2</v>
      </c>
      <c r="BF150" s="235">
        <f>VLOOKUP(tabParametros[[#Headers],[PIS]],tabImpostosNacionais[],2,0)</f>
        <v>1.6500000000000001E-2</v>
      </c>
      <c r="BG150" s="235">
        <f>VLOOKUP(tabParametros[[#This Row],[Comarca]],tabComarca[],4,0)</f>
        <v>0.03</v>
      </c>
      <c r="BH150" s="238">
        <f>IFERROR(VLOOKUP(tabParametros[[#This Row],[CCT DA CATEGORIA]],tabSindicatos[],11,0),"")</f>
        <v>45658</v>
      </c>
      <c r="BI150" s="289" t="str">
        <f>IFERROR(VLOOKUP(tabParametros[[#This Row],[CCT DA CATEGORIA]],tabSindicatos[],12,0),"")</f>
        <v>-</v>
      </c>
      <c r="BJ150" s="293" t="str">
        <f>IFERROR(VLOOKUP(tabParametros[[#This Row],[CCT DA CATEGORIA]],tabSindicatos[],13,0),"")</f>
        <v>-</v>
      </c>
    </row>
    <row r="151" spans="1:62" x14ac:dyDescent="0.25">
      <c r="A151" s="233" t="s">
        <v>1487</v>
      </c>
      <c r="B151" s="198" t="s">
        <v>136</v>
      </c>
      <c r="C151" s="198" t="s">
        <v>1247</v>
      </c>
      <c r="D151" s="198" t="str">
        <f>VLOOKUP(tabParametros[[#This Row],[Código do Posto]],tabPostos[],4,0)</f>
        <v>Fethemg Interior</v>
      </c>
      <c r="E151" s="289" t="str">
        <f>VLOOKUP(tabParametros[[#This Row],[Código do Posto]],tabPostos[],5,0)</f>
        <v>Limpeza</v>
      </c>
      <c r="F151" s="289" t="str">
        <f>VLOOKUP(tabParametros[[#This Row],[Código do Posto]],tabPostos[],6,0)</f>
        <v>PGJ</v>
      </c>
      <c r="G151" s="289">
        <f>VLOOKUP(tabParametros[[#This Row],[Código do Posto]],tabPostos[],7,0)</f>
        <v>1</v>
      </c>
      <c r="H151" s="289">
        <f>VLOOKUP(tabParametros[[#This Row],[Código do Posto]],tabPostos[],8,0)</f>
        <v>0</v>
      </c>
      <c r="I151" s="234">
        <f>VLOOKUP(tabParametros[[#This Row],[Código do Posto]],tabPostos[],9,0)</f>
        <v>544.17999999999995</v>
      </c>
      <c r="J151" s="234">
        <f>IF(ISNUMBER(SEARCH("Eletricista",tabParametros[[#This Row],[Função]],1)),0.3*tabParametros[[#This Row],[Salário Base]],0)</f>
        <v>0</v>
      </c>
      <c r="K151" s="234">
        <f>IF(OR(ISNUMBER(SEARCH("Bombeiro Hidraulico",tabParametros[[#This Row],[Função]],1)),ISNUMBER(SEARCH("Jardineiro",tabParametros[[#This Row],[Função]],1)),ISNUMBER(SEARCH("Lavador de Veiculos",tabParametros[[#This Row],[Função]],1)),ISNUMBER(SEARCH("Marceneiro",tabParametros[[#This Row],[Função]],1)),ISNUMBER(SEARCH("Pintor",tabParametros[[#This Row],[Função]],1))),0.2*'BASE GERAL'!$R$4,0)</f>
        <v>0</v>
      </c>
      <c r="L151" s="234">
        <f>IF(AND(ISNUMBER(SEARCH("Noturno",tabParametros[[#This Row],[Função]],1)),tabParametros[[#This Row],[Comarca]]&lt;&gt;"Juiz de Fora"),tabParametros[[#This Row],[Salário Base]]/210*0.39*7*15.5,IF(ISNUMBER(SEARCH("Noturno",tabParametros[[#This Row],[Função]],1)),tabParametros[[#This Row],[Salário Base]]/210*0.2*8*15.5,0))</f>
        <v>0</v>
      </c>
      <c r="M151" s="234">
        <f>IF(ISNUMBER(SEARCH("Motorista II",tabParametros[[#This Row],[Função]],1)),0.25*tabParametros[[#This Row],[Salário Base]],0)</f>
        <v>0</v>
      </c>
      <c r="N151" s="250">
        <v>0</v>
      </c>
      <c r="O151" s="234">
        <f>IF(ISNUMBER(SEARCH("TECNOLOGIA DA INFORMACAO",tabParametros[[#This Row],[Função]],1)),0.0201*tabParametros[[#This Row],[Salário Base]],0)</f>
        <v>0</v>
      </c>
      <c r="P151" s="250" cm="1">
        <f t="array" ref="P151">_xlfn.IFS(
ISNUMBER(SEARCH("Auxiliar de Limpeza - 75 h",tabParametros[[#This Row],[Função]],1)),tabParametros[[#This Row],[Salário Base]]/75*0.75*30*0.12,
ISNUMBER(SEARCH("Auxiliar de Limpeza - 110 h",tabParametros[[#This Row],[Função]],1)),tabParametros[[#This Row],[Salário Base]]/110*1*30*0.12,
ISNUMBER(SEARCH("Auxiliar de Limpeza - 150 h",tabParametros[[#This Row],[Função]],1)),tabParametros[[#This Row],[Salário Base]]/150*1.5*30*0.12,
ISNUMBER(SEARCH("Auxiliar de Limpeza - 220 h",tabParametros[[#This Row],[Função]],1)),tabParametros[[#This Row],[Salário Base]]/220*2*30*0.12,
ISNUMBER(SEARCH("Auxiliar de Limpeza - 12 x 36",tabParametros[[#This Row],[Função]],1)),tabParametros[[#This Row],[Salário Base]]/220*2*30*0.12,
ISNUMBER(SEARCH("Auxiliar de Limpeza - 55 h",tabParametros[[#This Row],[Função]],1))=FALSE,0)</f>
        <v>19.590479999999999</v>
      </c>
      <c r="Q151" s="235">
        <f>VLOOKUP(tabParametros[[#Headers],[INSS]],tabImpostosNacionais[],2,0)</f>
        <v>0.2</v>
      </c>
      <c r="R151" s="235">
        <f>VLOOKUP(tabParametros[[#Headers],[SESI OU SESC]],tabImpostosNacionais[],2,0)</f>
        <v>1.4999999999999999E-2</v>
      </c>
      <c r="S151" s="235">
        <f>VLOOKUP(tabParametros[[#Headers],[SENAI OU SENAC]],tabImpostosNacionais[],2,0)</f>
        <v>0.01</v>
      </c>
      <c r="T151" s="235">
        <f>VLOOKUP(tabParametros[[#Headers],[INCRA]],tabImpostosNacionais[],2,0)</f>
        <v>2E-3</v>
      </c>
      <c r="U151" s="235">
        <f>VLOOKUP(tabParametros[[#Headers],[Salário Educação]],tabImpostosNacionais[],2,0)</f>
        <v>2.5000000000000001E-2</v>
      </c>
      <c r="V151" s="235">
        <f>VLOOKUP(tabParametros[[#Headers],[FGTS]],tabImpostosNacionais[],2,0)</f>
        <v>0.08</v>
      </c>
      <c r="W151" s="235">
        <f>VLOOKUP(tabParametros[[#Headers],[RAT Ajustado]],tabImpostosNacionais[],2,0)</f>
        <v>0.04</v>
      </c>
      <c r="X151" s="235">
        <f>VLOOKUP(tabParametros[[#Headers],[SEBRAE]],tabImpostosNacionais[],2,0)</f>
        <v>6.0000000000000001E-3</v>
      </c>
      <c r="Y151" s="235">
        <f t="shared" si="22"/>
        <v>8.3333333333333329E-2</v>
      </c>
      <c r="Z151" s="251">
        <f t="shared" si="23"/>
        <v>0.1111111111111111</v>
      </c>
      <c r="AA151" s="234">
        <f>VLOOKUP(tabParametros[[#This Row],[Comarca]],tabComarca[],5,0)</f>
        <v>6.4</v>
      </c>
      <c r="AB151" s="234">
        <f>IFERROR(VLOOKUP(tabParametros[[#This Row],[CCT DA CATEGORIA]],tabSindicatos[],6,0),0)</f>
        <v>29.15</v>
      </c>
      <c r="AC151" s="234">
        <f>IFERROR(VLOOKUP(tabParametros[[#This Row],[CCT DA CATEGORIA]],tabSindicatos[],7,0),0)</f>
        <v>0</v>
      </c>
      <c r="AD151" s="234" cm="1">
        <f t="array" ref="AD151">_xlfn.LET(
_xlpm.COMARCA, TRIM(UPPER(SUBSTITUTE(SUBSTITUTE(SUBSTITUTE(SUBSTITUTE(SUBSTITUTE(SUBSTITUTE(SUBSTITUTE(SUBSTITUTE(SUBSTITUTE(SUBSTITUTE(SUBSTITUTE(SUBSTITUTE(SUBSTITUTE(SUBSTITUTE(SUBSTITUTE(SUBSTITUTE(SUBSTITUTE(SUBSTITUTE(SUBSTITUTE(SUBSTITUTE(SUBSTITUTE(SUBSTITUTE(SUBSTITUTE(SUBSTITUTE(SUBSTITUTE(SUBSTITUTE(tabParametros[[#This Row],[Comarca]],"á","a"),"ã","a"),"â","a"),"é","e"),"ê","e"),"í","i"),"ó","o"),"õ","o"),"ô","o"),"ú","u"),"ç","c"),"Á","a"),"Ã","a"),"Â","a"),"É","e"),"Ê","e"),"Í","i"),"Ó","o"),"Õ","o"),"Ô","o"),"Ú","u"),"Ç","c"),"/MG","")," e ",", ")," ",""),".",""))),
_xlpm.MATRIZ_COMARCA, TRIM(UPPER(SUBSTITUTE(SUBSTITUTE(SUBSTITUTE(SUBSTITUTE(SUBSTITUTE(SUBSTITUTE(SUBSTITUTE(SUBSTITUTE(SUBSTITUTE(SUBSTITUTE(SUBSTITUTE(SUBSTITUTE(SUBSTITUTE(SUBSTITUTE(SUBSTITUTE(SUBSTITUTE(SUBSTITUTE(SUBSTITUTE(SUBSTITUTE(SUBSTITUTE(SUBSTITUTE(SUBSTITUTE(SUBSTITUTE(SUBSTITUTE(SUBSTITUTE(SUBSTITUTE(tabSindicatos[COMARCAS PAF],"á","a"),"ã","a"),"â","a"),"é","e"),"ê","e"),"í","i"),"ó","o"),"õ","o"),"ô","o"),"ú","u"),"ç","c"),"Á","a"),"Ã","a"),"Â","a"),"É","e"),"Ê","e"),"Í","i"),"Ó","o"),"Õ","o"),"Ô","o"),"Ú","u"),"Ç","c"),"/MG","")," e ",", ")," ",""),".",""))),
IFERROR(IF(_xlfn.XLOOKUP(tabParametros[[#This Row],[CCT DA CATEGORIA]],tabSindicatos[SINDICATOS],tabSindicatos[COMARCAS PAF])="",
VLOOKUP(tabParametros[[#This Row],[CCT DA CATEGORIA]],tabSindicatos[],8,0),
IF(ISNUMBER(SEARCH(TRIM(_xlpm.COMARCA),_xlfn.XLOOKUP(tabParametros[[#This Row],[CCT DA CATEGORIA]],tabSindicatos[SINDICATOS],_xlpm.MATRIZ_COMARCA),1)),VLOOKUP(tabParametros[[#This Row],[CCT DA CATEGORIA]],tabSindicatos[],8,0),0)
),0)
)</f>
        <v>0</v>
      </c>
      <c r="AE151" s="234">
        <f>IFERROR(VLOOKUP(tabParametros[[#This Row],[CCT DA CATEGORIA]],tabSindicatos[],9,0),0)</f>
        <v>15.07</v>
      </c>
      <c r="AF151" s="234">
        <f>IFERROR(VLOOKUP(tabParametros[[#This Row],[CCT DA CATEGORIA]],tabSindicatos[],10,0),0)</f>
        <v>0</v>
      </c>
      <c r="AG151" s="236">
        <f>VLOOKUP(tabParametros[[#Headers],[Seguro de Vida]],tabOutrosCustos[],3,0)</f>
        <v>3.36</v>
      </c>
      <c r="AH151" s="236">
        <f>IF(ISNUMBER(SEARCH("MOTORISTA",tabParametros[[#This Row],[Função]],1)),VLOOKUP("MOTORISTAS",tabDiarias[],2,0),IF(tabParametros[[#This Row],[Comarca]]="Belo Horizonte",VLOOKUP("LIMPEZA",tabDiarias[],2,0),0))</f>
        <v>0</v>
      </c>
      <c r="AI151" s="235">
        <f t="shared" si="24"/>
        <v>7.011766975308642E-3</v>
      </c>
      <c r="AJ151" s="237">
        <f>tabParametros[[#This Row],[FGTS]]*tabParametros[[#This Row],[Aviso Prévio Indenizado (API) e Reflexo do Aviso Prévio Indenizado]]</f>
        <v>5.609413580246914E-4</v>
      </c>
      <c r="AK151" s="237">
        <f>tabParametros[[#This Row],[FGTS]]*tabParametros[[#This Row],[Aviso Prévio Indenizado (API) e Reflexo do Aviso Prévio Indenizado]]*40%</f>
        <v>2.2437654320987658E-4</v>
      </c>
      <c r="AL151" s="235">
        <f t="shared" si="25"/>
        <v>3.5000000000000005E-3</v>
      </c>
      <c r="AM151" s="235">
        <f>tabParametros[[#This Row],[Aviso Prévio Trabalhado - APT]]*SUM(tabParametros[[#This Row],[INSS]:[SEBRAE]])</f>
        <v>1.3230000000000004E-3</v>
      </c>
      <c r="AN151" s="235">
        <f t="shared" si="26"/>
        <v>3.0577777777777773E-2</v>
      </c>
      <c r="AO151" s="235">
        <f t="shared" si="27"/>
        <v>8.3333333333333339E-4</v>
      </c>
      <c r="AP151" s="235">
        <f t="shared" si="28"/>
        <v>8.4444444444444437E-3</v>
      </c>
      <c r="AQ151" s="235">
        <f t="shared" si="29"/>
        <v>2.0277777777777777E-3</v>
      </c>
      <c r="AR151" s="235">
        <f t="shared" si="30"/>
        <v>1.7083333333333333E-4</v>
      </c>
      <c r="AS151" s="235">
        <f t="shared" si="31"/>
        <v>2.0833333333333335E-4</v>
      </c>
      <c r="AT151" s="235">
        <f t="shared" si="32"/>
        <v>1.2962962962962963E-3</v>
      </c>
      <c r="AU151" s="237">
        <f>SUM(tabParametros[[#This Row],[Ausência por Doença]:[Férias, Adicional de Férias e 13º  com empregada em gozo de Licença Maternidade]])*SUM(tabParametros[[#This Row],[INSS]:[SEBRAE]])</f>
        <v>4.5918250000000008E-3</v>
      </c>
      <c r="AV151" s="234">
        <f>IF(tabParametros[[#This Row],[Função]]="Porteiro - 220 h",SUM(tabParametros[[#This Row],[Salário Base]:[Adicional de Acúmulo de função]])/220*20*1.5,IF(ISNUMBER(SEARCH("12 x 36",tabParametros[[#This Row],[Função]],1)),SUM(tabParametros[[#This Row],[Salário Base]:[Adicional de Acúmulo de função]])/210*15.5*1.5,0))</f>
        <v>0</v>
      </c>
      <c r="AW151" s="234">
        <f>IF(tabParametros[[#This Row],[Vagas contratadas]]&gt;0,(SUM(tabParametros[[#This Row],[Salário Base]:[Adicional de Acúmulo de função]])*30%+SUM(tabParametros[[#This Row],[Vale - Alimentação]:[Seguro de Vida]]))/tabParametros[[#This Row],[Vagas contratadas]]*tabParametros[[#This Row],[Vagas suspensas]],0)</f>
        <v>0</v>
      </c>
      <c r="AX151" s="234">
        <f>SUMIF(tabUniformes[Cargo],tabParametros[[#This Row],[Função]],tabUniformes[Valor unit. Mensal])</f>
        <v>62.806666666666665</v>
      </c>
      <c r="AY151" s="281">
        <f>IF(ISNUMBER(SEARCH("AUXILIAR DE LIMPEZA - 75 H",tabParametros[[#This Row],[Função]],1)),
SUMIF(tabLimpGeral[TIPO],"Material",tabLimpGeral[VALOR UNITÁRIO P/ HORA (R$)])*75,
IF(ISNUMBER(SEARCH("AUXILIAR DE LIMPEZA - 110 H",tabParametros[[#This Row],[Função]],1)),
SUMIF(tabLimpGeral[TIPO],"Material",tabLimpGeral[VALOR UNITÁRIO P/ HORA (R$)])*110,
IF(ISNUMBER(SEARCH("AUXILIAR DE LIMPEZA - 150 H",tabParametros[[#This Row],[Função]],1)),
SUMIF(tabLimpGeral[TIPO],"Material",tabLimpGeral[VALOR UNITÁRIO P/ HORA (R$)])*150,
IF(ISNUMBER(SEARCH("AUXILIAR DE LIMPEZA - 220 H",tabParametros[[#This Row],[Função]],1)),
SUMIF(tabLimpGeral[TIPO],"Material",tabLimpGeral[VALOR UNITÁRIO P/ HORA (R$)])*220,
IF(ISNUMBER(SEARCH("AUXILIAR DE LIMPEZA - 12 x 36",tabParametros[[#This Row],[Função]],1)),
SUMIF(tabLimpGeral[TIPO],"Material",tabLimpGeral[VALOR UNITÁRIO P/ HORA (R$)])*220,
IF(ISNUMBER(SEARCH("Limpador de vidros - 220 h",tabParametros[[#This Row],[Função]],1)),
SUMIF(tabVidros[TIPO],"Material",tabVidros[VALOR UNITÁRIO P/ POSTO (R$)]),
0))))))</f>
        <v>12.108481690426325</v>
      </c>
      <c r="AZ151" s="281">
        <f>IF(ISNUMBER(SEARCH("AUXILIAR DE LIMPEZA - 75 H",tabParametros[[#This Row],[Função]],1)),
SUMIF(tabLimpGeral[TIPO],"Equipamento",tabLimpGeral[VALOR UNITÁRIO P/ HORA (R$)])*75,
IF(ISNUMBER(SEARCH("AUXILIAR DE LIMPEZA - 110 H",tabParametros[[#This Row],[Função]],1)),
SUMIF(tabLimpGeral[TIPO],"Equipamento",tabLimpGeral[VALOR UNITÁRIO P/ HORA (R$)])*110,
IF(ISNUMBER(SEARCH("AUXILIAR DE LIMPEZA - 150 H",tabParametros[[#This Row],[Função]],1)),
SUMIF(tabLimpGeral[TIPO],"Equipamento",tabLimpGeral[VALOR UNITÁRIO P/ HORA (R$)])*150,
IF(ISNUMBER(SEARCH("AUXILIAR DE LIMPEZA - 220 H",tabParametros[[#This Row],[Função]],1)),
SUMIF(tabLimpGeral[TIPO],"Equipamento",tabLimpGeral[VALOR UNITÁRIO P/ HORA (R$)])*220,
IF(ISNUMBER(SEARCH("AUXILIAR DE LIMPEZA - 12 x 36",tabParametros[[#This Row],[Função]],1)),
SUMIF(tabLimpGeral[TIPO],"Equipamento",tabLimpGeral[VALOR UNITÁRIO P/ HORA (R$)])*220,
IF(ISNUMBER(SEARCH("Limpador de vidros - 220 h",tabParametros[[#This Row],[Função]],1)),
SUMIF(tabVidros[TIPO],"Equipamento",tabVidros[VALOR UNITÁRIO P/ POSTO (R$)]),
0))))))</f>
        <v>21.998657016417809</v>
      </c>
      <c r="BA151" s="281">
        <f>IF(ISNUMBER(SEARCH("AUXILIAR DE LIMPEZA - 75 H",tabParametros[[#This Row],[Função]],1)),
SUMIF(tabLimpGeral[TIPO],"Produto",tabLimpGeral[VALOR UNITÁRIO P/ HORA (R$)])*75,
IF(ISNUMBER(SEARCH("AUXILIAR DE LIMPEZA - 110 H",tabParametros[[#This Row],[Função]],1)),
SUMIF(tabLimpGeral[TIPO],"Produto",tabLimpGeral[VALOR UNITÁRIO P/ HORA (R$)])*110,
IF(ISNUMBER(SEARCH("AUXILIAR DE LIMPEZA - 150 H",tabParametros[[#This Row],[Função]],1)),
SUMIF(tabLimpGeral[TIPO],"Produto",tabLimpGeral[VALOR UNITÁRIO P/ HORA (R$)])*150,
IF(ISNUMBER(SEARCH("AUXILIAR DE LIMPEZA - 220 H",tabParametros[[#This Row],[Função]],1)),
SUMIF(tabLimpGeral[TIPO],"Produto",tabLimpGeral[VALOR UNITÁRIO P/ HORA (R$)])*220,
IF(ISNUMBER(SEARCH("AUXILIAR DE LIMPEZA - 12 x 36",tabParametros[[#This Row],[Função]],1)),
SUMIF(tabLimpGeral[TIPO],"Produto",tabLimpGeral[VALOR UNITÁRIO P/ HORA (R$)])*220,
IF(ISNUMBER(SEARCH("Limpador de vidros - 220 h",tabParametros[[#This Row],[Função]],1)),
SUMIF(tabVidros[TIPO],"Produto",tabVidros[VALOR UNITÁRIO P/ POSTO (R$)]),
0))))))</f>
        <v>235.31984072022155</v>
      </c>
      <c r="BB151" s="281">
        <v>0</v>
      </c>
      <c r="BC151" s="236">
        <f>VLOOKUP(tabParametros[[#Headers],[Custos Indiretos]],tabOutrosCustos[],3,0)</f>
        <v>189.64880140242613</v>
      </c>
      <c r="BD151" s="236">
        <f>VLOOKUP(tabParametros[[#Headers],[Lucro]],tabOutrosCustos[],3,0)</f>
        <v>159.30499317803796</v>
      </c>
      <c r="BE151" s="235">
        <f>VLOOKUP(tabParametros[[#Headers],[COFINS]],tabImpostosNacionais[],2,0)</f>
        <v>7.5999999999999998E-2</v>
      </c>
      <c r="BF151" s="235">
        <f>VLOOKUP(tabParametros[[#Headers],[PIS]],tabImpostosNacionais[],2,0)</f>
        <v>1.6500000000000001E-2</v>
      </c>
      <c r="BG151" s="235">
        <f>VLOOKUP(tabParametros[[#This Row],[Comarca]],tabComarca[],4,0)</f>
        <v>0.03</v>
      </c>
      <c r="BH151" s="238">
        <f>IFERROR(VLOOKUP(tabParametros[[#This Row],[CCT DA CATEGORIA]],tabSindicatos[],11,0),"")</f>
        <v>45658</v>
      </c>
      <c r="BI151" s="289" t="str">
        <f>IFERROR(VLOOKUP(tabParametros[[#This Row],[CCT DA CATEGORIA]],tabSindicatos[],12,0),"")</f>
        <v>-</v>
      </c>
      <c r="BJ151" s="293" t="str">
        <f>IFERROR(VLOOKUP(tabParametros[[#This Row],[CCT DA CATEGORIA]],tabSindicatos[],13,0),"")</f>
        <v>-</v>
      </c>
    </row>
    <row r="152" spans="1:62" x14ac:dyDescent="0.25">
      <c r="A152" s="233" t="s">
        <v>1488</v>
      </c>
      <c r="B152" s="198" t="s">
        <v>137</v>
      </c>
      <c r="C152" s="198" t="s">
        <v>1244</v>
      </c>
      <c r="D152" s="198" t="str">
        <f>VLOOKUP(tabParametros[[#This Row],[Código do Posto]],tabPostos[],4,0)</f>
        <v>Regiao de Ouro Preto</v>
      </c>
      <c r="E152" s="289" t="str">
        <f>VLOOKUP(tabParametros[[#This Row],[Código do Posto]],tabPostos[],5,0)</f>
        <v>Limpeza</v>
      </c>
      <c r="F152" s="289" t="str">
        <f>VLOOKUP(tabParametros[[#This Row],[Código do Posto]],tabPostos[],6,0)</f>
        <v>PGJ</v>
      </c>
      <c r="G152" s="289">
        <f>VLOOKUP(tabParametros[[#This Row],[Código do Posto]],tabPostos[],7,0)</f>
        <v>1</v>
      </c>
      <c r="H152" s="289">
        <f>VLOOKUP(tabParametros[[#This Row],[Código do Posto]],tabPostos[],8,0)</f>
        <v>0</v>
      </c>
      <c r="I152" s="234">
        <f>VLOOKUP(tabParametros[[#This Row],[Código do Posto]],tabPostos[],9,0)</f>
        <v>798.14</v>
      </c>
      <c r="J152" s="234">
        <f>IF(ISNUMBER(SEARCH("Eletricista",tabParametros[[#This Row],[Função]],1)),0.3*tabParametros[[#This Row],[Salário Base]],0)</f>
        <v>0</v>
      </c>
      <c r="K152" s="234">
        <f>IF(OR(ISNUMBER(SEARCH("Bombeiro Hidraulico",tabParametros[[#This Row],[Função]],1)),ISNUMBER(SEARCH("Jardineiro",tabParametros[[#This Row],[Função]],1)),ISNUMBER(SEARCH("Lavador de Veiculos",tabParametros[[#This Row],[Função]],1)),ISNUMBER(SEARCH("Marceneiro",tabParametros[[#This Row],[Função]],1)),ISNUMBER(SEARCH("Pintor",tabParametros[[#This Row],[Função]],1))),0.2*'BASE GERAL'!$R$4,0)</f>
        <v>0</v>
      </c>
      <c r="L152" s="234">
        <f>IF(AND(ISNUMBER(SEARCH("Noturno",tabParametros[[#This Row],[Função]],1)),tabParametros[[#This Row],[Comarca]]&lt;&gt;"Juiz de Fora"),tabParametros[[#This Row],[Salário Base]]/210*0.39*7*15.5,IF(ISNUMBER(SEARCH("Noturno",tabParametros[[#This Row],[Função]],1)),tabParametros[[#This Row],[Salário Base]]/210*0.2*8*15.5,0))</f>
        <v>0</v>
      </c>
      <c r="M152" s="234">
        <f>IF(ISNUMBER(SEARCH("Motorista II",tabParametros[[#This Row],[Função]],1)),0.25*tabParametros[[#This Row],[Salário Base]],0)</f>
        <v>0</v>
      </c>
      <c r="N152" s="250">
        <v>0</v>
      </c>
      <c r="O152" s="234">
        <f>IF(ISNUMBER(SEARCH("TECNOLOGIA DA INFORMACAO",tabParametros[[#This Row],[Função]],1)),0.0201*tabParametros[[#This Row],[Salário Base]],0)</f>
        <v>0</v>
      </c>
      <c r="P152" s="250" cm="1">
        <f t="array" ref="P152">_xlfn.IFS(
ISNUMBER(SEARCH("Auxiliar de Limpeza - 75 h",tabParametros[[#This Row],[Função]],1)),tabParametros[[#This Row],[Salário Base]]/75*0.75*30*0.12,
ISNUMBER(SEARCH("Auxiliar de Limpeza - 110 h",tabParametros[[#This Row],[Função]],1)),tabParametros[[#This Row],[Salário Base]]/110*1*30*0.12,
ISNUMBER(SEARCH("Auxiliar de Limpeza - 150 h",tabParametros[[#This Row],[Função]],1)),tabParametros[[#This Row],[Salário Base]]/150*1.5*30*0.12,
ISNUMBER(SEARCH("Auxiliar de Limpeza - 220 h",tabParametros[[#This Row],[Função]],1)),tabParametros[[#This Row],[Salário Base]]/220*2*30*0.12,
ISNUMBER(SEARCH("Auxiliar de Limpeza - 12 x 36",tabParametros[[#This Row],[Função]],1)),tabParametros[[#This Row],[Salário Base]]/220*2*30*0.12,
ISNUMBER(SEARCH("Auxiliar de Limpeza - 55 h",tabParametros[[#This Row],[Função]],1))=FALSE,0)</f>
        <v>26.120945454545453</v>
      </c>
      <c r="Q152" s="235">
        <f>VLOOKUP(tabParametros[[#Headers],[INSS]],tabImpostosNacionais[],2,0)</f>
        <v>0.2</v>
      </c>
      <c r="R152" s="235">
        <f>VLOOKUP(tabParametros[[#Headers],[SESI OU SESC]],tabImpostosNacionais[],2,0)</f>
        <v>1.4999999999999999E-2</v>
      </c>
      <c r="S152" s="235">
        <f>VLOOKUP(tabParametros[[#Headers],[SENAI OU SENAC]],tabImpostosNacionais[],2,0)</f>
        <v>0.01</v>
      </c>
      <c r="T152" s="235">
        <f>VLOOKUP(tabParametros[[#Headers],[INCRA]],tabImpostosNacionais[],2,0)</f>
        <v>2E-3</v>
      </c>
      <c r="U152" s="235">
        <f>VLOOKUP(tabParametros[[#Headers],[Salário Educação]],tabImpostosNacionais[],2,0)</f>
        <v>2.5000000000000001E-2</v>
      </c>
      <c r="V152" s="235">
        <f>VLOOKUP(tabParametros[[#Headers],[FGTS]],tabImpostosNacionais[],2,0)</f>
        <v>0.08</v>
      </c>
      <c r="W152" s="235">
        <f>VLOOKUP(tabParametros[[#Headers],[RAT Ajustado]],tabImpostosNacionais[],2,0)</f>
        <v>0.04</v>
      </c>
      <c r="X152" s="235">
        <f>VLOOKUP(tabParametros[[#Headers],[SEBRAE]],tabImpostosNacionais[],2,0)</f>
        <v>6.0000000000000001E-3</v>
      </c>
      <c r="Y152" s="235">
        <f t="shared" si="22"/>
        <v>8.3333333333333329E-2</v>
      </c>
      <c r="Z152" s="251">
        <f t="shared" si="23"/>
        <v>0.1111111111111111</v>
      </c>
      <c r="AA152" s="234">
        <f>VLOOKUP(tabParametros[[#This Row],[Comarca]],tabComarca[],5,0)</f>
        <v>6.4</v>
      </c>
      <c r="AB152" s="234">
        <f>IFERROR(VLOOKUP(tabParametros[[#This Row],[CCT DA CATEGORIA]],tabSindicatos[],6,0),0)</f>
        <v>29.15</v>
      </c>
      <c r="AC152" s="234">
        <f>IFERROR(VLOOKUP(tabParametros[[#This Row],[CCT DA CATEGORIA]],tabSindicatos[],7,0),0)</f>
        <v>0</v>
      </c>
      <c r="AD152" s="234" cm="1">
        <f t="array" ref="AD152">_xlfn.LET(
_xlpm.COMARCA, TRIM(UPPER(SUBSTITUTE(SUBSTITUTE(SUBSTITUTE(SUBSTITUTE(SUBSTITUTE(SUBSTITUTE(SUBSTITUTE(SUBSTITUTE(SUBSTITUTE(SUBSTITUTE(SUBSTITUTE(SUBSTITUTE(SUBSTITUTE(SUBSTITUTE(SUBSTITUTE(SUBSTITUTE(SUBSTITUTE(SUBSTITUTE(SUBSTITUTE(SUBSTITUTE(SUBSTITUTE(SUBSTITUTE(SUBSTITUTE(SUBSTITUTE(SUBSTITUTE(SUBSTITUTE(tabParametros[[#This Row],[Comarca]],"á","a"),"ã","a"),"â","a"),"é","e"),"ê","e"),"í","i"),"ó","o"),"õ","o"),"ô","o"),"ú","u"),"ç","c"),"Á","a"),"Ã","a"),"Â","a"),"É","e"),"Ê","e"),"Í","i"),"Ó","o"),"Õ","o"),"Ô","o"),"Ú","u"),"Ç","c"),"/MG","")," e ",", ")," ",""),".",""))),
_xlpm.MATRIZ_COMARCA, TRIM(UPPER(SUBSTITUTE(SUBSTITUTE(SUBSTITUTE(SUBSTITUTE(SUBSTITUTE(SUBSTITUTE(SUBSTITUTE(SUBSTITUTE(SUBSTITUTE(SUBSTITUTE(SUBSTITUTE(SUBSTITUTE(SUBSTITUTE(SUBSTITUTE(SUBSTITUTE(SUBSTITUTE(SUBSTITUTE(SUBSTITUTE(SUBSTITUTE(SUBSTITUTE(SUBSTITUTE(SUBSTITUTE(SUBSTITUTE(SUBSTITUTE(SUBSTITUTE(SUBSTITUTE(tabSindicatos[COMARCAS PAF],"á","a"),"ã","a"),"â","a"),"é","e"),"ê","e"),"í","i"),"ó","o"),"õ","o"),"ô","o"),"ú","u"),"ç","c"),"Á","a"),"Ã","a"),"Â","a"),"É","e"),"Ê","e"),"Í","i"),"Ó","o"),"Õ","o"),"Ô","o"),"Ú","u"),"Ç","c"),"/MG","")," e ",", ")," ",""),".",""))),
IFERROR(IF(_xlfn.XLOOKUP(tabParametros[[#This Row],[CCT DA CATEGORIA]],tabSindicatos[SINDICATOS],tabSindicatos[COMARCAS PAF])="",
VLOOKUP(tabParametros[[#This Row],[CCT DA CATEGORIA]],tabSindicatos[],8,0),
IF(ISNUMBER(SEARCH(TRIM(_xlpm.COMARCA),_xlfn.XLOOKUP(tabParametros[[#This Row],[CCT DA CATEGORIA]],tabSindicatos[SINDICATOS],_xlpm.MATRIZ_COMARCA),1)),VLOOKUP(tabParametros[[#This Row],[CCT DA CATEGORIA]],tabSindicatos[],8,0),0)
),0)
)</f>
        <v>51.87</v>
      </c>
      <c r="AE152" s="234">
        <f>IFERROR(VLOOKUP(tabParametros[[#This Row],[CCT DA CATEGORIA]],tabSindicatos[],9,0),0)</f>
        <v>0</v>
      </c>
      <c r="AF152" s="234">
        <f>IFERROR(VLOOKUP(tabParametros[[#This Row],[CCT DA CATEGORIA]],tabSindicatos[],10,0),0)</f>
        <v>0</v>
      </c>
      <c r="AG152" s="236">
        <f>VLOOKUP(tabParametros[[#Headers],[Seguro de Vida]],tabOutrosCustos[],3,0)</f>
        <v>3.36</v>
      </c>
      <c r="AH152" s="236">
        <f>IF(ISNUMBER(SEARCH("MOTORISTA",tabParametros[[#This Row],[Função]],1)),VLOOKUP("MOTORISTAS",tabDiarias[],2,0),IF(tabParametros[[#This Row],[Comarca]]="Belo Horizonte",VLOOKUP("LIMPEZA",tabDiarias[],2,0),0))</f>
        <v>0</v>
      </c>
      <c r="AI152" s="235">
        <f t="shared" si="24"/>
        <v>7.011766975308642E-3</v>
      </c>
      <c r="AJ152" s="237">
        <f>tabParametros[[#This Row],[FGTS]]*tabParametros[[#This Row],[Aviso Prévio Indenizado (API) e Reflexo do Aviso Prévio Indenizado]]</f>
        <v>5.609413580246914E-4</v>
      </c>
      <c r="AK152" s="237">
        <f>tabParametros[[#This Row],[FGTS]]*tabParametros[[#This Row],[Aviso Prévio Indenizado (API) e Reflexo do Aviso Prévio Indenizado]]*40%</f>
        <v>2.2437654320987658E-4</v>
      </c>
      <c r="AL152" s="235">
        <f t="shared" si="25"/>
        <v>3.5000000000000005E-3</v>
      </c>
      <c r="AM152" s="235">
        <f>tabParametros[[#This Row],[Aviso Prévio Trabalhado - APT]]*SUM(tabParametros[[#This Row],[INSS]:[SEBRAE]])</f>
        <v>1.3230000000000004E-3</v>
      </c>
      <c r="AN152" s="235">
        <f t="shared" si="26"/>
        <v>3.0577777777777773E-2</v>
      </c>
      <c r="AO152" s="235">
        <f t="shared" si="27"/>
        <v>8.3333333333333339E-4</v>
      </c>
      <c r="AP152" s="235">
        <f t="shared" si="28"/>
        <v>8.4444444444444437E-3</v>
      </c>
      <c r="AQ152" s="235">
        <f t="shared" si="29"/>
        <v>2.0277777777777777E-3</v>
      </c>
      <c r="AR152" s="235">
        <f t="shared" si="30"/>
        <v>1.7083333333333333E-4</v>
      </c>
      <c r="AS152" s="235">
        <f t="shared" si="31"/>
        <v>2.0833333333333335E-4</v>
      </c>
      <c r="AT152" s="235">
        <f t="shared" si="32"/>
        <v>1.2962962962962963E-3</v>
      </c>
      <c r="AU152" s="237">
        <f>SUM(tabParametros[[#This Row],[Ausência por Doença]:[Férias, Adicional de Férias e 13º  com empregada em gozo de Licença Maternidade]])*SUM(tabParametros[[#This Row],[INSS]:[SEBRAE]])</f>
        <v>4.5918250000000008E-3</v>
      </c>
      <c r="AV152" s="234">
        <f>IF(tabParametros[[#This Row],[Função]]="Porteiro - 220 h",SUM(tabParametros[[#This Row],[Salário Base]:[Adicional de Acúmulo de função]])/220*20*1.5,IF(ISNUMBER(SEARCH("12 x 36",tabParametros[[#This Row],[Função]],1)),SUM(tabParametros[[#This Row],[Salário Base]:[Adicional de Acúmulo de função]])/210*15.5*1.5,0))</f>
        <v>0</v>
      </c>
      <c r="AW152" s="234">
        <f>IF(tabParametros[[#This Row],[Vagas contratadas]]&gt;0,(SUM(tabParametros[[#This Row],[Salário Base]:[Adicional de Acúmulo de função]])*30%+SUM(tabParametros[[#This Row],[Vale - Alimentação]:[Seguro de Vida]]))/tabParametros[[#This Row],[Vagas contratadas]]*tabParametros[[#This Row],[Vagas suspensas]],0)</f>
        <v>0</v>
      </c>
      <c r="AX152" s="234">
        <f>SUMIF(tabUniformes[Cargo],tabParametros[[#This Row],[Função]],tabUniformes[Valor unit. Mensal])</f>
        <v>62.806666666666665</v>
      </c>
      <c r="AY152" s="281">
        <f>IF(ISNUMBER(SEARCH("AUXILIAR DE LIMPEZA - 75 H",tabParametros[[#This Row],[Função]],1)),
SUMIF(tabLimpGeral[TIPO],"Material",tabLimpGeral[VALOR UNITÁRIO P/ HORA (R$)])*75,
IF(ISNUMBER(SEARCH("AUXILIAR DE LIMPEZA - 110 H",tabParametros[[#This Row],[Função]],1)),
SUMIF(tabLimpGeral[TIPO],"Material",tabLimpGeral[VALOR UNITÁRIO P/ HORA (R$)])*110,
IF(ISNUMBER(SEARCH("AUXILIAR DE LIMPEZA - 150 H",tabParametros[[#This Row],[Função]],1)),
SUMIF(tabLimpGeral[TIPO],"Material",tabLimpGeral[VALOR UNITÁRIO P/ HORA (R$)])*150,
IF(ISNUMBER(SEARCH("AUXILIAR DE LIMPEZA - 220 H",tabParametros[[#This Row],[Função]],1)),
SUMIF(tabLimpGeral[TIPO],"Material",tabLimpGeral[VALOR UNITÁRIO P/ HORA (R$)])*220,
IF(ISNUMBER(SEARCH("AUXILIAR DE LIMPEZA - 12 x 36",tabParametros[[#This Row],[Função]],1)),
SUMIF(tabLimpGeral[TIPO],"Material",tabLimpGeral[VALOR UNITÁRIO P/ HORA (R$)])*220,
IF(ISNUMBER(SEARCH("Limpador de vidros - 220 h",tabParametros[[#This Row],[Função]],1)),
SUMIF(tabVidros[TIPO],"Material",tabVidros[VALOR UNITÁRIO P/ POSTO (R$)]),
0))))))</f>
        <v>17.759106479291944</v>
      </c>
      <c r="AZ152" s="281">
        <f>IF(ISNUMBER(SEARCH("AUXILIAR DE LIMPEZA - 75 H",tabParametros[[#This Row],[Função]],1)),
SUMIF(tabLimpGeral[TIPO],"Equipamento",tabLimpGeral[VALOR UNITÁRIO P/ HORA (R$)])*75,
IF(ISNUMBER(SEARCH("AUXILIAR DE LIMPEZA - 110 H",tabParametros[[#This Row],[Função]],1)),
SUMIF(tabLimpGeral[TIPO],"Equipamento",tabLimpGeral[VALOR UNITÁRIO P/ HORA (R$)])*110,
IF(ISNUMBER(SEARCH("AUXILIAR DE LIMPEZA - 150 H",tabParametros[[#This Row],[Função]],1)),
SUMIF(tabLimpGeral[TIPO],"Equipamento",tabLimpGeral[VALOR UNITÁRIO P/ HORA (R$)])*150,
IF(ISNUMBER(SEARCH("AUXILIAR DE LIMPEZA - 220 H",tabParametros[[#This Row],[Função]],1)),
SUMIF(tabLimpGeral[TIPO],"Equipamento",tabLimpGeral[VALOR UNITÁRIO P/ HORA (R$)])*220,
IF(ISNUMBER(SEARCH("AUXILIAR DE LIMPEZA - 12 x 36",tabParametros[[#This Row],[Função]],1)),
SUMIF(tabLimpGeral[TIPO],"Equipamento",tabLimpGeral[VALOR UNITÁRIO P/ HORA (R$)])*220,
IF(ISNUMBER(SEARCH("Limpador de vidros - 220 h",tabParametros[[#This Row],[Função]],1)),
SUMIF(tabVidros[TIPO],"Equipamento",tabVidros[VALOR UNITÁRIO P/ POSTO (R$)]),
0))))))</f>
        <v>32.264696957412788</v>
      </c>
      <c r="BA152" s="281">
        <f>IF(ISNUMBER(SEARCH("AUXILIAR DE LIMPEZA - 75 H",tabParametros[[#This Row],[Função]],1)),
SUMIF(tabLimpGeral[TIPO],"Produto",tabLimpGeral[VALOR UNITÁRIO P/ HORA (R$)])*75,
IF(ISNUMBER(SEARCH("AUXILIAR DE LIMPEZA - 110 H",tabParametros[[#This Row],[Função]],1)),
SUMIF(tabLimpGeral[TIPO],"Produto",tabLimpGeral[VALOR UNITÁRIO P/ HORA (R$)])*110,
IF(ISNUMBER(SEARCH("AUXILIAR DE LIMPEZA - 150 H",tabParametros[[#This Row],[Função]],1)),
SUMIF(tabLimpGeral[TIPO],"Produto",tabLimpGeral[VALOR UNITÁRIO P/ HORA (R$)])*150,
IF(ISNUMBER(SEARCH("AUXILIAR DE LIMPEZA - 220 H",tabParametros[[#This Row],[Função]],1)),
SUMIF(tabLimpGeral[TIPO],"Produto",tabLimpGeral[VALOR UNITÁRIO P/ HORA (R$)])*220,
IF(ISNUMBER(SEARCH("AUXILIAR DE LIMPEZA - 12 x 36",tabParametros[[#This Row],[Função]],1)),
SUMIF(tabLimpGeral[TIPO],"Produto",tabLimpGeral[VALOR UNITÁRIO P/ HORA (R$)])*220,
IF(ISNUMBER(SEARCH("Limpador de vidros - 220 h",tabParametros[[#This Row],[Função]],1)),
SUMIF(tabVidros[TIPO],"Produto",tabVidros[VALOR UNITÁRIO P/ POSTO (R$)]),
0))))))</f>
        <v>345.13576638965827</v>
      </c>
      <c r="BB152" s="281">
        <v>0</v>
      </c>
      <c r="BC152" s="236">
        <f>VLOOKUP(tabParametros[[#Headers],[Custos Indiretos]],tabOutrosCustos[],3,0)</f>
        <v>189.64880140242613</v>
      </c>
      <c r="BD152" s="236">
        <f>VLOOKUP(tabParametros[[#Headers],[Lucro]],tabOutrosCustos[],3,0)</f>
        <v>159.30499317803796</v>
      </c>
      <c r="BE152" s="235">
        <f>VLOOKUP(tabParametros[[#Headers],[COFINS]],tabImpostosNacionais[],2,0)</f>
        <v>7.5999999999999998E-2</v>
      </c>
      <c r="BF152" s="235">
        <f>VLOOKUP(tabParametros[[#Headers],[PIS]],tabImpostosNacionais[],2,0)</f>
        <v>1.6500000000000001E-2</v>
      </c>
      <c r="BG152" s="235">
        <f>VLOOKUP(tabParametros[[#This Row],[Comarca]],tabComarca[],4,0)</f>
        <v>0.03</v>
      </c>
      <c r="BH152" s="238">
        <f>IFERROR(VLOOKUP(tabParametros[[#This Row],[CCT DA CATEGORIA]],tabSindicatos[],11,0),"")</f>
        <v>45658</v>
      </c>
      <c r="BI152" s="289" t="str">
        <f>IFERROR(VLOOKUP(tabParametros[[#This Row],[CCT DA CATEGORIA]],tabSindicatos[],12,0),"")</f>
        <v>-</v>
      </c>
      <c r="BJ152" s="293" t="str">
        <f>IFERROR(VLOOKUP(tabParametros[[#This Row],[CCT DA CATEGORIA]],tabSindicatos[],13,0),"")</f>
        <v>-</v>
      </c>
    </row>
    <row r="153" spans="1:62" x14ac:dyDescent="0.25">
      <c r="A153" s="233" t="s">
        <v>1489</v>
      </c>
      <c r="B153" s="198" t="s">
        <v>138</v>
      </c>
      <c r="C153" s="198" t="s">
        <v>1247</v>
      </c>
      <c r="D153" s="198" t="str">
        <f>VLOOKUP(tabParametros[[#This Row],[Código do Posto]],tabPostos[],4,0)</f>
        <v>Regiao de Divinopolis</v>
      </c>
      <c r="E153" s="289" t="str">
        <f>VLOOKUP(tabParametros[[#This Row],[Código do Posto]],tabPostos[],5,0)</f>
        <v>Limpeza</v>
      </c>
      <c r="F153" s="289" t="str">
        <f>VLOOKUP(tabParametros[[#This Row],[Código do Posto]],tabPostos[],6,0)</f>
        <v>PGJ</v>
      </c>
      <c r="G153" s="289">
        <f>VLOOKUP(tabParametros[[#This Row],[Código do Posto]],tabPostos[],7,0)</f>
        <v>1</v>
      </c>
      <c r="H153" s="289">
        <f>VLOOKUP(tabParametros[[#This Row],[Código do Posto]],tabPostos[],8,0)</f>
        <v>0</v>
      </c>
      <c r="I153" s="234">
        <f>VLOOKUP(tabParametros[[#This Row],[Código do Posto]],tabPostos[],9,0)</f>
        <v>544.17999999999995</v>
      </c>
      <c r="J153" s="234">
        <f>IF(ISNUMBER(SEARCH("Eletricista",tabParametros[[#This Row],[Função]],1)),0.3*tabParametros[[#This Row],[Salário Base]],0)</f>
        <v>0</v>
      </c>
      <c r="K153" s="234">
        <f>IF(OR(ISNUMBER(SEARCH("Bombeiro Hidraulico",tabParametros[[#This Row],[Função]],1)),ISNUMBER(SEARCH("Jardineiro",tabParametros[[#This Row],[Função]],1)),ISNUMBER(SEARCH("Lavador de Veiculos",tabParametros[[#This Row],[Função]],1)),ISNUMBER(SEARCH("Marceneiro",tabParametros[[#This Row],[Função]],1)),ISNUMBER(SEARCH("Pintor",tabParametros[[#This Row],[Função]],1))),0.2*'BASE GERAL'!$R$4,0)</f>
        <v>0</v>
      </c>
      <c r="L153" s="234">
        <f>IF(AND(ISNUMBER(SEARCH("Noturno",tabParametros[[#This Row],[Função]],1)),tabParametros[[#This Row],[Comarca]]&lt;&gt;"Juiz de Fora"),tabParametros[[#This Row],[Salário Base]]/210*0.39*7*15.5,IF(ISNUMBER(SEARCH("Noturno",tabParametros[[#This Row],[Função]],1)),tabParametros[[#This Row],[Salário Base]]/210*0.2*8*15.5,0))</f>
        <v>0</v>
      </c>
      <c r="M153" s="234">
        <f>IF(ISNUMBER(SEARCH("Motorista II",tabParametros[[#This Row],[Função]],1)),0.25*tabParametros[[#This Row],[Salário Base]],0)</f>
        <v>0</v>
      </c>
      <c r="N153" s="250">
        <v>0</v>
      </c>
      <c r="O153" s="234">
        <f>IF(ISNUMBER(SEARCH("TECNOLOGIA DA INFORMACAO",tabParametros[[#This Row],[Função]],1)),0.0201*tabParametros[[#This Row],[Salário Base]],0)</f>
        <v>0</v>
      </c>
      <c r="P153" s="250" cm="1">
        <f t="array" ref="P153">_xlfn.IFS(
ISNUMBER(SEARCH("Auxiliar de Limpeza - 75 h",tabParametros[[#This Row],[Função]],1)),tabParametros[[#This Row],[Salário Base]]/75*0.75*30*0.12,
ISNUMBER(SEARCH("Auxiliar de Limpeza - 110 h",tabParametros[[#This Row],[Função]],1)),tabParametros[[#This Row],[Salário Base]]/110*1*30*0.12,
ISNUMBER(SEARCH("Auxiliar de Limpeza - 150 h",tabParametros[[#This Row],[Função]],1)),tabParametros[[#This Row],[Salário Base]]/150*1.5*30*0.12,
ISNUMBER(SEARCH("Auxiliar de Limpeza - 220 h",tabParametros[[#This Row],[Função]],1)),tabParametros[[#This Row],[Salário Base]]/220*2*30*0.12,
ISNUMBER(SEARCH("Auxiliar de Limpeza - 12 x 36",tabParametros[[#This Row],[Função]],1)),tabParametros[[#This Row],[Salário Base]]/220*2*30*0.12,
ISNUMBER(SEARCH("Auxiliar de Limpeza - 55 h",tabParametros[[#This Row],[Função]],1))=FALSE,0)</f>
        <v>19.590479999999999</v>
      </c>
      <c r="Q153" s="235">
        <f>VLOOKUP(tabParametros[[#Headers],[INSS]],tabImpostosNacionais[],2,0)</f>
        <v>0.2</v>
      </c>
      <c r="R153" s="235">
        <f>VLOOKUP(tabParametros[[#Headers],[SESI OU SESC]],tabImpostosNacionais[],2,0)</f>
        <v>1.4999999999999999E-2</v>
      </c>
      <c r="S153" s="235">
        <f>VLOOKUP(tabParametros[[#Headers],[SENAI OU SENAC]],tabImpostosNacionais[],2,0)</f>
        <v>0.01</v>
      </c>
      <c r="T153" s="235">
        <f>VLOOKUP(tabParametros[[#Headers],[INCRA]],tabImpostosNacionais[],2,0)</f>
        <v>2E-3</v>
      </c>
      <c r="U153" s="235">
        <f>VLOOKUP(tabParametros[[#Headers],[Salário Educação]],tabImpostosNacionais[],2,0)</f>
        <v>2.5000000000000001E-2</v>
      </c>
      <c r="V153" s="235">
        <f>VLOOKUP(tabParametros[[#Headers],[FGTS]],tabImpostosNacionais[],2,0)</f>
        <v>0.08</v>
      </c>
      <c r="W153" s="235">
        <f>VLOOKUP(tabParametros[[#Headers],[RAT Ajustado]],tabImpostosNacionais[],2,0)</f>
        <v>0.04</v>
      </c>
      <c r="X153" s="235">
        <f>VLOOKUP(tabParametros[[#Headers],[SEBRAE]],tabImpostosNacionais[],2,0)</f>
        <v>6.0000000000000001E-3</v>
      </c>
      <c r="Y153" s="235">
        <f t="shared" si="22"/>
        <v>8.3333333333333329E-2</v>
      </c>
      <c r="Z153" s="251">
        <f t="shared" si="23"/>
        <v>0.1111111111111111</v>
      </c>
      <c r="AA153" s="234">
        <f>VLOOKUP(tabParametros[[#This Row],[Comarca]],tabComarca[],5,0)</f>
        <v>6.4</v>
      </c>
      <c r="AB153" s="234">
        <f>IFERROR(VLOOKUP(tabParametros[[#This Row],[CCT DA CATEGORIA]],tabSindicatos[],6,0),0)</f>
        <v>29.15</v>
      </c>
      <c r="AC153" s="234">
        <f>IFERROR(VLOOKUP(tabParametros[[#This Row],[CCT DA CATEGORIA]],tabSindicatos[],7,0),0)</f>
        <v>0</v>
      </c>
      <c r="AD153" s="234" cm="1">
        <f t="array" ref="AD153">_xlfn.LET(
_xlpm.COMARCA, TRIM(UPPER(SUBSTITUTE(SUBSTITUTE(SUBSTITUTE(SUBSTITUTE(SUBSTITUTE(SUBSTITUTE(SUBSTITUTE(SUBSTITUTE(SUBSTITUTE(SUBSTITUTE(SUBSTITUTE(SUBSTITUTE(SUBSTITUTE(SUBSTITUTE(SUBSTITUTE(SUBSTITUTE(SUBSTITUTE(SUBSTITUTE(SUBSTITUTE(SUBSTITUTE(SUBSTITUTE(SUBSTITUTE(SUBSTITUTE(SUBSTITUTE(SUBSTITUTE(SUBSTITUTE(tabParametros[[#This Row],[Comarca]],"á","a"),"ã","a"),"â","a"),"é","e"),"ê","e"),"í","i"),"ó","o"),"õ","o"),"ô","o"),"ú","u"),"ç","c"),"Á","a"),"Ã","a"),"Â","a"),"É","e"),"Ê","e"),"Í","i"),"Ó","o"),"Õ","o"),"Ô","o"),"Ú","u"),"Ç","c"),"/MG","")," e ",", ")," ",""),".",""))),
_xlpm.MATRIZ_COMARCA, TRIM(UPPER(SUBSTITUTE(SUBSTITUTE(SUBSTITUTE(SUBSTITUTE(SUBSTITUTE(SUBSTITUTE(SUBSTITUTE(SUBSTITUTE(SUBSTITUTE(SUBSTITUTE(SUBSTITUTE(SUBSTITUTE(SUBSTITUTE(SUBSTITUTE(SUBSTITUTE(SUBSTITUTE(SUBSTITUTE(SUBSTITUTE(SUBSTITUTE(SUBSTITUTE(SUBSTITUTE(SUBSTITUTE(SUBSTITUTE(SUBSTITUTE(SUBSTITUTE(SUBSTITUTE(tabSindicatos[COMARCAS PAF],"á","a"),"ã","a"),"â","a"),"é","e"),"ê","e"),"í","i"),"ó","o"),"õ","o"),"ô","o"),"ú","u"),"ç","c"),"Á","a"),"Ã","a"),"Â","a"),"É","e"),"Ê","e"),"Í","i"),"Ó","o"),"Õ","o"),"Ô","o"),"Ú","u"),"Ç","c"),"/MG","")," e ",", ")," ",""),".",""))),
IFERROR(IF(_xlfn.XLOOKUP(tabParametros[[#This Row],[CCT DA CATEGORIA]],tabSindicatos[SINDICATOS],tabSindicatos[COMARCAS PAF])="",
VLOOKUP(tabParametros[[#This Row],[CCT DA CATEGORIA]],tabSindicatos[],8,0),
IF(ISNUMBER(SEARCH(TRIM(_xlpm.COMARCA),_xlfn.XLOOKUP(tabParametros[[#This Row],[CCT DA CATEGORIA]],tabSindicatos[SINDICATOS],_xlpm.MATRIZ_COMARCA),1)),VLOOKUP(tabParametros[[#This Row],[CCT DA CATEGORIA]],tabSindicatos[],8,0),0)
),0)
)</f>
        <v>0</v>
      </c>
      <c r="AE153" s="234">
        <f>IFERROR(VLOOKUP(tabParametros[[#This Row],[CCT DA CATEGORIA]],tabSindicatos[],9,0),0)</f>
        <v>0</v>
      </c>
      <c r="AF153" s="234">
        <f>IFERROR(VLOOKUP(tabParametros[[#This Row],[CCT DA CATEGORIA]],tabSindicatos[],10,0),0)</f>
        <v>0</v>
      </c>
      <c r="AG153" s="236">
        <f>VLOOKUP(tabParametros[[#Headers],[Seguro de Vida]],tabOutrosCustos[],3,0)</f>
        <v>3.36</v>
      </c>
      <c r="AH153" s="236">
        <f>IF(ISNUMBER(SEARCH("MOTORISTA",tabParametros[[#This Row],[Função]],1)),VLOOKUP("MOTORISTAS",tabDiarias[],2,0),IF(tabParametros[[#This Row],[Comarca]]="Belo Horizonte",VLOOKUP("LIMPEZA",tabDiarias[],2,0),0))</f>
        <v>0</v>
      </c>
      <c r="AI153" s="235">
        <f t="shared" si="24"/>
        <v>7.011766975308642E-3</v>
      </c>
      <c r="AJ153" s="237">
        <f>tabParametros[[#This Row],[FGTS]]*tabParametros[[#This Row],[Aviso Prévio Indenizado (API) e Reflexo do Aviso Prévio Indenizado]]</f>
        <v>5.609413580246914E-4</v>
      </c>
      <c r="AK153" s="237">
        <f>tabParametros[[#This Row],[FGTS]]*tabParametros[[#This Row],[Aviso Prévio Indenizado (API) e Reflexo do Aviso Prévio Indenizado]]*40%</f>
        <v>2.2437654320987658E-4</v>
      </c>
      <c r="AL153" s="235">
        <f t="shared" si="25"/>
        <v>3.5000000000000005E-3</v>
      </c>
      <c r="AM153" s="235">
        <f>tabParametros[[#This Row],[Aviso Prévio Trabalhado - APT]]*SUM(tabParametros[[#This Row],[INSS]:[SEBRAE]])</f>
        <v>1.3230000000000004E-3</v>
      </c>
      <c r="AN153" s="235">
        <f t="shared" si="26"/>
        <v>3.0577777777777773E-2</v>
      </c>
      <c r="AO153" s="235">
        <f t="shared" si="27"/>
        <v>8.3333333333333339E-4</v>
      </c>
      <c r="AP153" s="235">
        <f t="shared" si="28"/>
        <v>8.4444444444444437E-3</v>
      </c>
      <c r="AQ153" s="235">
        <f t="shared" si="29"/>
        <v>2.0277777777777777E-3</v>
      </c>
      <c r="AR153" s="235">
        <f t="shared" si="30"/>
        <v>1.7083333333333333E-4</v>
      </c>
      <c r="AS153" s="235">
        <f t="shared" si="31"/>
        <v>2.0833333333333335E-4</v>
      </c>
      <c r="AT153" s="235">
        <f t="shared" si="32"/>
        <v>1.2962962962962963E-3</v>
      </c>
      <c r="AU153" s="237">
        <f>SUM(tabParametros[[#This Row],[Ausência por Doença]:[Férias, Adicional de Férias e 13º  com empregada em gozo de Licença Maternidade]])*SUM(tabParametros[[#This Row],[INSS]:[SEBRAE]])</f>
        <v>4.5918250000000008E-3</v>
      </c>
      <c r="AV153" s="234">
        <f>IF(tabParametros[[#This Row],[Função]]="Porteiro - 220 h",SUM(tabParametros[[#This Row],[Salário Base]:[Adicional de Acúmulo de função]])/220*20*1.5,IF(ISNUMBER(SEARCH("12 x 36",tabParametros[[#This Row],[Função]],1)),SUM(tabParametros[[#This Row],[Salário Base]:[Adicional de Acúmulo de função]])/210*15.5*1.5,0))</f>
        <v>0</v>
      </c>
      <c r="AW153" s="234">
        <f>IF(tabParametros[[#This Row],[Vagas contratadas]]&gt;0,(SUM(tabParametros[[#This Row],[Salário Base]:[Adicional de Acúmulo de função]])*30%+SUM(tabParametros[[#This Row],[Vale - Alimentação]:[Seguro de Vida]]))/tabParametros[[#This Row],[Vagas contratadas]]*tabParametros[[#This Row],[Vagas suspensas]],0)</f>
        <v>0</v>
      </c>
      <c r="AX153" s="234">
        <f>SUMIF(tabUniformes[Cargo],tabParametros[[#This Row],[Função]],tabUniformes[Valor unit. Mensal])</f>
        <v>62.806666666666665</v>
      </c>
      <c r="AY153" s="281">
        <f>IF(ISNUMBER(SEARCH("AUXILIAR DE LIMPEZA - 75 H",tabParametros[[#This Row],[Função]],1)),
SUMIF(tabLimpGeral[TIPO],"Material",tabLimpGeral[VALOR UNITÁRIO P/ HORA (R$)])*75,
IF(ISNUMBER(SEARCH("AUXILIAR DE LIMPEZA - 110 H",tabParametros[[#This Row],[Função]],1)),
SUMIF(tabLimpGeral[TIPO],"Material",tabLimpGeral[VALOR UNITÁRIO P/ HORA (R$)])*110,
IF(ISNUMBER(SEARCH("AUXILIAR DE LIMPEZA - 150 H",tabParametros[[#This Row],[Função]],1)),
SUMIF(tabLimpGeral[TIPO],"Material",tabLimpGeral[VALOR UNITÁRIO P/ HORA (R$)])*150,
IF(ISNUMBER(SEARCH("AUXILIAR DE LIMPEZA - 220 H",tabParametros[[#This Row],[Função]],1)),
SUMIF(tabLimpGeral[TIPO],"Material",tabLimpGeral[VALOR UNITÁRIO P/ HORA (R$)])*220,
IF(ISNUMBER(SEARCH("AUXILIAR DE LIMPEZA - 12 x 36",tabParametros[[#This Row],[Função]],1)),
SUMIF(tabLimpGeral[TIPO],"Material",tabLimpGeral[VALOR UNITÁRIO P/ HORA (R$)])*220,
IF(ISNUMBER(SEARCH("Limpador de vidros - 220 h",tabParametros[[#This Row],[Função]],1)),
SUMIF(tabVidros[TIPO],"Material",tabVidros[VALOR UNITÁRIO P/ POSTO (R$)]),
0))))))</f>
        <v>12.108481690426325</v>
      </c>
      <c r="AZ153" s="281">
        <f>IF(ISNUMBER(SEARCH("AUXILIAR DE LIMPEZA - 75 H",tabParametros[[#This Row],[Função]],1)),
SUMIF(tabLimpGeral[TIPO],"Equipamento",tabLimpGeral[VALOR UNITÁRIO P/ HORA (R$)])*75,
IF(ISNUMBER(SEARCH("AUXILIAR DE LIMPEZA - 110 H",tabParametros[[#This Row],[Função]],1)),
SUMIF(tabLimpGeral[TIPO],"Equipamento",tabLimpGeral[VALOR UNITÁRIO P/ HORA (R$)])*110,
IF(ISNUMBER(SEARCH("AUXILIAR DE LIMPEZA - 150 H",tabParametros[[#This Row],[Função]],1)),
SUMIF(tabLimpGeral[TIPO],"Equipamento",tabLimpGeral[VALOR UNITÁRIO P/ HORA (R$)])*150,
IF(ISNUMBER(SEARCH("AUXILIAR DE LIMPEZA - 220 H",tabParametros[[#This Row],[Função]],1)),
SUMIF(tabLimpGeral[TIPO],"Equipamento",tabLimpGeral[VALOR UNITÁRIO P/ HORA (R$)])*220,
IF(ISNUMBER(SEARCH("AUXILIAR DE LIMPEZA - 12 x 36",tabParametros[[#This Row],[Função]],1)),
SUMIF(tabLimpGeral[TIPO],"Equipamento",tabLimpGeral[VALOR UNITÁRIO P/ HORA (R$)])*220,
IF(ISNUMBER(SEARCH("Limpador de vidros - 220 h",tabParametros[[#This Row],[Função]],1)),
SUMIF(tabVidros[TIPO],"Equipamento",tabVidros[VALOR UNITÁRIO P/ POSTO (R$)]),
0))))))</f>
        <v>21.998657016417809</v>
      </c>
      <c r="BA153" s="281">
        <f>IF(ISNUMBER(SEARCH("AUXILIAR DE LIMPEZA - 75 H",tabParametros[[#This Row],[Função]],1)),
SUMIF(tabLimpGeral[TIPO],"Produto",tabLimpGeral[VALOR UNITÁRIO P/ HORA (R$)])*75,
IF(ISNUMBER(SEARCH("AUXILIAR DE LIMPEZA - 110 H",tabParametros[[#This Row],[Função]],1)),
SUMIF(tabLimpGeral[TIPO],"Produto",tabLimpGeral[VALOR UNITÁRIO P/ HORA (R$)])*110,
IF(ISNUMBER(SEARCH("AUXILIAR DE LIMPEZA - 150 H",tabParametros[[#This Row],[Função]],1)),
SUMIF(tabLimpGeral[TIPO],"Produto",tabLimpGeral[VALOR UNITÁRIO P/ HORA (R$)])*150,
IF(ISNUMBER(SEARCH("AUXILIAR DE LIMPEZA - 220 H",tabParametros[[#This Row],[Função]],1)),
SUMIF(tabLimpGeral[TIPO],"Produto",tabLimpGeral[VALOR UNITÁRIO P/ HORA (R$)])*220,
IF(ISNUMBER(SEARCH("AUXILIAR DE LIMPEZA - 12 x 36",tabParametros[[#This Row],[Função]],1)),
SUMIF(tabLimpGeral[TIPO],"Produto",tabLimpGeral[VALOR UNITÁRIO P/ HORA (R$)])*220,
IF(ISNUMBER(SEARCH("Limpador de vidros - 220 h",tabParametros[[#This Row],[Função]],1)),
SUMIF(tabVidros[TIPO],"Produto",tabVidros[VALOR UNITÁRIO P/ POSTO (R$)]),
0))))))</f>
        <v>235.31984072022155</v>
      </c>
      <c r="BB153" s="281">
        <v>0</v>
      </c>
      <c r="BC153" s="236">
        <f>VLOOKUP(tabParametros[[#Headers],[Custos Indiretos]],tabOutrosCustos[],3,0)</f>
        <v>189.64880140242613</v>
      </c>
      <c r="BD153" s="236">
        <f>VLOOKUP(tabParametros[[#Headers],[Lucro]],tabOutrosCustos[],3,0)</f>
        <v>159.30499317803796</v>
      </c>
      <c r="BE153" s="235">
        <f>VLOOKUP(tabParametros[[#Headers],[COFINS]],tabImpostosNacionais[],2,0)</f>
        <v>7.5999999999999998E-2</v>
      </c>
      <c r="BF153" s="235">
        <f>VLOOKUP(tabParametros[[#Headers],[PIS]],tabImpostosNacionais[],2,0)</f>
        <v>1.6500000000000001E-2</v>
      </c>
      <c r="BG153" s="235">
        <f>VLOOKUP(tabParametros[[#This Row],[Comarca]],tabComarca[],4,0)</f>
        <v>0.05</v>
      </c>
      <c r="BH153" s="238">
        <f>IFERROR(VLOOKUP(tabParametros[[#This Row],[CCT DA CATEGORIA]],tabSindicatos[],11,0),"")</f>
        <v>45658</v>
      </c>
      <c r="BI153" s="289" t="str">
        <f>IFERROR(VLOOKUP(tabParametros[[#This Row],[CCT DA CATEGORIA]],tabSindicatos[],12,0),"")</f>
        <v>-</v>
      </c>
      <c r="BJ153" s="293" t="str">
        <f>IFERROR(VLOOKUP(tabParametros[[#This Row],[CCT DA CATEGORIA]],tabSindicatos[],13,0),"")</f>
        <v>-</v>
      </c>
    </row>
    <row r="154" spans="1:62" x14ac:dyDescent="0.25">
      <c r="A154" s="233" t="s">
        <v>1490</v>
      </c>
      <c r="B154" s="198" t="s">
        <v>139</v>
      </c>
      <c r="C154" s="198" t="s">
        <v>1244</v>
      </c>
      <c r="D154" s="198" t="str">
        <f>VLOOKUP(tabParametros[[#This Row],[Código do Posto]],tabPostos[],4,0)</f>
        <v>Sind - Asseio</v>
      </c>
      <c r="E154" s="289" t="str">
        <f>VLOOKUP(tabParametros[[#This Row],[Código do Posto]],tabPostos[],5,0)</f>
        <v>Limpeza</v>
      </c>
      <c r="F154" s="289" t="str">
        <f>VLOOKUP(tabParametros[[#This Row],[Código do Posto]],tabPostos[],6,0)</f>
        <v>PGJ</v>
      </c>
      <c r="G154" s="289">
        <f>VLOOKUP(tabParametros[[#This Row],[Código do Posto]],tabPostos[],7,0)</f>
        <v>1</v>
      </c>
      <c r="H154" s="289">
        <f>VLOOKUP(tabParametros[[#This Row],[Código do Posto]],tabPostos[],8,0)</f>
        <v>0</v>
      </c>
      <c r="I154" s="234">
        <f>VLOOKUP(tabParametros[[#This Row],[Código do Posto]],tabPostos[],9,0)</f>
        <v>824.56</v>
      </c>
      <c r="J154" s="234">
        <f>IF(ISNUMBER(SEARCH("Eletricista",tabParametros[[#This Row],[Função]],1)),0.3*tabParametros[[#This Row],[Salário Base]],0)</f>
        <v>0</v>
      </c>
      <c r="K154" s="234">
        <f>IF(OR(ISNUMBER(SEARCH("Bombeiro Hidraulico",tabParametros[[#This Row],[Função]],1)),ISNUMBER(SEARCH("Jardineiro",tabParametros[[#This Row],[Função]],1)),ISNUMBER(SEARCH("Lavador de Veiculos",tabParametros[[#This Row],[Função]],1)),ISNUMBER(SEARCH("Marceneiro",tabParametros[[#This Row],[Função]],1)),ISNUMBER(SEARCH("Pintor",tabParametros[[#This Row],[Função]],1))),0.2*'BASE GERAL'!$R$4,0)</f>
        <v>0</v>
      </c>
      <c r="L154" s="234">
        <f>IF(AND(ISNUMBER(SEARCH("Noturno",tabParametros[[#This Row],[Função]],1)),tabParametros[[#This Row],[Comarca]]&lt;&gt;"Juiz de Fora"),tabParametros[[#This Row],[Salário Base]]/210*0.39*7*15.5,IF(ISNUMBER(SEARCH("Noturno",tabParametros[[#This Row],[Função]],1)),tabParametros[[#This Row],[Salário Base]]/210*0.2*8*15.5,0))</f>
        <v>0</v>
      </c>
      <c r="M154" s="234">
        <f>IF(ISNUMBER(SEARCH("Motorista II",tabParametros[[#This Row],[Função]],1)),0.25*tabParametros[[#This Row],[Salário Base]],0)</f>
        <v>0</v>
      </c>
      <c r="N154" s="250">
        <v>0</v>
      </c>
      <c r="O154" s="234">
        <f>IF(ISNUMBER(SEARCH("TECNOLOGIA DA INFORMACAO",tabParametros[[#This Row],[Função]],1)),0.0201*tabParametros[[#This Row],[Salário Base]],0)</f>
        <v>0</v>
      </c>
      <c r="P154" s="250" cm="1">
        <f t="array" ref="P154">_xlfn.IFS(
ISNUMBER(SEARCH("Auxiliar de Limpeza - 75 h",tabParametros[[#This Row],[Função]],1)),tabParametros[[#This Row],[Salário Base]]/75*0.75*30*0.12,
ISNUMBER(SEARCH("Auxiliar de Limpeza - 110 h",tabParametros[[#This Row],[Função]],1)),tabParametros[[#This Row],[Salário Base]]/110*1*30*0.12,
ISNUMBER(SEARCH("Auxiliar de Limpeza - 150 h",tabParametros[[#This Row],[Função]],1)),tabParametros[[#This Row],[Salário Base]]/150*1.5*30*0.12,
ISNUMBER(SEARCH("Auxiliar de Limpeza - 220 h",tabParametros[[#This Row],[Função]],1)),tabParametros[[#This Row],[Salário Base]]/220*2*30*0.12,
ISNUMBER(SEARCH("Auxiliar de Limpeza - 12 x 36",tabParametros[[#This Row],[Função]],1)),tabParametros[[#This Row],[Salário Base]]/220*2*30*0.12,
ISNUMBER(SEARCH("Auxiliar de Limpeza - 55 h",tabParametros[[#This Row],[Função]],1))=FALSE,0)</f>
        <v>26.985599999999998</v>
      </c>
      <c r="Q154" s="235">
        <f>VLOOKUP(tabParametros[[#Headers],[INSS]],tabImpostosNacionais[],2,0)</f>
        <v>0.2</v>
      </c>
      <c r="R154" s="235">
        <f>VLOOKUP(tabParametros[[#Headers],[SESI OU SESC]],tabImpostosNacionais[],2,0)</f>
        <v>1.4999999999999999E-2</v>
      </c>
      <c r="S154" s="235">
        <f>VLOOKUP(tabParametros[[#Headers],[SENAI OU SENAC]],tabImpostosNacionais[],2,0)</f>
        <v>0.01</v>
      </c>
      <c r="T154" s="235">
        <f>VLOOKUP(tabParametros[[#Headers],[INCRA]],tabImpostosNacionais[],2,0)</f>
        <v>2E-3</v>
      </c>
      <c r="U154" s="235">
        <f>VLOOKUP(tabParametros[[#Headers],[Salário Educação]],tabImpostosNacionais[],2,0)</f>
        <v>2.5000000000000001E-2</v>
      </c>
      <c r="V154" s="235">
        <f>VLOOKUP(tabParametros[[#Headers],[FGTS]],tabImpostosNacionais[],2,0)</f>
        <v>0.08</v>
      </c>
      <c r="W154" s="235">
        <f>VLOOKUP(tabParametros[[#Headers],[RAT Ajustado]],tabImpostosNacionais[],2,0)</f>
        <v>0.04</v>
      </c>
      <c r="X154" s="235">
        <f>VLOOKUP(tabParametros[[#Headers],[SEBRAE]],tabImpostosNacionais[],2,0)</f>
        <v>6.0000000000000001E-3</v>
      </c>
      <c r="Y154" s="235">
        <f t="shared" si="22"/>
        <v>8.3333333333333329E-2</v>
      </c>
      <c r="Z154" s="251">
        <f t="shared" si="23"/>
        <v>0.1111111111111111</v>
      </c>
      <c r="AA154" s="234">
        <f>VLOOKUP(tabParametros[[#This Row],[Comarca]],tabComarca[],5,0)</f>
        <v>6.4</v>
      </c>
      <c r="AB154" s="234">
        <f>IFERROR(VLOOKUP(tabParametros[[#This Row],[CCT DA CATEGORIA]],tabSindicatos[],6,0),0)</f>
        <v>29.15</v>
      </c>
      <c r="AC154" s="234">
        <f>IFERROR(VLOOKUP(tabParametros[[#This Row],[CCT DA CATEGORIA]],tabSindicatos[],7,0),0)</f>
        <v>0</v>
      </c>
      <c r="AD154" s="234" cm="1">
        <f t="array" ref="AD154">_xlfn.LET(
_xlpm.COMARCA, TRIM(UPPER(SUBSTITUTE(SUBSTITUTE(SUBSTITUTE(SUBSTITUTE(SUBSTITUTE(SUBSTITUTE(SUBSTITUTE(SUBSTITUTE(SUBSTITUTE(SUBSTITUTE(SUBSTITUTE(SUBSTITUTE(SUBSTITUTE(SUBSTITUTE(SUBSTITUTE(SUBSTITUTE(SUBSTITUTE(SUBSTITUTE(SUBSTITUTE(SUBSTITUTE(SUBSTITUTE(SUBSTITUTE(SUBSTITUTE(SUBSTITUTE(SUBSTITUTE(SUBSTITUTE(tabParametros[[#This Row],[Comarca]],"á","a"),"ã","a"),"â","a"),"é","e"),"ê","e"),"í","i"),"ó","o"),"õ","o"),"ô","o"),"ú","u"),"ç","c"),"Á","a"),"Ã","a"),"Â","a"),"É","e"),"Ê","e"),"Í","i"),"Ó","o"),"Õ","o"),"Ô","o"),"Ú","u"),"Ç","c"),"/MG","")," e ",", ")," ",""),".",""))),
_xlpm.MATRIZ_COMARCA, TRIM(UPPER(SUBSTITUTE(SUBSTITUTE(SUBSTITUTE(SUBSTITUTE(SUBSTITUTE(SUBSTITUTE(SUBSTITUTE(SUBSTITUTE(SUBSTITUTE(SUBSTITUTE(SUBSTITUTE(SUBSTITUTE(SUBSTITUTE(SUBSTITUTE(SUBSTITUTE(SUBSTITUTE(SUBSTITUTE(SUBSTITUTE(SUBSTITUTE(SUBSTITUTE(SUBSTITUTE(SUBSTITUTE(SUBSTITUTE(SUBSTITUTE(SUBSTITUTE(SUBSTITUTE(tabSindicatos[COMARCAS PAF],"á","a"),"ã","a"),"â","a"),"é","e"),"ê","e"),"í","i"),"ó","o"),"õ","o"),"ô","o"),"ú","u"),"ç","c"),"Á","a"),"Ã","a"),"Â","a"),"É","e"),"Ê","e"),"Í","i"),"Ó","o"),"Õ","o"),"Ô","o"),"Ú","u"),"Ç","c"),"/MG","")," e ",", ")," ",""),".",""))),
IFERROR(IF(_xlfn.XLOOKUP(tabParametros[[#This Row],[CCT DA CATEGORIA]],tabSindicatos[SINDICATOS],tabSindicatos[COMARCAS PAF])="",
VLOOKUP(tabParametros[[#This Row],[CCT DA CATEGORIA]],tabSindicatos[],8,0),
IF(ISNUMBER(SEARCH(TRIM(_xlpm.COMARCA),_xlfn.XLOOKUP(tabParametros[[#This Row],[CCT DA CATEGORIA]],tabSindicatos[SINDICATOS],_xlpm.MATRIZ_COMARCA),1)),VLOOKUP(tabParametros[[#This Row],[CCT DA CATEGORIA]],tabSindicatos[],8,0),0)
),0)
)</f>
        <v>77.25</v>
      </c>
      <c r="AE154" s="234">
        <f>IFERROR(VLOOKUP(tabParametros[[#This Row],[CCT DA CATEGORIA]],tabSindicatos[],9,0),0)</f>
        <v>0</v>
      </c>
      <c r="AF154" s="234">
        <f>IFERROR(VLOOKUP(tabParametros[[#This Row],[CCT DA CATEGORIA]],tabSindicatos[],10,0),0)</f>
        <v>0</v>
      </c>
      <c r="AG154" s="236">
        <f>VLOOKUP(tabParametros[[#Headers],[Seguro de Vida]],tabOutrosCustos[],3,0)</f>
        <v>3.36</v>
      </c>
      <c r="AH154" s="236">
        <f>IF(ISNUMBER(SEARCH("MOTORISTA",tabParametros[[#This Row],[Função]],1)),VLOOKUP("MOTORISTAS",tabDiarias[],2,0),IF(tabParametros[[#This Row],[Comarca]]="Belo Horizonte",VLOOKUP("LIMPEZA",tabDiarias[],2,0),0))</f>
        <v>0</v>
      </c>
      <c r="AI154" s="235">
        <f t="shared" si="24"/>
        <v>7.011766975308642E-3</v>
      </c>
      <c r="AJ154" s="237">
        <f>tabParametros[[#This Row],[FGTS]]*tabParametros[[#This Row],[Aviso Prévio Indenizado (API) e Reflexo do Aviso Prévio Indenizado]]</f>
        <v>5.609413580246914E-4</v>
      </c>
      <c r="AK154" s="237">
        <f>tabParametros[[#This Row],[FGTS]]*tabParametros[[#This Row],[Aviso Prévio Indenizado (API) e Reflexo do Aviso Prévio Indenizado]]*40%</f>
        <v>2.2437654320987658E-4</v>
      </c>
      <c r="AL154" s="235">
        <f t="shared" si="25"/>
        <v>3.5000000000000005E-3</v>
      </c>
      <c r="AM154" s="235">
        <f>tabParametros[[#This Row],[Aviso Prévio Trabalhado - APT]]*SUM(tabParametros[[#This Row],[INSS]:[SEBRAE]])</f>
        <v>1.3230000000000004E-3</v>
      </c>
      <c r="AN154" s="235">
        <f t="shared" si="26"/>
        <v>3.0577777777777773E-2</v>
      </c>
      <c r="AO154" s="235">
        <f t="shared" si="27"/>
        <v>8.3333333333333339E-4</v>
      </c>
      <c r="AP154" s="235">
        <f t="shared" si="28"/>
        <v>8.4444444444444437E-3</v>
      </c>
      <c r="AQ154" s="235">
        <f t="shared" si="29"/>
        <v>2.0277777777777777E-3</v>
      </c>
      <c r="AR154" s="235">
        <f t="shared" si="30"/>
        <v>1.7083333333333333E-4</v>
      </c>
      <c r="AS154" s="235">
        <f t="shared" si="31"/>
        <v>2.0833333333333335E-4</v>
      </c>
      <c r="AT154" s="235">
        <f t="shared" si="32"/>
        <v>1.2962962962962963E-3</v>
      </c>
      <c r="AU154" s="237">
        <f>SUM(tabParametros[[#This Row],[Ausência por Doença]:[Férias, Adicional de Férias e 13º  com empregada em gozo de Licença Maternidade]])*SUM(tabParametros[[#This Row],[INSS]:[SEBRAE]])</f>
        <v>4.5918250000000008E-3</v>
      </c>
      <c r="AV154" s="234">
        <f>IF(tabParametros[[#This Row],[Função]]="Porteiro - 220 h",SUM(tabParametros[[#This Row],[Salário Base]:[Adicional de Acúmulo de função]])/220*20*1.5,IF(ISNUMBER(SEARCH("12 x 36",tabParametros[[#This Row],[Função]],1)),SUM(tabParametros[[#This Row],[Salário Base]:[Adicional de Acúmulo de função]])/210*15.5*1.5,0))</f>
        <v>0</v>
      </c>
      <c r="AW154" s="234">
        <f>IF(tabParametros[[#This Row],[Vagas contratadas]]&gt;0,(SUM(tabParametros[[#This Row],[Salário Base]:[Adicional de Acúmulo de função]])*30%+SUM(tabParametros[[#This Row],[Vale - Alimentação]:[Seguro de Vida]]))/tabParametros[[#This Row],[Vagas contratadas]]*tabParametros[[#This Row],[Vagas suspensas]],0)</f>
        <v>0</v>
      </c>
      <c r="AX154" s="234">
        <f>SUMIF(tabUniformes[Cargo],tabParametros[[#This Row],[Função]],tabUniformes[Valor unit. Mensal])</f>
        <v>62.806666666666665</v>
      </c>
      <c r="AY154" s="281">
        <f>IF(ISNUMBER(SEARCH("AUXILIAR DE LIMPEZA - 75 H",tabParametros[[#This Row],[Função]],1)),
SUMIF(tabLimpGeral[TIPO],"Material",tabLimpGeral[VALOR UNITÁRIO P/ HORA (R$)])*75,
IF(ISNUMBER(SEARCH("AUXILIAR DE LIMPEZA - 110 H",tabParametros[[#This Row],[Função]],1)),
SUMIF(tabLimpGeral[TIPO],"Material",tabLimpGeral[VALOR UNITÁRIO P/ HORA (R$)])*110,
IF(ISNUMBER(SEARCH("AUXILIAR DE LIMPEZA - 150 H",tabParametros[[#This Row],[Função]],1)),
SUMIF(tabLimpGeral[TIPO],"Material",tabLimpGeral[VALOR UNITÁRIO P/ HORA (R$)])*150,
IF(ISNUMBER(SEARCH("AUXILIAR DE LIMPEZA - 220 H",tabParametros[[#This Row],[Função]],1)),
SUMIF(tabLimpGeral[TIPO],"Material",tabLimpGeral[VALOR UNITÁRIO P/ HORA (R$)])*220,
IF(ISNUMBER(SEARCH("AUXILIAR DE LIMPEZA - 12 x 36",tabParametros[[#This Row],[Função]],1)),
SUMIF(tabLimpGeral[TIPO],"Material",tabLimpGeral[VALOR UNITÁRIO P/ HORA (R$)])*220,
IF(ISNUMBER(SEARCH("Limpador de vidros - 220 h",tabParametros[[#This Row],[Função]],1)),
SUMIF(tabVidros[TIPO],"Material",tabVidros[VALOR UNITÁRIO P/ POSTO (R$)]),
0))))))</f>
        <v>17.759106479291944</v>
      </c>
      <c r="AZ154" s="281">
        <f>IF(ISNUMBER(SEARCH("AUXILIAR DE LIMPEZA - 75 H",tabParametros[[#This Row],[Função]],1)),
SUMIF(tabLimpGeral[TIPO],"Equipamento",tabLimpGeral[VALOR UNITÁRIO P/ HORA (R$)])*75,
IF(ISNUMBER(SEARCH("AUXILIAR DE LIMPEZA - 110 H",tabParametros[[#This Row],[Função]],1)),
SUMIF(tabLimpGeral[TIPO],"Equipamento",tabLimpGeral[VALOR UNITÁRIO P/ HORA (R$)])*110,
IF(ISNUMBER(SEARCH("AUXILIAR DE LIMPEZA - 150 H",tabParametros[[#This Row],[Função]],1)),
SUMIF(tabLimpGeral[TIPO],"Equipamento",tabLimpGeral[VALOR UNITÁRIO P/ HORA (R$)])*150,
IF(ISNUMBER(SEARCH("AUXILIAR DE LIMPEZA - 220 H",tabParametros[[#This Row],[Função]],1)),
SUMIF(tabLimpGeral[TIPO],"Equipamento",tabLimpGeral[VALOR UNITÁRIO P/ HORA (R$)])*220,
IF(ISNUMBER(SEARCH("AUXILIAR DE LIMPEZA - 12 x 36",tabParametros[[#This Row],[Função]],1)),
SUMIF(tabLimpGeral[TIPO],"Equipamento",tabLimpGeral[VALOR UNITÁRIO P/ HORA (R$)])*220,
IF(ISNUMBER(SEARCH("Limpador de vidros - 220 h",tabParametros[[#This Row],[Função]],1)),
SUMIF(tabVidros[TIPO],"Equipamento",tabVidros[VALOR UNITÁRIO P/ POSTO (R$)]),
0))))))</f>
        <v>32.264696957412788</v>
      </c>
      <c r="BA154" s="281">
        <f>IF(ISNUMBER(SEARCH("AUXILIAR DE LIMPEZA - 75 H",tabParametros[[#This Row],[Função]],1)),
SUMIF(tabLimpGeral[TIPO],"Produto",tabLimpGeral[VALOR UNITÁRIO P/ HORA (R$)])*75,
IF(ISNUMBER(SEARCH("AUXILIAR DE LIMPEZA - 110 H",tabParametros[[#This Row],[Função]],1)),
SUMIF(tabLimpGeral[TIPO],"Produto",tabLimpGeral[VALOR UNITÁRIO P/ HORA (R$)])*110,
IF(ISNUMBER(SEARCH("AUXILIAR DE LIMPEZA - 150 H",tabParametros[[#This Row],[Função]],1)),
SUMIF(tabLimpGeral[TIPO],"Produto",tabLimpGeral[VALOR UNITÁRIO P/ HORA (R$)])*150,
IF(ISNUMBER(SEARCH("AUXILIAR DE LIMPEZA - 220 H",tabParametros[[#This Row],[Função]],1)),
SUMIF(tabLimpGeral[TIPO],"Produto",tabLimpGeral[VALOR UNITÁRIO P/ HORA (R$)])*220,
IF(ISNUMBER(SEARCH("AUXILIAR DE LIMPEZA - 12 x 36",tabParametros[[#This Row],[Função]],1)),
SUMIF(tabLimpGeral[TIPO],"Produto",tabLimpGeral[VALOR UNITÁRIO P/ HORA (R$)])*220,
IF(ISNUMBER(SEARCH("Limpador de vidros - 220 h",tabParametros[[#This Row],[Função]],1)),
SUMIF(tabVidros[TIPO],"Produto",tabVidros[VALOR UNITÁRIO P/ POSTO (R$)]),
0))))))</f>
        <v>345.13576638965827</v>
      </c>
      <c r="BB154" s="281">
        <v>0</v>
      </c>
      <c r="BC154" s="236">
        <f>VLOOKUP(tabParametros[[#Headers],[Custos Indiretos]],tabOutrosCustos[],3,0)</f>
        <v>189.64880140242613</v>
      </c>
      <c r="BD154" s="236">
        <f>VLOOKUP(tabParametros[[#Headers],[Lucro]],tabOutrosCustos[],3,0)</f>
        <v>159.30499317803796</v>
      </c>
      <c r="BE154" s="235">
        <f>VLOOKUP(tabParametros[[#Headers],[COFINS]],tabImpostosNacionais[],2,0)</f>
        <v>7.5999999999999998E-2</v>
      </c>
      <c r="BF154" s="235">
        <f>VLOOKUP(tabParametros[[#Headers],[PIS]],tabImpostosNacionais[],2,0)</f>
        <v>1.6500000000000001E-2</v>
      </c>
      <c r="BG154" s="235">
        <f>VLOOKUP(tabParametros[[#This Row],[Comarca]],tabComarca[],4,0)</f>
        <v>0.03</v>
      </c>
      <c r="BH154" s="238">
        <f>IFERROR(VLOOKUP(tabParametros[[#This Row],[CCT DA CATEGORIA]],tabSindicatos[],11,0),"")</f>
        <v>45658</v>
      </c>
      <c r="BI154" s="289" t="str">
        <f>IFERROR(VLOOKUP(tabParametros[[#This Row],[CCT DA CATEGORIA]],tabSindicatos[],12,0),"")</f>
        <v>-</v>
      </c>
      <c r="BJ154" s="293" t="str">
        <f>IFERROR(VLOOKUP(tabParametros[[#This Row],[CCT DA CATEGORIA]],tabSindicatos[],13,0),"")</f>
        <v>-</v>
      </c>
    </row>
    <row r="155" spans="1:62" x14ac:dyDescent="0.25">
      <c r="A155" s="233" t="s">
        <v>1491</v>
      </c>
      <c r="B155" s="198" t="s">
        <v>140</v>
      </c>
      <c r="C155" s="198" t="s">
        <v>1247</v>
      </c>
      <c r="D155" s="198" t="str">
        <f>VLOOKUP(tabParametros[[#This Row],[Código do Posto]],tabPostos[],4,0)</f>
        <v>Regiao de Juiz de Fora</v>
      </c>
      <c r="E155" s="289" t="str">
        <f>VLOOKUP(tabParametros[[#This Row],[Código do Posto]],tabPostos[],5,0)</f>
        <v>Limpeza</v>
      </c>
      <c r="F155" s="289" t="str">
        <f>VLOOKUP(tabParametros[[#This Row],[Código do Posto]],tabPostos[],6,0)</f>
        <v>PGJ</v>
      </c>
      <c r="G155" s="289">
        <f>VLOOKUP(tabParametros[[#This Row],[Código do Posto]],tabPostos[],7,0)</f>
        <v>1</v>
      </c>
      <c r="H155" s="289">
        <f>VLOOKUP(tabParametros[[#This Row],[Código do Posto]],tabPostos[],8,0)</f>
        <v>0</v>
      </c>
      <c r="I155" s="234">
        <f>VLOOKUP(tabParametros[[#This Row],[Código do Posto]],tabPostos[],9,0)</f>
        <v>544.17999999999995</v>
      </c>
      <c r="J155" s="234">
        <f>IF(ISNUMBER(SEARCH("Eletricista",tabParametros[[#This Row],[Função]],1)),0.3*tabParametros[[#This Row],[Salário Base]],0)</f>
        <v>0</v>
      </c>
      <c r="K155" s="234">
        <f>IF(OR(ISNUMBER(SEARCH("Bombeiro Hidraulico",tabParametros[[#This Row],[Função]],1)),ISNUMBER(SEARCH("Jardineiro",tabParametros[[#This Row],[Função]],1)),ISNUMBER(SEARCH("Lavador de Veiculos",tabParametros[[#This Row],[Função]],1)),ISNUMBER(SEARCH("Marceneiro",tabParametros[[#This Row],[Função]],1)),ISNUMBER(SEARCH("Pintor",tabParametros[[#This Row],[Função]],1))),0.2*'BASE GERAL'!$R$4,0)</f>
        <v>0</v>
      </c>
      <c r="L155" s="234">
        <f>IF(AND(ISNUMBER(SEARCH("Noturno",tabParametros[[#This Row],[Função]],1)),tabParametros[[#This Row],[Comarca]]&lt;&gt;"Juiz de Fora"),tabParametros[[#This Row],[Salário Base]]/210*0.39*7*15.5,IF(ISNUMBER(SEARCH("Noturno",tabParametros[[#This Row],[Função]],1)),tabParametros[[#This Row],[Salário Base]]/210*0.2*8*15.5,0))</f>
        <v>0</v>
      </c>
      <c r="M155" s="234">
        <f>IF(ISNUMBER(SEARCH("Motorista II",tabParametros[[#This Row],[Função]],1)),0.25*tabParametros[[#This Row],[Salário Base]],0)</f>
        <v>0</v>
      </c>
      <c r="N155" s="250">
        <v>0</v>
      </c>
      <c r="O155" s="234">
        <f>IF(ISNUMBER(SEARCH("TECNOLOGIA DA INFORMACAO",tabParametros[[#This Row],[Função]],1)),0.0201*tabParametros[[#This Row],[Salário Base]],0)</f>
        <v>0</v>
      </c>
      <c r="P155" s="250" cm="1">
        <f t="array" ref="P155">_xlfn.IFS(
ISNUMBER(SEARCH("Auxiliar de Limpeza - 75 h",tabParametros[[#This Row],[Função]],1)),tabParametros[[#This Row],[Salário Base]]/75*0.75*30*0.12,
ISNUMBER(SEARCH("Auxiliar de Limpeza - 110 h",tabParametros[[#This Row],[Função]],1)),tabParametros[[#This Row],[Salário Base]]/110*1*30*0.12,
ISNUMBER(SEARCH("Auxiliar de Limpeza - 150 h",tabParametros[[#This Row],[Função]],1)),tabParametros[[#This Row],[Salário Base]]/150*1.5*30*0.12,
ISNUMBER(SEARCH("Auxiliar de Limpeza - 220 h",tabParametros[[#This Row],[Função]],1)),tabParametros[[#This Row],[Salário Base]]/220*2*30*0.12,
ISNUMBER(SEARCH("Auxiliar de Limpeza - 12 x 36",tabParametros[[#This Row],[Função]],1)),tabParametros[[#This Row],[Salário Base]]/220*2*30*0.12,
ISNUMBER(SEARCH("Auxiliar de Limpeza - 55 h",tabParametros[[#This Row],[Função]],1))=FALSE,0)</f>
        <v>19.590479999999999</v>
      </c>
      <c r="Q155" s="235">
        <f>VLOOKUP(tabParametros[[#Headers],[INSS]],tabImpostosNacionais[],2,0)</f>
        <v>0.2</v>
      </c>
      <c r="R155" s="235">
        <f>VLOOKUP(tabParametros[[#Headers],[SESI OU SESC]],tabImpostosNacionais[],2,0)</f>
        <v>1.4999999999999999E-2</v>
      </c>
      <c r="S155" s="235">
        <f>VLOOKUP(tabParametros[[#Headers],[SENAI OU SENAC]],tabImpostosNacionais[],2,0)</f>
        <v>0.01</v>
      </c>
      <c r="T155" s="235">
        <f>VLOOKUP(tabParametros[[#Headers],[INCRA]],tabImpostosNacionais[],2,0)</f>
        <v>2E-3</v>
      </c>
      <c r="U155" s="235">
        <f>VLOOKUP(tabParametros[[#Headers],[Salário Educação]],tabImpostosNacionais[],2,0)</f>
        <v>2.5000000000000001E-2</v>
      </c>
      <c r="V155" s="235">
        <f>VLOOKUP(tabParametros[[#Headers],[FGTS]],tabImpostosNacionais[],2,0)</f>
        <v>0.08</v>
      </c>
      <c r="W155" s="235">
        <f>VLOOKUP(tabParametros[[#Headers],[RAT Ajustado]],tabImpostosNacionais[],2,0)</f>
        <v>0.04</v>
      </c>
      <c r="X155" s="235">
        <f>VLOOKUP(tabParametros[[#Headers],[SEBRAE]],tabImpostosNacionais[],2,0)</f>
        <v>6.0000000000000001E-3</v>
      </c>
      <c r="Y155" s="235">
        <f t="shared" si="22"/>
        <v>8.3333333333333329E-2</v>
      </c>
      <c r="Z155" s="251">
        <f t="shared" si="23"/>
        <v>0.1111111111111111</v>
      </c>
      <c r="AA155" s="234">
        <f>VLOOKUP(tabParametros[[#This Row],[Comarca]],tabComarca[],5,0)</f>
        <v>6.4</v>
      </c>
      <c r="AB155" s="234">
        <f>IFERROR(VLOOKUP(tabParametros[[#This Row],[CCT DA CATEGORIA]],tabSindicatos[],6,0),0)</f>
        <v>29.15</v>
      </c>
      <c r="AC155" s="234">
        <f>IFERROR(VLOOKUP(tabParametros[[#This Row],[CCT DA CATEGORIA]],tabSindicatos[],7,0),0)</f>
        <v>0</v>
      </c>
      <c r="AD155" s="234" cm="1">
        <f t="array" ref="AD155">_xlfn.LET(
_xlpm.COMARCA, TRIM(UPPER(SUBSTITUTE(SUBSTITUTE(SUBSTITUTE(SUBSTITUTE(SUBSTITUTE(SUBSTITUTE(SUBSTITUTE(SUBSTITUTE(SUBSTITUTE(SUBSTITUTE(SUBSTITUTE(SUBSTITUTE(SUBSTITUTE(SUBSTITUTE(SUBSTITUTE(SUBSTITUTE(SUBSTITUTE(SUBSTITUTE(SUBSTITUTE(SUBSTITUTE(SUBSTITUTE(SUBSTITUTE(SUBSTITUTE(SUBSTITUTE(SUBSTITUTE(SUBSTITUTE(tabParametros[[#This Row],[Comarca]],"á","a"),"ã","a"),"â","a"),"é","e"),"ê","e"),"í","i"),"ó","o"),"õ","o"),"ô","o"),"ú","u"),"ç","c"),"Á","a"),"Ã","a"),"Â","a"),"É","e"),"Ê","e"),"Í","i"),"Ó","o"),"Õ","o"),"Ô","o"),"Ú","u"),"Ç","c"),"/MG","")," e ",", ")," ",""),".",""))),
_xlpm.MATRIZ_COMARCA, TRIM(UPPER(SUBSTITUTE(SUBSTITUTE(SUBSTITUTE(SUBSTITUTE(SUBSTITUTE(SUBSTITUTE(SUBSTITUTE(SUBSTITUTE(SUBSTITUTE(SUBSTITUTE(SUBSTITUTE(SUBSTITUTE(SUBSTITUTE(SUBSTITUTE(SUBSTITUTE(SUBSTITUTE(SUBSTITUTE(SUBSTITUTE(SUBSTITUTE(SUBSTITUTE(SUBSTITUTE(SUBSTITUTE(SUBSTITUTE(SUBSTITUTE(SUBSTITUTE(SUBSTITUTE(tabSindicatos[COMARCAS PAF],"á","a"),"ã","a"),"â","a"),"é","e"),"ê","e"),"í","i"),"ó","o"),"õ","o"),"ô","o"),"ú","u"),"ç","c"),"Á","a"),"Ã","a"),"Â","a"),"É","e"),"Ê","e"),"Í","i"),"Ó","o"),"Õ","o"),"Ô","o"),"Ú","u"),"Ç","c"),"/MG","")," e ",", ")," ",""),".",""))),
IFERROR(IF(_xlfn.XLOOKUP(tabParametros[[#This Row],[CCT DA CATEGORIA]],tabSindicatos[SINDICATOS],tabSindicatos[COMARCAS PAF])="",
VLOOKUP(tabParametros[[#This Row],[CCT DA CATEGORIA]],tabSindicatos[],8,0),
IF(ISNUMBER(SEARCH(TRIM(_xlpm.COMARCA),_xlfn.XLOOKUP(tabParametros[[#This Row],[CCT DA CATEGORIA]],tabSindicatos[SINDICATOS],_xlpm.MATRIZ_COMARCA),1)),VLOOKUP(tabParametros[[#This Row],[CCT DA CATEGORIA]],tabSindicatos[],8,0),0)
),0)
)</f>
        <v>51.88</v>
      </c>
      <c r="AE155" s="234">
        <f>IFERROR(VLOOKUP(tabParametros[[#This Row],[CCT DA CATEGORIA]],tabSindicatos[],9,0),0)</f>
        <v>0</v>
      </c>
      <c r="AF155" s="234">
        <f>IFERROR(VLOOKUP(tabParametros[[#This Row],[CCT DA CATEGORIA]],tabSindicatos[],10,0),0)</f>
        <v>0</v>
      </c>
      <c r="AG155" s="236">
        <f>VLOOKUP(tabParametros[[#Headers],[Seguro de Vida]],tabOutrosCustos[],3,0)</f>
        <v>3.36</v>
      </c>
      <c r="AH155" s="236">
        <f>IF(ISNUMBER(SEARCH("MOTORISTA",tabParametros[[#This Row],[Função]],1)),VLOOKUP("MOTORISTAS",tabDiarias[],2,0),IF(tabParametros[[#This Row],[Comarca]]="Belo Horizonte",VLOOKUP("LIMPEZA",tabDiarias[],2,0),0))</f>
        <v>0</v>
      </c>
      <c r="AI155" s="235">
        <f t="shared" si="24"/>
        <v>7.011766975308642E-3</v>
      </c>
      <c r="AJ155" s="237">
        <f>tabParametros[[#This Row],[FGTS]]*tabParametros[[#This Row],[Aviso Prévio Indenizado (API) e Reflexo do Aviso Prévio Indenizado]]</f>
        <v>5.609413580246914E-4</v>
      </c>
      <c r="AK155" s="237">
        <f>tabParametros[[#This Row],[FGTS]]*tabParametros[[#This Row],[Aviso Prévio Indenizado (API) e Reflexo do Aviso Prévio Indenizado]]*40%</f>
        <v>2.2437654320987658E-4</v>
      </c>
      <c r="AL155" s="235">
        <f t="shared" si="25"/>
        <v>3.5000000000000005E-3</v>
      </c>
      <c r="AM155" s="235">
        <f>tabParametros[[#This Row],[Aviso Prévio Trabalhado - APT]]*SUM(tabParametros[[#This Row],[INSS]:[SEBRAE]])</f>
        <v>1.3230000000000004E-3</v>
      </c>
      <c r="AN155" s="235">
        <f t="shared" si="26"/>
        <v>3.0577777777777773E-2</v>
      </c>
      <c r="AO155" s="235">
        <f t="shared" si="27"/>
        <v>8.3333333333333339E-4</v>
      </c>
      <c r="AP155" s="235">
        <f t="shared" si="28"/>
        <v>8.4444444444444437E-3</v>
      </c>
      <c r="AQ155" s="235">
        <f t="shared" si="29"/>
        <v>2.0277777777777777E-3</v>
      </c>
      <c r="AR155" s="235">
        <f t="shared" si="30"/>
        <v>1.7083333333333333E-4</v>
      </c>
      <c r="AS155" s="235">
        <f t="shared" si="31"/>
        <v>2.0833333333333335E-4</v>
      </c>
      <c r="AT155" s="235">
        <f t="shared" si="32"/>
        <v>1.2962962962962963E-3</v>
      </c>
      <c r="AU155" s="237">
        <f>SUM(tabParametros[[#This Row],[Ausência por Doença]:[Férias, Adicional de Férias e 13º  com empregada em gozo de Licença Maternidade]])*SUM(tabParametros[[#This Row],[INSS]:[SEBRAE]])</f>
        <v>4.5918250000000008E-3</v>
      </c>
      <c r="AV155" s="234">
        <f>IF(tabParametros[[#This Row],[Função]]="Porteiro - 220 h",SUM(tabParametros[[#This Row],[Salário Base]:[Adicional de Acúmulo de função]])/220*20*1.5,IF(ISNUMBER(SEARCH("12 x 36",tabParametros[[#This Row],[Função]],1)),SUM(tabParametros[[#This Row],[Salário Base]:[Adicional de Acúmulo de função]])/210*15.5*1.5,0))</f>
        <v>0</v>
      </c>
      <c r="AW155" s="234">
        <f>IF(tabParametros[[#This Row],[Vagas contratadas]]&gt;0,(SUM(tabParametros[[#This Row],[Salário Base]:[Adicional de Acúmulo de função]])*30%+SUM(tabParametros[[#This Row],[Vale - Alimentação]:[Seguro de Vida]]))/tabParametros[[#This Row],[Vagas contratadas]]*tabParametros[[#This Row],[Vagas suspensas]],0)</f>
        <v>0</v>
      </c>
      <c r="AX155" s="234">
        <f>SUMIF(tabUniformes[Cargo],tabParametros[[#This Row],[Função]],tabUniformes[Valor unit. Mensal])</f>
        <v>62.806666666666665</v>
      </c>
      <c r="AY155" s="281">
        <f>IF(ISNUMBER(SEARCH("AUXILIAR DE LIMPEZA - 75 H",tabParametros[[#This Row],[Função]],1)),
SUMIF(tabLimpGeral[TIPO],"Material",tabLimpGeral[VALOR UNITÁRIO P/ HORA (R$)])*75,
IF(ISNUMBER(SEARCH("AUXILIAR DE LIMPEZA - 110 H",tabParametros[[#This Row],[Função]],1)),
SUMIF(tabLimpGeral[TIPO],"Material",tabLimpGeral[VALOR UNITÁRIO P/ HORA (R$)])*110,
IF(ISNUMBER(SEARCH("AUXILIAR DE LIMPEZA - 150 H",tabParametros[[#This Row],[Função]],1)),
SUMIF(tabLimpGeral[TIPO],"Material",tabLimpGeral[VALOR UNITÁRIO P/ HORA (R$)])*150,
IF(ISNUMBER(SEARCH("AUXILIAR DE LIMPEZA - 220 H",tabParametros[[#This Row],[Função]],1)),
SUMIF(tabLimpGeral[TIPO],"Material",tabLimpGeral[VALOR UNITÁRIO P/ HORA (R$)])*220,
IF(ISNUMBER(SEARCH("AUXILIAR DE LIMPEZA - 12 x 36",tabParametros[[#This Row],[Função]],1)),
SUMIF(tabLimpGeral[TIPO],"Material",tabLimpGeral[VALOR UNITÁRIO P/ HORA (R$)])*220,
IF(ISNUMBER(SEARCH("Limpador de vidros - 220 h",tabParametros[[#This Row],[Função]],1)),
SUMIF(tabVidros[TIPO],"Material",tabVidros[VALOR UNITÁRIO P/ POSTO (R$)]),
0))))))</f>
        <v>12.108481690426325</v>
      </c>
      <c r="AZ155" s="281">
        <f>IF(ISNUMBER(SEARCH("AUXILIAR DE LIMPEZA - 75 H",tabParametros[[#This Row],[Função]],1)),
SUMIF(tabLimpGeral[TIPO],"Equipamento",tabLimpGeral[VALOR UNITÁRIO P/ HORA (R$)])*75,
IF(ISNUMBER(SEARCH("AUXILIAR DE LIMPEZA - 110 H",tabParametros[[#This Row],[Função]],1)),
SUMIF(tabLimpGeral[TIPO],"Equipamento",tabLimpGeral[VALOR UNITÁRIO P/ HORA (R$)])*110,
IF(ISNUMBER(SEARCH("AUXILIAR DE LIMPEZA - 150 H",tabParametros[[#This Row],[Função]],1)),
SUMIF(tabLimpGeral[TIPO],"Equipamento",tabLimpGeral[VALOR UNITÁRIO P/ HORA (R$)])*150,
IF(ISNUMBER(SEARCH("AUXILIAR DE LIMPEZA - 220 H",tabParametros[[#This Row],[Função]],1)),
SUMIF(tabLimpGeral[TIPO],"Equipamento",tabLimpGeral[VALOR UNITÁRIO P/ HORA (R$)])*220,
IF(ISNUMBER(SEARCH("AUXILIAR DE LIMPEZA - 12 x 36",tabParametros[[#This Row],[Função]],1)),
SUMIF(tabLimpGeral[TIPO],"Equipamento",tabLimpGeral[VALOR UNITÁRIO P/ HORA (R$)])*220,
IF(ISNUMBER(SEARCH("Limpador de vidros - 220 h",tabParametros[[#This Row],[Função]],1)),
SUMIF(tabVidros[TIPO],"Equipamento",tabVidros[VALOR UNITÁRIO P/ POSTO (R$)]),
0))))))</f>
        <v>21.998657016417809</v>
      </c>
      <c r="BA155" s="281">
        <f>IF(ISNUMBER(SEARCH("AUXILIAR DE LIMPEZA - 75 H",tabParametros[[#This Row],[Função]],1)),
SUMIF(tabLimpGeral[TIPO],"Produto",tabLimpGeral[VALOR UNITÁRIO P/ HORA (R$)])*75,
IF(ISNUMBER(SEARCH("AUXILIAR DE LIMPEZA - 110 H",tabParametros[[#This Row],[Função]],1)),
SUMIF(tabLimpGeral[TIPO],"Produto",tabLimpGeral[VALOR UNITÁRIO P/ HORA (R$)])*110,
IF(ISNUMBER(SEARCH("AUXILIAR DE LIMPEZA - 150 H",tabParametros[[#This Row],[Função]],1)),
SUMIF(tabLimpGeral[TIPO],"Produto",tabLimpGeral[VALOR UNITÁRIO P/ HORA (R$)])*150,
IF(ISNUMBER(SEARCH("AUXILIAR DE LIMPEZA - 220 H",tabParametros[[#This Row],[Função]],1)),
SUMIF(tabLimpGeral[TIPO],"Produto",tabLimpGeral[VALOR UNITÁRIO P/ HORA (R$)])*220,
IF(ISNUMBER(SEARCH("AUXILIAR DE LIMPEZA - 12 x 36",tabParametros[[#This Row],[Função]],1)),
SUMIF(tabLimpGeral[TIPO],"Produto",tabLimpGeral[VALOR UNITÁRIO P/ HORA (R$)])*220,
IF(ISNUMBER(SEARCH("Limpador de vidros - 220 h",tabParametros[[#This Row],[Função]],1)),
SUMIF(tabVidros[TIPO],"Produto",tabVidros[VALOR UNITÁRIO P/ POSTO (R$)]),
0))))))</f>
        <v>235.31984072022155</v>
      </c>
      <c r="BB155" s="281">
        <v>0</v>
      </c>
      <c r="BC155" s="236">
        <f>VLOOKUP(tabParametros[[#Headers],[Custos Indiretos]],tabOutrosCustos[],3,0)</f>
        <v>189.64880140242613</v>
      </c>
      <c r="BD155" s="236">
        <f>VLOOKUP(tabParametros[[#Headers],[Lucro]],tabOutrosCustos[],3,0)</f>
        <v>159.30499317803796</v>
      </c>
      <c r="BE155" s="235">
        <f>VLOOKUP(tabParametros[[#Headers],[COFINS]],tabImpostosNacionais[],2,0)</f>
        <v>7.5999999999999998E-2</v>
      </c>
      <c r="BF155" s="235">
        <f>VLOOKUP(tabParametros[[#Headers],[PIS]],tabImpostosNacionais[],2,0)</f>
        <v>1.6500000000000001E-2</v>
      </c>
      <c r="BG155" s="235">
        <f>VLOOKUP(tabParametros[[#This Row],[Comarca]],tabComarca[],4,0)</f>
        <v>0.02</v>
      </c>
      <c r="BH155" s="238">
        <f>IFERROR(VLOOKUP(tabParametros[[#This Row],[CCT DA CATEGORIA]],tabSindicatos[],11,0),"")</f>
        <v>45658</v>
      </c>
      <c r="BI155" s="289" t="str">
        <f>IFERROR(VLOOKUP(tabParametros[[#This Row],[CCT DA CATEGORIA]],tabSindicatos[],12,0),"")</f>
        <v>-</v>
      </c>
      <c r="BJ155" s="293" t="str">
        <f>IFERROR(VLOOKUP(tabParametros[[#This Row],[CCT DA CATEGORIA]],tabSindicatos[],13,0),"")</f>
        <v>-</v>
      </c>
    </row>
    <row r="156" spans="1:62" x14ac:dyDescent="0.25">
      <c r="A156" s="233" t="s">
        <v>1492</v>
      </c>
      <c r="B156" s="198" t="s">
        <v>141</v>
      </c>
      <c r="C156" s="198" t="s">
        <v>1245</v>
      </c>
      <c r="D156" s="198" t="str">
        <f>VLOOKUP(tabParametros[[#This Row],[Código do Posto]],tabPostos[],4,0)</f>
        <v>Sind - Asseio</v>
      </c>
      <c r="E156" s="289" t="str">
        <f>VLOOKUP(tabParametros[[#This Row],[Código do Posto]],tabPostos[],5,0)</f>
        <v>Limpeza</v>
      </c>
      <c r="F156" s="289" t="str">
        <f>VLOOKUP(tabParametros[[#This Row],[Código do Posto]],tabPostos[],6,0)</f>
        <v>PGJ</v>
      </c>
      <c r="G156" s="289">
        <f>VLOOKUP(tabParametros[[#This Row],[Código do Posto]],tabPostos[],7,0)</f>
        <v>1</v>
      </c>
      <c r="H156" s="289">
        <f>VLOOKUP(tabParametros[[#This Row],[Código do Posto]],tabPostos[],8,0)</f>
        <v>0</v>
      </c>
      <c r="I156" s="234">
        <f>VLOOKUP(tabParametros[[#This Row],[Código do Posto]],tabPostos[],9,0)</f>
        <v>1649.12</v>
      </c>
      <c r="J156" s="234">
        <f>IF(ISNUMBER(SEARCH("Eletricista",tabParametros[[#This Row],[Função]],1)),0.3*tabParametros[[#This Row],[Salário Base]],0)</f>
        <v>0</v>
      </c>
      <c r="K156" s="234">
        <f>IF(OR(ISNUMBER(SEARCH("Bombeiro Hidraulico",tabParametros[[#This Row],[Função]],1)),ISNUMBER(SEARCH("Jardineiro",tabParametros[[#This Row],[Função]],1)),ISNUMBER(SEARCH("Lavador de Veiculos",tabParametros[[#This Row],[Função]],1)),ISNUMBER(SEARCH("Marceneiro",tabParametros[[#This Row],[Função]],1)),ISNUMBER(SEARCH("Pintor",tabParametros[[#This Row],[Função]],1))),0.2*'BASE GERAL'!$R$4,0)</f>
        <v>0</v>
      </c>
      <c r="L156" s="234">
        <f>IF(AND(ISNUMBER(SEARCH("Noturno",tabParametros[[#This Row],[Função]],1)),tabParametros[[#This Row],[Comarca]]&lt;&gt;"Juiz de Fora"),tabParametros[[#This Row],[Salário Base]]/210*0.39*7*15.5,IF(ISNUMBER(SEARCH("Noturno",tabParametros[[#This Row],[Função]],1)),tabParametros[[#This Row],[Salário Base]]/210*0.2*8*15.5,0))</f>
        <v>0</v>
      </c>
      <c r="M156" s="234">
        <f>IF(ISNUMBER(SEARCH("Motorista II",tabParametros[[#This Row],[Função]],1)),0.25*tabParametros[[#This Row],[Salário Base]],0)</f>
        <v>0</v>
      </c>
      <c r="N156" s="250">
        <v>0</v>
      </c>
      <c r="O156" s="234">
        <f>IF(ISNUMBER(SEARCH("TECNOLOGIA DA INFORMACAO",tabParametros[[#This Row],[Função]],1)),0.0201*tabParametros[[#This Row],[Salário Base]],0)</f>
        <v>0</v>
      </c>
      <c r="P156" s="250" cm="1">
        <f t="array" ref="P156">_xlfn.IFS(
ISNUMBER(SEARCH("Auxiliar de Limpeza - 75 h",tabParametros[[#This Row],[Função]],1)),tabParametros[[#This Row],[Salário Base]]/75*0.75*30*0.12,
ISNUMBER(SEARCH("Auxiliar de Limpeza - 110 h",tabParametros[[#This Row],[Função]],1)),tabParametros[[#This Row],[Salário Base]]/110*1*30*0.12,
ISNUMBER(SEARCH("Auxiliar de Limpeza - 150 h",tabParametros[[#This Row],[Função]],1)),tabParametros[[#This Row],[Salário Base]]/150*1.5*30*0.12,
ISNUMBER(SEARCH("Auxiliar de Limpeza - 220 h",tabParametros[[#This Row],[Função]],1)),tabParametros[[#This Row],[Salário Base]]/220*2*30*0.12,
ISNUMBER(SEARCH("Auxiliar de Limpeza - 12 x 36",tabParametros[[#This Row],[Função]],1)),tabParametros[[#This Row],[Salário Base]]/220*2*30*0.12,
ISNUMBER(SEARCH("Auxiliar de Limpeza - 55 h",tabParametros[[#This Row],[Função]],1))=FALSE,0)</f>
        <v>53.971199999999996</v>
      </c>
      <c r="Q156" s="235">
        <f>VLOOKUP(tabParametros[[#Headers],[INSS]],tabImpostosNacionais[],2,0)</f>
        <v>0.2</v>
      </c>
      <c r="R156" s="235">
        <f>VLOOKUP(tabParametros[[#Headers],[SESI OU SESC]],tabImpostosNacionais[],2,0)</f>
        <v>1.4999999999999999E-2</v>
      </c>
      <c r="S156" s="235">
        <f>VLOOKUP(tabParametros[[#Headers],[SENAI OU SENAC]],tabImpostosNacionais[],2,0)</f>
        <v>0.01</v>
      </c>
      <c r="T156" s="235">
        <f>VLOOKUP(tabParametros[[#Headers],[INCRA]],tabImpostosNacionais[],2,0)</f>
        <v>2E-3</v>
      </c>
      <c r="U156" s="235">
        <f>VLOOKUP(tabParametros[[#Headers],[Salário Educação]],tabImpostosNacionais[],2,0)</f>
        <v>2.5000000000000001E-2</v>
      </c>
      <c r="V156" s="235">
        <f>VLOOKUP(tabParametros[[#Headers],[FGTS]],tabImpostosNacionais[],2,0)</f>
        <v>0.08</v>
      </c>
      <c r="W156" s="235">
        <f>VLOOKUP(tabParametros[[#Headers],[RAT Ajustado]],tabImpostosNacionais[],2,0)</f>
        <v>0.04</v>
      </c>
      <c r="X156" s="235">
        <f>VLOOKUP(tabParametros[[#Headers],[SEBRAE]],tabImpostosNacionais[],2,0)</f>
        <v>6.0000000000000001E-3</v>
      </c>
      <c r="Y156" s="235">
        <f t="shared" si="22"/>
        <v>8.3333333333333329E-2</v>
      </c>
      <c r="Z156" s="251">
        <f t="shared" si="23"/>
        <v>0.1111111111111111</v>
      </c>
      <c r="AA156" s="234">
        <f>VLOOKUP(tabParametros[[#This Row],[Comarca]],tabComarca[],5,0)</f>
        <v>6.4</v>
      </c>
      <c r="AB156" s="234">
        <f>IFERROR(VLOOKUP(tabParametros[[#This Row],[CCT DA CATEGORIA]],tabSindicatos[],6,0),0)</f>
        <v>29.15</v>
      </c>
      <c r="AC156" s="234">
        <f>IFERROR(VLOOKUP(tabParametros[[#This Row],[CCT DA CATEGORIA]],tabSindicatos[],7,0),0)</f>
        <v>0</v>
      </c>
      <c r="AD156" s="234" cm="1">
        <f t="array" ref="AD156">_xlfn.LET(
_xlpm.COMARCA, TRIM(UPPER(SUBSTITUTE(SUBSTITUTE(SUBSTITUTE(SUBSTITUTE(SUBSTITUTE(SUBSTITUTE(SUBSTITUTE(SUBSTITUTE(SUBSTITUTE(SUBSTITUTE(SUBSTITUTE(SUBSTITUTE(SUBSTITUTE(SUBSTITUTE(SUBSTITUTE(SUBSTITUTE(SUBSTITUTE(SUBSTITUTE(SUBSTITUTE(SUBSTITUTE(SUBSTITUTE(SUBSTITUTE(SUBSTITUTE(SUBSTITUTE(SUBSTITUTE(SUBSTITUTE(tabParametros[[#This Row],[Comarca]],"á","a"),"ã","a"),"â","a"),"é","e"),"ê","e"),"í","i"),"ó","o"),"õ","o"),"ô","o"),"ú","u"),"ç","c"),"Á","a"),"Ã","a"),"Â","a"),"É","e"),"Ê","e"),"Í","i"),"Ó","o"),"Õ","o"),"Ô","o"),"Ú","u"),"Ç","c"),"/MG","")," e ",", ")," ",""),".",""))),
_xlpm.MATRIZ_COMARCA, TRIM(UPPER(SUBSTITUTE(SUBSTITUTE(SUBSTITUTE(SUBSTITUTE(SUBSTITUTE(SUBSTITUTE(SUBSTITUTE(SUBSTITUTE(SUBSTITUTE(SUBSTITUTE(SUBSTITUTE(SUBSTITUTE(SUBSTITUTE(SUBSTITUTE(SUBSTITUTE(SUBSTITUTE(SUBSTITUTE(SUBSTITUTE(SUBSTITUTE(SUBSTITUTE(SUBSTITUTE(SUBSTITUTE(SUBSTITUTE(SUBSTITUTE(SUBSTITUTE(SUBSTITUTE(tabSindicatos[COMARCAS PAF],"á","a"),"ã","a"),"â","a"),"é","e"),"ê","e"),"í","i"),"ó","o"),"õ","o"),"ô","o"),"ú","u"),"ç","c"),"Á","a"),"Ã","a"),"Â","a"),"É","e"),"Ê","e"),"Í","i"),"Ó","o"),"Õ","o"),"Ô","o"),"Ú","u"),"Ç","c"),"/MG","")," e ",", ")," ",""),".",""))),
IFERROR(IF(_xlfn.XLOOKUP(tabParametros[[#This Row],[CCT DA CATEGORIA]],tabSindicatos[SINDICATOS],tabSindicatos[COMARCAS PAF])="",
VLOOKUP(tabParametros[[#This Row],[CCT DA CATEGORIA]],tabSindicatos[],8,0),
IF(ISNUMBER(SEARCH(TRIM(_xlpm.COMARCA),_xlfn.XLOOKUP(tabParametros[[#This Row],[CCT DA CATEGORIA]],tabSindicatos[SINDICATOS],_xlpm.MATRIZ_COMARCA),1)),VLOOKUP(tabParametros[[#This Row],[CCT DA CATEGORIA]],tabSindicatos[],8,0),0)
),0)
)</f>
        <v>77.25</v>
      </c>
      <c r="AE156" s="234">
        <f>IFERROR(VLOOKUP(tabParametros[[#This Row],[CCT DA CATEGORIA]],tabSindicatos[],9,0),0)</f>
        <v>0</v>
      </c>
      <c r="AF156" s="234">
        <f>IFERROR(VLOOKUP(tabParametros[[#This Row],[CCT DA CATEGORIA]],tabSindicatos[],10,0),0)</f>
        <v>0</v>
      </c>
      <c r="AG156" s="236">
        <f>VLOOKUP(tabParametros[[#Headers],[Seguro de Vida]],tabOutrosCustos[],3,0)</f>
        <v>3.36</v>
      </c>
      <c r="AH156" s="236">
        <f>IF(ISNUMBER(SEARCH("MOTORISTA",tabParametros[[#This Row],[Função]],1)),VLOOKUP("MOTORISTAS",tabDiarias[],2,0),IF(tabParametros[[#This Row],[Comarca]]="Belo Horizonte",VLOOKUP("LIMPEZA",tabDiarias[],2,0),0))</f>
        <v>0</v>
      </c>
      <c r="AI156" s="235">
        <f t="shared" si="24"/>
        <v>7.011766975308642E-3</v>
      </c>
      <c r="AJ156" s="237">
        <f>tabParametros[[#This Row],[FGTS]]*tabParametros[[#This Row],[Aviso Prévio Indenizado (API) e Reflexo do Aviso Prévio Indenizado]]</f>
        <v>5.609413580246914E-4</v>
      </c>
      <c r="AK156" s="237">
        <f>tabParametros[[#This Row],[FGTS]]*tabParametros[[#This Row],[Aviso Prévio Indenizado (API) e Reflexo do Aviso Prévio Indenizado]]*40%</f>
        <v>2.2437654320987658E-4</v>
      </c>
      <c r="AL156" s="235">
        <f t="shared" si="25"/>
        <v>3.5000000000000005E-3</v>
      </c>
      <c r="AM156" s="235">
        <f>tabParametros[[#This Row],[Aviso Prévio Trabalhado - APT]]*SUM(tabParametros[[#This Row],[INSS]:[SEBRAE]])</f>
        <v>1.3230000000000004E-3</v>
      </c>
      <c r="AN156" s="235">
        <f t="shared" si="26"/>
        <v>3.0577777777777773E-2</v>
      </c>
      <c r="AO156" s="235">
        <f t="shared" si="27"/>
        <v>8.3333333333333339E-4</v>
      </c>
      <c r="AP156" s="235">
        <f t="shared" si="28"/>
        <v>8.4444444444444437E-3</v>
      </c>
      <c r="AQ156" s="235">
        <f t="shared" si="29"/>
        <v>2.0277777777777777E-3</v>
      </c>
      <c r="AR156" s="235">
        <f t="shared" si="30"/>
        <v>1.7083333333333333E-4</v>
      </c>
      <c r="AS156" s="235">
        <f t="shared" si="31"/>
        <v>2.0833333333333335E-4</v>
      </c>
      <c r="AT156" s="235">
        <f t="shared" si="32"/>
        <v>1.2962962962962963E-3</v>
      </c>
      <c r="AU156" s="237">
        <f>SUM(tabParametros[[#This Row],[Ausência por Doença]:[Férias, Adicional de Férias e 13º  com empregada em gozo de Licença Maternidade]])*SUM(tabParametros[[#This Row],[INSS]:[SEBRAE]])</f>
        <v>4.5918250000000008E-3</v>
      </c>
      <c r="AV156" s="234">
        <f>IF(tabParametros[[#This Row],[Função]]="Porteiro - 220 h",SUM(tabParametros[[#This Row],[Salário Base]:[Adicional de Acúmulo de função]])/220*20*1.5,IF(ISNUMBER(SEARCH("12 x 36",tabParametros[[#This Row],[Função]],1)),SUM(tabParametros[[#This Row],[Salário Base]:[Adicional de Acúmulo de função]])/210*15.5*1.5,0))</f>
        <v>0</v>
      </c>
      <c r="AW156" s="234">
        <f>IF(tabParametros[[#This Row],[Vagas contratadas]]&gt;0,(SUM(tabParametros[[#This Row],[Salário Base]:[Adicional de Acúmulo de função]])*30%+SUM(tabParametros[[#This Row],[Vale - Alimentação]:[Seguro de Vida]]))/tabParametros[[#This Row],[Vagas contratadas]]*tabParametros[[#This Row],[Vagas suspensas]],0)</f>
        <v>0</v>
      </c>
      <c r="AX156" s="234">
        <f>SUMIF(tabUniformes[Cargo],tabParametros[[#This Row],[Função]],tabUniformes[Valor unit. Mensal])</f>
        <v>100.80916666666666</v>
      </c>
      <c r="AY156" s="281">
        <f>IF(ISNUMBER(SEARCH("AUXILIAR DE LIMPEZA - 75 H",tabParametros[[#This Row],[Função]],1)),
SUMIF(tabLimpGeral[TIPO],"Material",tabLimpGeral[VALOR UNITÁRIO P/ HORA (R$)])*75,
IF(ISNUMBER(SEARCH("AUXILIAR DE LIMPEZA - 110 H",tabParametros[[#This Row],[Função]],1)),
SUMIF(tabLimpGeral[TIPO],"Material",tabLimpGeral[VALOR UNITÁRIO P/ HORA (R$)])*110,
IF(ISNUMBER(SEARCH("AUXILIAR DE LIMPEZA - 150 H",tabParametros[[#This Row],[Função]],1)),
SUMIF(tabLimpGeral[TIPO],"Material",tabLimpGeral[VALOR UNITÁRIO P/ HORA (R$)])*150,
IF(ISNUMBER(SEARCH("AUXILIAR DE LIMPEZA - 220 H",tabParametros[[#This Row],[Função]],1)),
SUMIF(tabLimpGeral[TIPO],"Material",tabLimpGeral[VALOR UNITÁRIO P/ HORA (R$)])*220,
IF(ISNUMBER(SEARCH("AUXILIAR DE LIMPEZA - 12 x 36",tabParametros[[#This Row],[Função]],1)),
SUMIF(tabLimpGeral[TIPO],"Material",tabLimpGeral[VALOR UNITÁRIO P/ HORA (R$)])*220,
IF(ISNUMBER(SEARCH("Limpador de vidros - 220 h",tabParametros[[#This Row],[Função]],1)),
SUMIF(tabVidros[TIPO],"Material",tabVidros[VALOR UNITÁRIO P/ POSTO (R$)]),
0))))))</f>
        <v>35.518212958583888</v>
      </c>
      <c r="AZ156" s="281">
        <f>IF(ISNUMBER(SEARCH("AUXILIAR DE LIMPEZA - 75 H",tabParametros[[#This Row],[Função]],1)),
SUMIF(tabLimpGeral[TIPO],"Equipamento",tabLimpGeral[VALOR UNITÁRIO P/ HORA (R$)])*75,
IF(ISNUMBER(SEARCH("AUXILIAR DE LIMPEZA - 110 H",tabParametros[[#This Row],[Função]],1)),
SUMIF(tabLimpGeral[TIPO],"Equipamento",tabLimpGeral[VALOR UNITÁRIO P/ HORA (R$)])*110,
IF(ISNUMBER(SEARCH("AUXILIAR DE LIMPEZA - 150 H",tabParametros[[#This Row],[Função]],1)),
SUMIF(tabLimpGeral[TIPO],"Equipamento",tabLimpGeral[VALOR UNITÁRIO P/ HORA (R$)])*150,
IF(ISNUMBER(SEARCH("AUXILIAR DE LIMPEZA - 220 H",tabParametros[[#This Row],[Função]],1)),
SUMIF(tabLimpGeral[TIPO],"Equipamento",tabLimpGeral[VALOR UNITÁRIO P/ HORA (R$)])*220,
IF(ISNUMBER(SEARCH("AUXILIAR DE LIMPEZA - 12 x 36",tabParametros[[#This Row],[Função]],1)),
SUMIF(tabLimpGeral[TIPO],"Equipamento",tabLimpGeral[VALOR UNITÁRIO P/ HORA (R$)])*220,
IF(ISNUMBER(SEARCH("Limpador de vidros - 220 h",tabParametros[[#This Row],[Função]],1)),
SUMIF(tabVidros[TIPO],"Equipamento",tabVidros[VALOR UNITÁRIO P/ POSTO (R$)]),
0))))))</f>
        <v>64.529393914825576</v>
      </c>
      <c r="BA156" s="281">
        <f>IF(ISNUMBER(SEARCH("AUXILIAR DE LIMPEZA - 75 H",tabParametros[[#This Row],[Função]],1)),
SUMIF(tabLimpGeral[TIPO],"Produto",tabLimpGeral[VALOR UNITÁRIO P/ HORA (R$)])*75,
IF(ISNUMBER(SEARCH("AUXILIAR DE LIMPEZA - 110 H",tabParametros[[#This Row],[Função]],1)),
SUMIF(tabLimpGeral[TIPO],"Produto",tabLimpGeral[VALOR UNITÁRIO P/ HORA (R$)])*110,
IF(ISNUMBER(SEARCH("AUXILIAR DE LIMPEZA - 150 H",tabParametros[[#This Row],[Função]],1)),
SUMIF(tabLimpGeral[TIPO],"Produto",tabLimpGeral[VALOR UNITÁRIO P/ HORA (R$)])*150,
IF(ISNUMBER(SEARCH("AUXILIAR DE LIMPEZA - 220 H",tabParametros[[#This Row],[Função]],1)),
SUMIF(tabLimpGeral[TIPO],"Produto",tabLimpGeral[VALOR UNITÁRIO P/ HORA (R$)])*220,
IF(ISNUMBER(SEARCH("AUXILIAR DE LIMPEZA - 12 x 36",tabParametros[[#This Row],[Função]],1)),
SUMIF(tabLimpGeral[TIPO],"Produto",tabLimpGeral[VALOR UNITÁRIO P/ HORA (R$)])*220,
IF(ISNUMBER(SEARCH("Limpador de vidros - 220 h",tabParametros[[#This Row],[Função]],1)),
SUMIF(tabVidros[TIPO],"Produto",tabVidros[VALOR UNITÁRIO P/ POSTO (R$)]),
0))))))</f>
        <v>690.27153277931654</v>
      </c>
      <c r="BB156" s="281">
        <v>0</v>
      </c>
      <c r="BC156" s="236">
        <f>VLOOKUP(tabParametros[[#Headers],[Custos Indiretos]],tabOutrosCustos[],3,0)</f>
        <v>189.64880140242613</v>
      </c>
      <c r="BD156" s="236">
        <f>VLOOKUP(tabParametros[[#Headers],[Lucro]],tabOutrosCustos[],3,0)</f>
        <v>159.30499317803796</v>
      </c>
      <c r="BE156" s="235">
        <f>VLOOKUP(tabParametros[[#Headers],[COFINS]],tabImpostosNacionais[],2,0)</f>
        <v>7.5999999999999998E-2</v>
      </c>
      <c r="BF156" s="235">
        <f>VLOOKUP(tabParametros[[#Headers],[PIS]],tabImpostosNacionais[],2,0)</f>
        <v>1.6500000000000001E-2</v>
      </c>
      <c r="BG156" s="235">
        <f>VLOOKUP(tabParametros[[#This Row],[Comarca]],tabComarca[],4,0)</f>
        <v>0.02</v>
      </c>
      <c r="BH156" s="238">
        <f>IFERROR(VLOOKUP(tabParametros[[#This Row],[CCT DA CATEGORIA]],tabSindicatos[],11,0),"")</f>
        <v>45658</v>
      </c>
      <c r="BI156" s="289" t="str">
        <f>IFERROR(VLOOKUP(tabParametros[[#This Row],[CCT DA CATEGORIA]],tabSindicatos[],12,0),"")</f>
        <v>-</v>
      </c>
      <c r="BJ156" s="293" t="str">
        <f>IFERROR(VLOOKUP(tabParametros[[#This Row],[CCT DA CATEGORIA]],tabSindicatos[],13,0),"")</f>
        <v>-</v>
      </c>
    </row>
    <row r="157" spans="1:62" x14ac:dyDescent="0.25">
      <c r="A157" s="233" t="s">
        <v>1493</v>
      </c>
      <c r="B157" s="198" t="s">
        <v>142</v>
      </c>
      <c r="C157" s="198" t="s">
        <v>1247</v>
      </c>
      <c r="D157" s="198" t="str">
        <f>VLOOKUP(tabParametros[[#This Row],[Código do Posto]],tabPostos[],4,0)</f>
        <v>Fethemg Interior</v>
      </c>
      <c r="E157" s="289" t="str">
        <f>VLOOKUP(tabParametros[[#This Row],[Código do Posto]],tabPostos[],5,0)</f>
        <v>Limpeza</v>
      </c>
      <c r="F157" s="289" t="str">
        <f>VLOOKUP(tabParametros[[#This Row],[Código do Posto]],tabPostos[],6,0)</f>
        <v>PGJ</v>
      </c>
      <c r="G157" s="289">
        <f>VLOOKUP(tabParametros[[#This Row],[Código do Posto]],tabPostos[],7,0)</f>
        <v>1</v>
      </c>
      <c r="H157" s="289">
        <f>VLOOKUP(tabParametros[[#This Row],[Código do Posto]],tabPostos[],8,0)</f>
        <v>0</v>
      </c>
      <c r="I157" s="234">
        <f>VLOOKUP(tabParametros[[#This Row],[Código do Posto]],tabPostos[],9,0)</f>
        <v>544.17999999999995</v>
      </c>
      <c r="J157" s="234">
        <f>IF(ISNUMBER(SEARCH("Eletricista",tabParametros[[#This Row],[Função]],1)),0.3*tabParametros[[#This Row],[Salário Base]],0)</f>
        <v>0</v>
      </c>
      <c r="K157" s="234">
        <f>IF(OR(ISNUMBER(SEARCH("Bombeiro Hidraulico",tabParametros[[#This Row],[Função]],1)),ISNUMBER(SEARCH("Jardineiro",tabParametros[[#This Row],[Função]],1)),ISNUMBER(SEARCH("Lavador de Veiculos",tabParametros[[#This Row],[Função]],1)),ISNUMBER(SEARCH("Marceneiro",tabParametros[[#This Row],[Função]],1)),ISNUMBER(SEARCH("Pintor",tabParametros[[#This Row],[Função]],1))),0.2*'BASE GERAL'!$R$4,0)</f>
        <v>0</v>
      </c>
      <c r="L157" s="234">
        <f>IF(AND(ISNUMBER(SEARCH("Noturno",tabParametros[[#This Row],[Função]],1)),tabParametros[[#This Row],[Comarca]]&lt;&gt;"Juiz de Fora"),tabParametros[[#This Row],[Salário Base]]/210*0.39*7*15.5,IF(ISNUMBER(SEARCH("Noturno",tabParametros[[#This Row],[Função]],1)),tabParametros[[#This Row],[Salário Base]]/210*0.2*8*15.5,0))</f>
        <v>0</v>
      </c>
      <c r="M157" s="234">
        <f>IF(ISNUMBER(SEARCH("Motorista II",tabParametros[[#This Row],[Função]],1)),0.25*tabParametros[[#This Row],[Salário Base]],0)</f>
        <v>0</v>
      </c>
      <c r="N157" s="250">
        <v>0</v>
      </c>
      <c r="O157" s="234">
        <f>IF(ISNUMBER(SEARCH("TECNOLOGIA DA INFORMACAO",tabParametros[[#This Row],[Função]],1)),0.0201*tabParametros[[#This Row],[Salário Base]],0)</f>
        <v>0</v>
      </c>
      <c r="P157" s="250" cm="1">
        <f t="array" ref="P157">_xlfn.IFS(
ISNUMBER(SEARCH("Auxiliar de Limpeza - 75 h",tabParametros[[#This Row],[Função]],1)),tabParametros[[#This Row],[Salário Base]]/75*0.75*30*0.12,
ISNUMBER(SEARCH("Auxiliar de Limpeza - 110 h",tabParametros[[#This Row],[Função]],1)),tabParametros[[#This Row],[Salário Base]]/110*1*30*0.12,
ISNUMBER(SEARCH("Auxiliar de Limpeza - 150 h",tabParametros[[#This Row],[Função]],1)),tabParametros[[#This Row],[Salário Base]]/150*1.5*30*0.12,
ISNUMBER(SEARCH("Auxiliar de Limpeza - 220 h",tabParametros[[#This Row],[Função]],1)),tabParametros[[#This Row],[Salário Base]]/220*2*30*0.12,
ISNUMBER(SEARCH("Auxiliar de Limpeza - 12 x 36",tabParametros[[#This Row],[Função]],1)),tabParametros[[#This Row],[Salário Base]]/220*2*30*0.12,
ISNUMBER(SEARCH("Auxiliar de Limpeza - 55 h",tabParametros[[#This Row],[Função]],1))=FALSE,0)</f>
        <v>19.590479999999999</v>
      </c>
      <c r="Q157" s="235">
        <f>VLOOKUP(tabParametros[[#Headers],[INSS]],tabImpostosNacionais[],2,0)</f>
        <v>0.2</v>
      </c>
      <c r="R157" s="235">
        <f>VLOOKUP(tabParametros[[#Headers],[SESI OU SESC]],tabImpostosNacionais[],2,0)</f>
        <v>1.4999999999999999E-2</v>
      </c>
      <c r="S157" s="235">
        <f>VLOOKUP(tabParametros[[#Headers],[SENAI OU SENAC]],tabImpostosNacionais[],2,0)</f>
        <v>0.01</v>
      </c>
      <c r="T157" s="235">
        <f>VLOOKUP(tabParametros[[#Headers],[INCRA]],tabImpostosNacionais[],2,0)</f>
        <v>2E-3</v>
      </c>
      <c r="U157" s="235">
        <f>VLOOKUP(tabParametros[[#Headers],[Salário Educação]],tabImpostosNacionais[],2,0)</f>
        <v>2.5000000000000001E-2</v>
      </c>
      <c r="V157" s="235">
        <f>VLOOKUP(tabParametros[[#Headers],[FGTS]],tabImpostosNacionais[],2,0)</f>
        <v>0.08</v>
      </c>
      <c r="W157" s="235">
        <f>VLOOKUP(tabParametros[[#Headers],[RAT Ajustado]],tabImpostosNacionais[],2,0)</f>
        <v>0.04</v>
      </c>
      <c r="X157" s="235">
        <f>VLOOKUP(tabParametros[[#Headers],[SEBRAE]],tabImpostosNacionais[],2,0)</f>
        <v>6.0000000000000001E-3</v>
      </c>
      <c r="Y157" s="235">
        <f t="shared" si="22"/>
        <v>8.3333333333333329E-2</v>
      </c>
      <c r="Z157" s="251">
        <f t="shared" si="23"/>
        <v>0.1111111111111111</v>
      </c>
      <c r="AA157" s="234">
        <f>VLOOKUP(tabParametros[[#This Row],[Comarca]],tabComarca[],5,0)</f>
        <v>6.4</v>
      </c>
      <c r="AB157" s="234">
        <f>IFERROR(VLOOKUP(tabParametros[[#This Row],[CCT DA CATEGORIA]],tabSindicatos[],6,0),0)</f>
        <v>29.15</v>
      </c>
      <c r="AC157" s="234">
        <f>IFERROR(VLOOKUP(tabParametros[[#This Row],[CCT DA CATEGORIA]],tabSindicatos[],7,0),0)</f>
        <v>0</v>
      </c>
      <c r="AD157" s="234" cm="1">
        <f t="array" ref="AD157">_xlfn.LET(
_xlpm.COMARCA, TRIM(UPPER(SUBSTITUTE(SUBSTITUTE(SUBSTITUTE(SUBSTITUTE(SUBSTITUTE(SUBSTITUTE(SUBSTITUTE(SUBSTITUTE(SUBSTITUTE(SUBSTITUTE(SUBSTITUTE(SUBSTITUTE(SUBSTITUTE(SUBSTITUTE(SUBSTITUTE(SUBSTITUTE(SUBSTITUTE(SUBSTITUTE(SUBSTITUTE(SUBSTITUTE(SUBSTITUTE(SUBSTITUTE(SUBSTITUTE(SUBSTITUTE(SUBSTITUTE(SUBSTITUTE(tabParametros[[#This Row],[Comarca]],"á","a"),"ã","a"),"â","a"),"é","e"),"ê","e"),"í","i"),"ó","o"),"õ","o"),"ô","o"),"ú","u"),"ç","c"),"Á","a"),"Ã","a"),"Â","a"),"É","e"),"Ê","e"),"Í","i"),"Ó","o"),"Õ","o"),"Ô","o"),"Ú","u"),"Ç","c"),"/MG","")," e ",", ")," ",""),".",""))),
_xlpm.MATRIZ_COMARCA, TRIM(UPPER(SUBSTITUTE(SUBSTITUTE(SUBSTITUTE(SUBSTITUTE(SUBSTITUTE(SUBSTITUTE(SUBSTITUTE(SUBSTITUTE(SUBSTITUTE(SUBSTITUTE(SUBSTITUTE(SUBSTITUTE(SUBSTITUTE(SUBSTITUTE(SUBSTITUTE(SUBSTITUTE(SUBSTITUTE(SUBSTITUTE(SUBSTITUTE(SUBSTITUTE(SUBSTITUTE(SUBSTITUTE(SUBSTITUTE(SUBSTITUTE(SUBSTITUTE(SUBSTITUTE(tabSindicatos[COMARCAS PAF],"á","a"),"ã","a"),"â","a"),"é","e"),"ê","e"),"í","i"),"ó","o"),"õ","o"),"ô","o"),"ú","u"),"ç","c"),"Á","a"),"Ã","a"),"Â","a"),"É","e"),"Ê","e"),"Í","i"),"Ó","o"),"Õ","o"),"Ô","o"),"Ú","u"),"Ç","c"),"/MG","")," e ",", ")," ",""),".",""))),
IFERROR(IF(_xlfn.XLOOKUP(tabParametros[[#This Row],[CCT DA CATEGORIA]],tabSindicatos[SINDICATOS],tabSindicatos[COMARCAS PAF])="",
VLOOKUP(tabParametros[[#This Row],[CCT DA CATEGORIA]],tabSindicatos[],8,0),
IF(ISNUMBER(SEARCH(TRIM(_xlpm.COMARCA),_xlfn.XLOOKUP(tabParametros[[#This Row],[CCT DA CATEGORIA]],tabSindicatos[SINDICATOS],_xlpm.MATRIZ_COMARCA),1)),VLOOKUP(tabParametros[[#This Row],[CCT DA CATEGORIA]],tabSindicatos[],8,0),0)
),0)
)</f>
        <v>0</v>
      </c>
      <c r="AE157" s="234">
        <f>IFERROR(VLOOKUP(tabParametros[[#This Row],[CCT DA CATEGORIA]],tabSindicatos[],9,0),0)</f>
        <v>15.07</v>
      </c>
      <c r="AF157" s="234">
        <f>IFERROR(VLOOKUP(tabParametros[[#This Row],[CCT DA CATEGORIA]],tabSindicatos[],10,0),0)</f>
        <v>0</v>
      </c>
      <c r="AG157" s="236">
        <f>VLOOKUP(tabParametros[[#Headers],[Seguro de Vida]],tabOutrosCustos[],3,0)</f>
        <v>3.36</v>
      </c>
      <c r="AH157" s="236">
        <f>IF(ISNUMBER(SEARCH("MOTORISTA",tabParametros[[#This Row],[Função]],1)),VLOOKUP("MOTORISTAS",tabDiarias[],2,0),IF(tabParametros[[#This Row],[Comarca]]="Belo Horizonte",VLOOKUP("LIMPEZA",tabDiarias[],2,0),0))</f>
        <v>0</v>
      </c>
      <c r="AI157" s="235">
        <f t="shared" si="24"/>
        <v>7.011766975308642E-3</v>
      </c>
      <c r="AJ157" s="237">
        <f>tabParametros[[#This Row],[FGTS]]*tabParametros[[#This Row],[Aviso Prévio Indenizado (API) e Reflexo do Aviso Prévio Indenizado]]</f>
        <v>5.609413580246914E-4</v>
      </c>
      <c r="AK157" s="237">
        <f>tabParametros[[#This Row],[FGTS]]*tabParametros[[#This Row],[Aviso Prévio Indenizado (API) e Reflexo do Aviso Prévio Indenizado]]*40%</f>
        <v>2.2437654320987658E-4</v>
      </c>
      <c r="AL157" s="235">
        <f t="shared" si="25"/>
        <v>3.5000000000000005E-3</v>
      </c>
      <c r="AM157" s="235">
        <f>tabParametros[[#This Row],[Aviso Prévio Trabalhado - APT]]*SUM(tabParametros[[#This Row],[INSS]:[SEBRAE]])</f>
        <v>1.3230000000000004E-3</v>
      </c>
      <c r="AN157" s="235">
        <f t="shared" si="26"/>
        <v>3.0577777777777773E-2</v>
      </c>
      <c r="AO157" s="235">
        <f t="shared" si="27"/>
        <v>8.3333333333333339E-4</v>
      </c>
      <c r="AP157" s="235">
        <f t="shared" si="28"/>
        <v>8.4444444444444437E-3</v>
      </c>
      <c r="AQ157" s="235">
        <f t="shared" si="29"/>
        <v>2.0277777777777777E-3</v>
      </c>
      <c r="AR157" s="235">
        <f t="shared" si="30"/>
        <v>1.7083333333333333E-4</v>
      </c>
      <c r="AS157" s="235">
        <f t="shared" si="31"/>
        <v>2.0833333333333335E-4</v>
      </c>
      <c r="AT157" s="235">
        <f t="shared" si="32"/>
        <v>1.2962962962962963E-3</v>
      </c>
      <c r="AU157" s="237">
        <f>SUM(tabParametros[[#This Row],[Ausência por Doença]:[Férias, Adicional de Férias e 13º  com empregada em gozo de Licença Maternidade]])*SUM(tabParametros[[#This Row],[INSS]:[SEBRAE]])</f>
        <v>4.5918250000000008E-3</v>
      </c>
      <c r="AV157" s="234">
        <f>IF(tabParametros[[#This Row],[Função]]="Porteiro - 220 h",SUM(tabParametros[[#This Row],[Salário Base]:[Adicional de Acúmulo de função]])/220*20*1.5,IF(ISNUMBER(SEARCH("12 x 36",tabParametros[[#This Row],[Função]],1)),SUM(tabParametros[[#This Row],[Salário Base]:[Adicional de Acúmulo de função]])/210*15.5*1.5,0))</f>
        <v>0</v>
      </c>
      <c r="AW157" s="234">
        <f>IF(tabParametros[[#This Row],[Vagas contratadas]]&gt;0,(SUM(tabParametros[[#This Row],[Salário Base]:[Adicional de Acúmulo de função]])*30%+SUM(tabParametros[[#This Row],[Vale - Alimentação]:[Seguro de Vida]]))/tabParametros[[#This Row],[Vagas contratadas]]*tabParametros[[#This Row],[Vagas suspensas]],0)</f>
        <v>0</v>
      </c>
      <c r="AX157" s="234">
        <f>SUMIF(tabUniformes[Cargo],tabParametros[[#This Row],[Função]],tabUniformes[Valor unit. Mensal])</f>
        <v>62.806666666666665</v>
      </c>
      <c r="AY157" s="281">
        <f>IF(ISNUMBER(SEARCH("AUXILIAR DE LIMPEZA - 75 H",tabParametros[[#This Row],[Função]],1)),
SUMIF(tabLimpGeral[TIPO],"Material",tabLimpGeral[VALOR UNITÁRIO P/ HORA (R$)])*75,
IF(ISNUMBER(SEARCH("AUXILIAR DE LIMPEZA - 110 H",tabParametros[[#This Row],[Função]],1)),
SUMIF(tabLimpGeral[TIPO],"Material",tabLimpGeral[VALOR UNITÁRIO P/ HORA (R$)])*110,
IF(ISNUMBER(SEARCH("AUXILIAR DE LIMPEZA - 150 H",tabParametros[[#This Row],[Função]],1)),
SUMIF(tabLimpGeral[TIPO],"Material",tabLimpGeral[VALOR UNITÁRIO P/ HORA (R$)])*150,
IF(ISNUMBER(SEARCH("AUXILIAR DE LIMPEZA - 220 H",tabParametros[[#This Row],[Função]],1)),
SUMIF(tabLimpGeral[TIPO],"Material",tabLimpGeral[VALOR UNITÁRIO P/ HORA (R$)])*220,
IF(ISNUMBER(SEARCH("AUXILIAR DE LIMPEZA - 12 x 36",tabParametros[[#This Row],[Função]],1)),
SUMIF(tabLimpGeral[TIPO],"Material",tabLimpGeral[VALOR UNITÁRIO P/ HORA (R$)])*220,
IF(ISNUMBER(SEARCH("Limpador de vidros - 220 h",tabParametros[[#This Row],[Função]],1)),
SUMIF(tabVidros[TIPO],"Material",tabVidros[VALOR UNITÁRIO P/ POSTO (R$)]),
0))))))</f>
        <v>12.108481690426325</v>
      </c>
      <c r="AZ157" s="281">
        <f>IF(ISNUMBER(SEARCH("AUXILIAR DE LIMPEZA - 75 H",tabParametros[[#This Row],[Função]],1)),
SUMIF(tabLimpGeral[TIPO],"Equipamento",tabLimpGeral[VALOR UNITÁRIO P/ HORA (R$)])*75,
IF(ISNUMBER(SEARCH("AUXILIAR DE LIMPEZA - 110 H",tabParametros[[#This Row],[Função]],1)),
SUMIF(tabLimpGeral[TIPO],"Equipamento",tabLimpGeral[VALOR UNITÁRIO P/ HORA (R$)])*110,
IF(ISNUMBER(SEARCH("AUXILIAR DE LIMPEZA - 150 H",tabParametros[[#This Row],[Função]],1)),
SUMIF(tabLimpGeral[TIPO],"Equipamento",tabLimpGeral[VALOR UNITÁRIO P/ HORA (R$)])*150,
IF(ISNUMBER(SEARCH("AUXILIAR DE LIMPEZA - 220 H",tabParametros[[#This Row],[Função]],1)),
SUMIF(tabLimpGeral[TIPO],"Equipamento",tabLimpGeral[VALOR UNITÁRIO P/ HORA (R$)])*220,
IF(ISNUMBER(SEARCH("AUXILIAR DE LIMPEZA - 12 x 36",tabParametros[[#This Row],[Função]],1)),
SUMIF(tabLimpGeral[TIPO],"Equipamento",tabLimpGeral[VALOR UNITÁRIO P/ HORA (R$)])*220,
IF(ISNUMBER(SEARCH("Limpador de vidros - 220 h",tabParametros[[#This Row],[Função]],1)),
SUMIF(tabVidros[TIPO],"Equipamento",tabVidros[VALOR UNITÁRIO P/ POSTO (R$)]),
0))))))</f>
        <v>21.998657016417809</v>
      </c>
      <c r="BA157" s="281">
        <f>IF(ISNUMBER(SEARCH("AUXILIAR DE LIMPEZA - 75 H",tabParametros[[#This Row],[Função]],1)),
SUMIF(tabLimpGeral[TIPO],"Produto",tabLimpGeral[VALOR UNITÁRIO P/ HORA (R$)])*75,
IF(ISNUMBER(SEARCH("AUXILIAR DE LIMPEZA - 110 H",tabParametros[[#This Row],[Função]],1)),
SUMIF(tabLimpGeral[TIPO],"Produto",tabLimpGeral[VALOR UNITÁRIO P/ HORA (R$)])*110,
IF(ISNUMBER(SEARCH("AUXILIAR DE LIMPEZA - 150 H",tabParametros[[#This Row],[Função]],1)),
SUMIF(tabLimpGeral[TIPO],"Produto",tabLimpGeral[VALOR UNITÁRIO P/ HORA (R$)])*150,
IF(ISNUMBER(SEARCH("AUXILIAR DE LIMPEZA - 220 H",tabParametros[[#This Row],[Função]],1)),
SUMIF(tabLimpGeral[TIPO],"Produto",tabLimpGeral[VALOR UNITÁRIO P/ HORA (R$)])*220,
IF(ISNUMBER(SEARCH("AUXILIAR DE LIMPEZA - 12 x 36",tabParametros[[#This Row],[Função]],1)),
SUMIF(tabLimpGeral[TIPO],"Produto",tabLimpGeral[VALOR UNITÁRIO P/ HORA (R$)])*220,
IF(ISNUMBER(SEARCH("Limpador de vidros - 220 h",tabParametros[[#This Row],[Função]],1)),
SUMIF(tabVidros[TIPO],"Produto",tabVidros[VALOR UNITÁRIO P/ POSTO (R$)]),
0))))))</f>
        <v>235.31984072022155</v>
      </c>
      <c r="BB157" s="281">
        <v>0</v>
      </c>
      <c r="BC157" s="236">
        <f>VLOOKUP(tabParametros[[#Headers],[Custos Indiretos]],tabOutrosCustos[],3,0)</f>
        <v>189.64880140242613</v>
      </c>
      <c r="BD157" s="236">
        <f>VLOOKUP(tabParametros[[#Headers],[Lucro]],tabOutrosCustos[],3,0)</f>
        <v>159.30499317803796</v>
      </c>
      <c r="BE157" s="235">
        <f>VLOOKUP(tabParametros[[#Headers],[COFINS]],tabImpostosNacionais[],2,0)</f>
        <v>7.5999999999999998E-2</v>
      </c>
      <c r="BF157" s="235">
        <f>VLOOKUP(tabParametros[[#Headers],[PIS]],tabImpostosNacionais[],2,0)</f>
        <v>1.6500000000000001E-2</v>
      </c>
      <c r="BG157" s="235">
        <f>VLOOKUP(tabParametros[[#This Row],[Comarca]],tabComarca[],4,0)</f>
        <v>0.03</v>
      </c>
      <c r="BH157" s="238">
        <f>IFERROR(VLOOKUP(tabParametros[[#This Row],[CCT DA CATEGORIA]],tabSindicatos[],11,0),"")</f>
        <v>45658</v>
      </c>
      <c r="BI157" s="289" t="str">
        <f>IFERROR(VLOOKUP(tabParametros[[#This Row],[CCT DA CATEGORIA]],tabSindicatos[],12,0),"")</f>
        <v>-</v>
      </c>
      <c r="BJ157" s="293" t="str">
        <f>IFERROR(VLOOKUP(tabParametros[[#This Row],[CCT DA CATEGORIA]],tabSindicatos[],13,0),"")</f>
        <v>-</v>
      </c>
    </row>
    <row r="158" spans="1:62" x14ac:dyDescent="0.25">
      <c r="A158" s="233" t="s">
        <v>1494</v>
      </c>
      <c r="B158" s="198" t="s">
        <v>143</v>
      </c>
      <c r="C158" s="198" t="s">
        <v>1247</v>
      </c>
      <c r="D158" s="198" t="str">
        <f>VLOOKUP(tabParametros[[#This Row],[Código do Posto]],tabPostos[],4,0)</f>
        <v>Regiao de Juiz de Fora</v>
      </c>
      <c r="E158" s="289" t="str">
        <f>VLOOKUP(tabParametros[[#This Row],[Código do Posto]],tabPostos[],5,0)</f>
        <v>Limpeza</v>
      </c>
      <c r="F158" s="289" t="str">
        <f>VLOOKUP(tabParametros[[#This Row],[Código do Posto]],tabPostos[],6,0)</f>
        <v>PGJ</v>
      </c>
      <c r="G158" s="289">
        <f>VLOOKUP(tabParametros[[#This Row],[Código do Posto]],tabPostos[],7,0)</f>
        <v>1</v>
      </c>
      <c r="H158" s="289">
        <f>VLOOKUP(tabParametros[[#This Row],[Código do Posto]],tabPostos[],8,0)</f>
        <v>0</v>
      </c>
      <c r="I158" s="234">
        <f>VLOOKUP(tabParametros[[#This Row],[Código do Posto]],tabPostos[],9,0)</f>
        <v>544.17999999999995</v>
      </c>
      <c r="J158" s="234">
        <f>IF(ISNUMBER(SEARCH("Eletricista",tabParametros[[#This Row],[Função]],1)),0.3*tabParametros[[#This Row],[Salário Base]],0)</f>
        <v>0</v>
      </c>
      <c r="K158" s="234">
        <f>IF(OR(ISNUMBER(SEARCH("Bombeiro Hidraulico",tabParametros[[#This Row],[Função]],1)),ISNUMBER(SEARCH("Jardineiro",tabParametros[[#This Row],[Função]],1)),ISNUMBER(SEARCH("Lavador de Veiculos",tabParametros[[#This Row],[Função]],1)),ISNUMBER(SEARCH("Marceneiro",tabParametros[[#This Row],[Função]],1)),ISNUMBER(SEARCH("Pintor",tabParametros[[#This Row],[Função]],1))),0.2*'BASE GERAL'!$R$4,0)</f>
        <v>0</v>
      </c>
      <c r="L158" s="234">
        <f>IF(AND(ISNUMBER(SEARCH("Noturno",tabParametros[[#This Row],[Função]],1)),tabParametros[[#This Row],[Comarca]]&lt;&gt;"Juiz de Fora"),tabParametros[[#This Row],[Salário Base]]/210*0.39*7*15.5,IF(ISNUMBER(SEARCH("Noturno",tabParametros[[#This Row],[Função]],1)),tabParametros[[#This Row],[Salário Base]]/210*0.2*8*15.5,0))</f>
        <v>0</v>
      </c>
      <c r="M158" s="234">
        <f>IF(ISNUMBER(SEARCH("Motorista II",tabParametros[[#This Row],[Função]],1)),0.25*tabParametros[[#This Row],[Salário Base]],0)</f>
        <v>0</v>
      </c>
      <c r="N158" s="250">
        <v>0</v>
      </c>
      <c r="O158" s="234">
        <f>IF(ISNUMBER(SEARCH("TECNOLOGIA DA INFORMACAO",tabParametros[[#This Row],[Função]],1)),0.0201*tabParametros[[#This Row],[Salário Base]],0)</f>
        <v>0</v>
      </c>
      <c r="P158" s="250" cm="1">
        <f t="array" ref="P158">_xlfn.IFS(
ISNUMBER(SEARCH("Auxiliar de Limpeza - 75 h",tabParametros[[#This Row],[Função]],1)),tabParametros[[#This Row],[Salário Base]]/75*0.75*30*0.12,
ISNUMBER(SEARCH("Auxiliar de Limpeza - 110 h",tabParametros[[#This Row],[Função]],1)),tabParametros[[#This Row],[Salário Base]]/110*1*30*0.12,
ISNUMBER(SEARCH("Auxiliar de Limpeza - 150 h",tabParametros[[#This Row],[Função]],1)),tabParametros[[#This Row],[Salário Base]]/150*1.5*30*0.12,
ISNUMBER(SEARCH("Auxiliar de Limpeza - 220 h",tabParametros[[#This Row],[Função]],1)),tabParametros[[#This Row],[Salário Base]]/220*2*30*0.12,
ISNUMBER(SEARCH("Auxiliar de Limpeza - 12 x 36",tabParametros[[#This Row],[Função]],1)),tabParametros[[#This Row],[Salário Base]]/220*2*30*0.12,
ISNUMBER(SEARCH("Auxiliar de Limpeza - 55 h",tabParametros[[#This Row],[Função]],1))=FALSE,0)</f>
        <v>19.590479999999999</v>
      </c>
      <c r="Q158" s="235">
        <f>VLOOKUP(tabParametros[[#Headers],[INSS]],tabImpostosNacionais[],2,0)</f>
        <v>0.2</v>
      </c>
      <c r="R158" s="235">
        <f>VLOOKUP(tabParametros[[#Headers],[SESI OU SESC]],tabImpostosNacionais[],2,0)</f>
        <v>1.4999999999999999E-2</v>
      </c>
      <c r="S158" s="235">
        <f>VLOOKUP(tabParametros[[#Headers],[SENAI OU SENAC]],tabImpostosNacionais[],2,0)</f>
        <v>0.01</v>
      </c>
      <c r="T158" s="235">
        <f>VLOOKUP(tabParametros[[#Headers],[INCRA]],tabImpostosNacionais[],2,0)</f>
        <v>2E-3</v>
      </c>
      <c r="U158" s="235">
        <f>VLOOKUP(tabParametros[[#Headers],[Salário Educação]],tabImpostosNacionais[],2,0)</f>
        <v>2.5000000000000001E-2</v>
      </c>
      <c r="V158" s="235">
        <f>VLOOKUP(tabParametros[[#Headers],[FGTS]],tabImpostosNacionais[],2,0)</f>
        <v>0.08</v>
      </c>
      <c r="W158" s="235">
        <f>VLOOKUP(tabParametros[[#Headers],[RAT Ajustado]],tabImpostosNacionais[],2,0)</f>
        <v>0.04</v>
      </c>
      <c r="X158" s="235">
        <f>VLOOKUP(tabParametros[[#Headers],[SEBRAE]],tabImpostosNacionais[],2,0)</f>
        <v>6.0000000000000001E-3</v>
      </c>
      <c r="Y158" s="235">
        <f t="shared" si="22"/>
        <v>8.3333333333333329E-2</v>
      </c>
      <c r="Z158" s="251">
        <f t="shared" si="23"/>
        <v>0.1111111111111111</v>
      </c>
      <c r="AA158" s="234">
        <f>VLOOKUP(tabParametros[[#This Row],[Comarca]],tabComarca[],5,0)</f>
        <v>6.4</v>
      </c>
      <c r="AB158" s="234">
        <f>IFERROR(VLOOKUP(tabParametros[[#This Row],[CCT DA CATEGORIA]],tabSindicatos[],6,0),0)</f>
        <v>29.15</v>
      </c>
      <c r="AC158" s="234">
        <f>IFERROR(VLOOKUP(tabParametros[[#This Row],[CCT DA CATEGORIA]],tabSindicatos[],7,0),0)</f>
        <v>0</v>
      </c>
      <c r="AD158" s="234" cm="1">
        <f t="array" ref="AD158">_xlfn.LET(
_xlpm.COMARCA, TRIM(UPPER(SUBSTITUTE(SUBSTITUTE(SUBSTITUTE(SUBSTITUTE(SUBSTITUTE(SUBSTITUTE(SUBSTITUTE(SUBSTITUTE(SUBSTITUTE(SUBSTITUTE(SUBSTITUTE(SUBSTITUTE(SUBSTITUTE(SUBSTITUTE(SUBSTITUTE(SUBSTITUTE(SUBSTITUTE(SUBSTITUTE(SUBSTITUTE(SUBSTITUTE(SUBSTITUTE(SUBSTITUTE(SUBSTITUTE(SUBSTITUTE(SUBSTITUTE(SUBSTITUTE(tabParametros[[#This Row],[Comarca]],"á","a"),"ã","a"),"â","a"),"é","e"),"ê","e"),"í","i"),"ó","o"),"õ","o"),"ô","o"),"ú","u"),"ç","c"),"Á","a"),"Ã","a"),"Â","a"),"É","e"),"Ê","e"),"Í","i"),"Ó","o"),"Õ","o"),"Ô","o"),"Ú","u"),"Ç","c"),"/MG","")," e ",", ")," ",""),".",""))),
_xlpm.MATRIZ_COMARCA, TRIM(UPPER(SUBSTITUTE(SUBSTITUTE(SUBSTITUTE(SUBSTITUTE(SUBSTITUTE(SUBSTITUTE(SUBSTITUTE(SUBSTITUTE(SUBSTITUTE(SUBSTITUTE(SUBSTITUTE(SUBSTITUTE(SUBSTITUTE(SUBSTITUTE(SUBSTITUTE(SUBSTITUTE(SUBSTITUTE(SUBSTITUTE(SUBSTITUTE(SUBSTITUTE(SUBSTITUTE(SUBSTITUTE(SUBSTITUTE(SUBSTITUTE(SUBSTITUTE(SUBSTITUTE(tabSindicatos[COMARCAS PAF],"á","a"),"ã","a"),"â","a"),"é","e"),"ê","e"),"í","i"),"ó","o"),"õ","o"),"ô","o"),"ú","u"),"ç","c"),"Á","a"),"Ã","a"),"Â","a"),"É","e"),"Ê","e"),"Í","i"),"Ó","o"),"Õ","o"),"Ô","o"),"Ú","u"),"Ç","c"),"/MG","")," e ",", ")," ",""),".",""))),
IFERROR(IF(_xlfn.XLOOKUP(tabParametros[[#This Row],[CCT DA CATEGORIA]],tabSindicatos[SINDICATOS],tabSindicatos[COMARCAS PAF])="",
VLOOKUP(tabParametros[[#This Row],[CCT DA CATEGORIA]],tabSindicatos[],8,0),
IF(ISNUMBER(SEARCH(TRIM(_xlpm.COMARCA),_xlfn.XLOOKUP(tabParametros[[#This Row],[CCT DA CATEGORIA]],tabSindicatos[SINDICATOS],_xlpm.MATRIZ_COMARCA),1)),VLOOKUP(tabParametros[[#This Row],[CCT DA CATEGORIA]],tabSindicatos[],8,0),0)
),0)
)</f>
        <v>51.88</v>
      </c>
      <c r="AE158" s="234">
        <f>IFERROR(VLOOKUP(tabParametros[[#This Row],[CCT DA CATEGORIA]],tabSindicatos[],9,0),0)</f>
        <v>0</v>
      </c>
      <c r="AF158" s="234">
        <f>IFERROR(VLOOKUP(tabParametros[[#This Row],[CCT DA CATEGORIA]],tabSindicatos[],10,0),0)</f>
        <v>0</v>
      </c>
      <c r="AG158" s="236">
        <f>VLOOKUP(tabParametros[[#Headers],[Seguro de Vida]],tabOutrosCustos[],3,0)</f>
        <v>3.36</v>
      </c>
      <c r="AH158" s="236">
        <f>IF(ISNUMBER(SEARCH("MOTORISTA",tabParametros[[#This Row],[Função]],1)),VLOOKUP("MOTORISTAS",tabDiarias[],2,0),IF(tabParametros[[#This Row],[Comarca]]="Belo Horizonte",VLOOKUP("LIMPEZA",tabDiarias[],2,0),0))</f>
        <v>0</v>
      </c>
      <c r="AI158" s="235">
        <f t="shared" si="24"/>
        <v>7.011766975308642E-3</v>
      </c>
      <c r="AJ158" s="237">
        <f>tabParametros[[#This Row],[FGTS]]*tabParametros[[#This Row],[Aviso Prévio Indenizado (API) e Reflexo do Aviso Prévio Indenizado]]</f>
        <v>5.609413580246914E-4</v>
      </c>
      <c r="AK158" s="237">
        <f>tabParametros[[#This Row],[FGTS]]*tabParametros[[#This Row],[Aviso Prévio Indenizado (API) e Reflexo do Aviso Prévio Indenizado]]*40%</f>
        <v>2.2437654320987658E-4</v>
      </c>
      <c r="AL158" s="235">
        <f t="shared" si="25"/>
        <v>3.5000000000000005E-3</v>
      </c>
      <c r="AM158" s="235">
        <f>tabParametros[[#This Row],[Aviso Prévio Trabalhado - APT]]*SUM(tabParametros[[#This Row],[INSS]:[SEBRAE]])</f>
        <v>1.3230000000000004E-3</v>
      </c>
      <c r="AN158" s="235">
        <f t="shared" si="26"/>
        <v>3.0577777777777773E-2</v>
      </c>
      <c r="AO158" s="235">
        <f t="shared" si="27"/>
        <v>8.3333333333333339E-4</v>
      </c>
      <c r="AP158" s="235">
        <f t="shared" si="28"/>
        <v>8.4444444444444437E-3</v>
      </c>
      <c r="AQ158" s="235">
        <f t="shared" si="29"/>
        <v>2.0277777777777777E-3</v>
      </c>
      <c r="AR158" s="235">
        <f t="shared" si="30"/>
        <v>1.7083333333333333E-4</v>
      </c>
      <c r="AS158" s="235">
        <f t="shared" si="31"/>
        <v>2.0833333333333335E-4</v>
      </c>
      <c r="AT158" s="235">
        <f t="shared" si="32"/>
        <v>1.2962962962962963E-3</v>
      </c>
      <c r="AU158" s="237">
        <f>SUM(tabParametros[[#This Row],[Ausência por Doença]:[Férias, Adicional de Férias e 13º  com empregada em gozo de Licença Maternidade]])*SUM(tabParametros[[#This Row],[INSS]:[SEBRAE]])</f>
        <v>4.5918250000000008E-3</v>
      </c>
      <c r="AV158" s="234">
        <f>IF(tabParametros[[#This Row],[Função]]="Porteiro - 220 h",SUM(tabParametros[[#This Row],[Salário Base]:[Adicional de Acúmulo de função]])/220*20*1.5,IF(ISNUMBER(SEARCH("12 x 36",tabParametros[[#This Row],[Função]],1)),SUM(tabParametros[[#This Row],[Salário Base]:[Adicional de Acúmulo de função]])/210*15.5*1.5,0))</f>
        <v>0</v>
      </c>
      <c r="AW158" s="234">
        <f>IF(tabParametros[[#This Row],[Vagas contratadas]]&gt;0,(SUM(tabParametros[[#This Row],[Salário Base]:[Adicional de Acúmulo de função]])*30%+SUM(tabParametros[[#This Row],[Vale - Alimentação]:[Seguro de Vida]]))/tabParametros[[#This Row],[Vagas contratadas]]*tabParametros[[#This Row],[Vagas suspensas]],0)</f>
        <v>0</v>
      </c>
      <c r="AX158" s="234">
        <f>SUMIF(tabUniformes[Cargo],tabParametros[[#This Row],[Função]],tabUniformes[Valor unit. Mensal])</f>
        <v>62.806666666666665</v>
      </c>
      <c r="AY158" s="281">
        <f>IF(ISNUMBER(SEARCH("AUXILIAR DE LIMPEZA - 75 H",tabParametros[[#This Row],[Função]],1)),
SUMIF(tabLimpGeral[TIPO],"Material",tabLimpGeral[VALOR UNITÁRIO P/ HORA (R$)])*75,
IF(ISNUMBER(SEARCH("AUXILIAR DE LIMPEZA - 110 H",tabParametros[[#This Row],[Função]],1)),
SUMIF(tabLimpGeral[TIPO],"Material",tabLimpGeral[VALOR UNITÁRIO P/ HORA (R$)])*110,
IF(ISNUMBER(SEARCH("AUXILIAR DE LIMPEZA - 150 H",tabParametros[[#This Row],[Função]],1)),
SUMIF(tabLimpGeral[TIPO],"Material",tabLimpGeral[VALOR UNITÁRIO P/ HORA (R$)])*150,
IF(ISNUMBER(SEARCH("AUXILIAR DE LIMPEZA - 220 H",tabParametros[[#This Row],[Função]],1)),
SUMIF(tabLimpGeral[TIPO],"Material",tabLimpGeral[VALOR UNITÁRIO P/ HORA (R$)])*220,
IF(ISNUMBER(SEARCH("AUXILIAR DE LIMPEZA - 12 x 36",tabParametros[[#This Row],[Função]],1)),
SUMIF(tabLimpGeral[TIPO],"Material",tabLimpGeral[VALOR UNITÁRIO P/ HORA (R$)])*220,
IF(ISNUMBER(SEARCH("Limpador de vidros - 220 h",tabParametros[[#This Row],[Função]],1)),
SUMIF(tabVidros[TIPO],"Material",tabVidros[VALOR UNITÁRIO P/ POSTO (R$)]),
0))))))</f>
        <v>12.108481690426325</v>
      </c>
      <c r="AZ158" s="281">
        <f>IF(ISNUMBER(SEARCH("AUXILIAR DE LIMPEZA - 75 H",tabParametros[[#This Row],[Função]],1)),
SUMIF(tabLimpGeral[TIPO],"Equipamento",tabLimpGeral[VALOR UNITÁRIO P/ HORA (R$)])*75,
IF(ISNUMBER(SEARCH("AUXILIAR DE LIMPEZA - 110 H",tabParametros[[#This Row],[Função]],1)),
SUMIF(tabLimpGeral[TIPO],"Equipamento",tabLimpGeral[VALOR UNITÁRIO P/ HORA (R$)])*110,
IF(ISNUMBER(SEARCH("AUXILIAR DE LIMPEZA - 150 H",tabParametros[[#This Row],[Função]],1)),
SUMIF(tabLimpGeral[TIPO],"Equipamento",tabLimpGeral[VALOR UNITÁRIO P/ HORA (R$)])*150,
IF(ISNUMBER(SEARCH("AUXILIAR DE LIMPEZA - 220 H",tabParametros[[#This Row],[Função]],1)),
SUMIF(tabLimpGeral[TIPO],"Equipamento",tabLimpGeral[VALOR UNITÁRIO P/ HORA (R$)])*220,
IF(ISNUMBER(SEARCH("AUXILIAR DE LIMPEZA - 12 x 36",tabParametros[[#This Row],[Função]],1)),
SUMIF(tabLimpGeral[TIPO],"Equipamento",tabLimpGeral[VALOR UNITÁRIO P/ HORA (R$)])*220,
IF(ISNUMBER(SEARCH("Limpador de vidros - 220 h",tabParametros[[#This Row],[Função]],1)),
SUMIF(tabVidros[TIPO],"Equipamento",tabVidros[VALOR UNITÁRIO P/ POSTO (R$)]),
0))))))</f>
        <v>21.998657016417809</v>
      </c>
      <c r="BA158" s="281">
        <f>IF(ISNUMBER(SEARCH("AUXILIAR DE LIMPEZA - 75 H",tabParametros[[#This Row],[Função]],1)),
SUMIF(tabLimpGeral[TIPO],"Produto",tabLimpGeral[VALOR UNITÁRIO P/ HORA (R$)])*75,
IF(ISNUMBER(SEARCH("AUXILIAR DE LIMPEZA - 110 H",tabParametros[[#This Row],[Função]],1)),
SUMIF(tabLimpGeral[TIPO],"Produto",tabLimpGeral[VALOR UNITÁRIO P/ HORA (R$)])*110,
IF(ISNUMBER(SEARCH("AUXILIAR DE LIMPEZA - 150 H",tabParametros[[#This Row],[Função]],1)),
SUMIF(tabLimpGeral[TIPO],"Produto",tabLimpGeral[VALOR UNITÁRIO P/ HORA (R$)])*150,
IF(ISNUMBER(SEARCH("AUXILIAR DE LIMPEZA - 220 H",tabParametros[[#This Row],[Função]],1)),
SUMIF(tabLimpGeral[TIPO],"Produto",tabLimpGeral[VALOR UNITÁRIO P/ HORA (R$)])*220,
IF(ISNUMBER(SEARCH("AUXILIAR DE LIMPEZA - 12 x 36",tabParametros[[#This Row],[Função]],1)),
SUMIF(tabLimpGeral[TIPO],"Produto",tabLimpGeral[VALOR UNITÁRIO P/ HORA (R$)])*220,
IF(ISNUMBER(SEARCH("Limpador de vidros - 220 h",tabParametros[[#This Row],[Função]],1)),
SUMIF(tabVidros[TIPO],"Produto",tabVidros[VALOR UNITÁRIO P/ POSTO (R$)]),
0))))))</f>
        <v>235.31984072022155</v>
      </c>
      <c r="BB158" s="281">
        <v>0</v>
      </c>
      <c r="BC158" s="236">
        <f>VLOOKUP(tabParametros[[#Headers],[Custos Indiretos]],tabOutrosCustos[],3,0)</f>
        <v>189.64880140242613</v>
      </c>
      <c r="BD158" s="236">
        <f>VLOOKUP(tabParametros[[#Headers],[Lucro]],tabOutrosCustos[],3,0)</f>
        <v>159.30499317803796</v>
      </c>
      <c r="BE158" s="235">
        <f>VLOOKUP(tabParametros[[#Headers],[COFINS]],tabImpostosNacionais[],2,0)</f>
        <v>7.5999999999999998E-2</v>
      </c>
      <c r="BF158" s="235">
        <f>VLOOKUP(tabParametros[[#Headers],[PIS]],tabImpostosNacionais[],2,0)</f>
        <v>1.6500000000000001E-2</v>
      </c>
      <c r="BG158" s="235">
        <f>VLOOKUP(tabParametros[[#This Row],[Comarca]],tabComarca[],4,0)</f>
        <v>0.05</v>
      </c>
      <c r="BH158" s="238">
        <f>IFERROR(VLOOKUP(tabParametros[[#This Row],[CCT DA CATEGORIA]],tabSindicatos[],11,0),"")</f>
        <v>45658</v>
      </c>
      <c r="BI158" s="289" t="str">
        <f>IFERROR(VLOOKUP(tabParametros[[#This Row],[CCT DA CATEGORIA]],tabSindicatos[],12,0),"")</f>
        <v>-</v>
      </c>
      <c r="BJ158" s="293" t="str">
        <f>IFERROR(VLOOKUP(tabParametros[[#This Row],[CCT DA CATEGORIA]],tabSindicatos[],13,0),"")</f>
        <v>-</v>
      </c>
    </row>
    <row r="159" spans="1:62" x14ac:dyDescent="0.25">
      <c r="A159" s="233" t="s">
        <v>1495</v>
      </c>
      <c r="B159" s="198" t="s">
        <v>144</v>
      </c>
      <c r="C159" s="198" t="s">
        <v>1247</v>
      </c>
      <c r="D159" s="198" t="str">
        <f>VLOOKUP(tabParametros[[#This Row],[Código do Posto]],tabPostos[],4,0)</f>
        <v>Regiao de Juiz de Fora</v>
      </c>
      <c r="E159" s="289" t="str">
        <f>VLOOKUP(tabParametros[[#This Row],[Código do Posto]],tabPostos[],5,0)</f>
        <v>Limpeza</v>
      </c>
      <c r="F159" s="289" t="str">
        <f>VLOOKUP(tabParametros[[#This Row],[Código do Posto]],tabPostos[],6,0)</f>
        <v>PGJ</v>
      </c>
      <c r="G159" s="289">
        <f>VLOOKUP(tabParametros[[#This Row],[Código do Posto]],tabPostos[],7,0)</f>
        <v>1</v>
      </c>
      <c r="H159" s="289">
        <f>VLOOKUP(tabParametros[[#This Row],[Código do Posto]],tabPostos[],8,0)</f>
        <v>0</v>
      </c>
      <c r="I159" s="234">
        <f>VLOOKUP(tabParametros[[#This Row],[Código do Posto]],tabPostos[],9,0)</f>
        <v>544.17999999999995</v>
      </c>
      <c r="J159" s="234">
        <f>IF(ISNUMBER(SEARCH("Eletricista",tabParametros[[#This Row],[Função]],1)),0.3*tabParametros[[#This Row],[Salário Base]],0)</f>
        <v>0</v>
      </c>
      <c r="K159" s="234">
        <f>IF(OR(ISNUMBER(SEARCH("Bombeiro Hidraulico",tabParametros[[#This Row],[Função]],1)),ISNUMBER(SEARCH("Jardineiro",tabParametros[[#This Row],[Função]],1)),ISNUMBER(SEARCH("Lavador de Veiculos",tabParametros[[#This Row],[Função]],1)),ISNUMBER(SEARCH("Marceneiro",tabParametros[[#This Row],[Função]],1)),ISNUMBER(SEARCH("Pintor",tabParametros[[#This Row],[Função]],1))),0.2*'BASE GERAL'!$R$4,0)</f>
        <v>0</v>
      </c>
      <c r="L159" s="234">
        <f>IF(AND(ISNUMBER(SEARCH("Noturno",tabParametros[[#This Row],[Função]],1)),tabParametros[[#This Row],[Comarca]]&lt;&gt;"Juiz de Fora"),tabParametros[[#This Row],[Salário Base]]/210*0.39*7*15.5,IF(ISNUMBER(SEARCH("Noturno",tabParametros[[#This Row],[Função]],1)),tabParametros[[#This Row],[Salário Base]]/210*0.2*8*15.5,0))</f>
        <v>0</v>
      </c>
      <c r="M159" s="234">
        <f>IF(ISNUMBER(SEARCH("Motorista II",tabParametros[[#This Row],[Função]],1)),0.25*tabParametros[[#This Row],[Salário Base]],0)</f>
        <v>0</v>
      </c>
      <c r="N159" s="250">
        <v>0</v>
      </c>
      <c r="O159" s="234">
        <f>IF(ISNUMBER(SEARCH("TECNOLOGIA DA INFORMACAO",tabParametros[[#This Row],[Função]],1)),0.0201*tabParametros[[#This Row],[Salário Base]],0)</f>
        <v>0</v>
      </c>
      <c r="P159" s="250" cm="1">
        <f t="array" ref="P159">_xlfn.IFS(
ISNUMBER(SEARCH("Auxiliar de Limpeza - 75 h",tabParametros[[#This Row],[Função]],1)),tabParametros[[#This Row],[Salário Base]]/75*0.75*30*0.12,
ISNUMBER(SEARCH("Auxiliar de Limpeza - 110 h",tabParametros[[#This Row],[Função]],1)),tabParametros[[#This Row],[Salário Base]]/110*1*30*0.12,
ISNUMBER(SEARCH("Auxiliar de Limpeza - 150 h",tabParametros[[#This Row],[Função]],1)),tabParametros[[#This Row],[Salário Base]]/150*1.5*30*0.12,
ISNUMBER(SEARCH("Auxiliar de Limpeza - 220 h",tabParametros[[#This Row],[Função]],1)),tabParametros[[#This Row],[Salário Base]]/220*2*30*0.12,
ISNUMBER(SEARCH("Auxiliar de Limpeza - 12 x 36",tabParametros[[#This Row],[Função]],1)),tabParametros[[#This Row],[Salário Base]]/220*2*30*0.12,
ISNUMBER(SEARCH("Auxiliar de Limpeza - 55 h",tabParametros[[#This Row],[Função]],1))=FALSE,0)</f>
        <v>19.590479999999999</v>
      </c>
      <c r="Q159" s="235">
        <f>VLOOKUP(tabParametros[[#Headers],[INSS]],tabImpostosNacionais[],2,0)</f>
        <v>0.2</v>
      </c>
      <c r="R159" s="235">
        <f>VLOOKUP(tabParametros[[#Headers],[SESI OU SESC]],tabImpostosNacionais[],2,0)</f>
        <v>1.4999999999999999E-2</v>
      </c>
      <c r="S159" s="235">
        <f>VLOOKUP(tabParametros[[#Headers],[SENAI OU SENAC]],tabImpostosNacionais[],2,0)</f>
        <v>0.01</v>
      </c>
      <c r="T159" s="235">
        <f>VLOOKUP(tabParametros[[#Headers],[INCRA]],tabImpostosNacionais[],2,0)</f>
        <v>2E-3</v>
      </c>
      <c r="U159" s="235">
        <f>VLOOKUP(tabParametros[[#Headers],[Salário Educação]],tabImpostosNacionais[],2,0)</f>
        <v>2.5000000000000001E-2</v>
      </c>
      <c r="V159" s="235">
        <f>VLOOKUP(tabParametros[[#Headers],[FGTS]],tabImpostosNacionais[],2,0)</f>
        <v>0.08</v>
      </c>
      <c r="W159" s="235">
        <f>VLOOKUP(tabParametros[[#Headers],[RAT Ajustado]],tabImpostosNacionais[],2,0)</f>
        <v>0.04</v>
      </c>
      <c r="X159" s="235">
        <f>VLOOKUP(tabParametros[[#Headers],[SEBRAE]],tabImpostosNacionais[],2,0)</f>
        <v>6.0000000000000001E-3</v>
      </c>
      <c r="Y159" s="235">
        <f t="shared" si="22"/>
        <v>8.3333333333333329E-2</v>
      </c>
      <c r="Z159" s="251">
        <f t="shared" si="23"/>
        <v>0.1111111111111111</v>
      </c>
      <c r="AA159" s="234">
        <f>VLOOKUP(tabParametros[[#This Row],[Comarca]],tabComarca[],5,0)</f>
        <v>6.4</v>
      </c>
      <c r="AB159" s="234">
        <f>IFERROR(VLOOKUP(tabParametros[[#This Row],[CCT DA CATEGORIA]],tabSindicatos[],6,0),0)</f>
        <v>29.15</v>
      </c>
      <c r="AC159" s="234">
        <f>IFERROR(VLOOKUP(tabParametros[[#This Row],[CCT DA CATEGORIA]],tabSindicatos[],7,0),0)</f>
        <v>0</v>
      </c>
      <c r="AD159" s="234" cm="1">
        <f t="array" ref="AD159">_xlfn.LET(
_xlpm.COMARCA, TRIM(UPPER(SUBSTITUTE(SUBSTITUTE(SUBSTITUTE(SUBSTITUTE(SUBSTITUTE(SUBSTITUTE(SUBSTITUTE(SUBSTITUTE(SUBSTITUTE(SUBSTITUTE(SUBSTITUTE(SUBSTITUTE(SUBSTITUTE(SUBSTITUTE(SUBSTITUTE(SUBSTITUTE(SUBSTITUTE(SUBSTITUTE(SUBSTITUTE(SUBSTITUTE(SUBSTITUTE(SUBSTITUTE(SUBSTITUTE(SUBSTITUTE(SUBSTITUTE(SUBSTITUTE(tabParametros[[#This Row],[Comarca]],"á","a"),"ã","a"),"â","a"),"é","e"),"ê","e"),"í","i"),"ó","o"),"õ","o"),"ô","o"),"ú","u"),"ç","c"),"Á","a"),"Ã","a"),"Â","a"),"É","e"),"Ê","e"),"Í","i"),"Ó","o"),"Õ","o"),"Ô","o"),"Ú","u"),"Ç","c"),"/MG","")," e ",", ")," ",""),".",""))),
_xlpm.MATRIZ_COMARCA, TRIM(UPPER(SUBSTITUTE(SUBSTITUTE(SUBSTITUTE(SUBSTITUTE(SUBSTITUTE(SUBSTITUTE(SUBSTITUTE(SUBSTITUTE(SUBSTITUTE(SUBSTITUTE(SUBSTITUTE(SUBSTITUTE(SUBSTITUTE(SUBSTITUTE(SUBSTITUTE(SUBSTITUTE(SUBSTITUTE(SUBSTITUTE(SUBSTITUTE(SUBSTITUTE(SUBSTITUTE(SUBSTITUTE(SUBSTITUTE(SUBSTITUTE(SUBSTITUTE(SUBSTITUTE(tabSindicatos[COMARCAS PAF],"á","a"),"ã","a"),"â","a"),"é","e"),"ê","e"),"í","i"),"ó","o"),"õ","o"),"ô","o"),"ú","u"),"ç","c"),"Á","a"),"Ã","a"),"Â","a"),"É","e"),"Ê","e"),"Í","i"),"Ó","o"),"Õ","o"),"Ô","o"),"Ú","u"),"Ç","c"),"/MG","")," e ",", ")," ",""),".",""))),
IFERROR(IF(_xlfn.XLOOKUP(tabParametros[[#This Row],[CCT DA CATEGORIA]],tabSindicatos[SINDICATOS],tabSindicatos[COMARCAS PAF])="",
VLOOKUP(tabParametros[[#This Row],[CCT DA CATEGORIA]],tabSindicatos[],8,0),
IF(ISNUMBER(SEARCH(TRIM(_xlpm.COMARCA),_xlfn.XLOOKUP(tabParametros[[#This Row],[CCT DA CATEGORIA]],tabSindicatos[SINDICATOS],_xlpm.MATRIZ_COMARCA),1)),VLOOKUP(tabParametros[[#This Row],[CCT DA CATEGORIA]],tabSindicatos[],8,0),0)
),0)
)</f>
        <v>51.88</v>
      </c>
      <c r="AE159" s="234">
        <f>IFERROR(VLOOKUP(tabParametros[[#This Row],[CCT DA CATEGORIA]],tabSindicatos[],9,0),0)</f>
        <v>0</v>
      </c>
      <c r="AF159" s="234">
        <f>IFERROR(VLOOKUP(tabParametros[[#This Row],[CCT DA CATEGORIA]],tabSindicatos[],10,0),0)</f>
        <v>0</v>
      </c>
      <c r="AG159" s="236">
        <f>VLOOKUP(tabParametros[[#Headers],[Seguro de Vida]],tabOutrosCustos[],3,0)</f>
        <v>3.36</v>
      </c>
      <c r="AH159" s="236">
        <f>IF(ISNUMBER(SEARCH("MOTORISTA",tabParametros[[#This Row],[Função]],1)),VLOOKUP("MOTORISTAS",tabDiarias[],2,0),IF(tabParametros[[#This Row],[Comarca]]="Belo Horizonte",VLOOKUP("LIMPEZA",tabDiarias[],2,0),0))</f>
        <v>0</v>
      </c>
      <c r="AI159" s="235">
        <f t="shared" si="24"/>
        <v>7.011766975308642E-3</v>
      </c>
      <c r="AJ159" s="237">
        <f>tabParametros[[#This Row],[FGTS]]*tabParametros[[#This Row],[Aviso Prévio Indenizado (API) e Reflexo do Aviso Prévio Indenizado]]</f>
        <v>5.609413580246914E-4</v>
      </c>
      <c r="AK159" s="237">
        <f>tabParametros[[#This Row],[FGTS]]*tabParametros[[#This Row],[Aviso Prévio Indenizado (API) e Reflexo do Aviso Prévio Indenizado]]*40%</f>
        <v>2.2437654320987658E-4</v>
      </c>
      <c r="AL159" s="235">
        <f t="shared" si="25"/>
        <v>3.5000000000000005E-3</v>
      </c>
      <c r="AM159" s="235">
        <f>tabParametros[[#This Row],[Aviso Prévio Trabalhado - APT]]*SUM(tabParametros[[#This Row],[INSS]:[SEBRAE]])</f>
        <v>1.3230000000000004E-3</v>
      </c>
      <c r="AN159" s="235">
        <f t="shared" si="26"/>
        <v>3.0577777777777773E-2</v>
      </c>
      <c r="AO159" s="235">
        <f t="shared" si="27"/>
        <v>8.3333333333333339E-4</v>
      </c>
      <c r="AP159" s="235">
        <f t="shared" si="28"/>
        <v>8.4444444444444437E-3</v>
      </c>
      <c r="AQ159" s="235">
        <f t="shared" si="29"/>
        <v>2.0277777777777777E-3</v>
      </c>
      <c r="AR159" s="235">
        <f t="shared" si="30"/>
        <v>1.7083333333333333E-4</v>
      </c>
      <c r="AS159" s="235">
        <f t="shared" si="31"/>
        <v>2.0833333333333335E-4</v>
      </c>
      <c r="AT159" s="235">
        <f t="shared" si="32"/>
        <v>1.2962962962962963E-3</v>
      </c>
      <c r="AU159" s="237">
        <f>SUM(tabParametros[[#This Row],[Ausência por Doença]:[Férias, Adicional de Férias e 13º  com empregada em gozo de Licença Maternidade]])*SUM(tabParametros[[#This Row],[INSS]:[SEBRAE]])</f>
        <v>4.5918250000000008E-3</v>
      </c>
      <c r="AV159" s="234">
        <f>IF(tabParametros[[#This Row],[Função]]="Porteiro - 220 h",SUM(tabParametros[[#This Row],[Salário Base]:[Adicional de Acúmulo de função]])/220*20*1.5,IF(ISNUMBER(SEARCH("12 x 36",tabParametros[[#This Row],[Função]],1)),SUM(tabParametros[[#This Row],[Salário Base]:[Adicional de Acúmulo de função]])/210*15.5*1.5,0))</f>
        <v>0</v>
      </c>
      <c r="AW159" s="234">
        <f>IF(tabParametros[[#This Row],[Vagas contratadas]]&gt;0,(SUM(tabParametros[[#This Row],[Salário Base]:[Adicional de Acúmulo de função]])*30%+SUM(tabParametros[[#This Row],[Vale - Alimentação]:[Seguro de Vida]]))/tabParametros[[#This Row],[Vagas contratadas]]*tabParametros[[#This Row],[Vagas suspensas]],0)</f>
        <v>0</v>
      </c>
      <c r="AX159" s="234">
        <f>SUMIF(tabUniformes[Cargo],tabParametros[[#This Row],[Função]],tabUniformes[Valor unit. Mensal])</f>
        <v>62.806666666666665</v>
      </c>
      <c r="AY159" s="281">
        <f>IF(ISNUMBER(SEARCH("AUXILIAR DE LIMPEZA - 75 H",tabParametros[[#This Row],[Função]],1)),
SUMIF(tabLimpGeral[TIPO],"Material",tabLimpGeral[VALOR UNITÁRIO P/ HORA (R$)])*75,
IF(ISNUMBER(SEARCH("AUXILIAR DE LIMPEZA - 110 H",tabParametros[[#This Row],[Função]],1)),
SUMIF(tabLimpGeral[TIPO],"Material",tabLimpGeral[VALOR UNITÁRIO P/ HORA (R$)])*110,
IF(ISNUMBER(SEARCH("AUXILIAR DE LIMPEZA - 150 H",tabParametros[[#This Row],[Função]],1)),
SUMIF(tabLimpGeral[TIPO],"Material",tabLimpGeral[VALOR UNITÁRIO P/ HORA (R$)])*150,
IF(ISNUMBER(SEARCH("AUXILIAR DE LIMPEZA - 220 H",tabParametros[[#This Row],[Função]],1)),
SUMIF(tabLimpGeral[TIPO],"Material",tabLimpGeral[VALOR UNITÁRIO P/ HORA (R$)])*220,
IF(ISNUMBER(SEARCH("AUXILIAR DE LIMPEZA - 12 x 36",tabParametros[[#This Row],[Função]],1)),
SUMIF(tabLimpGeral[TIPO],"Material",tabLimpGeral[VALOR UNITÁRIO P/ HORA (R$)])*220,
IF(ISNUMBER(SEARCH("Limpador de vidros - 220 h",tabParametros[[#This Row],[Função]],1)),
SUMIF(tabVidros[TIPO],"Material",tabVidros[VALOR UNITÁRIO P/ POSTO (R$)]),
0))))))</f>
        <v>12.108481690426325</v>
      </c>
      <c r="AZ159" s="281">
        <f>IF(ISNUMBER(SEARCH("AUXILIAR DE LIMPEZA - 75 H",tabParametros[[#This Row],[Função]],1)),
SUMIF(tabLimpGeral[TIPO],"Equipamento",tabLimpGeral[VALOR UNITÁRIO P/ HORA (R$)])*75,
IF(ISNUMBER(SEARCH("AUXILIAR DE LIMPEZA - 110 H",tabParametros[[#This Row],[Função]],1)),
SUMIF(tabLimpGeral[TIPO],"Equipamento",tabLimpGeral[VALOR UNITÁRIO P/ HORA (R$)])*110,
IF(ISNUMBER(SEARCH("AUXILIAR DE LIMPEZA - 150 H",tabParametros[[#This Row],[Função]],1)),
SUMIF(tabLimpGeral[TIPO],"Equipamento",tabLimpGeral[VALOR UNITÁRIO P/ HORA (R$)])*150,
IF(ISNUMBER(SEARCH("AUXILIAR DE LIMPEZA - 220 H",tabParametros[[#This Row],[Função]],1)),
SUMIF(tabLimpGeral[TIPO],"Equipamento",tabLimpGeral[VALOR UNITÁRIO P/ HORA (R$)])*220,
IF(ISNUMBER(SEARCH("AUXILIAR DE LIMPEZA - 12 x 36",tabParametros[[#This Row],[Função]],1)),
SUMIF(tabLimpGeral[TIPO],"Equipamento",tabLimpGeral[VALOR UNITÁRIO P/ HORA (R$)])*220,
IF(ISNUMBER(SEARCH("Limpador de vidros - 220 h",tabParametros[[#This Row],[Função]],1)),
SUMIF(tabVidros[TIPO],"Equipamento",tabVidros[VALOR UNITÁRIO P/ POSTO (R$)]),
0))))))</f>
        <v>21.998657016417809</v>
      </c>
      <c r="BA159" s="281">
        <f>IF(ISNUMBER(SEARCH("AUXILIAR DE LIMPEZA - 75 H",tabParametros[[#This Row],[Função]],1)),
SUMIF(tabLimpGeral[TIPO],"Produto",tabLimpGeral[VALOR UNITÁRIO P/ HORA (R$)])*75,
IF(ISNUMBER(SEARCH("AUXILIAR DE LIMPEZA - 110 H",tabParametros[[#This Row],[Função]],1)),
SUMIF(tabLimpGeral[TIPO],"Produto",tabLimpGeral[VALOR UNITÁRIO P/ HORA (R$)])*110,
IF(ISNUMBER(SEARCH("AUXILIAR DE LIMPEZA - 150 H",tabParametros[[#This Row],[Função]],1)),
SUMIF(tabLimpGeral[TIPO],"Produto",tabLimpGeral[VALOR UNITÁRIO P/ HORA (R$)])*150,
IF(ISNUMBER(SEARCH("AUXILIAR DE LIMPEZA - 220 H",tabParametros[[#This Row],[Função]],1)),
SUMIF(tabLimpGeral[TIPO],"Produto",tabLimpGeral[VALOR UNITÁRIO P/ HORA (R$)])*220,
IF(ISNUMBER(SEARCH("AUXILIAR DE LIMPEZA - 12 x 36",tabParametros[[#This Row],[Função]],1)),
SUMIF(tabLimpGeral[TIPO],"Produto",tabLimpGeral[VALOR UNITÁRIO P/ HORA (R$)])*220,
IF(ISNUMBER(SEARCH("Limpador de vidros - 220 h",tabParametros[[#This Row],[Função]],1)),
SUMIF(tabVidros[TIPO],"Produto",tabVidros[VALOR UNITÁRIO P/ POSTO (R$)]),
0))))))</f>
        <v>235.31984072022155</v>
      </c>
      <c r="BB159" s="281">
        <v>0</v>
      </c>
      <c r="BC159" s="236">
        <f>VLOOKUP(tabParametros[[#Headers],[Custos Indiretos]],tabOutrosCustos[],3,0)</f>
        <v>189.64880140242613</v>
      </c>
      <c r="BD159" s="236">
        <f>VLOOKUP(tabParametros[[#Headers],[Lucro]],tabOutrosCustos[],3,0)</f>
        <v>159.30499317803796</v>
      </c>
      <c r="BE159" s="235">
        <f>VLOOKUP(tabParametros[[#Headers],[COFINS]],tabImpostosNacionais[],2,0)</f>
        <v>7.5999999999999998E-2</v>
      </c>
      <c r="BF159" s="235">
        <f>VLOOKUP(tabParametros[[#Headers],[PIS]],tabImpostosNacionais[],2,0)</f>
        <v>1.6500000000000001E-2</v>
      </c>
      <c r="BG159" s="235">
        <f>VLOOKUP(tabParametros[[#This Row],[Comarca]],tabComarca[],4,0)</f>
        <v>0.03</v>
      </c>
      <c r="BH159" s="238">
        <f>IFERROR(VLOOKUP(tabParametros[[#This Row],[CCT DA CATEGORIA]],tabSindicatos[],11,0),"")</f>
        <v>45658</v>
      </c>
      <c r="BI159" s="289" t="str">
        <f>IFERROR(VLOOKUP(tabParametros[[#This Row],[CCT DA CATEGORIA]],tabSindicatos[],12,0),"")</f>
        <v>-</v>
      </c>
      <c r="BJ159" s="293" t="str">
        <f>IFERROR(VLOOKUP(tabParametros[[#This Row],[CCT DA CATEGORIA]],tabSindicatos[],13,0),"")</f>
        <v>-</v>
      </c>
    </row>
    <row r="160" spans="1:62" x14ac:dyDescent="0.25">
      <c r="A160" s="233" t="s">
        <v>1496</v>
      </c>
      <c r="B160" s="198" t="s">
        <v>145</v>
      </c>
      <c r="C160" s="198" t="s">
        <v>1247</v>
      </c>
      <c r="D160" s="198" t="str">
        <f>VLOOKUP(tabParametros[[#This Row],[Código do Posto]],tabPostos[],4,0)</f>
        <v>Sethac Norte de Minas</v>
      </c>
      <c r="E160" s="289" t="str">
        <f>VLOOKUP(tabParametros[[#This Row],[Código do Posto]],tabPostos[],5,0)</f>
        <v>Limpeza</v>
      </c>
      <c r="F160" s="289" t="str">
        <f>VLOOKUP(tabParametros[[#This Row],[Código do Posto]],tabPostos[],6,0)</f>
        <v>PGJ</v>
      </c>
      <c r="G160" s="289">
        <f>VLOOKUP(tabParametros[[#This Row],[Código do Posto]],tabPostos[],7,0)</f>
        <v>1</v>
      </c>
      <c r="H160" s="289">
        <f>VLOOKUP(tabParametros[[#This Row],[Código do Posto]],tabPostos[],8,0)</f>
        <v>0</v>
      </c>
      <c r="I160" s="234">
        <f>VLOOKUP(tabParametros[[#This Row],[Código do Posto]],tabPostos[],9,0)</f>
        <v>544.17999999999995</v>
      </c>
      <c r="J160" s="234">
        <f>IF(ISNUMBER(SEARCH("Eletricista",tabParametros[[#This Row],[Função]],1)),0.3*tabParametros[[#This Row],[Salário Base]],0)</f>
        <v>0</v>
      </c>
      <c r="K160" s="234">
        <f>IF(OR(ISNUMBER(SEARCH("Bombeiro Hidraulico",tabParametros[[#This Row],[Função]],1)),ISNUMBER(SEARCH("Jardineiro",tabParametros[[#This Row],[Função]],1)),ISNUMBER(SEARCH("Lavador de Veiculos",tabParametros[[#This Row],[Função]],1)),ISNUMBER(SEARCH("Marceneiro",tabParametros[[#This Row],[Função]],1)),ISNUMBER(SEARCH("Pintor",tabParametros[[#This Row],[Função]],1))),0.2*'BASE GERAL'!$R$4,0)</f>
        <v>0</v>
      </c>
      <c r="L160" s="234">
        <f>IF(AND(ISNUMBER(SEARCH("Noturno",tabParametros[[#This Row],[Função]],1)),tabParametros[[#This Row],[Comarca]]&lt;&gt;"Juiz de Fora"),tabParametros[[#This Row],[Salário Base]]/210*0.39*7*15.5,IF(ISNUMBER(SEARCH("Noturno",tabParametros[[#This Row],[Função]],1)),tabParametros[[#This Row],[Salário Base]]/210*0.2*8*15.5,0))</f>
        <v>0</v>
      </c>
      <c r="M160" s="234">
        <f>IF(ISNUMBER(SEARCH("Motorista II",tabParametros[[#This Row],[Função]],1)),0.25*tabParametros[[#This Row],[Salário Base]],0)</f>
        <v>0</v>
      </c>
      <c r="N160" s="250">
        <v>0</v>
      </c>
      <c r="O160" s="234">
        <f>IF(ISNUMBER(SEARCH("TECNOLOGIA DA INFORMACAO",tabParametros[[#This Row],[Função]],1)),0.0201*tabParametros[[#This Row],[Salário Base]],0)</f>
        <v>0</v>
      </c>
      <c r="P160" s="250" cm="1">
        <f t="array" ref="P160">_xlfn.IFS(
ISNUMBER(SEARCH("Auxiliar de Limpeza - 75 h",tabParametros[[#This Row],[Função]],1)),tabParametros[[#This Row],[Salário Base]]/75*0.75*30*0.12,
ISNUMBER(SEARCH("Auxiliar de Limpeza - 110 h",tabParametros[[#This Row],[Função]],1)),tabParametros[[#This Row],[Salário Base]]/110*1*30*0.12,
ISNUMBER(SEARCH("Auxiliar de Limpeza - 150 h",tabParametros[[#This Row],[Função]],1)),tabParametros[[#This Row],[Salário Base]]/150*1.5*30*0.12,
ISNUMBER(SEARCH("Auxiliar de Limpeza - 220 h",tabParametros[[#This Row],[Função]],1)),tabParametros[[#This Row],[Salário Base]]/220*2*30*0.12,
ISNUMBER(SEARCH("Auxiliar de Limpeza - 12 x 36",tabParametros[[#This Row],[Função]],1)),tabParametros[[#This Row],[Salário Base]]/220*2*30*0.12,
ISNUMBER(SEARCH("Auxiliar de Limpeza - 55 h",tabParametros[[#This Row],[Função]],1))=FALSE,0)</f>
        <v>19.590479999999999</v>
      </c>
      <c r="Q160" s="235">
        <f>VLOOKUP(tabParametros[[#Headers],[INSS]],tabImpostosNacionais[],2,0)</f>
        <v>0.2</v>
      </c>
      <c r="R160" s="235">
        <f>VLOOKUP(tabParametros[[#Headers],[SESI OU SESC]],tabImpostosNacionais[],2,0)</f>
        <v>1.4999999999999999E-2</v>
      </c>
      <c r="S160" s="235">
        <f>VLOOKUP(tabParametros[[#Headers],[SENAI OU SENAC]],tabImpostosNacionais[],2,0)</f>
        <v>0.01</v>
      </c>
      <c r="T160" s="235">
        <f>VLOOKUP(tabParametros[[#Headers],[INCRA]],tabImpostosNacionais[],2,0)</f>
        <v>2E-3</v>
      </c>
      <c r="U160" s="235">
        <f>VLOOKUP(tabParametros[[#Headers],[Salário Educação]],tabImpostosNacionais[],2,0)</f>
        <v>2.5000000000000001E-2</v>
      </c>
      <c r="V160" s="235">
        <f>VLOOKUP(tabParametros[[#Headers],[FGTS]],tabImpostosNacionais[],2,0)</f>
        <v>0.08</v>
      </c>
      <c r="W160" s="235">
        <f>VLOOKUP(tabParametros[[#Headers],[RAT Ajustado]],tabImpostosNacionais[],2,0)</f>
        <v>0.04</v>
      </c>
      <c r="X160" s="235">
        <f>VLOOKUP(tabParametros[[#Headers],[SEBRAE]],tabImpostosNacionais[],2,0)</f>
        <v>6.0000000000000001E-3</v>
      </c>
      <c r="Y160" s="235">
        <f t="shared" si="22"/>
        <v>8.3333333333333329E-2</v>
      </c>
      <c r="Z160" s="251">
        <f t="shared" si="23"/>
        <v>0.1111111111111111</v>
      </c>
      <c r="AA160" s="234">
        <f>VLOOKUP(tabParametros[[#This Row],[Comarca]],tabComarca[],5,0)</f>
        <v>6.4</v>
      </c>
      <c r="AB160" s="234">
        <f>IFERROR(VLOOKUP(tabParametros[[#This Row],[CCT DA CATEGORIA]],tabSindicatos[],6,0),0)</f>
        <v>29.15</v>
      </c>
      <c r="AC160" s="234">
        <f>IFERROR(VLOOKUP(tabParametros[[#This Row],[CCT DA CATEGORIA]],tabSindicatos[],7,0),0)</f>
        <v>0</v>
      </c>
      <c r="AD160" s="234" cm="1">
        <f t="array" ref="AD160">_xlfn.LET(
_xlpm.COMARCA, TRIM(UPPER(SUBSTITUTE(SUBSTITUTE(SUBSTITUTE(SUBSTITUTE(SUBSTITUTE(SUBSTITUTE(SUBSTITUTE(SUBSTITUTE(SUBSTITUTE(SUBSTITUTE(SUBSTITUTE(SUBSTITUTE(SUBSTITUTE(SUBSTITUTE(SUBSTITUTE(SUBSTITUTE(SUBSTITUTE(SUBSTITUTE(SUBSTITUTE(SUBSTITUTE(SUBSTITUTE(SUBSTITUTE(SUBSTITUTE(SUBSTITUTE(SUBSTITUTE(SUBSTITUTE(tabParametros[[#This Row],[Comarca]],"á","a"),"ã","a"),"â","a"),"é","e"),"ê","e"),"í","i"),"ó","o"),"õ","o"),"ô","o"),"ú","u"),"ç","c"),"Á","a"),"Ã","a"),"Â","a"),"É","e"),"Ê","e"),"Í","i"),"Ó","o"),"Õ","o"),"Ô","o"),"Ú","u"),"Ç","c"),"/MG","")," e ",", ")," ",""),".",""))),
_xlpm.MATRIZ_COMARCA, TRIM(UPPER(SUBSTITUTE(SUBSTITUTE(SUBSTITUTE(SUBSTITUTE(SUBSTITUTE(SUBSTITUTE(SUBSTITUTE(SUBSTITUTE(SUBSTITUTE(SUBSTITUTE(SUBSTITUTE(SUBSTITUTE(SUBSTITUTE(SUBSTITUTE(SUBSTITUTE(SUBSTITUTE(SUBSTITUTE(SUBSTITUTE(SUBSTITUTE(SUBSTITUTE(SUBSTITUTE(SUBSTITUTE(SUBSTITUTE(SUBSTITUTE(SUBSTITUTE(SUBSTITUTE(tabSindicatos[COMARCAS PAF],"á","a"),"ã","a"),"â","a"),"é","e"),"ê","e"),"í","i"),"ó","o"),"õ","o"),"ô","o"),"ú","u"),"ç","c"),"Á","a"),"Ã","a"),"Â","a"),"É","e"),"Ê","e"),"Í","i"),"Ó","o"),"Õ","o"),"Ô","o"),"Ú","u"),"Ç","c"),"/MG","")," e ",", ")," ",""),".",""))),
IFERROR(IF(_xlfn.XLOOKUP(tabParametros[[#This Row],[CCT DA CATEGORIA]],tabSindicatos[SINDICATOS],tabSindicatos[COMARCAS PAF])="",
VLOOKUP(tabParametros[[#This Row],[CCT DA CATEGORIA]],tabSindicatos[],8,0),
IF(ISNUMBER(SEARCH(TRIM(_xlpm.COMARCA),_xlfn.XLOOKUP(tabParametros[[#This Row],[CCT DA CATEGORIA]],tabSindicatos[SINDICATOS],_xlpm.MATRIZ_COMARCA),1)),VLOOKUP(tabParametros[[#This Row],[CCT DA CATEGORIA]],tabSindicatos[],8,0),0)
),0)
)</f>
        <v>0</v>
      </c>
      <c r="AE160" s="234">
        <f>IFERROR(VLOOKUP(tabParametros[[#This Row],[CCT DA CATEGORIA]],tabSindicatos[],9,0),0)</f>
        <v>0</v>
      </c>
      <c r="AF160" s="234">
        <f>IFERROR(VLOOKUP(tabParametros[[#This Row],[CCT DA CATEGORIA]],tabSindicatos[],10,0),0)</f>
        <v>0</v>
      </c>
      <c r="AG160" s="236">
        <f>VLOOKUP(tabParametros[[#Headers],[Seguro de Vida]],tabOutrosCustos[],3,0)</f>
        <v>3.36</v>
      </c>
      <c r="AH160" s="236">
        <f>IF(ISNUMBER(SEARCH("MOTORISTA",tabParametros[[#This Row],[Função]],1)),VLOOKUP("MOTORISTAS",tabDiarias[],2,0),IF(tabParametros[[#This Row],[Comarca]]="Belo Horizonte",VLOOKUP("LIMPEZA",tabDiarias[],2,0),0))</f>
        <v>0</v>
      </c>
      <c r="AI160" s="235">
        <f t="shared" si="24"/>
        <v>7.011766975308642E-3</v>
      </c>
      <c r="AJ160" s="237">
        <f>tabParametros[[#This Row],[FGTS]]*tabParametros[[#This Row],[Aviso Prévio Indenizado (API) e Reflexo do Aviso Prévio Indenizado]]</f>
        <v>5.609413580246914E-4</v>
      </c>
      <c r="AK160" s="237">
        <f>tabParametros[[#This Row],[FGTS]]*tabParametros[[#This Row],[Aviso Prévio Indenizado (API) e Reflexo do Aviso Prévio Indenizado]]*40%</f>
        <v>2.2437654320987658E-4</v>
      </c>
      <c r="AL160" s="235">
        <f t="shared" si="25"/>
        <v>3.5000000000000005E-3</v>
      </c>
      <c r="AM160" s="235">
        <f>tabParametros[[#This Row],[Aviso Prévio Trabalhado - APT]]*SUM(tabParametros[[#This Row],[INSS]:[SEBRAE]])</f>
        <v>1.3230000000000004E-3</v>
      </c>
      <c r="AN160" s="235">
        <f t="shared" si="26"/>
        <v>3.0577777777777773E-2</v>
      </c>
      <c r="AO160" s="235">
        <f t="shared" si="27"/>
        <v>8.3333333333333339E-4</v>
      </c>
      <c r="AP160" s="235">
        <f t="shared" si="28"/>
        <v>8.4444444444444437E-3</v>
      </c>
      <c r="AQ160" s="235">
        <f t="shared" si="29"/>
        <v>2.0277777777777777E-3</v>
      </c>
      <c r="AR160" s="235">
        <f t="shared" si="30"/>
        <v>1.7083333333333333E-4</v>
      </c>
      <c r="AS160" s="235">
        <f t="shared" si="31"/>
        <v>2.0833333333333335E-4</v>
      </c>
      <c r="AT160" s="235">
        <f t="shared" si="32"/>
        <v>1.2962962962962963E-3</v>
      </c>
      <c r="AU160" s="237">
        <f>SUM(tabParametros[[#This Row],[Ausência por Doença]:[Férias, Adicional de Férias e 13º  com empregada em gozo de Licença Maternidade]])*SUM(tabParametros[[#This Row],[INSS]:[SEBRAE]])</f>
        <v>4.5918250000000008E-3</v>
      </c>
      <c r="AV160" s="234">
        <f>IF(tabParametros[[#This Row],[Função]]="Porteiro - 220 h",SUM(tabParametros[[#This Row],[Salário Base]:[Adicional de Acúmulo de função]])/220*20*1.5,IF(ISNUMBER(SEARCH("12 x 36",tabParametros[[#This Row],[Função]],1)),SUM(tabParametros[[#This Row],[Salário Base]:[Adicional de Acúmulo de função]])/210*15.5*1.5,0))</f>
        <v>0</v>
      </c>
      <c r="AW160" s="234">
        <f>IF(tabParametros[[#This Row],[Vagas contratadas]]&gt;0,(SUM(tabParametros[[#This Row],[Salário Base]:[Adicional de Acúmulo de função]])*30%+SUM(tabParametros[[#This Row],[Vale - Alimentação]:[Seguro de Vida]]))/tabParametros[[#This Row],[Vagas contratadas]]*tabParametros[[#This Row],[Vagas suspensas]],0)</f>
        <v>0</v>
      </c>
      <c r="AX160" s="234">
        <f>SUMIF(tabUniformes[Cargo],tabParametros[[#This Row],[Função]],tabUniformes[Valor unit. Mensal])</f>
        <v>62.806666666666665</v>
      </c>
      <c r="AY160" s="281">
        <f>IF(ISNUMBER(SEARCH("AUXILIAR DE LIMPEZA - 75 H",tabParametros[[#This Row],[Função]],1)),
SUMIF(tabLimpGeral[TIPO],"Material",tabLimpGeral[VALOR UNITÁRIO P/ HORA (R$)])*75,
IF(ISNUMBER(SEARCH("AUXILIAR DE LIMPEZA - 110 H",tabParametros[[#This Row],[Função]],1)),
SUMIF(tabLimpGeral[TIPO],"Material",tabLimpGeral[VALOR UNITÁRIO P/ HORA (R$)])*110,
IF(ISNUMBER(SEARCH("AUXILIAR DE LIMPEZA - 150 H",tabParametros[[#This Row],[Função]],1)),
SUMIF(tabLimpGeral[TIPO],"Material",tabLimpGeral[VALOR UNITÁRIO P/ HORA (R$)])*150,
IF(ISNUMBER(SEARCH("AUXILIAR DE LIMPEZA - 220 H",tabParametros[[#This Row],[Função]],1)),
SUMIF(tabLimpGeral[TIPO],"Material",tabLimpGeral[VALOR UNITÁRIO P/ HORA (R$)])*220,
IF(ISNUMBER(SEARCH("AUXILIAR DE LIMPEZA - 12 x 36",tabParametros[[#This Row],[Função]],1)),
SUMIF(tabLimpGeral[TIPO],"Material",tabLimpGeral[VALOR UNITÁRIO P/ HORA (R$)])*220,
IF(ISNUMBER(SEARCH("Limpador de vidros - 220 h",tabParametros[[#This Row],[Função]],1)),
SUMIF(tabVidros[TIPO],"Material",tabVidros[VALOR UNITÁRIO P/ POSTO (R$)]),
0))))))</f>
        <v>12.108481690426325</v>
      </c>
      <c r="AZ160" s="281">
        <f>IF(ISNUMBER(SEARCH("AUXILIAR DE LIMPEZA - 75 H",tabParametros[[#This Row],[Função]],1)),
SUMIF(tabLimpGeral[TIPO],"Equipamento",tabLimpGeral[VALOR UNITÁRIO P/ HORA (R$)])*75,
IF(ISNUMBER(SEARCH("AUXILIAR DE LIMPEZA - 110 H",tabParametros[[#This Row],[Função]],1)),
SUMIF(tabLimpGeral[TIPO],"Equipamento",tabLimpGeral[VALOR UNITÁRIO P/ HORA (R$)])*110,
IF(ISNUMBER(SEARCH("AUXILIAR DE LIMPEZA - 150 H",tabParametros[[#This Row],[Função]],1)),
SUMIF(tabLimpGeral[TIPO],"Equipamento",tabLimpGeral[VALOR UNITÁRIO P/ HORA (R$)])*150,
IF(ISNUMBER(SEARCH("AUXILIAR DE LIMPEZA - 220 H",tabParametros[[#This Row],[Função]],1)),
SUMIF(tabLimpGeral[TIPO],"Equipamento",tabLimpGeral[VALOR UNITÁRIO P/ HORA (R$)])*220,
IF(ISNUMBER(SEARCH("AUXILIAR DE LIMPEZA - 12 x 36",tabParametros[[#This Row],[Função]],1)),
SUMIF(tabLimpGeral[TIPO],"Equipamento",tabLimpGeral[VALOR UNITÁRIO P/ HORA (R$)])*220,
IF(ISNUMBER(SEARCH("Limpador de vidros - 220 h",tabParametros[[#This Row],[Função]],1)),
SUMIF(tabVidros[TIPO],"Equipamento",tabVidros[VALOR UNITÁRIO P/ POSTO (R$)]),
0))))))</f>
        <v>21.998657016417809</v>
      </c>
      <c r="BA160" s="281">
        <f>IF(ISNUMBER(SEARCH("AUXILIAR DE LIMPEZA - 75 H",tabParametros[[#This Row],[Função]],1)),
SUMIF(tabLimpGeral[TIPO],"Produto",tabLimpGeral[VALOR UNITÁRIO P/ HORA (R$)])*75,
IF(ISNUMBER(SEARCH("AUXILIAR DE LIMPEZA - 110 H",tabParametros[[#This Row],[Função]],1)),
SUMIF(tabLimpGeral[TIPO],"Produto",tabLimpGeral[VALOR UNITÁRIO P/ HORA (R$)])*110,
IF(ISNUMBER(SEARCH("AUXILIAR DE LIMPEZA - 150 H",tabParametros[[#This Row],[Função]],1)),
SUMIF(tabLimpGeral[TIPO],"Produto",tabLimpGeral[VALOR UNITÁRIO P/ HORA (R$)])*150,
IF(ISNUMBER(SEARCH("AUXILIAR DE LIMPEZA - 220 H",tabParametros[[#This Row],[Função]],1)),
SUMIF(tabLimpGeral[TIPO],"Produto",tabLimpGeral[VALOR UNITÁRIO P/ HORA (R$)])*220,
IF(ISNUMBER(SEARCH("AUXILIAR DE LIMPEZA - 12 x 36",tabParametros[[#This Row],[Função]],1)),
SUMIF(tabLimpGeral[TIPO],"Produto",tabLimpGeral[VALOR UNITÁRIO P/ HORA (R$)])*220,
IF(ISNUMBER(SEARCH("Limpador de vidros - 220 h",tabParametros[[#This Row],[Função]],1)),
SUMIF(tabVidros[TIPO],"Produto",tabVidros[VALOR UNITÁRIO P/ POSTO (R$)]),
0))))))</f>
        <v>235.31984072022155</v>
      </c>
      <c r="BB160" s="281">
        <v>0</v>
      </c>
      <c r="BC160" s="236">
        <f>VLOOKUP(tabParametros[[#Headers],[Custos Indiretos]],tabOutrosCustos[],3,0)</f>
        <v>189.64880140242613</v>
      </c>
      <c r="BD160" s="236">
        <f>VLOOKUP(tabParametros[[#Headers],[Lucro]],tabOutrosCustos[],3,0)</f>
        <v>159.30499317803796</v>
      </c>
      <c r="BE160" s="235">
        <f>VLOOKUP(tabParametros[[#Headers],[COFINS]],tabImpostosNacionais[],2,0)</f>
        <v>7.5999999999999998E-2</v>
      </c>
      <c r="BF160" s="235">
        <f>VLOOKUP(tabParametros[[#Headers],[PIS]],tabImpostosNacionais[],2,0)</f>
        <v>1.6500000000000001E-2</v>
      </c>
      <c r="BG160" s="235">
        <f>VLOOKUP(tabParametros[[#This Row],[Comarca]],tabComarca[],4,0)</f>
        <v>0.03</v>
      </c>
      <c r="BH160" s="238">
        <f>IFERROR(VLOOKUP(tabParametros[[#This Row],[CCT DA CATEGORIA]],tabSindicatos[],11,0),"")</f>
        <v>45658</v>
      </c>
      <c r="BI160" s="289" t="str">
        <f>IFERROR(VLOOKUP(tabParametros[[#This Row],[CCT DA CATEGORIA]],tabSindicatos[],12,0),"")</f>
        <v>-</v>
      </c>
      <c r="BJ160" s="293" t="str">
        <f>IFERROR(VLOOKUP(tabParametros[[#This Row],[CCT DA CATEGORIA]],tabSindicatos[],13,0),"")</f>
        <v>-</v>
      </c>
    </row>
    <row r="161" spans="1:62" x14ac:dyDescent="0.25">
      <c r="A161" s="233" t="s">
        <v>1497</v>
      </c>
      <c r="B161" s="198" t="s">
        <v>146</v>
      </c>
      <c r="C161" s="198" t="s">
        <v>1244</v>
      </c>
      <c r="D161" s="198" t="str">
        <f>VLOOKUP(tabParametros[[#This Row],[Código do Posto]],tabPostos[],4,0)</f>
        <v>Regiao de Sao Lourenco</v>
      </c>
      <c r="E161" s="289" t="str">
        <f>VLOOKUP(tabParametros[[#This Row],[Código do Posto]],tabPostos[],5,0)</f>
        <v>Limpeza</v>
      </c>
      <c r="F161" s="289" t="str">
        <f>VLOOKUP(tabParametros[[#This Row],[Código do Posto]],tabPostos[],6,0)</f>
        <v>PGJ</v>
      </c>
      <c r="G161" s="289">
        <f>VLOOKUP(tabParametros[[#This Row],[Código do Posto]],tabPostos[],7,0)</f>
        <v>1</v>
      </c>
      <c r="H161" s="289">
        <f>VLOOKUP(tabParametros[[#This Row],[Código do Posto]],tabPostos[],8,0)</f>
        <v>0</v>
      </c>
      <c r="I161" s="234">
        <f>VLOOKUP(tabParametros[[#This Row],[Código do Posto]],tabPostos[],9,0)</f>
        <v>798.14</v>
      </c>
      <c r="J161" s="234">
        <f>IF(ISNUMBER(SEARCH("Eletricista",tabParametros[[#This Row],[Função]],1)),0.3*tabParametros[[#This Row],[Salário Base]],0)</f>
        <v>0</v>
      </c>
      <c r="K161" s="234">
        <f>IF(OR(ISNUMBER(SEARCH("Bombeiro Hidraulico",tabParametros[[#This Row],[Função]],1)),ISNUMBER(SEARCH("Jardineiro",tabParametros[[#This Row],[Função]],1)),ISNUMBER(SEARCH("Lavador de Veiculos",tabParametros[[#This Row],[Função]],1)),ISNUMBER(SEARCH("Marceneiro",tabParametros[[#This Row],[Função]],1)),ISNUMBER(SEARCH("Pintor",tabParametros[[#This Row],[Função]],1))),0.2*'BASE GERAL'!$R$4,0)</f>
        <v>0</v>
      </c>
      <c r="L161" s="234">
        <f>IF(AND(ISNUMBER(SEARCH("Noturno",tabParametros[[#This Row],[Função]],1)),tabParametros[[#This Row],[Comarca]]&lt;&gt;"Juiz de Fora"),tabParametros[[#This Row],[Salário Base]]/210*0.39*7*15.5,IF(ISNUMBER(SEARCH("Noturno",tabParametros[[#This Row],[Função]],1)),tabParametros[[#This Row],[Salário Base]]/210*0.2*8*15.5,0))</f>
        <v>0</v>
      </c>
      <c r="M161" s="234">
        <f>IF(ISNUMBER(SEARCH("Motorista II",tabParametros[[#This Row],[Função]],1)),0.25*tabParametros[[#This Row],[Salário Base]],0)</f>
        <v>0</v>
      </c>
      <c r="N161" s="250">
        <v>0</v>
      </c>
      <c r="O161" s="234">
        <f>IF(ISNUMBER(SEARCH("TECNOLOGIA DA INFORMACAO",tabParametros[[#This Row],[Função]],1)),0.0201*tabParametros[[#This Row],[Salário Base]],0)</f>
        <v>0</v>
      </c>
      <c r="P161" s="250" cm="1">
        <f t="array" ref="P161">_xlfn.IFS(
ISNUMBER(SEARCH("Auxiliar de Limpeza - 75 h",tabParametros[[#This Row],[Função]],1)),tabParametros[[#This Row],[Salário Base]]/75*0.75*30*0.12,
ISNUMBER(SEARCH("Auxiliar de Limpeza - 110 h",tabParametros[[#This Row],[Função]],1)),tabParametros[[#This Row],[Salário Base]]/110*1*30*0.12,
ISNUMBER(SEARCH("Auxiliar de Limpeza - 150 h",tabParametros[[#This Row],[Função]],1)),tabParametros[[#This Row],[Salário Base]]/150*1.5*30*0.12,
ISNUMBER(SEARCH("Auxiliar de Limpeza - 220 h",tabParametros[[#This Row],[Função]],1)),tabParametros[[#This Row],[Salário Base]]/220*2*30*0.12,
ISNUMBER(SEARCH("Auxiliar de Limpeza - 12 x 36",tabParametros[[#This Row],[Função]],1)),tabParametros[[#This Row],[Salário Base]]/220*2*30*0.12,
ISNUMBER(SEARCH("Auxiliar de Limpeza - 55 h",tabParametros[[#This Row],[Função]],1))=FALSE,0)</f>
        <v>26.120945454545453</v>
      </c>
      <c r="Q161" s="235">
        <f>VLOOKUP(tabParametros[[#Headers],[INSS]],tabImpostosNacionais[],2,0)</f>
        <v>0.2</v>
      </c>
      <c r="R161" s="235">
        <f>VLOOKUP(tabParametros[[#Headers],[SESI OU SESC]],tabImpostosNacionais[],2,0)</f>
        <v>1.4999999999999999E-2</v>
      </c>
      <c r="S161" s="235">
        <f>VLOOKUP(tabParametros[[#Headers],[SENAI OU SENAC]],tabImpostosNacionais[],2,0)</f>
        <v>0.01</v>
      </c>
      <c r="T161" s="235">
        <f>VLOOKUP(tabParametros[[#Headers],[INCRA]],tabImpostosNacionais[],2,0)</f>
        <v>2E-3</v>
      </c>
      <c r="U161" s="235">
        <f>VLOOKUP(tabParametros[[#Headers],[Salário Educação]],tabImpostosNacionais[],2,0)</f>
        <v>2.5000000000000001E-2</v>
      </c>
      <c r="V161" s="235">
        <f>VLOOKUP(tabParametros[[#Headers],[FGTS]],tabImpostosNacionais[],2,0)</f>
        <v>0.08</v>
      </c>
      <c r="W161" s="235">
        <f>VLOOKUP(tabParametros[[#Headers],[RAT Ajustado]],tabImpostosNacionais[],2,0)</f>
        <v>0.04</v>
      </c>
      <c r="X161" s="235">
        <f>VLOOKUP(tabParametros[[#Headers],[SEBRAE]],tabImpostosNacionais[],2,0)</f>
        <v>6.0000000000000001E-3</v>
      </c>
      <c r="Y161" s="235">
        <f t="shared" si="22"/>
        <v>8.3333333333333329E-2</v>
      </c>
      <c r="Z161" s="251">
        <f t="shared" si="23"/>
        <v>0.1111111111111111</v>
      </c>
      <c r="AA161" s="234">
        <f>VLOOKUP(tabParametros[[#This Row],[Comarca]],tabComarca[],5,0)</f>
        <v>6.4</v>
      </c>
      <c r="AB161" s="234">
        <f>IFERROR(VLOOKUP(tabParametros[[#This Row],[CCT DA CATEGORIA]],tabSindicatos[],6,0),0)</f>
        <v>29.15</v>
      </c>
      <c r="AC161" s="234">
        <f>IFERROR(VLOOKUP(tabParametros[[#This Row],[CCT DA CATEGORIA]],tabSindicatos[],7,0),0)</f>
        <v>0</v>
      </c>
      <c r="AD161" s="234" cm="1">
        <f t="array" ref="AD161">_xlfn.LET(
_xlpm.COMARCA, TRIM(UPPER(SUBSTITUTE(SUBSTITUTE(SUBSTITUTE(SUBSTITUTE(SUBSTITUTE(SUBSTITUTE(SUBSTITUTE(SUBSTITUTE(SUBSTITUTE(SUBSTITUTE(SUBSTITUTE(SUBSTITUTE(SUBSTITUTE(SUBSTITUTE(SUBSTITUTE(SUBSTITUTE(SUBSTITUTE(SUBSTITUTE(SUBSTITUTE(SUBSTITUTE(SUBSTITUTE(SUBSTITUTE(SUBSTITUTE(SUBSTITUTE(SUBSTITUTE(SUBSTITUTE(tabParametros[[#This Row],[Comarca]],"á","a"),"ã","a"),"â","a"),"é","e"),"ê","e"),"í","i"),"ó","o"),"õ","o"),"ô","o"),"ú","u"),"ç","c"),"Á","a"),"Ã","a"),"Â","a"),"É","e"),"Ê","e"),"Í","i"),"Ó","o"),"Õ","o"),"Ô","o"),"Ú","u"),"Ç","c"),"/MG","")," e ",", ")," ",""),".",""))),
_xlpm.MATRIZ_COMARCA, TRIM(UPPER(SUBSTITUTE(SUBSTITUTE(SUBSTITUTE(SUBSTITUTE(SUBSTITUTE(SUBSTITUTE(SUBSTITUTE(SUBSTITUTE(SUBSTITUTE(SUBSTITUTE(SUBSTITUTE(SUBSTITUTE(SUBSTITUTE(SUBSTITUTE(SUBSTITUTE(SUBSTITUTE(SUBSTITUTE(SUBSTITUTE(SUBSTITUTE(SUBSTITUTE(SUBSTITUTE(SUBSTITUTE(SUBSTITUTE(SUBSTITUTE(SUBSTITUTE(SUBSTITUTE(tabSindicatos[COMARCAS PAF],"á","a"),"ã","a"),"â","a"),"é","e"),"ê","e"),"í","i"),"ó","o"),"õ","o"),"ô","o"),"ú","u"),"ç","c"),"Á","a"),"Ã","a"),"Â","a"),"É","e"),"Ê","e"),"Í","i"),"Ó","o"),"Õ","o"),"Ô","o"),"Ú","u"),"Ç","c"),"/MG","")," e ",", ")," ",""),".",""))),
IFERROR(IF(_xlfn.XLOOKUP(tabParametros[[#This Row],[CCT DA CATEGORIA]],tabSindicatos[SINDICATOS],tabSindicatos[COMARCAS PAF])="",
VLOOKUP(tabParametros[[#This Row],[CCT DA CATEGORIA]],tabSindicatos[],8,0),
IF(ISNUMBER(SEARCH(TRIM(_xlpm.COMARCA),_xlfn.XLOOKUP(tabParametros[[#This Row],[CCT DA CATEGORIA]],tabSindicatos[SINDICATOS],_xlpm.MATRIZ_COMARCA),1)),VLOOKUP(tabParametros[[#This Row],[CCT DA CATEGORIA]],tabSindicatos[],8,0),0)
),0)
)</f>
        <v>0</v>
      </c>
      <c r="AE161" s="234">
        <f>IFERROR(VLOOKUP(tabParametros[[#This Row],[CCT DA CATEGORIA]],tabSindicatos[],9,0),0)</f>
        <v>0</v>
      </c>
      <c r="AF161" s="234">
        <f>IFERROR(VLOOKUP(tabParametros[[#This Row],[CCT DA CATEGORIA]],tabSindicatos[],10,0),0)</f>
        <v>0</v>
      </c>
      <c r="AG161" s="236">
        <f>VLOOKUP(tabParametros[[#Headers],[Seguro de Vida]],tabOutrosCustos[],3,0)</f>
        <v>3.36</v>
      </c>
      <c r="AH161" s="236">
        <f>IF(ISNUMBER(SEARCH("MOTORISTA",tabParametros[[#This Row],[Função]],1)),VLOOKUP("MOTORISTAS",tabDiarias[],2,0),IF(tabParametros[[#This Row],[Comarca]]="Belo Horizonte",VLOOKUP("LIMPEZA",tabDiarias[],2,0),0))</f>
        <v>0</v>
      </c>
      <c r="AI161" s="235">
        <f t="shared" si="24"/>
        <v>7.011766975308642E-3</v>
      </c>
      <c r="AJ161" s="237">
        <f>tabParametros[[#This Row],[FGTS]]*tabParametros[[#This Row],[Aviso Prévio Indenizado (API) e Reflexo do Aviso Prévio Indenizado]]</f>
        <v>5.609413580246914E-4</v>
      </c>
      <c r="AK161" s="237">
        <f>tabParametros[[#This Row],[FGTS]]*tabParametros[[#This Row],[Aviso Prévio Indenizado (API) e Reflexo do Aviso Prévio Indenizado]]*40%</f>
        <v>2.2437654320987658E-4</v>
      </c>
      <c r="AL161" s="235">
        <f t="shared" si="25"/>
        <v>3.5000000000000005E-3</v>
      </c>
      <c r="AM161" s="235">
        <f>tabParametros[[#This Row],[Aviso Prévio Trabalhado - APT]]*SUM(tabParametros[[#This Row],[INSS]:[SEBRAE]])</f>
        <v>1.3230000000000004E-3</v>
      </c>
      <c r="AN161" s="235">
        <f t="shared" si="26"/>
        <v>3.0577777777777773E-2</v>
      </c>
      <c r="AO161" s="235">
        <f t="shared" si="27"/>
        <v>8.3333333333333339E-4</v>
      </c>
      <c r="AP161" s="235">
        <f t="shared" si="28"/>
        <v>8.4444444444444437E-3</v>
      </c>
      <c r="AQ161" s="235">
        <f t="shared" si="29"/>
        <v>2.0277777777777777E-3</v>
      </c>
      <c r="AR161" s="235">
        <f t="shared" si="30"/>
        <v>1.7083333333333333E-4</v>
      </c>
      <c r="AS161" s="235">
        <f t="shared" si="31"/>
        <v>2.0833333333333335E-4</v>
      </c>
      <c r="AT161" s="235">
        <f t="shared" si="32"/>
        <v>1.2962962962962963E-3</v>
      </c>
      <c r="AU161" s="237">
        <f>SUM(tabParametros[[#This Row],[Ausência por Doença]:[Férias, Adicional de Férias e 13º  com empregada em gozo de Licença Maternidade]])*SUM(tabParametros[[#This Row],[INSS]:[SEBRAE]])</f>
        <v>4.5918250000000008E-3</v>
      </c>
      <c r="AV161" s="234">
        <f>IF(tabParametros[[#This Row],[Função]]="Porteiro - 220 h",SUM(tabParametros[[#This Row],[Salário Base]:[Adicional de Acúmulo de função]])/220*20*1.5,IF(ISNUMBER(SEARCH("12 x 36",tabParametros[[#This Row],[Função]],1)),SUM(tabParametros[[#This Row],[Salário Base]:[Adicional de Acúmulo de função]])/210*15.5*1.5,0))</f>
        <v>0</v>
      </c>
      <c r="AW161" s="234">
        <f>IF(tabParametros[[#This Row],[Vagas contratadas]]&gt;0,(SUM(tabParametros[[#This Row],[Salário Base]:[Adicional de Acúmulo de função]])*30%+SUM(tabParametros[[#This Row],[Vale - Alimentação]:[Seguro de Vida]]))/tabParametros[[#This Row],[Vagas contratadas]]*tabParametros[[#This Row],[Vagas suspensas]],0)</f>
        <v>0</v>
      </c>
      <c r="AX161" s="234">
        <f>SUMIF(tabUniformes[Cargo],tabParametros[[#This Row],[Função]],tabUniformes[Valor unit. Mensal])</f>
        <v>62.806666666666665</v>
      </c>
      <c r="AY161" s="281">
        <f>IF(ISNUMBER(SEARCH("AUXILIAR DE LIMPEZA - 75 H",tabParametros[[#This Row],[Função]],1)),
SUMIF(tabLimpGeral[TIPO],"Material",tabLimpGeral[VALOR UNITÁRIO P/ HORA (R$)])*75,
IF(ISNUMBER(SEARCH("AUXILIAR DE LIMPEZA - 110 H",tabParametros[[#This Row],[Função]],1)),
SUMIF(tabLimpGeral[TIPO],"Material",tabLimpGeral[VALOR UNITÁRIO P/ HORA (R$)])*110,
IF(ISNUMBER(SEARCH("AUXILIAR DE LIMPEZA - 150 H",tabParametros[[#This Row],[Função]],1)),
SUMIF(tabLimpGeral[TIPO],"Material",tabLimpGeral[VALOR UNITÁRIO P/ HORA (R$)])*150,
IF(ISNUMBER(SEARCH("AUXILIAR DE LIMPEZA - 220 H",tabParametros[[#This Row],[Função]],1)),
SUMIF(tabLimpGeral[TIPO],"Material",tabLimpGeral[VALOR UNITÁRIO P/ HORA (R$)])*220,
IF(ISNUMBER(SEARCH("AUXILIAR DE LIMPEZA - 12 x 36",tabParametros[[#This Row],[Função]],1)),
SUMIF(tabLimpGeral[TIPO],"Material",tabLimpGeral[VALOR UNITÁRIO P/ HORA (R$)])*220,
IF(ISNUMBER(SEARCH("Limpador de vidros - 220 h",tabParametros[[#This Row],[Função]],1)),
SUMIF(tabVidros[TIPO],"Material",tabVidros[VALOR UNITÁRIO P/ POSTO (R$)]),
0))))))</f>
        <v>17.759106479291944</v>
      </c>
      <c r="AZ161" s="281">
        <f>IF(ISNUMBER(SEARCH("AUXILIAR DE LIMPEZA - 75 H",tabParametros[[#This Row],[Função]],1)),
SUMIF(tabLimpGeral[TIPO],"Equipamento",tabLimpGeral[VALOR UNITÁRIO P/ HORA (R$)])*75,
IF(ISNUMBER(SEARCH("AUXILIAR DE LIMPEZA - 110 H",tabParametros[[#This Row],[Função]],1)),
SUMIF(tabLimpGeral[TIPO],"Equipamento",tabLimpGeral[VALOR UNITÁRIO P/ HORA (R$)])*110,
IF(ISNUMBER(SEARCH("AUXILIAR DE LIMPEZA - 150 H",tabParametros[[#This Row],[Função]],1)),
SUMIF(tabLimpGeral[TIPO],"Equipamento",tabLimpGeral[VALOR UNITÁRIO P/ HORA (R$)])*150,
IF(ISNUMBER(SEARCH("AUXILIAR DE LIMPEZA - 220 H",tabParametros[[#This Row],[Função]],1)),
SUMIF(tabLimpGeral[TIPO],"Equipamento",tabLimpGeral[VALOR UNITÁRIO P/ HORA (R$)])*220,
IF(ISNUMBER(SEARCH("AUXILIAR DE LIMPEZA - 12 x 36",tabParametros[[#This Row],[Função]],1)),
SUMIF(tabLimpGeral[TIPO],"Equipamento",tabLimpGeral[VALOR UNITÁRIO P/ HORA (R$)])*220,
IF(ISNUMBER(SEARCH("Limpador de vidros - 220 h",tabParametros[[#This Row],[Função]],1)),
SUMIF(tabVidros[TIPO],"Equipamento",tabVidros[VALOR UNITÁRIO P/ POSTO (R$)]),
0))))))</f>
        <v>32.264696957412788</v>
      </c>
      <c r="BA161" s="281">
        <f>IF(ISNUMBER(SEARCH("AUXILIAR DE LIMPEZA - 75 H",tabParametros[[#This Row],[Função]],1)),
SUMIF(tabLimpGeral[TIPO],"Produto",tabLimpGeral[VALOR UNITÁRIO P/ HORA (R$)])*75,
IF(ISNUMBER(SEARCH("AUXILIAR DE LIMPEZA - 110 H",tabParametros[[#This Row],[Função]],1)),
SUMIF(tabLimpGeral[TIPO],"Produto",tabLimpGeral[VALOR UNITÁRIO P/ HORA (R$)])*110,
IF(ISNUMBER(SEARCH("AUXILIAR DE LIMPEZA - 150 H",tabParametros[[#This Row],[Função]],1)),
SUMIF(tabLimpGeral[TIPO],"Produto",tabLimpGeral[VALOR UNITÁRIO P/ HORA (R$)])*150,
IF(ISNUMBER(SEARCH("AUXILIAR DE LIMPEZA - 220 H",tabParametros[[#This Row],[Função]],1)),
SUMIF(tabLimpGeral[TIPO],"Produto",tabLimpGeral[VALOR UNITÁRIO P/ HORA (R$)])*220,
IF(ISNUMBER(SEARCH("AUXILIAR DE LIMPEZA - 12 x 36",tabParametros[[#This Row],[Função]],1)),
SUMIF(tabLimpGeral[TIPO],"Produto",tabLimpGeral[VALOR UNITÁRIO P/ HORA (R$)])*220,
IF(ISNUMBER(SEARCH("Limpador de vidros - 220 h",tabParametros[[#This Row],[Função]],1)),
SUMIF(tabVidros[TIPO],"Produto",tabVidros[VALOR UNITÁRIO P/ POSTO (R$)]),
0))))))</f>
        <v>345.13576638965827</v>
      </c>
      <c r="BB161" s="281">
        <v>0</v>
      </c>
      <c r="BC161" s="236">
        <f>VLOOKUP(tabParametros[[#Headers],[Custos Indiretos]],tabOutrosCustos[],3,0)</f>
        <v>189.64880140242613</v>
      </c>
      <c r="BD161" s="236">
        <f>VLOOKUP(tabParametros[[#Headers],[Lucro]],tabOutrosCustos[],3,0)</f>
        <v>159.30499317803796</v>
      </c>
      <c r="BE161" s="235">
        <f>VLOOKUP(tabParametros[[#Headers],[COFINS]],tabImpostosNacionais[],2,0)</f>
        <v>7.5999999999999998E-2</v>
      </c>
      <c r="BF161" s="235">
        <f>VLOOKUP(tabParametros[[#Headers],[PIS]],tabImpostosNacionais[],2,0)</f>
        <v>1.6500000000000001E-2</v>
      </c>
      <c r="BG161" s="235">
        <f>VLOOKUP(tabParametros[[#This Row],[Comarca]],tabComarca[],4,0)</f>
        <v>0.03</v>
      </c>
      <c r="BH161" s="238">
        <f>IFERROR(VLOOKUP(tabParametros[[#This Row],[CCT DA CATEGORIA]],tabSindicatos[],11,0),"")</f>
        <v>45658</v>
      </c>
      <c r="BI161" s="289" t="str">
        <f>IFERROR(VLOOKUP(tabParametros[[#This Row],[CCT DA CATEGORIA]],tabSindicatos[],12,0),"")</f>
        <v>-</v>
      </c>
      <c r="BJ161" s="293" t="str">
        <f>IFERROR(VLOOKUP(tabParametros[[#This Row],[CCT DA CATEGORIA]],tabSindicatos[],13,0),"")</f>
        <v>-</v>
      </c>
    </row>
    <row r="162" spans="1:62" x14ac:dyDescent="0.25">
      <c r="A162" s="233" t="s">
        <v>1498</v>
      </c>
      <c r="B162" s="198" t="s">
        <v>147</v>
      </c>
      <c r="C162" s="198" t="s">
        <v>1244</v>
      </c>
      <c r="D162" s="198" t="str">
        <f>VLOOKUP(tabParametros[[#This Row],[Código do Posto]],tabPostos[],4,0)</f>
        <v>Alto Paranaiba</v>
      </c>
      <c r="E162" s="289" t="str">
        <f>VLOOKUP(tabParametros[[#This Row],[Código do Posto]],tabPostos[],5,0)</f>
        <v>Limpeza</v>
      </c>
      <c r="F162" s="289" t="str">
        <f>VLOOKUP(tabParametros[[#This Row],[Código do Posto]],tabPostos[],6,0)</f>
        <v>PGJ</v>
      </c>
      <c r="G162" s="289">
        <f>VLOOKUP(tabParametros[[#This Row],[Código do Posto]],tabPostos[],7,0)</f>
        <v>1</v>
      </c>
      <c r="H162" s="289">
        <f>VLOOKUP(tabParametros[[#This Row],[Código do Posto]],tabPostos[],8,0)</f>
        <v>0</v>
      </c>
      <c r="I162" s="234">
        <f>VLOOKUP(tabParametros[[#This Row],[Código do Posto]],tabPostos[],9,0)</f>
        <v>798.14</v>
      </c>
      <c r="J162" s="234">
        <f>IF(ISNUMBER(SEARCH("Eletricista",tabParametros[[#This Row],[Função]],1)),0.3*tabParametros[[#This Row],[Salário Base]],0)</f>
        <v>0</v>
      </c>
      <c r="K162" s="234">
        <f>IF(OR(ISNUMBER(SEARCH("Bombeiro Hidraulico",tabParametros[[#This Row],[Função]],1)),ISNUMBER(SEARCH("Jardineiro",tabParametros[[#This Row],[Função]],1)),ISNUMBER(SEARCH("Lavador de Veiculos",tabParametros[[#This Row],[Função]],1)),ISNUMBER(SEARCH("Marceneiro",tabParametros[[#This Row],[Função]],1)),ISNUMBER(SEARCH("Pintor",tabParametros[[#This Row],[Função]],1))),0.2*'BASE GERAL'!$R$4,0)</f>
        <v>0</v>
      </c>
      <c r="L162" s="234">
        <f>IF(AND(ISNUMBER(SEARCH("Noturno",tabParametros[[#This Row],[Função]],1)),tabParametros[[#This Row],[Comarca]]&lt;&gt;"Juiz de Fora"),tabParametros[[#This Row],[Salário Base]]/210*0.39*7*15.5,IF(ISNUMBER(SEARCH("Noturno",tabParametros[[#This Row],[Função]],1)),tabParametros[[#This Row],[Salário Base]]/210*0.2*8*15.5,0))</f>
        <v>0</v>
      </c>
      <c r="M162" s="234">
        <f>IF(ISNUMBER(SEARCH("Motorista II",tabParametros[[#This Row],[Função]],1)),0.25*tabParametros[[#This Row],[Salário Base]],0)</f>
        <v>0</v>
      </c>
      <c r="N162" s="250">
        <v>0</v>
      </c>
      <c r="O162" s="234">
        <f>IF(ISNUMBER(SEARCH("TECNOLOGIA DA INFORMACAO",tabParametros[[#This Row],[Função]],1)),0.0201*tabParametros[[#This Row],[Salário Base]],0)</f>
        <v>0</v>
      </c>
      <c r="P162" s="250" cm="1">
        <f t="array" ref="P162">_xlfn.IFS(
ISNUMBER(SEARCH("Auxiliar de Limpeza - 75 h",tabParametros[[#This Row],[Função]],1)),tabParametros[[#This Row],[Salário Base]]/75*0.75*30*0.12,
ISNUMBER(SEARCH("Auxiliar de Limpeza - 110 h",tabParametros[[#This Row],[Função]],1)),tabParametros[[#This Row],[Salário Base]]/110*1*30*0.12,
ISNUMBER(SEARCH("Auxiliar de Limpeza - 150 h",tabParametros[[#This Row],[Função]],1)),tabParametros[[#This Row],[Salário Base]]/150*1.5*30*0.12,
ISNUMBER(SEARCH("Auxiliar de Limpeza - 220 h",tabParametros[[#This Row],[Função]],1)),tabParametros[[#This Row],[Salário Base]]/220*2*30*0.12,
ISNUMBER(SEARCH("Auxiliar de Limpeza - 12 x 36",tabParametros[[#This Row],[Função]],1)),tabParametros[[#This Row],[Salário Base]]/220*2*30*0.12,
ISNUMBER(SEARCH("Auxiliar de Limpeza - 55 h",tabParametros[[#This Row],[Função]],1))=FALSE,0)</f>
        <v>26.120945454545453</v>
      </c>
      <c r="Q162" s="235">
        <f>VLOOKUP(tabParametros[[#Headers],[INSS]],tabImpostosNacionais[],2,0)</f>
        <v>0.2</v>
      </c>
      <c r="R162" s="235">
        <f>VLOOKUP(tabParametros[[#Headers],[SESI OU SESC]],tabImpostosNacionais[],2,0)</f>
        <v>1.4999999999999999E-2</v>
      </c>
      <c r="S162" s="235">
        <f>VLOOKUP(tabParametros[[#Headers],[SENAI OU SENAC]],tabImpostosNacionais[],2,0)</f>
        <v>0.01</v>
      </c>
      <c r="T162" s="235">
        <f>VLOOKUP(tabParametros[[#Headers],[INCRA]],tabImpostosNacionais[],2,0)</f>
        <v>2E-3</v>
      </c>
      <c r="U162" s="235">
        <f>VLOOKUP(tabParametros[[#Headers],[Salário Educação]],tabImpostosNacionais[],2,0)</f>
        <v>2.5000000000000001E-2</v>
      </c>
      <c r="V162" s="235">
        <f>VLOOKUP(tabParametros[[#Headers],[FGTS]],tabImpostosNacionais[],2,0)</f>
        <v>0.08</v>
      </c>
      <c r="W162" s="235">
        <f>VLOOKUP(tabParametros[[#Headers],[RAT Ajustado]],tabImpostosNacionais[],2,0)</f>
        <v>0.04</v>
      </c>
      <c r="X162" s="235">
        <f>VLOOKUP(tabParametros[[#Headers],[SEBRAE]],tabImpostosNacionais[],2,0)</f>
        <v>6.0000000000000001E-3</v>
      </c>
      <c r="Y162" s="235">
        <f t="shared" si="22"/>
        <v>8.3333333333333329E-2</v>
      </c>
      <c r="Z162" s="251">
        <f t="shared" si="23"/>
        <v>0.1111111111111111</v>
      </c>
      <c r="AA162" s="234">
        <f>VLOOKUP(tabParametros[[#This Row],[Comarca]],tabComarca[],5,0)</f>
        <v>6.4</v>
      </c>
      <c r="AB162" s="234">
        <f>IFERROR(VLOOKUP(tabParametros[[#This Row],[CCT DA CATEGORIA]],tabSindicatos[],6,0),0)</f>
        <v>0</v>
      </c>
      <c r="AC162" s="234">
        <f>IFERROR(VLOOKUP(tabParametros[[#This Row],[CCT DA CATEGORIA]],tabSindicatos[],7,0),0)</f>
        <v>387.79</v>
      </c>
      <c r="AD162" s="234" cm="1">
        <f t="array" ref="AD162">_xlfn.LET(
_xlpm.COMARCA, TRIM(UPPER(SUBSTITUTE(SUBSTITUTE(SUBSTITUTE(SUBSTITUTE(SUBSTITUTE(SUBSTITUTE(SUBSTITUTE(SUBSTITUTE(SUBSTITUTE(SUBSTITUTE(SUBSTITUTE(SUBSTITUTE(SUBSTITUTE(SUBSTITUTE(SUBSTITUTE(SUBSTITUTE(SUBSTITUTE(SUBSTITUTE(SUBSTITUTE(SUBSTITUTE(SUBSTITUTE(SUBSTITUTE(SUBSTITUTE(SUBSTITUTE(SUBSTITUTE(SUBSTITUTE(tabParametros[[#This Row],[Comarca]],"á","a"),"ã","a"),"â","a"),"é","e"),"ê","e"),"í","i"),"ó","o"),"õ","o"),"ô","o"),"ú","u"),"ç","c"),"Á","a"),"Ã","a"),"Â","a"),"É","e"),"Ê","e"),"Í","i"),"Ó","o"),"Õ","o"),"Ô","o"),"Ú","u"),"Ç","c"),"/MG","")," e ",", ")," ",""),".",""))),
_xlpm.MATRIZ_COMARCA, TRIM(UPPER(SUBSTITUTE(SUBSTITUTE(SUBSTITUTE(SUBSTITUTE(SUBSTITUTE(SUBSTITUTE(SUBSTITUTE(SUBSTITUTE(SUBSTITUTE(SUBSTITUTE(SUBSTITUTE(SUBSTITUTE(SUBSTITUTE(SUBSTITUTE(SUBSTITUTE(SUBSTITUTE(SUBSTITUTE(SUBSTITUTE(SUBSTITUTE(SUBSTITUTE(SUBSTITUTE(SUBSTITUTE(SUBSTITUTE(SUBSTITUTE(SUBSTITUTE(SUBSTITUTE(tabSindicatos[COMARCAS PAF],"á","a"),"ã","a"),"â","a"),"é","e"),"ê","e"),"í","i"),"ó","o"),"õ","o"),"ô","o"),"ú","u"),"ç","c"),"Á","a"),"Ã","a"),"Â","a"),"É","e"),"Ê","e"),"Í","i"),"Ó","o"),"Õ","o"),"Ô","o"),"Ú","u"),"Ç","c"),"/MG","")," e ",", ")," ",""),".",""))),
IFERROR(IF(_xlfn.XLOOKUP(tabParametros[[#This Row],[CCT DA CATEGORIA]],tabSindicatos[SINDICATOS],tabSindicatos[COMARCAS PAF])="",
VLOOKUP(tabParametros[[#This Row],[CCT DA CATEGORIA]],tabSindicatos[],8,0),
IF(ISNUMBER(SEARCH(TRIM(_xlpm.COMARCA),_xlfn.XLOOKUP(tabParametros[[#This Row],[CCT DA CATEGORIA]],tabSindicatos[SINDICATOS],_xlpm.MATRIZ_COMARCA),1)),VLOOKUP(tabParametros[[#This Row],[CCT DA CATEGORIA]],tabSindicatos[],8,0),0)
),0)
)</f>
        <v>42.97</v>
      </c>
      <c r="AE162" s="234">
        <f>IFERROR(VLOOKUP(tabParametros[[#This Row],[CCT DA CATEGORIA]],tabSindicatos[],9,0),0)</f>
        <v>0</v>
      </c>
      <c r="AF162" s="234">
        <f>IFERROR(VLOOKUP(tabParametros[[#This Row],[CCT DA CATEGORIA]],tabSindicatos[],10,0),0)</f>
        <v>0</v>
      </c>
      <c r="AG162" s="236">
        <f>VLOOKUP(tabParametros[[#Headers],[Seguro de Vida]],tabOutrosCustos[],3,0)</f>
        <v>3.36</v>
      </c>
      <c r="AH162" s="236">
        <f>IF(ISNUMBER(SEARCH("MOTORISTA",tabParametros[[#This Row],[Função]],1)),VLOOKUP("MOTORISTAS",tabDiarias[],2,0),IF(tabParametros[[#This Row],[Comarca]]="Belo Horizonte",VLOOKUP("LIMPEZA",tabDiarias[],2,0),0))</f>
        <v>0</v>
      </c>
      <c r="AI162" s="235">
        <f t="shared" si="24"/>
        <v>7.011766975308642E-3</v>
      </c>
      <c r="AJ162" s="237">
        <f>tabParametros[[#This Row],[FGTS]]*tabParametros[[#This Row],[Aviso Prévio Indenizado (API) e Reflexo do Aviso Prévio Indenizado]]</f>
        <v>5.609413580246914E-4</v>
      </c>
      <c r="AK162" s="237">
        <f>tabParametros[[#This Row],[FGTS]]*tabParametros[[#This Row],[Aviso Prévio Indenizado (API) e Reflexo do Aviso Prévio Indenizado]]*40%</f>
        <v>2.2437654320987658E-4</v>
      </c>
      <c r="AL162" s="235">
        <f t="shared" si="25"/>
        <v>3.5000000000000005E-3</v>
      </c>
      <c r="AM162" s="235">
        <f>tabParametros[[#This Row],[Aviso Prévio Trabalhado - APT]]*SUM(tabParametros[[#This Row],[INSS]:[SEBRAE]])</f>
        <v>1.3230000000000004E-3</v>
      </c>
      <c r="AN162" s="235">
        <f t="shared" si="26"/>
        <v>3.0577777777777773E-2</v>
      </c>
      <c r="AO162" s="235">
        <f t="shared" si="27"/>
        <v>8.3333333333333339E-4</v>
      </c>
      <c r="AP162" s="235">
        <f t="shared" si="28"/>
        <v>8.4444444444444437E-3</v>
      </c>
      <c r="AQ162" s="235">
        <f t="shared" si="29"/>
        <v>2.0277777777777777E-3</v>
      </c>
      <c r="AR162" s="235">
        <f t="shared" si="30"/>
        <v>1.7083333333333333E-4</v>
      </c>
      <c r="AS162" s="235">
        <f t="shared" si="31"/>
        <v>2.0833333333333335E-4</v>
      </c>
      <c r="AT162" s="235">
        <f t="shared" si="32"/>
        <v>1.2962962962962963E-3</v>
      </c>
      <c r="AU162" s="237">
        <f>SUM(tabParametros[[#This Row],[Ausência por Doença]:[Férias, Adicional de Férias e 13º  com empregada em gozo de Licença Maternidade]])*SUM(tabParametros[[#This Row],[INSS]:[SEBRAE]])</f>
        <v>4.5918250000000008E-3</v>
      </c>
      <c r="AV162" s="234">
        <f>IF(tabParametros[[#This Row],[Função]]="Porteiro - 220 h",SUM(tabParametros[[#This Row],[Salário Base]:[Adicional de Acúmulo de função]])/220*20*1.5,IF(ISNUMBER(SEARCH("12 x 36",tabParametros[[#This Row],[Função]],1)),SUM(tabParametros[[#This Row],[Salário Base]:[Adicional de Acúmulo de função]])/210*15.5*1.5,0))</f>
        <v>0</v>
      </c>
      <c r="AW162" s="234">
        <f>IF(tabParametros[[#This Row],[Vagas contratadas]]&gt;0,(SUM(tabParametros[[#This Row],[Salário Base]:[Adicional de Acúmulo de função]])*30%+SUM(tabParametros[[#This Row],[Vale - Alimentação]:[Seguro de Vida]]))/tabParametros[[#This Row],[Vagas contratadas]]*tabParametros[[#This Row],[Vagas suspensas]],0)</f>
        <v>0</v>
      </c>
      <c r="AX162" s="234">
        <f>SUMIF(tabUniformes[Cargo],tabParametros[[#This Row],[Função]],tabUniformes[Valor unit. Mensal])</f>
        <v>62.806666666666665</v>
      </c>
      <c r="AY162" s="281">
        <f>IF(ISNUMBER(SEARCH("AUXILIAR DE LIMPEZA - 75 H",tabParametros[[#This Row],[Função]],1)),
SUMIF(tabLimpGeral[TIPO],"Material",tabLimpGeral[VALOR UNITÁRIO P/ HORA (R$)])*75,
IF(ISNUMBER(SEARCH("AUXILIAR DE LIMPEZA - 110 H",tabParametros[[#This Row],[Função]],1)),
SUMIF(tabLimpGeral[TIPO],"Material",tabLimpGeral[VALOR UNITÁRIO P/ HORA (R$)])*110,
IF(ISNUMBER(SEARCH("AUXILIAR DE LIMPEZA - 150 H",tabParametros[[#This Row],[Função]],1)),
SUMIF(tabLimpGeral[TIPO],"Material",tabLimpGeral[VALOR UNITÁRIO P/ HORA (R$)])*150,
IF(ISNUMBER(SEARCH("AUXILIAR DE LIMPEZA - 220 H",tabParametros[[#This Row],[Função]],1)),
SUMIF(tabLimpGeral[TIPO],"Material",tabLimpGeral[VALOR UNITÁRIO P/ HORA (R$)])*220,
IF(ISNUMBER(SEARCH("AUXILIAR DE LIMPEZA - 12 x 36",tabParametros[[#This Row],[Função]],1)),
SUMIF(tabLimpGeral[TIPO],"Material",tabLimpGeral[VALOR UNITÁRIO P/ HORA (R$)])*220,
IF(ISNUMBER(SEARCH("Limpador de vidros - 220 h",tabParametros[[#This Row],[Função]],1)),
SUMIF(tabVidros[TIPO],"Material",tabVidros[VALOR UNITÁRIO P/ POSTO (R$)]),
0))))))</f>
        <v>17.759106479291944</v>
      </c>
      <c r="AZ162" s="281">
        <f>IF(ISNUMBER(SEARCH("AUXILIAR DE LIMPEZA - 75 H",tabParametros[[#This Row],[Função]],1)),
SUMIF(tabLimpGeral[TIPO],"Equipamento",tabLimpGeral[VALOR UNITÁRIO P/ HORA (R$)])*75,
IF(ISNUMBER(SEARCH("AUXILIAR DE LIMPEZA - 110 H",tabParametros[[#This Row],[Função]],1)),
SUMIF(tabLimpGeral[TIPO],"Equipamento",tabLimpGeral[VALOR UNITÁRIO P/ HORA (R$)])*110,
IF(ISNUMBER(SEARCH("AUXILIAR DE LIMPEZA - 150 H",tabParametros[[#This Row],[Função]],1)),
SUMIF(tabLimpGeral[TIPO],"Equipamento",tabLimpGeral[VALOR UNITÁRIO P/ HORA (R$)])*150,
IF(ISNUMBER(SEARCH("AUXILIAR DE LIMPEZA - 220 H",tabParametros[[#This Row],[Função]],1)),
SUMIF(tabLimpGeral[TIPO],"Equipamento",tabLimpGeral[VALOR UNITÁRIO P/ HORA (R$)])*220,
IF(ISNUMBER(SEARCH("AUXILIAR DE LIMPEZA - 12 x 36",tabParametros[[#This Row],[Função]],1)),
SUMIF(tabLimpGeral[TIPO],"Equipamento",tabLimpGeral[VALOR UNITÁRIO P/ HORA (R$)])*220,
IF(ISNUMBER(SEARCH("Limpador de vidros - 220 h",tabParametros[[#This Row],[Função]],1)),
SUMIF(tabVidros[TIPO],"Equipamento",tabVidros[VALOR UNITÁRIO P/ POSTO (R$)]),
0))))))</f>
        <v>32.264696957412788</v>
      </c>
      <c r="BA162" s="281">
        <f>IF(ISNUMBER(SEARCH("AUXILIAR DE LIMPEZA - 75 H",tabParametros[[#This Row],[Função]],1)),
SUMIF(tabLimpGeral[TIPO],"Produto",tabLimpGeral[VALOR UNITÁRIO P/ HORA (R$)])*75,
IF(ISNUMBER(SEARCH("AUXILIAR DE LIMPEZA - 110 H",tabParametros[[#This Row],[Função]],1)),
SUMIF(tabLimpGeral[TIPO],"Produto",tabLimpGeral[VALOR UNITÁRIO P/ HORA (R$)])*110,
IF(ISNUMBER(SEARCH("AUXILIAR DE LIMPEZA - 150 H",tabParametros[[#This Row],[Função]],1)),
SUMIF(tabLimpGeral[TIPO],"Produto",tabLimpGeral[VALOR UNITÁRIO P/ HORA (R$)])*150,
IF(ISNUMBER(SEARCH("AUXILIAR DE LIMPEZA - 220 H",tabParametros[[#This Row],[Função]],1)),
SUMIF(tabLimpGeral[TIPO],"Produto",tabLimpGeral[VALOR UNITÁRIO P/ HORA (R$)])*220,
IF(ISNUMBER(SEARCH("AUXILIAR DE LIMPEZA - 12 x 36",tabParametros[[#This Row],[Função]],1)),
SUMIF(tabLimpGeral[TIPO],"Produto",tabLimpGeral[VALOR UNITÁRIO P/ HORA (R$)])*220,
IF(ISNUMBER(SEARCH("Limpador de vidros - 220 h",tabParametros[[#This Row],[Função]],1)),
SUMIF(tabVidros[TIPO],"Produto",tabVidros[VALOR UNITÁRIO P/ POSTO (R$)]),
0))))))</f>
        <v>345.13576638965827</v>
      </c>
      <c r="BB162" s="281">
        <v>0</v>
      </c>
      <c r="BC162" s="236">
        <f>VLOOKUP(tabParametros[[#Headers],[Custos Indiretos]],tabOutrosCustos[],3,0)</f>
        <v>189.64880140242613</v>
      </c>
      <c r="BD162" s="236">
        <f>VLOOKUP(tabParametros[[#Headers],[Lucro]],tabOutrosCustos[],3,0)</f>
        <v>159.30499317803796</v>
      </c>
      <c r="BE162" s="235">
        <f>VLOOKUP(tabParametros[[#Headers],[COFINS]],tabImpostosNacionais[],2,0)</f>
        <v>7.5999999999999998E-2</v>
      </c>
      <c r="BF162" s="235">
        <f>VLOOKUP(tabParametros[[#Headers],[PIS]],tabImpostosNacionais[],2,0)</f>
        <v>1.6500000000000001E-2</v>
      </c>
      <c r="BG162" s="235">
        <f>VLOOKUP(tabParametros[[#This Row],[Comarca]],tabComarca[],4,0)</f>
        <v>0.03</v>
      </c>
      <c r="BH162" s="238">
        <f>IFERROR(VLOOKUP(tabParametros[[#This Row],[CCT DA CATEGORIA]],tabSindicatos[],11,0),"")</f>
        <v>45658</v>
      </c>
      <c r="BI162" s="289" t="str">
        <f>IFERROR(VLOOKUP(tabParametros[[#This Row],[CCT DA CATEGORIA]],tabSindicatos[],12,0),"")</f>
        <v>-</v>
      </c>
      <c r="BJ162" s="293" t="str">
        <f>IFERROR(VLOOKUP(tabParametros[[#This Row],[CCT DA CATEGORIA]],tabSindicatos[],13,0),"")</f>
        <v>-</v>
      </c>
    </row>
    <row r="163" spans="1:62" x14ac:dyDescent="0.25">
      <c r="A163" s="233" t="s">
        <v>1499</v>
      </c>
      <c r="B163" s="198" t="s">
        <v>148</v>
      </c>
      <c r="C163" s="198" t="s">
        <v>1244</v>
      </c>
      <c r="D163" s="198" t="str">
        <f>VLOOKUP(tabParametros[[#This Row],[Código do Posto]],tabPostos[],4,0)</f>
        <v>Montes Claros</v>
      </c>
      <c r="E163" s="289" t="str">
        <f>VLOOKUP(tabParametros[[#This Row],[Código do Posto]],tabPostos[],5,0)</f>
        <v>Limpeza</v>
      </c>
      <c r="F163" s="289" t="str">
        <f>VLOOKUP(tabParametros[[#This Row],[Código do Posto]],tabPostos[],6,0)</f>
        <v>PGJ</v>
      </c>
      <c r="G163" s="289">
        <f>VLOOKUP(tabParametros[[#This Row],[Código do Posto]],tabPostos[],7,0)</f>
        <v>1</v>
      </c>
      <c r="H163" s="289">
        <f>VLOOKUP(tabParametros[[#This Row],[Código do Posto]],tabPostos[],8,0)</f>
        <v>0</v>
      </c>
      <c r="I163" s="234">
        <f>VLOOKUP(tabParametros[[#This Row],[Código do Posto]],tabPostos[],9,0)</f>
        <v>824.56</v>
      </c>
      <c r="J163" s="234">
        <f>IF(ISNUMBER(SEARCH("Eletricista",tabParametros[[#This Row],[Função]],1)),0.3*tabParametros[[#This Row],[Salário Base]],0)</f>
        <v>0</v>
      </c>
      <c r="K163" s="234">
        <f>IF(OR(ISNUMBER(SEARCH("Bombeiro Hidraulico",tabParametros[[#This Row],[Função]],1)),ISNUMBER(SEARCH("Jardineiro",tabParametros[[#This Row],[Função]],1)),ISNUMBER(SEARCH("Lavador de Veiculos",tabParametros[[#This Row],[Função]],1)),ISNUMBER(SEARCH("Marceneiro",tabParametros[[#This Row],[Função]],1)),ISNUMBER(SEARCH("Pintor",tabParametros[[#This Row],[Função]],1))),0.2*'BASE GERAL'!$R$4,0)</f>
        <v>0</v>
      </c>
      <c r="L163" s="234">
        <f>IF(AND(ISNUMBER(SEARCH("Noturno",tabParametros[[#This Row],[Função]],1)),tabParametros[[#This Row],[Comarca]]&lt;&gt;"Juiz de Fora"),tabParametros[[#This Row],[Salário Base]]/210*0.39*7*15.5,IF(ISNUMBER(SEARCH("Noturno",tabParametros[[#This Row],[Função]],1)),tabParametros[[#This Row],[Salário Base]]/210*0.2*8*15.5,0))</f>
        <v>0</v>
      </c>
      <c r="M163" s="234">
        <f>IF(ISNUMBER(SEARCH("Motorista II",tabParametros[[#This Row],[Função]],1)),0.25*tabParametros[[#This Row],[Salário Base]],0)</f>
        <v>0</v>
      </c>
      <c r="N163" s="250">
        <v>0</v>
      </c>
      <c r="O163" s="234">
        <f>IF(ISNUMBER(SEARCH("TECNOLOGIA DA INFORMACAO",tabParametros[[#This Row],[Função]],1)),0.0201*tabParametros[[#This Row],[Salário Base]],0)</f>
        <v>0</v>
      </c>
      <c r="P163" s="250" cm="1">
        <f t="array" ref="P163">_xlfn.IFS(
ISNUMBER(SEARCH("Auxiliar de Limpeza - 75 h",tabParametros[[#This Row],[Função]],1)),tabParametros[[#This Row],[Salário Base]]/75*0.75*30*0.12,
ISNUMBER(SEARCH("Auxiliar de Limpeza - 110 h",tabParametros[[#This Row],[Função]],1)),tabParametros[[#This Row],[Salário Base]]/110*1*30*0.12,
ISNUMBER(SEARCH("Auxiliar de Limpeza - 150 h",tabParametros[[#This Row],[Função]],1)),tabParametros[[#This Row],[Salário Base]]/150*1.5*30*0.12,
ISNUMBER(SEARCH("Auxiliar de Limpeza - 220 h",tabParametros[[#This Row],[Função]],1)),tabParametros[[#This Row],[Salário Base]]/220*2*30*0.12,
ISNUMBER(SEARCH("Auxiliar de Limpeza - 12 x 36",tabParametros[[#This Row],[Função]],1)),tabParametros[[#This Row],[Salário Base]]/220*2*30*0.12,
ISNUMBER(SEARCH("Auxiliar de Limpeza - 55 h",tabParametros[[#This Row],[Função]],1))=FALSE,0)</f>
        <v>26.985599999999998</v>
      </c>
      <c r="Q163" s="235">
        <f>VLOOKUP(tabParametros[[#Headers],[INSS]],tabImpostosNacionais[],2,0)</f>
        <v>0.2</v>
      </c>
      <c r="R163" s="235">
        <f>VLOOKUP(tabParametros[[#Headers],[SESI OU SESC]],tabImpostosNacionais[],2,0)</f>
        <v>1.4999999999999999E-2</v>
      </c>
      <c r="S163" s="235">
        <f>VLOOKUP(tabParametros[[#Headers],[SENAI OU SENAC]],tabImpostosNacionais[],2,0)</f>
        <v>0.01</v>
      </c>
      <c r="T163" s="235">
        <f>VLOOKUP(tabParametros[[#Headers],[INCRA]],tabImpostosNacionais[],2,0)</f>
        <v>2E-3</v>
      </c>
      <c r="U163" s="235">
        <f>VLOOKUP(tabParametros[[#Headers],[Salário Educação]],tabImpostosNacionais[],2,0)</f>
        <v>2.5000000000000001E-2</v>
      </c>
      <c r="V163" s="235">
        <f>VLOOKUP(tabParametros[[#Headers],[FGTS]],tabImpostosNacionais[],2,0)</f>
        <v>0.08</v>
      </c>
      <c r="W163" s="235">
        <f>VLOOKUP(tabParametros[[#Headers],[RAT Ajustado]],tabImpostosNacionais[],2,0)</f>
        <v>0.04</v>
      </c>
      <c r="X163" s="235">
        <f>VLOOKUP(tabParametros[[#Headers],[SEBRAE]],tabImpostosNacionais[],2,0)</f>
        <v>6.0000000000000001E-3</v>
      </c>
      <c r="Y163" s="235">
        <f t="shared" si="22"/>
        <v>8.3333333333333329E-2</v>
      </c>
      <c r="Z163" s="251">
        <f t="shared" si="23"/>
        <v>0.1111111111111111</v>
      </c>
      <c r="AA163" s="234">
        <f>VLOOKUP(tabParametros[[#This Row],[Comarca]],tabComarca[],5,0)</f>
        <v>6.4</v>
      </c>
      <c r="AB163" s="234">
        <f>IFERROR(VLOOKUP(tabParametros[[#This Row],[CCT DA CATEGORIA]],tabSindicatos[],6,0),0)</f>
        <v>29.15</v>
      </c>
      <c r="AC163" s="234">
        <f>IFERROR(VLOOKUP(tabParametros[[#This Row],[CCT DA CATEGORIA]],tabSindicatos[],7,0),0)</f>
        <v>0</v>
      </c>
      <c r="AD163" s="234" cm="1">
        <f t="array" ref="AD163">_xlfn.LET(
_xlpm.COMARCA, TRIM(UPPER(SUBSTITUTE(SUBSTITUTE(SUBSTITUTE(SUBSTITUTE(SUBSTITUTE(SUBSTITUTE(SUBSTITUTE(SUBSTITUTE(SUBSTITUTE(SUBSTITUTE(SUBSTITUTE(SUBSTITUTE(SUBSTITUTE(SUBSTITUTE(SUBSTITUTE(SUBSTITUTE(SUBSTITUTE(SUBSTITUTE(SUBSTITUTE(SUBSTITUTE(SUBSTITUTE(SUBSTITUTE(SUBSTITUTE(SUBSTITUTE(SUBSTITUTE(SUBSTITUTE(tabParametros[[#This Row],[Comarca]],"á","a"),"ã","a"),"â","a"),"é","e"),"ê","e"),"í","i"),"ó","o"),"õ","o"),"ô","o"),"ú","u"),"ç","c"),"Á","a"),"Ã","a"),"Â","a"),"É","e"),"Ê","e"),"Í","i"),"Ó","o"),"Õ","o"),"Ô","o"),"Ú","u"),"Ç","c"),"/MG","")," e ",", ")," ",""),".",""))),
_xlpm.MATRIZ_COMARCA, TRIM(UPPER(SUBSTITUTE(SUBSTITUTE(SUBSTITUTE(SUBSTITUTE(SUBSTITUTE(SUBSTITUTE(SUBSTITUTE(SUBSTITUTE(SUBSTITUTE(SUBSTITUTE(SUBSTITUTE(SUBSTITUTE(SUBSTITUTE(SUBSTITUTE(SUBSTITUTE(SUBSTITUTE(SUBSTITUTE(SUBSTITUTE(SUBSTITUTE(SUBSTITUTE(SUBSTITUTE(SUBSTITUTE(SUBSTITUTE(SUBSTITUTE(SUBSTITUTE(SUBSTITUTE(tabSindicatos[COMARCAS PAF],"á","a"),"ã","a"),"â","a"),"é","e"),"ê","e"),"í","i"),"ó","o"),"õ","o"),"ô","o"),"ú","u"),"ç","c"),"Á","a"),"Ã","a"),"Â","a"),"É","e"),"Ê","e"),"Í","i"),"Ó","o"),"Õ","o"),"Ô","o"),"Ú","u"),"Ç","c"),"/MG","")," e ",", ")," ",""),".",""))),
IFERROR(IF(_xlfn.XLOOKUP(tabParametros[[#This Row],[CCT DA CATEGORIA]],tabSindicatos[SINDICATOS],tabSindicatos[COMARCAS PAF])="",
VLOOKUP(tabParametros[[#This Row],[CCT DA CATEGORIA]],tabSindicatos[],8,0),
IF(ISNUMBER(SEARCH(TRIM(_xlpm.COMARCA),_xlfn.XLOOKUP(tabParametros[[#This Row],[CCT DA CATEGORIA]],tabSindicatos[SINDICATOS],_xlpm.MATRIZ_COMARCA),1)),VLOOKUP(tabParametros[[#This Row],[CCT DA CATEGORIA]],tabSindicatos[],8,0),0)
),0)
)</f>
        <v>51.86</v>
      </c>
      <c r="AE163" s="234">
        <f>IFERROR(VLOOKUP(tabParametros[[#This Row],[CCT DA CATEGORIA]],tabSindicatos[],9,0),0)</f>
        <v>0</v>
      </c>
      <c r="AF163" s="234">
        <f>IFERROR(VLOOKUP(tabParametros[[#This Row],[CCT DA CATEGORIA]],tabSindicatos[],10,0),0)</f>
        <v>0</v>
      </c>
      <c r="AG163" s="236">
        <f>VLOOKUP(tabParametros[[#Headers],[Seguro de Vida]],tabOutrosCustos[],3,0)</f>
        <v>3.36</v>
      </c>
      <c r="AH163" s="236">
        <f>IF(ISNUMBER(SEARCH("MOTORISTA",tabParametros[[#This Row],[Função]],1)),VLOOKUP("MOTORISTAS",tabDiarias[],2,0),IF(tabParametros[[#This Row],[Comarca]]="Belo Horizonte",VLOOKUP("LIMPEZA",tabDiarias[],2,0),0))</f>
        <v>0</v>
      </c>
      <c r="AI163" s="235">
        <f t="shared" si="24"/>
        <v>7.011766975308642E-3</v>
      </c>
      <c r="AJ163" s="237">
        <f>tabParametros[[#This Row],[FGTS]]*tabParametros[[#This Row],[Aviso Prévio Indenizado (API) e Reflexo do Aviso Prévio Indenizado]]</f>
        <v>5.609413580246914E-4</v>
      </c>
      <c r="AK163" s="237">
        <f>tabParametros[[#This Row],[FGTS]]*tabParametros[[#This Row],[Aviso Prévio Indenizado (API) e Reflexo do Aviso Prévio Indenizado]]*40%</f>
        <v>2.2437654320987658E-4</v>
      </c>
      <c r="AL163" s="235">
        <f t="shared" si="25"/>
        <v>3.5000000000000005E-3</v>
      </c>
      <c r="AM163" s="235">
        <f>tabParametros[[#This Row],[Aviso Prévio Trabalhado - APT]]*SUM(tabParametros[[#This Row],[INSS]:[SEBRAE]])</f>
        <v>1.3230000000000004E-3</v>
      </c>
      <c r="AN163" s="235">
        <f t="shared" si="26"/>
        <v>3.0577777777777773E-2</v>
      </c>
      <c r="AO163" s="235">
        <f t="shared" si="27"/>
        <v>8.3333333333333339E-4</v>
      </c>
      <c r="AP163" s="235">
        <f t="shared" si="28"/>
        <v>8.4444444444444437E-3</v>
      </c>
      <c r="AQ163" s="235">
        <f t="shared" si="29"/>
        <v>2.0277777777777777E-3</v>
      </c>
      <c r="AR163" s="235">
        <f t="shared" si="30"/>
        <v>1.7083333333333333E-4</v>
      </c>
      <c r="AS163" s="235">
        <f t="shared" si="31"/>
        <v>2.0833333333333335E-4</v>
      </c>
      <c r="AT163" s="235">
        <f t="shared" si="32"/>
        <v>1.2962962962962963E-3</v>
      </c>
      <c r="AU163" s="237">
        <f>SUM(tabParametros[[#This Row],[Ausência por Doença]:[Férias, Adicional de Férias e 13º  com empregada em gozo de Licença Maternidade]])*SUM(tabParametros[[#This Row],[INSS]:[SEBRAE]])</f>
        <v>4.5918250000000008E-3</v>
      </c>
      <c r="AV163" s="234">
        <f>IF(tabParametros[[#This Row],[Função]]="Porteiro - 220 h",SUM(tabParametros[[#This Row],[Salário Base]:[Adicional de Acúmulo de função]])/220*20*1.5,IF(ISNUMBER(SEARCH("12 x 36",tabParametros[[#This Row],[Função]],1)),SUM(tabParametros[[#This Row],[Salário Base]:[Adicional de Acúmulo de função]])/210*15.5*1.5,0))</f>
        <v>0</v>
      </c>
      <c r="AW163" s="234">
        <f>IF(tabParametros[[#This Row],[Vagas contratadas]]&gt;0,(SUM(tabParametros[[#This Row],[Salário Base]:[Adicional de Acúmulo de função]])*30%+SUM(tabParametros[[#This Row],[Vale - Alimentação]:[Seguro de Vida]]))/tabParametros[[#This Row],[Vagas contratadas]]*tabParametros[[#This Row],[Vagas suspensas]],0)</f>
        <v>0</v>
      </c>
      <c r="AX163" s="234">
        <f>SUMIF(tabUniformes[Cargo],tabParametros[[#This Row],[Função]],tabUniformes[Valor unit. Mensal])</f>
        <v>62.806666666666665</v>
      </c>
      <c r="AY163" s="281">
        <f>IF(ISNUMBER(SEARCH("AUXILIAR DE LIMPEZA - 75 H",tabParametros[[#This Row],[Função]],1)),
SUMIF(tabLimpGeral[TIPO],"Material",tabLimpGeral[VALOR UNITÁRIO P/ HORA (R$)])*75,
IF(ISNUMBER(SEARCH("AUXILIAR DE LIMPEZA - 110 H",tabParametros[[#This Row],[Função]],1)),
SUMIF(tabLimpGeral[TIPO],"Material",tabLimpGeral[VALOR UNITÁRIO P/ HORA (R$)])*110,
IF(ISNUMBER(SEARCH("AUXILIAR DE LIMPEZA - 150 H",tabParametros[[#This Row],[Função]],1)),
SUMIF(tabLimpGeral[TIPO],"Material",tabLimpGeral[VALOR UNITÁRIO P/ HORA (R$)])*150,
IF(ISNUMBER(SEARCH("AUXILIAR DE LIMPEZA - 220 H",tabParametros[[#This Row],[Função]],1)),
SUMIF(tabLimpGeral[TIPO],"Material",tabLimpGeral[VALOR UNITÁRIO P/ HORA (R$)])*220,
IF(ISNUMBER(SEARCH("AUXILIAR DE LIMPEZA - 12 x 36",tabParametros[[#This Row],[Função]],1)),
SUMIF(tabLimpGeral[TIPO],"Material",tabLimpGeral[VALOR UNITÁRIO P/ HORA (R$)])*220,
IF(ISNUMBER(SEARCH("Limpador de vidros - 220 h",tabParametros[[#This Row],[Função]],1)),
SUMIF(tabVidros[TIPO],"Material",tabVidros[VALOR UNITÁRIO P/ POSTO (R$)]),
0))))))</f>
        <v>17.759106479291944</v>
      </c>
      <c r="AZ163" s="281">
        <f>IF(ISNUMBER(SEARCH("AUXILIAR DE LIMPEZA - 75 H",tabParametros[[#This Row],[Função]],1)),
SUMIF(tabLimpGeral[TIPO],"Equipamento",tabLimpGeral[VALOR UNITÁRIO P/ HORA (R$)])*75,
IF(ISNUMBER(SEARCH("AUXILIAR DE LIMPEZA - 110 H",tabParametros[[#This Row],[Função]],1)),
SUMIF(tabLimpGeral[TIPO],"Equipamento",tabLimpGeral[VALOR UNITÁRIO P/ HORA (R$)])*110,
IF(ISNUMBER(SEARCH("AUXILIAR DE LIMPEZA - 150 H",tabParametros[[#This Row],[Função]],1)),
SUMIF(tabLimpGeral[TIPO],"Equipamento",tabLimpGeral[VALOR UNITÁRIO P/ HORA (R$)])*150,
IF(ISNUMBER(SEARCH("AUXILIAR DE LIMPEZA - 220 H",tabParametros[[#This Row],[Função]],1)),
SUMIF(tabLimpGeral[TIPO],"Equipamento",tabLimpGeral[VALOR UNITÁRIO P/ HORA (R$)])*220,
IF(ISNUMBER(SEARCH("AUXILIAR DE LIMPEZA - 12 x 36",tabParametros[[#This Row],[Função]],1)),
SUMIF(tabLimpGeral[TIPO],"Equipamento",tabLimpGeral[VALOR UNITÁRIO P/ HORA (R$)])*220,
IF(ISNUMBER(SEARCH("Limpador de vidros - 220 h",tabParametros[[#This Row],[Função]],1)),
SUMIF(tabVidros[TIPO],"Equipamento",tabVidros[VALOR UNITÁRIO P/ POSTO (R$)]),
0))))))</f>
        <v>32.264696957412788</v>
      </c>
      <c r="BA163" s="281">
        <f>IF(ISNUMBER(SEARCH("AUXILIAR DE LIMPEZA - 75 H",tabParametros[[#This Row],[Função]],1)),
SUMIF(tabLimpGeral[TIPO],"Produto",tabLimpGeral[VALOR UNITÁRIO P/ HORA (R$)])*75,
IF(ISNUMBER(SEARCH("AUXILIAR DE LIMPEZA - 110 H",tabParametros[[#This Row],[Função]],1)),
SUMIF(tabLimpGeral[TIPO],"Produto",tabLimpGeral[VALOR UNITÁRIO P/ HORA (R$)])*110,
IF(ISNUMBER(SEARCH("AUXILIAR DE LIMPEZA - 150 H",tabParametros[[#This Row],[Função]],1)),
SUMIF(tabLimpGeral[TIPO],"Produto",tabLimpGeral[VALOR UNITÁRIO P/ HORA (R$)])*150,
IF(ISNUMBER(SEARCH("AUXILIAR DE LIMPEZA - 220 H",tabParametros[[#This Row],[Função]],1)),
SUMIF(tabLimpGeral[TIPO],"Produto",tabLimpGeral[VALOR UNITÁRIO P/ HORA (R$)])*220,
IF(ISNUMBER(SEARCH("AUXILIAR DE LIMPEZA - 12 x 36",tabParametros[[#This Row],[Função]],1)),
SUMIF(tabLimpGeral[TIPO],"Produto",tabLimpGeral[VALOR UNITÁRIO P/ HORA (R$)])*220,
IF(ISNUMBER(SEARCH("Limpador de vidros - 220 h",tabParametros[[#This Row],[Função]],1)),
SUMIF(tabVidros[TIPO],"Produto",tabVidros[VALOR UNITÁRIO P/ POSTO (R$)]),
0))))))</f>
        <v>345.13576638965827</v>
      </c>
      <c r="BB163" s="281">
        <v>0</v>
      </c>
      <c r="BC163" s="236">
        <f>VLOOKUP(tabParametros[[#Headers],[Custos Indiretos]],tabOutrosCustos[],3,0)</f>
        <v>189.64880140242613</v>
      </c>
      <c r="BD163" s="236">
        <f>VLOOKUP(tabParametros[[#Headers],[Lucro]],tabOutrosCustos[],3,0)</f>
        <v>159.30499317803796</v>
      </c>
      <c r="BE163" s="235">
        <f>VLOOKUP(tabParametros[[#Headers],[COFINS]],tabImpostosNacionais[],2,0)</f>
        <v>7.5999999999999998E-2</v>
      </c>
      <c r="BF163" s="235">
        <f>VLOOKUP(tabParametros[[#Headers],[PIS]],tabImpostosNacionais[],2,0)</f>
        <v>1.6500000000000001E-2</v>
      </c>
      <c r="BG163" s="235">
        <f>VLOOKUP(tabParametros[[#This Row],[Comarca]],tabComarca[],4,0)</f>
        <v>0.03</v>
      </c>
      <c r="BH163" s="238">
        <f>IFERROR(VLOOKUP(tabParametros[[#This Row],[CCT DA CATEGORIA]],tabSindicatos[],11,0),"")</f>
        <v>45658</v>
      </c>
      <c r="BI163" s="289" t="str">
        <f>IFERROR(VLOOKUP(tabParametros[[#This Row],[CCT DA CATEGORIA]],tabSindicatos[],12,0),"")</f>
        <v>-</v>
      </c>
      <c r="BJ163" s="293" t="str">
        <f>IFERROR(VLOOKUP(tabParametros[[#This Row],[CCT DA CATEGORIA]],tabSindicatos[],13,0),"")</f>
        <v>-</v>
      </c>
    </row>
    <row r="164" spans="1:62" x14ac:dyDescent="0.25">
      <c r="A164" s="233" t="s">
        <v>1500</v>
      </c>
      <c r="B164" s="198" t="s">
        <v>148</v>
      </c>
      <c r="C164" s="198" t="s">
        <v>1245</v>
      </c>
      <c r="D164" s="198" t="str">
        <f>VLOOKUP(tabParametros[[#This Row],[Código do Posto]],tabPostos[],4,0)</f>
        <v>Montes Claros</v>
      </c>
      <c r="E164" s="289" t="str">
        <f>VLOOKUP(tabParametros[[#This Row],[Código do Posto]],tabPostos[],5,0)</f>
        <v>Limpeza</v>
      </c>
      <c r="F164" s="289" t="str">
        <f>VLOOKUP(tabParametros[[#This Row],[Código do Posto]],tabPostos[],6,0)</f>
        <v>PGJ</v>
      </c>
      <c r="G164" s="289">
        <f>VLOOKUP(tabParametros[[#This Row],[Código do Posto]],tabPostos[],7,0)</f>
        <v>7</v>
      </c>
      <c r="H164" s="289">
        <f>VLOOKUP(tabParametros[[#This Row],[Código do Posto]],tabPostos[],8,0)</f>
        <v>0</v>
      </c>
      <c r="I164" s="234">
        <f>VLOOKUP(tabParametros[[#This Row],[Código do Posto]],tabPostos[],9,0)</f>
        <v>1649.12</v>
      </c>
      <c r="J164" s="234">
        <f>IF(ISNUMBER(SEARCH("Eletricista",tabParametros[[#This Row],[Função]],1)),0.3*tabParametros[[#This Row],[Salário Base]],0)</f>
        <v>0</v>
      </c>
      <c r="K164" s="234">
        <f>IF(OR(ISNUMBER(SEARCH("Bombeiro Hidraulico",tabParametros[[#This Row],[Função]],1)),ISNUMBER(SEARCH("Jardineiro",tabParametros[[#This Row],[Função]],1)),ISNUMBER(SEARCH("Lavador de Veiculos",tabParametros[[#This Row],[Função]],1)),ISNUMBER(SEARCH("Marceneiro",tabParametros[[#This Row],[Função]],1)),ISNUMBER(SEARCH("Pintor",tabParametros[[#This Row],[Função]],1))),0.2*'BASE GERAL'!$R$4,0)</f>
        <v>0</v>
      </c>
      <c r="L164" s="234">
        <f>IF(AND(ISNUMBER(SEARCH("Noturno",tabParametros[[#This Row],[Função]],1)),tabParametros[[#This Row],[Comarca]]&lt;&gt;"Juiz de Fora"),tabParametros[[#This Row],[Salário Base]]/210*0.39*7*15.5,IF(ISNUMBER(SEARCH("Noturno",tabParametros[[#This Row],[Função]],1)),tabParametros[[#This Row],[Salário Base]]/210*0.2*8*15.5,0))</f>
        <v>0</v>
      </c>
      <c r="M164" s="234">
        <f>IF(ISNUMBER(SEARCH("Motorista II",tabParametros[[#This Row],[Função]],1)),0.25*tabParametros[[#This Row],[Salário Base]],0)</f>
        <v>0</v>
      </c>
      <c r="N164" s="250">
        <v>0</v>
      </c>
      <c r="O164" s="234">
        <f>IF(ISNUMBER(SEARCH("TECNOLOGIA DA INFORMACAO",tabParametros[[#This Row],[Função]],1)),0.0201*tabParametros[[#This Row],[Salário Base]],0)</f>
        <v>0</v>
      </c>
      <c r="P164" s="250" cm="1">
        <f t="array" ref="P164">_xlfn.IFS(
ISNUMBER(SEARCH("Auxiliar de Limpeza - 75 h",tabParametros[[#This Row],[Função]],1)),tabParametros[[#This Row],[Salário Base]]/75*0.75*30*0.12,
ISNUMBER(SEARCH("Auxiliar de Limpeza - 110 h",tabParametros[[#This Row],[Função]],1)),tabParametros[[#This Row],[Salário Base]]/110*1*30*0.12,
ISNUMBER(SEARCH("Auxiliar de Limpeza - 150 h",tabParametros[[#This Row],[Função]],1)),tabParametros[[#This Row],[Salário Base]]/150*1.5*30*0.12,
ISNUMBER(SEARCH("Auxiliar de Limpeza - 220 h",tabParametros[[#This Row],[Função]],1)),tabParametros[[#This Row],[Salário Base]]/220*2*30*0.12,
ISNUMBER(SEARCH("Auxiliar de Limpeza - 12 x 36",tabParametros[[#This Row],[Função]],1)),tabParametros[[#This Row],[Salário Base]]/220*2*30*0.12,
ISNUMBER(SEARCH("Auxiliar de Limpeza - 55 h",tabParametros[[#This Row],[Função]],1))=FALSE,0)</f>
        <v>53.971199999999996</v>
      </c>
      <c r="Q164" s="235">
        <f>VLOOKUP(tabParametros[[#Headers],[INSS]],tabImpostosNacionais[],2,0)</f>
        <v>0.2</v>
      </c>
      <c r="R164" s="235">
        <f>VLOOKUP(tabParametros[[#Headers],[SESI OU SESC]],tabImpostosNacionais[],2,0)</f>
        <v>1.4999999999999999E-2</v>
      </c>
      <c r="S164" s="235">
        <f>VLOOKUP(tabParametros[[#Headers],[SENAI OU SENAC]],tabImpostosNacionais[],2,0)</f>
        <v>0.01</v>
      </c>
      <c r="T164" s="235">
        <f>VLOOKUP(tabParametros[[#Headers],[INCRA]],tabImpostosNacionais[],2,0)</f>
        <v>2E-3</v>
      </c>
      <c r="U164" s="235">
        <f>VLOOKUP(tabParametros[[#Headers],[Salário Educação]],tabImpostosNacionais[],2,0)</f>
        <v>2.5000000000000001E-2</v>
      </c>
      <c r="V164" s="235">
        <f>VLOOKUP(tabParametros[[#Headers],[FGTS]],tabImpostosNacionais[],2,0)</f>
        <v>0.08</v>
      </c>
      <c r="W164" s="235">
        <f>VLOOKUP(tabParametros[[#Headers],[RAT Ajustado]],tabImpostosNacionais[],2,0)</f>
        <v>0.04</v>
      </c>
      <c r="X164" s="235">
        <f>VLOOKUP(tabParametros[[#Headers],[SEBRAE]],tabImpostosNacionais[],2,0)</f>
        <v>6.0000000000000001E-3</v>
      </c>
      <c r="Y164" s="235">
        <f t="shared" si="22"/>
        <v>8.3333333333333329E-2</v>
      </c>
      <c r="Z164" s="251">
        <f t="shared" si="23"/>
        <v>0.1111111111111111</v>
      </c>
      <c r="AA164" s="234">
        <f>VLOOKUP(tabParametros[[#This Row],[Comarca]],tabComarca[],5,0)</f>
        <v>6.4</v>
      </c>
      <c r="AB164" s="234">
        <f>IFERROR(VLOOKUP(tabParametros[[#This Row],[CCT DA CATEGORIA]],tabSindicatos[],6,0),0)</f>
        <v>29.15</v>
      </c>
      <c r="AC164" s="234">
        <f>IFERROR(VLOOKUP(tabParametros[[#This Row],[CCT DA CATEGORIA]],tabSindicatos[],7,0),0)</f>
        <v>0</v>
      </c>
      <c r="AD164" s="234" cm="1">
        <f t="array" ref="AD164">_xlfn.LET(
_xlpm.COMARCA, TRIM(UPPER(SUBSTITUTE(SUBSTITUTE(SUBSTITUTE(SUBSTITUTE(SUBSTITUTE(SUBSTITUTE(SUBSTITUTE(SUBSTITUTE(SUBSTITUTE(SUBSTITUTE(SUBSTITUTE(SUBSTITUTE(SUBSTITUTE(SUBSTITUTE(SUBSTITUTE(SUBSTITUTE(SUBSTITUTE(SUBSTITUTE(SUBSTITUTE(SUBSTITUTE(SUBSTITUTE(SUBSTITUTE(SUBSTITUTE(SUBSTITUTE(SUBSTITUTE(SUBSTITUTE(tabParametros[[#This Row],[Comarca]],"á","a"),"ã","a"),"â","a"),"é","e"),"ê","e"),"í","i"),"ó","o"),"õ","o"),"ô","o"),"ú","u"),"ç","c"),"Á","a"),"Ã","a"),"Â","a"),"É","e"),"Ê","e"),"Í","i"),"Ó","o"),"Õ","o"),"Ô","o"),"Ú","u"),"Ç","c"),"/MG","")," e ",", ")," ",""),".",""))),
_xlpm.MATRIZ_COMARCA, TRIM(UPPER(SUBSTITUTE(SUBSTITUTE(SUBSTITUTE(SUBSTITUTE(SUBSTITUTE(SUBSTITUTE(SUBSTITUTE(SUBSTITUTE(SUBSTITUTE(SUBSTITUTE(SUBSTITUTE(SUBSTITUTE(SUBSTITUTE(SUBSTITUTE(SUBSTITUTE(SUBSTITUTE(SUBSTITUTE(SUBSTITUTE(SUBSTITUTE(SUBSTITUTE(SUBSTITUTE(SUBSTITUTE(SUBSTITUTE(SUBSTITUTE(SUBSTITUTE(SUBSTITUTE(tabSindicatos[COMARCAS PAF],"á","a"),"ã","a"),"â","a"),"é","e"),"ê","e"),"í","i"),"ó","o"),"õ","o"),"ô","o"),"ú","u"),"ç","c"),"Á","a"),"Ã","a"),"Â","a"),"É","e"),"Ê","e"),"Í","i"),"Ó","o"),"Õ","o"),"Ô","o"),"Ú","u"),"Ç","c"),"/MG","")," e ",", ")," ",""),".",""))),
IFERROR(IF(_xlfn.XLOOKUP(tabParametros[[#This Row],[CCT DA CATEGORIA]],tabSindicatos[SINDICATOS],tabSindicatos[COMARCAS PAF])="",
VLOOKUP(tabParametros[[#This Row],[CCT DA CATEGORIA]],tabSindicatos[],8,0),
IF(ISNUMBER(SEARCH(TRIM(_xlpm.COMARCA),_xlfn.XLOOKUP(tabParametros[[#This Row],[CCT DA CATEGORIA]],tabSindicatos[SINDICATOS],_xlpm.MATRIZ_COMARCA),1)),VLOOKUP(tabParametros[[#This Row],[CCT DA CATEGORIA]],tabSindicatos[],8,0),0)
),0)
)</f>
        <v>51.86</v>
      </c>
      <c r="AE164" s="234">
        <f>IFERROR(VLOOKUP(tabParametros[[#This Row],[CCT DA CATEGORIA]],tabSindicatos[],9,0),0)</f>
        <v>0</v>
      </c>
      <c r="AF164" s="234">
        <f>IFERROR(VLOOKUP(tabParametros[[#This Row],[CCT DA CATEGORIA]],tabSindicatos[],10,0),0)</f>
        <v>0</v>
      </c>
      <c r="AG164" s="236">
        <f>VLOOKUP(tabParametros[[#Headers],[Seguro de Vida]],tabOutrosCustos[],3,0)</f>
        <v>3.36</v>
      </c>
      <c r="AH164" s="236">
        <f>IF(ISNUMBER(SEARCH("MOTORISTA",tabParametros[[#This Row],[Função]],1)),VLOOKUP("MOTORISTAS",tabDiarias[],2,0),IF(tabParametros[[#This Row],[Comarca]]="Belo Horizonte",VLOOKUP("LIMPEZA",tabDiarias[],2,0),0))</f>
        <v>0</v>
      </c>
      <c r="AI164" s="235">
        <f t="shared" si="24"/>
        <v>7.011766975308642E-3</v>
      </c>
      <c r="AJ164" s="237">
        <f>tabParametros[[#This Row],[FGTS]]*tabParametros[[#This Row],[Aviso Prévio Indenizado (API) e Reflexo do Aviso Prévio Indenizado]]</f>
        <v>5.609413580246914E-4</v>
      </c>
      <c r="AK164" s="237">
        <f>tabParametros[[#This Row],[FGTS]]*tabParametros[[#This Row],[Aviso Prévio Indenizado (API) e Reflexo do Aviso Prévio Indenizado]]*40%</f>
        <v>2.2437654320987658E-4</v>
      </c>
      <c r="AL164" s="235">
        <f t="shared" si="25"/>
        <v>3.5000000000000005E-3</v>
      </c>
      <c r="AM164" s="235">
        <f>tabParametros[[#This Row],[Aviso Prévio Trabalhado - APT]]*SUM(tabParametros[[#This Row],[INSS]:[SEBRAE]])</f>
        <v>1.3230000000000004E-3</v>
      </c>
      <c r="AN164" s="235">
        <f t="shared" si="26"/>
        <v>3.0577777777777773E-2</v>
      </c>
      <c r="AO164" s="235">
        <f t="shared" si="27"/>
        <v>8.3333333333333339E-4</v>
      </c>
      <c r="AP164" s="235">
        <f t="shared" si="28"/>
        <v>8.4444444444444437E-3</v>
      </c>
      <c r="AQ164" s="235">
        <f t="shared" si="29"/>
        <v>2.0277777777777777E-3</v>
      </c>
      <c r="AR164" s="235">
        <f t="shared" si="30"/>
        <v>1.7083333333333333E-4</v>
      </c>
      <c r="AS164" s="235">
        <f t="shared" si="31"/>
        <v>2.0833333333333335E-4</v>
      </c>
      <c r="AT164" s="235">
        <f t="shared" si="32"/>
        <v>1.2962962962962963E-3</v>
      </c>
      <c r="AU164" s="237">
        <f>SUM(tabParametros[[#This Row],[Ausência por Doença]:[Férias, Adicional de Férias e 13º  com empregada em gozo de Licença Maternidade]])*SUM(tabParametros[[#This Row],[INSS]:[SEBRAE]])</f>
        <v>4.5918250000000008E-3</v>
      </c>
      <c r="AV164" s="234">
        <f>IF(tabParametros[[#This Row],[Função]]="Porteiro - 220 h",SUM(tabParametros[[#This Row],[Salário Base]:[Adicional de Acúmulo de função]])/220*20*1.5,IF(ISNUMBER(SEARCH("12 x 36",tabParametros[[#This Row],[Função]],1)),SUM(tabParametros[[#This Row],[Salário Base]:[Adicional de Acúmulo de função]])/210*15.5*1.5,0))</f>
        <v>0</v>
      </c>
      <c r="AW164" s="234">
        <f>IF(tabParametros[[#This Row],[Vagas contratadas]]&gt;0,(SUM(tabParametros[[#This Row],[Salário Base]:[Adicional de Acúmulo de função]])*30%+SUM(tabParametros[[#This Row],[Vale - Alimentação]:[Seguro de Vida]]))/tabParametros[[#This Row],[Vagas contratadas]]*tabParametros[[#This Row],[Vagas suspensas]],0)</f>
        <v>0</v>
      </c>
      <c r="AX164" s="234">
        <f>SUMIF(tabUniformes[Cargo],tabParametros[[#This Row],[Função]],tabUniformes[Valor unit. Mensal])</f>
        <v>100.80916666666666</v>
      </c>
      <c r="AY164" s="281">
        <f>IF(ISNUMBER(SEARCH("AUXILIAR DE LIMPEZA - 75 H",tabParametros[[#This Row],[Função]],1)),
SUMIF(tabLimpGeral[TIPO],"Material",tabLimpGeral[VALOR UNITÁRIO P/ HORA (R$)])*75,
IF(ISNUMBER(SEARCH("AUXILIAR DE LIMPEZA - 110 H",tabParametros[[#This Row],[Função]],1)),
SUMIF(tabLimpGeral[TIPO],"Material",tabLimpGeral[VALOR UNITÁRIO P/ HORA (R$)])*110,
IF(ISNUMBER(SEARCH("AUXILIAR DE LIMPEZA - 150 H",tabParametros[[#This Row],[Função]],1)),
SUMIF(tabLimpGeral[TIPO],"Material",tabLimpGeral[VALOR UNITÁRIO P/ HORA (R$)])*150,
IF(ISNUMBER(SEARCH("AUXILIAR DE LIMPEZA - 220 H",tabParametros[[#This Row],[Função]],1)),
SUMIF(tabLimpGeral[TIPO],"Material",tabLimpGeral[VALOR UNITÁRIO P/ HORA (R$)])*220,
IF(ISNUMBER(SEARCH("AUXILIAR DE LIMPEZA - 12 x 36",tabParametros[[#This Row],[Função]],1)),
SUMIF(tabLimpGeral[TIPO],"Material",tabLimpGeral[VALOR UNITÁRIO P/ HORA (R$)])*220,
IF(ISNUMBER(SEARCH("Limpador de vidros - 220 h",tabParametros[[#This Row],[Função]],1)),
SUMIF(tabVidros[TIPO],"Material",tabVidros[VALOR UNITÁRIO P/ POSTO (R$)]),
0))))))</f>
        <v>35.518212958583888</v>
      </c>
      <c r="AZ164" s="281">
        <f>IF(ISNUMBER(SEARCH("AUXILIAR DE LIMPEZA - 75 H",tabParametros[[#This Row],[Função]],1)),
SUMIF(tabLimpGeral[TIPO],"Equipamento",tabLimpGeral[VALOR UNITÁRIO P/ HORA (R$)])*75,
IF(ISNUMBER(SEARCH("AUXILIAR DE LIMPEZA - 110 H",tabParametros[[#This Row],[Função]],1)),
SUMIF(tabLimpGeral[TIPO],"Equipamento",tabLimpGeral[VALOR UNITÁRIO P/ HORA (R$)])*110,
IF(ISNUMBER(SEARCH("AUXILIAR DE LIMPEZA - 150 H",tabParametros[[#This Row],[Função]],1)),
SUMIF(tabLimpGeral[TIPO],"Equipamento",tabLimpGeral[VALOR UNITÁRIO P/ HORA (R$)])*150,
IF(ISNUMBER(SEARCH("AUXILIAR DE LIMPEZA - 220 H",tabParametros[[#This Row],[Função]],1)),
SUMIF(tabLimpGeral[TIPO],"Equipamento",tabLimpGeral[VALOR UNITÁRIO P/ HORA (R$)])*220,
IF(ISNUMBER(SEARCH("AUXILIAR DE LIMPEZA - 12 x 36",tabParametros[[#This Row],[Função]],1)),
SUMIF(tabLimpGeral[TIPO],"Equipamento",tabLimpGeral[VALOR UNITÁRIO P/ HORA (R$)])*220,
IF(ISNUMBER(SEARCH("Limpador de vidros - 220 h",tabParametros[[#This Row],[Função]],1)),
SUMIF(tabVidros[TIPO],"Equipamento",tabVidros[VALOR UNITÁRIO P/ POSTO (R$)]),
0))))))</f>
        <v>64.529393914825576</v>
      </c>
      <c r="BA164" s="281">
        <f>IF(ISNUMBER(SEARCH("AUXILIAR DE LIMPEZA - 75 H",tabParametros[[#This Row],[Função]],1)),
SUMIF(tabLimpGeral[TIPO],"Produto",tabLimpGeral[VALOR UNITÁRIO P/ HORA (R$)])*75,
IF(ISNUMBER(SEARCH("AUXILIAR DE LIMPEZA - 110 H",tabParametros[[#This Row],[Função]],1)),
SUMIF(tabLimpGeral[TIPO],"Produto",tabLimpGeral[VALOR UNITÁRIO P/ HORA (R$)])*110,
IF(ISNUMBER(SEARCH("AUXILIAR DE LIMPEZA - 150 H",tabParametros[[#This Row],[Função]],1)),
SUMIF(tabLimpGeral[TIPO],"Produto",tabLimpGeral[VALOR UNITÁRIO P/ HORA (R$)])*150,
IF(ISNUMBER(SEARCH("AUXILIAR DE LIMPEZA - 220 H",tabParametros[[#This Row],[Função]],1)),
SUMIF(tabLimpGeral[TIPO],"Produto",tabLimpGeral[VALOR UNITÁRIO P/ HORA (R$)])*220,
IF(ISNUMBER(SEARCH("AUXILIAR DE LIMPEZA - 12 x 36",tabParametros[[#This Row],[Função]],1)),
SUMIF(tabLimpGeral[TIPO],"Produto",tabLimpGeral[VALOR UNITÁRIO P/ HORA (R$)])*220,
IF(ISNUMBER(SEARCH("Limpador de vidros - 220 h",tabParametros[[#This Row],[Função]],1)),
SUMIF(tabVidros[TIPO],"Produto",tabVidros[VALOR UNITÁRIO P/ POSTO (R$)]),
0))))))</f>
        <v>690.27153277931654</v>
      </c>
      <c r="BB164" s="281">
        <v>0</v>
      </c>
      <c r="BC164" s="236">
        <f>VLOOKUP(tabParametros[[#Headers],[Custos Indiretos]],tabOutrosCustos[],3,0)</f>
        <v>189.64880140242613</v>
      </c>
      <c r="BD164" s="236">
        <f>VLOOKUP(tabParametros[[#Headers],[Lucro]],tabOutrosCustos[],3,0)</f>
        <v>159.30499317803796</v>
      </c>
      <c r="BE164" s="235">
        <f>VLOOKUP(tabParametros[[#Headers],[COFINS]],tabImpostosNacionais[],2,0)</f>
        <v>7.5999999999999998E-2</v>
      </c>
      <c r="BF164" s="235">
        <f>VLOOKUP(tabParametros[[#Headers],[PIS]],tabImpostosNacionais[],2,0)</f>
        <v>1.6500000000000001E-2</v>
      </c>
      <c r="BG164" s="235">
        <f>VLOOKUP(tabParametros[[#This Row],[Comarca]],tabComarca[],4,0)</f>
        <v>0.03</v>
      </c>
      <c r="BH164" s="238">
        <f>IFERROR(VLOOKUP(tabParametros[[#This Row],[CCT DA CATEGORIA]],tabSindicatos[],11,0),"")</f>
        <v>45658</v>
      </c>
      <c r="BI164" s="289" t="str">
        <f>IFERROR(VLOOKUP(tabParametros[[#This Row],[CCT DA CATEGORIA]],tabSindicatos[],12,0),"")</f>
        <v>-</v>
      </c>
      <c r="BJ164" s="293" t="str">
        <f>IFERROR(VLOOKUP(tabParametros[[#This Row],[CCT DA CATEGORIA]],tabSindicatos[],13,0),"")</f>
        <v>-</v>
      </c>
    </row>
    <row r="165" spans="1:62" x14ac:dyDescent="0.25">
      <c r="A165" s="233" t="s">
        <v>1501</v>
      </c>
      <c r="B165" s="198" t="s">
        <v>149</v>
      </c>
      <c r="C165" s="198" t="s">
        <v>1245</v>
      </c>
      <c r="D165" s="198" t="str">
        <f>VLOOKUP(tabParametros[[#This Row],[Código do Posto]],tabPostos[],4,0)</f>
        <v>Cataguases</v>
      </c>
      <c r="E165" s="289" t="str">
        <f>VLOOKUP(tabParametros[[#This Row],[Código do Posto]],tabPostos[],5,0)</f>
        <v>Limpeza</v>
      </c>
      <c r="F165" s="289" t="str">
        <f>VLOOKUP(tabParametros[[#This Row],[Código do Posto]],tabPostos[],6,0)</f>
        <v>PGJ</v>
      </c>
      <c r="G165" s="289">
        <f>VLOOKUP(tabParametros[[#This Row],[Código do Posto]],tabPostos[],7,0)</f>
        <v>1</v>
      </c>
      <c r="H165" s="289">
        <f>VLOOKUP(tabParametros[[#This Row],[Código do Posto]],tabPostos[],8,0)</f>
        <v>0</v>
      </c>
      <c r="I165" s="234">
        <f>VLOOKUP(tabParametros[[#This Row],[Código do Posto]],tabPostos[],9,0)</f>
        <v>1596.28</v>
      </c>
      <c r="J165" s="234">
        <f>IF(ISNUMBER(SEARCH("Eletricista",tabParametros[[#This Row],[Função]],1)),0.3*tabParametros[[#This Row],[Salário Base]],0)</f>
        <v>0</v>
      </c>
      <c r="K165" s="234">
        <f>IF(OR(ISNUMBER(SEARCH("Bombeiro Hidraulico",tabParametros[[#This Row],[Função]],1)),ISNUMBER(SEARCH("Jardineiro",tabParametros[[#This Row],[Função]],1)),ISNUMBER(SEARCH("Lavador de Veiculos",tabParametros[[#This Row],[Função]],1)),ISNUMBER(SEARCH("Marceneiro",tabParametros[[#This Row],[Função]],1)),ISNUMBER(SEARCH("Pintor",tabParametros[[#This Row],[Função]],1))),0.2*'BASE GERAL'!$R$4,0)</f>
        <v>0</v>
      </c>
      <c r="L165" s="234">
        <f>IF(AND(ISNUMBER(SEARCH("Noturno",tabParametros[[#This Row],[Função]],1)),tabParametros[[#This Row],[Comarca]]&lt;&gt;"Juiz de Fora"),tabParametros[[#This Row],[Salário Base]]/210*0.39*7*15.5,IF(ISNUMBER(SEARCH("Noturno",tabParametros[[#This Row],[Função]],1)),tabParametros[[#This Row],[Salário Base]]/210*0.2*8*15.5,0))</f>
        <v>0</v>
      </c>
      <c r="M165" s="234">
        <f>IF(ISNUMBER(SEARCH("Motorista II",tabParametros[[#This Row],[Função]],1)),0.25*tabParametros[[#This Row],[Salário Base]],0)</f>
        <v>0</v>
      </c>
      <c r="N165" s="250">
        <v>0</v>
      </c>
      <c r="O165" s="234">
        <f>IF(ISNUMBER(SEARCH("TECNOLOGIA DA INFORMACAO",tabParametros[[#This Row],[Função]],1)),0.0201*tabParametros[[#This Row],[Salário Base]],0)</f>
        <v>0</v>
      </c>
      <c r="P165" s="250" cm="1">
        <f t="array" ref="P165">_xlfn.IFS(
ISNUMBER(SEARCH("Auxiliar de Limpeza - 75 h",tabParametros[[#This Row],[Função]],1)),tabParametros[[#This Row],[Salário Base]]/75*0.75*30*0.12,
ISNUMBER(SEARCH("Auxiliar de Limpeza - 110 h",tabParametros[[#This Row],[Função]],1)),tabParametros[[#This Row],[Salário Base]]/110*1*30*0.12,
ISNUMBER(SEARCH("Auxiliar de Limpeza - 150 h",tabParametros[[#This Row],[Função]],1)),tabParametros[[#This Row],[Salário Base]]/150*1.5*30*0.12,
ISNUMBER(SEARCH("Auxiliar de Limpeza - 220 h",tabParametros[[#This Row],[Função]],1)),tabParametros[[#This Row],[Salário Base]]/220*2*30*0.12,
ISNUMBER(SEARCH("Auxiliar de Limpeza - 12 x 36",tabParametros[[#This Row],[Função]],1)),tabParametros[[#This Row],[Salário Base]]/220*2*30*0.12,
ISNUMBER(SEARCH("Auxiliar de Limpeza - 55 h",tabParametros[[#This Row],[Função]],1))=FALSE,0)</f>
        <v>52.241890909090905</v>
      </c>
      <c r="Q165" s="235">
        <f>VLOOKUP(tabParametros[[#Headers],[INSS]],tabImpostosNacionais[],2,0)</f>
        <v>0.2</v>
      </c>
      <c r="R165" s="235">
        <f>VLOOKUP(tabParametros[[#Headers],[SESI OU SESC]],tabImpostosNacionais[],2,0)</f>
        <v>1.4999999999999999E-2</v>
      </c>
      <c r="S165" s="235">
        <f>VLOOKUP(tabParametros[[#Headers],[SENAI OU SENAC]],tabImpostosNacionais[],2,0)</f>
        <v>0.01</v>
      </c>
      <c r="T165" s="235">
        <f>VLOOKUP(tabParametros[[#Headers],[INCRA]],tabImpostosNacionais[],2,0)</f>
        <v>2E-3</v>
      </c>
      <c r="U165" s="235">
        <f>VLOOKUP(tabParametros[[#Headers],[Salário Educação]],tabImpostosNacionais[],2,0)</f>
        <v>2.5000000000000001E-2</v>
      </c>
      <c r="V165" s="235">
        <f>VLOOKUP(tabParametros[[#Headers],[FGTS]],tabImpostosNacionais[],2,0)</f>
        <v>0.08</v>
      </c>
      <c r="W165" s="235">
        <f>VLOOKUP(tabParametros[[#Headers],[RAT Ajustado]],tabImpostosNacionais[],2,0)</f>
        <v>0.04</v>
      </c>
      <c r="X165" s="235">
        <f>VLOOKUP(tabParametros[[#Headers],[SEBRAE]],tabImpostosNacionais[],2,0)</f>
        <v>6.0000000000000001E-3</v>
      </c>
      <c r="Y165" s="235">
        <f t="shared" si="22"/>
        <v>8.3333333333333329E-2</v>
      </c>
      <c r="Z165" s="251">
        <f t="shared" si="23"/>
        <v>0.1111111111111111</v>
      </c>
      <c r="AA165" s="234">
        <f>VLOOKUP(tabParametros[[#This Row],[Comarca]],tabComarca[],5,0)</f>
        <v>6.4</v>
      </c>
      <c r="AB165" s="234">
        <f>IFERROR(VLOOKUP(tabParametros[[#This Row],[CCT DA CATEGORIA]],tabSindicatos[],6,0),0)</f>
        <v>29.15</v>
      </c>
      <c r="AC165" s="234">
        <f>IFERROR(VLOOKUP(tabParametros[[#This Row],[CCT DA CATEGORIA]],tabSindicatos[],7,0),0)</f>
        <v>0</v>
      </c>
      <c r="AD165" s="234" cm="1">
        <f t="array" ref="AD165">_xlfn.LET(
_xlpm.COMARCA, TRIM(UPPER(SUBSTITUTE(SUBSTITUTE(SUBSTITUTE(SUBSTITUTE(SUBSTITUTE(SUBSTITUTE(SUBSTITUTE(SUBSTITUTE(SUBSTITUTE(SUBSTITUTE(SUBSTITUTE(SUBSTITUTE(SUBSTITUTE(SUBSTITUTE(SUBSTITUTE(SUBSTITUTE(SUBSTITUTE(SUBSTITUTE(SUBSTITUTE(SUBSTITUTE(SUBSTITUTE(SUBSTITUTE(SUBSTITUTE(SUBSTITUTE(SUBSTITUTE(SUBSTITUTE(tabParametros[[#This Row],[Comarca]],"á","a"),"ã","a"),"â","a"),"é","e"),"ê","e"),"í","i"),"ó","o"),"õ","o"),"ô","o"),"ú","u"),"ç","c"),"Á","a"),"Ã","a"),"Â","a"),"É","e"),"Ê","e"),"Í","i"),"Ó","o"),"Õ","o"),"Ô","o"),"Ú","u"),"Ç","c"),"/MG","")," e ",", ")," ",""),".",""))),
_xlpm.MATRIZ_COMARCA, TRIM(UPPER(SUBSTITUTE(SUBSTITUTE(SUBSTITUTE(SUBSTITUTE(SUBSTITUTE(SUBSTITUTE(SUBSTITUTE(SUBSTITUTE(SUBSTITUTE(SUBSTITUTE(SUBSTITUTE(SUBSTITUTE(SUBSTITUTE(SUBSTITUTE(SUBSTITUTE(SUBSTITUTE(SUBSTITUTE(SUBSTITUTE(SUBSTITUTE(SUBSTITUTE(SUBSTITUTE(SUBSTITUTE(SUBSTITUTE(SUBSTITUTE(SUBSTITUTE(SUBSTITUTE(tabSindicatos[COMARCAS PAF],"á","a"),"ã","a"),"â","a"),"é","e"),"ê","e"),"í","i"),"ó","o"),"õ","o"),"ô","o"),"ú","u"),"ç","c"),"Á","a"),"Ã","a"),"Â","a"),"É","e"),"Ê","e"),"Í","i"),"Ó","o"),"Õ","o"),"Ô","o"),"Ú","u"),"Ç","c"),"/MG","")," e ",", ")," ",""),".",""))),
IFERROR(IF(_xlfn.XLOOKUP(tabParametros[[#This Row],[CCT DA CATEGORIA]],tabSindicatos[SINDICATOS],tabSindicatos[COMARCAS PAF])="",
VLOOKUP(tabParametros[[#This Row],[CCT DA CATEGORIA]],tabSindicatos[],8,0),
IF(ISNUMBER(SEARCH(TRIM(_xlpm.COMARCA),_xlfn.XLOOKUP(tabParametros[[#This Row],[CCT DA CATEGORIA]],tabSindicatos[SINDICATOS],_xlpm.MATRIZ_COMARCA),1)),VLOOKUP(tabParametros[[#This Row],[CCT DA CATEGORIA]],tabSindicatos[],8,0),0)
),0)
)</f>
        <v>57.07</v>
      </c>
      <c r="AE165" s="234">
        <f>IFERROR(VLOOKUP(tabParametros[[#This Row],[CCT DA CATEGORIA]],tabSindicatos[],9,0),0)</f>
        <v>0</v>
      </c>
      <c r="AF165" s="234">
        <f>IFERROR(VLOOKUP(tabParametros[[#This Row],[CCT DA CATEGORIA]],tabSindicatos[],10,0),0)</f>
        <v>0</v>
      </c>
      <c r="AG165" s="236">
        <f>VLOOKUP(tabParametros[[#Headers],[Seguro de Vida]],tabOutrosCustos[],3,0)</f>
        <v>3.36</v>
      </c>
      <c r="AH165" s="236">
        <f>IF(ISNUMBER(SEARCH("MOTORISTA",tabParametros[[#This Row],[Função]],1)),VLOOKUP("MOTORISTAS",tabDiarias[],2,0),IF(tabParametros[[#This Row],[Comarca]]="Belo Horizonte",VLOOKUP("LIMPEZA",tabDiarias[],2,0),0))</f>
        <v>0</v>
      </c>
      <c r="AI165" s="235">
        <f t="shared" si="24"/>
        <v>7.011766975308642E-3</v>
      </c>
      <c r="AJ165" s="237">
        <f>tabParametros[[#This Row],[FGTS]]*tabParametros[[#This Row],[Aviso Prévio Indenizado (API) e Reflexo do Aviso Prévio Indenizado]]</f>
        <v>5.609413580246914E-4</v>
      </c>
      <c r="AK165" s="237">
        <f>tabParametros[[#This Row],[FGTS]]*tabParametros[[#This Row],[Aviso Prévio Indenizado (API) e Reflexo do Aviso Prévio Indenizado]]*40%</f>
        <v>2.2437654320987658E-4</v>
      </c>
      <c r="AL165" s="235">
        <f t="shared" si="25"/>
        <v>3.5000000000000005E-3</v>
      </c>
      <c r="AM165" s="235">
        <f>tabParametros[[#This Row],[Aviso Prévio Trabalhado - APT]]*SUM(tabParametros[[#This Row],[INSS]:[SEBRAE]])</f>
        <v>1.3230000000000004E-3</v>
      </c>
      <c r="AN165" s="235">
        <f t="shared" si="26"/>
        <v>3.0577777777777773E-2</v>
      </c>
      <c r="AO165" s="235">
        <f t="shared" si="27"/>
        <v>8.3333333333333339E-4</v>
      </c>
      <c r="AP165" s="235">
        <f t="shared" si="28"/>
        <v>8.4444444444444437E-3</v>
      </c>
      <c r="AQ165" s="235">
        <f t="shared" si="29"/>
        <v>2.0277777777777777E-3</v>
      </c>
      <c r="AR165" s="235">
        <f t="shared" si="30"/>
        <v>1.7083333333333333E-4</v>
      </c>
      <c r="AS165" s="235">
        <f t="shared" si="31"/>
        <v>2.0833333333333335E-4</v>
      </c>
      <c r="AT165" s="235">
        <f t="shared" si="32"/>
        <v>1.2962962962962963E-3</v>
      </c>
      <c r="AU165" s="237">
        <f>SUM(tabParametros[[#This Row],[Ausência por Doença]:[Férias, Adicional de Férias e 13º  com empregada em gozo de Licença Maternidade]])*SUM(tabParametros[[#This Row],[INSS]:[SEBRAE]])</f>
        <v>4.5918250000000008E-3</v>
      </c>
      <c r="AV165" s="234">
        <f>IF(tabParametros[[#This Row],[Função]]="Porteiro - 220 h",SUM(tabParametros[[#This Row],[Salário Base]:[Adicional de Acúmulo de função]])/220*20*1.5,IF(ISNUMBER(SEARCH("12 x 36",tabParametros[[#This Row],[Função]],1)),SUM(tabParametros[[#This Row],[Salário Base]:[Adicional de Acúmulo de função]])/210*15.5*1.5,0))</f>
        <v>0</v>
      </c>
      <c r="AW165" s="234">
        <f>IF(tabParametros[[#This Row],[Vagas contratadas]]&gt;0,(SUM(tabParametros[[#This Row],[Salário Base]:[Adicional de Acúmulo de função]])*30%+SUM(tabParametros[[#This Row],[Vale - Alimentação]:[Seguro de Vida]]))/tabParametros[[#This Row],[Vagas contratadas]]*tabParametros[[#This Row],[Vagas suspensas]],0)</f>
        <v>0</v>
      </c>
      <c r="AX165" s="234">
        <f>SUMIF(tabUniformes[Cargo],tabParametros[[#This Row],[Função]],tabUniformes[Valor unit. Mensal])</f>
        <v>100.80916666666666</v>
      </c>
      <c r="AY165" s="281">
        <f>IF(ISNUMBER(SEARCH("AUXILIAR DE LIMPEZA - 75 H",tabParametros[[#This Row],[Função]],1)),
SUMIF(tabLimpGeral[TIPO],"Material",tabLimpGeral[VALOR UNITÁRIO P/ HORA (R$)])*75,
IF(ISNUMBER(SEARCH("AUXILIAR DE LIMPEZA - 110 H",tabParametros[[#This Row],[Função]],1)),
SUMIF(tabLimpGeral[TIPO],"Material",tabLimpGeral[VALOR UNITÁRIO P/ HORA (R$)])*110,
IF(ISNUMBER(SEARCH("AUXILIAR DE LIMPEZA - 150 H",tabParametros[[#This Row],[Função]],1)),
SUMIF(tabLimpGeral[TIPO],"Material",tabLimpGeral[VALOR UNITÁRIO P/ HORA (R$)])*150,
IF(ISNUMBER(SEARCH("AUXILIAR DE LIMPEZA - 220 H",tabParametros[[#This Row],[Função]],1)),
SUMIF(tabLimpGeral[TIPO],"Material",tabLimpGeral[VALOR UNITÁRIO P/ HORA (R$)])*220,
IF(ISNUMBER(SEARCH("AUXILIAR DE LIMPEZA - 12 x 36",tabParametros[[#This Row],[Função]],1)),
SUMIF(tabLimpGeral[TIPO],"Material",tabLimpGeral[VALOR UNITÁRIO P/ HORA (R$)])*220,
IF(ISNUMBER(SEARCH("Limpador de vidros - 220 h",tabParametros[[#This Row],[Função]],1)),
SUMIF(tabVidros[TIPO],"Material",tabVidros[VALOR UNITÁRIO P/ POSTO (R$)]),
0))))))</f>
        <v>35.518212958583888</v>
      </c>
      <c r="AZ165" s="281">
        <f>IF(ISNUMBER(SEARCH("AUXILIAR DE LIMPEZA - 75 H",tabParametros[[#This Row],[Função]],1)),
SUMIF(tabLimpGeral[TIPO],"Equipamento",tabLimpGeral[VALOR UNITÁRIO P/ HORA (R$)])*75,
IF(ISNUMBER(SEARCH("AUXILIAR DE LIMPEZA - 110 H",tabParametros[[#This Row],[Função]],1)),
SUMIF(tabLimpGeral[TIPO],"Equipamento",tabLimpGeral[VALOR UNITÁRIO P/ HORA (R$)])*110,
IF(ISNUMBER(SEARCH("AUXILIAR DE LIMPEZA - 150 H",tabParametros[[#This Row],[Função]],1)),
SUMIF(tabLimpGeral[TIPO],"Equipamento",tabLimpGeral[VALOR UNITÁRIO P/ HORA (R$)])*150,
IF(ISNUMBER(SEARCH("AUXILIAR DE LIMPEZA - 220 H",tabParametros[[#This Row],[Função]],1)),
SUMIF(tabLimpGeral[TIPO],"Equipamento",tabLimpGeral[VALOR UNITÁRIO P/ HORA (R$)])*220,
IF(ISNUMBER(SEARCH("AUXILIAR DE LIMPEZA - 12 x 36",tabParametros[[#This Row],[Função]],1)),
SUMIF(tabLimpGeral[TIPO],"Equipamento",tabLimpGeral[VALOR UNITÁRIO P/ HORA (R$)])*220,
IF(ISNUMBER(SEARCH("Limpador de vidros - 220 h",tabParametros[[#This Row],[Função]],1)),
SUMIF(tabVidros[TIPO],"Equipamento",tabVidros[VALOR UNITÁRIO P/ POSTO (R$)]),
0))))))</f>
        <v>64.529393914825576</v>
      </c>
      <c r="BA165" s="281">
        <f>IF(ISNUMBER(SEARCH("AUXILIAR DE LIMPEZA - 75 H",tabParametros[[#This Row],[Função]],1)),
SUMIF(tabLimpGeral[TIPO],"Produto",tabLimpGeral[VALOR UNITÁRIO P/ HORA (R$)])*75,
IF(ISNUMBER(SEARCH("AUXILIAR DE LIMPEZA - 110 H",tabParametros[[#This Row],[Função]],1)),
SUMIF(tabLimpGeral[TIPO],"Produto",tabLimpGeral[VALOR UNITÁRIO P/ HORA (R$)])*110,
IF(ISNUMBER(SEARCH("AUXILIAR DE LIMPEZA - 150 H",tabParametros[[#This Row],[Função]],1)),
SUMIF(tabLimpGeral[TIPO],"Produto",tabLimpGeral[VALOR UNITÁRIO P/ HORA (R$)])*150,
IF(ISNUMBER(SEARCH("AUXILIAR DE LIMPEZA - 220 H",tabParametros[[#This Row],[Função]],1)),
SUMIF(tabLimpGeral[TIPO],"Produto",tabLimpGeral[VALOR UNITÁRIO P/ HORA (R$)])*220,
IF(ISNUMBER(SEARCH("AUXILIAR DE LIMPEZA - 12 x 36",tabParametros[[#This Row],[Função]],1)),
SUMIF(tabLimpGeral[TIPO],"Produto",tabLimpGeral[VALOR UNITÁRIO P/ HORA (R$)])*220,
IF(ISNUMBER(SEARCH("Limpador de vidros - 220 h",tabParametros[[#This Row],[Função]],1)),
SUMIF(tabVidros[TIPO],"Produto",tabVidros[VALOR UNITÁRIO P/ POSTO (R$)]),
0))))))</f>
        <v>690.27153277931654</v>
      </c>
      <c r="BB165" s="281">
        <v>0</v>
      </c>
      <c r="BC165" s="236">
        <f>VLOOKUP(tabParametros[[#Headers],[Custos Indiretos]],tabOutrosCustos[],3,0)</f>
        <v>189.64880140242613</v>
      </c>
      <c r="BD165" s="236">
        <f>VLOOKUP(tabParametros[[#Headers],[Lucro]],tabOutrosCustos[],3,0)</f>
        <v>159.30499317803796</v>
      </c>
      <c r="BE165" s="235">
        <f>VLOOKUP(tabParametros[[#Headers],[COFINS]],tabImpostosNacionais[],2,0)</f>
        <v>7.5999999999999998E-2</v>
      </c>
      <c r="BF165" s="235">
        <f>VLOOKUP(tabParametros[[#Headers],[PIS]],tabImpostosNacionais[],2,0)</f>
        <v>1.6500000000000001E-2</v>
      </c>
      <c r="BG165" s="235">
        <f>VLOOKUP(tabParametros[[#This Row],[Comarca]],tabComarca[],4,0)</f>
        <v>0.03</v>
      </c>
      <c r="BH165" s="238">
        <f>IFERROR(VLOOKUP(tabParametros[[#This Row],[CCT DA CATEGORIA]],tabSindicatos[],11,0),"")</f>
        <v>45658</v>
      </c>
      <c r="BI165" s="289" t="str">
        <f>IFERROR(VLOOKUP(tabParametros[[#This Row],[CCT DA CATEGORIA]],tabSindicatos[],12,0),"")</f>
        <v>-</v>
      </c>
      <c r="BJ165" s="293" t="str">
        <f>IFERROR(VLOOKUP(tabParametros[[#This Row],[CCT DA CATEGORIA]],tabSindicatos[],13,0),"")</f>
        <v>-</v>
      </c>
    </row>
    <row r="166" spans="1:62" x14ac:dyDescent="0.25">
      <c r="A166" s="233" t="s">
        <v>1502</v>
      </c>
      <c r="B166" s="198" t="s">
        <v>150</v>
      </c>
      <c r="C166" s="198" t="s">
        <v>1247</v>
      </c>
      <c r="D166" s="198" t="str">
        <f>VLOOKUP(tabParametros[[#This Row],[Código do Posto]],tabPostos[],4,0)</f>
        <v>Fethemg Interior</v>
      </c>
      <c r="E166" s="289" t="str">
        <f>VLOOKUP(tabParametros[[#This Row],[Código do Posto]],tabPostos[],5,0)</f>
        <v>Limpeza</v>
      </c>
      <c r="F166" s="289" t="str">
        <f>VLOOKUP(tabParametros[[#This Row],[Código do Posto]],tabPostos[],6,0)</f>
        <v>PGJ</v>
      </c>
      <c r="G166" s="289">
        <f>VLOOKUP(tabParametros[[#This Row],[Código do Posto]],tabPostos[],7,0)</f>
        <v>1</v>
      </c>
      <c r="H166" s="289">
        <f>VLOOKUP(tabParametros[[#This Row],[Código do Posto]],tabPostos[],8,0)</f>
        <v>0</v>
      </c>
      <c r="I166" s="234">
        <f>VLOOKUP(tabParametros[[#This Row],[Código do Posto]],tabPostos[],9,0)</f>
        <v>544.17999999999995</v>
      </c>
      <c r="J166" s="234">
        <f>IF(ISNUMBER(SEARCH("Eletricista",tabParametros[[#This Row],[Função]],1)),0.3*tabParametros[[#This Row],[Salário Base]],0)</f>
        <v>0</v>
      </c>
      <c r="K166" s="234">
        <f>IF(OR(ISNUMBER(SEARCH("Bombeiro Hidraulico",tabParametros[[#This Row],[Função]],1)),ISNUMBER(SEARCH("Jardineiro",tabParametros[[#This Row],[Função]],1)),ISNUMBER(SEARCH("Lavador de Veiculos",tabParametros[[#This Row],[Função]],1)),ISNUMBER(SEARCH("Marceneiro",tabParametros[[#This Row],[Função]],1)),ISNUMBER(SEARCH("Pintor",tabParametros[[#This Row],[Função]],1))),0.2*'BASE GERAL'!$R$4,0)</f>
        <v>0</v>
      </c>
      <c r="L166" s="234">
        <f>IF(AND(ISNUMBER(SEARCH("Noturno",tabParametros[[#This Row],[Função]],1)),tabParametros[[#This Row],[Comarca]]&lt;&gt;"Juiz de Fora"),tabParametros[[#This Row],[Salário Base]]/210*0.39*7*15.5,IF(ISNUMBER(SEARCH("Noturno",tabParametros[[#This Row],[Função]],1)),tabParametros[[#This Row],[Salário Base]]/210*0.2*8*15.5,0))</f>
        <v>0</v>
      </c>
      <c r="M166" s="234">
        <f>IF(ISNUMBER(SEARCH("Motorista II",tabParametros[[#This Row],[Função]],1)),0.25*tabParametros[[#This Row],[Salário Base]],0)</f>
        <v>0</v>
      </c>
      <c r="N166" s="250">
        <v>0</v>
      </c>
      <c r="O166" s="234">
        <f>IF(ISNUMBER(SEARCH("TECNOLOGIA DA INFORMACAO",tabParametros[[#This Row],[Função]],1)),0.0201*tabParametros[[#This Row],[Salário Base]],0)</f>
        <v>0</v>
      </c>
      <c r="P166" s="250" cm="1">
        <f t="array" ref="P166">_xlfn.IFS(
ISNUMBER(SEARCH("Auxiliar de Limpeza - 75 h",tabParametros[[#This Row],[Função]],1)),tabParametros[[#This Row],[Salário Base]]/75*0.75*30*0.12,
ISNUMBER(SEARCH("Auxiliar de Limpeza - 110 h",tabParametros[[#This Row],[Função]],1)),tabParametros[[#This Row],[Salário Base]]/110*1*30*0.12,
ISNUMBER(SEARCH("Auxiliar de Limpeza - 150 h",tabParametros[[#This Row],[Função]],1)),tabParametros[[#This Row],[Salário Base]]/150*1.5*30*0.12,
ISNUMBER(SEARCH("Auxiliar de Limpeza - 220 h",tabParametros[[#This Row],[Função]],1)),tabParametros[[#This Row],[Salário Base]]/220*2*30*0.12,
ISNUMBER(SEARCH("Auxiliar de Limpeza - 12 x 36",tabParametros[[#This Row],[Função]],1)),tabParametros[[#This Row],[Salário Base]]/220*2*30*0.12,
ISNUMBER(SEARCH("Auxiliar de Limpeza - 55 h",tabParametros[[#This Row],[Função]],1))=FALSE,0)</f>
        <v>19.590479999999999</v>
      </c>
      <c r="Q166" s="235">
        <f>VLOOKUP(tabParametros[[#Headers],[INSS]],tabImpostosNacionais[],2,0)</f>
        <v>0.2</v>
      </c>
      <c r="R166" s="235">
        <f>VLOOKUP(tabParametros[[#Headers],[SESI OU SESC]],tabImpostosNacionais[],2,0)</f>
        <v>1.4999999999999999E-2</v>
      </c>
      <c r="S166" s="235">
        <f>VLOOKUP(tabParametros[[#Headers],[SENAI OU SENAC]],tabImpostosNacionais[],2,0)</f>
        <v>0.01</v>
      </c>
      <c r="T166" s="235">
        <f>VLOOKUP(tabParametros[[#Headers],[INCRA]],tabImpostosNacionais[],2,0)</f>
        <v>2E-3</v>
      </c>
      <c r="U166" s="235">
        <f>VLOOKUP(tabParametros[[#Headers],[Salário Educação]],tabImpostosNacionais[],2,0)</f>
        <v>2.5000000000000001E-2</v>
      </c>
      <c r="V166" s="235">
        <f>VLOOKUP(tabParametros[[#Headers],[FGTS]],tabImpostosNacionais[],2,0)</f>
        <v>0.08</v>
      </c>
      <c r="W166" s="235">
        <f>VLOOKUP(tabParametros[[#Headers],[RAT Ajustado]],tabImpostosNacionais[],2,0)</f>
        <v>0.04</v>
      </c>
      <c r="X166" s="235">
        <f>VLOOKUP(tabParametros[[#Headers],[SEBRAE]],tabImpostosNacionais[],2,0)</f>
        <v>6.0000000000000001E-3</v>
      </c>
      <c r="Y166" s="235">
        <f t="shared" si="22"/>
        <v>8.3333333333333329E-2</v>
      </c>
      <c r="Z166" s="251">
        <f t="shared" si="23"/>
        <v>0.1111111111111111</v>
      </c>
      <c r="AA166" s="234">
        <f>VLOOKUP(tabParametros[[#This Row],[Comarca]],tabComarca[],5,0)</f>
        <v>6.4</v>
      </c>
      <c r="AB166" s="234">
        <f>IFERROR(VLOOKUP(tabParametros[[#This Row],[CCT DA CATEGORIA]],tabSindicatos[],6,0),0)</f>
        <v>29.15</v>
      </c>
      <c r="AC166" s="234">
        <f>IFERROR(VLOOKUP(tabParametros[[#This Row],[CCT DA CATEGORIA]],tabSindicatos[],7,0),0)</f>
        <v>0</v>
      </c>
      <c r="AD166" s="234" cm="1">
        <f t="array" ref="AD166">_xlfn.LET(
_xlpm.COMARCA, TRIM(UPPER(SUBSTITUTE(SUBSTITUTE(SUBSTITUTE(SUBSTITUTE(SUBSTITUTE(SUBSTITUTE(SUBSTITUTE(SUBSTITUTE(SUBSTITUTE(SUBSTITUTE(SUBSTITUTE(SUBSTITUTE(SUBSTITUTE(SUBSTITUTE(SUBSTITUTE(SUBSTITUTE(SUBSTITUTE(SUBSTITUTE(SUBSTITUTE(SUBSTITUTE(SUBSTITUTE(SUBSTITUTE(SUBSTITUTE(SUBSTITUTE(SUBSTITUTE(SUBSTITUTE(tabParametros[[#This Row],[Comarca]],"á","a"),"ã","a"),"â","a"),"é","e"),"ê","e"),"í","i"),"ó","o"),"õ","o"),"ô","o"),"ú","u"),"ç","c"),"Á","a"),"Ã","a"),"Â","a"),"É","e"),"Ê","e"),"Í","i"),"Ó","o"),"Õ","o"),"Ô","o"),"Ú","u"),"Ç","c"),"/MG","")," e ",", ")," ",""),".",""))),
_xlpm.MATRIZ_COMARCA, TRIM(UPPER(SUBSTITUTE(SUBSTITUTE(SUBSTITUTE(SUBSTITUTE(SUBSTITUTE(SUBSTITUTE(SUBSTITUTE(SUBSTITUTE(SUBSTITUTE(SUBSTITUTE(SUBSTITUTE(SUBSTITUTE(SUBSTITUTE(SUBSTITUTE(SUBSTITUTE(SUBSTITUTE(SUBSTITUTE(SUBSTITUTE(SUBSTITUTE(SUBSTITUTE(SUBSTITUTE(SUBSTITUTE(SUBSTITUTE(SUBSTITUTE(SUBSTITUTE(SUBSTITUTE(tabSindicatos[COMARCAS PAF],"á","a"),"ã","a"),"â","a"),"é","e"),"ê","e"),"í","i"),"ó","o"),"õ","o"),"ô","o"),"ú","u"),"ç","c"),"Á","a"),"Ã","a"),"Â","a"),"É","e"),"Ê","e"),"Í","i"),"Ó","o"),"Õ","o"),"Ô","o"),"Ú","u"),"Ç","c"),"/MG","")," e ",", ")," ",""),".",""))),
IFERROR(IF(_xlfn.XLOOKUP(tabParametros[[#This Row],[CCT DA CATEGORIA]],tabSindicatos[SINDICATOS],tabSindicatos[COMARCAS PAF])="",
VLOOKUP(tabParametros[[#This Row],[CCT DA CATEGORIA]],tabSindicatos[],8,0),
IF(ISNUMBER(SEARCH(TRIM(_xlpm.COMARCA),_xlfn.XLOOKUP(tabParametros[[#This Row],[CCT DA CATEGORIA]],tabSindicatos[SINDICATOS],_xlpm.MATRIZ_COMARCA),1)),VLOOKUP(tabParametros[[#This Row],[CCT DA CATEGORIA]],tabSindicatos[],8,0),0)
),0)
)</f>
        <v>0</v>
      </c>
      <c r="AE166" s="234">
        <f>IFERROR(VLOOKUP(tabParametros[[#This Row],[CCT DA CATEGORIA]],tabSindicatos[],9,0),0)</f>
        <v>15.07</v>
      </c>
      <c r="AF166" s="234">
        <f>IFERROR(VLOOKUP(tabParametros[[#This Row],[CCT DA CATEGORIA]],tabSindicatos[],10,0),0)</f>
        <v>0</v>
      </c>
      <c r="AG166" s="236">
        <f>VLOOKUP(tabParametros[[#Headers],[Seguro de Vida]],tabOutrosCustos[],3,0)</f>
        <v>3.36</v>
      </c>
      <c r="AH166" s="236">
        <f>IF(ISNUMBER(SEARCH("MOTORISTA",tabParametros[[#This Row],[Função]],1)),VLOOKUP("MOTORISTAS",tabDiarias[],2,0),IF(tabParametros[[#This Row],[Comarca]]="Belo Horizonte",VLOOKUP("LIMPEZA",tabDiarias[],2,0),0))</f>
        <v>0</v>
      </c>
      <c r="AI166" s="235">
        <f t="shared" si="24"/>
        <v>7.011766975308642E-3</v>
      </c>
      <c r="AJ166" s="237">
        <f>tabParametros[[#This Row],[FGTS]]*tabParametros[[#This Row],[Aviso Prévio Indenizado (API) e Reflexo do Aviso Prévio Indenizado]]</f>
        <v>5.609413580246914E-4</v>
      </c>
      <c r="AK166" s="237">
        <f>tabParametros[[#This Row],[FGTS]]*tabParametros[[#This Row],[Aviso Prévio Indenizado (API) e Reflexo do Aviso Prévio Indenizado]]*40%</f>
        <v>2.2437654320987658E-4</v>
      </c>
      <c r="AL166" s="235">
        <f t="shared" si="25"/>
        <v>3.5000000000000005E-3</v>
      </c>
      <c r="AM166" s="235">
        <f>tabParametros[[#This Row],[Aviso Prévio Trabalhado - APT]]*SUM(tabParametros[[#This Row],[INSS]:[SEBRAE]])</f>
        <v>1.3230000000000004E-3</v>
      </c>
      <c r="AN166" s="235">
        <f t="shared" si="26"/>
        <v>3.0577777777777773E-2</v>
      </c>
      <c r="AO166" s="235">
        <f t="shared" si="27"/>
        <v>8.3333333333333339E-4</v>
      </c>
      <c r="AP166" s="235">
        <f t="shared" si="28"/>
        <v>8.4444444444444437E-3</v>
      </c>
      <c r="AQ166" s="235">
        <f t="shared" si="29"/>
        <v>2.0277777777777777E-3</v>
      </c>
      <c r="AR166" s="235">
        <f t="shared" si="30"/>
        <v>1.7083333333333333E-4</v>
      </c>
      <c r="AS166" s="235">
        <f t="shared" si="31"/>
        <v>2.0833333333333335E-4</v>
      </c>
      <c r="AT166" s="235">
        <f t="shared" si="32"/>
        <v>1.2962962962962963E-3</v>
      </c>
      <c r="AU166" s="237">
        <f>SUM(tabParametros[[#This Row],[Ausência por Doença]:[Férias, Adicional de Férias e 13º  com empregada em gozo de Licença Maternidade]])*SUM(tabParametros[[#This Row],[INSS]:[SEBRAE]])</f>
        <v>4.5918250000000008E-3</v>
      </c>
      <c r="AV166" s="234">
        <f>IF(tabParametros[[#This Row],[Função]]="Porteiro - 220 h",SUM(tabParametros[[#This Row],[Salário Base]:[Adicional de Acúmulo de função]])/220*20*1.5,IF(ISNUMBER(SEARCH("12 x 36",tabParametros[[#This Row],[Função]],1)),SUM(tabParametros[[#This Row],[Salário Base]:[Adicional de Acúmulo de função]])/210*15.5*1.5,0))</f>
        <v>0</v>
      </c>
      <c r="AW166" s="234">
        <f>IF(tabParametros[[#This Row],[Vagas contratadas]]&gt;0,(SUM(tabParametros[[#This Row],[Salário Base]:[Adicional de Acúmulo de função]])*30%+SUM(tabParametros[[#This Row],[Vale - Alimentação]:[Seguro de Vida]]))/tabParametros[[#This Row],[Vagas contratadas]]*tabParametros[[#This Row],[Vagas suspensas]],0)</f>
        <v>0</v>
      </c>
      <c r="AX166" s="234">
        <f>SUMIF(tabUniformes[Cargo],tabParametros[[#This Row],[Função]],tabUniformes[Valor unit. Mensal])</f>
        <v>62.806666666666665</v>
      </c>
      <c r="AY166" s="281">
        <f>IF(ISNUMBER(SEARCH("AUXILIAR DE LIMPEZA - 75 H",tabParametros[[#This Row],[Função]],1)),
SUMIF(tabLimpGeral[TIPO],"Material",tabLimpGeral[VALOR UNITÁRIO P/ HORA (R$)])*75,
IF(ISNUMBER(SEARCH("AUXILIAR DE LIMPEZA - 110 H",tabParametros[[#This Row],[Função]],1)),
SUMIF(tabLimpGeral[TIPO],"Material",tabLimpGeral[VALOR UNITÁRIO P/ HORA (R$)])*110,
IF(ISNUMBER(SEARCH("AUXILIAR DE LIMPEZA - 150 H",tabParametros[[#This Row],[Função]],1)),
SUMIF(tabLimpGeral[TIPO],"Material",tabLimpGeral[VALOR UNITÁRIO P/ HORA (R$)])*150,
IF(ISNUMBER(SEARCH("AUXILIAR DE LIMPEZA - 220 H",tabParametros[[#This Row],[Função]],1)),
SUMIF(tabLimpGeral[TIPO],"Material",tabLimpGeral[VALOR UNITÁRIO P/ HORA (R$)])*220,
IF(ISNUMBER(SEARCH("AUXILIAR DE LIMPEZA - 12 x 36",tabParametros[[#This Row],[Função]],1)),
SUMIF(tabLimpGeral[TIPO],"Material",tabLimpGeral[VALOR UNITÁRIO P/ HORA (R$)])*220,
IF(ISNUMBER(SEARCH("Limpador de vidros - 220 h",tabParametros[[#This Row],[Função]],1)),
SUMIF(tabVidros[TIPO],"Material",tabVidros[VALOR UNITÁRIO P/ POSTO (R$)]),
0))))))</f>
        <v>12.108481690426325</v>
      </c>
      <c r="AZ166" s="281">
        <f>IF(ISNUMBER(SEARCH("AUXILIAR DE LIMPEZA - 75 H",tabParametros[[#This Row],[Função]],1)),
SUMIF(tabLimpGeral[TIPO],"Equipamento",tabLimpGeral[VALOR UNITÁRIO P/ HORA (R$)])*75,
IF(ISNUMBER(SEARCH("AUXILIAR DE LIMPEZA - 110 H",tabParametros[[#This Row],[Função]],1)),
SUMIF(tabLimpGeral[TIPO],"Equipamento",tabLimpGeral[VALOR UNITÁRIO P/ HORA (R$)])*110,
IF(ISNUMBER(SEARCH("AUXILIAR DE LIMPEZA - 150 H",tabParametros[[#This Row],[Função]],1)),
SUMIF(tabLimpGeral[TIPO],"Equipamento",tabLimpGeral[VALOR UNITÁRIO P/ HORA (R$)])*150,
IF(ISNUMBER(SEARCH("AUXILIAR DE LIMPEZA - 220 H",tabParametros[[#This Row],[Função]],1)),
SUMIF(tabLimpGeral[TIPO],"Equipamento",tabLimpGeral[VALOR UNITÁRIO P/ HORA (R$)])*220,
IF(ISNUMBER(SEARCH("AUXILIAR DE LIMPEZA - 12 x 36",tabParametros[[#This Row],[Função]],1)),
SUMIF(tabLimpGeral[TIPO],"Equipamento",tabLimpGeral[VALOR UNITÁRIO P/ HORA (R$)])*220,
IF(ISNUMBER(SEARCH("Limpador de vidros - 220 h",tabParametros[[#This Row],[Função]],1)),
SUMIF(tabVidros[TIPO],"Equipamento",tabVidros[VALOR UNITÁRIO P/ POSTO (R$)]),
0))))))</f>
        <v>21.998657016417809</v>
      </c>
      <c r="BA166" s="281">
        <f>IF(ISNUMBER(SEARCH("AUXILIAR DE LIMPEZA - 75 H",tabParametros[[#This Row],[Função]],1)),
SUMIF(tabLimpGeral[TIPO],"Produto",tabLimpGeral[VALOR UNITÁRIO P/ HORA (R$)])*75,
IF(ISNUMBER(SEARCH("AUXILIAR DE LIMPEZA - 110 H",tabParametros[[#This Row],[Função]],1)),
SUMIF(tabLimpGeral[TIPO],"Produto",tabLimpGeral[VALOR UNITÁRIO P/ HORA (R$)])*110,
IF(ISNUMBER(SEARCH("AUXILIAR DE LIMPEZA - 150 H",tabParametros[[#This Row],[Função]],1)),
SUMIF(tabLimpGeral[TIPO],"Produto",tabLimpGeral[VALOR UNITÁRIO P/ HORA (R$)])*150,
IF(ISNUMBER(SEARCH("AUXILIAR DE LIMPEZA - 220 H",tabParametros[[#This Row],[Função]],1)),
SUMIF(tabLimpGeral[TIPO],"Produto",tabLimpGeral[VALOR UNITÁRIO P/ HORA (R$)])*220,
IF(ISNUMBER(SEARCH("AUXILIAR DE LIMPEZA - 12 x 36",tabParametros[[#This Row],[Função]],1)),
SUMIF(tabLimpGeral[TIPO],"Produto",tabLimpGeral[VALOR UNITÁRIO P/ HORA (R$)])*220,
IF(ISNUMBER(SEARCH("Limpador de vidros - 220 h",tabParametros[[#This Row],[Função]],1)),
SUMIF(tabVidros[TIPO],"Produto",tabVidros[VALOR UNITÁRIO P/ POSTO (R$)]),
0))))))</f>
        <v>235.31984072022155</v>
      </c>
      <c r="BB166" s="281">
        <v>0</v>
      </c>
      <c r="BC166" s="236">
        <f>VLOOKUP(tabParametros[[#Headers],[Custos Indiretos]],tabOutrosCustos[],3,0)</f>
        <v>189.64880140242613</v>
      </c>
      <c r="BD166" s="236">
        <f>VLOOKUP(tabParametros[[#Headers],[Lucro]],tabOutrosCustos[],3,0)</f>
        <v>159.30499317803796</v>
      </c>
      <c r="BE166" s="235">
        <f>VLOOKUP(tabParametros[[#Headers],[COFINS]],tabImpostosNacionais[],2,0)</f>
        <v>7.5999999999999998E-2</v>
      </c>
      <c r="BF166" s="235">
        <f>VLOOKUP(tabParametros[[#Headers],[PIS]],tabImpostosNacionais[],2,0)</f>
        <v>1.6500000000000001E-2</v>
      </c>
      <c r="BG166" s="235">
        <f>VLOOKUP(tabParametros[[#This Row],[Comarca]],tabComarca[],4,0)</f>
        <v>0.03</v>
      </c>
      <c r="BH166" s="238">
        <f>IFERROR(VLOOKUP(tabParametros[[#This Row],[CCT DA CATEGORIA]],tabSindicatos[],11,0),"")</f>
        <v>45658</v>
      </c>
      <c r="BI166" s="289" t="str">
        <f>IFERROR(VLOOKUP(tabParametros[[#This Row],[CCT DA CATEGORIA]],tabSindicatos[],12,0),"")</f>
        <v>-</v>
      </c>
      <c r="BJ166" s="293" t="str">
        <f>IFERROR(VLOOKUP(tabParametros[[#This Row],[CCT DA CATEGORIA]],tabSindicatos[],13,0),"")</f>
        <v>-</v>
      </c>
    </row>
    <row r="167" spans="1:62" x14ac:dyDescent="0.25">
      <c r="A167" s="233" t="s">
        <v>1503</v>
      </c>
      <c r="B167" s="198" t="s">
        <v>151</v>
      </c>
      <c r="C167" s="198" t="s">
        <v>1244</v>
      </c>
      <c r="D167" s="198" t="str">
        <f>VLOOKUP(tabParametros[[#This Row],[Código do Posto]],tabPostos[],4,0)</f>
        <v>Fethemg Interior</v>
      </c>
      <c r="E167" s="289" t="str">
        <f>VLOOKUP(tabParametros[[#This Row],[Código do Posto]],tabPostos[],5,0)</f>
        <v>Limpeza</v>
      </c>
      <c r="F167" s="289" t="str">
        <f>VLOOKUP(tabParametros[[#This Row],[Código do Posto]],tabPostos[],6,0)</f>
        <v>PGJ</v>
      </c>
      <c r="G167" s="289">
        <f>VLOOKUP(tabParametros[[#This Row],[Código do Posto]],tabPostos[],7,0)</f>
        <v>1</v>
      </c>
      <c r="H167" s="289">
        <f>VLOOKUP(tabParametros[[#This Row],[Código do Posto]],tabPostos[],8,0)</f>
        <v>0</v>
      </c>
      <c r="I167" s="234">
        <f>VLOOKUP(tabParametros[[#This Row],[Código do Posto]],tabPostos[],9,0)</f>
        <v>798.14</v>
      </c>
      <c r="J167" s="234">
        <f>IF(ISNUMBER(SEARCH("Eletricista",tabParametros[[#This Row],[Função]],1)),0.3*tabParametros[[#This Row],[Salário Base]],0)</f>
        <v>0</v>
      </c>
      <c r="K167" s="234">
        <f>IF(OR(ISNUMBER(SEARCH("Bombeiro Hidraulico",tabParametros[[#This Row],[Função]],1)),ISNUMBER(SEARCH("Jardineiro",tabParametros[[#This Row],[Função]],1)),ISNUMBER(SEARCH("Lavador de Veiculos",tabParametros[[#This Row],[Função]],1)),ISNUMBER(SEARCH("Marceneiro",tabParametros[[#This Row],[Função]],1)),ISNUMBER(SEARCH("Pintor",tabParametros[[#This Row],[Função]],1))),0.2*'BASE GERAL'!$R$4,0)</f>
        <v>0</v>
      </c>
      <c r="L167" s="234">
        <f>IF(AND(ISNUMBER(SEARCH("Noturno",tabParametros[[#This Row],[Função]],1)),tabParametros[[#This Row],[Comarca]]&lt;&gt;"Juiz de Fora"),tabParametros[[#This Row],[Salário Base]]/210*0.39*7*15.5,IF(ISNUMBER(SEARCH("Noturno",tabParametros[[#This Row],[Função]],1)),tabParametros[[#This Row],[Salário Base]]/210*0.2*8*15.5,0))</f>
        <v>0</v>
      </c>
      <c r="M167" s="234">
        <f>IF(ISNUMBER(SEARCH("Motorista II",tabParametros[[#This Row],[Função]],1)),0.25*tabParametros[[#This Row],[Salário Base]],0)</f>
        <v>0</v>
      </c>
      <c r="N167" s="250">
        <v>0</v>
      </c>
      <c r="O167" s="234">
        <f>IF(ISNUMBER(SEARCH("TECNOLOGIA DA INFORMACAO",tabParametros[[#This Row],[Função]],1)),0.0201*tabParametros[[#This Row],[Salário Base]],0)</f>
        <v>0</v>
      </c>
      <c r="P167" s="250" cm="1">
        <f t="array" ref="P167">_xlfn.IFS(
ISNUMBER(SEARCH("Auxiliar de Limpeza - 75 h",tabParametros[[#This Row],[Função]],1)),tabParametros[[#This Row],[Salário Base]]/75*0.75*30*0.12,
ISNUMBER(SEARCH("Auxiliar de Limpeza - 110 h",tabParametros[[#This Row],[Função]],1)),tabParametros[[#This Row],[Salário Base]]/110*1*30*0.12,
ISNUMBER(SEARCH("Auxiliar de Limpeza - 150 h",tabParametros[[#This Row],[Função]],1)),tabParametros[[#This Row],[Salário Base]]/150*1.5*30*0.12,
ISNUMBER(SEARCH("Auxiliar de Limpeza - 220 h",tabParametros[[#This Row],[Função]],1)),tabParametros[[#This Row],[Salário Base]]/220*2*30*0.12,
ISNUMBER(SEARCH("Auxiliar de Limpeza - 12 x 36",tabParametros[[#This Row],[Função]],1)),tabParametros[[#This Row],[Salário Base]]/220*2*30*0.12,
ISNUMBER(SEARCH("Auxiliar de Limpeza - 55 h",tabParametros[[#This Row],[Função]],1))=FALSE,0)</f>
        <v>26.120945454545453</v>
      </c>
      <c r="Q167" s="235">
        <f>VLOOKUP(tabParametros[[#Headers],[INSS]],tabImpostosNacionais[],2,0)</f>
        <v>0.2</v>
      </c>
      <c r="R167" s="235">
        <f>VLOOKUP(tabParametros[[#Headers],[SESI OU SESC]],tabImpostosNacionais[],2,0)</f>
        <v>1.4999999999999999E-2</v>
      </c>
      <c r="S167" s="235">
        <f>VLOOKUP(tabParametros[[#Headers],[SENAI OU SENAC]],tabImpostosNacionais[],2,0)</f>
        <v>0.01</v>
      </c>
      <c r="T167" s="235">
        <f>VLOOKUP(tabParametros[[#Headers],[INCRA]],tabImpostosNacionais[],2,0)</f>
        <v>2E-3</v>
      </c>
      <c r="U167" s="235">
        <f>VLOOKUP(tabParametros[[#Headers],[Salário Educação]],tabImpostosNacionais[],2,0)</f>
        <v>2.5000000000000001E-2</v>
      </c>
      <c r="V167" s="235">
        <f>VLOOKUP(tabParametros[[#Headers],[FGTS]],tabImpostosNacionais[],2,0)</f>
        <v>0.08</v>
      </c>
      <c r="W167" s="235">
        <f>VLOOKUP(tabParametros[[#Headers],[RAT Ajustado]],tabImpostosNacionais[],2,0)</f>
        <v>0.04</v>
      </c>
      <c r="X167" s="235">
        <f>VLOOKUP(tabParametros[[#Headers],[SEBRAE]],tabImpostosNacionais[],2,0)</f>
        <v>6.0000000000000001E-3</v>
      </c>
      <c r="Y167" s="235">
        <f t="shared" si="22"/>
        <v>8.3333333333333329E-2</v>
      </c>
      <c r="Z167" s="251">
        <f t="shared" si="23"/>
        <v>0.1111111111111111</v>
      </c>
      <c r="AA167" s="234">
        <f>VLOOKUP(tabParametros[[#This Row],[Comarca]],tabComarca[],5,0)</f>
        <v>6.4</v>
      </c>
      <c r="AB167" s="234">
        <f>IFERROR(VLOOKUP(tabParametros[[#This Row],[CCT DA CATEGORIA]],tabSindicatos[],6,0),0)</f>
        <v>29.15</v>
      </c>
      <c r="AC167" s="234">
        <f>IFERROR(VLOOKUP(tabParametros[[#This Row],[CCT DA CATEGORIA]],tabSindicatos[],7,0),0)</f>
        <v>0</v>
      </c>
      <c r="AD167" s="234" cm="1">
        <f t="array" ref="AD167">_xlfn.LET(
_xlpm.COMARCA, TRIM(UPPER(SUBSTITUTE(SUBSTITUTE(SUBSTITUTE(SUBSTITUTE(SUBSTITUTE(SUBSTITUTE(SUBSTITUTE(SUBSTITUTE(SUBSTITUTE(SUBSTITUTE(SUBSTITUTE(SUBSTITUTE(SUBSTITUTE(SUBSTITUTE(SUBSTITUTE(SUBSTITUTE(SUBSTITUTE(SUBSTITUTE(SUBSTITUTE(SUBSTITUTE(SUBSTITUTE(SUBSTITUTE(SUBSTITUTE(SUBSTITUTE(SUBSTITUTE(SUBSTITUTE(tabParametros[[#This Row],[Comarca]],"á","a"),"ã","a"),"â","a"),"é","e"),"ê","e"),"í","i"),"ó","o"),"õ","o"),"ô","o"),"ú","u"),"ç","c"),"Á","a"),"Ã","a"),"Â","a"),"É","e"),"Ê","e"),"Í","i"),"Ó","o"),"Õ","o"),"Ô","o"),"Ú","u"),"Ç","c"),"/MG","")," e ",", ")," ",""),".",""))),
_xlpm.MATRIZ_COMARCA, TRIM(UPPER(SUBSTITUTE(SUBSTITUTE(SUBSTITUTE(SUBSTITUTE(SUBSTITUTE(SUBSTITUTE(SUBSTITUTE(SUBSTITUTE(SUBSTITUTE(SUBSTITUTE(SUBSTITUTE(SUBSTITUTE(SUBSTITUTE(SUBSTITUTE(SUBSTITUTE(SUBSTITUTE(SUBSTITUTE(SUBSTITUTE(SUBSTITUTE(SUBSTITUTE(SUBSTITUTE(SUBSTITUTE(SUBSTITUTE(SUBSTITUTE(SUBSTITUTE(SUBSTITUTE(tabSindicatos[COMARCAS PAF],"á","a"),"ã","a"),"â","a"),"é","e"),"ê","e"),"í","i"),"ó","o"),"õ","o"),"ô","o"),"ú","u"),"ç","c"),"Á","a"),"Ã","a"),"Â","a"),"É","e"),"Ê","e"),"Í","i"),"Ó","o"),"Õ","o"),"Ô","o"),"Ú","u"),"Ç","c"),"/MG","")," e ",", ")," ",""),".",""))),
IFERROR(IF(_xlfn.XLOOKUP(tabParametros[[#This Row],[CCT DA CATEGORIA]],tabSindicatos[SINDICATOS],tabSindicatos[COMARCAS PAF])="",
VLOOKUP(tabParametros[[#This Row],[CCT DA CATEGORIA]],tabSindicatos[],8,0),
IF(ISNUMBER(SEARCH(TRIM(_xlpm.COMARCA),_xlfn.XLOOKUP(tabParametros[[#This Row],[CCT DA CATEGORIA]],tabSindicatos[SINDICATOS],_xlpm.MATRIZ_COMARCA),1)),VLOOKUP(tabParametros[[#This Row],[CCT DA CATEGORIA]],tabSindicatos[],8,0),0)
),0)
)</f>
        <v>0</v>
      </c>
      <c r="AE167" s="234">
        <f>IFERROR(VLOOKUP(tabParametros[[#This Row],[CCT DA CATEGORIA]],tabSindicatos[],9,0),0)</f>
        <v>15.07</v>
      </c>
      <c r="AF167" s="234">
        <f>IFERROR(VLOOKUP(tabParametros[[#This Row],[CCT DA CATEGORIA]],tabSindicatos[],10,0),0)</f>
        <v>0</v>
      </c>
      <c r="AG167" s="236">
        <f>VLOOKUP(tabParametros[[#Headers],[Seguro de Vida]],tabOutrosCustos[],3,0)</f>
        <v>3.36</v>
      </c>
      <c r="AH167" s="236">
        <f>IF(ISNUMBER(SEARCH("MOTORISTA",tabParametros[[#This Row],[Função]],1)),VLOOKUP("MOTORISTAS",tabDiarias[],2,0),IF(tabParametros[[#This Row],[Comarca]]="Belo Horizonte",VLOOKUP("LIMPEZA",tabDiarias[],2,0),0))</f>
        <v>0</v>
      </c>
      <c r="AI167" s="235">
        <f t="shared" si="24"/>
        <v>7.011766975308642E-3</v>
      </c>
      <c r="AJ167" s="237">
        <f>tabParametros[[#This Row],[FGTS]]*tabParametros[[#This Row],[Aviso Prévio Indenizado (API) e Reflexo do Aviso Prévio Indenizado]]</f>
        <v>5.609413580246914E-4</v>
      </c>
      <c r="AK167" s="237">
        <f>tabParametros[[#This Row],[FGTS]]*tabParametros[[#This Row],[Aviso Prévio Indenizado (API) e Reflexo do Aviso Prévio Indenizado]]*40%</f>
        <v>2.2437654320987658E-4</v>
      </c>
      <c r="AL167" s="235">
        <f t="shared" si="25"/>
        <v>3.5000000000000005E-3</v>
      </c>
      <c r="AM167" s="235">
        <f>tabParametros[[#This Row],[Aviso Prévio Trabalhado - APT]]*SUM(tabParametros[[#This Row],[INSS]:[SEBRAE]])</f>
        <v>1.3230000000000004E-3</v>
      </c>
      <c r="AN167" s="235">
        <f t="shared" si="26"/>
        <v>3.0577777777777773E-2</v>
      </c>
      <c r="AO167" s="235">
        <f t="shared" si="27"/>
        <v>8.3333333333333339E-4</v>
      </c>
      <c r="AP167" s="235">
        <f t="shared" si="28"/>
        <v>8.4444444444444437E-3</v>
      </c>
      <c r="AQ167" s="235">
        <f t="shared" si="29"/>
        <v>2.0277777777777777E-3</v>
      </c>
      <c r="AR167" s="235">
        <f t="shared" si="30"/>
        <v>1.7083333333333333E-4</v>
      </c>
      <c r="AS167" s="235">
        <f t="shared" si="31"/>
        <v>2.0833333333333335E-4</v>
      </c>
      <c r="AT167" s="235">
        <f t="shared" si="32"/>
        <v>1.2962962962962963E-3</v>
      </c>
      <c r="AU167" s="237">
        <f>SUM(tabParametros[[#This Row],[Ausência por Doença]:[Férias, Adicional de Férias e 13º  com empregada em gozo de Licença Maternidade]])*SUM(tabParametros[[#This Row],[INSS]:[SEBRAE]])</f>
        <v>4.5918250000000008E-3</v>
      </c>
      <c r="AV167" s="234">
        <f>IF(tabParametros[[#This Row],[Função]]="Porteiro - 220 h",SUM(tabParametros[[#This Row],[Salário Base]:[Adicional de Acúmulo de função]])/220*20*1.5,IF(ISNUMBER(SEARCH("12 x 36",tabParametros[[#This Row],[Função]],1)),SUM(tabParametros[[#This Row],[Salário Base]:[Adicional de Acúmulo de função]])/210*15.5*1.5,0))</f>
        <v>0</v>
      </c>
      <c r="AW167" s="234">
        <f>IF(tabParametros[[#This Row],[Vagas contratadas]]&gt;0,(SUM(tabParametros[[#This Row],[Salário Base]:[Adicional de Acúmulo de função]])*30%+SUM(tabParametros[[#This Row],[Vale - Alimentação]:[Seguro de Vida]]))/tabParametros[[#This Row],[Vagas contratadas]]*tabParametros[[#This Row],[Vagas suspensas]],0)</f>
        <v>0</v>
      </c>
      <c r="AX167" s="234">
        <f>SUMIF(tabUniformes[Cargo],tabParametros[[#This Row],[Função]],tabUniformes[Valor unit. Mensal])</f>
        <v>62.806666666666665</v>
      </c>
      <c r="AY167" s="281">
        <f>IF(ISNUMBER(SEARCH("AUXILIAR DE LIMPEZA - 75 H",tabParametros[[#This Row],[Função]],1)),
SUMIF(tabLimpGeral[TIPO],"Material",tabLimpGeral[VALOR UNITÁRIO P/ HORA (R$)])*75,
IF(ISNUMBER(SEARCH("AUXILIAR DE LIMPEZA - 110 H",tabParametros[[#This Row],[Função]],1)),
SUMIF(tabLimpGeral[TIPO],"Material",tabLimpGeral[VALOR UNITÁRIO P/ HORA (R$)])*110,
IF(ISNUMBER(SEARCH("AUXILIAR DE LIMPEZA - 150 H",tabParametros[[#This Row],[Função]],1)),
SUMIF(tabLimpGeral[TIPO],"Material",tabLimpGeral[VALOR UNITÁRIO P/ HORA (R$)])*150,
IF(ISNUMBER(SEARCH("AUXILIAR DE LIMPEZA - 220 H",tabParametros[[#This Row],[Função]],1)),
SUMIF(tabLimpGeral[TIPO],"Material",tabLimpGeral[VALOR UNITÁRIO P/ HORA (R$)])*220,
IF(ISNUMBER(SEARCH("AUXILIAR DE LIMPEZA - 12 x 36",tabParametros[[#This Row],[Função]],1)),
SUMIF(tabLimpGeral[TIPO],"Material",tabLimpGeral[VALOR UNITÁRIO P/ HORA (R$)])*220,
IF(ISNUMBER(SEARCH("Limpador de vidros - 220 h",tabParametros[[#This Row],[Função]],1)),
SUMIF(tabVidros[TIPO],"Material",tabVidros[VALOR UNITÁRIO P/ POSTO (R$)]),
0))))))</f>
        <v>17.759106479291944</v>
      </c>
      <c r="AZ167" s="281">
        <f>IF(ISNUMBER(SEARCH("AUXILIAR DE LIMPEZA - 75 H",tabParametros[[#This Row],[Função]],1)),
SUMIF(tabLimpGeral[TIPO],"Equipamento",tabLimpGeral[VALOR UNITÁRIO P/ HORA (R$)])*75,
IF(ISNUMBER(SEARCH("AUXILIAR DE LIMPEZA - 110 H",tabParametros[[#This Row],[Função]],1)),
SUMIF(tabLimpGeral[TIPO],"Equipamento",tabLimpGeral[VALOR UNITÁRIO P/ HORA (R$)])*110,
IF(ISNUMBER(SEARCH("AUXILIAR DE LIMPEZA - 150 H",tabParametros[[#This Row],[Função]],1)),
SUMIF(tabLimpGeral[TIPO],"Equipamento",tabLimpGeral[VALOR UNITÁRIO P/ HORA (R$)])*150,
IF(ISNUMBER(SEARCH("AUXILIAR DE LIMPEZA - 220 H",tabParametros[[#This Row],[Função]],1)),
SUMIF(tabLimpGeral[TIPO],"Equipamento",tabLimpGeral[VALOR UNITÁRIO P/ HORA (R$)])*220,
IF(ISNUMBER(SEARCH("AUXILIAR DE LIMPEZA - 12 x 36",tabParametros[[#This Row],[Função]],1)),
SUMIF(tabLimpGeral[TIPO],"Equipamento",tabLimpGeral[VALOR UNITÁRIO P/ HORA (R$)])*220,
IF(ISNUMBER(SEARCH("Limpador de vidros - 220 h",tabParametros[[#This Row],[Função]],1)),
SUMIF(tabVidros[TIPO],"Equipamento",tabVidros[VALOR UNITÁRIO P/ POSTO (R$)]),
0))))))</f>
        <v>32.264696957412788</v>
      </c>
      <c r="BA167" s="281">
        <f>IF(ISNUMBER(SEARCH("AUXILIAR DE LIMPEZA - 75 H",tabParametros[[#This Row],[Função]],1)),
SUMIF(tabLimpGeral[TIPO],"Produto",tabLimpGeral[VALOR UNITÁRIO P/ HORA (R$)])*75,
IF(ISNUMBER(SEARCH("AUXILIAR DE LIMPEZA - 110 H",tabParametros[[#This Row],[Função]],1)),
SUMIF(tabLimpGeral[TIPO],"Produto",tabLimpGeral[VALOR UNITÁRIO P/ HORA (R$)])*110,
IF(ISNUMBER(SEARCH("AUXILIAR DE LIMPEZA - 150 H",tabParametros[[#This Row],[Função]],1)),
SUMIF(tabLimpGeral[TIPO],"Produto",tabLimpGeral[VALOR UNITÁRIO P/ HORA (R$)])*150,
IF(ISNUMBER(SEARCH("AUXILIAR DE LIMPEZA - 220 H",tabParametros[[#This Row],[Função]],1)),
SUMIF(tabLimpGeral[TIPO],"Produto",tabLimpGeral[VALOR UNITÁRIO P/ HORA (R$)])*220,
IF(ISNUMBER(SEARCH("AUXILIAR DE LIMPEZA - 12 x 36",tabParametros[[#This Row],[Função]],1)),
SUMIF(tabLimpGeral[TIPO],"Produto",tabLimpGeral[VALOR UNITÁRIO P/ HORA (R$)])*220,
IF(ISNUMBER(SEARCH("Limpador de vidros - 220 h",tabParametros[[#This Row],[Função]],1)),
SUMIF(tabVidros[TIPO],"Produto",tabVidros[VALOR UNITÁRIO P/ POSTO (R$)]),
0))))))</f>
        <v>345.13576638965827</v>
      </c>
      <c r="BB167" s="281">
        <v>0</v>
      </c>
      <c r="BC167" s="236">
        <f>VLOOKUP(tabParametros[[#Headers],[Custos Indiretos]],tabOutrosCustos[],3,0)</f>
        <v>189.64880140242613</v>
      </c>
      <c r="BD167" s="236">
        <f>VLOOKUP(tabParametros[[#Headers],[Lucro]],tabOutrosCustos[],3,0)</f>
        <v>159.30499317803796</v>
      </c>
      <c r="BE167" s="235">
        <f>VLOOKUP(tabParametros[[#Headers],[COFINS]],tabImpostosNacionais[],2,0)</f>
        <v>7.5999999999999998E-2</v>
      </c>
      <c r="BF167" s="235">
        <f>VLOOKUP(tabParametros[[#Headers],[PIS]],tabImpostosNacionais[],2,0)</f>
        <v>1.6500000000000001E-2</v>
      </c>
      <c r="BG167" s="235">
        <f>VLOOKUP(tabParametros[[#This Row],[Comarca]],tabComarca[],4,0)</f>
        <v>0.03</v>
      </c>
      <c r="BH167" s="238">
        <f>IFERROR(VLOOKUP(tabParametros[[#This Row],[CCT DA CATEGORIA]],tabSindicatos[],11,0),"")</f>
        <v>45658</v>
      </c>
      <c r="BI167" s="289" t="str">
        <f>IFERROR(VLOOKUP(tabParametros[[#This Row],[CCT DA CATEGORIA]],tabSindicatos[],12,0),"")</f>
        <v>-</v>
      </c>
      <c r="BJ167" s="293" t="str">
        <f>IFERROR(VLOOKUP(tabParametros[[#This Row],[CCT DA CATEGORIA]],tabSindicatos[],13,0),"")</f>
        <v>-</v>
      </c>
    </row>
    <row r="168" spans="1:62" x14ac:dyDescent="0.25">
      <c r="A168" s="233" t="s">
        <v>1504</v>
      </c>
      <c r="B168" s="198" t="s">
        <v>152</v>
      </c>
      <c r="C168" s="198" t="s">
        <v>1244</v>
      </c>
      <c r="D168" s="198" t="str">
        <f>VLOOKUP(tabParametros[[#This Row],[Código do Posto]],tabPostos[],4,0)</f>
        <v>Regiao de Teofilo Otoni</v>
      </c>
      <c r="E168" s="289" t="str">
        <f>VLOOKUP(tabParametros[[#This Row],[Código do Posto]],tabPostos[],5,0)</f>
        <v>Limpeza</v>
      </c>
      <c r="F168" s="289" t="str">
        <f>VLOOKUP(tabParametros[[#This Row],[Código do Posto]],tabPostos[],6,0)</f>
        <v>PGJ</v>
      </c>
      <c r="G168" s="289">
        <f>VLOOKUP(tabParametros[[#This Row],[Código do Posto]],tabPostos[],7,0)</f>
        <v>1</v>
      </c>
      <c r="H168" s="289">
        <f>VLOOKUP(tabParametros[[#This Row],[Código do Posto]],tabPostos[],8,0)</f>
        <v>0</v>
      </c>
      <c r="I168" s="234">
        <f>VLOOKUP(tabParametros[[#This Row],[Código do Posto]],tabPostos[],9,0)</f>
        <v>798.14</v>
      </c>
      <c r="J168" s="234">
        <f>IF(ISNUMBER(SEARCH("Eletricista",tabParametros[[#This Row],[Função]],1)),0.3*tabParametros[[#This Row],[Salário Base]],0)</f>
        <v>0</v>
      </c>
      <c r="K168" s="234">
        <f>IF(OR(ISNUMBER(SEARCH("Bombeiro Hidraulico",tabParametros[[#This Row],[Função]],1)),ISNUMBER(SEARCH("Jardineiro",tabParametros[[#This Row],[Função]],1)),ISNUMBER(SEARCH("Lavador de Veiculos",tabParametros[[#This Row],[Função]],1)),ISNUMBER(SEARCH("Marceneiro",tabParametros[[#This Row],[Função]],1)),ISNUMBER(SEARCH("Pintor",tabParametros[[#This Row],[Função]],1))),0.2*'BASE GERAL'!$R$4,0)</f>
        <v>0</v>
      </c>
      <c r="L168" s="234">
        <f>IF(AND(ISNUMBER(SEARCH("Noturno",tabParametros[[#This Row],[Função]],1)),tabParametros[[#This Row],[Comarca]]&lt;&gt;"Juiz de Fora"),tabParametros[[#This Row],[Salário Base]]/210*0.39*7*15.5,IF(ISNUMBER(SEARCH("Noturno",tabParametros[[#This Row],[Função]],1)),tabParametros[[#This Row],[Salário Base]]/210*0.2*8*15.5,0))</f>
        <v>0</v>
      </c>
      <c r="M168" s="234">
        <f>IF(ISNUMBER(SEARCH("Motorista II",tabParametros[[#This Row],[Função]],1)),0.25*tabParametros[[#This Row],[Salário Base]],0)</f>
        <v>0</v>
      </c>
      <c r="N168" s="250">
        <v>0</v>
      </c>
      <c r="O168" s="234">
        <f>IF(ISNUMBER(SEARCH("TECNOLOGIA DA INFORMACAO",tabParametros[[#This Row],[Função]],1)),0.0201*tabParametros[[#This Row],[Salário Base]],0)</f>
        <v>0</v>
      </c>
      <c r="P168" s="250" cm="1">
        <f t="array" ref="P168">_xlfn.IFS(
ISNUMBER(SEARCH("Auxiliar de Limpeza - 75 h",tabParametros[[#This Row],[Função]],1)),tabParametros[[#This Row],[Salário Base]]/75*0.75*30*0.12,
ISNUMBER(SEARCH("Auxiliar de Limpeza - 110 h",tabParametros[[#This Row],[Função]],1)),tabParametros[[#This Row],[Salário Base]]/110*1*30*0.12,
ISNUMBER(SEARCH("Auxiliar de Limpeza - 150 h",tabParametros[[#This Row],[Função]],1)),tabParametros[[#This Row],[Salário Base]]/150*1.5*30*0.12,
ISNUMBER(SEARCH("Auxiliar de Limpeza - 220 h",tabParametros[[#This Row],[Função]],1)),tabParametros[[#This Row],[Salário Base]]/220*2*30*0.12,
ISNUMBER(SEARCH("Auxiliar de Limpeza - 12 x 36",tabParametros[[#This Row],[Função]],1)),tabParametros[[#This Row],[Salário Base]]/220*2*30*0.12,
ISNUMBER(SEARCH("Auxiliar de Limpeza - 55 h",tabParametros[[#This Row],[Função]],1))=FALSE,0)</f>
        <v>26.120945454545453</v>
      </c>
      <c r="Q168" s="235">
        <f>VLOOKUP(tabParametros[[#Headers],[INSS]],tabImpostosNacionais[],2,0)</f>
        <v>0.2</v>
      </c>
      <c r="R168" s="235">
        <f>VLOOKUP(tabParametros[[#Headers],[SESI OU SESC]],tabImpostosNacionais[],2,0)</f>
        <v>1.4999999999999999E-2</v>
      </c>
      <c r="S168" s="235">
        <f>VLOOKUP(tabParametros[[#Headers],[SENAI OU SENAC]],tabImpostosNacionais[],2,0)</f>
        <v>0.01</v>
      </c>
      <c r="T168" s="235">
        <f>VLOOKUP(tabParametros[[#Headers],[INCRA]],tabImpostosNacionais[],2,0)</f>
        <v>2E-3</v>
      </c>
      <c r="U168" s="235">
        <f>VLOOKUP(tabParametros[[#Headers],[Salário Educação]],tabImpostosNacionais[],2,0)</f>
        <v>2.5000000000000001E-2</v>
      </c>
      <c r="V168" s="235">
        <f>VLOOKUP(tabParametros[[#Headers],[FGTS]],tabImpostosNacionais[],2,0)</f>
        <v>0.08</v>
      </c>
      <c r="W168" s="235">
        <f>VLOOKUP(tabParametros[[#Headers],[RAT Ajustado]],tabImpostosNacionais[],2,0)</f>
        <v>0.04</v>
      </c>
      <c r="X168" s="235">
        <f>VLOOKUP(tabParametros[[#Headers],[SEBRAE]],tabImpostosNacionais[],2,0)</f>
        <v>6.0000000000000001E-3</v>
      </c>
      <c r="Y168" s="235">
        <f t="shared" si="22"/>
        <v>8.3333333333333329E-2</v>
      </c>
      <c r="Z168" s="251">
        <f t="shared" si="23"/>
        <v>0.1111111111111111</v>
      </c>
      <c r="AA168" s="234">
        <f>VLOOKUP(tabParametros[[#This Row],[Comarca]],tabComarca[],5,0)</f>
        <v>6.4</v>
      </c>
      <c r="AB168" s="234">
        <f>IFERROR(VLOOKUP(tabParametros[[#This Row],[CCT DA CATEGORIA]],tabSindicatos[],6,0),0)</f>
        <v>29.15</v>
      </c>
      <c r="AC168" s="234">
        <f>IFERROR(VLOOKUP(tabParametros[[#This Row],[CCT DA CATEGORIA]],tabSindicatos[],7,0),0)</f>
        <v>0</v>
      </c>
      <c r="AD168" s="234" cm="1">
        <f t="array" ref="AD168">_xlfn.LET(
_xlpm.COMARCA, TRIM(UPPER(SUBSTITUTE(SUBSTITUTE(SUBSTITUTE(SUBSTITUTE(SUBSTITUTE(SUBSTITUTE(SUBSTITUTE(SUBSTITUTE(SUBSTITUTE(SUBSTITUTE(SUBSTITUTE(SUBSTITUTE(SUBSTITUTE(SUBSTITUTE(SUBSTITUTE(SUBSTITUTE(SUBSTITUTE(SUBSTITUTE(SUBSTITUTE(SUBSTITUTE(SUBSTITUTE(SUBSTITUTE(SUBSTITUTE(SUBSTITUTE(SUBSTITUTE(SUBSTITUTE(tabParametros[[#This Row],[Comarca]],"á","a"),"ã","a"),"â","a"),"é","e"),"ê","e"),"í","i"),"ó","o"),"õ","o"),"ô","o"),"ú","u"),"ç","c"),"Á","a"),"Ã","a"),"Â","a"),"É","e"),"Ê","e"),"Í","i"),"Ó","o"),"Õ","o"),"Ô","o"),"Ú","u"),"Ç","c"),"/MG","")," e ",", ")," ",""),".",""))),
_xlpm.MATRIZ_COMARCA, TRIM(UPPER(SUBSTITUTE(SUBSTITUTE(SUBSTITUTE(SUBSTITUTE(SUBSTITUTE(SUBSTITUTE(SUBSTITUTE(SUBSTITUTE(SUBSTITUTE(SUBSTITUTE(SUBSTITUTE(SUBSTITUTE(SUBSTITUTE(SUBSTITUTE(SUBSTITUTE(SUBSTITUTE(SUBSTITUTE(SUBSTITUTE(SUBSTITUTE(SUBSTITUTE(SUBSTITUTE(SUBSTITUTE(SUBSTITUTE(SUBSTITUTE(SUBSTITUTE(SUBSTITUTE(tabSindicatos[COMARCAS PAF],"á","a"),"ã","a"),"â","a"),"é","e"),"ê","e"),"í","i"),"ó","o"),"õ","o"),"ô","o"),"ú","u"),"ç","c"),"Á","a"),"Ã","a"),"Â","a"),"É","e"),"Ê","e"),"Í","i"),"Ó","o"),"Õ","o"),"Ô","o"),"Ú","u"),"Ç","c"),"/MG","")," e ",", ")," ",""),".",""))),
IFERROR(IF(_xlfn.XLOOKUP(tabParametros[[#This Row],[CCT DA CATEGORIA]],tabSindicatos[SINDICATOS],tabSindicatos[COMARCAS PAF])="",
VLOOKUP(tabParametros[[#This Row],[CCT DA CATEGORIA]],tabSindicatos[],8,0),
IF(ISNUMBER(SEARCH(TRIM(_xlpm.COMARCA),_xlfn.XLOOKUP(tabParametros[[#This Row],[CCT DA CATEGORIA]],tabSindicatos[SINDICATOS],_xlpm.MATRIZ_COMARCA),1)),VLOOKUP(tabParametros[[#This Row],[CCT DA CATEGORIA]],tabSindicatos[],8,0),0)
),0)
)</f>
        <v>0</v>
      </c>
      <c r="AE168" s="234">
        <f>IFERROR(VLOOKUP(tabParametros[[#This Row],[CCT DA CATEGORIA]],tabSindicatos[],9,0),0)</f>
        <v>15.07</v>
      </c>
      <c r="AF168" s="234">
        <f>IFERROR(VLOOKUP(tabParametros[[#This Row],[CCT DA CATEGORIA]],tabSindicatos[],10,0),0)</f>
        <v>0</v>
      </c>
      <c r="AG168" s="236">
        <f>VLOOKUP(tabParametros[[#Headers],[Seguro de Vida]],tabOutrosCustos[],3,0)</f>
        <v>3.36</v>
      </c>
      <c r="AH168" s="236">
        <f>IF(ISNUMBER(SEARCH("MOTORISTA",tabParametros[[#This Row],[Função]],1)),VLOOKUP("MOTORISTAS",tabDiarias[],2,0),IF(tabParametros[[#This Row],[Comarca]]="Belo Horizonte",VLOOKUP("LIMPEZA",tabDiarias[],2,0),0))</f>
        <v>0</v>
      </c>
      <c r="AI168" s="235">
        <f t="shared" si="24"/>
        <v>7.011766975308642E-3</v>
      </c>
      <c r="AJ168" s="237">
        <f>tabParametros[[#This Row],[FGTS]]*tabParametros[[#This Row],[Aviso Prévio Indenizado (API) e Reflexo do Aviso Prévio Indenizado]]</f>
        <v>5.609413580246914E-4</v>
      </c>
      <c r="AK168" s="237">
        <f>tabParametros[[#This Row],[FGTS]]*tabParametros[[#This Row],[Aviso Prévio Indenizado (API) e Reflexo do Aviso Prévio Indenizado]]*40%</f>
        <v>2.2437654320987658E-4</v>
      </c>
      <c r="AL168" s="235">
        <f t="shared" si="25"/>
        <v>3.5000000000000005E-3</v>
      </c>
      <c r="AM168" s="235">
        <f>tabParametros[[#This Row],[Aviso Prévio Trabalhado - APT]]*SUM(tabParametros[[#This Row],[INSS]:[SEBRAE]])</f>
        <v>1.3230000000000004E-3</v>
      </c>
      <c r="AN168" s="235">
        <f t="shared" si="26"/>
        <v>3.0577777777777773E-2</v>
      </c>
      <c r="AO168" s="235">
        <f t="shared" si="27"/>
        <v>8.3333333333333339E-4</v>
      </c>
      <c r="AP168" s="235">
        <f t="shared" si="28"/>
        <v>8.4444444444444437E-3</v>
      </c>
      <c r="AQ168" s="235">
        <f t="shared" si="29"/>
        <v>2.0277777777777777E-3</v>
      </c>
      <c r="AR168" s="235">
        <f t="shared" si="30"/>
        <v>1.7083333333333333E-4</v>
      </c>
      <c r="AS168" s="235">
        <f t="shared" si="31"/>
        <v>2.0833333333333335E-4</v>
      </c>
      <c r="AT168" s="235">
        <f t="shared" si="32"/>
        <v>1.2962962962962963E-3</v>
      </c>
      <c r="AU168" s="237">
        <f>SUM(tabParametros[[#This Row],[Ausência por Doença]:[Férias, Adicional de Férias e 13º  com empregada em gozo de Licença Maternidade]])*SUM(tabParametros[[#This Row],[INSS]:[SEBRAE]])</f>
        <v>4.5918250000000008E-3</v>
      </c>
      <c r="AV168" s="234">
        <f>IF(tabParametros[[#This Row],[Função]]="Porteiro - 220 h",SUM(tabParametros[[#This Row],[Salário Base]:[Adicional de Acúmulo de função]])/220*20*1.5,IF(ISNUMBER(SEARCH("12 x 36",tabParametros[[#This Row],[Função]],1)),SUM(tabParametros[[#This Row],[Salário Base]:[Adicional de Acúmulo de função]])/210*15.5*1.5,0))</f>
        <v>0</v>
      </c>
      <c r="AW168" s="234">
        <f>IF(tabParametros[[#This Row],[Vagas contratadas]]&gt;0,(SUM(tabParametros[[#This Row],[Salário Base]:[Adicional de Acúmulo de função]])*30%+SUM(tabParametros[[#This Row],[Vale - Alimentação]:[Seguro de Vida]]))/tabParametros[[#This Row],[Vagas contratadas]]*tabParametros[[#This Row],[Vagas suspensas]],0)</f>
        <v>0</v>
      </c>
      <c r="AX168" s="234">
        <f>SUMIF(tabUniformes[Cargo],tabParametros[[#This Row],[Função]],tabUniformes[Valor unit. Mensal])</f>
        <v>62.806666666666665</v>
      </c>
      <c r="AY168" s="281">
        <f>IF(ISNUMBER(SEARCH("AUXILIAR DE LIMPEZA - 75 H",tabParametros[[#This Row],[Função]],1)),
SUMIF(tabLimpGeral[TIPO],"Material",tabLimpGeral[VALOR UNITÁRIO P/ HORA (R$)])*75,
IF(ISNUMBER(SEARCH("AUXILIAR DE LIMPEZA - 110 H",tabParametros[[#This Row],[Função]],1)),
SUMIF(tabLimpGeral[TIPO],"Material",tabLimpGeral[VALOR UNITÁRIO P/ HORA (R$)])*110,
IF(ISNUMBER(SEARCH("AUXILIAR DE LIMPEZA - 150 H",tabParametros[[#This Row],[Função]],1)),
SUMIF(tabLimpGeral[TIPO],"Material",tabLimpGeral[VALOR UNITÁRIO P/ HORA (R$)])*150,
IF(ISNUMBER(SEARCH("AUXILIAR DE LIMPEZA - 220 H",tabParametros[[#This Row],[Função]],1)),
SUMIF(tabLimpGeral[TIPO],"Material",tabLimpGeral[VALOR UNITÁRIO P/ HORA (R$)])*220,
IF(ISNUMBER(SEARCH("AUXILIAR DE LIMPEZA - 12 x 36",tabParametros[[#This Row],[Função]],1)),
SUMIF(tabLimpGeral[TIPO],"Material",tabLimpGeral[VALOR UNITÁRIO P/ HORA (R$)])*220,
IF(ISNUMBER(SEARCH("Limpador de vidros - 220 h",tabParametros[[#This Row],[Função]],1)),
SUMIF(tabVidros[TIPO],"Material",tabVidros[VALOR UNITÁRIO P/ POSTO (R$)]),
0))))))</f>
        <v>17.759106479291944</v>
      </c>
      <c r="AZ168" s="281">
        <f>IF(ISNUMBER(SEARCH("AUXILIAR DE LIMPEZA - 75 H",tabParametros[[#This Row],[Função]],1)),
SUMIF(tabLimpGeral[TIPO],"Equipamento",tabLimpGeral[VALOR UNITÁRIO P/ HORA (R$)])*75,
IF(ISNUMBER(SEARCH("AUXILIAR DE LIMPEZA - 110 H",tabParametros[[#This Row],[Função]],1)),
SUMIF(tabLimpGeral[TIPO],"Equipamento",tabLimpGeral[VALOR UNITÁRIO P/ HORA (R$)])*110,
IF(ISNUMBER(SEARCH("AUXILIAR DE LIMPEZA - 150 H",tabParametros[[#This Row],[Função]],1)),
SUMIF(tabLimpGeral[TIPO],"Equipamento",tabLimpGeral[VALOR UNITÁRIO P/ HORA (R$)])*150,
IF(ISNUMBER(SEARCH("AUXILIAR DE LIMPEZA - 220 H",tabParametros[[#This Row],[Função]],1)),
SUMIF(tabLimpGeral[TIPO],"Equipamento",tabLimpGeral[VALOR UNITÁRIO P/ HORA (R$)])*220,
IF(ISNUMBER(SEARCH("AUXILIAR DE LIMPEZA - 12 x 36",tabParametros[[#This Row],[Função]],1)),
SUMIF(tabLimpGeral[TIPO],"Equipamento",tabLimpGeral[VALOR UNITÁRIO P/ HORA (R$)])*220,
IF(ISNUMBER(SEARCH("Limpador de vidros - 220 h",tabParametros[[#This Row],[Função]],1)),
SUMIF(tabVidros[TIPO],"Equipamento",tabVidros[VALOR UNITÁRIO P/ POSTO (R$)]),
0))))))</f>
        <v>32.264696957412788</v>
      </c>
      <c r="BA168" s="281">
        <f>IF(ISNUMBER(SEARCH("AUXILIAR DE LIMPEZA - 75 H",tabParametros[[#This Row],[Função]],1)),
SUMIF(tabLimpGeral[TIPO],"Produto",tabLimpGeral[VALOR UNITÁRIO P/ HORA (R$)])*75,
IF(ISNUMBER(SEARCH("AUXILIAR DE LIMPEZA - 110 H",tabParametros[[#This Row],[Função]],1)),
SUMIF(tabLimpGeral[TIPO],"Produto",tabLimpGeral[VALOR UNITÁRIO P/ HORA (R$)])*110,
IF(ISNUMBER(SEARCH("AUXILIAR DE LIMPEZA - 150 H",tabParametros[[#This Row],[Função]],1)),
SUMIF(tabLimpGeral[TIPO],"Produto",tabLimpGeral[VALOR UNITÁRIO P/ HORA (R$)])*150,
IF(ISNUMBER(SEARCH("AUXILIAR DE LIMPEZA - 220 H",tabParametros[[#This Row],[Função]],1)),
SUMIF(tabLimpGeral[TIPO],"Produto",tabLimpGeral[VALOR UNITÁRIO P/ HORA (R$)])*220,
IF(ISNUMBER(SEARCH("AUXILIAR DE LIMPEZA - 12 x 36",tabParametros[[#This Row],[Função]],1)),
SUMIF(tabLimpGeral[TIPO],"Produto",tabLimpGeral[VALOR UNITÁRIO P/ HORA (R$)])*220,
IF(ISNUMBER(SEARCH("Limpador de vidros - 220 h",tabParametros[[#This Row],[Função]],1)),
SUMIF(tabVidros[TIPO],"Produto",tabVidros[VALOR UNITÁRIO P/ POSTO (R$)]),
0))))))</f>
        <v>345.13576638965827</v>
      </c>
      <c r="BB168" s="281">
        <v>0</v>
      </c>
      <c r="BC168" s="236">
        <f>VLOOKUP(tabParametros[[#Headers],[Custos Indiretos]],tabOutrosCustos[],3,0)</f>
        <v>189.64880140242613</v>
      </c>
      <c r="BD168" s="236">
        <f>VLOOKUP(tabParametros[[#Headers],[Lucro]],tabOutrosCustos[],3,0)</f>
        <v>159.30499317803796</v>
      </c>
      <c r="BE168" s="235">
        <f>VLOOKUP(tabParametros[[#Headers],[COFINS]],tabImpostosNacionais[],2,0)</f>
        <v>7.5999999999999998E-2</v>
      </c>
      <c r="BF168" s="235">
        <f>VLOOKUP(tabParametros[[#Headers],[PIS]],tabImpostosNacionais[],2,0)</f>
        <v>1.6500000000000001E-2</v>
      </c>
      <c r="BG168" s="235">
        <f>VLOOKUP(tabParametros[[#This Row],[Comarca]],tabComarca[],4,0)</f>
        <v>0.03</v>
      </c>
      <c r="BH168" s="238">
        <f>IFERROR(VLOOKUP(tabParametros[[#This Row],[CCT DA CATEGORIA]],tabSindicatos[],11,0),"")</f>
        <v>45658</v>
      </c>
      <c r="BI168" s="289" t="str">
        <f>IFERROR(VLOOKUP(tabParametros[[#This Row],[CCT DA CATEGORIA]],tabSindicatos[],12,0),"")</f>
        <v>-</v>
      </c>
      <c r="BJ168" s="293" t="str">
        <f>IFERROR(VLOOKUP(tabParametros[[#This Row],[CCT DA CATEGORIA]],tabSindicatos[],13,0),"")</f>
        <v>-</v>
      </c>
    </row>
    <row r="169" spans="1:62" x14ac:dyDescent="0.25">
      <c r="A169" s="233" t="s">
        <v>1505</v>
      </c>
      <c r="B169" s="198" t="s">
        <v>153</v>
      </c>
      <c r="C169" s="198" t="s">
        <v>1247</v>
      </c>
      <c r="D169" s="198" t="str">
        <f>VLOOKUP(tabParametros[[#This Row],[Código do Posto]],tabPostos[],4,0)</f>
        <v>Regiao de Sao Lourenco</v>
      </c>
      <c r="E169" s="289" t="str">
        <f>VLOOKUP(tabParametros[[#This Row],[Código do Posto]],tabPostos[],5,0)</f>
        <v>Limpeza</v>
      </c>
      <c r="F169" s="289" t="str">
        <f>VLOOKUP(tabParametros[[#This Row],[Código do Posto]],tabPostos[],6,0)</f>
        <v>PGJ</v>
      </c>
      <c r="G169" s="289">
        <f>VLOOKUP(tabParametros[[#This Row],[Código do Posto]],tabPostos[],7,0)</f>
        <v>1</v>
      </c>
      <c r="H169" s="289">
        <f>VLOOKUP(tabParametros[[#This Row],[Código do Posto]],tabPostos[],8,0)</f>
        <v>0</v>
      </c>
      <c r="I169" s="234">
        <f>VLOOKUP(tabParametros[[#This Row],[Código do Posto]],tabPostos[],9,0)</f>
        <v>544.17999999999995</v>
      </c>
      <c r="J169" s="234">
        <f>IF(ISNUMBER(SEARCH("Eletricista",tabParametros[[#This Row],[Função]],1)),0.3*tabParametros[[#This Row],[Salário Base]],0)</f>
        <v>0</v>
      </c>
      <c r="K169" s="234">
        <f>IF(OR(ISNUMBER(SEARCH("Bombeiro Hidraulico",tabParametros[[#This Row],[Função]],1)),ISNUMBER(SEARCH("Jardineiro",tabParametros[[#This Row],[Função]],1)),ISNUMBER(SEARCH("Lavador de Veiculos",tabParametros[[#This Row],[Função]],1)),ISNUMBER(SEARCH("Marceneiro",tabParametros[[#This Row],[Função]],1)),ISNUMBER(SEARCH("Pintor",tabParametros[[#This Row],[Função]],1))),0.2*'BASE GERAL'!$R$4,0)</f>
        <v>0</v>
      </c>
      <c r="L169" s="234">
        <f>IF(AND(ISNUMBER(SEARCH("Noturno",tabParametros[[#This Row],[Função]],1)),tabParametros[[#This Row],[Comarca]]&lt;&gt;"Juiz de Fora"),tabParametros[[#This Row],[Salário Base]]/210*0.39*7*15.5,IF(ISNUMBER(SEARCH("Noturno",tabParametros[[#This Row],[Função]],1)),tabParametros[[#This Row],[Salário Base]]/210*0.2*8*15.5,0))</f>
        <v>0</v>
      </c>
      <c r="M169" s="234">
        <f>IF(ISNUMBER(SEARCH("Motorista II",tabParametros[[#This Row],[Função]],1)),0.25*tabParametros[[#This Row],[Salário Base]],0)</f>
        <v>0</v>
      </c>
      <c r="N169" s="250">
        <v>0</v>
      </c>
      <c r="O169" s="234">
        <f>IF(ISNUMBER(SEARCH("TECNOLOGIA DA INFORMACAO",tabParametros[[#This Row],[Função]],1)),0.0201*tabParametros[[#This Row],[Salário Base]],0)</f>
        <v>0</v>
      </c>
      <c r="P169" s="250" cm="1">
        <f t="array" ref="P169">_xlfn.IFS(
ISNUMBER(SEARCH("Auxiliar de Limpeza - 75 h",tabParametros[[#This Row],[Função]],1)),tabParametros[[#This Row],[Salário Base]]/75*0.75*30*0.12,
ISNUMBER(SEARCH("Auxiliar de Limpeza - 110 h",tabParametros[[#This Row],[Função]],1)),tabParametros[[#This Row],[Salário Base]]/110*1*30*0.12,
ISNUMBER(SEARCH("Auxiliar de Limpeza - 150 h",tabParametros[[#This Row],[Função]],1)),tabParametros[[#This Row],[Salário Base]]/150*1.5*30*0.12,
ISNUMBER(SEARCH("Auxiliar de Limpeza - 220 h",tabParametros[[#This Row],[Função]],1)),tabParametros[[#This Row],[Salário Base]]/220*2*30*0.12,
ISNUMBER(SEARCH("Auxiliar de Limpeza - 12 x 36",tabParametros[[#This Row],[Função]],1)),tabParametros[[#This Row],[Salário Base]]/220*2*30*0.12,
ISNUMBER(SEARCH("Auxiliar de Limpeza - 55 h",tabParametros[[#This Row],[Função]],1))=FALSE,0)</f>
        <v>19.590479999999999</v>
      </c>
      <c r="Q169" s="235">
        <f>VLOOKUP(tabParametros[[#Headers],[INSS]],tabImpostosNacionais[],2,0)</f>
        <v>0.2</v>
      </c>
      <c r="R169" s="235">
        <f>VLOOKUP(tabParametros[[#Headers],[SESI OU SESC]],tabImpostosNacionais[],2,0)</f>
        <v>1.4999999999999999E-2</v>
      </c>
      <c r="S169" s="235">
        <f>VLOOKUP(tabParametros[[#Headers],[SENAI OU SENAC]],tabImpostosNacionais[],2,0)</f>
        <v>0.01</v>
      </c>
      <c r="T169" s="235">
        <f>VLOOKUP(tabParametros[[#Headers],[INCRA]],tabImpostosNacionais[],2,0)</f>
        <v>2E-3</v>
      </c>
      <c r="U169" s="235">
        <f>VLOOKUP(tabParametros[[#Headers],[Salário Educação]],tabImpostosNacionais[],2,0)</f>
        <v>2.5000000000000001E-2</v>
      </c>
      <c r="V169" s="235">
        <f>VLOOKUP(tabParametros[[#Headers],[FGTS]],tabImpostosNacionais[],2,0)</f>
        <v>0.08</v>
      </c>
      <c r="W169" s="235">
        <f>VLOOKUP(tabParametros[[#Headers],[RAT Ajustado]],tabImpostosNacionais[],2,0)</f>
        <v>0.04</v>
      </c>
      <c r="X169" s="235">
        <f>VLOOKUP(tabParametros[[#Headers],[SEBRAE]],tabImpostosNacionais[],2,0)</f>
        <v>6.0000000000000001E-3</v>
      </c>
      <c r="Y169" s="235">
        <f t="shared" si="22"/>
        <v>8.3333333333333329E-2</v>
      </c>
      <c r="Z169" s="251">
        <f t="shared" si="23"/>
        <v>0.1111111111111111</v>
      </c>
      <c r="AA169" s="234">
        <f>VLOOKUP(tabParametros[[#This Row],[Comarca]],tabComarca[],5,0)</f>
        <v>6.4</v>
      </c>
      <c r="AB169" s="234">
        <f>IFERROR(VLOOKUP(tabParametros[[#This Row],[CCT DA CATEGORIA]],tabSindicatos[],6,0),0)</f>
        <v>29.15</v>
      </c>
      <c r="AC169" s="234">
        <f>IFERROR(VLOOKUP(tabParametros[[#This Row],[CCT DA CATEGORIA]],tabSindicatos[],7,0),0)</f>
        <v>0</v>
      </c>
      <c r="AD169" s="234" cm="1">
        <f t="array" ref="AD169">_xlfn.LET(
_xlpm.COMARCA, TRIM(UPPER(SUBSTITUTE(SUBSTITUTE(SUBSTITUTE(SUBSTITUTE(SUBSTITUTE(SUBSTITUTE(SUBSTITUTE(SUBSTITUTE(SUBSTITUTE(SUBSTITUTE(SUBSTITUTE(SUBSTITUTE(SUBSTITUTE(SUBSTITUTE(SUBSTITUTE(SUBSTITUTE(SUBSTITUTE(SUBSTITUTE(SUBSTITUTE(SUBSTITUTE(SUBSTITUTE(SUBSTITUTE(SUBSTITUTE(SUBSTITUTE(SUBSTITUTE(SUBSTITUTE(tabParametros[[#This Row],[Comarca]],"á","a"),"ã","a"),"â","a"),"é","e"),"ê","e"),"í","i"),"ó","o"),"õ","o"),"ô","o"),"ú","u"),"ç","c"),"Á","a"),"Ã","a"),"Â","a"),"É","e"),"Ê","e"),"Í","i"),"Ó","o"),"Õ","o"),"Ô","o"),"Ú","u"),"Ç","c"),"/MG","")," e ",", ")," ",""),".",""))),
_xlpm.MATRIZ_COMARCA, TRIM(UPPER(SUBSTITUTE(SUBSTITUTE(SUBSTITUTE(SUBSTITUTE(SUBSTITUTE(SUBSTITUTE(SUBSTITUTE(SUBSTITUTE(SUBSTITUTE(SUBSTITUTE(SUBSTITUTE(SUBSTITUTE(SUBSTITUTE(SUBSTITUTE(SUBSTITUTE(SUBSTITUTE(SUBSTITUTE(SUBSTITUTE(SUBSTITUTE(SUBSTITUTE(SUBSTITUTE(SUBSTITUTE(SUBSTITUTE(SUBSTITUTE(SUBSTITUTE(SUBSTITUTE(tabSindicatos[COMARCAS PAF],"á","a"),"ã","a"),"â","a"),"é","e"),"ê","e"),"í","i"),"ó","o"),"õ","o"),"ô","o"),"ú","u"),"ç","c"),"Á","a"),"Ã","a"),"Â","a"),"É","e"),"Ê","e"),"Í","i"),"Ó","o"),"Õ","o"),"Ô","o"),"Ú","u"),"Ç","c"),"/MG","")," e ",", ")," ",""),".",""))),
IFERROR(IF(_xlfn.XLOOKUP(tabParametros[[#This Row],[CCT DA CATEGORIA]],tabSindicatos[SINDICATOS],tabSindicatos[COMARCAS PAF])="",
VLOOKUP(tabParametros[[#This Row],[CCT DA CATEGORIA]],tabSindicatos[],8,0),
IF(ISNUMBER(SEARCH(TRIM(_xlpm.COMARCA),_xlfn.XLOOKUP(tabParametros[[#This Row],[CCT DA CATEGORIA]],tabSindicatos[SINDICATOS],_xlpm.MATRIZ_COMARCA),1)),VLOOKUP(tabParametros[[#This Row],[CCT DA CATEGORIA]],tabSindicatos[],8,0),0)
),0)
)</f>
        <v>0</v>
      </c>
      <c r="AE169" s="234">
        <f>IFERROR(VLOOKUP(tabParametros[[#This Row],[CCT DA CATEGORIA]],tabSindicatos[],9,0),0)</f>
        <v>0</v>
      </c>
      <c r="AF169" s="234">
        <f>IFERROR(VLOOKUP(tabParametros[[#This Row],[CCT DA CATEGORIA]],tabSindicatos[],10,0),0)</f>
        <v>0</v>
      </c>
      <c r="AG169" s="236">
        <f>VLOOKUP(tabParametros[[#Headers],[Seguro de Vida]],tabOutrosCustos[],3,0)</f>
        <v>3.36</v>
      </c>
      <c r="AH169" s="236">
        <f>IF(ISNUMBER(SEARCH("MOTORISTA",tabParametros[[#This Row],[Função]],1)),VLOOKUP("MOTORISTAS",tabDiarias[],2,0),IF(tabParametros[[#This Row],[Comarca]]="Belo Horizonte",VLOOKUP("LIMPEZA",tabDiarias[],2,0),0))</f>
        <v>0</v>
      </c>
      <c r="AI169" s="235">
        <f t="shared" si="24"/>
        <v>7.011766975308642E-3</v>
      </c>
      <c r="AJ169" s="237">
        <f>tabParametros[[#This Row],[FGTS]]*tabParametros[[#This Row],[Aviso Prévio Indenizado (API) e Reflexo do Aviso Prévio Indenizado]]</f>
        <v>5.609413580246914E-4</v>
      </c>
      <c r="AK169" s="237">
        <f>tabParametros[[#This Row],[FGTS]]*tabParametros[[#This Row],[Aviso Prévio Indenizado (API) e Reflexo do Aviso Prévio Indenizado]]*40%</f>
        <v>2.2437654320987658E-4</v>
      </c>
      <c r="AL169" s="235">
        <f t="shared" si="25"/>
        <v>3.5000000000000005E-3</v>
      </c>
      <c r="AM169" s="235">
        <f>tabParametros[[#This Row],[Aviso Prévio Trabalhado - APT]]*SUM(tabParametros[[#This Row],[INSS]:[SEBRAE]])</f>
        <v>1.3230000000000004E-3</v>
      </c>
      <c r="AN169" s="235">
        <f t="shared" si="26"/>
        <v>3.0577777777777773E-2</v>
      </c>
      <c r="AO169" s="235">
        <f t="shared" si="27"/>
        <v>8.3333333333333339E-4</v>
      </c>
      <c r="AP169" s="235">
        <f t="shared" si="28"/>
        <v>8.4444444444444437E-3</v>
      </c>
      <c r="AQ169" s="235">
        <f t="shared" si="29"/>
        <v>2.0277777777777777E-3</v>
      </c>
      <c r="AR169" s="235">
        <f t="shared" si="30"/>
        <v>1.7083333333333333E-4</v>
      </c>
      <c r="AS169" s="235">
        <f t="shared" si="31"/>
        <v>2.0833333333333335E-4</v>
      </c>
      <c r="AT169" s="235">
        <f t="shared" si="32"/>
        <v>1.2962962962962963E-3</v>
      </c>
      <c r="AU169" s="237">
        <f>SUM(tabParametros[[#This Row],[Ausência por Doença]:[Férias, Adicional de Férias e 13º  com empregada em gozo de Licença Maternidade]])*SUM(tabParametros[[#This Row],[INSS]:[SEBRAE]])</f>
        <v>4.5918250000000008E-3</v>
      </c>
      <c r="AV169" s="234">
        <f>IF(tabParametros[[#This Row],[Função]]="Porteiro - 220 h",SUM(tabParametros[[#This Row],[Salário Base]:[Adicional de Acúmulo de função]])/220*20*1.5,IF(ISNUMBER(SEARCH("12 x 36",tabParametros[[#This Row],[Função]],1)),SUM(tabParametros[[#This Row],[Salário Base]:[Adicional de Acúmulo de função]])/210*15.5*1.5,0))</f>
        <v>0</v>
      </c>
      <c r="AW169" s="234">
        <f>IF(tabParametros[[#This Row],[Vagas contratadas]]&gt;0,(SUM(tabParametros[[#This Row],[Salário Base]:[Adicional de Acúmulo de função]])*30%+SUM(tabParametros[[#This Row],[Vale - Alimentação]:[Seguro de Vida]]))/tabParametros[[#This Row],[Vagas contratadas]]*tabParametros[[#This Row],[Vagas suspensas]],0)</f>
        <v>0</v>
      </c>
      <c r="AX169" s="234">
        <f>SUMIF(tabUniformes[Cargo],tabParametros[[#This Row],[Função]],tabUniformes[Valor unit. Mensal])</f>
        <v>62.806666666666665</v>
      </c>
      <c r="AY169" s="281">
        <f>IF(ISNUMBER(SEARCH("AUXILIAR DE LIMPEZA - 75 H",tabParametros[[#This Row],[Função]],1)),
SUMIF(tabLimpGeral[TIPO],"Material",tabLimpGeral[VALOR UNITÁRIO P/ HORA (R$)])*75,
IF(ISNUMBER(SEARCH("AUXILIAR DE LIMPEZA - 110 H",tabParametros[[#This Row],[Função]],1)),
SUMIF(tabLimpGeral[TIPO],"Material",tabLimpGeral[VALOR UNITÁRIO P/ HORA (R$)])*110,
IF(ISNUMBER(SEARCH("AUXILIAR DE LIMPEZA - 150 H",tabParametros[[#This Row],[Função]],1)),
SUMIF(tabLimpGeral[TIPO],"Material",tabLimpGeral[VALOR UNITÁRIO P/ HORA (R$)])*150,
IF(ISNUMBER(SEARCH("AUXILIAR DE LIMPEZA - 220 H",tabParametros[[#This Row],[Função]],1)),
SUMIF(tabLimpGeral[TIPO],"Material",tabLimpGeral[VALOR UNITÁRIO P/ HORA (R$)])*220,
IF(ISNUMBER(SEARCH("AUXILIAR DE LIMPEZA - 12 x 36",tabParametros[[#This Row],[Função]],1)),
SUMIF(tabLimpGeral[TIPO],"Material",tabLimpGeral[VALOR UNITÁRIO P/ HORA (R$)])*220,
IF(ISNUMBER(SEARCH("Limpador de vidros - 220 h",tabParametros[[#This Row],[Função]],1)),
SUMIF(tabVidros[TIPO],"Material",tabVidros[VALOR UNITÁRIO P/ POSTO (R$)]),
0))))))</f>
        <v>12.108481690426325</v>
      </c>
      <c r="AZ169" s="281">
        <f>IF(ISNUMBER(SEARCH("AUXILIAR DE LIMPEZA - 75 H",tabParametros[[#This Row],[Função]],1)),
SUMIF(tabLimpGeral[TIPO],"Equipamento",tabLimpGeral[VALOR UNITÁRIO P/ HORA (R$)])*75,
IF(ISNUMBER(SEARCH("AUXILIAR DE LIMPEZA - 110 H",tabParametros[[#This Row],[Função]],1)),
SUMIF(tabLimpGeral[TIPO],"Equipamento",tabLimpGeral[VALOR UNITÁRIO P/ HORA (R$)])*110,
IF(ISNUMBER(SEARCH("AUXILIAR DE LIMPEZA - 150 H",tabParametros[[#This Row],[Função]],1)),
SUMIF(tabLimpGeral[TIPO],"Equipamento",tabLimpGeral[VALOR UNITÁRIO P/ HORA (R$)])*150,
IF(ISNUMBER(SEARCH("AUXILIAR DE LIMPEZA - 220 H",tabParametros[[#This Row],[Função]],1)),
SUMIF(tabLimpGeral[TIPO],"Equipamento",tabLimpGeral[VALOR UNITÁRIO P/ HORA (R$)])*220,
IF(ISNUMBER(SEARCH("AUXILIAR DE LIMPEZA - 12 x 36",tabParametros[[#This Row],[Função]],1)),
SUMIF(tabLimpGeral[TIPO],"Equipamento",tabLimpGeral[VALOR UNITÁRIO P/ HORA (R$)])*220,
IF(ISNUMBER(SEARCH("Limpador de vidros - 220 h",tabParametros[[#This Row],[Função]],1)),
SUMIF(tabVidros[TIPO],"Equipamento",tabVidros[VALOR UNITÁRIO P/ POSTO (R$)]),
0))))))</f>
        <v>21.998657016417809</v>
      </c>
      <c r="BA169" s="281">
        <f>IF(ISNUMBER(SEARCH("AUXILIAR DE LIMPEZA - 75 H",tabParametros[[#This Row],[Função]],1)),
SUMIF(tabLimpGeral[TIPO],"Produto",tabLimpGeral[VALOR UNITÁRIO P/ HORA (R$)])*75,
IF(ISNUMBER(SEARCH("AUXILIAR DE LIMPEZA - 110 H",tabParametros[[#This Row],[Função]],1)),
SUMIF(tabLimpGeral[TIPO],"Produto",tabLimpGeral[VALOR UNITÁRIO P/ HORA (R$)])*110,
IF(ISNUMBER(SEARCH("AUXILIAR DE LIMPEZA - 150 H",tabParametros[[#This Row],[Função]],1)),
SUMIF(tabLimpGeral[TIPO],"Produto",tabLimpGeral[VALOR UNITÁRIO P/ HORA (R$)])*150,
IF(ISNUMBER(SEARCH("AUXILIAR DE LIMPEZA - 220 H",tabParametros[[#This Row],[Função]],1)),
SUMIF(tabLimpGeral[TIPO],"Produto",tabLimpGeral[VALOR UNITÁRIO P/ HORA (R$)])*220,
IF(ISNUMBER(SEARCH("AUXILIAR DE LIMPEZA - 12 x 36",tabParametros[[#This Row],[Função]],1)),
SUMIF(tabLimpGeral[TIPO],"Produto",tabLimpGeral[VALOR UNITÁRIO P/ HORA (R$)])*220,
IF(ISNUMBER(SEARCH("Limpador de vidros - 220 h",tabParametros[[#This Row],[Função]],1)),
SUMIF(tabVidros[TIPO],"Produto",tabVidros[VALOR UNITÁRIO P/ POSTO (R$)]),
0))))))</f>
        <v>235.31984072022155</v>
      </c>
      <c r="BB169" s="281">
        <v>0</v>
      </c>
      <c r="BC169" s="236">
        <f>VLOOKUP(tabParametros[[#Headers],[Custos Indiretos]],tabOutrosCustos[],3,0)</f>
        <v>189.64880140242613</v>
      </c>
      <c r="BD169" s="236">
        <f>VLOOKUP(tabParametros[[#Headers],[Lucro]],tabOutrosCustos[],3,0)</f>
        <v>159.30499317803796</v>
      </c>
      <c r="BE169" s="235">
        <f>VLOOKUP(tabParametros[[#Headers],[COFINS]],tabImpostosNacionais[],2,0)</f>
        <v>7.5999999999999998E-2</v>
      </c>
      <c r="BF169" s="235">
        <f>VLOOKUP(tabParametros[[#Headers],[PIS]],tabImpostosNacionais[],2,0)</f>
        <v>1.6500000000000001E-2</v>
      </c>
      <c r="BG169" s="235">
        <f>VLOOKUP(tabParametros[[#This Row],[Comarca]],tabComarca[],4,0)</f>
        <v>2.5000000000000001E-2</v>
      </c>
      <c r="BH169" s="238">
        <f>IFERROR(VLOOKUP(tabParametros[[#This Row],[CCT DA CATEGORIA]],tabSindicatos[],11,0),"")</f>
        <v>45658</v>
      </c>
      <c r="BI169" s="289" t="str">
        <f>IFERROR(VLOOKUP(tabParametros[[#This Row],[CCT DA CATEGORIA]],tabSindicatos[],12,0),"")</f>
        <v>-</v>
      </c>
      <c r="BJ169" s="293" t="str">
        <f>IFERROR(VLOOKUP(tabParametros[[#This Row],[CCT DA CATEGORIA]],tabSindicatos[],13,0),"")</f>
        <v>-</v>
      </c>
    </row>
    <row r="170" spans="1:62" x14ac:dyDescent="0.25">
      <c r="A170" s="233" t="s">
        <v>1506</v>
      </c>
      <c r="B170" s="198" t="s">
        <v>154</v>
      </c>
      <c r="C170" s="198" t="s">
        <v>1245</v>
      </c>
      <c r="D170" s="198" t="str">
        <f>VLOOKUP(tabParametros[[#This Row],[Código do Posto]],tabPostos[],4,0)</f>
        <v>Sind - Asseio</v>
      </c>
      <c r="E170" s="289" t="str">
        <f>VLOOKUP(tabParametros[[#This Row],[Código do Posto]],tabPostos[],5,0)</f>
        <v>Limpeza</v>
      </c>
      <c r="F170" s="289" t="str">
        <f>VLOOKUP(tabParametros[[#This Row],[Código do Posto]],tabPostos[],6,0)</f>
        <v>PGJ</v>
      </c>
      <c r="G170" s="289">
        <f>VLOOKUP(tabParametros[[#This Row],[Código do Posto]],tabPostos[],7,0)</f>
        <v>2</v>
      </c>
      <c r="H170" s="289">
        <f>VLOOKUP(tabParametros[[#This Row],[Código do Posto]],tabPostos[],8,0)</f>
        <v>0</v>
      </c>
      <c r="I170" s="234">
        <f>VLOOKUP(tabParametros[[#This Row],[Código do Posto]],tabPostos[],9,0)</f>
        <v>1649.12</v>
      </c>
      <c r="J170" s="234">
        <f>IF(ISNUMBER(SEARCH("Eletricista",tabParametros[[#This Row],[Função]],1)),0.3*tabParametros[[#This Row],[Salário Base]],0)</f>
        <v>0</v>
      </c>
      <c r="K170" s="234">
        <f>IF(OR(ISNUMBER(SEARCH("Bombeiro Hidraulico",tabParametros[[#This Row],[Função]],1)),ISNUMBER(SEARCH("Jardineiro",tabParametros[[#This Row],[Função]],1)),ISNUMBER(SEARCH("Lavador de Veiculos",tabParametros[[#This Row],[Função]],1)),ISNUMBER(SEARCH("Marceneiro",tabParametros[[#This Row],[Função]],1)),ISNUMBER(SEARCH("Pintor",tabParametros[[#This Row],[Função]],1))),0.2*'BASE GERAL'!$R$4,0)</f>
        <v>0</v>
      </c>
      <c r="L170" s="234">
        <f>IF(AND(ISNUMBER(SEARCH("Noturno",tabParametros[[#This Row],[Função]],1)),tabParametros[[#This Row],[Comarca]]&lt;&gt;"Juiz de Fora"),tabParametros[[#This Row],[Salário Base]]/210*0.39*7*15.5,IF(ISNUMBER(SEARCH("Noturno",tabParametros[[#This Row],[Função]],1)),tabParametros[[#This Row],[Salário Base]]/210*0.2*8*15.5,0))</f>
        <v>0</v>
      </c>
      <c r="M170" s="234">
        <f>IF(ISNUMBER(SEARCH("Motorista II",tabParametros[[#This Row],[Função]],1)),0.25*tabParametros[[#This Row],[Salário Base]],0)</f>
        <v>0</v>
      </c>
      <c r="N170" s="250">
        <v>0</v>
      </c>
      <c r="O170" s="234">
        <f>IF(ISNUMBER(SEARCH("TECNOLOGIA DA INFORMACAO",tabParametros[[#This Row],[Função]],1)),0.0201*tabParametros[[#This Row],[Salário Base]],0)</f>
        <v>0</v>
      </c>
      <c r="P170" s="250" cm="1">
        <f t="array" ref="P170">_xlfn.IFS(
ISNUMBER(SEARCH("Auxiliar de Limpeza - 75 h",tabParametros[[#This Row],[Função]],1)),tabParametros[[#This Row],[Salário Base]]/75*0.75*30*0.12,
ISNUMBER(SEARCH("Auxiliar de Limpeza - 110 h",tabParametros[[#This Row],[Função]],1)),tabParametros[[#This Row],[Salário Base]]/110*1*30*0.12,
ISNUMBER(SEARCH("Auxiliar de Limpeza - 150 h",tabParametros[[#This Row],[Função]],1)),tabParametros[[#This Row],[Salário Base]]/150*1.5*30*0.12,
ISNUMBER(SEARCH("Auxiliar de Limpeza - 220 h",tabParametros[[#This Row],[Função]],1)),tabParametros[[#This Row],[Salário Base]]/220*2*30*0.12,
ISNUMBER(SEARCH("Auxiliar de Limpeza - 12 x 36",tabParametros[[#This Row],[Função]],1)),tabParametros[[#This Row],[Salário Base]]/220*2*30*0.12,
ISNUMBER(SEARCH("Auxiliar de Limpeza - 55 h",tabParametros[[#This Row],[Função]],1))=FALSE,0)</f>
        <v>53.971199999999996</v>
      </c>
      <c r="Q170" s="235">
        <f>VLOOKUP(tabParametros[[#Headers],[INSS]],tabImpostosNacionais[],2,0)</f>
        <v>0.2</v>
      </c>
      <c r="R170" s="235">
        <f>VLOOKUP(tabParametros[[#Headers],[SESI OU SESC]],tabImpostosNacionais[],2,0)</f>
        <v>1.4999999999999999E-2</v>
      </c>
      <c r="S170" s="235">
        <f>VLOOKUP(tabParametros[[#Headers],[SENAI OU SENAC]],tabImpostosNacionais[],2,0)</f>
        <v>0.01</v>
      </c>
      <c r="T170" s="235">
        <f>VLOOKUP(tabParametros[[#Headers],[INCRA]],tabImpostosNacionais[],2,0)</f>
        <v>2E-3</v>
      </c>
      <c r="U170" s="235">
        <f>VLOOKUP(tabParametros[[#Headers],[Salário Educação]],tabImpostosNacionais[],2,0)</f>
        <v>2.5000000000000001E-2</v>
      </c>
      <c r="V170" s="235">
        <f>VLOOKUP(tabParametros[[#Headers],[FGTS]],tabImpostosNacionais[],2,0)</f>
        <v>0.08</v>
      </c>
      <c r="W170" s="235">
        <f>VLOOKUP(tabParametros[[#Headers],[RAT Ajustado]],tabImpostosNacionais[],2,0)</f>
        <v>0.04</v>
      </c>
      <c r="X170" s="235">
        <f>VLOOKUP(tabParametros[[#Headers],[SEBRAE]],tabImpostosNacionais[],2,0)</f>
        <v>6.0000000000000001E-3</v>
      </c>
      <c r="Y170" s="235">
        <f t="shared" si="22"/>
        <v>8.3333333333333329E-2</v>
      </c>
      <c r="Z170" s="251">
        <f t="shared" si="23"/>
        <v>0.1111111111111111</v>
      </c>
      <c r="AA170" s="234">
        <f>VLOOKUP(tabParametros[[#This Row],[Comarca]],tabComarca[],5,0)</f>
        <v>6.4</v>
      </c>
      <c r="AB170" s="234">
        <f>IFERROR(VLOOKUP(tabParametros[[#This Row],[CCT DA CATEGORIA]],tabSindicatos[],6,0),0)</f>
        <v>29.15</v>
      </c>
      <c r="AC170" s="234">
        <f>IFERROR(VLOOKUP(tabParametros[[#This Row],[CCT DA CATEGORIA]],tabSindicatos[],7,0),0)</f>
        <v>0</v>
      </c>
      <c r="AD170" s="234" cm="1">
        <f t="array" ref="AD170">_xlfn.LET(
_xlpm.COMARCA, TRIM(UPPER(SUBSTITUTE(SUBSTITUTE(SUBSTITUTE(SUBSTITUTE(SUBSTITUTE(SUBSTITUTE(SUBSTITUTE(SUBSTITUTE(SUBSTITUTE(SUBSTITUTE(SUBSTITUTE(SUBSTITUTE(SUBSTITUTE(SUBSTITUTE(SUBSTITUTE(SUBSTITUTE(SUBSTITUTE(SUBSTITUTE(SUBSTITUTE(SUBSTITUTE(SUBSTITUTE(SUBSTITUTE(SUBSTITUTE(SUBSTITUTE(SUBSTITUTE(SUBSTITUTE(tabParametros[[#This Row],[Comarca]],"á","a"),"ã","a"),"â","a"),"é","e"),"ê","e"),"í","i"),"ó","o"),"õ","o"),"ô","o"),"ú","u"),"ç","c"),"Á","a"),"Ã","a"),"Â","a"),"É","e"),"Ê","e"),"Í","i"),"Ó","o"),"Õ","o"),"Ô","o"),"Ú","u"),"Ç","c"),"/MG","")," e ",", ")," ",""),".",""))),
_xlpm.MATRIZ_COMARCA, TRIM(UPPER(SUBSTITUTE(SUBSTITUTE(SUBSTITUTE(SUBSTITUTE(SUBSTITUTE(SUBSTITUTE(SUBSTITUTE(SUBSTITUTE(SUBSTITUTE(SUBSTITUTE(SUBSTITUTE(SUBSTITUTE(SUBSTITUTE(SUBSTITUTE(SUBSTITUTE(SUBSTITUTE(SUBSTITUTE(SUBSTITUTE(SUBSTITUTE(SUBSTITUTE(SUBSTITUTE(SUBSTITUTE(SUBSTITUTE(SUBSTITUTE(SUBSTITUTE(SUBSTITUTE(tabSindicatos[COMARCAS PAF],"á","a"),"ã","a"),"â","a"),"é","e"),"ê","e"),"í","i"),"ó","o"),"õ","o"),"ô","o"),"ú","u"),"ç","c"),"Á","a"),"Ã","a"),"Â","a"),"É","e"),"Ê","e"),"Í","i"),"Ó","o"),"Õ","o"),"Ô","o"),"Ú","u"),"Ç","c"),"/MG","")," e ",", ")," ",""),".",""))),
IFERROR(IF(_xlfn.XLOOKUP(tabParametros[[#This Row],[CCT DA CATEGORIA]],tabSindicatos[SINDICATOS],tabSindicatos[COMARCAS PAF])="",
VLOOKUP(tabParametros[[#This Row],[CCT DA CATEGORIA]],tabSindicatos[],8,0),
IF(ISNUMBER(SEARCH(TRIM(_xlpm.COMARCA),_xlfn.XLOOKUP(tabParametros[[#This Row],[CCT DA CATEGORIA]],tabSindicatos[SINDICATOS],_xlpm.MATRIZ_COMARCA),1)),VLOOKUP(tabParametros[[#This Row],[CCT DA CATEGORIA]],tabSindicatos[],8,0),0)
),0)
)</f>
        <v>77.25</v>
      </c>
      <c r="AE170" s="234">
        <f>IFERROR(VLOOKUP(tabParametros[[#This Row],[CCT DA CATEGORIA]],tabSindicatos[],9,0),0)</f>
        <v>0</v>
      </c>
      <c r="AF170" s="234">
        <f>IFERROR(VLOOKUP(tabParametros[[#This Row],[CCT DA CATEGORIA]],tabSindicatos[],10,0),0)</f>
        <v>0</v>
      </c>
      <c r="AG170" s="236">
        <f>VLOOKUP(tabParametros[[#Headers],[Seguro de Vida]],tabOutrosCustos[],3,0)</f>
        <v>3.36</v>
      </c>
      <c r="AH170" s="236">
        <f>IF(ISNUMBER(SEARCH("MOTORISTA",tabParametros[[#This Row],[Função]],1)),VLOOKUP("MOTORISTAS",tabDiarias[],2,0),IF(tabParametros[[#This Row],[Comarca]]="Belo Horizonte",VLOOKUP("LIMPEZA",tabDiarias[],2,0),0))</f>
        <v>0</v>
      </c>
      <c r="AI170" s="235">
        <f t="shared" si="24"/>
        <v>7.011766975308642E-3</v>
      </c>
      <c r="AJ170" s="237">
        <f>tabParametros[[#This Row],[FGTS]]*tabParametros[[#This Row],[Aviso Prévio Indenizado (API) e Reflexo do Aviso Prévio Indenizado]]</f>
        <v>5.609413580246914E-4</v>
      </c>
      <c r="AK170" s="237">
        <f>tabParametros[[#This Row],[FGTS]]*tabParametros[[#This Row],[Aviso Prévio Indenizado (API) e Reflexo do Aviso Prévio Indenizado]]*40%</f>
        <v>2.2437654320987658E-4</v>
      </c>
      <c r="AL170" s="235">
        <f t="shared" si="25"/>
        <v>3.5000000000000005E-3</v>
      </c>
      <c r="AM170" s="235">
        <f>tabParametros[[#This Row],[Aviso Prévio Trabalhado - APT]]*SUM(tabParametros[[#This Row],[INSS]:[SEBRAE]])</f>
        <v>1.3230000000000004E-3</v>
      </c>
      <c r="AN170" s="235">
        <f t="shared" si="26"/>
        <v>3.0577777777777773E-2</v>
      </c>
      <c r="AO170" s="235">
        <f t="shared" si="27"/>
        <v>8.3333333333333339E-4</v>
      </c>
      <c r="AP170" s="235">
        <f t="shared" si="28"/>
        <v>8.4444444444444437E-3</v>
      </c>
      <c r="AQ170" s="235">
        <f t="shared" si="29"/>
        <v>2.0277777777777777E-3</v>
      </c>
      <c r="AR170" s="235">
        <f t="shared" si="30"/>
        <v>1.7083333333333333E-4</v>
      </c>
      <c r="AS170" s="235">
        <f t="shared" si="31"/>
        <v>2.0833333333333335E-4</v>
      </c>
      <c r="AT170" s="235">
        <f t="shared" si="32"/>
        <v>1.2962962962962963E-3</v>
      </c>
      <c r="AU170" s="237">
        <f>SUM(tabParametros[[#This Row],[Ausência por Doença]:[Férias, Adicional de Férias e 13º  com empregada em gozo de Licença Maternidade]])*SUM(tabParametros[[#This Row],[INSS]:[SEBRAE]])</f>
        <v>4.5918250000000008E-3</v>
      </c>
      <c r="AV170" s="234">
        <f>IF(tabParametros[[#This Row],[Função]]="Porteiro - 220 h",SUM(tabParametros[[#This Row],[Salário Base]:[Adicional de Acúmulo de função]])/220*20*1.5,IF(ISNUMBER(SEARCH("12 x 36",tabParametros[[#This Row],[Função]],1)),SUM(tabParametros[[#This Row],[Salário Base]:[Adicional de Acúmulo de função]])/210*15.5*1.5,0))</f>
        <v>0</v>
      </c>
      <c r="AW170" s="234">
        <f>IF(tabParametros[[#This Row],[Vagas contratadas]]&gt;0,(SUM(tabParametros[[#This Row],[Salário Base]:[Adicional de Acúmulo de função]])*30%+SUM(tabParametros[[#This Row],[Vale - Alimentação]:[Seguro de Vida]]))/tabParametros[[#This Row],[Vagas contratadas]]*tabParametros[[#This Row],[Vagas suspensas]],0)</f>
        <v>0</v>
      </c>
      <c r="AX170" s="234">
        <f>SUMIF(tabUniformes[Cargo],tabParametros[[#This Row],[Função]],tabUniformes[Valor unit. Mensal])</f>
        <v>100.80916666666666</v>
      </c>
      <c r="AY170" s="281">
        <f>IF(ISNUMBER(SEARCH("AUXILIAR DE LIMPEZA - 75 H",tabParametros[[#This Row],[Função]],1)),
SUMIF(tabLimpGeral[TIPO],"Material",tabLimpGeral[VALOR UNITÁRIO P/ HORA (R$)])*75,
IF(ISNUMBER(SEARCH("AUXILIAR DE LIMPEZA - 110 H",tabParametros[[#This Row],[Função]],1)),
SUMIF(tabLimpGeral[TIPO],"Material",tabLimpGeral[VALOR UNITÁRIO P/ HORA (R$)])*110,
IF(ISNUMBER(SEARCH("AUXILIAR DE LIMPEZA - 150 H",tabParametros[[#This Row],[Função]],1)),
SUMIF(tabLimpGeral[TIPO],"Material",tabLimpGeral[VALOR UNITÁRIO P/ HORA (R$)])*150,
IF(ISNUMBER(SEARCH("AUXILIAR DE LIMPEZA - 220 H",tabParametros[[#This Row],[Função]],1)),
SUMIF(tabLimpGeral[TIPO],"Material",tabLimpGeral[VALOR UNITÁRIO P/ HORA (R$)])*220,
IF(ISNUMBER(SEARCH("AUXILIAR DE LIMPEZA - 12 x 36",tabParametros[[#This Row],[Função]],1)),
SUMIF(tabLimpGeral[TIPO],"Material",tabLimpGeral[VALOR UNITÁRIO P/ HORA (R$)])*220,
IF(ISNUMBER(SEARCH("Limpador de vidros - 220 h",tabParametros[[#This Row],[Função]],1)),
SUMIF(tabVidros[TIPO],"Material",tabVidros[VALOR UNITÁRIO P/ POSTO (R$)]),
0))))))</f>
        <v>35.518212958583888</v>
      </c>
      <c r="AZ170" s="281">
        <f>IF(ISNUMBER(SEARCH("AUXILIAR DE LIMPEZA - 75 H",tabParametros[[#This Row],[Função]],1)),
SUMIF(tabLimpGeral[TIPO],"Equipamento",tabLimpGeral[VALOR UNITÁRIO P/ HORA (R$)])*75,
IF(ISNUMBER(SEARCH("AUXILIAR DE LIMPEZA - 110 H",tabParametros[[#This Row],[Função]],1)),
SUMIF(tabLimpGeral[TIPO],"Equipamento",tabLimpGeral[VALOR UNITÁRIO P/ HORA (R$)])*110,
IF(ISNUMBER(SEARCH("AUXILIAR DE LIMPEZA - 150 H",tabParametros[[#This Row],[Função]],1)),
SUMIF(tabLimpGeral[TIPO],"Equipamento",tabLimpGeral[VALOR UNITÁRIO P/ HORA (R$)])*150,
IF(ISNUMBER(SEARCH("AUXILIAR DE LIMPEZA - 220 H",tabParametros[[#This Row],[Função]],1)),
SUMIF(tabLimpGeral[TIPO],"Equipamento",tabLimpGeral[VALOR UNITÁRIO P/ HORA (R$)])*220,
IF(ISNUMBER(SEARCH("AUXILIAR DE LIMPEZA - 12 x 36",tabParametros[[#This Row],[Função]],1)),
SUMIF(tabLimpGeral[TIPO],"Equipamento",tabLimpGeral[VALOR UNITÁRIO P/ HORA (R$)])*220,
IF(ISNUMBER(SEARCH("Limpador de vidros - 220 h",tabParametros[[#This Row],[Função]],1)),
SUMIF(tabVidros[TIPO],"Equipamento",tabVidros[VALOR UNITÁRIO P/ POSTO (R$)]),
0))))))</f>
        <v>64.529393914825576</v>
      </c>
      <c r="BA170" s="281">
        <f>IF(ISNUMBER(SEARCH("AUXILIAR DE LIMPEZA - 75 H",tabParametros[[#This Row],[Função]],1)),
SUMIF(tabLimpGeral[TIPO],"Produto",tabLimpGeral[VALOR UNITÁRIO P/ HORA (R$)])*75,
IF(ISNUMBER(SEARCH("AUXILIAR DE LIMPEZA - 110 H",tabParametros[[#This Row],[Função]],1)),
SUMIF(tabLimpGeral[TIPO],"Produto",tabLimpGeral[VALOR UNITÁRIO P/ HORA (R$)])*110,
IF(ISNUMBER(SEARCH("AUXILIAR DE LIMPEZA - 150 H",tabParametros[[#This Row],[Função]],1)),
SUMIF(tabLimpGeral[TIPO],"Produto",tabLimpGeral[VALOR UNITÁRIO P/ HORA (R$)])*150,
IF(ISNUMBER(SEARCH("AUXILIAR DE LIMPEZA - 220 H",tabParametros[[#This Row],[Função]],1)),
SUMIF(tabLimpGeral[TIPO],"Produto",tabLimpGeral[VALOR UNITÁRIO P/ HORA (R$)])*220,
IF(ISNUMBER(SEARCH("AUXILIAR DE LIMPEZA - 12 x 36",tabParametros[[#This Row],[Função]],1)),
SUMIF(tabLimpGeral[TIPO],"Produto",tabLimpGeral[VALOR UNITÁRIO P/ HORA (R$)])*220,
IF(ISNUMBER(SEARCH("Limpador de vidros - 220 h",tabParametros[[#This Row],[Função]],1)),
SUMIF(tabVidros[TIPO],"Produto",tabVidros[VALOR UNITÁRIO P/ POSTO (R$)]),
0))))))</f>
        <v>690.27153277931654</v>
      </c>
      <c r="BB170" s="281">
        <v>0</v>
      </c>
      <c r="BC170" s="236">
        <f>VLOOKUP(tabParametros[[#Headers],[Custos Indiretos]],tabOutrosCustos[],3,0)</f>
        <v>189.64880140242613</v>
      </c>
      <c r="BD170" s="236">
        <f>VLOOKUP(tabParametros[[#Headers],[Lucro]],tabOutrosCustos[],3,0)</f>
        <v>159.30499317803796</v>
      </c>
      <c r="BE170" s="235">
        <f>VLOOKUP(tabParametros[[#Headers],[COFINS]],tabImpostosNacionais[],2,0)</f>
        <v>7.5999999999999998E-2</v>
      </c>
      <c r="BF170" s="235">
        <f>VLOOKUP(tabParametros[[#Headers],[PIS]],tabImpostosNacionais[],2,0)</f>
        <v>1.6500000000000001E-2</v>
      </c>
      <c r="BG170" s="235">
        <f>VLOOKUP(tabParametros[[#This Row],[Comarca]],tabComarca[],4,0)</f>
        <v>0.03</v>
      </c>
      <c r="BH170" s="238">
        <f>IFERROR(VLOOKUP(tabParametros[[#This Row],[CCT DA CATEGORIA]],tabSindicatos[],11,0),"")</f>
        <v>45658</v>
      </c>
      <c r="BI170" s="289" t="str">
        <f>IFERROR(VLOOKUP(tabParametros[[#This Row],[CCT DA CATEGORIA]],tabSindicatos[],12,0),"")</f>
        <v>-</v>
      </c>
      <c r="BJ170" s="293" t="str">
        <f>IFERROR(VLOOKUP(tabParametros[[#This Row],[CCT DA CATEGORIA]],tabSindicatos[],13,0),"")</f>
        <v>-</v>
      </c>
    </row>
    <row r="171" spans="1:62" x14ac:dyDescent="0.25">
      <c r="A171" s="233" t="s">
        <v>1507</v>
      </c>
      <c r="B171" s="198" t="s">
        <v>155</v>
      </c>
      <c r="C171" s="198" t="s">
        <v>1245</v>
      </c>
      <c r="D171" s="198" t="str">
        <f>VLOOKUP(tabParametros[[#This Row],[Código do Posto]],tabPostos[],4,0)</f>
        <v>Alto Paranaiba</v>
      </c>
      <c r="E171" s="289" t="str">
        <f>VLOOKUP(tabParametros[[#This Row],[Código do Posto]],tabPostos[],5,0)</f>
        <v>Limpeza</v>
      </c>
      <c r="F171" s="289" t="str">
        <f>VLOOKUP(tabParametros[[#This Row],[Código do Posto]],tabPostos[],6,0)</f>
        <v>PGJ</v>
      </c>
      <c r="G171" s="289">
        <f>VLOOKUP(tabParametros[[#This Row],[Código do Posto]],tabPostos[],7,0)</f>
        <v>1</v>
      </c>
      <c r="H171" s="289">
        <f>VLOOKUP(tabParametros[[#This Row],[Código do Posto]],tabPostos[],8,0)</f>
        <v>0</v>
      </c>
      <c r="I171" s="234">
        <f>VLOOKUP(tabParametros[[#This Row],[Código do Posto]],tabPostos[],9,0)</f>
        <v>1596.28</v>
      </c>
      <c r="J171" s="234">
        <f>IF(ISNUMBER(SEARCH("Eletricista",tabParametros[[#This Row],[Função]],1)),0.3*tabParametros[[#This Row],[Salário Base]],0)</f>
        <v>0</v>
      </c>
      <c r="K171" s="234">
        <f>IF(OR(ISNUMBER(SEARCH("Bombeiro Hidraulico",tabParametros[[#This Row],[Função]],1)),ISNUMBER(SEARCH("Jardineiro",tabParametros[[#This Row],[Função]],1)),ISNUMBER(SEARCH("Lavador de Veiculos",tabParametros[[#This Row],[Função]],1)),ISNUMBER(SEARCH("Marceneiro",tabParametros[[#This Row],[Função]],1)),ISNUMBER(SEARCH("Pintor",tabParametros[[#This Row],[Função]],1))),0.2*'BASE GERAL'!$R$4,0)</f>
        <v>0</v>
      </c>
      <c r="L171" s="234">
        <f>IF(AND(ISNUMBER(SEARCH("Noturno",tabParametros[[#This Row],[Função]],1)),tabParametros[[#This Row],[Comarca]]&lt;&gt;"Juiz de Fora"),tabParametros[[#This Row],[Salário Base]]/210*0.39*7*15.5,IF(ISNUMBER(SEARCH("Noturno",tabParametros[[#This Row],[Função]],1)),tabParametros[[#This Row],[Salário Base]]/210*0.2*8*15.5,0))</f>
        <v>0</v>
      </c>
      <c r="M171" s="234">
        <f>IF(ISNUMBER(SEARCH("Motorista II",tabParametros[[#This Row],[Função]],1)),0.25*tabParametros[[#This Row],[Salário Base]],0)</f>
        <v>0</v>
      </c>
      <c r="N171" s="250">
        <v>0</v>
      </c>
      <c r="O171" s="234">
        <f>IF(ISNUMBER(SEARCH("TECNOLOGIA DA INFORMACAO",tabParametros[[#This Row],[Função]],1)),0.0201*tabParametros[[#This Row],[Salário Base]],0)</f>
        <v>0</v>
      </c>
      <c r="P171" s="250" cm="1">
        <f t="array" ref="P171">_xlfn.IFS(
ISNUMBER(SEARCH("Auxiliar de Limpeza - 75 h",tabParametros[[#This Row],[Função]],1)),tabParametros[[#This Row],[Salário Base]]/75*0.75*30*0.12,
ISNUMBER(SEARCH("Auxiliar de Limpeza - 110 h",tabParametros[[#This Row],[Função]],1)),tabParametros[[#This Row],[Salário Base]]/110*1*30*0.12,
ISNUMBER(SEARCH("Auxiliar de Limpeza - 150 h",tabParametros[[#This Row],[Função]],1)),tabParametros[[#This Row],[Salário Base]]/150*1.5*30*0.12,
ISNUMBER(SEARCH("Auxiliar de Limpeza - 220 h",tabParametros[[#This Row],[Função]],1)),tabParametros[[#This Row],[Salário Base]]/220*2*30*0.12,
ISNUMBER(SEARCH("Auxiliar de Limpeza - 12 x 36",tabParametros[[#This Row],[Função]],1)),tabParametros[[#This Row],[Salário Base]]/220*2*30*0.12,
ISNUMBER(SEARCH("Auxiliar de Limpeza - 55 h",tabParametros[[#This Row],[Função]],1))=FALSE,0)</f>
        <v>52.241890909090905</v>
      </c>
      <c r="Q171" s="235">
        <f>VLOOKUP(tabParametros[[#Headers],[INSS]],tabImpostosNacionais[],2,0)</f>
        <v>0.2</v>
      </c>
      <c r="R171" s="235">
        <f>VLOOKUP(tabParametros[[#Headers],[SESI OU SESC]],tabImpostosNacionais[],2,0)</f>
        <v>1.4999999999999999E-2</v>
      </c>
      <c r="S171" s="235">
        <f>VLOOKUP(tabParametros[[#Headers],[SENAI OU SENAC]],tabImpostosNacionais[],2,0)</f>
        <v>0.01</v>
      </c>
      <c r="T171" s="235">
        <f>VLOOKUP(tabParametros[[#Headers],[INCRA]],tabImpostosNacionais[],2,0)</f>
        <v>2E-3</v>
      </c>
      <c r="U171" s="235">
        <f>VLOOKUP(tabParametros[[#Headers],[Salário Educação]],tabImpostosNacionais[],2,0)</f>
        <v>2.5000000000000001E-2</v>
      </c>
      <c r="V171" s="235">
        <f>VLOOKUP(tabParametros[[#Headers],[FGTS]],tabImpostosNacionais[],2,0)</f>
        <v>0.08</v>
      </c>
      <c r="W171" s="235">
        <f>VLOOKUP(tabParametros[[#Headers],[RAT Ajustado]],tabImpostosNacionais[],2,0)</f>
        <v>0.04</v>
      </c>
      <c r="X171" s="235">
        <f>VLOOKUP(tabParametros[[#Headers],[SEBRAE]],tabImpostosNacionais[],2,0)</f>
        <v>6.0000000000000001E-3</v>
      </c>
      <c r="Y171" s="235">
        <f t="shared" si="22"/>
        <v>8.3333333333333329E-2</v>
      </c>
      <c r="Z171" s="251">
        <f t="shared" si="23"/>
        <v>0.1111111111111111</v>
      </c>
      <c r="AA171" s="234">
        <f>VLOOKUP(tabParametros[[#This Row],[Comarca]],tabComarca[],5,0)</f>
        <v>6.4</v>
      </c>
      <c r="AB171" s="234">
        <f>IFERROR(VLOOKUP(tabParametros[[#This Row],[CCT DA CATEGORIA]],tabSindicatos[],6,0),0)</f>
        <v>0</v>
      </c>
      <c r="AC171" s="234">
        <f>IFERROR(VLOOKUP(tabParametros[[#This Row],[CCT DA CATEGORIA]],tabSindicatos[],7,0),0)</f>
        <v>387.79</v>
      </c>
      <c r="AD171" s="234" cm="1">
        <f t="array" ref="AD171">_xlfn.LET(
_xlpm.COMARCA, TRIM(UPPER(SUBSTITUTE(SUBSTITUTE(SUBSTITUTE(SUBSTITUTE(SUBSTITUTE(SUBSTITUTE(SUBSTITUTE(SUBSTITUTE(SUBSTITUTE(SUBSTITUTE(SUBSTITUTE(SUBSTITUTE(SUBSTITUTE(SUBSTITUTE(SUBSTITUTE(SUBSTITUTE(SUBSTITUTE(SUBSTITUTE(SUBSTITUTE(SUBSTITUTE(SUBSTITUTE(SUBSTITUTE(SUBSTITUTE(SUBSTITUTE(SUBSTITUTE(SUBSTITUTE(tabParametros[[#This Row],[Comarca]],"á","a"),"ã","a"),"â","a"),"é","e"),"ê","e"),"í","i"),"ó","o"),"õ","o"),"ô","o"),"ú","u"),"ç","c"),"Á","a"),"Ã","a"),"Â","a"),"É","e"),"Ê","e"),"Í","i"),"Ó","o"),"Õ","o"),"Ô","o"),"Ú","u"),"Ç","c"),"/MG","")," e ",", ")," ",""),".",""))),
_xlpm.MATRIZ_COMARCA, TRIM(UPPER(SUBSTITUTE(SUBSTITUTE(SUBSTITUTE(SUBSTITUTE(SUBSTITUTE(SUBSTITUTE(SUBSTITUTE(SUBSTITUTE(SUBSTITUTE(SUBSTITUTE(SUBSTITUTE(SUBSTITUTE(SUBSTITUTE(SUBSTITUTE(SUBSTITUTE(SUBSTITUTE(SUBSTITUTE(SUBSTITUTE(SUBSTITUTE(SUBSTITUTE(SUBSTITUTE(SUBSTITUTE(SUBSTITUTE(SUBSTITUTE(SUBSTITUTE(SUBSTITUTE(tabSindicatos[COMARCAS PAF],"á","a"),"ã","a"),"â","a"),"é","e"),"ê","e"),"í","i"),"ó","o"),"õ","o"),"ô","o"),"ú","u"),"ç","c"),"Á","a"),"Ã","a"),"Â","a"),"É","e"),"Ê","e"),"Í","i"),"Ó","o"),"Õ","o"),"Ô","o"),"Ú","u"),"Ç","c"),"/MG","")," e ",", ")," ",""),".",""))),
IFERROR(IF(_xlfn.XLOOKUP(tabParametros[[#This Row],[CCT DA CATEGORIA]],tabSindicatos[SINDICATOS],tabSindicatos[COMARCAS PAF])="",
VLOOKUP(tabParametros[[#This Row],[CCT DA CATEGORIA]],tabSindicatos[],8,0),
IF(ISNUMBER(SEARCH(TRIM(_xlpm.COMARCA),_xlfn.XLOOKUP(tabParametros[[#This Row],[CCT DA CATEGORIA]],tabSindicatos[SINDICATOS],_xlpm.MATRIZ_COMARCA),1)),VLOOKUP(tabParametros[[#This Row],[CCT DA CATEGORIA]],tabSindicatos[],8,0),0)
),0)
)</f>
        <v>42.97</v>
      </c>
      <c r="AE171" s="234">
        <f>IFERROR(VLOOKUP(tabParametros[[#This Row],[CCT DA CATEGORIA]],tabSindicatos[],9,0),0)</f>
        <v>0</v>
      </c>
      <c r="AF171" s="234">
        <f>IFERROR(VLOOKUP(tabParametros[[#This Row],[CCT DA CATEGORIA]],tabSindicatos[],10,0),0)</f>
        <v>0</v>
      </c>
      <c r="AG171" s="236">
        <f>VLOOKUP(tabParametros[[#Headers],[Seguro de Vida]],tabOutrosCustos[],3,0)</f>
        <v>3.36</v>
      </c>
      <c r="AH171" s="236">
        <f>IF(ISNUMBER(SEARCH("MOTORISTA",tabParametros[[#This Row],[Função]],1)),VLOOKUP("MOTORISTAS",tabDiarias[],2,0),IF(tabParametros[[#This Row],[Comarca]]="Belo Horizonte",VLOOKUP("LIMPEZA",tabDiarias[],2,0),0))</f>
        <v>0</v>
      </c>
      <c r="AI171" s="235">
        <f t="shared" si="24"/>
        <v>7.011766975308642E-3</v>
      </c>
      <c r="AJ171" s="237">
        <f>tabParametros[[#This Row],[FGTS]]*tabParametros[[#This Row],[Aviso Prévio Indenizado (API) e Reflexo do Aviso Prévio Indenizado]]</f>
        <v>5.609413580246914E-4</v>
      </c>
      <c r="AK171" s="237">
        <f>tabParametros[[#This Row],[FGTS]]*tabParametros[[#This Row],[Aviso Prévio Indenizado (API) e Reflexo do Aviso Prévio Indenizado]]*40%</f>
        <v>2.2437654320987658E-4</v>
      </c>
      <c r="AL171" s="235">
        <f t="shared" si="25"/>
        <v>3.5000000000000005E-3</v>
      </c>
      <c r="AM171" s="235">
        <f>tabParametros[[#This Row],[Aviso Prévio Trabalhado - APT]]*SUM(tabParametros[[#This Row],[INSS]:[SEBRAE]])</f>
        <v>1.3230000000000004E-3</v>
      </c>
      <c r="AN171" s="235">
        <f t="shared" si="26"/>
        <v>3.0577777777777773E-2</v>
      </c>
      <c r="AO171" s="235">
        <f t="shared" si="27"/>
        <v>8.3333333333333339E-4</v>
      </c>
      <c r="AP171" s="235">
        <f t="shared" si="28"/>
        <v>8.4444444444444437E-3</v>
      </c>
      <c r="AQ171" s="235">
        <f t="shared" si="29"/>
        <v>2.0277777777777777E-3</v>
      </c>
      <c r="AR171" s="235">
        <f t="shared" si="30"/>
        <v>1.7083333333333333E-4</v>
      </c>
      <c r="AS171" s="235">
        <f t="shared" si="31"/>
        <v>2.0833333333333335E-4</v>
      </c>
      <c r="AT171" s="235">
        <f t="shared" si="32"/>
        <v>1.2962962962962963E-3</v>
      </c>
      <c r="AU171" s="237">
        <f>SUM(tabParametros[[#This Row],[Ausência por Doença]:[Férias, Adicional de Férias e 13º  com empregada em gozo de Licença Maternidade]])*SUM(tabParametros[[#This Row],[INSS]:[SEBRAE]])</f>
        <v>4.5918250000000008E-3</v>
      </c>
      <c r="AV171" s="234">
        <f>IF(tabParametros[[#This Row],[Função]]="Porteiro - 220 h",SUM(tabParametros[[#This Row],[Salário Base]:[Adicional de Acúmulo de função]])/220*20*1.5,IF(ISNUMBER(SEARCH("12 x 36",tabParametros[[#This Row],[Função]],1)),SUM(tabParametros[[#This Row],[Salário Base]:[Adicional de Acúmulo de função]])/210*15.5*1.5,0))</f>
        <v>0</v>
      </c>
      <c r="AW171" s="234">
        <f>IF(tabParametros[[#This Row],[Vagas contratadas]]&gt;0,(SUM(tabParametros[[#This Row],[Salário Base]:[Adicional de Acúmulo de função]])*30%+SUM(tabParametros[[#This Row],[Vale - Alimentação]:[Seguro de Vida]]))/tabParametros[[#This Row],[Vagas contratadas]]*tabParametros[[#This Row],[Vagas suspensas]],0)</f>
        <v>0</v>
      </c>
      <c r="AX171" s="234">
        <f>SUMIF(tabUniformes[Cargo],tabParametros[[#This Row],[Função]],tabUniformes[Valor unit. Mensal])</f>
        <v>100.80916666666666</v>
      </c>
      <c r="AY171" s="281">
        <f>IF(ISNUMBER(SEARCH("AUXILIAR DE LIMPEZA - 75 H",tabParametros[[#This Row],[Função]],1)),
SUMIF(tabLimpGeral[TIPO],"Material",tabLimpGeral[VALOR UNITÁRIO P/ HORA (R$)])*75,
IF(ISNUMBER(SEARCH("AUXILIAR DE LIMPEZA - 110 H",tabParametros[[#This Row],[Função]],1)),
SUMIF(tabLimpGeral[TIPO],"Material",tabLimpGeral[VALOR UNITÁRIO P/ HORA (R$)])*110,
IF(ISNUMBER(SEARCH("AUXILIAR DE LIMPEZA - 150 H",tabParametros[[#This Row],[Função]],1)),
SUMIF(tabLimpGeral[TIPO],"Material",tabLimpGeral[VALOR UNITÁRIO P/ HORA (R$)])*150,
IF(ISNUMBER(SEARCH("AUXILIAR DE LIMPEZA - 220 H",tabParametros[[#This Row],[Função]],1)),
SUMIF(tabLimpGeral[TIPO],"Material",tabLimpGeral[VALOR UNITÁRIO P/ HORA (R$)])*220,
IF(ISNUMBER(SEARCH("AUXILIAR DE LIMPEZA - 12 x 36",tabParametros[[#This Row],[Função]],1)),
SUMIF(tabLimpGeral[TIPO],"Material",tabLimpGeral[VALOR UNITÁRIO P/ HORA (R$)])*220,
IF(ISNUMBER(SEARCH("Limpador de vidros - 220 h",tabParametros[[#This Row],[Função]],1)),
SUMIF(tabVidros[TIPO],"Material",tabVidros[VALOR UNITÁRIO P/ POSTO (R$)]),
0))))))</f>
        <v>35.518212958583888</v>
      </c>
      <c r="AZ171" s="281">
        <f>IF(ISNUMBER(SEARCH("AUXILIAR DE LIMPEZA - 75 H",tabParametros[[#This Row],[Função]],1)),
SUMIF(tabLimpGeral[TIPO],"Equipamento",tabLimpGeral[VALOR UNITÁRIO P/ HORA (R$)])*75,
IF(ISNUMBER(SEARCH("AUXILIAR DE LIMPEZA - 110 H",tabParametros[[#This Row],[Função]],1)),
SUMIF(tabLimpGeral[TIPO],"Equipamento",tabLimpGeral[VALOR UNITÁRIO P/ HORA (R$)])*110,
IF(ISNUMBER(SEARCH("AUXILIAR DE LIMPEZA - 150 H",tabParametros[[#This Row],[Função]],1)),
SUMIF(tabLimpGeral[TIPO],"Equipamento",tabLimpGeral[VALOR UNITÁRIO P/ HORA (R$)])*150,
IF(ISNUMBER(SEARCH("AUXILIAR DE LIMPEZA - 220 H",tabParametros[[#This Row],[Função]],1)),
SUMIF(tabLimpGeral[TIPO],"Equipamento",tabLimpGeral[VALOR UNITÁRIO P/ HORA (R$)])*220,
IF(ISNUMBER(SEARCH("AUXILIAR DE LIMPEZA - 12 x 36",tabParametros[[#This Row],[Função]],1)),
SUMIF(tabLimpGeral[TIPO],"Equipamento",tabLimpGeral[VALOR UNITÁRIO P/ HORA (R$)])*220,
IF(ISNUMBER(SEARCH("Limpador de vidros - 220 h",tabParametros[[#This Row],[Função]],1)),
SUMIF(tabVidros[TIPO],"Equipamento",tabVidros[VALOR UNITÁRIO P/ POSTO (R$)]),
0))))))</f>
        <v>64.529393914825576</v>
      </c>
      <c r="BA171" s="281">
        <f>IF(ISNUMBER(SEARCH("AUXILIAR DE LIMPEZA - 75 H",tabParametros[[#This Row],[Função]],1)),
SUMIF(tabLimpGeral[TIPO],"Produto",tabLimpGeral[VALOR UNITÁRIO P/ HORA (R$)])*75,
IF(ISNUMBER(SEARCH("AUXILIAR DE LIMPEZA - 110 H",tabParametros[[#This Row],[Função]],1)),
SUMIF(tabLimpGeral[TIPO],"Produto",tabLimpGeral[VALOR UNITÁRIO P/ HORA (R$)])*110,
IF(ISNUMBER(SEARCH("AUXILIAR DE LIMPEZA - 150 H",tabParametros[[#This Row],[Função]],1)),
SUMIF(tabLimpGeral[TIPO],"Produto",tabLimpGeral[VALOR UNITÁRIO P/ HORA (R$)])*150,
IF(ISNUMBER(SEARCH("AUXILIAR DE LIMPEZA - 220 H",tabParametros[[#This Row],[Função]],1)),
SUMIF(tabLimpGeral[TIPO],"Produto",tabLimpGeral[VALOR UNITÁRIO P/ HORA (R$)])*220,
IF(ISNUMBER(SEARCH("AUXILIAR DE LIMPEZA - 12 x 36",tabParametros[[#This Row],[Função]],1)),
SUMIF(tabLimpGeral[TIPO],"Produto",tabLimpGeral[VALOR UNITÁRIO P/ HORA (R$)])*220,
IF(ISNUMBER(SEARCH("Limpador de vidros - 220 h",tabParametros[[#This Row],[Função]],1)),
SUMIF(tabVidros[TIPO],"Produto",tabVidros[VALOR UNITÁRIO P/ POSTO (R$)]),
0))))))</f>
        <v>690.27153277931654</v>
      </c>
      <c r="BB171" s="281">
        <v>0</v>
      </c>
      <c r="BC171" s="236">
        <f>VLOOKUP(tabParametros[[#Headers],[Custos Indiretos]],tabOutrosCustos[],3,0)</f>
        <v>189.64880140242613</v>
      </c>
      <c r="BD171" s="236">
        <f>VLOOKUP(tabParametros[[#Headers],[Lucro]],tabOutrosCustos[],3,0)</f>
        <v>159.30499317803796</v>
      </c>
      <c r="BE171" s="235">
        <f>VLOOKUP(tabParametros[[#Headers],[COFINS]],tabImpostosNacionais[],2,0)</f>
        <v>7.5999999999999998E-2</v>
      </c>
      <c r="BF171" s="235">
        <f>VLOOKUP(tabParametros[[#Headers],[PIS]],tabImpostosNacionais[],2,0)</f>
        <v>1.6500000000000001E-2</v>
      </c>
      <c r="BG171" s="235">
        <f>VLOOKUP(tabParametros[[#This Row],[Comarca]],tabComarca[],4,0)</f>
        <v>0.04</v>
      </c>
      <c r="BH171" s="238">
        <f>IFERROR(VLOOKUP(tabParametros[[#This Row],[CCT DA CATEGORIA]],tabSindicatos[],11,0),"")</f>
        <v>45658</v>
      </c>
      <c r="BI171" s="289" t="str">
        <f>IFERROR(VLOOKUP(tabParametros[[#This Row],[CCT DA CATEGORIA]],tabSindicatos[],12,0),"")</f>
        <v>-</v>
      </c>
      <c r="BJ171" s="293" t="str">
        <f>IFERROR(VLOOKUP(tabParametros[[#This Row],[CCT DA CATEGORIA]],tabSindicatos[],13,0),"")</f>
        <v>-</v>
      </c>
    </row>
    <row r="172" spans="1:62" x14ac:dyDescent="0.25">
      <c r="A172" s="233" t="s">
        <v>1508</v>
      </c>
      <c r="B172" s="198" t="s">
        <v>156</v>
      </c>
      <c r="C172" s="198" t="s">
        <v>1246</v>
      </c>
      <c r="D172" s="198" t="str">
        <f>VLOOKUP(tabParametros[[#This Row],[Código do Posto]],tabPostos[],4,0)</f>
        <v>Regiao de Divinopolis</v>
      </c>
      <c r="E172" s="289" t="str">
        <f>VLOOKUP(tabParametros[[#This Row],[Código do Posto]],tabPostos[],5,0)</f>
        <v>Limpeza</v>
      </c>
      <c r="F172" s="289" t="str">
        <f>VLOOKUP(tabParametros[[#This Row],[Código do Posto]],tabPostos[],6,0)</f>
        <v>PGJ</v>
      </c>
      <c r="G172" s="289">
        <f>VLOOKUP(tabParametros[[#This Row],[Código do Posto]],tabPostos[],7,0)</f>
        <v>1</v>
      </c>
      <c r="H172" s="289">
        <f>VLOOKUP(tabParametros[[#This Row],[Código do Posto]],tabPostos[],8,0)</f>
        <v>0</v>
      </c>
      <c r="I172" s="234">
        <f>VLOOKUP(tabParametros[[#This Row],[Código do Posto]],tabPostos[],9,0)</f>
        <v>1088.3699999999999</v>
      </c>
      <c r="J172" s="234">
        <f>IF(ISNUMBER(SEARCH("Eletricista",tabParametros[[#This Row],[Função]],1)),0.3*tabParametros[[#This Row],[Salário Base]],0)</f>
        <v>0</v>
      </c>
      <c r="K172" s="234">
        <f>IF(OR(ISNUMBER(SEARCH("Bombeiro Hidraulico",tabParametros[[#This Row],[Função]],1)),ISNUMBER(SEARCH("Jardineiro",tabParametros[[#This Row],[Função]],1)),ISNUMBER(SEARCH("Lavador de Veiculos",tabParametros[[#This Row],[Função]],1)),ISNUMBER(SEARCH("Marceneiro",tabParametros[[#This Row],[Função]],1)),ISNUMBER(SEARCH("Pintor",tabParametros[[#This Row],[Função]],1))),0.2*'BASE GERAL'!$R$4,0)</f>
        <v>0</v>
      </c>
      <c r="L172" s="234">
        <f>IF(AND(ISNUMBER(SEARCH("Noturno",tabParametros[[#This Row],[Função]],1)),tabParametros[[#This Row],[Comarca]]&lt;&gt;"Juiz de Fora"),tabParametros[[#This Row],[Salário Base]]/210*0.39*7*15.5,IF(ISNUMBER(SEARCH("Noturno",tabParametros[[#This Row],[Função]],1)),tabParametros[[#This Row],[Salário Base]]/210*0.2*8*15.5,0))</f>
        <v>0</v>
      </c>
      <c r="M172" s="234">
        <f>IF(ISNUMBER(SEARCH("Motorista II",tabParametros[[#This Row],[Função]],1)),0.25*tabParametros[[#This Row],[Salário Base]],0)</f>
        <v>0</v>
      </c>
      <c r="N172" s="250">
        <v>0</v>
      </c>
      <c r="O172" s="234">
        <f>IF(ISNUMBER(SEARCH("TECNOLOGIA DA INFORMACAO",tabParametros[[#This Row],[Função]],1)),0.0201*tabParametros[[#This Row],[Salário Base]],0)</f>
        <v>0</v>
      </c>
      <c r="P172" s="250" cm="1">
        <f t="array" ref="P172">_xlfn.IFS(
ISNUMBER(SEARCH("Auxiliar de Limpeza - 75 h",tabParametros[[#This Row],[Função]],1)),tabParametros[[#This Row],[Salário Base]]/75*0.75*30*0.12,
ISNUMBER(SEARCH("Auxiliar de Limpeza - 110 h",tabParametros[[#This Row],[Função]],1)),tabParametros[[#This Row],[Salário Base]]/110*1*30*0.12,
ISNUMBER(SEARCH("Auxiliar de Limpeza - 150 h",tabParametros[[#This Row],[Função]],1)),tabParametros[[#This Row],[Salário Base]]/150*1.5*30*0.12,
ISNUMBER(SEARCH("Auxiliar de Limpeza - 220 h",tabParametros[[#This Row],[Função]],1)),tabParametros[[#This Row],[Salário Base]]/220*2*30*0.12,
ISNUMBER(SEARCH("Auxiliar de Limpeza - 12 x 36",tabParametros[[#This Row],[Função]],1)),tabParametros[[#This Row],[Salário Base]]/220*2*30*0.12,
ISNUMBER(SEARCH("Auxiliar de Limpeza - 55 h",tabParametros[[#This Row],[Função]],1))=FALSE,0)</f>
        <v>39.181319999999985</v>
      </c>
      <c r="Q172" s="235">
        <f>VLOOKUP(tabParametros[[#Headers],[INSS]],tabImpostosNacionais[],2,0)</f>
        <v>0.2</v>
      </c>
      <c r="R172" s="235">
        <f>VLOOKUP(tabParametros[[#Headers],[SESI OU SESC]],tabImpostosNacionais[],2,0)</f>
        <v>1.4999999999999999E-2</v>
      </c>
      <c r="S172" s="235">
        <f>VLOOKUP(tabParametros[[#Headers],[SENAI OU SENAC]],tabImpostosNacionais[],2,0)</f>
        <v>0.01</v>
      </c>
      <c r="T172" s="235">
        <f>VLOOKUP(tabParametros[[#Headers],[INCRA]],tabImpostosNacionais[],2,0)</f>
        <v>2E-3</v>
      </c>
      <c r="U172" s="235">
        <f>VLOOKUP(tabParametros[[#Headers],[Salário Educação]],tabImpostosNacionais[],2,0)</f>
        <v>2.5000000000000001E-2</v>
      </c>
      <c r="V172" s="235">
        <f>VLOOKUP(tabParametros[[#Headers],[FGTS]],tabImpostosNacionais[],2,0)</f>
        <v>0.08</v>
      </c>
      <c r="W172" s="235">
        <f>VLOOKUP(tabParametros[[#Headers],[RAT Ajustado]],tabImpostosNacionais[],2,0)</f>
        <v>0.04</v>
      </c>
      <c r="X172" s="235">
        <f>VLOOKUP(tabParametros[[#Headers],[SEBRAE]],tabImpostosNacionais[],2,0)</f>
        <v>6.0000000000000001E-3</v>
      </c>
      <c r="Y172" s="235">
        <f t="shared" si="22"/>
        <v>8.3333333333333329E-2</v>
      </c>
      <c r="Z172" s="251">
        <f t="shared" si="23"/>
        <v>0.1111111111111111</v>
      </c>
      <c r="AA172" s="234">
        <f>VLOOKUP(tabParametros[[#This Row],[Comarca]],tabComarca[],5,0)</f>
        <v>6.4</v>
      </c>
      <c r="AB172" s="234">
        <f>IFERROR(VLOOKUP(tabParametros[[#This Row],[CCT DA CATEGORIA]],tabSindicatos[],6,0),0)</f>
        <v>29.15</v>
      </c>
      <c r="AC172" s="234">
        <f>IFERROR(VLOOKUP(tabParametros[[#This Row],[CCT DA CATEGORIA]],tabSindicatos[],7,0),0)</f>
        <v>0</v>
      </c>
      <c r="AD172" s="234" cm="1">
        <f t="array" ref="AD172">_xlfn.LET(
_xlpm.COMARCA, TRIM(UPPER(SUBSTITUTE(SUBSTITUTE(SUBSTITUTE(SUBSTITUTE(SUBSTITUTE(SUBSTITUTE(SUBSTITUTE(SUBSTITUTE(SUBSTITUTE(SUBSTITUTE(SUBSTITUTE(SUBSTITUTE(SUBSTITUTE(SUBSTITUTE(SUBSTITUTE(SUBSTITUTE(SUBSTITUTE(SUBSTITUTE(SUBSTITUTE(SUBSTITUTE(SUBSTITUTE(SUBSTITUTE(SUBSTITUTE(SUBSTITUTE(SUBSTITUTE(SUBSTITUTE(tabParametros[[#This Row],[Comarca]],"á","a"),"ã","a"),"â","a"),"é","e"),"ê","e"),"í","i"),"ó","o"),"õ","o"),"ô","o"),"ú","u"),"ç","c"),"Á","a"),"Ã","a"),"Â","a"),"É","e"),"Ê","e"),"Í","i"),"Ó","o"),"Õ","o"),"Ô","o"),"Ú","u"),"Ç","c"),"/MG","")," e ",", ")," ",""),".",""))),
_xlpm.MATRIZ_COMARCA, TRIM(UPPER(SUBSTITUTE(SUBSTITUTE(SUBSTITUTE(SUBSTITUTE(SUBSTITUTE(SUBSTITUTE(SUBSTITUTE(SUBSTITUTE(SUBSTITUTE(SUBSTITUTE(SUBSTITUTE(SUBSTITUTE(SUBSTITUTE(SUBSTITUTE(SUBSTITUTE(SUBSTITUTE(SUBSTITUTE(SUBSTITUTE(SUBSTITUTE(SUBSTITUTE(SUBSTITUTE(SUBSTITUTE(SUBSTITUTE(SUBSTITUTE(SUBSTITUTE(SUBSTITUTE(tabSindicatos[COMARCAS PAF],"á","a"),"ã","a"),"â","a"),"é","e"),"ê","e"),"í","i"),"ó","o"),"õ","o"),"ô","o"),"ú","u"),"ç","c"),"Á","a"),"Ã","a"),"Â","a"),"É","e"),"Ê","e"),"Í","i"),"Ó","o"),"Õ","o"),"Ô","o"),"Ú","u"),"Ç","c"),"/MG","")," e ",", ")," ",""),".",""))),
IFERROR(IF(_xlfn.XLOOKUP(tabParametros[[#This Row],[CCT DA CATEGORIA]],tabSindicatos[SINDICATOS],tabSindicatos[COMARCAS PAF])="",
VLOOKUP(tabParametros[[#This Row],[CCT DA CATEGORIA]],tabSindicatos[],8,0),
IF(ISNUMBER(SEARCH(TRIM(_xlpm.COMARCA),_xlfn.XLOOKUP(tabParametros[[#This Row],[CCT DA CATEGORIA]],tabSindicatos[SINDICATOS],_xlpm.MATRIZ_COMARCA),1)),VLOOKUP(tabParametros[[#This Row],[CCT DA CATEGORIA]],tabSindicatos[],8,0),0)
),0)
)</f>
        <v>51.88</v>
      </c>
      <c r="AE172" s="234">
        <f>IFERROR(VLOOKUP(tabParametros[[#This Row],[CCT DA CATEGORIA]],tabSindicatos[],9,0),0)</f>
        <v>0</v>
      </c>
      <c r="AF172" s="234">
        <f>IFERROR(VLOOKUP(tabParametros[[#This Row],[CCT DA CATEGORIA]],tabSindicatos[],10,0),0)</f>
        <v>0</v>
      </c>
      <c r="AG172" s="236">
        <f>VLOOKUP(tabParametros[[#Headers],[Seguro de Vida]],tabOutrosCustos[],3,0)</f>
        <v>3.36</v>
      </c>
      <c r="AH172" s="236">
        <f>IF(ISNUMBER(SEARCH("MOTORISTA",tabParametros[[#This Row],[Função]],1)),VLOOKUP("MOTORISTAS",tabDiarias[],2,0),IF(tabParametros[[#This Row],[Comarca]]="Belo Horizonte",VLOOKUP("LIMPEZA",tabDiarias[],2,0),0))</f>
        <v>0</v>
      </c>
      <c r="AI172" s="235">
        <f t="shared" si="24"/>
        <v>7.011766975308642E-3</v>
      </c>
      <c r="AJ172" s="237">
        <f>tabParametros[[#This Row],[FGTS]]*tabParametros[[#This Row],[Aviso Prévio Indenizado (API) e Reflexo do Aviso Prévio Indenizado]]</f>
        <v>5.609413580246914E-4</v>
      </c>
      <c r="AK172" s="237">
        <f>tabParametros[[#This Row],[FGTS]]*tabParametros[[#This Row],[Aviso Prévio Indenizado (API) e Reflexo do Aviso Prévio Indenizado]]*40%</f>
        <v>2.2437654320987658E-4</v>
      </c>
      <c r="AL172" s="235">
        <f t="shared" si="25"/>
        <v>3.5000000000000005E-3</v>
      </c>
      <c r="AM172" s="235">
        <f>tabParametros[[#This Row],[Aviso Prévio Trabalhado - APT]]*SUM(tabParametros[[#This Row],[INSS]:[SEBRAE]])</f>
        <v>1.3230000000000004E-3</v>
      </c>
      <c r="AN172" s="235">
        <f t="shared" si="26"/>
        <v>3.0577777777777773E-2</v>
      </c>
      <c r="AO172" s="235">
        <f t="shared" si="27"/>
        <v>8.3333333333333339E-4</v>
      </c>
      <c r="AP172" s="235">
        <f t="shared" si="28"/>
        <v>8.4444444444444437E-3</v>
      </c>
      <c r="AQ172" s="235">
        <f t="shared" si="29"/>
        <v>2.0277777777777777E-3</v>
      </c>
      <c r="AR172" s="235">
        <f t="shared" si="30"/>
        <v>1.7083333333333333E-4</v>
      </c>
      <c r="AS172" s="235">
        <f t="shared" si="31"/>
        <v>2.0833333333333335E-4</v>
      </c>
      <c r="AT172" s="235">
        <f t="shared" si="32"/>
        <v>1.2962962962962963E-3</v>
      </c>
      <c r="AU172" s="237">
        <f>SUM(tabParametros[[#This Row],[Ausência por Doença]:[Férias, Adicional de Férias e 13º  com empregada em gozo de Licença Maternidade]])*SUM(tabParametros[[#This Row],[INSS]:[SEBRAE]])</f>
        <v>4.5918250000000008E-3</v>
      </c>
      <c r="AV172" s="234">
        <f>IF(tabParametros[[#This Row],[Função]]="Porteiro - 220 h",SUM(tabParametros[[#This Row],[Salário Base]:[Adicional de Acúmulo de função]])/220*20*1.5,IF(ISNUMBER(SEARCH("12 x 36",tabParametros[[#This Row],[Função]],1)),SUM(tabParametros[[#This Row],[Salário Base]:[Adicional de Acúmulo de função]])/210*15.5*1.5,0))</f>
        <v>0</v>
      </c>
      <c r="AW172" s="234">
        <f>IF(tabParametros[[#This Row],[Vagas contratadas]]&gt;0,(SUM(tabParametros[[#This Row],[Salário Base]:[Adicional de Acúmulo de função]])*30%+SUM(tabParametros[[#This Row],[Vale - Alimentação]:[Seguro de Vida]]))/tabParametros[[#This Row],[Vagas contratadas]]*tabParametros[[#This Row],[Vagas suspensas]],0)</f>
        <v>0</v>
      </c>
      <c r="AX172" s="234">
        <f>SUMIF(tabUniformes[Cargo],tabParametros[[#This Row],[Função]],tabUniformes[Valor unit. Mensal])</f>
        <v>100.80916666666666</v>
      </c>
      <c r="AY172" s="281">
        <f>IF(ISNUMBER(SEARCH("AUXILIAR DE LIMPEZA - 75 H",tabParametros[[#This Row],[Função]],1)),
SUMIF(tabLimpGeral[TIPO],"Material",tabLimpGeral[VALOR UNITÁRIO P/ HORA (R$)])*75,
IF(ISNUMBER(SEARCH("AUXILIAR DE LIMPEZA - 110 H",tabParametros[[#This Row],[Função]],1)),
SUMIF(tabLimpGeral[TIPO],"Material",tabLimpGeral[VALOR UNITÁRIO P/ HORA (R$)])*110,
IF(ISNUMBER(SEARCH("AUXILIAR DE LIMPEZA - 150 H",tabParametros[[#This Row],[Função]],1)),
SUMIF(tabLimpGeral[TIPO],"Material",tabLimpGeral[VALOR UNITÁRIO P/ HORA (R$)])*150,
IF(ISNUMBER(SEARCH("AUXILIAR DE LIMPEZA - 220 H",tabParametros[[#This Row],[Função]],1)),
SUMIF(tabLimpGeral[TIPO],"Material",tabLimpGeral[VALOR UNITÁRIO P/ HORA (R$)])*220,
IF(ISNUMBER(SEARCH("AUXILIAR DE LIMPEZA - 12 x 36",tabParametros[[#This Row],[Função]],1)),
SUMIF(tabLimpGeral[TIPO],"Material",tabLimpGeral[VALOR UNITÁRIO P/ HORA (R$)])*220,
IF(ISNUMBER(SEARCH("Limpador de vidros - 220 h",tabParametros[[#This Row],[Função]],1)),
SUMIF(tabVidros[TIPO],"Material",tabVidros[VALOR UNITÁRIO P/ POSTO (R$)]),
0))))))</f>
        <v>24.216963380852651</v>
      </c>
      <c r="AZ172" s="281">
        <f>IF(ISNUMBER(SEARCH("AUXILIAR DE LIMPEZA - 75 H",tabParametros[[#This Row],[Função]],1)),
SUMIF(tabLimpGeral[TIPO],"Equipamento",tabLimpGeral[VALOR UNITÁRIO P/ HORA (R$)])*75,
IF(ISNUMBER(SEARCH("AUXILIAR DE LIMPEZA - 110 H",tabParametros[[#This Row],[Função]],1)),
SUMIF(tabLimpGeral[TIPO],"Equipamento",tabLimpGeral[VALOR UNITÁRIO P/ HORA (R$)])*110,
IF(ISNUMBER(SEARCH("AUXILIAR DE LIMPEZA - 150 H",tabParametros[[#This Row],[Função]],1)),
SUMIF(tabLimpGeral[TIPO],"Equipamento",tabLimpGeral[VALOR UNITÁRIO P/ HORA (R$)])*150,
IF(ISNUMBER(SEARCH("AUXILIAR DE LIMPEZA - 220 H",tabParametros[[#This Row],[Função]],1)),
SUMIF(tabLimpGeral[TIPO],"Equipamento",tabLimpGeral[VALOR UNITÁRIO P/ HORA (R$)])*220,
IF(ISNUMBER(SEARCH("AUXILIAR DE LIMPEZA - 12 x 36",tabParametros[[#This Row],[Função]],1)),
SUMIF(tabLimpGeral[TIPO],"Equipamento",tabLimpGeral[VALOR UNITÁRIO P/ HORA (R$)])*220,
IF(ISNUMBER(SEARCH("Limpador de vidros - 220 h",tabParametros[[#This Row],[Função]],1)),
SUMIF(tabVidros[TIPO],"Equipamento",tabVidros[VALOR UNITÁRIO P/ POSTO (R$)]),
0))))))</f>
        <v>43.997314032835618</v>
      </c>
      <c r="BA172" s="281">
        <f>IF(ISNUMBER(SEARCH("AUXILIAR DE LIMPEZA - 75 H",tabParametros[[#This Row],[Função]],1)),
SUMIF(tabLimpGeral[TIPO],"Produto",tabLimpGeral[VALOR UNITÁRIO P/ HORA (R$)])*75,
IF(ISNUMBER(SEARCH("AUXILIAR DE LIMPEZA - 110 H",tabParametros[[#This Row],[Função]],1)),
SUMIF(tabLimpGeral[TIPO],"Produto",tabLimpGeral[VALOR UNITÁRIO P/ HORA (R$)])*110,
IF(ISNUMBER(SEARCH("AUXILIAR DE LIMPEZA - 150 H",tabParametros[[#This Row],[Função]],1)),
SUMIF(tabLimpGeral[TIPO],"Produto",tabLimpGeral[VALOR UNITÁRIO P/ HORA (R$)])*150,
IF(ISNUMBER(SEARCH("AUXILIAR DE LIMPEZA - 220 H",tabParametros[[#This Row],[Função]],1)),
SUMIF(tabLimpGeral[TIPO],"Produto",tabLimpGeral[VALOR UNITÁRIO P/ HORA (R$)])*220,
IF(ISNUMBER(SEARCH("AUXILIAR DE LIMPEZA - 12 x 36",tabParametros[[#This Row],[Função]],1)),
SUMIF(tabLimpGeral[TIPO],"Produto",tabLimpGeral[VALOR UNITÁRIO P/ HORA (R$)])*220,
IF(ISNUMBER(SEARCH("Limpador de vidros - 220 h",tabParametros[[#This Row],[Função]],1)),
SUMIF(tabVidros[TIPO],"Produto",tabVidros[VALOR UNITÁRIO P/ POSTO (R$)]),
0))))))</f>
        <v>470.6396814404431</v>
      </c>
      <c r="BB172" s="281">
        <v>0</v>
      </c>
      <c r="BC172" s="236">
        <f>VLOOKUP(tabParametros[[#Headers],[Custos Indiretos]],tabOutrosCustos[],3,0)</f>
        <v>189.64880140242613</v>
      </c>
      <c r="BD172" s="236">
        <f>VLOOKUP(tabParametros[[#Headers],[Lucro]],tabOutrosCustos[],3,0)</f>
        <v>159.30499317803796</v>
      </c>
      <c r="BE172" s="235">
        <f>VLOOKUP(tabParametros[[#Headers],[COFINS]],tabImpostosNacionais[],2,0)</f>
        <v>7.5999999999999998E-2</v>
      </c>
      <c r="BF172" s="235">
        <f>VLOOKUP(tabParametros[[#Headers],[PIS]],tabImpostosNacionais[],2,0)</f>
        <v>1.6500000000000001E-2</v>
      </c>
      <c r="BG172" s="235">
        <f>VLOOKUP(tabParametros[[#This Row],[Comarca]],tabComarca[],4,0)</f>
        <v>0.03</v>
      </c>
      <c r="BH172" s="238">
        <f>IFERROR(VLOOKUP(tabParametros[[#This Row],[CCT DA CATEGORIA]],tabSindicatos[],11,0),"")</f>
        <v>45658</v>
      </c>
      <c r="BI172" s="289" t="str">
        <f>IFERROR(VLOOKUP(tabParametros[[#This Row],[CCT DA CATEGORIA]],tabSindicatos[],12,0),"")</f>
        <v>-</v>
      </c>
      <c r="BJ172" s="293" t="str">
        <f>IFERROR(VLOOKUP(tabParametros[[#This Row],[CCT DA CATEGORIA]],tabSindicatos[],13,0),"")</f>
        <v>-</v>
      </c>
    </row>
    <row r="173" spans="1:62" x14ac:dyDescent="0.25">
      <c r="A173" s="233" t="s">
        <v>1509</v>
      </c>
      <c r="B173" s="198" t="s">
        <v>157</v>
      </c>
      <c r="C173" s="198" t="s">
        <v>1247</v>
      </c>
      <c r="D173" s="198" t="str">
        <f>VLOOKUP(tabParametros[[#This Row],[Código do Posto]],tabPostos[],4,0)</f>
        <v>Regiao de Teofilo Otoni</v>
      </c>
      <c r="E173" s="289" t="str">
        <f>VLOOKUP(tabParametros[[#This Row],[Código do Posto]],tabPostos[],5,0)</f>
        <v>Limpeza</v>
      </c>
      <c r="F173" s="289" t="str">
        <f>VLOOKUP(tabParametros[[#This Row],[Código do Posto]],tabPostos[],6,0)</f>
        <v>PGJ</v>
      </c>
      <c r="G173" s="289">
        <f>VLOOKUP(tabParametros[[#This Row],[Código do Posto]],tabPostos[],7,0)</f>
        <v>1</v>
      </c>
      <c r="H173" s="289">
        <f>VLOOKUP(tabParametros[[#This Row],[Código do Posto]],tabPostos[],8,0)</f>
        <v>0</v>
      </c>
      <c r="I173" s="234">
        <f>VLOOKUP(tabParametros[[#This Row],[Código do Posto]],tabPostos[],9,0)</f>
        <v>544.17999999999995</v>
      </c>
      <c r="J173" s="234">
        <f>IF(ISNUMBER(SEARCH("Eletricista",tabParametros[[#This Row],[Função]],1)),0.3*tabParametros[[#This Row],[Salário Base]],0)</f>
        <v>0</v>
      </c>
      <c r="K173" s="234">
        <f>IF(OR(ISNUMBER(SEARCH("Bombeiro Hidraulico",tabParametros[[#This Row],[Função]],1)),ISNUMBER(SEARCH("Jardineiro",tabParametros[[#This Row],[Função]],1)),ISNUMBER(SEARCH("Lavador de Veiculos",tabParametros[[#This Row],[Função]],1)),ISNUMBER(SEARCH("Marceneiro",tabParametros[[#This Row],[Função]],1)),ISNUMBER(SEARCH("Pintor",tabParametros[[#This Row],[Função]],1))),0.2*'BASE GERAL'!$R$4,0)</f>
        <v>0</v>
      </c>
      <c r="L173" s="234">
        <f>IF(AND(ISNUMBER(SEARCH("Noturno",tabParametros[[#This Row],[Função]],1)),tabParametros[[#This Row],[Comarca]]&lt;&gt;"Juiz de Fora"),tabParametros[[#This Row],[Salário Base]]/210*0.39*7*15.5,IF(ISNUMBER(SEARCH("Noturno",tabParametros[[#This Row],[Função]],1)),tabParametros[[#This Row],[Salário Base]]/210*0.2*8*15.5,0))</f>
        <v>0</v>
      </c>
      <c r="M173" s="234">
        <f>IF(ISNUMBER(SEARCH("Motorista II",tabParametros[[#This Row],[Função]],1)),0.25*tabParametros[[#This Row],[Salário Base]],0)</f>
        <v>0</v>
      </c>
      <c r="N173" s="250">
        <v>0</v>
      </c>
      <c r="O173" s="234">
        <f>IF(ISNUMBER(SEARCH("TECNOLOGIA DA INFORMACAO",tabParametros[[#This Row],[Função]],1)),0.0201*tabParametros[[#This Row],[Salário Base]],0)</f>
        <v>0</v>
      </c>
      <c r="P173" s="250" cm="1">
        <f t="array" ref="P173">_xlfn.IFS(
ISNUMBER(SEARCH("Auxiliar de Limpeza - 75 h",tabParametros[[#This Row],[Função]],1)),tabParametros[[#This Row],[Salário Base]]/75*0.75*30*0.12,
ISNUMBER(SEARCH("Auxiliar de Limpeza - 110 h",tabParametros[[#This Row],[Função]],1)),tabParametros[[#This Row],[Salário Base]]/110*1*30*0.12,
ISNUMBER(SEARCH("Auxiliar de Limpeza - 150 h",tabParametros[[#This Row],[Função]],1)),tabParametros[[#This Row],[Salário Base]]/150*1.5*30*0.12,
ISNUMBER(SEARCH("Auxiliar de Limpeza - 220 h",tabParametros[[#This Row],[Função]],1)),tabParametros[[#This Row],[Salário Base]]/220*2*30*0.12,
ISNUMBER(SEARCH("Auxiliar de Limpeza - 12 x 36",tabParametros[[#This Row],[Função]],1)),tabParametros[[#This Row],[Salário Base]]/220*2*30*0.12,
ISNUMBER(SEARCH("Auxiliar de Limpeza - 55 h",tabParametros[[#This Row],[Função]],1))=FALSE,0)</f>
        <v>19.590479999999999</v>
      </c>
      <c r="Q173" s="235">
        <f>VLOOKUP(tabParametros[[#Headers],[INSS]],tabImpostosNacionais[],2,0)</f>
        <v>0.2</v>
      </c>
      <c r="R173" s="235">
        <f>VLOOKUP(tabParametros[[#Headers],[SESI OU SESC]],tabImpostosNacionais[],2,0)</f>
        <v>1.4999999999999999E-2</v>
      </c>
      <c r="S173" s="235">
        <f>VLOOKUP(tabParametros[[#Headers],[SENAI OU SENAC]],tabImpostosNacionais[],2,0)</f>
        <v>0.01</v>
      </c>
      <c r="T173" s="235">
        <f>VLOOKUP(tabParametros[[#Headers],[INCRA]],tabImpostosNacionais[],2,0)</f>
        <v>2E-3</v>
      </c>
      <c r="U173" s="235">
        <f>VLOOKUP(tabParametros[[#Headers],[Salário Educação]],tabImpostosNacionais[],2,0)</f>
        <v>2.5000000000000001E-2</v>
      </c>
      <c r="V173" s="235">
        <f>VLOOKUP(tabParametros[[#Headers],[FGTS]],tabImpostosNacionais[],2,0)</f>
        <v>0.08</v>
      </c>
      <c r="W173" s="235">
        <f>VLOOKUP(tabParametros[[#Headers],[RAT Ajustado]],tabImpostosNacionais[],2,0)</f>
        <v>0.04</v>
      </c>
      <c r="X173" s="235">
        <f>VLOOKUP(tabParametros[[#Headers],[SEBRAE]],tabImpostosNacionais[],2,0)</f>
        <v>6.0000000000000001E-3</v>
      </c>
      <c r="Y173" s="235">
        <f t="shared" si="22"/>
        <v>8.3333333333333329E-2</v>
      </c>
      <c r="Z173" s="251">
        <f t="shared" si="23"/>
        <v>0.1111111111111111</v>
      </c>
      <c r="AA173" s="234">
        <f>VLOOKUP(tabParametros[[#This Row],[Comarca]],tabComarca[],5,0)</f>
        <v>6.4</v>
      </c>
      <c r="AB173" s="234">
        <f>IFERROR(VLOOKUP(tabParametros[[#This Row],[CCT DA CATEGORIA]],tabSindicatos[],6,0),0)</f>
        <v>29.15</v>
      </c>
      <c r="AC173" s="234">
        <f>IFERROR(VLOOKUP(tabParametros[[#This Row],[CCT DA CATEGORIA]],tabSindicatos[],7,0),0)</f>
        <v>0</v>
      </c>
      <c r="AD173" s="234" cm="1">
        <f t="array" ref="AD173">_xlfn.LET(
_xlpm.COMARCA, TRIM(UPPER(SUBSTITUTE(SUBSTITUTE(SUBSTITUTE(SUBSTITUTE(SUBSTITUTE(SUBSTITUTE(SUBSTITUTE(SUBSTITUTE(SUBSTITUTE(SUBSTITUTE(SUBSTITUTE(SUBSTITUTE(SUBSTITUTE(SUBSTITUTE(SUBSTITUTE(SUBSTITUTE(SUBSTITUTE(SUBSTITUTE(SUBSTITUTE(SUBSTITUTE(SUBSTITUTE(SUBSTITUTE(SUBSTITUTE(SUBSTITUTE(SUBSTITUTE(SUBSTITUTE(tabParametros[[#This Row],[Comarca]],"á","a"),"ã","a"),"â","a"),"é","e"),"ê","e"),"í","i"),"ó","o"),"õ","o"),"ô","o"),"ú","u"),"ç","c"),"Á","a"),"Ã","a"),"Â","a"),"É","e"),"Ê","e"),"Í","i"),"Ó","o"),"Õ","o"),"Ô","o"),"Ú","u"),"Ç","c"),"/MG","")," e ",", ")," ",""),".",""))),
_xlpm.MATRIZ_COMARCA, TRIM(UPPER(SUBSTITUTE(SUBSTITUTE(SUBSTITUTE(SUBSTITUTE(SUBSTITUTE(SUBSTITUTE(SUBSTITUTE(SUBSTITUTE(SUBSTITUTE(SUBSTITUTE(SUBSTITUTE(SUBSTITUTE(SUBSTITUTE(SUBSTITUTE(SUBSTITUTE(SUBSTITUTE(SUBSTITUTE(SUBSTITUTE(SUBSTITUTE(SUBSTITUTE(SUBSTITUTE(SUBSTITUTE(SUBSTITUTE(SUBSTITUTE(SUBSTITUTE(SUBSTITUTE(tabSindicatos[COMARCAS PAF],"á","a"),"ã","a"),"â","a"),"é","e"),"ê","e"),"í","i"),"ó","o"),"õ","o"),"ô","o"),"ú","u"),"ç","c"),"Á","a"),"Ã","a"),"Â","a"),"É","e"),"Ê","e"),"Í","i"),"Ó","o"),"Õ","o"),"Ô","o"),"Ú","u"),"Ç","c"),"/MG","")," e ",", ")," ",""),".",""))),
IFERROR(IF(_xlfn.XLOOKUP(tabParametros[[#This Row],[CCT DA CATEGORIA]],tabSindicatos[SINDICATOS],tabSindicatos[COMARCAS PAF])="",
VLOOKUP(tabParametros[[#This Row],[CCT DA CATEGORIA]],tabSindicatos[],8,0),
IF(ISNUMBER(SEARCH(TRIM(_xlpm.COMARCA),_xlfn.XLOOKUP(tabParametros[[#This Row],[CCT DA CATEGORIA]],tabSindicatos[SINDICATOS],_xlpm.MATRIZ_COMARCA),1)),VLOOKUP(tabParametros[[#This Row],[CCT DA CATEGORIA]],tabSindicatos[],8,0),0)
),0)
)</f>
        <v>0</v>
      </c>
      <c r="AE173" s="234">
        <f>IFERROR(VLOOKUP(tabParametros[[#This Row],[CCT DA CATEGORIA]],tabSindicatos[],9,0),0)</f>
        <v>15.07</v>
      </c>
      <c r="AF173" s="234">
        <f>IFERROR(VLOOKUP(tabParametros[[#This Row],[CCT DA CATEGORIA]],tabSindicatos[],10,0),0)</f>
        <v>0</v>
      </c>
      <c r="AG173" s="236">
        <f>VLOOKUP(tabParametros[[#Headers],[Seguro de Vida]],tabOutrosCustos[],3,0)</f>
        <v>3.36</v>
      </c>
      <c r="AH173" s="236">
        <f>IF(ISNUMBER(SEARCH("MOTORISTA",tabParametros[[#This Row],[Função]],1)),VLOOKUP("MOTORISTAS",tabDiarias[],2,0),IF(tabParametros[[#This Row],[Comarca]]="Belo Horizonte",VLOOKUP("LIMPEZA",tabDiarias[],2,0),0))</f>
        <v>0</v>
      </c>
      <c r="AI173" s="235">
        <f t="shared" si="24"/>
        <v>7.011766975308642E-3</v>
      </c>
      <c r="AJ173" s="237">
        <f>tabParametros[[#This Row],[FGTS]]*tabParametros[[#This Row],[Aviso Prévio Indenizado (API) e Reflexo do Aviso Prévio Indenizado]]</f>
        <v>5.609413580246914E-4</v>
      </c>
      <c r="AK173" s="237">
        <f>tabParametros[[#This Row],[FGTS]]*tabParametros[[#This Row],[Aviso Prévio Indenizado (API) e Reflexo do Aviso Prévio Indenizado]]*40%</f>
        <v>2.2437654320987658E-4</v>
      </c>
      <c r="AL173" s="235">
        <f t="shared" si="25"/>
        <v>3.5000000000000005E-3</v>
      </c>
      <c r="AM173" s="235">
        <f>tabParametros[[#This Row],[Aviso Prévio Trabalhado - APT]]*SUM(tabParametros[[#This Row],[INSS]:[SEBRAE]])</f>
        <v>1.3230000000000004E-3</v>
      </c>
      <c r="AN173" s="235">
        <f t="shared" si="26"/>
        <v>3.0577777777777773E-2</v>
      </c>
      <c r="AO173" s="235">
        <f t="shared" si="27"/>
        <v>8.3333333333333339E-4</v>
      </c>
      <c r="AP173" s="235">
        <f t="shared" si="28"/>
        <v>8.4444444444444437E-3</v>
      </c>
      <c r="AQ173" s="235">
        <f t="shared" si="29"/>
        <v>2.0277777777777777E-3</v>
      </c>
      <c r="AR173" s="235">
        <f t="shared" si="30"/>
        <v>1.7083333333333333E-4</v>
      </c>
      <c r="AS173" s="235">
        <f t="shared" si="31"/>
        <v>2.0833333333333335E-4</v>
      </c>
      <c r="AT173" s="235">
        <f t="shared" si="32"/>
        <v>1.2962962962962963E-3</v>
      </c>
      <c r="AU173" s="237">
        <f>SUM(tabParametros[[#This Row],[Ausência por Doença]:[Férias, Adicional de Férias e 13º  com empregada em gozo de Licença Maternidade]])*SUM(tabParametros[[#This Row],[INSS]:[SEBRAE]])</f>
        <v>4.5918250000000008E-3</v>
      </c>
      <c r="AV173" s="234">
        <f>IF(tabParametros[[#This Row],[Função]]="Porteiro - 220 h",SUM(tabParametros[[#This Row],[Salário Base]:[Adicional de Acúmulo de função]])/220*20*1.5,IF(ISNUMBER(SEARCH("12 x 36",tabParametros[[#This Row],[Função]],1)),SUM(tabParametros[[#This Row],[Salário Base]:[Adicional de Acúmulo de função]])/210*15.5*1.5,0))</f>
        <v>0</v>
      </c>
      <c r="AW173" s="234">
        <f>IF(tabParametros[[#This Row],[Vagas contratadas]]&gt;0,(SUM(tabParametros[[#This Row],[Salário Base]:[Adicional de Acúmulo de função]])*30%+SUM(tabParametros[[#This Row],[Vale - Alimentação]:[Seguro de Vida]]))/tabParametros[[#This Row],[Vagas contratadas]]*tabParametros[[#This Row],[Vagas suspensas]],0)</f>
        <v>0</v>
      </c>
      <c r="AX173" s="234">
        <f>SUMIF(tabUniformes[Cargo],tabParametros[[#This Row],[Função]],tabUniformes[Valor unit. Mensal])</f>
        <v>62.806666666666665</v>
      </c>
      <c r="AY173" s="281">
        <f>IF(ISNUMBER(SEARCH("AUXILIAR DE LIMPEZA - 75 H",tabParametros[[#This Row],[Função]],1)),
SUMIF(tabLimpGeral[TIPO],"Material",tabLimpGeral[VALOR UNITÁRIO P/ HORA (R$)])*75,
IF(ISNUMBER(SEARCH("AUXILIAR DE LIMPEZA - 110 H",tabParametros[[#This Row],[Função]],1)),
SUMIF(tabLimpGeral[TIPO],"Material",tabLimpGeral[VALOR UNITÁRIO P/ HORA (R$)])*110,
IF(ISNUMBER(SEARCH("AUXILIAR DE LIMPEZA - 150 H",tabParametros[[#This Row],[Função]],1)),
SUMIF(tabLimpGeral[TIPO],"Material",tabLimpGeral[VALOR UNITÁRIO P/ HORA (R$)])*150,
IF(ISNUMBER(SEARCH("AUXILIAR DE LIMPEZA - 220 H",tabParametros[[#This Row],[Função]],1)),
SUMIF(tabLimpGeral[TIPO],"Material",tabLimpGeral[VALOR UNITÁRIO P/ HORA (R$)])*220,
IF(ISNUMBER(SEARCH("AUXILIAR DE LIMPEZA - 12 x 36",tabParametros[[#This Row],[Função]],1)),
SUMIF(tabLimpGeral[TIPO],"Material",tabLimpGeral[VALOR UNITÁRIO P/ HORA (R$)])*220,
IF(ISNUMBER(SEARCH("Limpador de vidros - 220 h",tabParametros[[#This Row],[Função]],1)),
SUMIF(tabVidros[TIPO],"Material",tabVidros[VALOR UNITÁRIO P/ POSTO (R$)]),
0))))))</f>
        <v>12.108481690426325</v>
      </c>
      <c r="AZ173" s="281">
        <f>IF(ISNUMBER(SEARCH("AUXILIAR DE LIMPEZA - 75 H",tabParametros[[#This Row],[Função]],1)),
SUMIF(tabLimpGeral[TIPO],"Equipamento",tabLimpGeral[VALOR UNITÁRIO P/ HORA (R$)])*75,
IF(ISNUMBER(SEARCH("AUXILIAR DE LIMPEZA - 110 H",tabParametros[[#This Row],[Função]],1)),
SUMIF(tabLimpGeral[TIPO],"Equipamento",tabLimpGeral[VALOR UNITÁRIO P/ HORA (R$)])*110,
IF(ISNUMBER(SEARCH("AUXILIAR DE LIMPEZA - 150 H",tabParametros[[#This Row],[Função]],1)),
SUMIF(tabLimpGeral[TIPO],"Equipamento",tabLimpGeral[VALOR UNITÁRIO P/ HORA (R$)])*150,
IF(ISNUMBER(SEARCH("AUXILIAR DE LIMPEZA - 220 H",tabParametros[[#This Row],[Função]],1)),
SUMIF(tabLimpGeral[TIPO],"Equipamento",tabLimpGeral[VALOR UNITÁRIO P/ HORA (R$)])*220,
IF(ISNUMBER(SEARCH("AUXILIAR DE LIMPEZA - 12 x 36",tabParametros[[#This Row],[Função]],1)),
SUMIF(tabLimpGeral[TIPO],"Equipamento",tabLimpGeral[VALOR UNITÁRIO P/ HORA (R$)])*220,
IF(ISNUMBER(SEARCH("Limpador de vidros - 220 h",tabParametros[[#This Row],[Função]],1)),
SUMIF(tabVidros[TIPO],"Equipamento",tabVidros[VALOR UNITÁRIO P/ POSTO (R$)]),
0))))))</f>
        <v>21.998657016417809</v>
      </c>
      <c r="BA173" s="281">
        <f>IF(ISNUMBER(SEARCH("AUXILIAR DE LIMPEZA - 75 H",tabParametros[[#This Row],[Função]],1)),
SUMIF(tabLimpGeral[TIPO],"Produto",tabLimpGeral[VALOR UNITÁRIO P/ HORA (R$)])*75,
IF(ISNUMBER(SEARCH("AUXILIAR DE LIMPEZA - 110 H",tabParametros[[#This Row],[Função]],1)),
SUMIF(tabLimpGeral[TIPO],"Produto",tabLimpGeral[VALOR UNITÁRIO P/ HORA (R$)])*110,
IF(ISNUMBER(SEARCH("AUXILIAR DE LIMPEZA - 150 H",tabParametros[[#This Row],[Função]],1)),
SUMIF(tabLimpGeral[TIPO],"Produto",tabLimpGeral[VALOR UNITÁRIO P/ HORA (R$)])*150,
IF(ISNUMBER(SEARCH("AUXILIAR DE LIMPEZA - 220 H",tabParametros[[#This Row],[Função]],1)),
SUMIF(tabLimpGeral[TIPO],"Produto",tabLimpGeral[VALOR UNITÁRIO P/ HORA (R$)])*220,
IF(ISNUMBER(SEARCH("AUXILIAR DE LIMPEZA - 12 x 36",tabParametros[[#This Row],[Função]],1)),
SUMIF(tabLimpGeral[TIPO],"Produto",tabLimpGeral[VALOR UNITÁRIO P/ HORA (R$)])*220,
IF(ISNUMBER(SEARCH("Limpador de vidros - 220 h",tabParametros[[#This Row],[Função]],1)),
SUMIF(tabVidros[TIPO],"Produto",tabVidros[VALOR UNITÁRIO P/ POSTO (R$)]),
0))))))</f>
        <v>235.31984072022155</v>
      </c>
      <c r="BB173" s="281">
        <v>0</v>
      </c>
      <c r="BC173" s="236">
        <f>VLOOKUP(tabParametros[[#Headers],[Custos Indiretos]],tabOutrosCustos[],3,0)</f>
        <v>189.64880140242613</v>
      </c>
      <c r="BD173" s="236">
        <f>VLOOKUP(tabParametros[[#Headers],[Lucro]],tabOutrosCustos[],3,0)</f>
        <v>159.30499317803796</v>
      </c>
      <c r="BE173" s="235">
        <f>VLOOKUP(tabParametros[[#Headers],[COFINS]],tabImpostosNacionais[],2,0)</f>
        <v>7.5999999999999998E-2</v>
      </c>
      <c r="BF173" s="235">
        <f>VLOOKUP(tabParametros[[#Headers],[PIS]],tabImpostosNacionais[],2,0)</f>
        <v>1.6500000000000001E-2</v>
      </c>
      <c r="BG173" s="235">
        <f>VLOOKUP(tabParametros[[#This Row],[Comarca]],tabComarca[],4,0)</f>
        <v>0.05</v>
      </c>
      <c r="BH173" s="238">
        <f>IFERROR(VLOOKUP(tabParametros[[#This Row],[CCT DA CATEGORIA]],tabSindicatos[],11,0),"")</f>
        <v>45658</v>
      </c>
      <c r="BI173" s="289" t="str">
        <f>IFERROR(VLOOKUP(tabParametros[[#This Row],[CCT DA CATEGORIA]],tabSindicatos[],12,0),"")</f>
        <v>-</v>
      </c>
      <c r="BJ173" s="293" t="str">
        <f>IFERROR(VLOOKUP(tabParametros[[#This Row],[CCT DA CATEGORIA]],tabSindicatos[],13,0),"")</f>
        <v>-</v>
      </c>
    </row>
    <row r="174" spans="1:62" x14ac:dyDescent="0.25">
      <c r="A174" s="233" t="s">
        <v>1510</v>
      </c>
      <c r="B174" s="198" t="s">
        <v>158</v>
      </c>
      <c r="C174" s="198" t="s">
        <v>1245</v>
      </c>
      <c r="D174" s="198" t="str">
        <f>VLOOKUP(tabParametros[[#This Row],[Código do Posto]],tabPostos[],4,0)</f>
        <v>Regiao de Divinopolis</v>
      </c>
      <c r="E174" s="289" t="str">
        <f>VLOOKUP(tabParametros[[#This Row],[Código do Posto]],tabPostos[],5,0)</f>
        <v>Limpeza</v>
      </c>
      <c r="F174" s="289" t="str">
        <f>VLOOKUP(tabParametros[[#This Row],[Código do Posto]],tabPostos[],6,0)</f>
        <v>PGJ</v>
      </c>
      <c r="G174" s="289">
        <f>VLOOKUP(tabParametros[[#This Row],[Código do Posto]],tabPostos[],7,0)</f>
        <v>1</v>
      </c>
      <c r="H174" s="289">
        <f>VLOOKUP(tabParametros[[#This Row],[Código do Posto]],tabPostos[],8,0)</f>
        <v>0</v>
      </c>
      <c r="I174" s="234">
        <f>VLOOKUP(tabParametros[[#This Row],[Código do Posto]],tabPostos[],9,0)</f>
        <v>1596.28</v>
      </c>
      <c r="J174" s="234">
        <f>IF(ISNUMBER(SEARCH("Eletricista",tabParametros[[#This Row],[Função]],1)),0.3*tabParametros[[#This Row],[Salário Base]],0)</f>
        <v>0</v>
      </c>
      <c r="K174" s="234">
        <f>IF(OR(ISNUMBER(SEARCH("Bombeiro Hidraulico",tabParametros[[#This Row],[Função]],1)),ISNUMBER(SEARCH("Jardineiro",tabParametros[[#This Row],[Função]],1)),ISNUMBER(SEARCH("Lavador de Veiculos",tabParametros[[#This Row],[Função]],1)),ISNUMBER(SEARCH("Marceneiro",tabParametros[[#This Row],[Função]],1)),ISNUMBER(SEARCH("Pintor",tabParametros[[#This Row],[Função]],1))),0.2*'BASE GERAL'!$R$4,0)</f>
        <v>0</v>
      </c>
      <c r="L174" s="234">
        <f>IF(AND(ISNUMBER(SEARCH("Noturno",tabParametros[[#This Row],[Função]],1)),tabParametros[[#This Row],[Comarca]]&lt;&gt;"Juiz de Fora"),tabParametros[[#This Row],[Salário Base]]/210*0.39*7*15.5,IF(ISNUMBER(SEARCH("Noturno",tabParametros[[#This Row],[Função]],1)),tabParametros[[#This Row],[Salário Base]]/210*0.2*8*15.5,0))</f>
        <v>0</v>
      </c>
      <c r="M174" s="234">
        <f>IF(ISNUMBER(SEARCH("Motorista II",tabParametros[[#This Row],[Função]],1)),0.25*tabParametros[[#This Row],[Salário Base]],0)</f>
        <v>0</v>
      </c>
      <c r="N174" s="250">
        <v>0</v>
      </c>
      <c r="O174" s="234">
        <f>IF(ISNUMBER(SEARCH("TECNOLOGIA DA INFORMACAO",tabParametros[[#This Row],[Função]],1)),0.0201*tabParametros[[#This Row],[Salário Base]],0)</f>
        <v>0</v>
      </c>
      <c r="P174" s="250" cm="1">
        <f t="array" ref="P174">_xlfn.IFS(
ISNUMBER(SEARCH("Auxiliar de Limpeza - 75 h",tabParametros[[#This Row],[Função]],1)),tabParametros[[#This Row],[Salário Base]]/75*0.75*30*0.12,
ISNUMBER(SEARCH("Auxiliar de Limpeza - 110 h",tabParametros[[#This Row],[Função]],1)),tabParametros[[#This Row],[Salário Base]]/110*1*30*0.12,
ISNUMBER(SEARCH("Auxiliar de Limpeza - 150 h",tabParametros[[#This Row],[Função]],1)),tabParametros[[#This Row],[Salário Base]]/150*1.5*30*0.12,
ISNUMBER(SEARCH("Auxiliar de Limpeza - 220 h",tabParametros[[#This Row],[Função]],1)),tabParametros[[#This Row],[Salário Base]]/220*2*30*0.12,
ISNUMBER(SEARCH("Auxiliar de Limpeza - 12 x 36",tabParametros[[#This Row],[Função]],1)),tabParametros[[#This Row],[Salário Base]]/220*2*30*0.12,
ISNUMBER(SEARCH("Auxiliar de Limpeza - 55 h",tabParametros[[#This Row],[Função]],1))=FALSE,0)</f>
        <v>52.241890909090905</v>
      </c>
      <c r="Q174" s="235">
        <f>VLOOKUP(tabParametros[[#Headers],[INSS]],tabImpostosNacionais[],2,0)</f>
        <v>0.2</v>
      </c>
      <c r="R174" s="235">
        <f>VLOOKUP(tabParametros[[#Headers],[SESI OU SESC]],tabImpostosNacionais[],2,0)</f>
        <v>1.4999999999999999E-2</v>
      </c>
      <c r="S174" s="235">
        <f>VLOOKUP(tabParametros[[#Headers],[SENAI OU SENAC]],tabImpostosNacionais[],2,0)</f>
        <v>0.01</v>
      </c>
      <c r="T174" s="235">
        <f>VLOOKUP(tabParametros[[#Headers],[INCRA]],tabImpostosNacionais[],2,0)</f>
        <v>2E-3</v>
      </c>
      <c r="U174" s="235">
        <f>VLOOKUP(tabParametros[[#Headers],[Salário Educação]],tabImpostosNacionais[],2,0)</f>
        <v>2.5000000000000001E-2</v>
      </c>
      <c r="V174" s="235">
        <f>VLOOKUP(tabParametros[[#Headers],[FGTS]],tabImpostosNacionais[],2,0)</f>
        <v>0.08</v>
      </c>
      <c r="W174" s="235">
        <f>VLOOKUP(tabParametros[[#Headers],[RAT Ajustado]],tabImpostosNacionais[],2,0)</f>
        <v>0.04</v>
      </c>
      <c r="X174" s="235">
        <f>VLOOKUP(tabParametros[[#Headers],[SEBRAE]],tabImpostosNacionais[],2,0)</f>
        <v>6.0000000000000001E-3</v>
      </c>
      <c r="Y174" s="235">
        <f t="shared" si="22"/>
        <v>8.3333333333333329E-2</v>
      </c>
      <c r="Z174" s="251">
        <f t="shared" si="23"/>
        <v>0.1111111111111111</v>
      </c>
      <c r="AA174" s="234">
        <f>VLOOKUP(tabParametros[[#This Row],[Comarca]],tabComarca[],5,0)</f>
        <v>6.4</v>
      </c>
      <c r="AB174" s="234">
        <f>IFERROR(VLOOKUP(tabParametros[[#This Row],[CCT DA CATEGORIA]],tabSindicatos[],6,0),0)</f>
        <v>29.15</v>
      </c>
      <c r="AC174" s="234">
        <f>IFERROR(VLOOKUP(tabParametros[[#This Row],[CCT DA CATEGORIA]],tabSindicatos[],7,0),0)</f>
        <v>0</v>
      </c>
      <c r="AD174" s="234" cm="1">
        <f t="array" ref="AD174">_xlfn.LET(
_xlpm.COMARCA, TRIM(UPPER(SUBSTITUTE(SUBSTITUTE(SUBSTITUTE(SUBSTITUTE(SUBSTITUTE(SUBSTITUTE(SUBSTITUTE(SUBSTITUTE(SUBSTITUTE(SUBSTITUTE(SUBSTITUTE(SUBSTITUTE(SUBSTITUTE(SUBSTITUTE(SUBSTITUTE(SUBSTITUTE(SUBSTITUTE(SUBSTITUTE(SUBSTITUTE(SUBSTITUTE(SUBSTITUTE(SUBSTITUTE(SUBSTITUTE(SUBSTITUTE(SUBSTITUTE(SUBSTITUTE(tabParametros[[#This Row],[Comarca]],"á","a"),"ã","a"),"â","a"),"é","e"),"ê","e"),"í","i"),"ó","o"),"õ","o"),"ô","o"),"ú","u"),"ç","c"),"Á","a"),"Ã","a"),"Â","a"),"É","e"),"Ê","e"),"Í","i"),"Ó","o"),"Õ","o"),"Ô","o"),"Ú","u"),"Ç","c"),"/MG","")," e ",", ")," ",""),".",""))),
_xlpm.MATRIZ_COMARCA, TRIM(UPPER(SUBSTITUTE(SUBSTITUTE(SUBSTITUTE(SUBSTITUTE(SUBSTITUTE(SUBSTITUTE(SUBSTITUTE(SUBSTITUTE(SUBSTITUTE(SUBSTITUTE(SUBSTITUTE(SUBSTITUTE(SUBSTITUTE(SUBSTITUTE(SUBSTITUTE(SUBSTITUTE(SUBSTITUTE(SUBSTITUTE(SUBSTITUTE(SUBSTITUTE(SUBSTITUTE(SUBSTITUTE(SUBSTITUTE(SUBSTITUTE(SUBSTITUTE(SUBSTITUTE(tabSindicatos[COMARCAS PAF],"á","a"),"ã","a"),"â","a"),"é","e"),"ê","e"),"í","i"),"ó","o"),"õ","o"),"ô","o"),"ú","u"),"ç","c"),"Á","a"),"Ã","a"),"Â","a"),"É","e"),"Ê","e"),"Í","i"),"Ó","o"),"Õ","o"),"Ô","o"),"Ú","u"),"Ç","c"),"/MG","")," e ",", ")," ",""),".",""))),
IFERROR(IF(_xlfn.XLOOKUP(tabParametros[[#This Row],[CCT DA CATEGORIA]],tabSindicatos[SINDICATOS],tabSindicatos[COMARCAS PAF])="",
VLOOKUP(tabParametros[[#This Row],[CCT DA CATEGORIA]],tabSindicatos[],8,0),
IF(ISNUMBER(SEARCH(TRIM(_xlpm.COMARCA),_xlfn.XLOOKUP(tabParametros[[#This Row],[CCT DA CATEGORIA]],tabSindicatos[SINDICATOS],_xlpm.MATRIZ_COMARCA),1)),VLOOKUP(tabParametros[[#This Row],[CCT DA CATEGORIA]],tabSindicatos[],8,0),0)
),0)
)</f>
        <v>51.88</v>
      </c>
      <c r="AE174" s="234">
        <f>IFERROR(VLOOKUP(tabParametros[[#This Row],[CCT DA CATEGORIA]],tabSindicatos[],9,0),0)</f>
        <v>0</v>
      </c>
      <c r="AF174" s="234">
        <f>IFERROR(VLOOKUP(tabParametros[[#This Row],[CCT DA CATEGORIA]],tabSindicatos[],10,0),0)</f>
        <v>0</v>
      </c>
      <c r="AG174" s="236">
        <f>VLOOKUP(tabParametros[[#Headers],[Seguro de Vida]],tabOutrosCustos[],3,0)</f>
        <v>3.36</v>
      </c>
      <c r="AH174" s="236">
        <f>IF(ISNUMBER(SEARCH("MOTORISTA",tabParametros[[#This Row],[Função]],1)),VLOOKUP("MOTORISTAS",tabDiarias[],2,0),IF(tabParametros[[#This Row],[Comarca]]="Belo Horizonte",VLOOKUP("LIMPEZA",tabDiarias[],2,0),0))</f>
        <v>0</v>
      </c>
      <c r="AI174" s="235">
        <f t="shared" si="24"/>
        <v>7.011766975308642E-3</v>
      </c>
      <c r="AJ174" s="237">
        <f>tabParametros[[#This Row],[FGTS]]*tabParametros[[#This Row],[Aviso Prévio Indenizado (API) e Reflexo do Aviso Prévio Indenizado]]</f>
        <v>5.609413580246914E-4</v>
      </c>
      <c r="AK174" s="237">
        <f>tabParametros[[#This Row],[FGTS]]*tabParametros[[#This Row],[Aviso Prévio Indenizado (API) e Reflexo do Aviso Prévio Indenizado]]*40%</f>
        <v>2.2437654320987658E-4</v>
      </c>
      <c r="AL174" s="235">
        <f t="shared" si="25"/>
        <v>3.5000000000000005E-3</v>
      </c>
      <c r="AM174" s="235">
        <f>tabParametros[[#This Row],[Aviso Prévio Trabalhado - APT]]*SUM(tabParametros[[#This Row],[INSS]:[SEBRAE]])</f>
        <v>1.3230000000000004E-3</v>
      </c>
      <c r="AN174" s="235">
        <f t="shared" si="26"/>
        <v>3.0577777777777773E-2</v>
      </c>
      <c r="AO174" s="235">
        <f t="shared" si="27"/>
        <v>8.3333333333333339E-4</v>
      </c>
      <c r="AP174" s="235">
        <f t="shared" si="28"/>
        <v>8.4444444444444437E-3</v>
      </c>
      <c r="AQ174" s="235">
        <f t="shared" si="29"/>
        <v>2.0277777777777777E-3</v>
      </c>
      <c r="AR174" s="235">
        <f t="shared" si="30"/>
        <v>1.7083333333333333E-4</v>
      </c>
      <c r="AS174" s="235">
        <f t="shared" si="31"/>
        <v>2.0833333333333335E-4</v>
      </c>
      <c r="AT174" s="235">
        <f t="shared" si="32"/>
        <v>1.2962962962962963E-3</v>
      </c>
      <c r="AU174" s="237">
        <f>SUM(tabParametros[[#This Row],[Ausência por Doença]:[Férias, Adicional de Férias e 13º  com empregada em gozo de Licença Maternidade]])*SUM(tabParametros[[#This Row],[INSS]:[SEBRAE]])</f>
        <v>4.5918250000000008E-3</v>
      </c>
      <c r="AV174" s="234">
        <f>IF(tabParametros[[#This Row],[Função]]="Porteiro - 220 h",SUM(tabParametros[[#This Row],[Salário Base]:[Adicional de Acúmulo de função]])/220*20*1.5,IF(ISNUMBER(SEARCH("12 x 36",tabParametros[[#This Row],[Função]],1)),SUM(tabParametros[[#This Row],[Salário Base]:[Adicional de Acúmulo de função]])/210*15.5*1.5,0))</f>
        <v>0</v>
      </c>
      <c r="AW174" s="234">
        <f>IF(tabParametros[[#This Row],[Vagas contratadas]]&gt;0,(SUM(tabParametros[[#This Row],[Salário Base]:[Adicional de Acúmulo de função]])*30%+SUM(tabParametros[[#This Row],[Vale - Alimentação]:[Seguro de Vida]]))/tabParametros[[#This Row],[Vagas contratadas]]*tabParametros[[#This Row],[Vagas suspensas]],0)</f>
        <v>0</v>
      </c>
      <c r="AX174" s="234">
        <f>SUMIF(tabUniformes[Cargo],tabParametros[[#This Row],[Função]],tabUniformes[Valor unit. Mensal])</f>
        <v>100.80916666666666</v>
      </c>
      <c r="AY174" s="281">
        <f>IF(ISNUMBER(SEARCH("AUXILIAR DE LIMPEZA - 75 H",tabParametros[[#This Row],[Função]],1)),
SUMIF(tabLimpGeral[TIPO],"Material",tabLimpGeral[VALOR UNITÁRIO P/ HORA (R$)])*75,
IF(ISNUMBER(SEARCH("AUXILIAR DE LIMPEZA - 110 H",tabParametros[[#This Row],[Função]],1)),
SUMIF(tabLimpGeral[TIPO],"Material",tabLimpGeral[VALOR UNITÁRIO P/ HORA (R$)])*110,
IF(ISNUMBER(SEARCH("AUXILIAR DE LIMPEZA - 150 H",tabParametros[[#This Row],[Função]],1)),
SUMIF(tabLimpGeral[TIPO],"Material",tabLimpGeral[VALOR UNITÁRIO P/ HORA (R$)])*150,
IF(ISNUMBER(SEARCH("AUXILIAR DE LIMPEZA - 220 H",tabParametros[[#This Row],[Função]],1)),
SUMIF(tabLimpGeral[TIPO],"Material",tabLimpGeral[VALOR UNITÁRIO P/ HORA (R$)])*220,
IF(ISNUMBER(SEARCH("AUXILIAR DE LIMPEZA - 12 x 36",tabParametros[[#This Row],[Função]],1)),
SUMIF(tabLimpGeral[TIPO],"Material",tabLimpGeral[VALOR UNITÁRIO P/ HORA (R$)])*220,
IF(ISNUMBER(SEARCH("Limpador de vidros - 220 h",tabParametros[[#This Row],[Função]],1)),
SUMIF(tabVidros[TIPO],"Material",tabVidros[VALOR UNITÁRIO P/ POSTO (R$)]),
0))))))</f>
        <v>35.518212958583888</v>
      </c>
      <c r="AZ174" s="281">
        <f>IF(ISNUMBER(SEARCH("AUXILIAR DE LIMPEZA - 75 H",tabParametros[[#This Row],[Função]],1)),
SUMIF(tabLimpGeral[TIPO],"Equipamento",tabLimpGeral[VALOR UNITÁRIO P/ HORA (R$)])*75,
IF(ISNUMBER(SEARCH("AUXILIAR DE LIMPEZA - 110 H",tabParametros[[#This Row],[Função]],1)),
SUMIF(tabLimpGeral[TIPO],"Equipamento",tabLimpGeral[VALOR UNITÁRIO P/ HORA (R$)])*110,
IF(ISNUMBER(SEARCH("AUXILIAR DE LIMPEZA - 150 H",tabParametros[[#This Row],[Função]],1)),
SUMIF(tabLimpGeral[TIPO],"Equipamento",tabLimpGeral[VALOR UNITÁRIO P/ HORA (R$)])*150,
IF(ISNUMBER(SEARCH("AUXILIAR DE LIMPEZA - 220 H",tabParametros[[#This Row],[Função]],1)),
SUMIF(tabLimpGeral[TIPO],"Equipamento",tabLimpGeral[VALOR UNITÁRIO P/ HORA (R$)])*220,
IF(ISNUMBER(SEARCH("AUXILIAR DE LIMPEZA - 12 x 36",tabParametros[[#This Row],[Função]],1)),
SUMIF(tabLimpGeral[TIPO],"Equipamento",tabLimpGeral[VALOR UNITÁRIO P/ HORA (R$)])*220,
IF(ISNUMBER(SEARCH("Limpador de vidros - 220 h",tabParametros[[#This Row],[Função]],1)),
SUMIF(tabVidros[TIPO],"Equipamento",tabVidros[VALOR UNITÁRIO P/ POSTO (R$)]),
0))))))</f>
        <v>64.529393914825576</v>
      </c>
      <c r="BA174" s="281">
        <f>IF(ISNUMBER(SEARCH("AUXILIAR DE LIMPEZA - 75 H",tabParametros[[#This Row],[Função]],1)),
SUMIF(tabLimpGeral[TIPO],"Produto",tabLimpGeral[VALOR UNITÁRIO P/ HORA (R$)])*75,
IF(ISNUMBER(SEARCH("AUXILIAR DE LIMPEZA - 110 H",tabParametros[[#This Row],[Função]],1)),
SUMIF(tabLimpGeral[TIPO],"Produto",tabLimpGeral[VALOR UNITÁRIO P/ HORA (R$)])*110,
IF(ISNUMBER(SEARCH("AUXILIAR DE LIMPEZA - 150 H",tabParametros[[#This Row],[Função]],1)),
SUMIF(tabLimpGeral[TIPO],"Produto",tabLimpGeral[VALOR UNITÁRIO P/ HORA (R$)])*150,
IF(ISNUMBER(SEARCH("AUXILIAR DE LIMPEZA - 220 H",tabParametros[[#This Row],[Função]],1)),
SUMIF(tabLimpGeral[TIPO],"Produto",tabLimpGeral[VALOR UNITÁRIO P/ HORA (R$)])*220,
IF(ISNUMBER(SEARCH("AUXILIAR DE LIMPEZA - 12 x 36",tabParametros[[#This Row],[Função]],1)),
SUMIF(tabLimpGeral[TIPO],"Produto",tabLimpGeral[VALOR UNITÁRIO P/ HORA (R$)])*220,
IF(ISNUMBER(SEARCH("Limpador de vidros - 220 h",tabParametros[[#This Row],[Função]],1)),
SUMIF(tabVidros[TIPO],"Produto",tabVidros[VALOR UNITÁRIO P/ POSTO (R$)]),
0))))))</f>
        <v>690.27153277931654</v>
      </c>
      <c r="BB174" s="281">
        <v>0</v>
      </c>
      <c r="BC174" s="236">
        <f>VLOOKUP(tabParametros[[#Headers],[Custos Indiretos]],tabOutrosCustos[],3,0)</f>
        <v>189.64880140242613</v>
      </c>
      <c r="BD174" s="236">
        <f>VLOOKUP(tabParametros[[#Headers],[Lucro]],tabOutrosCustos[],3,0)</f>
        <v>159.30499317803796</v>
      </c>
      <c r="BE174" s="235">
        <f>VLOOKUP(tabParametros[[#Headers],[COFINS]],tabImpostosNacionais[],2,0)</f>
        <v>7.5999999999999998E-2</v>
      </c>
      <c r="BF174" s="235">
        <f>VLOOKUP(tabParametros[[#Headers],[PIS]],tabImpostosNacionais[],2,0)</f>
        <v>1.6500000000000001E-2</v>
      </c>
      <c r="BG174" s="235">
        <f>VLOOKUP(tabParametros[[#This Row],[Comarca]],tabComarca[],4,0)</f>
        <v>0.03</v>
      </c>
      <c r="BH174" s="238">
        <f>IFERROR(VLOOKUP(tabParametros[[#This Row],[CCT DA CATEGORIA]],tabSindicatos[],11,0),"")</f>
        <v>45658</v>
      </c>
      <c r="BI174" s="289" t="str">
        <f>IFERROR(VLOOKUP(tabParametros[[#This Row],[CCT DA CATEGORIA]],tabSindicatos[],12,0),"")</f>
        <v>-</v>
      </c>
      <c r="BJ174" s="293" t="str">
        <f>IFERROR(VLOOKUP(tabParametros[[#This Row],[CCT DA CATEGORIA]],tabSindicatos[],13,0),"")</f>
        <v>-</v>
      </c>
    </row>
    <row r="175" spans="1:62" x14ac:dyDescent="0.25">
      <c r="A175" s="233" t="s">
        <v>1511</v>
      </c>
      <c r="B175" s="198" t="s">
        <v>159</v>
      </c>
      <c r="C175" s="198" t="s">
        <v>1247</v>
      </c>
      <c r="D175" s="198" t="str">
        <f>VLOOKUP(tabParametros[[#This Row],[Código do Posto]],tabPostos[],4,0)</f>
        <v>Regiao de Sao Lourenco</v>
      </c>
      <c r="E175" s="289" t="str">
        <f>VLOOKUP(tabParametros[[#This Row],[Código do Posto]],tabPostos[],5,0)</f>
        <v>Limpeza</v>
      </c>
      <c r="F175" s="289" t="str">
        <f>VLOOKUP(tabParametros[[#This Row],[Código do Posto]],tabPostos[],6,0)</f>
        <v>PGJ</v>
      </c>
      <c r="G175" s="289">
        <f>VLOOKUP(tabParametros[[#This Row],[Código do Posto]],tabPostos[],7,0)</f>
        <v>1</v>
      </c>
      <c r="H175" s="289">
        <f>VLOOKUP(tabParametros[[#This Row],[Código do Posto]],tabPostos[],8,0)</f>
        <v>0</v>
      </c>
      <c r="I175" s="234">
        <f>VLOOKUP(tabParametros[[#This Row],[Código do Posto]],tabPostos[],9,0)</f>
        <v>544.17999999999995</v>
      </c>
      <c r="J175" s="234">
        <f>IF(ISNUMBER(SEARCH("Eletricista",tabParametros[[#This Row],[Função]],1)),0.3*tabParametros[[#This Row],[Salário Base]],0)</f>
        <v>0</v>
      </c>
      <c r="K175" s="234">
        <f>IF(OR(ISNUMBER(SEARCH("Bombeiro Hidraulico",tabParametros[[#This Row],[Função]],1)),ISNUMBER(SEARCH("Jardineiro",tabParametros[[#This Row],[Função]],1)),ISNUMBER(SEARCH("Lavador de Veiculos",tabParametros[[#This Row],[Função]],1)),ISNUMBER(SEARCH("Marceneiro",tabParametros[[#This Row],[Função]],1)),ISNUMBER(SEARCH("Pintor",tabParametros[[#This Row],[Função]],1))),0.2*'BASE GERAL'!$R$4,0)</f>
        <v>0</v>
      </c>
      <c r="L175" s="234">
        <f>IF(AND(ISNUMBER(SEARCH("Noturno",tabParametros[[#This Row],[Função]],1)),tabParametros[[#This Row],[Comarca]]&lt;&gt;"Juiz de Fora"),tabParametros[[#This Row],[Salário Base]]/210*0.39*7*15.5,IF(ISNUMBER(SEARCH("Noturno",tabParametros[[#This Row],[Função]],1)),tabParametros[[#This Row],[Salário Base]]/210*0.2*8*15.5,0))</f>
        <v>0</v>
      </c>
      <c r="M175" s="234">
        <f>IF(ISNUMBER(SEARCH("Motorista II",tabParametros[[#This Row],[Função]],1)),0.25*tabParametros[[#This Row],[Salário Base]],0)</f>
        <v>0</v>
      </c>
      <c r="N175" s="250">
        <v>0</v>
      </c>
      <c r="O175" s="234">
        <f>IF(ISNUMBER(SEARCH("TECNOLOGIA DA INFORMACAO",tabParametros[[#This Row],[Função]],1)),0.0201*tabParametros[[#This Row],[Salário Base]],0)</f>
        <v>0</v>
      </c>
      <c r="P175" s="250" cm="1">
        <f t="array" ref="P175">_xlfn.IFS(
ISNUMBER(SEARCH("Auxiliar de Limpeza - 75 h",tabParametros[[#This Row],[Função]],1)),tabParametros[[#This Row],[Salário Base]]/75*0.75*30*0.12,
ISNUMBER(SEARCH("Auxiliar de Limpeza - 110 h",tabParametros[[#This Row],[Função]],1)),tabParametros[[#This Row],[Salário Base]]/110*1*30*0.12,
ISNUMBER(SEARCH("Auxiliar de Limpeza - 150 h",tabParametros[[#This Row],[Função]],1)),tabParametros[[#This Row],[Salário Base]]/150*1.5*30*0.12,
ISNUMBER(SEARCH("Auxiliar de Limpeza - 220 h",tabParametros[[#This Row],[Função]],1)),tabParametros[[#This Row],[Salário Base]]/220*2*30*0.12,
ISNUMBER(SEARCH("Auxiliar de Limpeza - 12 x 36",tabParametros[[#This Row],[Função]],1)),tabParametros[[#This Row],[Salário Base]]/220*2*30*0.12,
ISNUMBER(SEARCH("Auxiliar de Limpeza - 55 h",tabParametros[[#This Row],[Função]],1))=FALSE,0)</f>
        <v>19.590479999999999</v>
      </c>
      <c r="Q175" s="235">
        <f>VLOOKUP(tabParametros[[#Headers],[INSS]],tabImpostosNacionais[],2,0)</f>
        <v>0.2</v>
      </c>
      <c r="R175" s="235">
        <f>VLOOKUP(tabParametros[[#Headers],[SESI OU SESC]],tabImpostosNacionais[],2,0)</f>
        <v>1.4999999999999999E-2</v>
      </c>
      <c r="S175" s="235">
        <f>VLOOKUP(tabParametros[[#Headers],[SENAI OU SENAC]],tabImpostosNacionais[],2,0)</f>
        <v>0.01</v>
      </c>
      <c r="T175" s="235">
        <f>VLOOKUP(tabParametros[[#Headers],[INCRA]],tabImpostosNacionais[],2,0)</f>
        <v>2E-3</v>
      </c>
      <c r="U175" s="235">
        <f>VLOOKUP(tabParametros[[#Headers],[Salário Educação]],tabImpostosNacionais[],2,0)</f>
        <v>2.5000000000000001E-2</v>
      </c>
      <c r="V175" s="235">
        <f>VLOOKUP(tabParametros[[#Headers],[FGTS]],tabImpostosNacionais[],2,0)</f>
        <v>0.08</v>
      </c>
      <c r="W175" s="235">
        <f>VLOOKUP(tabParametros[[#Headers],[RAT Ajustado]],tabImpostosNacionais[],2,0)</f>
        <v>0.04</v>
      </c>
      <c r="X175" s="235">
        <f>VLOOKUP(tabParametros[[#Headers],[SEBRAE]],tabImpostosNacionais[],2,0)</f>
        <v>6.0000000000000001E-3</v>
      </c>
      <c r="Y175" s="235">
        <f t="shared" si="22"/>
        <v>8.3333333333333329E-2</v>
      </c>
      <c r="Z175" s="251">
        <f t="shared" si="23"/>
        <v>0.1111111111111111</v>
      </c>
      <c r="AA175" s="234">
        <f>VLOOKUP(tabParametros[[#This Row],[Comarca]],tabComarca[],5,0)</f>
        <v>6.4</v>
      </c>
      <c r="AB175" s="234">
        <f>IFERROR(VLOOKUP(tabParametros[[#This Row],[CCT DA CATEGORIA]],tabSindicatos[],6,0),0)</f>
        <v>29.15</v>
      </c>
      <c r="AC175" s="234">
        <f>IFERROR(VLOOKUP(tabParametros[[#This Row],[CCT DA CATEGORIA]],tabSindicatos[],7,0),0)</f>
        <v>0</v>
      </c>
      <c r="AD175" s="234" cm="1">
        <f t="array" ref="AD175">_xlfn.LET(
_xlpm.COMARCA, TRIM(UPPER(SUBSTITUTE(SUBSTITUTE(SUBSTITUTE(SUBSTITUTE(SUBSTITUTE(SUBSTITUTE(SUBSTITUTE(SUBSTITUTE(SUBSTITUTE(SUBSTITUTE(SUBSTITUTE(SUBSTITUTE(SUBSTITUTE(SUBSTITUTE(SUBSTITUTE(SUBSTITUTE(SUBSTITUTE(SUBSTITUTE(SUBSTITUTE(SUBSTITUTE(SUBSTITUTE(SUBSTITUTE(SUBSTITUTE(SUBSTITUTE(SUBSTITUTE(SUBSTITUTE(tabParametros[[#This Row],[Comarca]],"á","a"),"ã","a"),"â","a"),"é","e"),"ê","e"),"í","i"),"ó","o"),"õ","o"),"ô","o"),"ú","u"),"ç","c"),"Á","a"),"Ã","a"),"Â","a"),"É","e"),"Ê","e"),"Í","i"),"Ó","o"),"Õ","o"),"Ô","o"),"Ú","u"),"Ç","c"),"/MG","")," e ",", ")," ",""),".",""))),
_xlpm.MATRIZ_COMARCA, TRIM(UPPER(SUBSTITUTE(SUBSTITUTE(SUBSTITUTE(SUBSTITUTE(SUBSTITUTE(SUBSTITUTE(SUBSTITUTE(SUBSTITUTE(SUBSTITUTE(SUBSTITUTE(SUBSTITUTE(SUBSTITUTE(SUBSTITUTE(SUBSTITUTE(SUBSTITUTE(SUBSTITUTE(SUBSTITUTE(SUBSTITUTE(SUBSTITUTE(SUBSTITUTE(SUBSTITUTE(SUBSTITUTE(SUBSTITUTE(SUBSTITUTE(SUBSTITUTE(SUBSTITUTE(tabSindicatos[COMARCAS PAF],"á","a"),"ã","a"),"â","a"),"é","e"),"ê","e"),"í","i"),"ó","o"),"õ","o"),"ô","o"),"ú","u"),"ç","c"),"Á","a"),"Ã","a"),"Â","a"),"É","e"),"Ê","e"),"Í","i"),"Ó","o"),"Õ","o"),"Ô","o"),"Ú","u"),"Ç","c"),"/MG","")," e ",", ")," ",""),".",""))),
IFERROR(IF(_xlfn.XLOOKUP(tabParametros[[#This Row],[CCT DA CATEGORIA]],tabSindicatos[SINDICATOS],tabSindicatos[COMARCAS PAF])="",
VLOOKUP(tabParametros[[#This Row],[CCT DA CATEGORIA]],tabSindicatos[],8,0),
IF(ISNUMBER(SEARCH(TRIM(_xlpm.COMARCA),_xlfn.XLOOKUP(tabParametros[[#This Row],[CCT DA CATEGORIA]],tabSindicatos[SINDICATOS],_xlpm.MATRIZ_COMARCA),1)),VLOOKUP(tabParametros[[#This Row],[CCT DA CATEGORIA]],tabSindicatos[],8,0),0)
),0)
)</f>
        <v>0</v>
      </c>
      <c r="AE175" s="234">
        <f>IFERROR(VLOOKUP(tabParametros[[#This Row],[CCT DA CATEGORIA]],tabSindicatos[],9,0),0)</f>
        <v>0</v>
      </c>
      <c r="AF175" s="234">
        <f>IFERROR(VLOOKUP(tabParametros[[#This Row],[CCT DA CATEGORIA]],tabSindicatos[],10,0),0)</f>
        <v>0</v>
      </c>
      <c r="AG175" s="236">
        <f>VLOOKUP(tabParametros[[#Headers],[Seguro de Vida]],tabOutrosCustos[],3,0)</f>
        <v>3.36</v>
      </c>
      <c r="AH175" s="236">
        <f>IF(ISNUMBER(SEARCH("MOTORISTA",tabParametros[[#This Row],[Função]],1)),VLOOKUP("MOTORISTAS",tabDiarias[],2,0),IF(tabParametros[[#This Row],[Comarca]]="Belo Horizonte",VLOOKUP("LIMPEZA",tabDiarias[],2,0),0))</f>
        <v>0</v>
      </c>
      <c r="AI175" s="235">
        <f t="shared" si="24"/>
        <v>7.011766975308642E-3</v>
      </c>
      <c r="AJ175" s="237">
        <f>tabParametros[[#This Row],[FGTS]]*tabParametros[[#This Row],[Aviso Prévio Indenizado (API) e Reflexo do Aviso Prévio Indenizado]]</f>
        <v>5.609413580246914E-4</v>
      </c>
      <c r="AK175" s="237">
        <f>tabParametros[[#This Row],[FGTS]]*tabParametros[[#This Row],[Aviso Prévio Indenizado (API) e Reflexo do Aviso Prévio Indenizado]]*40%</f>
        <v>2.2437654320987658E-4</v>
      </c>
      <c r="AL175" s="235">
        <f t="shared" si="25"/>
        <v>3.5000000000000005E-3</v>
      </c>
      <c r="AM175" s="235">
        <f>tabParametros[[#This Row],[Aviso Prévio Trabalhado - APT]]*SUM(tabParametros[[#This Row],[INSS]:[SEBRAE]])</f>
        <v>1.3230000000000004E-3</v>
      </c>
      <c r="AN175" s="235">
        <f t="shared" si="26"/>
        <v>3.0577777777777773E-2</v>
      </c>
      <c r="AO175" s="235">
        <f t="shared" si="27"/>
        <v>8.3333333333333339E-4</v>
      </c>
      <c r="AP175" s="235">
        <f t="shared" si="28"/>
        <v>8.4444444444444437E-3</v>
      </c>
      <c r="AQ175" s="235">
        <f t="shared" si="29"/>
        <v>2.0277777777777777E-3</v>
      </c>
      <c r="AR175" s="235">
        <f t="shared" si="30"/>
        <v>1.7083333333333333E-4</v>
      </c>
      <c r="AS175" s="235">
        <f t="shared" si="31"/>
        <v>2.0833333333333335E-4</v>
      </c>
      <c r="AT175" s="235">
        <f t="shared" si="32"/>
        <v>1.2962962962962963E-3</v>
      </c>
      <c r="AU175" s="237">
        <f>SUM(tabParametros[[#This Row],[Ausência por Doença]:[Férias, Adicional de Férias e 13º  com empregada em gozo de Licença Maternidade]])*SUM(tabParametros[[#This Row],[INSS]:[SEBRAE]])</f>
        <v>4.5918250000000008E-3</v>
      </c>
      <c r="AV175" s="234">
        <f>IF(tabParametros[[#This Row],[Função]]="Porteiro - 220 h",SUM(tabParametros[[#This Row],[Salário Base]:[Adicional de Acúmulo de função]])/220*20*1.5,IF(ISNUMBER(SEARCH("12 x 36",tabParametros[[#This Row],[Função]],1)),SUM(tabParametros[[#This Row],[Salário Base]:[Adicional de Acúmulo de função]])/210*15.5*1.5,0))</f>
        <v>0</v>
      </c>
      <c r="AW175" s="234">
        <f>IF(tabParametros[[#This Row],[Vagas contratadas]]&gt;0,(SUM(tabParametros[[#This Row],[Salário Base]:[Adicional de Acúmulo de função]])*30%+SUM(tabParametros[[#This Row],[Vale - Alimentação]:[Seguro de Vida]]))/tabParametros[[#This Row],[Vagas contratadas]]*tabParametros[[#This Row],[Vagas suspensas]],0)</f>
        <v>0</v>
      </c>
      <c r="AX175" s="234">
        <f>SUMIF(tabUniformes[Cargo],tabParametros[[#This Row],[Função]],tabUniformes[Valor unit. Mensal])</f>
        <v>62.806666666666665</v>
      </c>
      <c r="AY175" s="281">
        <f>IF(ISNUMBER(SEARCH("AUXILIAR DE LIMPEZA - 75 H",tabParametros[[#This Row],[Função]],1)),
SUMIF(tabLimpGeral[TIPO],"Material",tabLimpGeral[VALOR UNITÁRIO P/ HORA (R$)])*75,
IF(ISNUMBER(SEARCH("AUXILIAR DE LIMPEZA - 110 H",tabParametros[[#This Row],[Função]],1)),
SUMIF(tabLimpGeral[TIPO],"Material",tabLimpGeral[VALOR UNITÁRIO P/ HORA (R$)])*110,
IF(ISNUMBER(SEARCH("AUXILIAR DE LIMPEZA - 150 H",tabParametros[[#This Row],[Função]],1)),
SUMIF(tabLimpGeral[TIPO],"Material",tabLimpGeral[VALOR UNITÁRIO P/ HORA (R$)])*150,
IF(ISNUMBER(SEARCH("AUXILIAR DE LIMPEZA - 220 H",tabParametros[[#This Row],[Função]],1)),
SUMIF(tabLimpGeral[TIPO],"Material",tabLimpGeral[VALOR UNITÁRIO P/ HORA (R$)])*220,
IF(ISNUMBER(SEARCH("AUXILIAR DE LIMPEZA - 12 x 36",tabParametros[[#This Row],[Função]],1)),
SUMIF(tabLimpGeral[TIPO],"Material",tabLimpGeral[VALOR UNITÁRIO P/ HORA (R$)])*220,
IF(ISNUMBER(SEARCH("Limpador de vidros - 220 h",tabParametros[[#This Row],[Função]],1)),
SUMIF(tabVidros[TIPO],"Material",tabVidros[VALOR UNITÁRIO P/ POSTO (R$)]),
0))))))</f>
        <v>12.108481690426325</v>
      </c>
      <c r="AZ175" s="281">
        <f>IF(ISNUMBER(SEARCH("AUXILIAR DE LIMPEZA - 75 H",tabParametros[[#This Row],[Função]],1)),
SUMIF(tabLimpGeral[TIPO],"Equipamento",tabLimpGeral[VALOR UNITÁRIO P/ HORA (R$)])*75,
IF(ISNUMBER(SEARCH("AUXILIAR DE LIMPEZA - 110 H",tabParametros[[#This Row],[Função]],1)),
SUMIF(tabLimpGeral[TIPO],"Equipamento",tabLimpGeral[VALOR UNITÁRIO P/ HORA (R$)])*110,
IF(ISNUMBER(SEARCH("AUXILIAR DE LIMPEZA - 150 H",tabParametros[[#This Row],[Função]],1)),
SUMIF(tabLimpGeral[TIPO],"Equipamento",tabLimpGeral[VALOR UNITÁRIO P/ HORA (R$)])*150,
IF(ISNUMBER(SEARCH("AUXILIAR DE LIMPEZA - 220 H",tabParametros[[#This Row],[Função]],1)),
SUMIF(tabLimpGeral[TIPO],"Equipamento",tabLimpGeral[VALOR UNITÁRIO P/ HORA (R$)])*220,
IF(ISNUMBER(SEARCH("AUXILIAR DE LIMPEZA - 12 x 36",tabParametros[[#This Row],[Função]],1)),
SUMIF(tabLimpGeral[TIPO],"Equipamento",tabLimpGeral[VALOR UNITÁRIO P/ HORA (R$)])*220,
IF(ISNUMBER(SEARCH("Limpador de vidros - 220 h",tabParametros[[#This Row],[Função]],1)),
SUMIF(tabVidros[TIPO],"Equipamento",tabVidros[VALOR UNITÁRIO P/ POSTO (R$)]),
0))))))</f>
        <v>21.998657016417809</v>
      </c>
      <c r="BA175" s="281">
        <f>IF(ISNUMBER(SEARCH("AUXILIAR DE LIMPEZA - 75 H",tabParametros[[#This Row],[Função]],1)),
SUMIF(tabLimpGeral[TIPO],"Produto",tabLimpGeral[VALOR UNITÁRIO P/ HORA (R$)])*75,
IF(ISNUMBER(SEARCH("AUXILIAR DE LIMPEZA - 110 H",tabParametros[[#This Row],[Função]],1)),
SUMIF(tabLimpGeral[TIPO],"Produto",tabLimpGeral[VALOR UNITÁRIO P/ HORA (R$)])*110,
IF(ISNUMBER(SEARCH("AUXILIAR DE LIMPEZA - 150 H",tabParametros[[#This Row],[Função]],1)),
SUMIF(tabLimpGeral[TIPO],"Produto",tabLimpGeral[VALOR UNITÁRIO P/ HORA (R$)])*150,
IF(ISNUMBER(SEARCH("AUXILIAR DE LIMPEZA - 220 H",tabParametros[[#This Row],[Função]],1)),
SUMIF(tabLimpGeral[TIPO],"Produto",tabLimpGeral[VALOR UNITÁRIO P/ HORA (R$)])*220,
IF(ISNUMBER(SEARCH("AUXILIAR DE LIMPEZA - 12 x 36",tabParametros[[#This Row],[Função]],1)),
SUMIF(tabLimpGeral[TIPO],"Produto",tabLimpGeral[VALOR UNITÁRIO P/ HORA (R$)])*220,
IF(ISNUMBER(SEARCH("Limpador de vidros - 220 h",tabParametros[[#This Row],[Função]],1)),
SUMIF(tabVidros[TIPO],"Produto",tabVidros[VALOR UNITÁRIO P/ POSTO (R$)]),
0))))))</f>
        <v>235.31984072022155</v>
      </c>
      <c r="BB175" s="281">
        <v>0</v>
      </c>
      <c r="BC175" s="236">
        <f>VLOOKUP(tabParametros[[#Headers],[Custos Indiretos]],tabOutrosCustos[],3,0)</f>
        <v>189.64880140242613</v>
      </c>
      <c r="BD175" s="236">
        <f>VLOOKUP(tabParametros[[#Headers],[Lucro]],tabOutrosCustos[],3,0)</f>
        <v>159.30499317803796</v>
      </c>
      <c r="BE175" s="235">
        <f>VLOOKUP(tabParametros[[#Headers],[COFINS]],tabImpostosNacionais[],2,0)</f>
        <v>7.5999999999999998E-2</v>
      </c>
      <c r="BF175" s="235">
        <f>VLOOKUP(tabParametros[[#Headers],[PIS]],tabImpostosNacionais[],2,0)</f>
        <v>1.6500000000000001E-2</v>
      </c>
      <c r="BG175" s="235">
        <f>VLOOKUP(tabParametros[[#This Row],[Comarca]],tabComarca[],4,0)</f>
        <v>0.05</v>
      </c>
      <c r="BH175" s="238">
        <f>IFERROR(VLOOKUP(tabParametros[[#This Row],[CCT DA CATEGORIA]],tabSindicatos[],11,0),"")</f>
        <v>45658</v>
      </c>
      <c r="BI175" s="289" t="str">
        <f>IFERROR(VLOOKUP(tabParametros[[#This Row],[CCT DA CATEGORIA]],tabSindicatos[],12,0),"")</f>
        <v>-</v>
      </c>
      <c r="BJ175" s="293" t="str">
        <f>IFERROR(VLOOKUP(tabParametros[[#This Row],[CCT DA CATEGORIA]],tabSindicatos[],13,0),"")</f>
        <v>-</v>
      </c>
    </row>
    <row r="176" spans="1:62" x14ac:dyDescent="0.25">
      <c r="A176" s="233" t="s">
        <v>1512</v>
      </c>
      <c r="B176" s="198" t="s">
        <v>160</v>
      </c>
      <c r="C176" s="198" t="s">
        <v>1245</v>
      </c>
      <c r="D176" s="198" t="str">
        <f>VLOOKUP(tabParametros[[#This Row],[Código do Posto]],tabPostos[],4,0)</f>
        <v>Regiao de Ouro Preto</v>
      </c>
      <c r="E176" s="289" t="str">
        <f>VLOOKUP(tabParametros[[#This Row],[Código do Posto]],tabPostos[],5,0)</f>
        <v>Limpeza</v>
      </c>
      <c r="F176" s="289" t="str">
        <f>VLOOKUP(tabParametros[[#This Row],[Código do Posto]],tabPostos[],6,0)</f>
        <v>PGJ</v>
      </c>
      <c r="G176" s="289">
        <f>VLOOKUP(tabParametros[[#This Row],[Código do Posto]],tabPostos[],7,0)</f>
        <v>1</v>
      </c>
      <c r="H176" s="289">
        <f>VLOOKUP(tabParametros[[#This Row],[Código do Posto]],tabPostos[],8,0)</f>
        <v>0</v>
      </c>
      <c r="I176" s="234">
        <f>VLOOKUP(tabParametros[[#This Row],[Código do Posto]],tabPostos[],9,0)</f>
        <v>1596.28</v>
      </c>
      <c r="J176" s="234">
        <f>IF(ISNUMBER(SEARCH("Eletricista",tabParametros[[#This Row],[Função]],1)),0.3*tabParametros[[#This Row],[Salário Base]],0)</f>
        <v>0</v>
      </c>
      <c r="K176" s="234">
        <f>IF(OR(ISNUMBER(SEARCH("Bombeiro Hidraulico",tabParametros[[#This Row],[Função]],1)),ISNUMBER(SEARCH("Jardineiro",tabParametros[[#This Row],[Função]],1)),ISNUMBER(SEARCH("Lavador de Veiculos",tabParametros[[#This Row],[Função]],1)),ISNUMBER(SEARCH("Marceneiro",tabParametros[[#This Row],[Função]],1)),ISNUMBER(SEARCH("Pintor",tabParametros[[#This Row],[Função]],1))),0.2*'BASE GERAL'!$R$4,0)</f>
        <v>0</v>
      </c>
      <c r="L176" s="234">
        <f>IF(AND(ISNUMBER(SEARCH("Noturno",tabParametros[[#This Row],[Função]],1)),tabParametros[[#This Row],[Comarca]]&lt;&gt;"Juiz de Fora"),tabParametros[[#This Row],[Salário Base]]/210*0.39*7*15.5,IF(ISNUMBER(SEARCH("Noturno",tabParametros[[#This Row],[Função]],1)),tabParametros[[#This Row],[Salário Base]]/210*0.2*8*15.5,0))</f>
        <v>0</v>
      </c>
      <c r="M176" s="234">
        <f>IF(ISNUMBER(SEARCH("Motorista II",tabParametros[[#This Row],[Função]],1)),0.25*tabParametros[[#This Row],[Salário Base]],0)</f>
        <v>0</v>
      </c>
      <c r="N176" s="250">
        <v>0</v>
      </c>
      <c r="O176" s="234">
        <f>IF(ISNUMBER(SEARCH("TECNOLOGIA DA INFORMACAO",tabParametros[[#This Row],[Função]],1)),0.0201*tabParametros[[#This Row],[Salário Base]],0)</f>
        <v>0</v>
      </c>
      <c r="P176" s="250" cm="1">
        <f t="array" ref="P176">_xlfn.IFS(
ISNUMBER(SEARCH("Auxiliar de Limpeza - 75 h",tabParametros[[#This Row],[Função]],1)),tabParametros[[#This Row],[Salário Base]]/75*0.75*30*0.12,
ISNUMBER(SEARCH("Auxiliar de Limpeza - 110 h",tabParametros[[#This Row],[Função]],1)),tabParametros[[#This Row],[Salário Base]]/110*1*30*0.12,
ISNUMBER(SEARCH("Auxiliar de Limpeza - 150 h",tabParametros[[#This Row],[Função]],1)),tabParametros[[#This Row],[Salário Base]]/150*1.5*30*0.12,
ISNUMBER(SEARCH("Auxiliar de Limpeza - 220 h",tabParametros[[#This Row],[Função]],1)),tabParametros[[#This Row],[Salário Base]]/220*2*30*0.12,
ISNUMBER(SEARCH("Auxiliar de Limpeza - 12 x 36",tabParametros[[#This Row],[Função]],1)),tabParametros[[#This Row],[Salário Base]]/220*2*30*0.12,
ISNUMBER(SEARCH("Auxiliar de Limpeza - 55 h",tabParametros[[#This Row],[Função]],1))=FALSE,0)</f>
        <v>52.241890909090905</v>
      </c>
      <c r="Q176" s="235">
        <f>VLOOKUP(tabParametros[[#Headers],[INSS]],tabImpostosNacionais[],2,0)</f>
        <v>0.2</v>
      </c>
      <c r="R176" s="235">
        <f>VLOOKUP(tabParametros[[#Headers],[SESI OU SESC]],tabImpostosNacionais[],2,0)</f>
        <v>1.4999999999999999E-2</v>
      </c>
      <c r="S176" s="235">
        <f>VLOOKUP(tabParametros[[#Headers],[SENAI OU SENAC]],tabImpostosNacionais[],2,0)</f>
        <v>0.01</v>
      </c>
      <c r="T176" s="235">
        <f>VLOOKUP(tabParametros[[#Headers],[INCRA]],tabImpostosNacionais[],2,0)</f>
        <v>2E-3</v>
      </c>
      <c r="U176" s="235">
        <f>VLOOKUP(tabParametros[[#Headers],[Salário Educação]],tabImpostosNacionais[],2,0)</f>
        <v>2.5000000000000001E-2</v>
      </c>
      <c r="V176" s="235">
        <f>VLOOKUP(tabParametros[[#Headers],[FGTS]],tabImpostosNacionais[],2,0)</f>
        <v>0.08</v>
      </c>
      <c r="W176" s="235">
        <f>VLOOKUP(tabParametros[[#Headers],[RAT Ajustado]],tabImpostosNacionais[],2,0)</f>
        <v>0.04</v>
      </c>
      <c r="X176" s="235">
        <f>VLOOKUP(tabParametros[[#Headers],[SEBRAE]],tabImpostosNacionais[],2,0)</f>
        <v>6.0000000000000001E-3</v>
      </c>
      <c r="Y176" s="235">
        <f t="shared" si="22"/>
        <v>8.3333333333333329E-2</v>
      </c>
      <c r="Z176" s="251">
        <f t="shared" si="23"/>
        <v>0.1111111111111111</v>
      </c>
      <c r="AA176" s="234">
        <f>VLOOKUP(tabParametros[[#This Row],[Comarca]],tabComarca[],5,0)</f>
        <v>6.4</v>
      </c>
      <c r="AB176" s="234">
        <f>IFERROR(VLOOKUP(tabParametros[[#This Row],[CCT DA CATEGORIA]],tabSindicatos[],6,0),0)</f>
        <v>29.15</v>
      </c>
      <c r="AC176" s="234">
        <f>IFERROR(VLOOKUP(tabParametros[[#This Row],[CCT DA CATEGORIA]],tabSindicatos[],7,0),0)</f>
        <v>0</v>
      </c>
      <c r="AD176" s="234" cm="1">
        <f t="array" ref="AD176">_xlfn.LET(
_xlpm.COMARCA, TRIM(UPPER(SUBSTITUTE(SUBSTITUTE(SUBSTITUTE(SUBSTITUTE(SUBSTITUTE(SUBSTITUTE(SUBSTITUTE(SUBSTITUTE(SUBSTITUTE(SUBSTITUTE(SUBSTITUTE(SUBSTITUTE(SUBSTITUTE(SUBSTITUTE(SUBSTITUTE(SUBSTITUTE(SUBSTITUTE(SUBSTITUTE(SUBSTITUTE(SUBSTITUTE(SUBSTITUTE(SUBSTITUTE(SUBSTITUTE(SUBSTITUTE(SUBSTITUTE(SUBSTITUTE(tabParametros[[#This Row],[Comarca]],"á","a"),"ã","a"),"â","a"),"é","e"),"ê","e"),"í","i"),"ó","o"),"õ","o"),"ô","o"),"ú","u"),"ç","c"),"Á","a"),"Ã","a"),"Â","a"),"É","e"),"Ê","e"),"Í","i"),"Ó","o"),"Õ","o"),"Ô","o"),"Ú","u"),"Ç","c"),"/MG","")," e ",", ")," ",""),".",""))),
_xlpm.MATRIZ_COMARCA, TRIM(UPPER(SUBSTITUTE(SUBSTITUTE(SUBSTITUTE(SUBSTITUTE(SUBSTITUTE(SUBSTITUTE(SUBSTITUTE(SUBSTITUTE(SUBSTITUTE(SUBSTITUTE(SUBSTITUTE(SUBSTITUTE(SUBSTITUTE(SUBSTITUTE(SUBSTITUTE(SUBSTITUTE(SUBSTITUTE(SUBSTITUTE(SUBSTITUTE(SUBSTITUTE(SUBSTITUTE(SUBSTITUTE(SUBSTITUTE(SUBSTITUTE(SUBSTITUTE(SUBSTITUTE(tabSindicatos[COMARCAS PAF],"á","a"),"ã","a"),"â","a"),"é","e"),"ê","e"),"í","i"),"ó","o"),"õ","o"),"ô","o"),"ú","u"),"ç","c"),"Á","a"),"Ã","a"),"Â","a"),"É","e"),"Ê","e"),"Í","i"),"Ó","o"),"Õ","o"),"Ô","o"),"Ú","u"),"Ç","c"),"/MG","")," e ",", ")," ",""),".",""))),
IFERROR(IF(_xlfn.XLOOKUP(tabParametros[[#This Row],[CCT DA CATEGORIA]],tabSindicatos[SINDICATOS],tabSindicatos[COMARCAS PAF])="",
VLOOKUP(tabParametros[[#This Row],[CCT DA CATEGORIA]],tabSindicatos[],8,0),
IF(ISNUMBER(SEARCH(TRIM(_xlpm.COMARCA),_xlfn.XLOOKUP(tabParametros[[#This Row],[CCT DA CATEGORIA]],tabSindicatos[SINDICATOS],_xlpm.MATRIZ_COMARCA),1)),VLOOKUP(tabParametros[[#This Row],[CCT DA CATEGORIA]],tabSindicatos[],8,0),0)
),0)
)</f>
        <v>51.87</v>
      </c>
      <c r="AE176" s="234">
        <f>IFERROR(VLOOKUP(tabParametros[[#This Row],[CCT DA CATEGORIA]],tabSindicatos[],9,0),0)</f>
        <v>0</v>
      </c>
      <c r="AF176" s="234">
        <f>IFERROR(VLOOKUP(tabParametros[[#This Row],[CCT DA CATEGORIA]],tabSindicatos[],10,0),0)</f>
        <v>0</v>
      </c>
      <c r="AG176" s="236">
        <f>VLOOKUP(tabParametros[[#Headers],[Seguro de Vida]],tabOutrosCustos[],3,0)</f>
        <v>3.36</v>
      </c>
      <c r="AH176" s="236">
        <f>IF(ISNUMBER(SEARCH("MOTORISTA",tabParametros[[#This Row],[Função]],1)),VLOOKUP("MOTORISTAS",tabDiarias[],2,0),IF(tabParametros[[#This Row],[Comarca]]="Belo Horizonte",VLOOKUP("LIMPEZA",tabDiarias[],2,0),0))</f>
        <v>0</v>
      </c>
      <c r="AI176" s="235">
        <f t="shared" si="24"/>
        <v>7.011766975308642E-3</v>
      </c>
      <c r="AJ176" s="237">
        <f>tabParametros[[#This Row],[FGTS]]*tabParametros[[#This Row],[Aviso Prévio Indenizado (API) e Reflexo do Aviso Prévio Indenizado]]</f>
        <v>5.609413580246914E-4</v>
      </c>
      <c r="AK176" s="237">
        <f>tabParametros[[#This Row],[FGTS]]*tabParametros[[#This Row],[Aviso Prévio Indenizado (API) e Reflexo do Aviso Prévio Indenizado]]*40%</f>
        <v>2.2437654320987658E-4</v>
      </c>
      <c r="AL176" s="235">
        <f t="shared" si="25"/>
        <v>3.5000000000000005E-3</v>
      </c>
      <c r="AM176" s="235">
        <f>tabParametros[[#This Row],[Aviso Prévio Trabalhado - APT]]*SUM(tabParametros[[#This Row],[INSS]:[SEBRAE]])</f>
        <v>1.3230000000000004E-3</v>
      </c>
      <c r="AN176" s="235">
        <f t="shared" si="26"/>
        <v>3.0577777777777773E-2</v>
      </c>
      <c r="AO176" s="235">
        <f t="shared" si="27"/>
        <v>8.3333333333333339E-4</v>
      </c>
      <c r="AP176" s="235">
        <f t="shared" si="28"/>
        <v>8.4444444444444437E-3</v>
      </c>
      <c r="AQ176" s="235">
        <f t="shared" si="29"/>
        <v>2.0277777777777777E-3</v>
      </c>
      <c r="AR176" s="235">
        <f t="shared" si="30"/>
        <v>1.7083333333333333E-4</v>
      </c>
      <c r="AS176" s="235">
        <f t="shared" si="31"/>
        <v>2.0833333333333335E-4</v>
      </c>
      <c r="AT176" s="235">
        <f t="shared" si="32"/>
        <v>1.2962962962962963E-3</v>
      </c>
      <c r="AU176" s="237">
        <f>SUM(tabParametros[[#This Row],[Ausência por Doença]:[Férias, Adicional de Férias e 13º  com empregada em gozo de Licença Maternidade]])*SUM(tabParametros[[#This Row],[INSS]:[SEBRAE]])</f>
        <v>4.5918250000000008E-3</v>
      </c>
      <c r="AV176" s="234">
        <f>IF(tabParametros[[#This Row],[Função]]="Porteiro - 220 h",SUM(tabParametros[[#This Row],[Salário Base]:[Adicional de Acúmulo de função]])/220*20*1.5,IF(ISNUMBER(SEARCH("12 x 36",tabParametros[[#This Row],[Função]],1)),SUM(tabParametros[[#This Row],[Salário Base]:[Adicional de Acúmulo de função]])/210*15.5*1.5,0))</f>
        <v>0</v>
      </c>
      <c r="AW176" s="234">
        <f>IF(tabParametros[[#This Row],[Vagas contratadas]]&gt;0,(SUM(tabParametros[[#This Row],[Salário Base]:[Adicional de Acúmulo de função]])*30%+SUM(tabParametros[[#This Row],[Vale - Alimentação]:[Seguro de Vida]]))/tabParametros[[#This Row],[Vagas contratadas]]*tabParametros[[#This Row],[Vagas suspensas]],0)</f>
        <v>0</v>
      </c>
      <c r="AX176" s="234">
        <f>SUMIF(tabUniformes[Cargo],tabParametros[[#This Row],[Função]],tabUniformes[Valor unit. Mensal])</f>
        <v>100.80916666666666</v>
      </c>
      <c r="AY176" s="281">
        <f>IF(ISNUMBER(SEARCH("AUXILIAR DE LIMPEZA - 75 H",tabParametros[[#This Row],[Função]],1)),
SUMIF(tabLimpGeral[TIPO],"Material",tabLimpGeral[VALOR UNITÁRIO P/ HORA (R$)])*75,
IF(ISNUMBER(SEARCH("AUXILIAR DE LIMPEZA - 110 H",tabParametros[[#This Row],[Função]],1)),
SUMIF(tabLimpGeral[TIPO],"Material",tabLimpGeral[VALOR UNITÁRIO P/ HORA (R$)])*110,
IF(ISNUMBER(SEARCH("AUXILIAR DE LIMPEZA - 150 H",tabParametros[[#This Row],[Função]],1)),
SUMIF(tabLimpGeral[TIPO],"Material",tabLimpGeral[VALOR UNITÁRIO P/ HORA (R$)])*150,
IF(ISNUMBER(SEARCH("AUXILIAR DE LIMPEZA - 220 H",tabParametros[[#This Row],[Função]],1)),
SUMIF(tabLimpGeral[TIPO],"Material",tabLimpGeral[VALOR UNITÁRIO P/ HORA (R$)])*220,
IF(ISNUMBER(SEARCH("AUXILIAR DE LIMPEZA - 12 x 36",tabParametros[[#This Row],[Função]],1)),
SUMIF(tabLimpGeral[TIPO],"Material",tabLimpGeral[VALOR UNITÁRIO P/ HORA (R$)])*220,
IF(ISNUMBER(SEARCH("Limpador de vidros - 220 h",tabParametros[[#This Row],[Função]],1)),
SUMIF(tabVidros[TIPO],"Material",tabVidros[VALOR UNITÁRIO P/ POSTO (R$)]),
0))))))</f>
        <v>35.518212958583888</v>
      </c>
      <c r="AZ176" s="281">
        <f>IF(ISNUMBER(SEARCH("AUXILIAR DE LIMPEZA - 75 H",tabParametros[[#This Row],[Função]],1)),
SUMIF(tabLimpGeral[TIPO],"Equipamento",tabLimpGeral[VALOR UNITÁRIO P/ HORA (R$)])*75,
IF(ISNUMBER(SEARCH("AUXILIAR DE LIMPEZA - 110 H",tabParametros[[#This Row],[Função]],1)),
SUMIF(tabLimpGeral[TIPO],"Equipamento",tabLimpGeral[VALOR UNITÁRIO P/ HORA (R$)])*110,
IF(ISNUMBER(SEARCH("AUXILIAR DE LIMPEZA - 150 H",tabParametros[[#This Row],[Função]],1)),
SUMIF(tabLimpGeral[TIPO],"Equipamento",tabLimpGeral[VALOR UNITÁRIO P/ HORA (R$)])*150,
IF(ISNUMBER(SEARCH("AUXILIAR DE LIMPEZA - 220 H",tabParametros[[#This Row],[Função]],1)),
SUMIF(tabLimpGeral[TIPO],"Equipamento",tabLimpGeral[VALOR UNITÁRIO P/ HORA (R$)])*220,
IF(ISNUMBER(SEARCH("AUXILIAR DE LIMPEZA - 12 x 36",tabParametros[[#This Row],[Função]],1)),
SUMIF(tabLimpGeral[TIPO],"Equipamento",tabLimpGeral[VALOR UNITÁRIO P/ HORA (R$)])*220,
IF(ISNUMBER(SEARCH("Limpador de vidros - 220 h",tabParametros[[#This Row],[Função]],1)),
SUMIF(tabVidros[TIPO],"Equipamento",tabVidros[VALOR UNITÁRIO P/ POSTO (R$)]),
0))))))</f>
        <v>64.529393914825576</v>
      </c>
      <c r="BA176" s="281">
        <f>IF(ISNUMBER(SEARCH("AUXILIAR DE LIMPEZA - 75 H",tabParametros[[#This Row],[Função]],1)),
SUMIF(tabLimpGeral[TIPO],"Produto",tabLimpGeral[VALOR UNITÁRIO P/ HORA (R$)])*75,
IF(ISNUMBER(SEARCH("AUXILIAR DE LIMPEZA - 110 H",tabParametros[[#This Row],[Função]],1)),
SUMIF(tabLimpGeral[TIPO],"Produto",tabLimpGeral[VALOR UNITÁRIO P/ HORA (R$)])*110,
IF(ISNUMBER(SEARCH("AUXILIAR DE LIMPEZA - 150 H",tabParametros[[#This Row],[Função]],1)),
SUMIF(tabLimpGeral[TIPO],"Produto",tabLimpGeral[VALOR UNITÁRIO P/ HORA (R$)])*150,
IF(ISNUMBER(SEARCH("AUXILIAR DE LIMPEZA - 220 H",tabParametros[[#This Row],[Função]],1)),
SUMIF(tabLimpGeral[TIPO],"Produto",tabLimpGeral[VALOR UNITÁRIO P/ HORA (R$)])*220,
IF(ISNUMBER(SEARCH("AUXILIAR DE LIMPEZA - 12 x 36",tabParametros[[#This Row],[Função]],1)),
SUMIF(tabLimpGeral[TIPO],"Produto",tabLimpGeral[VALOR UNITÁRIO P/ HORA (R$)])*220,
IF(ISNUMBER(SEARCH("Limpador de vidros - 220 h",tabParametros[[#This Row],[Função]],1)),
SUMIF(tabVidros[TIPO],"Produto",tabVidros[VALOR UNITÁRIO P/ POSTO (R$)]),
0))))))</f>
        <v>690.27153277931654</v>
      </c>
      <c r="BB176" s="281">
        <v>0</v>
      </c>
      <c r="BC176" s="236">
        <f>VLOOKUP(tabParametros[[#Headers],[Custos Indiretos]],tabOutrosCustos[],3,0)</f>
        <v>189.64880140242613</v>
      </c>
      <c r="BD176" s="236">
        <f>VLOOKUP(tabParametros[[#Headers],[Lucro]],tabOutrosCustos[],3,0)</f>
        <v>159.30499317803796</v>
      </c>
      <c r="BE176" s="235">
        <f>VLOOKUP(tabParametros[[#Headers],[COFINS]],tabImpostosNacionais[],2,0)</f>
        <v>7.5999999999999998E-2</v>
      </c>
      <c r="BF176" s="235">
        <f>VLOOKUP(tabParametros[[#Headers],[PIS]],tabImpostosNacionais[],2,0)</f>
        <v>1.6500000000000001E-2</v>
      </c>
      <c r="BG176" s="235">
        <f>VLOOKUP(tabParametros[[#This Row],[Comarca]],tabComarca[],4,0)</f>
        <v>0.05</v>
      </c>
      <c r="BH176" s="238">
        <f>IFERROR(VLOOKUP(tabParametros[[#This Row],[CCT DA CATEGORIA]],tabSindicatos[],11,0),"")</f>
        <v>45658</v>
      </c>
      <c r="BI176" s="289" t="str">
        <f>IFERROR(VLOOKUP(tabParametros[[#This Row],[CCT DA CATEGORIA]],tabSindicatos[],12,0),"")</f>
        <v>-</v>
      </c>
      <c r="BJ176" s="293" t="str">
        <f>IFERROR(VLOOKUP(tabParametros[[#This Row],[CCT DA CATEGORIA]],tabSindicatos[],13,0),"")</f>
        <v>-</v>
      </c>
    </row>
    <row r="177" spans="1:62" x14ac:dyDescent="0.25">
      <c r="A177" s="233" t="s">
        <v>1513</v>
      </c>
      <c r="B177" s="198" t="s">
        <v>1239</v>
      </c>
      <c r="C177" s="198" t="s">
        <v>1245</v>
      </c>
      <c r="D177" s="198" t="str">
        <f>VLOOKUP(tabParametros[[#This Row],[Código do Posto]],tabPostos[],4,0)</f>
        <v>Regiao de Juiz de Fora</v>
      </c>
      <c r="E177" s="289" t="str">
        <f>VLOOKUP(tabParametros[[#This Row],[Código do Posto]],tabPostos[],5,0)</f>
        <v>Limpeza</v>
      </c>
      <c r="F177" s="289" t="str">
        <f>VLOOKUP(tabParametros[[#This Row],[Código do Posto]],tabPostos[],6,0)</f>
        <v>PGJ</v>
      </c>
      <c r="G177" s="289">
        <f>VLOOKUP(tabParametros[[#This Row],[Código do Posto]],tabPostos[],7,0)</f>
        <v>1</v>
      </c>
      <c r="H177" s="289">
        <f>VLOOKUP(tabParametros[[#This Row],[Código do Posto]],tabPostos[],8,0)</f>
        <v>0</v>
      </c>
      <c r="I177" s="234">
        <f>VLOOKUP(tabParametros[[#This Row],[Código do Posto]],tabPostos[],9,0)</f>
        <v>1596.28</v>
      </c>
      <c r="J177" s="234">
        <f>IF(ISNUMBER(SEARCH("Eletricista",tabParametros[[#This Row],[Função]],1)),0.3*tabParametros[[#This Row],[Salário Base]],0)</f>
        <v>0</v>
      </c>
      <c r="K177" s="234">
        <f>IF(OR(ISNUMBER(SEARCH("Bombeiro Hidraulico",tabParametros[[#This Row],[Função]],1)),ISNUMBER(SEARCH("Jardineiro",tabParametros[[#This Row],[Função]],1)),ISNUMBER(SEARCH("Lavador de Veiculos",tabParametros[[#This Row],[Função]],1)),ISNUMBER(SEARCH("Marceneiro",tabParametros[[#This Row],[Função]],1)),ISNUMBER(SEARCH("Pintor",tabParametros[[#This Row],[Função]],1))),0.2*'BASE GERAL'!$R$4,0)</f>
        <v>0</v>
      </c>
      <c r="L177" s="234">
        <f>IF(AND(ISNUMBER(SEARCH("Noturno",tabParametros[[#This Row],[Função]],1)),tabParametros[[#This Row],[Comarca]]&lt;&gt;"Juiz de Fora"),tabParametros[[#This Row],[Salário Base]]/210*0.39*7*15.5,IF(ISNUMBER(SEARCH("Noturno",tabParametros[[#This Row],[Função]],1)),tabParametros[[#This Row],[Salário Base]]/210*0.2*8*15.5,0))</f>
        <v>0</v>
      </c>
      <c r="M177" s="234">
        <f>IF(ISNUMBER(SEARCH("Motorista II",tabParametros[[#This Row],[Função]],1)),0.25*tabParametros[[#This Row],[Salário Base]],0)</f>
        <v>0</v>
      </c>
      <c r="N177" s="250">
        <v>0</v>
      </c>
      <c r="O177" s="234">
        <f>IF(ISNUMBER(SEARCH("TECNOLOGIA DA INFORMACAO",tabParametros[[#This Row],[Função]],1)),0.0201*tabParametros[[#This Row],[Salário Base]],0)</f>
        <v>0</v>
      </c>
      <c r="P177" s="250" cm="1">
        <f t="array" ref="P177">_xlfn.IFS(
ISNUMBER(SEARCH("Auxiliar de Limpeza - 75 h",tabParametros[[#This Row],[Função]],1)),tabParametros[[#This Row],[Salário Base]]/75*0.75*30*0.12,
ISNUMBER(SEARCH("Auxiliar de Limpeza - 110 h",tabParametros[[#This Row],[Função]],1)),tabParametros[[#This Row],[Salário Base]]/110*1*30*0.12,
ISNUMBER(SEARCH("Auxiliar de Limpeza - 150 h",tabParametros[[#This Row],[Função]],1)),tabParametros[[#This Row],[Salário Base]]/150*1.5*30*0.12,
ISNUMBER(SEARCH("Auxiliar de Limpeza - 220 h",tabParametros[[#This Row],[Função]],1)),tabParametros[[#This Row],[Salário Base]]/220*2*30*0.12,
ISNUMBER(SEARCH("Auxiliar de Limpeza - 12 x 36",tabParametros[[#This Row],[Função]],1)),tabParametros[[#This Row],[Salário Base]]/220*2*30*0.12,
ISNUMBER(SEARCH("Auxiliar de Limpeza - 55 h",tabParametros[[#This Row],[Função]],1))=FALSE,0)</f>
        <v>52.241890909090905</v>
      </c>
      <c r="Q177" s="235">
        <f>VLOOKUP(tabParametros[[#Headers],[INSS]],tabImpostosNacionais[],2,0)</f>
        <v>0.2</v>
      </c>
      <c r="R177" s="235">
        <f>VLOOKUP(tabParametros[[#Headers],[SESI OU SESC]],tabImpostosNacionais[],2,0)</f>
        <v>1.4999999999999999E-2</v>
      </c>
      <c r="S177" s="235">
        <f>VLOOKUP(tabParametros[[#Headers],[SENAI OU SENAC]],tabImpostosNacionais[],2,0)</f>
        <v>0.01</v>
      </c>
      <c r="T177" s="235">
        <f>VLOOKUP(tabParametros[[#Headers],[INCRA]],tabImpostosNacionais[],2,0)</f>
        <v>2E-3</v>
      </c>
      <c r="U177" s="235">
        <f>VLOOKUP(tabParametros[[#Headers],[Salário Educação]],tabImpostosNacionais[],2,0)</f>
        <v>2.5000000000000001E-2</v>
      </c>
      <c r="V177" s="235">
        <f>VLOOKUP(tabParametros[[#Headers],[FGTS]],tabImpostosNacionais[],2,0)</f>
        <v>0.08</v>
      </c>
      <c r="W177" s="235">
        <f>VLOOKUP(tabParametros[[#Headers],[RAT Ajustado]],tabImpostosNacionais[],2,0)</f>
        <v>0.04</v>
      </c>
      <c r="X177" s="235">
        <f>VLOOKUP(tabParametros[[#Headers],[SEBRAE]],tabImpostosNacionais[],2,0)</f>
        <v>6.0000000000000001E-3</v>
      </c>
      <c r="Y177" s="235">
        <f t="shared" si="22"/>
        <v>8.3333333333333329E-2</v>
      </c>
      <c r="Z177" s="251">
        <f t="shared" si="23"/>
        <v>0.1111111111111111</v>
      </c>
      <c r="AA177" s="234">
        <f>VLOOKUP(tabParametros[[#This Row],[Comarca]],tabComarca[],5,0)</f>
        <v>6.4</v>
      </c>
      <c r="AB177" s="234">
        <f>IFERROR(VLOOKUP(tabParametros[[#This Row],[CCT DA CATEGORIA]],tabSindicatos[],6,0),0)</f>
        <v>29.15</v>
      </c>
      <c r="AC177" s="234">
        <f>IFERROR(VLOOKUP(tabParametros[[#This Row],[CCT DA CATEGORIA]],tabSindicatos[],7,0),0)</f>
        <v>0</v>
      </c>
      <c r="AD177" s="234" cm="1">
        <f t="array" ref="AD177">_xlfn.LET(
_xlpm.COMARCA, TRIM(UPPER(SUBSTITUTE(SUBSTITUTE(SUBSTITUTE(SUBSTITUTE(SUBSTITUTE(SUBSTITUTE(SUBSTITUTE(SUBSTITUTE(SUBSTITUTE(SUBSTITUTE(SUBSTITUTE(SUBSTITUTE(SUBSTITUTE(SUBSTITUTE(SUBSTITUTE(SUBSTITUTE(SUBSTITUTE(SUBSTITUTE(SUBSTITUTE(SUBSTITUTE(SUBSTITUTE(SUBSTITUTE(SUBSTITUTE(SUBSTITUTE(SUBSTITUTE(SUBSTITUTE(tabParametros[[#This Row],[Comarca]],"á","a"),"ã","a"),"â","a"),"é","e"),"ê","e"),"í","i"),"ó","o"),"õ","o"),"ô","o"),"ú","u"),"ç","c"),"Á","a"),"Ã","a"),"Â","a"),"É","e"),"Ê","e"),"Í","i"),"Ó","o"),"Õ","o"),"Ô","o"),"Ú","u"),"Ç","c"),"/MG","")," e ",", ")," ",""),".",""))),
_xlpm.MATRIZ_COMARCA, TRIM(UPPER(SUBSTITUTE(SUBSTITUTE(SUBSTITUTE(SUBSTITUTE(SUBSTITUTE(SUBSTITUTE(SUBSTITUTE(SUBSTITUTE(SUBSTITUTE(SUBSTITUTE(SUBSTITUTE(SUBSTITUTE(SUBSTITUTE(SUBSTITUTE(SUBSTITUTE(SUBSTITUTE(SUBSTITUTE(SUBSTITUTE(SUBSTITUTE(SUBSTITUTE(SUBSTITUTE(SUBSTITUTE(SUBSTITUTE(SUBSTITUTE(SUBSTITUTE(SUBSTITUTE(tabSindicatos[COMARCAS PAF],"á","a"),"ã","a"),"â","a"),"é","e"),"ê","e"),"í","i"),"ó","o"),"õ","o"),"ô","o"),"ú","u"),"ç","c"),"Á","a"),"Ã","a"),"Â","a"),"É","e"),"Ê","e"),"Í","i"),"Ó","o"),"Õ","o"),"Ô","o"),"Ú","u"),"Ç","c"),"/MG","")," e ",", ")," ",""),".",""))),
IFERROR(IF(_xlfn.XLOOKUP(tabParametros[[#This Row],[CCT DA CATEGORIA]],tabSindicatos[SINDICATOS],tabSindicatos[COMARCAS PAF])="",
VLOOKUP(tabParametros[[#This Row],[CCT DA CATEGORIA]],tabSindicatos[],8,0),
IF(ISNUMBER(SEARCH(TRIM(_xlpm.COMARCA),_xlfn.XLOOKUP(tabParametros[[#This Row],[CCT DA CATEGORIA]],tabSindicatos[SINDICATOS],_xlpm.MATRIZ_COMARCA),1)),VLOOKUP(tabParametros[[#This Row],[CCT DA CATEGORIA]],tabSindicatos[],8,0),0)
),0)
)</f>
        <v>51.88</v>
      </c>
      <c r="AE177" s="234">
        <f>IFERROR(VLOOKUP(tabParametros[[#This Row],[CCT DA CATEGORIA]],tabSindicatos[],9,0),0)</f>
        <v>0</v>
      </c>
      <c r="AF177" s="234">
        <f>IFERROR(VLOOKUP(tabParametros[[#This Row],[CCT DA CATEGORIA]],tabSindicatos[],10,0),0)</f>
        <v>0</v>
      </c>
      <c r="AG177" s="236">
        <f>VLOOKUP(tabParametros[[#Headers],[Seguro de Vida]],tabOutrosCustos[],3,0)</f>
        <v>3.36</v>
      </c>
      <c r="AH177" s="236">
        <f>IF(ISNUMBER(SEARCH("MOTORISTA",tabParametros[[#This Row],[Função]],1)),VLOOKUP("MOTORISTAS",tabDiarias[],2,0),IF(tabParametros[[#This Row],[Comarca]]="Belo Horizonte",VLOOKUP("LIMPEZA",tabDiarias[],2,0),0))</f>
        <v>0</v>
      </c>
      <c r="AI177" s="235">
        <f t="shared" si="24"/>
        <v>7.011766975308642E-3</v>
      </c>
      <c r="AJ177" s="237">
        <f>tabParametros[[#This Row],[FGTS]]*tabParametros[[#This Row],[Aviso Prévio Indenizado (API) e Reflexo do Aviso Prévio Indenizado]]</f>
        <v>5.609413580246914E-4</v>
      </c>
      <c r="AK177" s="237">
        <f>tabParametros[[#This Row],[FGTS]]*tabParametros[[#This Row],[Aviso Prévio Indenizado (API) e Reflexo do Aviso Prévio Indenizado]]*40%</f>
        <v>2.2437654320987658E-4</v>
      </c>
      <c r="AL177" s="235">
        <f t="shared" si="25"/>
        <v>3.5000000000000005E-3</v>
      </c>
      <c r="AM177" s="235">
        <f>tabParametros[[#This Row],[Aviso Prévio Trabalhado - APT]]*SUM(tabParametros[[#This Row],[INSS]:[SEBRAE]])</f>
        <v>1.3230000000000004E-3</v>
      </c>
      <c r="AN177" s="235">
        <f t="shared" si="26"/>
        <v>3.0577777777777773E-2</v>
      </c>
      <c r="AO177" s="235">
        <f t="shared" si="27"/>
        <v>8.3333333333333339E-4</v>
      </c>
      <c r="AP177" s="235">
        <f t="shared" si="28"/>
        <v>8.4444444444444437E-3</v>
      </c>
      <c r="AQ177" s="235">
        <f t="shared" si="29"/>
        <v>2.0277777777777777E-3</v>
      </c>
      <c r="AR177" s="235">
        <f t="shared" si="30"/>
        <v>1.7083333333333333E-4</v>
      </c>
      <c r="AS177" s="235">
        <f t="shared" si="31"/>
        <v>2.0833333333333335E-4</v>
      </c>
      <c r="AT177" s="235">
        <f t="shared" si="32"/>
        <v>1.2962962962962963E-3</v>
      </c>
      <c r="AU177" s="237">
        <f>SUM(tabParametros[[#This Row],[Ausência por Doença]:[Férias, Adicional de Férias e 13º  com empregada em gozo de Licença Maternidade]])*SUM(tabParametros[[#This Row],[INSS]:[SEBRAE]])</f>
        <v>4.5918250000000008E-3</v>
      </c>
      <c r="AV177" s="234">
        <f>IF(tabParametros[[#This Row],[Função]]="Porteiro - 220 h",SUM(tabParametros[[#This Row],[Salário Base]:[Adicional de Acúmulo de função]])/220*20*1.5,IF(ISNUMBER(SEARCH("12 x 36",tabParametros[[#This Row],[Função]],1)),SUM(tabParametros[[#This Row],[Salário Base]:[Adicional de Acúmulo de função]])/210*15.5*1.5,0))</f>
        <v>0</v>
      </c>
      <c r="AW177" s="234">
        <f>IF(tabParametros[[#This Row],[Vagas contratadas]]&gt;0,(SUM(tabParametros[[#This Row],[Salário Base]:[Adicional de Acúmulo de função]])*30%+SUM(tabParametros[[#This Row],[Vale - Alimentação]:[Seguro de Vida]]))/tabParametros[[#This Row],[Vagas contratadas]]*tabParametros[[#This Row],[Vagas suspensas]],0)</f>
        <v>0</v>
      </c>
      <c r="AX177" s="234">
        <f>SUMIF(tabUniformes[Cargo],tabParametros[[#This Row],[Função]],tabUniformes[Valor unit. Mensal])</f>
        <v>100.80916666666666</v>
      </c>
      <c r="AY177" s="281">
        <f>IF(ISNUMBER(SEARCH("AUXILIAR DE LIMPEZA - 75 H",tabParametros[[#This Row],[Função]],1)),
SUMIF(tabLimpGeral[TIPO],"Material",tabLimpGeral[VALOR UNITÁRIO P/ HORA (R$)])*75,
IF(ISNUMBER(SEARCH("AUXILIAR DE LIMPEZA - 110 H",tabParametros[[#This Row],[Função]],1)),
SUMIF(tabLimpGeral[TIPO],"Material",tabLimpGeral[VALOR UNITÁRIO P/ HORA (R$)])*110,
IF(ISNUMBER(SEARCH("AUXILIAR DE LIMPEZA - 150 H",tabParametros[[#This Row],[Função]],1)),
SUMIF(tabLimpGeral[TIPO],"Material",tabLimpGeral[VALOR UNITÁRIO P/ HORA (R$)])*150,
IF(ISNUMBER(SEARCH("AUXILIAR DE LIMPEZA - 220 H",tabParametros[[#This Row],[Função]],1)),
SUMIF(tabLimpGeral[TIPO],"Material",tabLimpGeral[VALOR UNITÁRIO P/ HORA (R$)])*220,
IF(ISNUMBER(SEARCH("AUXILIAR DE LIMPEZA - 12 x 36",tabParametros[[#This Row],[Função]],1)),
SUMIF(tabLimpGeral[TIPO],"Material",tabLimpGeral[VALOR UNITÁRIO P/ HORA (R$)])*220,
IF(ISNUMBER(SEARCH("Limpador de vidros - 220 h",tabParametros[[#This Row],[Função]],1)),
SUMIF(tabVidros[TIPO],"Material",tabVidros[VALOR UNITÁRIO P/ POSTO (R$)]),
0))))))</f>
        <v>35.518212958583888</v>
      </c>
      <c r="AZ177" s="281">
        <f>IF(ISNUMBER(SEARCH("AUXILIAR DE LIMPEZA - 75 H",tabParametros[[#This Row],[Função]],1)),
SUMIF(tabLimpGeral[TIPO],"Equipamento",tabLimpGeral[VALOR UNITÁRIO P/ HORA (R$)])*75,
IF(ISNUMBER(SEARCH("AUXILIAR DE LIMPEZA - 110 H",tabParametros[[#This Row],[Função]],1)),
SUMIF(tabLimpGeral[TIPO],"Equipamento",tabLimpGeral[VALOR UNITÁRIO P/ HORA (R$)])*110,
IF(ISNUMBER(SEARCH("AUXILIAR DE LIMPEZA - 150 H",tabParametros[[#This Row],[Função]],1)),
SUMIF(tabLimpGeral[TIPO],"Equipamento",tabLimpGeral[VALOR UNITÁRIO P/ HORA (R$)])*150,
IF(ISNUMBER(SEARCH("AUXILIAR DE LIMPEZA - 220 H",tabParametros[[#This Row],[Função]],1)),
SUMIF(tabLimpGeral[TIPO],"Equipamento",tabLimpGeral[VALOR UNITÁRIO P/ HORA (R$)])*220,
IF(ISNUMBER(SEARCH("AUXILIAR DE LIMPEZA - 12 x 36",tabParametros[[#This Row],[Função]],1)),
SUMIF(tabLimpGeral[TIPO],"Equipamento",tabLimpGeral[VALOR UNITÁRIO P/ HORA (R$)])*220,
IF(ISNUMBER(SEARCH("Limpador de vidros - 220 h",tabParametros[[#This Row],[Função]],1)),
SUMIF(tabVidros[TIPO],"Equipamento",tabVidros[VALOR UNITÁRIO P/ POSTO (R$)]),
0))))))</f>
        <v>64.529393914825576</v>
      </c>
      <c r="BA177" s="281">
        <f>IF(ISNUMBER(SEARCH("AUXILIAR DE LIMPEZA - 75 H",tabParametros[[#This Row],[Função]],1)),
SUMIF(tabLimpGeral[TIPO],"Produto",tabLimpGeral[VALOR UNITÁRIO P/ HORA (R$)])*75,
IF(ISNUMBER(SEARCH("AUXILIAR DE LIMPEZA - 110 H",tabParametros[[#This Row],[Função]],1)),
SUMIF(tabLimpGeral[TIPO],"Produto",tabLimpGeral[VALOR UNITÁRIO P/ HORA (R$)])*110,
IF(ISNUMBER(SEARCH("AUXILIAR DE LIMPEZA - 150 H",tabParametros[[#This Row],[Função]],1)),
SUMIF(tabLimpGeral[TIPO],"Produto",tabLimpGeral[VALOR UNITÁRIO P/ HORA (R$)])*150,
IF(ISNUMBER(SEARCH("AUXILIAR DE LIMPEZA - 220 H",tabParametros[[#This Row],[Função]],1)),
SUMIF(tabLimpGeral[TIPO],"Produto",tabLimpGeral[VALOR UNITÁRIO P/ HORA (R$)])*220,
IF(ISNUMBER(SEARCH("AUXILIAR DE LIMPEZA - 12 x 36",tabParametros[[#This Row],[Função]],1)),
SUMIF(tabLimpGeral[TIPO],"Produto",tabLimpGeral[VALOR UNITÁRIO P/ HORA (R$)])*220,
IF(ISNUMBER(SEARCH("Limpador de vidros - 220 h",tabParametros[[#This Row],[Função]],1)),
SUMIF(tabVidros[TIPO],"Produto",tabVidros[VALOR UNITÁRIO P/ POSTO (R$)]),
0))))))</f>
        <v>690.27153277931654</v>
      </c>
      <c r="BB177" s="281">
        <v>0</v>
      </c>
      <c r="BC177" s="236">
        <f>VLOOKUP(tabParametros[[#Headers],[Custos Indiretos]],tabOutrosCustos[],3,0)</f>
        <v>189.64880140242613</v>
      </c>
      <c r="BD177" s="236">
        <f>VLOOKUP(tabParametros[[#Headers],[Lucro]],tabOutrosCustos[],3,0)</f>
        <v>159.30499317803796</v>
      </c>
      <c r="BE177" s="235">
        <f>VLOOKUP(tabParametros[[#Headers],[COFINS]],tabImpostosNacionais[],2,0)</f>
        <v>7.5999999999999998E-2</v>
      </c>
      <c r="BF177" s="235">
        <f>VLOOKUP(tabParametros[[#Headers],[PIS]],tabImpostosNacionais[],2,0)</f>
        <v>1.6500000000000001E-2</v>
      </c>
      <c r="BG177" s="235">
        <f>VLOOKUP(tabParametros[[#This Row],[Comarca]],tabComarca[],4,0)</f>
        <v>0.03</v>
      </c>
      <c r="BH177" s="238">
        <f>IFERROR(VLOOKUP(tabParametros[[#This Row],[CCT DA CATEGORIA]],tabSindicatos[],11,0),"")</f>
        <v>45658</v>
      </c>
      <c r="BI177" s="289" t="str">
        <f>IFERROR(VLOOKUP(tabParametros[[#This Row],[CCT DA CATEGORIA]],tabSindicatos[],12,0),"")</f>
        <v>-</v>
      </c>
      <c r="BJ177" s="293" t="str">
        <f>IFERROR(VLOOKUP(tabParametros[[#This Row],[CCT DA CATEGORIA]],tabSindicatos[],13,0),"")</f>
        <v>-</v>
      </c>
    </row>
    <row r="178" spans="1:62" x14ac:dyDescent="0.25">
      <c r="A178" s="233" t="s">
        <v>1514</v>
      </c>
      <c r="B178" s="198" t="s">
        <v>161</v>
      </c>
      <c r="C178" s="198" t="s">
        <v>1244</v>
      </c>
      <c r="D178" s="198" t="str">
        <f>VLOOKUP(tabParametros[[#This Row],[Código do Posto]],tabPostos[],4,0)</f>
        <v>Fethemg Interior</v>
      </c>
      <c r="E178" s="289" t="str">
        <f>VLOOKUP(tabParametros[[#This Row],[Código do Posto]],tabPostos[],5,0)</f>
        <v>Limpeza</v>
      </c>
      <c r="F178" s="289" t="str">
        <f>VLOOKUP(tabParametros[[#This Row],[Código do Posto]],tabPostos[],6,0)</f>
        <v>PGJ</v>
      </c>
      <c r="G178" s="289">
        <f>VLOOKUP(tabParametros[[#This Row],[Código do Posto]],tabPostos[],7,0)</f>
        <v>1</v>
      </c>
      <c r="H178" s="289">
        <f>VLOOKUP(tabParametros[[#This Row],[Código do Posto]],tabPostos[],8,0)</f>
        <v>0</v>
      </c>
      <c r="I178" s="234">
        <f>VLOOKUP(tabParametros[[#This Row],[Código do Posto]],tabPostos[],9,0)</f>
        <v>798.14</v>
      </c>
      <c r="J178" s="234">
        <f>IF(ISNUMBER(SEARCH("Eletricista",tabParametros[[#This Row],[Função]],1)),0.3*tabParametros[[#This Row],[Salário Base]],0)</f>
        <v>0</v>
      </c>
      <c r="K178" s="234">
        <f>IF(OR(ISNUMBER(SEARCH("Bombeiro Hidraulico",tabParametros[[#This Row],[Função]],1)),ISNUMBER(SEARCH("Jardineiro",tabParametros[[#This Row],[Função]],1)),ISNUMBER(SEARCH("Lavador de Veiculos",tabParametros[[#This Row],[Função]],1)),ISNUMBER(SEARCH("Marceneiro",tabParametros[[#This Row],[Função]],1)),ISNUMBER(SEARCH("Pintor",tabParametros[[#This Row],[Função]],1))),0.2*'BASE GERAL'!$R$4,0)</f>
        <v>0</v>
      </c>
      <c r="L178" s="234">
        <f>IF(AND(ISNUMBER(SEARCH("Noturno",tabParametros[[#This Row],[Função]],1)),tabParametros[[#This Row],[Comarca]]&lt;&gt;"Juiz de Fora"),tabParametros[[#This Row],[Salário Base]]/210*0.39*7*15.5,IF(ISNUMBER(SEARCH("Noturno",tabParametros[[#This Row],[Função]],1)),tabParametros[[#This Row],[Salário Base]]/210*0.2*8*15.5,0))</f>
        <v>0</v>
      </c>
      <c r="M178" s="234">
        <f>IF(ISNUMBER(SEARCH("Motorista II",tabParametros[[#This Row],[Função]],1)),0.25*tabParametros[[#This Row],[Salário Base]],0)</f>
        <v>0</v>
      </c>
      <c r="N178" s="250">
        <v>0</v>
      </c>
      <c r="O178" s="234">
        <f>IF(ISNUMBER(SEARCH("TECNOLOGIA DA INFORMACAO",tabParametros[[#This Row],[Função]],1)),0.0201*tabParametros[[#This Row],[Salário Base]],0)</f>
        <v>0</v>
      </c>
      <c r="P178" s="250" cm="1">
        <f t="array" ref="P178">_xlfn.IFS(
ISNUMBER(SEARCH("Auxiliar de Limpeza - 75 h",tabParametros[[#This Row],[Função]],1)),tabParametros[[#This Row],[Salário Base]]/75*0.75*30*0.12,
ISNUMBER(SEARCH("Auxiliar de Limpeza - 110 h",tabParametros[[#This Row],[Função]],1)),tabParametros[[#This Row],[Salário Base]]/110*1*30*0.12,
ISNUMBER(SEARCH("Auxiliar de Limpeza - 150 h",tabParametros[[#This Row],[Função]],1)),tabParametros[[#This Row],[Salário Base]]/150*1.5*30*0.12,
ISNUMBER(SEARCH("Auxiliar de Limpeza - 220 h",tabParametros[[#This Row],[Função]],1)),tabParametros[[#This Row],[Salário Base]]/220*2*30*0.12,
ISNUMBER(SEARCH("Auxiliar de Limpeza - 12 x 36",tabParametros[[#This Row],[Função]],1)),tabParametros[[#This Row],[Salário Base]]/220*2*30*0.12,
ISNUMBER(SEARCH("Auxiliar de Limpeza - 55 h",tabParametros[[#This Row],[Função]],1))=FALSE,0)</f>
        <v>26.120945454545453</v>
      </c>
      <c r="Q178" s="235">
        <f>VLOOKUP(tabParametros[[#Headers],[INSS]],tabImpostosNacionais[],2,0)</f>
        <v>0.2</v>
      </c>
      <c r="R178" s="235">
        <f>VLOOKUP(tabParametros[[#Headers],[SESI OU SESC]],tabImpostosNacionais[],2,0)</f>
        <v>1.4999999999999999E-2</v>
      </c>
      <c r="S178" s="235">
        <f>VLOOKUP(tabParametros[[#Headers],[SENAI OU SENAC]],tabImpostosNacionais[],2,0)</f>
        <v>0.01</v>
      </c>
      <c r="T178" s="235">
        <f>VLOOKUP(tabParametros[[#Headers],[INCRA]],tabImpostosNacionais[],2,0)</f>
        <v>2E-3</v>
      </c>
      <c r="U178" s="235">
        <f>VLOOKUP(tabParametros[[#Headers],[Salário Educação]],tabImpostosNacionais[],2,0)</f>
        <v>2.5000000000000001E-2</v>
      </c>
      <c r="V178" s="235">
        <f>VLOOKUP(tabParametros[[#Headers],[FGTS]],tabImpostosNacionais[],2,0)</f>
        <v>0.08</v>
      </c>
      <c r="W178" s="235">
        <f>VLOOKUP(tabParametros[[#Headers],[RAT Ajustado]],tabImpostosNacionais[],2,0)</f>
        <v>0.04</v>
      </c>
      <c r="X178" s="235">
        <f>VLOOKUP(tabParametros[[#Headers],[SEBRAE]],tabImpostosNacionais[],2,0)</f>
        <v>6.0000000000000001E-3</v>
      </c>
      <c r="Y178" s="235">
        <f t="shared" si="22"/>
        <v>8.3333333333333329E-2</v>
      </c>
      <c r="Z178" s="251">
        <f t="shared" si="23"/>
        <v>0.1111111111111111</v>
      </c>
      <c r="AA178" s="234">
        <f>VLOOKUP(tabParametros[[#This Row],[Comarca]],tabComarca[],5,0)</f>
        <v>6.4</v>
      </c>
      <c r="AB178" s="234">
        <f>IFERROR(VLOOKUP(tabParametros[[#This Row],[CCT DA CATEGORIA]],tabSindicatos[],6,0),0)</f>
        <v>29.15</v>
      </c>
      <c r="AC178" s="234">
        <f>IFERROR(VLOOKUP(tabParametros[[#This Row],[CCT DA CATEGORIA]],tabSindicatos[],7,0),0)</f>
        <v>0</v>
      </c>
      <c r="AD178" s="234" cm="1">
        <f t="array" ref="AD178">_xlfn.LET(
_xlpm.COMARCA, TRIM(UPPER(SUBSTITUTE(SUBSTITUTE(SUBSTITUTE(SUBSTITUTE(SUBSTITUTE(SUBSTITUTE(SUBSTITUTE(SUBSTITUTE(SUBSTITUTE(SUBSTITUTE(SUBSTITUTE(SUBSTITUTE(SUBSTITUTE(SUBSTITUTE(SUBSTITUTE(SUBSTITUTE(SUBSTITUTE(SUBSTITUTE(SUBSTITUTE(SUBSTITUTE(SUBSTITUTE(SUBSTITUTE(SUBSTITUTE(SUBSTITUTE(SUBSTITUTE(SUBSTITUTE(tabParametros[[#This Row],[Comarca]],"á","a"),"ã","a"),"â","a"),"é","e"),"ê","e"),"í","i"),"ó","o"),"õ","o"),"ô","o"),"ú","u"),"ç","c"),"Á","a"),"Ã","a"),"Â","a"),"É","e"),"Ê","e"),"Í","i"),"Ó","o"),"Õ","o"),"Ô","o"),"Ú","u"),"Ç","c"),"/MG","")," e ",", ")," ",""),".",""))),
_xlpm.MATRIZ_COMARCA, TRIM(UPPER(SUBSTITUTE(SUBSTITUTE(SUBSTITUTE(SUBSTITUTE(SUBSTITUTE(SUBSTITUTE(SUBSTITUTE(SUBSTITUTE(SUBSTITUTE(SUBSTITUTE(SUBSTITUTE(SUBSTITUTE(SUBSTITUTE(SUBSTITUTE(SUBSTITUTE(SUBSTITUTE(SUBSTITUTE(SUBSTITUTE(SUBSTITUTE(SUBSTITUTE(SUBSTITUTE(SUBSTITUTE(SUBSTITUTE(SUBSTITUTE(SUBSTITUTE(SUBSTITUTE(tabSindicatos[COMARCAS PAF],"á","a"),"ã","a"),"â","a"),"é","e"),"ê","e"),"í","i"),"ó","o"),"õ","o"),"ô","o"),"ú","u"),"ç","c"),"Á","a"),"Ã","a"),"Â","a"),"É","e"),"Ê","e"),"Í","i"),"Ó","o"),"Õ","o"),"Ô","o"),"Ú","u"),"Ç","c"),"/MG","")," e ",", ")," ",""),".",""))),
IFERROR(IF(_xlfn.XLOOKUP(tabParametros[[#This Row],[CCT DA CATEGORIA]],tabSindicatos[SINDICATOS],tabSindicatos[COMARCAS PAF])="",
VLOOKUP(tabParametros[[#This Row],[CCT DA CATEGORIA]],tabSindicatos[],8,0),
IF(ISNUMBER(SEARCH(TRIM(_xlpm.COMARCA),_xlfn.XLOOKUP(tabParametros[[#This Row],[CCT DA CATEGORIA]],tabSindicatos[SINDICATOS],_xlpm.MATRIZ_COMARCA),1)),VLOOKUP(tabParametros[[#This Row],[CCT DA CATEGORIA]],tabSindicatos[],8,0),0)
),0)
)</f>
        <v>0</v>
      </c>
      <c r="AE178" s="234">
        <f>IFERROR(VLOOKUP(tabParametros[[#This Row],[CCT DA CATEGORIA]],tabSindicatos[],9,0),0)</f>
        <v>15.07</v>
      </c>
      <c r="AF178" s="234">
        <f>IFERROR(VLOOKUP(tabParametros[[#This Row],[CCT DA CATEGORIA]],tabSindicatos[],10,0),0)</f>
        <v>0</v>
      </c>
      <c r="AG178" s="236">
        <f>VLOOKUP(tabParametros[[#Headers],[Seguro de Vida]],tabOutrosCustos[],3,0)</f>
        <v>3.36</v>
      </c>
      <c r="AH178" s="236">
        <f>IF(ISNUMBER(SEARCH("MOTORISTA",tabParametros[[#This Row],[Função]],1)),VLOOKUP("MOTORISTAS",tabDiarias[],2,0),IF(tabParametros[[#This Row],[Comarca]]="Belo Horizonte",VLOOKUP("LIMPEZA",tabDiarias[],2,0),0))</f>
        <v>0</v>
      </c>
      <c r="AI178" s="235">
        <f t="shared" si="24"/>
        <v>7.011766975308642E-3</v>
      </c>
      <c r="AJ178" s="237">
        <f>tabParametros[[#This Row],[FGTS]]*tabParametros[[#This Row],[Aviso Prévio Indenizado (API) e Reflexo do Aviso Prévio Indenizado]]</f>
        <v>5.609413580246914E-4</v>
      </c>
      <c r="AK178" s="237">
        <f>tabParametros[[#This Row],[FGTS]]*tabParametros[[#This Row],[Aviso Prévio Indenizado (API) e Reflexo do Aviso Prévio Indenizado]]*40%</f>
        <v>2.2437654320987658E-4</v>
      </c>
      <c r="AL178" s="235">
        <f t="shared" si="25"/>
        <v>3.5000000000000005E-3</v>
      </c>
      <c r="AM178" s="235">
        <f>tabParametros[[#This Row],[Aviso Prévio Trabalhado - APT]]*SUM(tabParametros[[#This Row],[INSS]:[SEBRAE]])</f>
        <v>1.3230000000000004E-3</v>
      </c>
      <c r="AN178" s="235">
        <f t="shared" si="26"/>
        <v>3.0577777777777773E-2</v>
      </c>
      <c r="AO178" s="235">
        <f t="shared" si="27"/>
        <v>8.3333333333333339E-4</v>
      </c>
      <c r="AP178" s="235">
        <f t="shared" si="28"/>
        <v>8.4444444444444437E-3</v>
      </c>
      <c r="AQ178" s="235">
        <f t="shared" si="29"/>
        <v>2.0277777777777777E-3</v>
      </c>
      <c r="AR178" s="235">
        <f t="shared" si="30"/>
        <v>1.7083333333333333E-4</v>
      </c>
      <c r="AS178" s="235">
        <f t="shared" si="31"/>
        <v>2.0833333333333335E-4</v>
      </c>
      <c r="AT178" s="235">
        <f t="shared" si="32"/>
        <v>1.2962962962962963E-3</v>
      </c>
      <c r="AU178" s="237">
        <f>SUM(tabParametros[[#This Row],[Ausência por Doença]:[Férias, Adicional de Férias e 13º  com empregada em gozo de Licença Maternidade]])*SUM(tabParametros[[#This Row],[INSS]:[SEBRAE]])</f>
        <v>4.5918250000000008E-3</v>
      </c>
      <c r="AV178" s="234">
        <f>IF(tabParametros[[#This Row],[Função]]="Porteiro - 220 h",SUM(tabParametros[[#This Row],[Salário Base]:[Adicional de Acúmulo de função]])/220*20*1.5,IF(ISNUMBER(SEARCH("12 x 36",tabParametros[[#This Row],[Função]],1)),SUM(tabParametros[[#This Row],[Salário Base]:[Adicional de Acúmulo de função]])/210*15.5*1.5,0))</f>
        <v>0</v>
      </c>
      <c r="AW178" s="234">
        <f>IF(tabParametros[[#This Row],[Vagas contratadas]]&gt;0,(SUM(tabParametros[[#This Row],[Salário Base]:[Adicional de Acúmulo de função]])*30%+SUM(tabParametros[[#This Row],[Vale - Alimentação]:[Seguro de Vida]]))/tabParametros[[#This Row],[Vagas contratadas]]*tabParametros[[#This Row],[Vagas suspensas]],0)</f>
        <v>0</v>
      </c>
      <c r="AX178" s="234">
        <f>SUMIF(tabUniformes[Cargo],tabParametros[[#This Row],[Função]],tabUniformes[Valor unit. Mensal])</f>
        <v>62.806666666666665</v>
      </c>
      <c r="AY178" s="281">
        <f>IF(ISNUMBER(SEARCH("AUXILIAR DE LIMPEZA - 75 H",tabParametros[[#This Row],[Função]],1)),
SUMIF(tabLimpGeral[TIPO],"Material",tabLimpGeral[VALOR UNITÁRIO P/ HORA (R$)])*75,
IF(ISNUMBER(SEARCH("AUXILIAR DE LIMPEZA - 110 H",tabParametros[[#This Row],[Função]],1)),
SUMIF(tabLimpGeral[TIPO],"Material",tabLimpGeral[VALOR UNITÁRIO P/ HORA (R$)])*110,
IF(ISNUMBER(SEARCH("AUXILIAR DE LIMPEZA - 150 H",tabParametros[[#This Row],[Função]],1)),
SUMIF(tabLimpGeral[TIPO],"Material",tabLimpGeral[VALOR UNITÁRIO P/ HORA (R$)])*150,
IF(ISNUMBER(SEARCH("AUXILIAR DE LIMPEZA - 220 H",tabParametros[[#This Row],[Função]],1)),
SUMIF(tabLimpGeral[TIPO],"Material",tabLimpGeral[VALOR UNITÁRIO P/ HORA (R$)])*220,
IF(ISNUMBER(SEARCH("AUXILIAR DE LIMPEZA - 12 x 36",tabParametros[[#This Row],[Função]],1)),
SUMIF(tabLimpGeral[TIPO],"Material",tabLimpGeral[VALOR UNITÁRIO P/ HORA (R$)])*220,
IF(ISNUMBER(SEARCH("Limpador de vidros - 220 h",tabParametros[[#This Row],[Função]],1)),
SUMIF(tabVidros[TIPO],"Material",tabVidros[VALOR UNITÁRIO P/ POSTO (R$)]),
0))))))</f>
        <v>17.759106479291944</v>
      </c>
      <c r="AZ178" s="281">
        <f>IF(ISNUMBER(SEARCH("AUXILIAR DE LIMPEZA - 75 H",tabParametros[[#This Row],[Função]],1)),
SUMIF(tabLimpGeral[TIPO],"Equipamento",tabLimpGeral[VALOR UNITÁRIO P/ HORA (R$)])*75,
IF(ISNUMBER(SEARCH("AUXILIAR DE LIMPEZA - 110 H",tabParametros[[#This Row],[Função]],1)),
SUMIF(tabLimpGeral[TIPO],"Equipamento",tabLimpGeral[VALOR UNITÁRIO P/ HORA (R$)])*110,
IF(ISNUMBER(SEARCH("AUXILIAR DE LIMPEZA - 150 H",tabParametros[[#This Row],[Função]],1)),
SUMIF(tabLimpGeral[TIPO],"Equipamento",tabLimpGeral[VALOR UNITÁRIO P/ HORA (R$)])*150,
IF(ISNUMBER(SEARCH("AUXILIAR DE LIMPEZA - 220 H",tabParametros[[#This Row],[Função]],1)),
SUMIF(tabLimpGeral[TIPO],"Equipamento",tabLimpGeral[VALOR UNITÁRIO P/ HORA (R$)])*220,
IF(ISNUMBER(SEARCH("AUXILIAR DE LIMPEZA - 12 x 36",tabParametros[[#This Row],[Função]],1)),
SUMIF(tabLimpGeral[TIPO],"Equipamento",tabLimpGeral[VALOR UNITÁRIO P/ HORA (R$)])*220,
IF(ISNUMBER(SEARCH("Limpador de vidros - 220 h",tabParametros[[#This Row],[Função]],1)),
SUMIF(tabVidros[TIPO],"Equipamento",tabVidros[VALOR UNITÁRIO P/ POSTO (R$)]),
0))))))</f>
        <v>32.264696957412788</v>
      </c>
      <c r="BA178" s="281">
        <f>IF(ISNUMBER(SEARCH("AUXILIAR DE LIMPEZA - 75 H",tabParametros[[#This Row],[Função]],1)),
SUMIF(tabLimpGeral[TIPO],"Produto",tabLimpGeral[VALOR UNITÁRIO P/ HORA (R$)])*75,
IF(ISNUMBER(SEARCH("AUXILIAR DE LIMPEZA - 110 H",tabParametros[[#This Row],[Função]],1)),
SUMIF(tabLimpGeral[TIPO],"Produto",tabLimpGeral[VALOR UNITÁRIO P/ HORA (R$)])*110,
IF(ISNUMBER(SEARCH("AUXILIAR DE LIMPEZA - 150 H",tabParametros[[#This Row],[Função]],1)),
SUMIF(tabLimpGeral[TIPO],"Produto",tabLimpGeral[VALOR UNITÁRIO P/ HORA (R$)])*150,
IF(ISNUMBER(SEARCH("AUXILIAR DE LIMPEZA - 220 H",tabParametros[[#This Row],[Função]],1)),
SUMIF(tabLimpGeral[TIPO],"Produto",tabLimpGeral[VALOR UNITÁRIO P/ HORA (R$)])*220,
IF(ISNUMBER(SEARCH("AUXILIAR DE LIMPEZA - 12 x 36",tabParametros[[#This Row],[Função]],1)),
SUMIF(tabLimpGeral[TIPO],"Produto",tabLimpGeral[VALOR UNITÁRIO P/ HORA (R$)])*220,
IF(ISNUMBER(SEARCH("Limpador de vidros - 220 h",tabParametros[[#This Row],[Função]],1)),
SUMIF(tabVidros[TIPO],"Produto",tabVidros[VALOR UNITÁRIO P/ POSTO (R$)]),
0))))))</f>
        <v>345.13576638965827</v>
      </c>
      <c r="BB178" s="281">
        <v>0</v>
      </c>
      <c r="BC178" s="236">
        <f>VLOOKUP(tabParametros[[#Headers],[Custos Indiretos]],tabOutrosCustos[],3,0)</f>
        <v>189.64880140242613</v>
      </c>
      <c r="BD178" s="236">
        <f>VLOOKUP(tabParametros[[#Headers],[Lucro]],tabOutrosCustos[],3,0)</f>
        <v>159.30499317803796</v>
      </c>
      <c r="BE178" s="235">
        <f>VLOOKUP(tabParametros[[#Headers],[COFINS]],tabImpostosNacionais[],2,0)</f>
        <v>7.5999999999999998E-2</v>
      </c>
      <c r="BF178" s="235">
        <f>VLOOKUP(tabParametros[[#Headers],[PIS]],tabImpostosNacionais[],2,0)</f>
        <v>1.6500000000000001E-2</v>
      </c>
      <c r="BG178" s="235">
        <f>VLOOKUP(tabParametros[[#This Row],[Comarca]],tabComarca[],4,0)</f>
        <v>0.04</v>
      </c>
      <c r="BH178" s="238">
        <f>IFERROR(VLOOKUP(tabParametros[[#This Row],[CCT DA CATEGORIA]],tabSindicatos[],11,0),"")</f>
        <v>45658</v>
      </c>
      <c r="BI178" s="289" t="str">
        <f>IFERROR(VLOOKUP(tabParametros[[#This Row],[CCT DA CATEGORIA]],tabSindicatos[],12,0),"")</f>
        <v>-</v>
      </c>
      <c r="BJ178" s="293" t="str">
        <f>IFERROR(VLOOKUP(tabParametros[[#This Row],[CCT DA CATEGORIA]],tabSindicatos[],13,0),"")</f>
        <v>-</v>
      </c>
    </row>
    <row r="179" spans="1:62" x14ac:dyDescent="0.25">
      <c r="A179" s="233" t="s">
        <v>1515</v>
      </c>
      <c r="B179" s="198" t="s">
        <v>162</v>
      </c>
      <c r="C179" s="198" t="s">
        <v>1247</v>
      </c>
      <c r="D179" s="198" t="str">
        <f>VLOOKUP(tabParametros[[#This Row],[Código do Posto]],tabPostos[],4,0)</f>
        <v>Fethemg Interior</v>
      </c>
      <c r="E179" s="289" t="str">
        <f>VLOOKUP(tabParametros[[#This Row],[Código do Posto]],tabPostos[],5,0)</f>
        <v>Limpeza</v>
      </c>
      <c r="F179" s="289" t="str">
        <f>VLOOKUP(tabParametros[[#This Row],[Código do Posto]],tabPostos[],6,0)</f>
        <v>PGJ</v>
      </c>
      <c r="G179" s="289">
        <f>VLOOKUP(tabParametros[[#This Row],[Código do Posto]],tabPostos[],7,0)</f>
        <v>2</v>
      </c>
      <c r="H179" s="289">
        <f>VLOOKUP(tabParametros[[#This Row],[Código do Posto]],tabPostos[],8,0)</f>
        <v>0</v>
      </c>
      <c r="I179" s="234">
        <f>VLOOKUP(tabParametros[[#This Row],[Código do Posto]],tabPostos[],9,0)</f>
        <v>544.17999999999995</v>
      </c>
      <c r="J179" s="234">
        <f>IF(ISNUMBER(SEARCH("Eletricista",tabParametros[[#This Row],[Função]],1)),0.3*tabParametros[[#This Row],[Salário Base]],0)</f>
        <v>0</v>
      </c>
      <c r="K179" s="234">
        <f>IF(OR(ISNUMBER(SEARCH("Bombeiro Hidraulico",tabParametros[[#This Row],[Função]],1)),ISNUMBER(SEARCH("Jardineiro",tabParametros[[#This Row],[Função]],1)),ISNUMBER(SEARCH("Lavador de Veiculos",tabParametros[[#This Row],[Função]],1)),ISNUMBER(SEARCH("Marceneiro",tabParametros[[#This Row],[Função]],1)),ISNUMBER(SEARCH("Pintor",tabParametros[[#This Row],[Função]],1))),0.2*'BASE GERAL'!$R$4,0)</f>
        <v>0</v>
      </c>
      <c r="L179" s="234">
        <f>IF(AND(ISNUMBER(SEARCH("Noturno",tabParametros[[#This Row],[Função]],1)),tabParametros[[#This Row],[Comarca]]&lt;&gt;"Juiz de Fora"),tabParametros[[#This Row],[Salário Base]]/210*0.39*7*15.5,IF(ISNUMBER(SEARCH("Noturno",tabParametros[[#This Row],[Função]],1)),tabParametros[[#This Row],[Salário Base]]/210*0.2*8*15.5,0))</f>
        <v>0</v>
      </c>
      <c r="M179" s="234">
        <f>IF(ISNUMBER(SEARCH("Motorista II",tabParametros[[#This Row],[Função]],1)),0.25*tabParametros[[#This Row],[Salário Base]],0)</f>
        <v>0</v>
      </c>
      <c r="N179" s="250">
        <v>0</v>
      </c>
      <c r="O179" s="234">
        <f>IF(ISNUMBER(SEARCH("TECNOLOGIA DA INFORMACAO",tabParametros[[#This Row],[Função]],1)),0.0201*tabParametros[[#This Row],[Salário Base]],0)</f>
        <v>0</v>
      </c>
      <c r="P179" s="250" cm="1">
        <f t="array" ref="P179">_xlfn.IFS(
ISNUMBER(SEARCH("Auxiliar de Limpeza - 75 h",tabParametros[[#This Row],[Função]],1)),tabParametros[[#This Row],[Salário Base]]/75*0.75*30*0.12,
ISNUMBER(SEARCH("Auxiliar de Limpeza - 110 h",tabParametros[[#This Row],[Função]],1)),tabParametros[[#This Row],[Salário Base]]/110*1*30*0.12,
ISNUMBER(SEARCH("Auxiliar de Limpeza - 150 h",tabParametros[[#This Row],[Função]],1)),tabParametros[[#This Row],[Salário Base]]/150*1.5*30*0.12,
ISNUMBER(SEARCH("Auxiliar de Limpeza - 220 h",tabParametros[[#This Row],[Função]],1)),tabParametros[[#This Row],[Salário Base]]/220*2*30*0.12,
ISNUMBER(SEARCH("Auxiliar de Limpeza - 12 x 36",tabParametros[[#This Row],[Função]],1)),tabParametros[[#This Row],[Salário Base]]/220*2*30*0.12,
ISNUMBER(SEARCH("Auxiliar de Limpeza - 55 h",tabParametros[[#This Row],[Função]],1))=FALSE,0)</f>
        <v>19.590479999999999</v>
      </c>
      <c r="Q179" s="235">
        <f>VLOOKUP(tabParametros[[#Headers],[INSS]],tabImpostosNacionais[],2,0)</f>
        <v>0.2</v>
      </c>
      <c r="R179" s="235">
        <f>VLOOKUP(tabParametros[[#Headers],[SESI OU SESC]],tabImpostosNacionais[],2,0)</f>
        <v>1.4999999999999999E-2</v>
      </c>
      <c r="S179" s="235">
        <f>VLOOKUP(tabParametros[[#Headers],[SENAI OU SENAC]],tabImpostosNacionais[],2,0)</f>
        <v>0.01</v>
      </c>
      <c r="T179" s="235">
        <f>VLOOKUP(tabParametros[[#Headers],[INCRA]],tabImpostosNacionais[],2,0)</f>
        <v>2E-3</v>
      </c>
      <c r="U179" s="235">
        <f>VLOOKUP(tabParametros[[#Headers],[Salário Educação]],tabImpostosNacionais[],2,0)</f>
        <v>2.5000000000000001E-2</v>
      </c>
      <c r="V179" s="235">
        <f>VLOOKUP(tabParametros[[#Headers],[FGTS]],tabImpostosNacionais[],2,0)</f>
        <v>0.08</v>
      </c>
      <c r="W179" s="235">
        <f>VLOOKUP(tabParametros[[#Headers],[RAT Ajustado]],tabImpostosNacionais[],2,0)</f>
        <v>0.04</v>
      </c>
      <c r="X179" s="235">
        <f>VLOOKUP(tabParametros[[#Headers],[SEBRAE]],tabImpostosNacionais[],2,0)</f>
        <v>6.0000000000000001E-3</v>
      </c>
      <c r="Y179" s="235">
        <f t="shared" si="22"/>
        <v>8.3333333333333329E-2</v>
      </c>
      <c r="Z179" s="251">
        <f t="shared" si="23"/>
        <v>0.1111111111111111</v>
      </c>
      <c r="AA179" s="234">
        <f>VLOOKUP(tabParametros[[#This Row],[Comarca]],tabComarca[],5,0)</f>
        <v>6.4</v>
      </c>
      <c r="AB179" s="234">
        <f>IFERROR(VLOOKUP(tabParametros[[#This Row],[CCT DA CATEGORIA]],tabSindicatos[],6,0),0)</f>
        <v>29.15</v>
      </c>
      <c r="AC179" s="234">
        <f>IFERROR(VLOOKUP(tabParametros[[#This Row],[CCT DA CATEGORIA]],tabSindicatos[],7,0),0)</f>
        <v>0</v>
      </c>
      <c r="AD179" s="234" cm="1">
        <f t="array" ref="AD179">_xlfn.LET(
_xlpm.COMARCA, TRIM(UPPER(SUBSTITUTE(SUBSTITUTE(SUBSTITUTE(SUBSTITUTE(SUBSTITUTE(SUBSTITUTE(SUBSTITUTE(SUBSTITUTE(SUBSTITUTE(SUBSTITUTE(SUBSTITUTE(SUBSTITUTE(SUBSTITUTE(SUBSTITUTE(SUBSTITUTE(SUBSTITUTE(SUBSTITUTE(SUBSTITUTE(SUBSTITUTE(SUBSTITUTE(SUBSTITUTE(SUBSTITUTE(SUBSTITUTE(SUBSTITUTE(SUBSTITUTE(SUBSTITUTE(tabParametros[[#This Row],[Comarca]],"á","a"),"ã","a"),"â","a"),"é","e"),"ê","e"),"í","i"),"ó","o"),"õ","o"),"ô","o"),"ú","u"),"ç","c"),"Á","a"),"Ã","a"),"Â","a"),"É","e"),"Ê","e"),"Í","i"),"Ó","o"),"Õ","o"),"Ô","o"),"Ú","u"),"Ç","c"),"/MG","")," e ",", ")," ",""),".",""))),
_xlpm.MATRIZ_COMARCA, TRIM(UPPER(SUBSTITUTE(SUBSTITUTE(SUBSTITUTE(SUBSTITUTE(SUBSTITUTE(SUBSTITUTE(SUBSTITUTE(SUBSTITUTE(SUBSTITUTE(SUBSTITUTE(SUBSTITUTE(SUBSTITUTE(SUBSTITUTE(SUBSTITUTE(SUBSTITUTE(SUBSTITUTE(SUBSTITUTE(SUBSTITUTE(SUBSTITUTE(SUBSTITUTE(SUBSTITUTE(SUBSTITUTE(SUBSTITUTE(SUBSTITUTE(SUBSTITUTE(SUBSTITUTE(tabSindicatos[COMARCAS PAF],"á","a"),"ã","a"),"â","a"),"é","e"),"ê","e"),"í","i"),"ó","o"),"õ","o"),"ô","o"),"ú","u"),"ç","c"),"Á","a"),"Ã","a"),"Â","a"),"É","e"),"Ê","e"),"Í","i"),"Ó","o"),"Õ","o"),"Ô","o"),"Ú","u"),"Ç","c"),"/MG","")," e ",", ")," ",""),".",""))),
IFERROR(IF(_xlfn.XLOOKUP(tabParametros[[#This Row],[CCT DA CATEGORIA]],tabSindicatos[SINDICATOS],tabSindicatos[COMARCAS PAF])="",
VLOOKUP(tabParametros[[#This Row],[CCT DA CATEGORIA]],tabSindicatos[],8,0),
IF(ISNUMBER(SEARCH(TRIM(_xlpm.COMARCA),_xlfn.XLOOKUP(tabParametros[[#This Row],[CCT DA CATEGORIA]],tabSindicatos[SINDICATOS],_xlpm.MATRIZ_COMARCA),1)),VLOOKUP(tabParametros[[#This Row],[CCT DA CATEGORIA]],tabSindicatos[],8,0),0)
),0)
)</f>
        <v>0</v>
      </c>
      <c r="AE179" s="234">
        <f>IFERROR(VLOOKUP(tabParametros[[#This Row],[CCT DA CATEGORIA]],tabSindicatos[],9,0),0)</f>
        <v>15.07</v>
      </c>
      <c r="AF179" s="234">
        <f>IFERROR(VLOOKUP(tabParametros[[#This Row],[CCT DA CATEGORIA]],tabSindicatos[],10,0),0)</f>
        <v>0</v>
      </c>
      <c r="AG179" s="236">
        <f>VLOOKUP(tabParametros[[#Headers],[Seguro de Vida]],tabOutrosCustos[],3,0)</f>
        <v>3.36</v>
      </c>
      <c r="AH179" s="236">
        <f>IF(ISNUMBER(SEARCH("MOTORISTA",tabParametros[[#This Row],[Função]],1)),VLOOKUP("MOTORISTAS",tabDiarias[],2,0),IF(tabParametros[[#This Row],[Comarca]]="Belo Horizonte",VLOOKUP("LIMPEZA",tabDiarias[],2,0),0))</f>
        <v>0</v>
      </c>
      <c r="AI179" s="235">
        <f t="shared" si="24"/>
        <v>7.011766975308642E-3</v>
      </c>
      <c r="AJ179" s="237">
        <f>tabParametros[[#This Row],[FGTS]]*tabParametros[[#This Row],[Aviso Prévio Indenizado (API) e Reflexo do Aviso Prévio Indenizado]]</f>
        <v>5.609413580246914E-4</v>
      </c>
      <c r="AK179" s="237">
        <f>tabParametros[[#This Row],[FGTS]]*tabParametros[[#This Row],[Aviso Prévio Indenizado (API) e Reflexo do Aviso Prévio Indenizado]]*40%</f>
        <v>2.2437654320987658E-4</v>
      </c>
      <c r="AL179" s="235">
        <f t="shared" si="25"/>
        <v>3.5000000000000005E-3</v>
      </c>
      <c r="AM179" s="235">
        <f>tabParametros[[#This Row],[Aviso Prévio Trabalhado - APT]]*SUM(tabParametros[[#This Row],[INSS]:[SEBRAE]])</f>
        <v>1.3230000000000004E-3</v>
      </c>
      <c r="AN179" s="235">
        <f t="shared" si="26"/>
        <v>3.0577777777777773E-2</v>
      </c>
      <c r="AO179" s="235">
        <f t="shared" si="27"/>
        <v>8.3333333333333339E-4</v>
      </c>
      <c r="AP179" s="235">
        <f t="shared" si="28"/>
        <v>8.4444444444444437E-3</v>
      </c>
      <c r="AQ179" s="235">
        <f t="shared" si="29"/>
        <v>2.0277777777777777E-3</v>
      </c>
      <c r="AR179" s="235">
        <f t="shared" si="30"/>
        <v>1.7083333333333333E-4</v>
      </c>
      <c r="AS179" s="235">
        <f t="shared" si="31"/>
        <v>2.0833333333333335E-4</v>
      </c>
      <c r="AT179" s="235">
        <f t="shared" si="32"/>
        <v>1.2962962962962963E-3</v>
      </c>
      <c r="AU179" s="237">
        <f>SUM(tabParametros[[#This Row],[Ausência por Doença]:[Férias, Adicional de Férias e 13º  com empregada em gozo de Licença Maternidade]])*SUM(tabParametros[[#This Row],[INSS]:[SEBRAE]])</f>
        <v>4.5918250000000008E-3</v>
      </c>
      <c r="AV179" s="234">
        <f>IF(tabParametros[[#This Row],[Função]]="Porteiro - 220 h",SUM(tabParametros[[#This Row],[Salário Base]:[Adicional de Acúmulo de função]])/220*20*1.5,IF(ISNUMBER(SEARCH("12 x 36",tabParametros[[#This Row],[Função]],1)),SUM(tabParametros[[#This Row],[Salário Base]:[Adicional de Acúmulo de função]])/210*15.5*1.5,0))</f>
        <v>0</v>
      </c>
      <c r="AW179" s="234">
        <f>IF(tabParametros[[#This Row],[Vagas contratadas]]&gt;0,(SUM(tabParametros[[#This Row],[Salário Base]:[Adicional de Acúmulo de função]])*30%+SUM(tabParametros[[#This Row],[Vale - Alimentação]:[Seguro de Vida]]))/tabParametros[[#This Row],[Vagas contratadas]]*tabParametros[[#This Row],[Vagas suspensas]],0)</f>
        <v>0</v>
      </c>
      <c r="AX179" s="234">
        <f>SUMIF(tabUniformes[Cargo],tabParametros[[#This Row],[Função]],tabUniformes[Valor unit. Mensal])</f>
        <v>62.806666666666665</v>
      </c>
      <c r="AY179" s="281">
        <f>IF(ISNUMBER(SEARCH("AUXILIAR DE LIMPEZA - 75 H",tabParametros[[#This Row],[Função]],1)),
SUMIF(tabLimpGeral[TIPO],"Material",tabLimpGeral[VALOR UNITÁRIO P/ HORA (R$)])*75,
IF(ISNUMBER(SEARCH("AUXILIAR DE LIMPEZA - 110 H",tabParametros[[#This Row],[Função]],1)),
SUMIF(tabLimpGeral[TIPO],"Material",tabLimpGeral[VALOR UNITÁRIO P/ HORA (R$)])*110,
IF(ISNUMBER(SEARCH("AUXILIAR DE LIMPEZA - 150 H",tabParametros[[#This Row],[Função]],1)),
SUMIF(tabLimpGeral[TIPO],"Material",tabLimpGeral[VALOR UNITÁRIO P/ HORA (R$)])*150,
IF(ISNUMBER(SEARCH("AUXILIAR DE LIMPEZA - 220 H",tabParametros[[#This Row],[Função]],1)),
SUMIF(tabLimpGeral[TIPO],"Material",tabLimpGeral[VALOR UNITÁRIO P/ HORA (R$)])*220,
IF(ISNUMBER(SEARCH("AUXILIAR DE LIMPEZA - 12 x 36",tabParametros[[#This Row],[Função]],1)),
SUMIF(tabLimpGeral[TIPO],"Material",tabLimpGeral[VALOR UNITÁRIO P/ HORA (R$)])*220,
IF(ISNUMBER(SEARCH("Limpador de vidros - 220 h",tabParametros[[#This Row],[Função]],1)),
SUMIF(tabVidros[TIPO],"Material",tabVidros[VALOR UNITÁRIO P/ POSTO (R$)]),
0))))))</f>
        <v>12.108481690426325</v>
      </c>
      <c r="AZ179" s="281">
        <f>IF(ISNUMBER(SEARCH("AUXILIAR DE LIMPEZA - 75 H",tabParametros[[#This Row],[Função]],1)),
SUMIF(tabLimpGeral[TIPO],"Equipamento",tabLimpGeral[VALOR UNITÁRIO P/ HORA (R$)])*75,
IF(ISNUMBER(SEARCH("AUXILIAR DE LIMPEZA - 110 H",tabParametros[[#This Row],[Função]],1)),
SUMIF(tabLimpGeral[TIPO],"Equipamento",tabLimpGeral[VALOR UNITÁRIO P/ HORA (R$)])*110,
IF(ISNUMBER(SEARCH("AUXILIAR DE LIMPEZA - 150 H",tabParametros[[#This Row],[Função]],1)),
SUMIF(tabLimpGeral[TIPO],"Equipamento",tabLimpGeral[VALOR UNITÁRIO P/ HORA (R$)])*150,
IF(ISNUMBER(SEARCH("AUXILIAR DE LIMPEZA - 220 H",tabParametros[[#This Row],[Função]],1)),
SUMIF(tabLimpGeral[TIPO],"Equipamento",tabLimpGeral[VALOR UNITÁRIO P/ HORA (R$)])*220,
IF(ISNUMBER(SEARCH("AUXILIAR DE LIMPEZA - 12 x 36",tabParametros[[#This Row],[Função]],1)),
SUMIF(tabLimpGeral[TIPO],"Equipamento",tabLimpGeral[VALOR UNITÁRIO P/ HORA (R$)])*220,
IF(ISNUMBER(SEARCH("Limpador de vidros - 220 h",tabParametros[[#This Row],[Função]],1)),
SUMIF(tabVidros[TIPO],"Equipamento",tabVidros[VALOR UNITÁRIO P/ POSTO (R$)]),
0))))))</f>
        <v>21.998657016417809</v>
      </c>
      <c r="BA179" s="281">
        <f>IF(ISNUMBER(SEARCH("AUXILIAR DE LIMPEZA - 75 H",tabParametros[[#This Row],[Função]],1)),
SUMIF(tabLimpGeral[TIPO],"Produto",tabLimpGeral[VALOR UNITÁRIO P/ HORA (R$)])*75,
IF(ISNUMBER(SEARCH("AUXILIAR DE LIMPEZA - 110 H",tabParametros[[#This Row],[Função]],1)),
SUMIF(tabLimpGeral[TIPO],"Produto",tabLimpGeral[VALOR UNITÁRIO P/ HORA (R$)])*110,
IF(ISNUMBER(SEARCH("AUXILIAR DE LIMPEZA - 150 H",tabParametros[[#This Row],[Função]],1)),
SUMIF(tabLimpGeral[TIPO],"Produto",tabLimpGeral[VALOR UNITÁRIO P/ HORA (R$)])*150,
IF(ISNUMBER(SEARCH("AUXILIAR DE LIMPEZA - 220 H",tabParametros[[#This Row],[Função]],1)),
SUMIF(tabLimpGeral[TIPO],"Produto",tabLimpGeral[VALOR UNITÁRIO P/ HORA (R$)])*220,
IF(ISNUMBER(SEARCH("AUXILIAR DE LIMPEZA - 12 x 36",tabParametros[[#This Row],[Função]],1)),
SUMIF(tabLimpGeral[TIPO],"Produto",tabLimpGeral[VALOR UNITÁRIO P/ HORA (R$)])*220,
IF(ISNUMBER(SEARCH("Limpador de vidros - 220 h",tabParametros[[#This Row],[Função]],1)),
SUMIF(tabVidros[TIPO],"Produto",tabVidros[VALOR UNITÁRIO P/ POSTO (R$)]),
0))))))</f>
        <v>235.31984072022155</v>
      </c>
      <c r="BB179" s="281">
        <v>0</v>
      </c>
      <c r="BC179" s="236">
        <f>VLOOKUP(tabParametros[[#Headers],[Custos Indiretos]],tabOutrosCustos[],3,0)</f>
        <v>189.64880140242613</v>
      </c>
      <c r="BD179" s="236">
        <f>VLOOKUP(tabParametros[[#Headers],[Lucro]],tabOutrosCustos[],3,0)</f>
        <v>159.30499317803796</v>
      </c>
      <c r="BE179" s="235">
        <f>VLOOKUP(tabParametros[[#Headers],[COFINS]],tabImpostosNacionais[],2,0)</f>
        <v>7.5999999999999998E-2</v>
      </c>
      <c r="BF179" s="235">
        <f>VLOOKUP(tabParametros[[#Headers],[PIS]],tabImpostosNacionais[],2,0)</f>
        <v>1.6500000000000001E-2</v>
      </c>
      <c r="BG179" s="235">
        <f>VLOOKUP(tabParametros[[#This Row],[Comarca]],tabComarca[],4,0)</f>
        <v>3.5000000000000003E-2</v>
      </c>
      <c r="BH179" s="238">
        <f>IFERROR(VLOOKUP(tabParametros[[#This Row],[CCT DA CATEGORIA]],tabSindicatos[],11,0),"")</f>
        <v>45658</v>
      </c>
      <c r="BI179" s="289" t="str">
        <f>IFERROR(VLOOKUP(tabParametros[[#This Row],[CCT DA CATEGORIA]],tabSindicatos[],12,0),"")</f>
        <v>-</v>
      </c>
      <c r="BJ179" s="293" t="str">
        <f>IFERROR(VLOOKUP(tabParametros[[#This Row],[CCT DA CATEGORIA]],tabSindicatos[],13,0),"")</f>
        <v>-</v>
      </c>
    </row>
    <row r="180" spans="1:62" x14ac:dyDescent="0.25">
      <c r="A180" s="233" t="s">
        <v>1516</v>
      </c>
      <c r="B180" s="198" t="s">
        <v>162</v>
      </c>
      <c r="C180" s="198" t="s">
        <v>1246</v>
      </c>
      <c r="D180" s="198" t="str">
        <f>VLOOKUP(tabParametros[[#This Row],[Código do Posto]],tabPostos[],4,0)</f>
        <v>Fethemg Interior</v>
      </c>
      <c r="E180" s="289" t="str">
        <f>VLOOKUP(tabParametros[[#This Row],[Código do Posto]],tabPostos[],5,0)</f>
        <v>Limpeza</v>
      </c>
      <c r="F180" s="289" t="str">
        <f>VLOOKUP(tabParametros[[#This Row],[Código do Posto]],tabPostos[],6,0)</f>
        <v>PGJ</v>
      </c>
      <c r="G180" s="289">
        <f>VLOOKUP(tabParametros[[#This Row],[Código do Posto]],tabPostos[],7,0)</f>
        <v>1</v>
      </c>
      <c r="H180" s="289">
        <f>VLOOKUP(tabParametros[[#This Row],[Código do Posto]],tabPostos[],8,0)</f>
        <v>0</v>
      </c>
      <c r="I180" s="234">
        <f>VLOOKUP(tabParametros[[#This Row],[Código do Posto]],tabPostos[],9,0)</f>
        <v>1088.3699999999999</v>
      </c>
      <c r="J180" s="234">
        <f>IF(ISNUMBER(SEARCH("Eletricista",tabParametros[[#This Row],[Função]],1)),0.3*tabParametros[[#This Row],[Salário Base]],0)</f>
        <v>0</v>
      </c>
      <c r="K180" s="234">
        <f>IF(OR(ISNUMBER(SEARCH("Bombeiro Hidraulico",tabParametros[[#This Row],[Função]],1)),ISNUMBER(SEARCH("Jardineiro",tabParametros[[#This Row],[Função]],1)),ISNUMBER(SEARCH("Lavador de Veiculos",tabParametros[[#This Row],[Função]],1)),ISNUMBER(SEARCH("Marceneiro",tabParametros[[#This Row],[Função]],1)),ISNUMBER(SEARCH("Pintor",tabParametros[[#This Row],[Função]],1))),0.2*'BASE GERAL'!$R$4,0)</f>
        <v>0</v>
      </c>
      <c r="L180" s="234">
        <f>IF(AND(ISNUMBER(SEARCH("Noturno",tabParametros[[#This Row],[Função]],1)),tabParametros[[#This Row],[Comarca]]&lt;&gt;"Juiz de Fora"),tabParametros[[#This Row],[Salário Base]]/210*0.39*7*15.5,IF(ISNUMBER(SEARCH("Noturno",tabParametros[[#This Row],[Função]],1)),tabParametros[[#This Row],[Salário Base]]/210*0.2*8*15.5,0))</f>
        <v>0</v>
      </c>
      <c r="M180" s="234">
        <f>IF(ISNUMBER(SEARCH("Motorista II",tabParametros[[#This Row],[Função]],1)),0.25*tabParametros[[#This Row],[Salário Base]],0)</f>
        <v>0</v>
      </c>
      <c r="N180" s="250">
        <v>0</v>
      </c>
      <c r="O180" s="234">
        <f>IF(ISNUMBER(SEARCH("TECNOLOGIA DA INFORMACAO",tabParametros[[#This Row],[Função]],1)),0.0201*tabParametros[[#This Row],[Salário Base]],0)</f>
        <v>0</v>
      </c>
      <c r="P180" s="250" cm="1">
        <f t="array" ref="P180">_xlfn.IFS(
ISNUMBER(SEARCH("Auxiliar de Limpeza - 75 h",tabParametros[[#This Row],[Função]],1)),tabParametros[[#This Row],[Salário Base]]/75*0.75*30*0.12,
ISNUMBER(SEARCH("Auxiliar de Limpeza - 110 h",tabParametros[[#This Row],[Função]],1)),tabParametros[[#This Row],[Salário Base]]/110*1*30*0.12,
ISNUMBER(SEARCH("Auxiliar de Limpeza - 150 h",tabParametros[[#This Row],[Função]],1)),tabParametros[[#This Row],[Salário Base]]/150*1.5*30*0.12,
ISNUMBER(SEARCH("Auxiliar de Limpeza - 220 h",tabParametros[[#This Row],[Função]],1)),tabParametros[[#This Row],[Salário Base]]/220*2*30*0.12,
ISNUMBER(SEARCH("Auxiliar de Limpeza - 12 x 36",tabParametros[[#This Row],[Função]],1)),tabParametros[[#This Row],[Salário Base]]/220*2*30*0.12,
ISNUMBER(SEARCH("Auxiliar de Limpeza - 55 h",tabParametros[[#This Row],[Função]],1))=FALSE,0)</f>
        <v>39.181319999999985</v>
      </c>
      <c r="Q180" s="235">
        <f>VLOOKUP(tabParametros[[#Headers],[INSS]],tabImpostosNacionais[],2,0)</f>
        <v>0.2</v>
      </c>
      <c r="R180" s="235">
        <f>VLOOKUP(tabParametros[[#Headers],[SESI OU SESC]],tabImpostosNacionais[],2,0)</f>
        <v>1.4999999999999999E-2</v>
      </c>
      <c r="S180" s="235">
        <f>VLOOKUP(tabParametros[[#Headers],[SENAI OU SENAC]],tabImpostosNacionais[],2,0)</f>
        <v>0.01</v>
      </c>
      <c r="T180" s="235">
        <f>VLOOKUP(tabParametros[[#Headers],[INCRA]],tabImpostosNacionais[],2,0)</f>
        <v>2E-3</v>
      </c>
      <c r="U180" s="235">
        <f>VLOOKUP(tabParametros[[#Headers],[Salário Educação]],tabImpostosNacionais[],2,0)</f>
        <v>2.5000000000000001E-2</v>
      </c>
      <c r="V180" s="235">
        <f>VLOOKUP(tabParametros[[#Headers],[FGTS]],tabImpostosNacionais[],2,0)</f>
        <v>0.08</v>
      </c>
      <c r="W180" s="235">
        <f>VLOOKUP(tabParametros[[#Headers],[RAT Ajustado]],tabImpostosNacionais[],2,0)</f>
        <v>0.04</v>
      </c>
      <c r="X180" s="235">
        <f>VLOOKUP(tabParametros[[#Headers],[SEBRAE]],tabImpostosNacionais[],2,0)</f>
        <v>6.0000000000000001E-3</v>
      </c>
      <c r="Y180" s="235">
        <f t="shared" si="22"/>
        <v>8.3333333333333329E-2</v>
      </c>
      <c r="Z180" s="251">
        <f t="shared" si="23"/>
        <v>0.1111111111111111</v>
      </c>
      <c r="AA180" s="234">
        <f>VLOOKUP(tabParametros[[#This Row],[Comarca]],tabComarca[],5,0)</f>
        <v>6.4</v>
      </c>
      <c r="AB180" s="234">
        <f>IFERROR(VLOOKUP(tabParametros[[#This Row],[CCT DA CATEGORIA]],tabSindicatos[],6,0),0)</f>
        <v>29.15</v>
      </c>
      <c r="AC180" s="234">
        <f>IFERROR(VLOOKUP(tabParametros[[#This Row],[CCT DA CATEGORIA]],tabSindicatos[],7,0),0)</f>
        <v>0</v>
      </c>
      <c r="AD180" s="234" cm="1">
        <f t="array" ref="AD180">_xlfn.LET(
_xlpm.COMARCA, TRIM(UPPER(SUBSTITUTE(SUBSTITUTE(SUBSTITUTE(SUBSTITUTE(SUBSTITUTE(SUBSTITUTE(SUBSTITUTE(SUBSTITUTE(SUBSTITUTE(SUBSTITUTE(SUBSTITUTE(SUBSTITUTE(SUBSTITUTE(SUBSTITUTE(SUBSTITUTE(SUBSTITUTE(SUBSTITUTE(SUBSTITUTE(SUBSTITUTE(SUBSTITUTE(SUBSTITUTE(SUBSTITUTE(SUBSTITUTE(SUBSTITUTE(SUBSTITUTE(SUBSTITUTE(tabParametros[[#This Row],[Comarca]],"á","a"),"ã","a"),"â","a"),"é","e"),"ê","e"),"í","i"),"ó","o"),"õ","o"),"ô","o"),"ú","u"),"ç","c"),"Á","a"),"Ã","a"),"Â","a"),"É","e"),"Ê","e"),"Í","i"),"Ó","o"),"Õ","o"),"Ô","o"),"Ú","u"),"Ç","c"),"/MG","")," e ",", ")," ",""),".",""))),
_xlpm.MATRIZ_COMARCA, TRIM(UPPER(SUBSTITUTE(SUBSTITUTE(SUBSTITUTE(SUBSTITUTE(SUBSTITUTE(SUBSTITUTE(SUBSTITUTE(SUBSTITUTE(SUBSTITUTE(SUBSTITUTE(SUBSTITUTE(SUBSTITUTE(SUBSTITUTE(SUBSTITUTE(SUBSTITUTE(SUBSTITUTE(SUBSTITUTE(SUBSTITUTE(SUBSTITUTE(SUBSTITUTE(SUBSTITUTE(SUBSTITUTE(SUBSTITUTE(SUBSTITUTE(SUBSTITUTE(SUBSTITUTE(tabSindicatos[COMARCAS PAF],"á","a"),"ã","a"),"â","a"),"é","e"),"ê","e"),"í","i"),"ó","o"),"õ","o"),"ô","o"),"ú","u"),"ç","c"),"Á","a"),"Ã","a"),"Â","a"),"É","e"),"Ê","e"),"Í","i"),"Ó","o"),"Õ","o"),"Ô","o"),"Ú","u"),"Ç","c"),"/MG","")," e ",", ")," ",""),".",""))),
IFERROR(IF(_xlfn.XLOOKUP(tabParametros[[#This Row],[CCT DA CATEGORIA]],tabSindicatos[SINDICATOS],tabSindicatos[COMARCAS PAF])="",
VLOOKUP(tabParametros[[#This Row],[CCT DA CATEGORIA]],tabSindicatos[],8,0),
IF(ISNUMBER(SEARCH(TRIM(_xlpm.COMARCA),_xlfn.XLOOKUP(tabParametros[[#This Row],[CCT DA CATEGORIA]],tabSindicatos[SINDICATOS],_xlpm.MATRIZ_COMARCA),1)),VLOOKUP(tabParametros[[#This Row],[CCT DA CATEGORIA]],tabSindicatos[],8,0),0)
),0)
)</f>
        <v>0</v>
      </c>
      <c r="AE180" s="234">
        <f>IFERROR(VLOOKUP(tabParametros[[#This Row],[CCT DA CATEGORIA]],tabSindicatos[],9,0),0)</f>
        <v>15.07</v>
      </c>
      <c r="AF180" s="234">
        <f>IFERROR(VLOOKUP(tabParametros[[#This Row],[CCT DA CATEGORIA]],tabSindicatos[],10,0),0)</f>
        <v>0</v>
      </c>
      <c r="AG180" s="236">
        <f>VLOOKUP(tabParametros[[#Headers],[Seguro de Vida]],tabOutrosCustos[],3,0)</f>
        <v>3.36</v>
      </c>
      <c r="AH180" s="236">
        <f>IF(ISNUMBER(SEARCH("MOTORISTA",tabParametros[[#This Row],[Função]],1)),VLOOKUP("MOTORISTAS",tabDiarias[],2,0),IF(tabParametros[[#This Row],[Comarca]]="Belo Horizonte",VLOOKUP("LIMPEZA",tabDiarias[],2,0),0))</f>
        <v>0</v>
      </c>
      <c r="AI180" s="235">
        <f t="shared" si="24"/>
        <v>7.011766975308642E-3</v>
      </c>
      <c r="AJ180" s="237">
        <f>tabParametros[[#This Row],[FGTS]]*tabParametros[[#This Row],[Aviso Prévio Indenizado (API) e Reflexo do Aviso Prévio Indenizado]]</f>
        <v>5.609413580246914E-4</v>
      </c>
      <c r="AK180" s="237">
        <f>tabParametros[[#This Row],[FGTS]]*tabParametros[[#This Row],[Aviso Prévio Indenizado (API) e Reflexo do Aviso Prévio Indenizado]]*40%</f>
        <v>2.2437654320987658E-4</v>
      </c>
      <c r="AL180" s="235">
        <f t="shared" si="25"/>
        <v>3.5000000000000005E-3</v>
      </c>
      <c r="AM180" s="235">
        <f>tabParametros[[#This Row],[Aviso Prévio Trabalhado - APT]]*SUM(tabParametros[[#This Row],[INSS]:[SEBRAE]])</f>
        <v>1.3230000000000004E-3</v>
      </c>
      <c r="AN180" s="235">
        <f t="shared" si="26"/>
        <v>3.0577777777777773E-2</v>
      </c>
      <c r="AO180" s="235">
        <f t="shared" si="27"/>
        <v>8.3333333333333339E-4</v>
      </c>
      <c r="AP180" s="235">
        <f t="shared" si="28"/>
        <v>8.4444444444444437E-3</v>
      </c>
      <c r="AQ180" s="235">
        <f t="shared" si="29"/>
        <v>2.0277777777777777E-3</v>
      </c>
      <c r="AR180" s="235">
        <f t="shared" si="30"/>
        <v>1.7083333333333333E-4</v>
      </c>
      <c r="AS180" s="235">
        <f t="shared" si="31"/>
        <v>2.0833333333333335E-4</v>
      </c>
      <c r="AT180" s="235">
        <f t="shared" si="32"/>
        <v>1.2962962962962963E-3</v>
      </c>
      <c r="AU180" s="237">
        <f>SUM(tabParametros[[#This Row],[Ausência por Doença]:[Férias, Adicional de Férias e 13º  com empregada em gozo de Licença Maternidade]])*SUM(tabParametros[[#This Row],[INSS]:[SEBRAE]])</f>
        <v>4.5918250000000008E-3</v>
      </c>
      <c r="AV180" s="234">
        <f>IF(tabParametros[[#This Row],[Função]]="Porteiro - 220 h",SUM(tabParametros[[#This Row],[Salário Base]:[Adicional de Acúmulo de função]])/220*20*1.5,IF(ISNUMBER(SEARCH("12 x 36",tabParametros[[#This Row],[Função]],1)),SUM(tabParametros[[#This Row],[Salário Base]:[Adicional de Acúmulo de função]])/210*15.5*1.5,0))</f>
        <v>0</v>
      </c>
      <c r="AW180" s="234">
        <f>IF(tabParametros[[#This Row],[Vagas contratadas]]&gt;0,(SUM(tabParametros[[#This Row],[Salário Base]:[Adicional de Acúmulo de função]])*30%+SUM(tabParametros[[#This Row],[Vale - Alimentação]:[Seguro de Vida]]))/tabParametros[[#This Row],[Vagas contratadas]]*tabParametros[[#This Row],[Vagas suspensas]],0)</f>
        <v>0</v>
      </c>
      <c r="AX180" s="234">
        <f>SUMIF(tabUniformes[Cargo],tabParametros[[#This Row],[Função]],tabUniformes[Valor unit. Mensal])</f>
        <v>100.80916666666666</v>
      </c>
      <c r="AY180" s="281">
        <f>IF(ISNUMBER(SEARCH("AUXILIAR DE LIMPEZA - 75 H",tabParametros[[#This Row],[Função]],1)),
SUMIF(tabLimpGeral[TIPO],"Material",tabLimpGeral[VALOR UNITÁRIO P/ HORA (R$)])*75,
IF(ISNUMBER(SEARCH("AUXILIAR DE LIMPEZA - 110 H",tabParametros[[#This Row],[Função]],1)),
SUMIF(tabLimpGeral[TIPO],"Material",tabLimpGeral[VALOR UNITÁRIO P/ HORA (R$)])*110,
IF(ISNUMBER(SEARCH("AUXILIAR DE LIMPEZA - 150 H",tabParametros[[#This Row],[Função]],1)),
SUMIF(tabLimpGeral[TIPO],"Material",tabLimpGeral[VALOR UNITÁRIO P/ HORA (R$)])*150,
IF(ISNUMBER(SEARCH("AUXILIAR DE LIMPEZA - 220 H",tabParametros[[#This Row],[Função]],1)),
SUMIF(tabLimpGeral[TIPO],"Material",tabLimpGeral[VALOR UNITÁRIO P/ HORA (R$)])*220,
IF(ISNUMBER(SEARCH("AUXILIAR DE LIMPEZA - 12 x 36",tabParametros[[#This Row],[Função]],1)),
SUMIF(tabLimpGeral[TIPO],"Material",tabLimpGeral[VALOR UNITÁRIO P/ HORA (R$)])*220,
IF(ISNUMBER(SEARCH("Limpador de vidros - 220 h",tabParametros[[#This Row],[Função]],1)),
SUMIF(tabVidros[TIPO],"Material",tabVidros[VALOR UNITÁRIO P/ POSTO (R$)]),
0))))))</f>
        <v>24.216963380852651</v>
      </c>
      <c r="AZ180" s="281">
        <f>IF(ISNUMBER(SEARCH("AUXILIAR DE LIMPEZA - 75 H",tabParametros[[#This Row],[Função]],1)),
SUMIF(tabLimpGeral[TIPO],"Equipamento",tabLimpGeral[VALOR UNITÁRIO P/ HORA (R$)])*75,
IF(ISNUMBER(SEARCH("AUXILIAR DE LIMPEZA - 110 H",tabParametros[[#This Row],[Função]],1)),
SUMIF(tabLimpGeral[TIPO],"Equipamento",tabLimpGeral[VALOR UNITÁRIO P/ HORA (R$)])*110,
IF(ISNUMBER(SEARCH("AUXILIAR DE LIMPEZA - 150 H",tabParametros[[#This Row],[Função]],1)),
SUMIF(tabLimpGeral[TIPO],"Equipamento",tabLimpGeral[VALOR UNITÁRIO P/ HORA (R$)])*150,
IF(ISNUMBER(SEARCH("AUXILIAR DE LIMPEZA - 220 H",tabParametros[[#This Row],[Função]],1)),
SUMIF(tabLimpGeral[TIPO],"Equipamento",tabLimpGeral[VALOR UNITÁRIO P/ HORA (R$)])*220,
IF(ISNUMBER(SEARCH("AUXILIAR DE LIMPEZA - 12 x 36",tabParametros[[#This Row],[Função]],1)),
SUMIF(tabLimpGeral[TIPO],"Equipamento",tabLimpGeral[VALOR UNITÁRIO P/ HORA (R$)])*220,
IF(ISNUMBER(SEARCH("Limpador de vidros - 220 h",tabParametros[[#This Row],[Função]],1)),
SUMIF(tabVidros[TIPO],"Equipamento",tabVidros[VALOR UNITÁRIO P/ POSTO (R$)]),
0))))))</f>
        <v>43.997314032835618</v>
      </c>
      <c r="BA180" s="281">
        <f>IF(ISNUMBER(SEARCH("AUXILIAR DE LIMPEZA - 75 H",tabParametros[[#This Row],[Função]],1)),
SUMIF(tabLimpGeral[TIPO],"Produto",tabLimpGeral[VALOR UNITÁRIO P/ HORA (R$)])*75,
IF(ISNUMBER(SEARCH("AUXILIAR DE LIMPEZA - 110 H",tabParametros[[#This Row],[Função]],1)),
SUMIF(tabLimpGeral[TIPO],"Produto",tabLimpGeral[VALOR UNITÁRIO P/ HORA (R$)])*110,
IF(ISNUMBER(SEARCH("AUXILIAR DE LIMPEZA - 150 H",tabParametros[[#This Row],[Função]],1)),
SUMIF(tabLimpGeral[TIPO],"Produto",tabLimpGeral[VALOR UNITÁRIO P/ HORA (R$)])*150,
IF(ISNUMBER(SEARCH("AUXILIAR DE LIMPEZA - 220 H",tabParametros[[#This Row],[Função]],1)),
SUMIF(tabLimpGeral[TIPO],"Produto",tabLimpGeral[VALOR UNITÁRIO P/ HORA (R$)])*220,
IF(ISNUMBER(SEARCH("AUXILIAR DE LIMPEZA - 12 x 36",tabParametros[[#This Row],[Função]],1)),
SUMIF(tabLimpGeral[TIPO],"Produto",tabLimpGeral[VALOR UNITÁRIO P/ HORA (R$)])*220,
IF(ISNUMBER(SEARCH("Limpador de vidros - 220 h",tabParametros[[#This Row],[Função]],1)),
SUMIF(tabVidros[TIPO],"Produto",tabVidros[VALOR UNITÁRIO P/ POSTO (R$)]),
0))))))</f>
        <v>470.6396814404431</v>
      </c>
      <c r="BB180" s="281">
        <v>0</v>
      </c>
      <c r="BC180" s="236">
        <f>VLOOKUP(tabParametros[[#Headers],[Custos Indiretos]],tabOutrosCustos[],3,0)</f>
        <v>189.64880140242613</v>
      </c>
      <c r="BD180" s="236">
        <f>VLOOKUP(tabParametros[[#Headers],[Lucro]],tabOutrosCustos[],3,0)</f>
        <v>159.30499317803796</v>
      </c>
      <c r="BE180" s="235">
        <f>VLOOKUP(tabParametros[[#Headers],[COFINS]],tabImpostosNacionais[],2,0)</f>
        <v>7.5999999999999998E-2</v>
      </c>
      <c r="BF180" s="235">
        <f>VLOOKUP(tabParametros[[#Headers],[PIS]],tabImpostosNacionais[],2,0)</f>
        <v>1.6500000000000001E-2</v>
      </c>
      <c r="BG180" s="235">
        <f>VLOOKUP(tabParametros[[#This Row],[Comarca]],tabComarca[],4,0)</f>
        <v>3.5000000000000003E-2</v>
      </c>
      <c r="BH180" s="238">
        <f>IFERROR(VLOOKUP(tabParametros[[#This Row],[CCT DA CATEGORIA]],tabSindicatos[],11,0),"")</f>
        <v>45658</v>
      </c>
      <c r="BI180" s="289" t="str">
        <f>IFERROR(VLOOKUP(tabParametros[[#This Row],[CCT DA CATEGORIA]],tabSindicatos[],12,0),"")</f>
        <v>-</v>
      </c>
      <c r="BJ180" s="293" t="str">
        <f>IFERROR(VLOOKUP(tabParametros[[#This Row],[CCT DA CATEGORIA]],tabSindicatos[],13,0),"")</f>
        <v>-</v>
      </c>
    </row>
    <row r="181" spans="1:62" x14ac:dyDescent="0.25">
      <c r="A181" s="233" t="s">
        <v>1517</v>
      </c>
      <c r="B181" s="198" t="s">
        <v>163</v>
      </c>
      <c r="C181" s="198" t="s">
        <v>1244</v>
      </c>
      <c r="D181" s="198" t="str">
        <f>VLOOKUP(tabParametros[[#This Row],[Código do Posto]],tabPostos[],4,0)</f>
        <v>Regiao de Sao Lourenco</v>
      </c>
      <c r="E181" s="289" t="str">
        <f>VLOOKUP(tabParametros[[#This Row],[Código do Posto]],tabPostos[],5,0)</f>
        <v>Limpeza</v>
      </c>
      <c r="F181" s="289" t="str">
        <f>VLOOKUP(tabParametros[[#This Row],[Código do Posto]],tabPostos[],6,0)</f>
        <v>PGJ</v>
      </c>
      <c r="G181" s="289">
        <f>VLOOKUP(tabParametros[[#This Row],[Código do Posto]],tabPostos[],7,0)</f>
        <v>1</v>
      </c>
      <c r="H181" s="289">
        <f>VLOOKUP(tabParametros[[#This Row],[Código do Posto]],tabPostos[],8,0)</f>
        <v>0</v>
      </c>
      <c r="I181" s="234">
        <f>VLOOKUP(tabParametros[[#This Row],[Código do Posto]],tabPostos[],9,0)</f>
        <v>798.14</v>
      </c>
      <c r="J181" s="234">
        <f>IF(ISNUMBER(SEARCH("Eletricista",tabParametros[[#This Row],[Função]],1)),0.3*tabParametros[[#This Row],[Salário Base]],0)</f>
        <v>0</v>
      </c>
      <c r="K181" s="234">
        <f>IF(OR(ISNUMBER(SEARCH("Bombeiro Hidraulico",tabParametros[[#This Row],[Função]],1)),ISNUMBER(SEARCH("Jardineiro",tabParametros[[#This Row],[Função]],1)),ISNUMBER(SEARCH("Lavador de Veiculos",tabParametros[[#This Row],[Função]],1)),ISNUMBER(SEARCH("Marceneiro",tabParametros[[#This Row],[Função]],1)),ISNUMBER(SEARCH("Pintor",tabParametros[[#This Row],[Função]],1))),0.2*'BASE GERAL'!$R$4,0)</f>
        <v>0</v>
      </c>
      <c r="L181" s="234">
        <f>IF(AND(ISNUMBER(SEARCH("Noturno",tabParametros[[#This Row],[Função]],1)),tabParametros[[#This Row],[Comarca]]&lt;&gt;"Juiz de Fora"),tabParametros[[#This Row],[Salário Base]]/210*0.39*7*15.5,IF(ISNUMBER(SEARCH("Noturno",tabParametros[[#This Row],[Função]],1)),tabParametros[[#This Row],[Salário Base]]/210*0.2*8*15.5,0))</f>
        <v>0</v>
      </c>
      <c r="M181" s="234">
        <f>IF(ISNUMBER(SEARCH("Motorista II",tabParametros[[#This Row],[Função]],1)),0.25*tabParametros[[#This Row],[Salário Base]],0)</f>
        <v>0</v>
      </c>
      <c r="N181" s="250">
        <v>0</v>
      </c>
      <c r="O181" s="234">
        <f>IF(ISNUMBER(SEARCH("TECNOLOGIA DA INFORMACAO",tabParametros[[#This Row],[Função]],1)),0.0201*tabParametros[[#This Row],[Salário Base]],0)</f>
        <v>0</v>
      </c>
      <c r="P181" s="250" cm="1">
        <f t="array" ref="P181">_xlfn.IFS(
ISNUMBER(SEARCH("Auxiliar de Limpeza - 75 h",tabParametros[[#This Row],[Função]],1)),tabParametros[[#This Row],[Salário Base]]/75*0.75*30*0.12,
ISNUMBER(SEARCH("Auxiliar de Limpeza - 110 h",tabParametros[[#This Row],[Função]],1)),tabParametros[[#This Row],[Salário Base]]/110*1*30*0.12,
ISNUMBER(SEARCH("Auxiliar de Limpeza - 150 h",tabParametros[[#This Row],[Função]],1)),tabParametros[[#This Row],[Salário Base]]/150*1.5*30*0.12,
ISNUMBER(SEARCH("Auxiliar de Limpeza - 220 h",tabParametros[[#This Row],[Função]],1)),tabParametros[[#This Row],[Salário Base]]/220*2*30*0.12,
ISNUMBER(SEARCH("Auxiliar de Limpeza - 12 x 36",tabParametros[[#This Row],[Função]],1)),tabParametros[[#This Row],[Salário Base]]/220*2*30*0.12,
ISNUMBER(SEARCH("Auxiliar de Limpeza - 55 h",tabParametros[[#This Row],[Função]],1))=FALSE,0)</f>
        <v>26.120945454545453</v>
      </c>
      <c r="Q181" s="235">
        <f>VLOOKUP(tabParametros[[#Headers],[INSS]],tabImpostosNacionais[],2,0)</f>
        <v>0.2</v>
      </c>
      <c r="R181" s="235">
        <f>VLOOKUP(tabParametros[[#Headers],[SESI OU SESC]],tabImpostosNacionais[],2,0)</f>
        <v>1.4999999999999999E-2</v>
      </c>
      <c r="S181" s="235">
        <f>VLOOKUP(tabParametros[[#Headers],[SENAI OU SENAC]],tabImpostosNacionais[],2,0)</f>
        <v>0.01</v>
      </c>
      <c r="T181" s="235">
        <f>VLOOKUP(tabParametros[[#Headers],[INCRA]],tabImpostosNacionais[],2,0)</f>
        <v>2E-3</v>
      </c>
      <c r="U181" s="235">
        <f>VLOOKUP(tabParametros[[#Headers],[Salário Educação]],tabImpostosNacionais[],2,0)</f>
        <v>2.5000000000000001E-2</v>
      </c>
      <c r="V181" s="235">
        <f>VLOOKUP(tabParametros[[#Headers],[FGTS]],tabImpostosNacionais[],2,0)</f>
        <v>0.08</v>
      </c>
      <c r="W181" s="235">
        <f>VLOOKUP(tabParametros[[#Headers],[RAT Ajustado]],tabImpostosNacionais[],2,0)</f>
        <v>0.04</v>
      </c>
      <c r="X181" s="235">
        <f>VLOOKUP(tabParametros[[#Headers],[SEBRAE]],tabImpostosNacionais[],2,0)</f>
        <v>6.0000000000000001E-3</v>
      </c>
      <c r="Y181" s="235">
        <f t="shared" si="22"/>
        <v>8.3333333333333329E-2</v>
      </c>
      <c r="Z181" s="251">
        <f t="shared" si="23"/>
        <v>0.1111111111111111</v>
      </c>
      <c r="AA181" s="234">
        <f>VLOOKUP(tabParametros[[#This Row],[Comarca]],tabComarca[],5,0)</f>
        <v>6.4</v>
      </c>
      <c r="AB181" s="234">
        <f>IFERROR(VLOOKUP(tabParametros[[#This Row],[CCT DA CATEGORIA]],tabSindicatos[],6,0),0)</f>
        <v>29.15</v>
      </c>
      <c r="AC181" s="234">
        <f>IFERROR(VLOOKUP(tabParametros[[#This Row],[CCT DA CATEGORIA]],tabSindicatos[],7,0),0)</f>
        <v>0</v>
      </c>
      <c r="AD181" s="234" cm="1">
        <f t="array" ref="AD181">_xlfn.LET(
_xlpm.COMARCA, TRIM(UPPER(SUBSTITUTE(SUBSTITUTE(SUBSTITUTE(SUBSTITUTE(SUBSTITUTE(SUBSTITUTE(SUBSTITUTE(SUBSTITUTE(SUBSTITUTE(SUBSTITUTE(SUBSTITUTE(SUBSTITUTE(SUBSTITUTE(SUBSTITUTE(SUBSTITUTE(SUBSTITUTE(SUBSTITUTE(SUBSTITUTE(SUBSTITUTE(SUBSTITUTE(SUBSTITUTE(SUBSTITUTE(SUBSTITUTE(SUBSTITUTE(SUBSTITUTE(SUBSTITUTE(tabParametros[[#This Row],[Comarca]],"á","a"),"ã","a"),"â","a"),"é","e"),"ê","e"),"í","i"),"ó","o"),"õ","o"),"ô","o"),"ú","u"),"ç","c"),"Á","a"),"Ã","a"),"Â","a"),"É","e"),"Ê","e"),"Í","i"),"Ó","o"),"Õ","o"),"Ô","o"),"Ú","u"),"Ç","c"),"/MG","")," e ",", ")," ",""),".",""))),
_xlpm.MATRIZ_COMARCA, TRIM(UPPER(SUBSTITUTE(SUBSTITUTE(SUBSTITUTE(SUBSTITUTE(SUBSTITUTE(SUBSTITUTE(SUBSTITUTE(SUBSTITUTE(SUBSTITUTE(SUBSTITUTE(SUBSTITUTE(SUBSTITUTE(SUBSTITUTE(SUBSTITUTE(SUBSTITUTE(SUBSTITUTE(SUBSTITUTE(SUBSTITUTE(SUBSTITUTE(SUBSTITUTE(SUBSTITUTE(SUBSTITUTE(SUBSTITUTE(SUBSTITUTE(SUBSTITUTE(SUBSTITUTE(tabSindicatos[COMARCAS PAF],"á","a"),"ã","a"),"â","a"),"é","e"),"ê","e"),"í","i"),"ó","o"),"õ","o"),"ô","o"),"ú","u"),"ç","c"),"Á","a"),"Ã","a"),"Â","a"),"É","e"),"Ê","e"),"Í","i"),"Ó","o"),"Õ","o"),"Ô","o"),"Ú","u"),"Ç","c"),"/MG","")," e ",", ")," ",""),".",""))),
IFERROR(IF(_xlfn.XLOOKUP(tabParametros[[#This Row],[CCT DA CATEGORIA]],tabSindicatos[SINDICATOS],tabSindicatos[COMARCAS PAF])="",
VLOOKUP(tabParametros[[#This Row],[CCT DA CATEGORIA]],tabSindicatos[],8,0),
IF(ISNUMBER(SEARCH(TRIM(_xlpm.COMARCA),_xlfn.XLOOKUP(tabParametros[[#This Row],[CCT DA CATEGORIA]],tabSindicatos[SINDICATOS],_xlpm.MATRIZ_COMARCA),1)),VLOOKUP(tabParametros[[#This Row],[CCT DA CATEGORIA]],tabSindicatos[],8,0),0)
),0)
)</f>
        <v>0</v>
      </c>
      <c r="AE181" s="234">
        <f>IFERROR(VLOOKUP(tabParametros[[#This Row],[CCT DA CATEGORIA]],tabSindicatos[],9,0),0)</f>
        <v>0</v>
      </c>
      <c r="AF181" s="234">
        <f>IFERROR(VLOOKUP(tabParametros[[#This Row],[CCT DA CATEGORIA]],tabSindicatos[],10,0),0)</f>
        <v>0</v>
      </c>
      <c r="AG181" s="236">
        <f>VLOOKUP(tabParametros[[#Headers],[Seguro de Vida]],tabOutrosCustos[],3,0)</f>
        <v>3.36</v>
      </c>
      <c r="AH181" s="236">
        <f>IF(ISNUMBER(SEARCH("MOTORISTA",tabParametros[[#This Row],[Função]],1)),VLOOKUP("MOTORISTAS",tabDiarias[],2,0),IF(tabParametros[[#This Row],[Comarca]]="Belo Horizonte",VLOOKUP("LIMPEZA",tabDiarias[],2,0),0))</f>
        <v>0</v>
      </c>
      <c r="AI181" s="235">
        <f t="shared" si="24"/>
        <v>7.011766975308642E-3</v>
      </c>
      <c r="AJ181" s="237">
        <f>tabParametros[[#This Row],[FGTS]]*tabParametros[[#This Row],[Aviso Prévio Indenizado (API) e Reflexo do Aviso Prévio Indenizado]]</f>
        <v>5.609413580246914E-4</v>
      </c>
      <c r="AK181" s="237">
        <f>tabParametros[[#This Row],[FGTS]]*tabParametros[[#This Row],[Aviso Prévio Indenizado (API) e Reflexo do Aviso Prévio Indenizado]]*40%</f>
        <v>2.2437654320987658E-4</v>
      </c>
      <c r="AL181" s="235">
        <f t="shared" si="25"/>
        <v>3.5000000000000005E-3</v>
      </c>
      <c r="AM181" s="235">
        <f>tabParametros[[#This Row],[Aviso Prévio Trabalhado - APT]]*SUM(tabParametros[[#This Row],[INSS]:[SEBRAE]])</f>
        <v>1.3230000000000004E-3</v>
      </c>
      <c r="AN181" s="235">
        <f t="shared" si="26"/>
        <v>3.0577777777777773E-2</v>
      </c>
      <c r="AO181" s="235">
        <f t="shared" si="27"/>
        <v>8.3333333333333339E-4</v>
      </c>
      <c r="AP181" s="235">
        <f t="shared" si="28"/>
        <v>8.4444444444444437E-3</v>
      </c>
      <c r="AQ181" s="235">
        <f t="shared" si="29"/>
        <v>2.0277777777777777E-3</v>
      </c>
      <c r="AR181" s="235">
        <f t="shared" si="30"/>
        <v>1.7083333333333333E-4</v>
      </c>
      <c r="AS181" s="235">
        <f t="shared" si="31"/>
        <v>2.0833333333333335E-4</v>
      </c>
      <c r="AT181" s="235">
        <f t="shared" si="32"/>
        <v>1.2962962962962963E-3</v>
      </c>
      <c r="AU181" s="237">
        <f>SUM(tabParametros[[#This Row],[Ausência por Doença]:[Férias, Adicional de Férias e 13º  com empregada em gozo de Licença Maternidade]])*SUM(tabParametros[[#This Row],[INSS]:[SEBRAE]])</f>
        <v>4.5918250000000008E-3</v>
      </c>
      <c r="AV181" s="234">
        <f>IF(tabParametros[[#This Row],[Função]]="Porteiro - 220 h",SUM(tabParametros[[#This Row],[Salário Base]:[Adicional de Acúmulo de função]])/220*20*1.5,IF(ISNUMBER(SEARCH("12 x 36",tabParametros[[#This Row],[Função]],1)),SUM(tabParametros[[#This Row],[Salário Base]:[Adicional de Acúmulo de função]])/210*15.5*1.5,0))</f>
        <v>0</v>
      </c>
      <c r="AW181" s="234">
        <f>IF(tabParametros[[#This Row],[Vagas contratadas]]&gt;0,(SUM(tabParametros[[#This Row],[Salário Base]:[Adicional de Acúmulo de função]])*30%+SUM(tabParametros[[#This Row],[Vale - Alimentação]:[Seguro de Vida]]))/tabParametros[[#This Row],[Vagas contratadas]]*tabParametros[[#This Row],[Vagas suspensas]],0)</f>
        <v>0</v>
      </c>
      <c r="AX181" s="234">
        <f>SUMIF(tabUniformes[Cargo],tabParametros[[#This Row],[Função]],tabUniformes[Valor unit. Mensal])</f>
        <v>62.806666666666665</v>
      </c>
      <c r="AY181" s="281">
        <f>IF(ISNUMBER(SEARCH("AUXILIAR DE LIMPEZA - 75 H",tabParametros[[#This Row],[Função]],1)),
SUMIF(tabLimpGeral[TIPO],"Material",tabLimpGeral[VALOR UNITÁRIO P/ HORA (R$)])*75,
IF(ISNUMBER(SEARCH("AUXILIAR DE LIMPEZA - 110 H",tabParametros[[#This Row],[Função]],1)),
SUMIF(tabLimpGeral[TIPO],"Material",tabLimpGeral[VALOR UNITÁRIO P/ HORA (R$)])*110,
IF(ISNUMBER(SEARCH("AUXILIAR DE LIMPEZA - 150 H",tabParametros[[#This Row],[Função]],1)),
SUMIF(tabLimpGeral[TIPO],"Material",tabLimpGeral[VALOR UNITÁRIO P/ HORA (R$)])*150,
IF(ISNUMBER(SEARCH("AUXILIAR DE LIMPEZA - 220 H",tabParametros[[#This Row],[Função]],1)),
SUMIF(tabLimpGeral[TIPO],"Material",tabLimpGeral[VALOR UNITÁRIO P/ HORA (R$)])*220,
IF(ISNUMBER(SEARCH("AUXILIAR DE LIMPEZA - 12 x 36",tabParametros[[#This Row],[Função]],1)),
SUMIF(tabLimpGeral[TIPO],"Material",tabLimpGeral[VALOR UNITÁRIO P/ HORA (R$)])*220,
IF(ISNUMBER(SEARCH("Limpador de vidros - 220 h",tabParametros[[#This Row],[Função]],1)),
SUMIF(tabVidros[TIPO],"Material",tabVidros[VALOR UNITÁRIO P/ POSTO (R$)]),
0))))))</f>
        <v>17.759106479291944</v>
      </c>
      <c r="AZ181" s="281">
        <f>IF(ISNUMBER(SEARCH("AUXILIAR DE LIMPEZA - 75 H",tabParametros[[#This Row],[Função]],1)),
SUMIF(tabLimpGeral[TIPO],"Equipamento",tabLimpGeral[VALOR UNITÁRIO P/ HORA (R$)])*75,
IF(ISNUMBER(SEARCH("AUXILIAR DE LIMPEZA - 110 H",tabParametros[[#This Row],[Função]],1)),
SUMIF(tabLimpGeral[TIPO],"Equipamento",tabLimpGeral[VALOR UNITÁRIO P/ HORA (R$)])*110,
IF(ISNUMBER(SEARCH("AUXILIAR DE LIMPEZA - 150 H",tabParametros[[#This Row],[Função]],1)),
SUMIF(tabLimpGeral[TIPO],"Equipamento",tabLimpGeral[VALOR UNITÁRIO P/ HORA (R$)])*150,
IF(ISNUMBER(SEARCH("AUXILIAR DE LIMPEZA - 220 H",tabParametros[[#This Row],[Função]],1)),
SUMIF(tabLimpGeral[TIPO],"Equipamento",tabLimpGeral[VALOR UNITÁRIO P/ HORA (R$)])*220,
IF(ISNUMBER(SEARCH("AUXILIAR DE LIMPEZA - 12 x 36",tabParametros[[#This Row],[Função]],1)),
SUMIF(tabLimpGeral[TIPO],"Equipamento",tabLimpGeral[VALOR UNITÁRIO P/ HORA (R$)])*220,
IF(ISNUMBER(SEARCH("Limpador de vidros - 220 h",tabParametros[[#This Row],[Função]],1)),
SUMIF(tabVidros[TIPO],"Equipamento",tabVidros[VALOR UNITÁRIO P/ POSTO (R$)]),
0))))))</f>
        <v>32.264696957412788</v>
      </c>
      <c r="BA181" s="281">
        <f>IF(ISNUMBER(SEARCH("AUXILIAR DE LIMPEZA - 75 H",tabParametros[[#This Row],[Função]],1)),
SUMIF(tabLimpGeral[TIPO],"Produto",tabLimpGeral[VALOR UNITÁRIO P/ HORA (R$)])*75,
IF(ISNUMBER(SEARCH("AUXILIAR DE LIMPEZA - 110 H",tabParametros[[#This Row],[Função]],1)),
SUMIF(tabLimpGeral[TIPO],"Produto",tabLimpGeral[VALOR UNITÁRIO P/ HORA (R$)])*110,
IF(ISNUMBER(SEARCH("AUXILIAR DE LIMPEZA - 150 H",tabParametros[[#This Row],[Função]],1)),
SUMIF(tabLimpGeral[TIPO],"Produto",tabLimpGeral[VALOR UNITÁRIO P/ HORA (R$)])*150,
IF(ISNUMBER(SEARCH("AUXILIAR DE LIMPEZA - 220 H",tabParametros[[#This Row],[Função]],1)),
SUMIF(tabLimpGeral[TIPO],"Produto",tabLimpGeral[VALOR UNITÁRIO P/ HORA (R$)])*220,
IF(ISNUMBER(SEARCH("AUXILIAR DE LIMPEZA - 12 x 36",tabParametros[[#This Row],[Função]],1)),
SUMIF(tabLimpGeral[TIPO],"Produto",tabLimpGeral[VALOR UNITÁRIO P/ HORA (R$)])*220,
IF(ISNUMBER(SEARCH("Limpador de vidros - 220 h",tabParametros[[#This Row],[Função]],1)),
SUMIF(tabVidros[TIPO],"Produto",tabVidros[VALOR UNITÁRIO P/ POSTO (R$)]),
0))))))</f>
        <v>345.13576638965827</v>
      </c>
      <c r="BB181" s="281">
        <v>0</v>
      </c>
      <c r="BC181" s="236">
        <f>VLOOKUP(tabParametros[[#Headers],[Custos Indiretos]],tabOutrosCustos[],3,0)</f>
        <v>189.64880140242613</v>
      </c>
      <c r="BD181" s="236">
        <f>VLOOKUP(tabParametros[[#Headers],[Lucro]],tabOutrosCustos[],3,0)</f>
        <v>159.30499317803796</v>
      </c>
      <c r="BE181" s="235">
        <f>VLOOKUP(tabParametros[[#Headers],[COFINS]],tabImpostosNacionais[],2,0)</f>
        <v>7.5999999999999998E-2</v>
      </c>
      <c r="BF181" s="235">
        <f>VLOOKUP(tabParametros[[#Headers],[PIS]],tabImpostosNacionais[],2,0)</f>
        <v>1.6500000000000001E-2</v>
      </c>
      <c r="BG181" s="235">
        <f>VLOOKUP(tabParametros[[#This Row],[Comarca]],tabComarca[],4,0)</f>
        <v>0.03</v>
      </c>
      <c r="BH181" s="238">
        <f>IFERROR(VLOOKUP(tabParametros[[#This Row],[CCT DA CATEGORIA]],tabSindicatos[],11,0),"")</f>
        <v>45658</v>
      </c>
      <c r="BI181" s="289" t="str">
        <f>IFERROR(VLOOKUP(tabParametros[[#This Row],[CCT DA CATEGORIA]],tabSindicatos[],12,0),"")</f>
        <v>-</v>
      </c>
      <c r="BJ181" s="293" t="str">
        <f>IFERROR(VLOOKUP(tabParametros[[#This Row],[CCT DA CATEGORIA]],tabSindicatos[],13,0),"")</f>
        <v>-</v>
      </c>
    </row>
    <row r="182" spans="1:62" x14ac:dyDescent="0.25">
      <c r="A182" s="233" t="s">
        <v>1518</v>
      </c>
      <c r="B182" s="198" t="s">
        <v>164</v>
      </c>
      <c r="C182" s="198" t="s">
        <v>1244</v>
      </c>
      <c r="D182" s="198" t="str">
        <f>VLOOKUP(tabParametros[[#This Row],[Código do Posto]],tabPostos[],4,0)</f>
        <v>Sete Lagoas</v>
      </c>
      <c r="E182" s="289" t="str">
        <f>VLOOKUP(tabParametros[[#This Row],[Código do Posto]],tabPostos[],5,0)</f>
        <v>Limpeza</v>
      </c>
      <c r="F182" s="289" t="str">
        <f>VLOOKUP(tabParametros[[#This Row],[Código do Posto]],tabPostos[],6,0)</f>
        <v>PGJ</v>
      </c>
      <c r="G182" s="289">
        <f>VLOOKUP(tabParametros[[#This Row],[Código do Posto]],tabPostos[],7,0)</f>
        <v>1</v>
      </c>
      <c r="H182" s="289">
        <f>VLOOKUP(tabParametros[[#This Row],[Código do Posto]],tabPostos[],8,0)</f>
        <v>0</v>
      </c>
      <c r="I182" s="234">
        <f>VLOOKUP(tabParametros[[#This Row],[Código do Posto]],tabPostos[],9,0)</f>
        <v>824.56</v>
      </c>
      <c r="J182" s="234">
        <f>IF(ISNUMBER(SEARCH("Eletricista",tabParametros[[#This Row],[Função]],1)),0.3*tabParametros[[#This Row],[Salário Base]],0)</f>
        <v>0</v>
      </c>
      <c r="K182" s="234">
        <f>IF(OR(ISNUMBER(SEARCH("Bombeiro Hidraulico",tabParametros[[#This Row],[Função]],1)),ISNUMBER(SEARCH("Jardineiro",tabParametros[[#This Row],[Função]],1)),ISNUMBER(SEARCH("Lavador de Veiculos",tabParametros[[#This Row],[Função]],1)),ISNUMBER(SEARCH("Marceneiro",tabParametros[[#This Row],[Função]],1)),ISNUMBER(SEARCH("Pintor",tabParametros[[#This Row],[Função]],1))),0.2*'BASE GERAL'!$R$4,0)</f>
        <v>0</v>
      </c>
      <c r="L182" s="234">
        <f>IF(AND(ISNUMBER(SEARCH("Noturno",tabParametros[[#This Row],[Função]],1)),tabParametros[[#This Row],[Comarca]]&lt;&gt;"Juiz de Fora"),tabParametros[[#This Row],[Salário Base]]/210*0.39*7*15.5,IF(ISNUMBER(SEARCH("Noturno",tabParametros[[#This Row],[Função]],1)),tabParametros[[#This Row],[Salário Base]]/210*0.2*8*15.5,0))</f>
        <v>0</v>
      </c>
      <c r="M182" s="234">
        <f>IF(ISNUMBER(SEARCH("Motorista II",tabParametros[[#This Row],[Função]],1)),0.25*tabParametros[[#This Row],[Salário Base]],0)</f>
        <v>0</v>
      </c>
      <c r="N182" s="250">
        <v>0</v>
      </c>
      <c r="O182" s="234">
        <f>IF(ISNUMBER(SEARCH("TECNOLOGIA DA INFORMACAO",tabParametros[[#This Row],[Função]],1)),0.0201*tabParametros[[#This Row],[Salário Base]],0)</f>
        <v>0</v>
      </c>
      <c r="P182" s="250" cm="1">
        <f t="array" ref="P182">_xlfn.IFS(
ISNUMBER(SEARCH("Auxiliar de Limpeza - 75 h",tabParametros[[#This Row],[Função]],1)),tabParametros[[#This Row],[Salário Base]]/75*0.75*30*0.12,
ISNUMBER(SEARCH("Auxiliar de Limpeza - 110 h",tabParametros[[#This Row],[Função]],1)),tabParametros[[#This Row],[Salário Base]]/110*1*30*0.12,
ISNUMBER(SEARCH("Auxiliar de Limpeza - 150 h",tabParametros[[#This Row],[Função]],1)),tabParametros[[#This Row],[Salário Base]]/150*1.5*30*0.12,
ISNUMBER(SEARCH("Auxiliar de Limpeza - 220 h",tabParametros[[#This Row],[Função]],1)),tabParametros[[#This Row],[Salário Base]]/220*2*30*0.12,
ISNUMBER(SEARCH("Auxiliar de Limpeza - 12 x 36",tabParametros[[#This Row],[Função]],1)),tabParametros[[#This Row],[Salário Base]]/220*2*30*0.12,
ISNUMBER(SEARCH("Auxiliar de Limpeza - 55 h",tabParametros[[#This Row],[Função]],1))=FALSE,0)</f>
        <v>26.985599999999998</v>
      </c>
      <c r="Q182" s="235">
        <f>VLOOKUP(tabParametros[[#Headers],[INSS]],tabImpostosNacionais[],2,0)</f>
        <v>0.2</v>
      </c>
      <c r="R182" s="235">
        <f>VLOOKUP(tabParametros[[#Headers],[SESI OU SESC]],tabImpostosNacionais[],2,0)</f>
        <v>1.4999999999999999E-2</v>
      </c>
      <c r="S182" s="235">
        <f>VLOOKUP(tabParametros[[#Headers],[SENAI OU SENAC]],tabImpostosNacionais[],2,0)</f>
        <v>0.01</v>
      </c>
      <c r="T182" s="235">
        <f>VLOOKUP(tabParametros[[#Headers],[INCRA]],tabImpostosNacionais[],2,0)</f>
        <v>2E-3</v>
      </c>
      <c r="U182" s="235">
        <f>VLOOKUP(tabParametros[[#Headers],[Salário Educação]],tabImpostosNacionais[],2,0)</f>
        <v>2.5000000000000001E-2</v>
      </c>
      <c r="V182" s="235">
        <f>VLOOKUP(tabParametros[[#Headers],[FGTS]],tabImpostosNacionais[],2,0)</f>
        <v>0.08</v>
      </c>
      <c r="W182" s="235">
        <f>VLOOKUP(tabParametros[[#Headers],[RAT Ajustado]],tabImpostosNacionais[],2,0)</f>
        <v>0.04</v>
      </c>
      <c r="X182" s="235">
        <f>VLOOKUP(tabParametros[[#Headers],[SEBRAE]],tabImpostosNacionais[],2,0)</f>
        <v>6.0000000000000001E-3</v>
      </c>
      <c r="Y182" s="235">
        <f t="shared" si="22"/>
        <v>8.3333333333333329E-2</v>
      </c>
      <c r="Z182" s="251">
        <f t="shared" si="23"/>
        <v>0.1111111111111111</v>
      </c>
      <c r="AA182" s="234">
        <f>VLOOKUP(tabParametros[[#This Row],[Comarca]],tabComarca[],5,0)</f>
        <v>6.4</v>
      </c>
      <c r="AB182" s="234">
        <f>IFERROR(VLOOKUP(tabParametros[[#This Row],[CCT DA CATEGORIA]],tabSindicatos[],6,0),0)</f>
        <v>29.15</v>
      </c>
      <c r="AC182" s="234">
        <f>IFERROR(VLOOKUP(tabParametros[[#This Row],[CCT DA CATEGORIA]],tabSindicatos[],7,0),0)</f>
        <v>0</v>
      </c>
      <c r="AD182" s="234" cm="1">
        <f t="array" ref="AD182">_xlfn.LET(
_xlpm.COMARCA, TRIM(UPPER(SUBSTITUTE(SUBSTITUTE(SUBSTITUTE(SUBSTITUTE(SUBSTITUTE(SUBSTITUTE(SUBSTITUTE(SUBSTITUTE(SUBSTITUTE(SUBSTITUTE(SUBSTITUTE(SUBSTITUTE(SUBSTITUTE(SUBSTITUTE(SUBSTITUTE(SUBSTITUTE(SUBSTITUTE(SUBSTITUTE(SUBSTITUTE(SUBSTITUTE(SUBSTITUTE(SUBSTITUTE(SUBSTITUTE(SUBSTITUTE(SUBSTITUTE(SUBSTITUTE(tabParametros[[#This Row],[Comarca]],"á","a"),"ã","a"),"â","a"),"é","e"),"ê","e"),"í","i"),"ó","o"),"õ","o"),"ô","o"),"ú","u"),"ç","c"),"Á","a"),"Ã","a"),"Â","a"),"É","e"),"Ê","e"),"Í","i"),"Ó","o"),"Õ","o"),"Ô","o"),"Ú","u"),"Ç","c"),"/MG","")," e ",", ")," ",""),".",""))),
_xlpm.MATRIZ_COMARCA, TRIM(UPPER(SUBSTITUTE(SUBSTITUTE(SUBSTITUTE(SUBSTITUTE(SUBSTITUTE(SUBSTITUTE(SUBSTITUTE(SUBSTITUTE(SUBSTITUTE(SUBSTITUTE(SUBSTITUTE(SUBSTITUTE(SUBSTITUTE(SUBSTITUTE(SUBSTITUTE(SUBSTITUTE(SUBSTITUTE(SUBSTITUTE(SUBSTITUTE(SUBSTITUTE(SUBSTITUTE(SUBSTITUTE(SUBSTITUTE(SUBSTITUTE(SUBSTITUTE(SUBSTITUTE(tabSindicatos[COMARCAS PAF],"á","a"),"ã","a"),"â","a"),"é","e"),"ê","e"),"í","i"),"ó","o"),"õ","o"),"ô","o"),"ú","u"),"ç","c"),"Á","a"),"Ã","a"),"Â","a"),"É","e"),"Ê","e"),"Í","i"),"Ó","o"),"Õ","o"),"Ô","o"),"Ú","u"),"Ç","c"),"/MG","")," e ",", ")," ",""),".",""))),
IFERROR(IF(_xlfn.XLOOKUP(tabParametros[[#This Row],[CCT DA CATEGORIA]],tabSindicatos[SINDICATOS],tabSindicatos[COMARCAS PAF])="",
VLOOKUP(tabParametros[[#This Row],[CCT DA CATEGORIA]],tabSindicatos[],8,0),
IF(ISNUMBER(SEARCH(TRIM(_xlpm.COMARCA),_xlfn.XLOOKUP(tabParametros[[#This Row],[CCT DA CATEGORIA]],tabSindicatos[SINDICATOS],_xlpm.MATRIZ_COMARCA),1)),VLOOKUP(tabParametros[[#This Row],[CCT DA CATEGORIA]],tabSindicatos[],8,0),0)
),0)
)</f>
        <v>51.86</v>
      </c>
      <c r="AE182" s="234">
        <f>IFERROR(VLOOKUP(tabParametros[[#This Row],[CCT DA CATEGORIA]],tabSindicatos[],9,0),0)</f>
        <v>0</v>
      </c>
      <c r="AF182" s="234">
        <f>IFERROR(VLOOKUP(tabParametros[[#This Row],[CCT DA CATEGORIA]],tabSindicatos[],10,0),0)</f>
        <v>0</v>
      </c>
      <c r="AG182" s="236">
        <f>VLOOKUP(tabParametros[[#Headers],[Seguro de Vida]],tabOutrosCustos[],3,0)</f>
        <v>3.36</v>
      </c>
      <c r="AH182" s="236">
        <f>IF(ISNUMBER(SEARCH("MOTORISTA",tabParametros[[#This Row],[Função]],1)),VLOOKUP("MOTORISTAS",tabDiarias[],2,0),IF(tabParametros[[#This Row],[Comarca]]="Belo Horizonte",VLOOKUP("LIMPEZA",tabDiarias[],2,0),0))</f>
        <v>0</v>
      </c>
      <c r="AI182" s="235">
        <f t="shared" si="24"/>
        <v>7.011766975308642E-3</v>
      </c>
      <c r="AJ182" s="237">
        <f>tabParametros[[#This Row],[FGTS]]*tabParametros[[#This Row],[Aviso Prévio Indenizado (API) e Reflexo do Aviso Prévio Indenizado]]</f>
        <v>5.609413580246914E-4</v>
      </c>
      <c r="AK182" s="237">
        <f>tabParametros[[#This Row],[FGTS]]*tabParametros[[#This Row],[Aviso Prévio Indenizado (API) e Reflexo do Aviso Prévio Indenizado]]*40%</f>
        <v>2.2437654320987658E-4</v>
      </c>
      <c r="AL182" s="235">
        <f t="shared" si="25"/>
        <v>3.5000000000000005E-3</v>
      </c>
      <c r="AM182" s="235">
        <f>tabParametros[[#This Row],[Aviso Prévio Trabalhado - APT]]*SUM(tabParametros[[#This Row],[INSS]:[SEBRAE]])</f>
        <v>1.3230000000000004E-3</v>
      </c>
      <c r="AN182" s="235">
        <f t="shared" si="26"/>
        <v>3.0577777777777773E-2</v>
      </c>
      <c r="AO182" s="235">
        <f t="shared" si="27"/>
        <v>8.3333333333333339E-4</v>
      </c>
      <c r="AP182" s="235">
        <f t="shared" si="28"/>
        <v>8.4444444444444437E-3</v>
      </c>
      <c r="AQ182" s="235">
        <f t="shared" si="29"/>
        <v>2.0277777777777777E-3</v>
      </c>
      <c r="AR182" s="235">
        <f t="shared" si="30"/>
        <v>1.7083333333333333E-4</v>
      </c>
      <c r="AS182" s="235">
        <f t="shared" si="31"/>
        <v>2.0833333333333335E-4</v>
      </c>
      <c r="AT182" s="235">
        <f t="shared" si="32"/>
        <v>1.2962962962962963E-3</v>
      </c>
      <c r="AU182" s="237">
        <f>SUM(tabParametros[[#This Row],[Ausência por Doença]:[Férias, Adicional de Férias e 13º  com empregada em gozo de Licença Maternidade]])*SUM(tabParametros[[#This Row],[INSS]:[SEBRAE]])</f>
        <v>4.5918250000000008E-3</v>
      </c>
      <c r="AV182" s="234">
        <f>IF(tabParametros[[#This Row],[Função]]="Porteiro - 220 h",SUM(tabParametros[[#This Row],[Salário Base]:[Adicional de Acúmulo de função]])/220*20*1.5,IF(ISNUMBER(SEARCH("12 x 36",tabParametros[[#This Row],[Função]],1)),SUM(tabParametros[[#This Row],[Salário Base]:[Adicional de Acúmulo de função]])/210*15.5*1.5,0))</f>
        <v>0</v>
      </c>
      <c r="AW182" s="234">
        <f>IF(tabParametros[[#This Row],[Vagas contratadas]]&gt;0,(SUM(tabParametros[[#This Row],[Salário Base]:[Adicional de Acúmulo de função]])*30%+SUM(tabParametros[[#This Row],[Vale - Alimentação]:[Seguro de Vida]]))/tabParametros[[#This Row],[Vagas contratadas]]*tabParametros[[#This Row],[Vagas suspensas]],0)</f>
        <v>0</v>
      </c>
      <c r="AX182" s="234">
        <f>SUMIF(tabUniformes[Cargo],tabParametros[[#This Row],[Função]],tabUniformes[Valor unit. Mensal])</f>
        <v>62.806666666666665</v>
      </c>
      <c r="AY182" s="281">
        <f>IF(ISNUMBER(SEARCH("AUXILIAR DE LIMPEZA - 75 H",tabParametros[[#This Row],[Função]],1)),
SUMIF(tabLimpGeral[TIPO],"Material",tabLimpGeral[VALOR UNITÁRIO P/ HORA (R$)])*75,
IF(ISNUMBER(SEARCH("AUXILIAR DE LIMPEZA - 110 H",tabParametros[[#This Row],[Função]],1)),
SUMIF(tabLimpGeral[TIPO],"Material",tabLimpGeral[VALOR UNITÁRIO P/ HORA (R$)])*110,
IF(ISNUMBER(SEARCH("AUXILIAR DE LIMPEZA - 150 H",tabParametros[[#This Row],[Função]],1)),
SUMIF(tabLimpGeral[TIPO],"Material",tabLimpGeral[VALOR UNITÁRIO P/ HORA (R$)])*150,
IF(ISNUMBER(SEARCH("AUXILIAR DE LIMPEZA - 220 H",tabParametros[[#This Row],[Função]],1)),
SUMIF(tabLimpGeral[TIPO],"Material",tabLimpGeral[VALOR UNITÁRIO P/ HORA (R$)])*220,
IF(ISNUMBER(SEARCH("AUXILIAR DE LIMPEZA - 12 x 36",tabParametros[[#This Row],[Função]],1)),
SUMIF(tabLimpGeral[TIPO],"Material",tabLimpGeral[VALOR UNITÁRIO P/ HORA (R$)])*220,
IF(ISNUMBER(SEARCH("Limpador de vidros - 220 h",tabParametros[[#This Row],[Função]],1)),
SUMIF(tabVidros[TIPO],"Material",tabVidros[VALOR UNITÁRIO P/ POSTO (R$)]),
0))))))</f>
        <v>17.759106479291944</v>
      </c>
      <c r="AZ182" s="281">
        <f>IF(ISNUMBER(SEARCH("AUXILIAR DE LIMPEZA - 75 H",tabParametros[[#This Row],[Função]],1)),
SUMIF(tabLimpGeral[TIPO],"Equipamento",tabLimpGeral[VALOR UNITÁRIO P/ HORA (R$)])*75,
IF(ISNUMBER(SEARCH("AUXILIAR DE LIMPEZA - 110 H",tabParametros[[#This Row],[Função]],1)),
SUMIF(tabLimpGeral[TIPO],"Equipamento",tabLimpGeral[VALOR UNITÁRIO P/ HORA (R$)])*110,
IF(ISNUMBER(SEARCH("AUXILIAR DE LIMPEZA - 150 H",tabParametros[[#This Row],[Função]],1)),
SUMIF(tabLimpGeral[TIPO],"Equipamento",tabLimpGeral[VALOR UNITÁRIO P/ HORA (R$)])*150,
IF(ISNUMBER(SEARCH("AUXILIAR DE LIMPEZA - 220 H",tabParametros[[#This Row],[Função]],1)),
SUMIF(tabLimpGeral[TIPO],"Equipamento",tabLimpGeral[VALOR UNITÁRIO P/ HORA (R$)])*220,
IF(ISNUMBER(SEARCH("AUXILIAR DE LIMPEZA - 12 x 36",tabParametros[[#This Row],[Função]],1)),
SUMIF(tabLimpGeral[TIPO],"Equipamento",tabLimpGeral[VALOR UNITÁRIO P/ HORA (R$)])*220,
IF(ISNUMBER(SEARCH("Limpador de vidros - 220 h",tabParametros[[#This Row],[Função]],1)),
SUMIF(tabVidros[TIPO],"Equipamento",tabVidros[VALOR UNITÁRIO P/ POSTO (R$)]),
0))))))</f>
        <v>32.264696957412788</v>
      </c>
      <c r="BA182" s="281">
        <f>IF(ISNUMBER(SEARCH("AUXILIAR DE LIMPEZA - 75 H",tabParametros[[#This Row],[Função]],1)),
SUMIF(tabLimpGeral[TIPO],"Produto",tabLimpGeral[VALOR UNITÁRIO P/ HORA (R$)])*75,
IF(ISNUMBER(SEARCH("AUXILIAR DE LIMPEZA - 110 H",tabParametros[[#This Row],[Função]],1)),
SUMIF(tabLimpGeral[TIPO],"Produto",tabLimpGeral[VALOR UNITÁRIO P/ HORA (R$)])*110,
IF(ISNUMBER(SEARCH("AUXILIAR DE LIMPEZA - 150 H",tabParametros[[#This Row],[Função]],1)),
SUMIF(tabLimpGeral[TIPO],"Produto",tabLimpGeral[VALOR UNITÁRIO P/ HORA (R$)])*150,
IF(ISNUMBER(SEARCH("AUXILIAR DE LIMPEZA - 220 H",tabParametros[[#This Row],[Função]],1)),
SUMIF(tabLimpGeral[TIPO],"Produto",tabLimpGeral[VALOR UNITÁRIO P/ HORA (R$)])*220,
IF(ISNUMBER(SEARCH("AUXILIAR DE LIMPEZA - 12 x 36",tabParametros[[#This Row],[Função]],1)),
SUMIF(tabLimpGeral[TIPO],"Produto",tabLimpGeral[VALOR UNITÁRIO P/ HORA (R$)])*220,
IF(ISNUMBER(SEARCH("Limpador de vidros - 220 h",tabParametros[[#This Row],[Função]],1)),
SUMIF(tabVidros[TIPO],"Produto",tabVidros[VALOR UNITÁRIO P/ POSTO (R$)]),
0))))))</f>
        <v>345.13576638965827</v>
      </c>
      <c r="BB182" s="281">
        <v>0</v>
      </c>
      <c r="BC182" s="236">
        <f>VLOOKUP(tabParametros[[#Headers],[Custos Indiretos]],tabOutrosCustos[],3,0)</f>
        <v>189.64880140242613</v>
      </c>
      <c r="BD182" s="236">
        <f>VLOOKUP(tabParametros[[#Headers],[Lucro]],tabOutrosCustos[],3,0)</f>
        <v>159.30499317803796</v>
      </c>
      <c r="BE182" s="235">
        <f>VLOOKUP(tabParametros[[#Headers],[COFINS]],tabImpostosNacionais[],2,0)</f>
        <v>7.5999999999999998E-2</v>
      </c>
      <c r="BF182" s="235">
        <f>VLOOKUP(tabParametros[[#Headers],[PIS]],tabImpostosNacionais[],2,0)</f>
        <v>1.6500000000000001E-2</v>
      </c>
      <c r="BG182" s="235">
        <f>VLOOKUP(tabParametros[[#This Row],[Comarca]],tabComarca[],4,0)</f>
        <v>0.03</v>
      </c>
      <c r="BH182" s="238">
        <f>IFERROR(VLOOKUP(tabParametros[[#This Row],[CCT DA CATEGORIA]],tabSindicatos[],11,0),"")</f>
        <v>45658</v>
      </c>
      <c r="BI182" s="289" t="str">
        <f>IFERROR(VLOOKUP(tabParametros[[#This Row],[CCT DA CATEGORIA]],tabSindicatos[],12,0),"")</f>
        <v>-</v>
      </c>
      <c r="BJ182" s="293" t="str">
        <f>IFERROR(VLOOKUP(tabParametros[[#This Row],[CCT DA CATEGORIA]],tabSindicatos[],13,0),"")</f>
        <v>-</v>
      </c>
    </row>
    <row r="183" spans="1:62" x14ac:dyDescent="0.25">
      <c r="A183" s="233" t="s">
        <v>1519</v>
      </c>
      <c r="B183" s="198" t="s">
        <v>165</v>
      </c>
      <c r="C183" s="198" t="s">
        <v>1245</v>
      </c>
      <c r="D183" s="198" t="str">
        <f>VLOOKUP(tabParametros[[#This Row],[Código do Posto]],tabPostos[],4,0)</f>
        <v>Regiao de Sao Lourenco</v>
      </c>
      <c r="E183" s="289" t="str">
        <f>VLOOKUP(tabParametros[[#This Row],[Código do Posto]],tabPostos[],5,0)</f>
        <v>Limpeza</v>
      </c>
      <c r="F183" s="289" t="str">
        <f>VLOOKUP(tabParametros[[#This Row],[Código do Posto]],tabPostos[],6,0)</f>
        <v>PGJ</v>
      </c>
      <c r="G183" s="289">
        <f>VLOOKUP(tabParametros[[#This Row],[Código do Posto]],tabPostos[],7,0)</f>
        <v>2</v>
      </c>
      <c r="H183" s="289">
        <f>VLOOKUP(tabParametros[[#This Row],[Código do Posto]],tabPostos[],8,0)</f>
        <v>0</v>
      </c>
      <c r="I183" s="234">
        <f>VLOOKUP(tabParametros[[#This Row],[Código do Posto]],tabPostos[],9,0)</f>
        <v>1596.28</v>
      </c>
      <c r="J183" s="234">
        <f>IF(ISNUMBER(SEARCH("Eletricista",tabParametros[[#This Row],[Função]],1)),0.3*tabParametros[[#This Row],[Salário Base]],0)</f>
        <v>0</v>
      </c>
      <c r="K183" s="234">
        <f>IF(OR(ISNUMBER(SEARCH("Bombeiro Hidraulico",tabParametros[[#This Row],[Função]],1)),ISNUMBER(SEARCH("Jardineiro",tabParametros[[#This Row],[Função]],1)),ISNUMBER(SEARCH("Lavador de Veiculos",tabParametros[[#This Row],[Função]],1)),ISNUMBER(SEARCH("Marceneiro",tabParametros[[#This Row],[Função]],1)),ISNUMBER(SEARCH("Pintor",tabParametros[[#This Row],[Função]],1))),0.2*'BASE GERAL'!$R$4,0)</f>
        <v>0</v>
      </c>
      <c r="L183" s="234">
        <f>IF(AND(ISNUMBER(SEARCH("Noturno",tabParametros[[#This Row],[Função]],1)),tabParametros[[#This Row],[Comarca]]&lt;&gt;"Juiz de Fora"),tabParametros[[#This Row],[Salário Base]]/210*0.39*7*15.5,IF(ISNUMBER(SEARCH("Noturno",tabParametros[[#This Row],[Função]],1)),tabParametros[[#This Row],[Salário Base]]/210*0.2*8*15.5,0))</f>
        <v>0</v>
      </c>
      <c r="M183" s="234">
        <f>IF(ISNUMBER(SEARCH("Motorista II",tabParametros[[#This Row],[Função]],1)),0.25*tabParametros[[#This Row],[Salário Base]],0)</f>
        <v>0</v>
      </c>
      <c r="N183" s="250">
        <v>0</v>
      </c>
      <c r="O183" s="234">
        <f>IF(ISNUMBER(SEARCH("TECNOLOGIA DA INFORMACAO",tabParametros[[#This Row],[Função]],1)),0.0201*tabParametros[[#This Row],[Salário Base]],0)</f>
        <v>0</v>
      </c>
      <c r="P183" s="250" cm="1">
        <f t="array" ref="P183">_xlfn.IFS(
ISNUMBER(SEARCH("Auxiliar de Limpeza - 75 h",tabParametros[[#This Row],[Função]],1)),tabParametros[[#This Row],[Salário Base]]/75*0.75*30*0.12,
ISNUMBER(SEARCH("Auxiliar de Limpeza - 110 h",tabParametros[[#This Row],[Função]],1)),tabParametros[[#This Row],[Salário Base]]/110*1*30*0.12,
ISNUMBER(SEARCH("Auxiliar de Limpeza - 150 h",tabParametros[[#This Row],[Função]],1)),tabParametros[[#This Row],[Salário Base]]/150*1.5*30*0.12,
ISNUMBER(SEARCH("Auxiliar de Limpeza - 220 h",tabParametros[[#This Row],[Função]],1)),tabParametros[[#This Row],[Salário Base]]/220*2*30*0.12,
ISNUMBER(SEARCH("Auxiliar de Limpeza - 12 x 36",tabParametros[[#This Row],[Função]],1)),tabParametros[[#This Row],[Salário Base]]/220*2*30*0.12,
ISNUMBER(SEARCH("Auxiliar de Limpeza - 55 h",tabParametros[[#This Row],[Função]],1))=FALSE,0)</f>
        <v>52.241890909090905</v>
      </c>
      <c r="Q183" s="235">
        <f>VLOOKUP(tabParametros[[#Headers],[INSS]],tabImpostosNacionais[],2,0)</f>
        <v>0.2</v>
      </c>
      <c r="R183" s="235">
        <f>VLOOKUP(tabParametros[[#Headers],[SESI OU SESC]],tabImpostosNacionais[],2,0)</f>
        <v>1.4999999999999999E-2</v>
      </c>
      <c r="S183" s="235">
        <f>VLOOKUP(tabParametros[[#Headers],[SENAI OU SENAC]],tabImpostosNacionais[],2,0)</f>
        <v>0.01</v>
      </c>
      <c r="T183" s="235">
        <f>VLOOKUP(tabParametros[[#Headers],[INCRA]],tabImpostosNacionais[],2,0)</f>
        <v>2E-3</v>
      </c>
      <c r="U183" s="235">
        <f>VLOOKUP(tabParametros[[#Headers],[Salário Educação]],tabImpostosNacionais[],2,0)</f>
        <v>2.5000000000000001E-2</v>
      </c>
      <c r="V183" s="235">
        <f>VLOOKUP(tabParametros[[#Headers],[FGTS]],tabImpostosNacionais[],2,0)</f>
        <v>0.08</v>
      </c>
      <c r="W183" s="235">
        <f>VLOOKUP(tabParametros[[#Headers],[RAT Ajustado]],tabImpostosNacionais[],2,0)</f>
        <v>0.04</v>
      </c>
      <c r="X183" s="235">
        <f>VLOOKUP(tabParametros[[#Headers],[SEBRAE]],tabImpostosNacionais[],2,0)</f>
        <v>6.0000000000000001E-3</v>
      </c>
      <c r="Y183" s="235">
        <f t="shared" si="22"/>
        <v>8.3333333333333329E-2</v>
      </c>
      <c r="Z183" s="251">
        <f t="shared" si="23"/>
        <v>0.1111111111111111</v>
      </c>
      <c r="AA183" s="234">
        <f>VLOOKUP(tabParametros[[#This Row],[Comarca]],tabComarca[],5,0)</f>
        <v>6.4</v>
      </c>
      <c r="AB183" s="234">
        <f>IFERROR(VLOOKUP(tabParametros[[#This Row],[CCT DA CATEGORIA]],tabSindicatos[],6,0),0)</f>
        <v>29.15</v>
      </c>
      <c r="AC183" s="234">
        <f>IFERROR(VLOOKUP(tabParametros[[#This Row],[CCT DA CATEGORIA]],tabSindicatos[],7,0),0)</f>
        <v>0</v>
      </c>
      <c r="AD183" s="234" cm="1">
        <f t="array" ref="AD183">_xlfn.LET(
_xlpm.COMARCA, TRIM(UPPER(SUBSTITUTE(SUBSTITUTE(SUBSTITUTE(SUBSTITUTE(SUBSTITUTE(SUBSTITUTE(SUBSTITUTE(SUBSTITUTE(SUBSTITUTE(SUBSTITUTE(SUBSTITUTE(SUBSTITUTE(SUBSTITUTE(SUBSTITUTE(SUBSTITUTE(SUBSTITUTE(SUBSTITUTE(SUBSTITUTE(SUBSTITUTE(SUBSTITUTE(SUBSTITUTE(SUBSTITUTE(SUBSTITUTE(SUBSTITUTE(SUBSTITUTE(SUBSTITUTE(tabParametros[[#This Row],[Comarca]],"á","a"),"ã","a"),"â","a"),"é","e"),"ê","e"),"í","i"),"ó","o"),"õ","o"),"ô","o"),"ú","u"),"ç","c"),"Á","a"),"Ã","a"),"Â","a"),"É","e"),"Ê","e"),"Í","i"),"Ó","o"),"Õ","o"),"Ô","o"),"Ú","u"),"Ç","c"),"/MG","")," e ",", ")," ",""),".",""))),
_xlpm.MATRIZ_COMARCA, TRIM(UPPER(SUBSTITUTE(SUBSTITUTE(SUBSTITUTE(SUBSTITUTE(SUBSTITUTE(SUBSTITUTE(SUBSTITUTE(SUBSTITUTE(SUBSTITUTE(SUBSTITUTE(SUBSTITUTE(SUBSTITUTE(SUBSTITUTE(SUBSTITUTE(SUBSTITUTE(SUBSTITUTE(SUBSTITUTE(SUBSTITUTE(SUBSTITUTE(SUBSTITUTE(SUBSTITUTE(SUBSTITUTE(SUBSTITUTE(SUBSTITUTE(SUBSTITUTE(SUBSTITUTE(tabSindicatos[COMARCAS PAF],"á","a"),"ã","a"),"â","a"),"é","e"),"ê","e"),"í","i"),"ó","o"),"õ","o"),"ô","o"),"ú","u"),"ç","c"),"Á","a"),"Ã","a"),"Â","a"),"É","e"),"Ê","e"),"Í","i"),"Ó","o"),"Õ","o"),"Ô","o"),"Ú","u"),"Ç","c"),"/MG","")," e ",", ")," ",""),".",""))),
IFERROR(IF(_xlfn.XLOOKUP(tabParametros[[#This Row],[CCT DA CATEGORIA]],tabSindicatos[SINDICATOS],tabSindicatos[COMARCAS PAF])="",
VLOOKUP(tabParametros[[#This Row],[CCT DA CATEGORIA]],tabSindicatos[],8,0),
IF(ISNUMBER(SEARCH(TRIM(_xlpm.COMARCA),_xlfn.XLOOKUP(tabParametros[[#This Row],[CCT DA CATEGORIA]],tabSindicatos[SINDICATOS],_xlpm.MATRIZ_COMARCA),1)),VLOOKUP(tabParametros[[#This Row],[CCT DA CATEGORIA]],tabSindicatos[],8,0),0)
),0)
)</f>
        <v>0</v>
      </c>
      <c r="AE183" s="234">
        <f>IFERROR(VLOOKUP(tabParametros[[#This Row],[CCT DA CATEGORIA]],tabSindicatos[],9,0),0)</f>
        <v>0</v>
      </c>
      <c r="AF183" s="234">
        <f>IFERROR(VLOOKUP(tabParametros[[#This Row],[CCT DA CATEGORIA]],tabSindicatos[],10,0),0)</f>
        <v>0</v>
      </c>
      <c r="AG183" s="236">
        <f>VLOOKUP(tabParametros[[#Headers],[Seguro de Vida]],tabOutrosCustos[],3,0)</f>
        <v>3.36</v>
      </c>
      <c r="AH183" s="236">
        <f>IF(ISNUMBER(SEARCH("MOTORISTA",tabParametros[[#This Row],[Função]],1)),VLOOKUP("MOTORISTAS",tabDiarias[],2,0),IF(tabParametros[[#This Row],[Comarca]]="Belo Horizonte",VLOOKUP("LIMPEZA",tabDiarias[],2,0),0))</f>
        <v>0</v>
      </c>
      <c r="AI183" s="235">
        <f t="shared" si="24"/>
        <v>7.011766975308642E-3</v>
      </c>
      <c r="AJ183" s="237">
        <f>tabParametros[[#This Row],[FGTS]]*tabParametros[[#This Row],[Aviso Prévio Indenizado (API) e Reflexo do Aviso Prévio Indenizado]]</f>
        <v>5.609413580246914E-4</v>
      </c>
      <c r="AK183" s="237">
        <f>tabParametros[[#This Row],[FGTS]]*tabParametros[[#This Row],[Aviso Prévio Indenizado (API) e Reflexo do Aviso Prévio Indenizado]]*40%</f>
        <v>2.2437654320987658E-4</v>
      </c>
      <c r="AL183" s="235">
        <f t="shared" si="25"/>
        <v>3.5000000000000005E-3</v>
      </c>
      <c r="AM183" s="235">
        <f>tabParametros[[#This Row],[Aviso Prévio Trabalhado - APT]]*SUM(tabParametros[[#This Row],[INSS]:[SEBRAE]])</f>
        <v>1.3230000000000004E-3</v>
      </c>
      <c r="AN183" s="235">
        <f t="shared" si="26"/>
        <v>3.0577777777777773E-2</v>
      </c>
      <c r="AO183" s="235">
        <f t="shared" si="27"/>
        <v>8.3333333333333339E-4</v>
      </c>
      <c r="AP183" s="235">
        <f t="shared" si="28"/>
        <v>8.4444444444444437E-3</v>
      </c>
      <c r="AQ183" s="235">
        <f t="shared" si="29"/>
        <v>2.0277777777777777E-3</v>
      </c>
      <c r="AR183" s="235">
        <f t="shared" si="30"/>
        <v>1.7083333333333333E-4</v>
      </c>
      <c r="AS183" s="235">
        <f t="shared" si="31"/>
        <v>2.0833333333333335E-4</v>
      </c>
      <c r="AT183" s="235">
        <f t="shared" si="32"/>
        <v>1.2962962962962963E-3</v>
      </c>
      <c r="AU183" s="237">
        <f>SUM(tabParametros[[#This Row],[Ausência por Doença]:[Férias, Adicional de Férias e 13º  com empregada em gozo de Licença Maternidade]])*SUM(tabParametros[[#This Row],[INSS]:[SEBRAE]])</f>
        <v>4.5918250000000008E-3</v>
      </c>
      <c r="AV183" s="234">
        <f>IF(tabParametros[[#This Row],[Função]]="Porteiro - 220 h",SUM(tabParametros[[#This Row],[Salário Base]:[Adicional de Acúmulo de função]])/220*20*1.5,IF(ISNUMBER(SEARCH("12 x 36",tabParametros[[#This Row],[Função]],1)),SUM(tabParametros[[#This Row],[Salário Base]:[Adicional de Acúmulo de função]])/210*15.5*1.5,0))</f>
        <v>0</v>
      </c>
      <c r="AW183" s="234">
        <f>IF(tabParametros[[#This Row],[Vagas contratadas]]&gt;0,(SUM(tabParametros[[#This Row],[Salário Base]:[Adicional de Acúmulo de função]])*30%+SUM(tabParametros[[#This Row],[Vale - Alimentação]:[Seguro de Vida]]))/tabParametros[[#This Row],[Vagas contratadas]]*tabParametros[[#This Row],[Vagas suspensas]],0)</f>
        <v>0</v>
      </c>
      <c r="AX183" s="234">
        <f>SUMIF(tabUniformes[Cargo],tabParametros[[#This Row],[Função]],tabUniformes[Valor unit. Mensal])</f>
        <v>100.80916666666666</v>
      </c>
      <c r="AY183" s="281">
        <f>IF(ISNUMBER(SEARCH("AUXILIAR DE LIMPEZA - 75 H",tabParametros[[#This Row],[Função]],1)),
SUMIF(tabLimpGeral[TIPO],"Material",tabLimpGeral[VALOR UNITÁRIO P/ HORA (R$)])*75,
IF(ISNUMBER(SEARCH("AUXILIAR DE LIMPEZA - 110 H",tabParametros[[#This Row],[Função]],1)),
SUMIF(tabLimpGeral[TIPO],"Material",tabLimpGeral[VALOR UNITÁRIO P/ HORA (R$)])*110,
IF(ISNUMBER(SEARCH("AUXILIAR DE LIMPEZA - 150 H",tabParametros[[#This Row],[Função]],1)),
SUMIF(tabLimpGeral[TIPO],"Material",tabLimpGeral[VALOR UNITÁRIO P/ HORA (R$)])*150,
IF(ISNUMBER(SEARCH("AUXILIAR DE LIMPEZA - 220 H",tabParametros[[#This Row],[Função]],1)),
SUMIF(tabLimpGeral[TIPO],"Material",tabLimpGeral[VALOR UNITÁRIO P/ HORA (R$)])*220,
IF(ISNUMBER(SEARCH("AUXILIAR DE LIMPEZA - 12 x 36",tabParametros[[#This Row],[Função]],1)),
SUMIF(tabLimpGeral[TIPO],"Material",tabLimpGeral[VALOR UNITÁRIO P/ HORA (R$)])*220,
IF(ISNUMBER(SEARCH("Limpador de vidros - 220 h",tabParametros[[#This Row],[Função]],1)),
SUMIF(tabVidros[TIPO],"Material",tabVidros[VALOR UNITÁRIO P/ POSTO (R$)]),
0))))))</f>
        <v>35.518212958583888</v>
      </c>
      <c r="AZ183" s="281">
        <f>IF(ISNUMBER(SEARCH("AUXILIAR DE LIMPEZA - 75 H",tabParametros[[#This Row],[Função]],1)),
SUMIF(tabLimpGeral[TIPO],"Equipamento",tabLimpGeral[VALOR UNITÁRIO P/ HORA (R$)])*75,
IF(ISNUMBER(SEARCH("AUXILIAR DE LIMPEZA - 110 H",tabParametros[[#This Row],[Função]],1)),
SUMIF(tabLimpGeral[TIPO],"Equipamento",tabLimpGeral[VALOR UNITÁRIO P/ HORA (R$)])*110,
IF(ISNUMBER(SEARCH("AUXILIAR DE LIMPEZA - 150 H",tabParametros[[#This Row],[Função]],1)),
SUMIF(tabLimpGeral[TIPO],"Equipamento",tabLimpGeral[VALOR UNITÁRIO P/ HORA (R$)])*150,
IF(ISNUMBER(SEARCH("AUXILIAR DE LIMPEZA - 220 H",tabParametros[[#This Row],[Função]],1)),
SUMIF(tabLimpGeral[TIPO],"Equipamento",tabLimpGeral[VALOR UNITÁRIO P/ HORA (R$)])*220,
IF(ISNUMBER(SEARCH("AUXILIAR DE LIMPEZA - 12 x 36",tabParametros[[#This Row],[Função]],1)),
SUMIF(tabLimpGeral[TIPO],"Equipamento",tabLimpGeral[VALOR UNITÁRIO P/ HORA (R$)])*220,
IF(ISNUMBER(SEARCH("Limpador de vidros - 220 h",tabParametros[[#This Row],[Função]],1)),
SUMIF(tabVidros[TIPO],"Equipamento",tabVidros[VALOR UNITÁRIO P/ POSTO (R$)]),
0))))))</f>
        <v>64.529393914825576</v>
      </c>
      <c r="BA183" s="281">
        <f>IF(ISNUMBER(SEARCH("AUXILIAR DE LIMPEZA - 75 H",tabParametros[[#This Row],[Função]],1)),
SUMIF(tabLimpGeral[TIPO],"Produto",tabLimpGeral[VALOR UNITÁRIO P/ HORA (R$)])*75,
IF(ISNUMBER(SEARCH("AUXILIAR DE LIMPEZA - 110 H",tabParametros[[#This Row],[Função]],1)),
SUMIF(tabLimpGeral[TIPO],"Produto",tabLimpGeral[VALOR UNITÁRIO P/ HORA (R$)])*110,
IF(ISNUMBER(SEARCH("AUXILIAR DE LIMPEZA - 150 H",tabParametros[[#This Row],[Função]],1)),
SUMIF(tabLimpGeral[TIPO],"Produto",tabLimpGeral[VALOR UNITÁRIO P/ HORA (R$)])*150,
IF(ISNUMBER(SEARCH("AUXILIAR DE LIMPEZA - 220 H",tabParametros[[#This Row],[Função]],1)),
SUMIF(tabLimpGeral[TIPO],"Produto",tabLimpGeral[VALOR UNITÁRIO P/ HORA (R$)])*220,
IF(ISNUMBER(SEARCH("AUXILIAR DE LIMPEZA - 12 x 36",tabParametros[[#This Row],[Função]],1)),
SUMIF(tabLimpGeral[TIPO],"Produto",tabLimpGeral[VALOR UNITÁRIO P/ HORA (R$)])*220,
IF(ISNUMBER(SEARCH("Limpador de vidros - 220 h",tabParametros[[#This Row],[Função]],1)),
SUMIF(tabVidros[TIPO],"Produto",tabVidros[VALOR UNITÁRIO P/ POSTO (R$)]),
0))))))</f>
        <v>690.27153277931654</v>
      </c>
      <c r="BB183" s="281">
        <v>0</v>
      </c>
      <c r="BC183" s="236">
        <f>VLOOKUP(tabParametros[[#Headers],[Custos Indiretos]],tabOutrosCustos[],3,0)</f>
        <v>189.64880140242613</v>
      </c>
      <c r="BD183" s="236">
        <f>VLOOKUP(tabParametros[[#Headers],[Lucro]],tabOutrosCustos[],3,0)</f>
        <v>159.30499317803796</v>
      </c>
      <c r="BE183" s="235">
        <f>VLOOKUP(tabParametros[[#Headers],[COFINS]],tabImpostosNacionais[],2,0)</f>
        <v>7.5999999999999998E-2</v>
      </c>
      <c r="BF183" s="235">
        <f>VLOOKUP(tabParametros[[#Headers],[PIS]],tabImpostosNacionais[],2,0)</f>
        <v>1.6500000000000001E-2</v>
      </c>
      <c r="BG183" s="235">
        <f>VLOOKUP(tabParametros[[#This Row],[Comarca]],tabComarca[],4,0)</f>
        <v>0.03</v>
      </c>
      <c r="BH183" s="238">
        <f>IFERROR(VLOOKUP(tabParametros[[#This Row],[CCT DA CATEGORIA]],tabSindicatos[],11,0),"")</f>
        <v>45658</v>
      </c>
      <c r="BI183" s="289" t="str">
        <f>IFERROR(VLOOKUP(tabParametros[[#This Row],[CCT DA CATEGORIA]],tabSindicatos[],12,0),"")</f>
        <v>-</v>
      </c>
      <c r="BJ183" s="293" t="str">
        <f>IFERROR(VLOOKUP(tabParametros[[#This Row],[CCT DA CATEGORIA]],tabSindicatos[],13,0),"")</f>
        <v>-</v>
      </c>
    </row>
    <row r="184" spans="1:62" x14ac:dyDescent="0.25">
      <c r="A184" s="233" t="s">
        <v>1520</v>
      </c>
      <c r="B184" s="198" t="s">
        <v>166</v>
      </c>
      <c r="C184" s="198" t="s">
        <v>1245</v>
      </c>
      <c r="D184" s="198" t="str">
        <f>VLOOKUP(tabParametros[[#This Row],[Código do Posto]],tabPostos[],4,0)</f>
        <v>Regiao Uberaba</v>
      </c>
      <c r="E184" s="289" t="str">
        <f>VLOOKUP(tabParametros[[#This Row],[Código do Posto]],tabPostos[],5,0)</f>
        <v>Limpeza</v>
      </c>
      <c r="F184" s="289" t="str">
        <f>VLOOKUP(tabParametros[[#This Row],[Código do Posto]],tabPostos[],6,0)</f>
        <v>PGJ</v>
      </c>
      <c r="G184" s="289">
        <f>VLOOKUP(tabParametros[[#This Row],[Código do Posto]],tabPostos[],7,0)</f>
        <v>5</v>
      </c>
      <c r="H184" s="289">
        <f>VLOOKUP(tabParametros[[#This Row],[Código do Posto]],tabPostos[],8,0)</f>
        <v>0</v>
      </c>
      <c r="I184" s="234">
        <f>VLOOKUP(tabParametros[[#This Row],[Código do Posto]],tabPostos[],9,0)</f>
        <v>1596.28</v>
      </c>
      <c r="J184" s="234">
        <f>IF(ISNUMBER(SEARCH("Eletricista",tabParametros[[#This Row],[Função]],1)),0.3*tabParametros[[#This Row],[Salário Base]],0)</f>
        <v>0</v>
      </c>
      <c r="K184" s="234">
        <f>IF(OR(ISNUMBER(SEARCH("Bombeiro Hidraulico",tabParametros[[#This Row],[Função]],1)),ISNUMBER(SEARCH("Jardineiro",tabParametros[[#This Row],[Função]],1)),ISNUMBER(SEARCH("Lavador de Veiculos",tabParametros[[#This Row],[Função]],1)),ISNUMBER(SEARCH("Marceneiro",tabParametros[[#This Row],[Função]],1)),ISNUMBER(SEARCH("Pintor",tabParametros[[#This Row],[Função]],1))),0.2*'BASE GERAL'!$R$4,0)</f>
        <v>0</v>
      </c>
      <c r="L184" s="234">
        <f>IF(AND(ISNUMBER(SEARCH("Noturno",tabParametros[[#This Row],[Função]],1)),tabParametros[[#This Row],[Comarca]]&lt;&gt;"Juiz de Fora"),tabParametros[[#This Row],[Salário Base]]/210*0.39*7*15.5,IF(ISNUMBER(SEARCH("Noturno",tabParametros[[#This Row],[Função]],1)),tabParametros[[#This Row],[Salário Base]]/210*0.2*8*15.5,0))</f>
        <v>0</v>
      </c>
      <c r="M184" s="234">
        <f>IF(ISNUMBER(SEARCH("Motorista II",tabParametros[[#This Row],[Função]],1)),0.25*tabParametros[[#This Row],[Salário Base]],0)</f>
        <v>0</v>
      </c>
      <c r="N184" s="250">
        <v>0</v>
      </c>
      <c r="O184" s="234">
        <f>IF(ISNUMBER(SEARCH("TECNOLOGIA DA INFORMACAO",tabParametros[[#This Row],[Função]],1)),0.0201*tabParametros[[#This Row],[Salário Base]],0)</f>
        <v>0</v>
      </c>
      <c r="P184" s="250" cm="1">
        <f t="array" ref="P184">_xlfn.IFS(
ISNUMBER(SEARCH("Auxiliar de Limpeza - 75 h",tabParametros[[#This Row],[Função]],1)),tabParametros[[#This Row],[Salário Base]]/75*0.75*30*0.12,
ISNUMBER(SEARCH("Auxiliar de Limpeza - 110 h",tabParametros[[#This Row],[Função]],1)),tabParametros[[#This Row],[Salário Base]]/110*1*30*0.12,
ISNUMBER(SEARCH("Auxiliar de Limpeza - 150 h",tabParametros[[#This Row],[Função]],1)),tabParametros[[#This Row],[Salário Base]]/150*1.5*30*0.12,
ISNUMBER(SEARCH("Auxiliar de Limpeza - 220 h",tabParametros[[#This Row],[Função]],1)),tabParametros[[#This Row],[Salário Base]]/220*2*30*0.12,
ISNUMBER(SEARCH("Auxiliar de Limpeza - 12 x 36",tabParametros[[#This Row],[Função]],1)),tabParametros[[#This Row],[Salário Base]]/220*2*30*0.12,
ISNUMBER(SEARCH("Auxiliar de Limpeza - 55 h",tabParametros[[#This Row],[Função]],1))=FALSE,0)</f>
        <v>52.241890909090905</v>
      </c>
      <c r="Q184" s="235">
        <f>VLOOKUP(tabParametros[[#Headers],[INSS]],tabImpostosNacionais[],2,0)</f>
        <v>0.2</v>
      </c>
      <c r="R184" s="235">
        <f>VLOOKUP(tabParametros[[#Headers],[SESI OU SESC]],tabImpostosNacionais[],2,0)</f>
        <v>1.4999999999999999E-2</v>
      </c>
      <c r="S184" s="235">
        <f>VLOOKUP(tabParametros[[#Headers],[SENAI OU SENAC]],tabImpostosNacionais[],2,0)</f>
        <v>0.01</v>
      </c>
      <c r="T184" s="235">
        <f>VLOOKUP(tabParametros[[#Headers],[INCRA]],tabImpostosNacionais[],2,0)</f>
        <v>2E-3</v>
      </c>
      <c r="U184" s="235">
        <f>VLOOKUP(tabParametros[[#Headers],[Salário Educação]],tabImpostosNacionais[],2,0)</f>
        <v>2.5000000000000001E-2</v>
      </c>
      <c r="V184" s="235">
        <f>VLOOKUP(tabParametros[[#Headers],[FGTS]],tabImpostosNacionais[],2,0)</f>
        <v>0.08</v>
      </c>
      <c r="W184" s="235">
        <f>VLOOKUP(tabParametros[[#Headers],[RAT Ajustado]],tabImpostosNacionais[],2,0)</f>
        <v>0.04</v>
      </c>
      <c r="X184" s="235">
        <f>VLOOKUP(tabParametros[[#Headers],[SEBRAE]],tabImpostosNacionais[],2,0)</f>
        <v>6.0000000000000001E-3</v>
      </c>
      <c r="Y184" s="235">
        <f t="shared" si="22"/>
        <v>8.3333333333333329E-2</v>
      </c>
      <c r="Z184" s="251">
        <f t="shared" si="23"/>
        <v>0.1111111111111111</v>
      </c>
      <c r="AA184" s="234">
        <f>VLOOKUP(tabParametros[[#This Row],[Comarca]],tabComarca[],5,0)</f>
        <v>6.4</v>
      </c>
      <c r="AB184" s="234">
        <f>IFERROR(VLOOKUP(tabParametros[[#This Row],[CCT DA CATEGORIA]],tabSindicatos[],6,0),0)</f>
        <v>29.15</v>
      </c>
      <c r="AC184" s="234">
        <f>IFERROR(VLOOKUP(tabParametros[[#This Row],[CCT DA CATEGORIA]],tabSindicatos[],7,0),0)</f>
        <v>0</v>
      </c>
      <c r="AD184" s="234" cm="1">
        <f t="array" ref="AD184">_xlfn.LET(
_xlpm.COMARCA, TRIM(UPPER(SUBSTITUTE(SUBSTITUTE(SUBSTITUTE(SUBSTITUTE(SUBSTITUTE(SUBSTITUTE(SUBSTITUTE(SUBSTITUTE(SUBSTITUTE(SUBSTITUTE(SUBSTITUTE(SUBSTITUTE(SUBSTITUTE(SUBSTITUTE(SUBSTITUTE(SUBSTITUTE(SUBSTITUTE(SUBSTITUTE(SUBSTITUTE(SUBSTITUTE(SUBSTITUTE(SUBSTITUTE(SUBSTITUTE(SUBSTITUTE(SUBSTITUTE(SUBSTITUTE(tabParametros[[#This Row],[Comarca]],"á","a"),"ã","a"),"â","a"),"é","e"),"ê","e"),"í","i"),"ó","o"),"õ","o"),"ô","o"),"ú","u"),"ç","c"),"Á","a"),"Ã","a"),"Â","a"),"É","e"),"Ê","e"),"Í","i"),"Ó","o"),"Õ","o"),"Ô","o"),"Ú","u"),"Ç","c"),"/MG","")," e ",", ")," ",""),".",""))),
_xlpm.MATRIZ_COMARCA, TRIM(UPPER(SUBSTITUTE(SUBSTITUTE(SUBSTITUTE(SUBSTITUTE(SUBSTITUTE(SUBSTITUTE(SUBSTITUTE(SUBSTITUTE(SUBSTITUTE(SUBSTITUTE(SUBSTITUTE(SUBSTITUTE(SUBSTITUTE(SUBSTITUTE(SUBSTITUTE(SUBSTITUTE(SUBSTITUTE(SUBSTITUTE(SUBSTITUTE(SUBSTITUTE(SUBSTITUTE(SUBSTITUTE(SUBSTITUTE(SUBSTITUTE(SUBSTITUTE(SUBSTITUTE(tabSindicatos[COMARCAS PAF],"á","a"),"ã","a"),"â","a"),"é","e"),"ê","e"),"í","i"),"ó","o"),"õ","o"),"ô","o"),"ú","u"),"ç","c"),"Á","a"),"Ã","a"),"Â","a"),"É","e"),"Ê","e"),"Í","i"),"Ó","o"),"Õ","o"),"Ô","o"),"Ú","u"),"Ç","c"),"/MG","")," e ",", ")," ",""),".",""))),
IFERROR(IF(_xlfn.XLOOKUP(tabParametros[[#This Row],[CCT DA CATEGORIA]],tabSindicatos[SINDICATOS],tabSindicatos[COMARCAS PAF])="",
VLOOKUP(tabParametros[[#This Row],[CCT DA CATEGORIA]],tabSindicatos[],8,0),
IF(ISNUMBER(SEARCH(TRIM(_xlpm.COMARCA),_xlfn.XLOOKUP(tabParametros[[#This Row],[CCT DA CATEGORIA]],tabSindicatos[SINDICATOS],_xlpm.MATRIZ_COMARCA),1)),VLOOKUP(tabParametros[[#This Row],[CCT DA CATEGORIA]],tabSindicatos[],8,0),0)
),0)
)</f>
        <v>51.86</v>
      </c>
      <c r="AE184" s="234">
        <f>IFERROR(VLOOKUP(tabParametros[[#This Row],[CCT DA CATEGORIA]],tabSindicatos[],9,0),0)</f>
        <v>0</v>
      </c>
      <c r="AF184" s="234">
        <f>IFERROR(VLOOKUP(tabParametros[[#This Row],[CCT DA CATEGORIA]],tabSindicatos[],10,0),0)</f>
        <v>0</v>
      </c>
      <c r="AG184" s="236">
        <f>VLOOKUP(tabParametros[[#Headers],[Seguro de Vida]],tabOutrosCustos[],3,0)</f>
        <v>3.36</v>
      </c>
      <c r="AH184" s="236">
        <f>IF(ISNUMBER(SEARCH("MOTORISTA",tabParametros[[#This Row],[Função]],1)),VLOOKUP("MOTORISTAS",tabDiarias[],2,0),IF(tabParametros[[#This Row],[Comarca]]="Belo Horizonte",VLOOKUP("LIMPEZA",tabDiarias[],2,0),0))</f>
        <v>0</v>
      </c>
      <c r="AI184" s="235">
        <f t="shared" si="24"/>
        <v>7.011766975308642E-3</v>
      </c>
      <c r="AJ184" s="237">
        <f>tabParametros[[#This Row],[FGTS]]*tabParametros[[#This Row],[Aviso Prévio Indenizado (API) e Reflexo do Aviso Prévio Indenizado]]</f>
        <v>5.609413580246914E-4</v>
      </c>
      <c r="AK184" s="237">
        <f>tabParametros[[#This Row],[FGTS]]*tabParametros[[#This Row],[Aviso Prévio Indenizado (API) e Reflexo do Aviso Prévio Indenizado]]*40%</f>
        <v>2.2437654320987658E-4</v>
      </c>
      <c r="AL184" s="235">
        <f t="shared" si="25"/>
        <v>3.5000000000000005E-3</v>
      </c>
      <c r="AM184" s="235">
        <f>tabParametros[[#This Row],[Aviso Prévio Trabalhado - APT]]*SUM(tabParametros[[#This Row],[INSS]:[SEBRAE]])</f>
        <v>1.3230000000000004E-3</v>
      </c>
      <c r="AN184" s="235">
        <f t="shared" si="26"/>
        <v>3.0577777777777773E-2</v>
      </c>
      <c r="AO184" s="235">
        <f t="shared" si="27"/>
        <v>8.3333333333333339E-4</v>
      </c>
      <c r="AP184" s="235">
        <f t="shared" si="28"/>
        <v>8.4444444444444437E-3</v>
      </c>
      <c r="AQ184" s="235">
        <f t="shared" si="29"/>
        <v>2.0277777777777777E-3</v>
      </c>
      <c r="AR184" s="235">
        <f t="shared" si="30"/>
        <v>1.7083333333333333E-4</v>
      </c>
      <c r="AS184" s="235">
        <f t="shared" si="31"/>
        <v>2.0833333333333335E-4</v>
      </c>
      <c r="AT184" s="235">
        <f t="shared" si="32"/>
        <v>1.2962962962962963E-3</v>
      </c>
      <c r="AU184" s="237">
        <f>SUM(tabParametros[[#This Row],[Ausência por Doença]:[Férias, Adicional de Férias e 13º  com empregada em gozo de Licença Maternidade]])*SUM(tabParametros[[#This Row],[INSS]:[SEBRAE]])</f>
        <v>4.5918250000000008E-3</v>
      </c>
      <c r="AV184" s="234">
        <f>IF(tabParametros[[#This Row],[Função]]="Porteiro - 220 h",SUM(tabParametros[[#This Row],[Salário Base]:[Adicional de Acúmulo de função]])/220*20*1.5,IF(ISNUMBER(SEARCH("12 x 36",tabParametros[[#This Row],[Função]],1)),SUM(tabParametros[[#This Row],[Salário Base]:[Adicional de Acúmulo de função]])/210*15.5*1.5,0))</f>
        <v>0</v>
      </c>
      <c r="AW184" s="234">
        <f>IF(tabParametros[[#This Row],[Vagas contratadas]]&gt;0,(SUM(tabParametros[[#This Row],[Salário Base]:[Adicional de Acúmulo de função]])*30%+SUM(tabParametros[[#This Row],[Vale - Alimentação]:[Seguro de Vida]]))/tabParametros[[#This Row],[Vagas contratadas]]*tabParametros[[#This Row],[Vagas suspensas]],0)</f>
        <v>0</v>
      </c>
      <c r="AX184" s="234">
        <f>SUMIF(tabUniformes[Cargo],tabParametros[[#This Row],[Função]],tabUniformes[Valor unit. Mensal])</f>
        <v>100.80916666666666</v>
      </c>
      <c r="AY184" s="281">
        <f>IF(ISNUMBER(SEARCH("AUXILIAR DE LIMPEZA - 75 H",tabParametros[[#This Row],[Função]],1)),
SUMIF(tabLimpGeral[TIPO],"Material",tabLimpGeral[VALOR UNITÁRIO P/ HORA (R$)])*75,
IF(ISNUMBER(SEARCH("AUXILIAR DE LIMPEZA - 110 H",tabParametros[[#This Row],[Função]],1)),
SUMIF(tabLimpGeral[TIPO],"Material",tabLimpGeral[VALOR UNITÁRIO P/ HORA (R$)])*110,
IF(ISNUMBER(SEARCH("AUXILIAR DE LIMPEZA - 150 H",tabParametros[[#This Row],[Função]],1)),
SUMIF(tabLimpGeral[TIPO],"Material",tabLimpGeral[VALOR UNITÁRIO P/ HORA (R$)])*150,
IF(ISNUMBER(SEARCH("AUXILIAR DE LIMPEZA - 220 H",tabParametros[[#This Row],[Função]],1)),
SUMIF(tabLimpGeral[TIPO],"Material",tabLimpGeral[VALOR UNITÁRIO P/ HORA (R$)])*220,
IF(ISNUMBER(SEARCH("AUXILIAR DE LIMPEZA - 12 x 36",tabParametros[[#This Row],[Função]],1)),
SUMIF(tabLimpGeral[TIPO],"Material",tabLimpGeral[VALOR UNITÁRIO P/ HORA (R$)])*220,
IF(ISNUMBER(SEARCH("Limpador de vidros - 220 h",tabParametros[[#This Row],[Função]],1)),
SUMIF(tabVidros[TIPO],"Material",tabVidros[VALOR UNITÁRIO P/ POSTO (R$)]),
0))))))</f>
        <v>35.518212958583888</v>
      </c>
      <c r="AZ184" s="281">
        <f>IF(ISNUMBER(SEARCH("AUXILIAR DE LIMPEZA - 75 H",tabParametros[[#This Row],[Função]],1)),
SUMIF(tabLimpGeral[TIPO],"Equipamento",tabLimpGeral[VALOR UNITÁRIO P/ HORA (R$)])*75,
IF(ISNUMBER(SEARCH("AUXILIAR DE LIMPEZA - 110 H",tabParametros[[#This Row],[Função]],1)),
SUMIF(tabLimpGeral[TIPO],"Equipamento",tabLimpGeral[VALOR UNITÁRIO P/ HORA (R$)])*110,
IF(ISNUMBER(SEARCH("AUXILIAR DE LIMPEZA - 150 H",tabParametros[[#This Row],[Função]],1)),
SUMIF(tabLimpGeral[TIPO],"Equipamento",tabLimpGeral[VALOR UNITÁRIO P/ HORA (R$)])*150,
IF(ISNUMBER(SEARCH("AUXILIAR DE LIMPEZA - 220 H",tabParametros[[#This Row],[Função]],1)),
SUMIF(tabLimpGeral[TIPO],"Equipamento",tabLimpGeral[VALOR UNITÁRIO P/ HORA (R$)])*220,
IF(ISNUMBER(SEARCH("AUXILIAR DE LIMPEZA - 12 x 36",tabParametros[[#This Row],[Função]],1)),
SUMIF(tabLimpGeral[TIPO],"Equipamento",tabLimpGeral[VALOR UNITÁRIO P/ HORA (R$)])*220,
IF(ISNUMBER(SEARCH("Limpador de vidros - 220 h",tabParametros[[#This Row],[Função]],1)),
SUMIF(tabVidros[TIPO],"Equipamento",tabVidros[VALOR UNITÁRIO P/ POSTO (R$)]),
0))))))</f>
        <v>64.529393914825576</v>
      </c>
      <c r="BA184" s="281">
        <f>IF(ISNUMBER(SEARCH("AUXILIAR DE LIMPEZA - 75 H",tabParametros[[#This Row],[Função]],1)),
SUMIF(tabLimpGeral[TIPO],"Produto",tabLimpGeral[VALOR UNITÁRIO P/ HORA (R$)])*75,
IF(ISNUMBER(SEARCH("AUXILIAR DE LIMPEZA - 110 H",tabParametros[[#This Row],[Função]],1)),
SUMIF(tabLimpGeral[TIPO],"Produto",tabLimpGeral[VALOR UNITÁRIO P/ HORA (R$)])*110,
IF(ISNUMBER(SEARCH("AUXILIAR DE LIMPEZA - 150 H",tabParametros[[#This Row],[Função]],1)),
SUMIF(tabLimpGeral[TIPO],"Produto",tabLimpGeral[VALOR UNITÁRIO P/ HORA (R$)])*150,
IF(ISNUMBER(SEARCH("AUXILIAR DE LIMPEZA - 220 H",tabParametros[[#This Row],[Função]],1)),
SUMIF(tabLimpGeral[TIPO],"Produto",tabLimpGeral[VALOR UNITÁRIO P/ HORA (R$)])*220,
IF(ISNUMBER(SEARCH("AUXILIAR DE LIMPEZA - 12 x 36",tabParametros[[#This Row],[Função]],1)),
SUMIF(tabLimpGeral[TIPO],"Produto",tabLimpGeral[VALOR UNITÁRIO P/ HORA (R$)])*220,
IF(ISNUMBER(SEARCH("Limpador de vidros - 220 h",tabParametros[[#This Row],[Função]],1)),
SUMIF(tabVidros[TIPO],"Produto",tabVidros[VALOR UNITÁRIO P/ POSTO (R$)]),
0))))))</f>
        <v>690.27153277931654</v>
      </c>
      <c r="BB184" s="281">
        <v>0</v>
      </c>
      <c r="BC184" s="236">
        <f>VLOOKUP(tabParametros[[#Headers],[Custos Indiretos]],tabOutrosCustos[],3,0)</f>
        <v>189.64880140242613</v>
      </c>
      <c r="BD184" s="236">
        <f>VLOOKUP(tabParametros[[#Headers],[Lucro]],tabOutrosCustos[],3,0)</f>
        <v>159.30499317803796</v>
      </c>
      <c r="BE184" s="235">
        <f>VLOOKUP(tabParametros[[#Headers],[COFINS]],tabImpostosNacionais[],2,0)</f>
        <v>7.5999999999999998E-2</v>
      </c>
      <c r="BF184" s="235">
        <f>VLOOKUP(tabParametros[[#Headers],[PIS]],tabImpostosNacionais[],2,0)</f>
        <v>1.6500000000000001E-2</v>
      </c>
      <c r="BG184" s="235">
        <f>VLOOKUP(tabParametros[[#This Row],[Comarca]],tabComarca[],4,0)</f>
        <v>0.02</v>
      </c>
      <c r="BH184" s="238">
        <f>IFERROR(VLOOKUP(tabParametros[[#This Row],[CCT DA CATEGORIA]],tabSindicatos[],11,0),"")</f>
        <v>45658</v>
      </c>
      <c r="BI184" s="289" t="str">
        <f>IFERROR(VLOOKUP(tabParametros[[#This Row],[CCT DA CATEGORIA]],tabSindicatos[],12,0),"")</f>
        <v>-</v>
      </c>
      <c r="BJ184" s="293" t="str">
        <f>IFERROR(VLOOKUP(tabParametros[[#This Row],[CCT DA CATEGORIA]],tabSindicatos[],13,0),"")</f>
        <v>-</v>
      </c>
    </row>
    <row r="185" spans="1:62" x14ac:dyDescent="0.25">
      <c r="A185" s="233" t="s">
        <v>1521</v>
      </c>
      <c r="B185" s="198" t="s">
        <v>167</v>
      </c>
      <c r="C185" s="198" t="s">
        <v>1246</v>
      </c>
      <c r="D185" s="198" t="str">
        <f>VLOOKUP(tabParametros[[#This Row],[Código do Posto]],tabPostos[],4,0)</f>
        <v>Fethemg Interior</v>
      </c>
      <c r="E185" s="289" t="str">
        <f>VLOOKUP(tabParametros[[#This Row],[Código do Posto]],tabPostos[],5,0)</f>
        <v>Limpeza</v>
      </c>
      <c r="F185" s="289" t="str">
        <f>VLOOKUP(tabParametros[[#This Row],[Código do Posto]],tabPostos[],6,0)</f>
        <v>PGJ</v>
      </c>
      <c r="G185" s="289">
        <f>VLOOKUP(tabParametros[[#This Row],[Código do Posto]],tabPostos[],7,0)</f>
        <v>1</v>
      </c>
      <c r="H185" s="289">
        <f>VLOOKUP(tabParametros[[#This Row],[Código do Posto]],tabPostos[],8,0)</f>
        <v>0</v>
      </c>
      <c r="I185" s="234">
        <f>VLOOKUP(tabParametros[[#This Row],[Código do Posto]],tabPostos[],9,0)</f>
        <v>1088.3699999999999</v>
      </c>
      <c r="J185" s="234">
        <f>IF(ISNUMBER(SEARCH("Eletricista",tabParametros[[#This Row],[Função]],1)),0.3*tabParametros[[#This Row],[Salário Base]],0)</f>
        <v>0</v>
      </c>
      <c r="K185" s="234">
        <f>IF(OR(ISNUMBER(SEARCH("Bombeiro Hidraulico",tabParametros[[#This Row],[Função]],1)),ISNUMBER(SEARCH("Jardineiro",tabParametros[[#This Row],[Função]],1)),ISNUMBER(SEARCH("Lavador de Veiculos",tabParametros[[#This Row],[Função]],1)),ISNUMBER(SEARCH("Marceneiro",tabParametros[[#This Row],[Função]],1)),ISNUMBER(SEARCH("Pintor",tabParametros[[#This Row],[Função]],1))),0.2*'BASE GERAL'!$R$4,0)</f>
        <v>0</v>
      </c>
      <c r="L185" s="234">
        <f>IF(AND(ISNUMBER(SEARCH("Noturno",tabParametros[[#This Row],[Função]],1)),tabParametros[[#This Row],[Comarca]]&lt;&gt;"Juiz de Fora"),tabParametros[[#This Row],[Salário Base]]/210*0.39*7*15.5,IF(ISNUMBER(SEARCH("Noturno",tabParametros[[#This Row],[Função]],1)),tabParametros[[#This Row],[Salário Base]]/210*0.2*8*15.5,0))</f>
        <v>0</v>
      </c>
      <c r="M185" s="234">
        <f>IF(ISNUMBER(SEARCH("Motorista II",tabParametros[[#This Row],[Função]],1)),0.25*tabParametros[[#This Row],[Salário Base]],0)</f>
        <v>0</v>
      </c>
      <c r="N185" s="250">
        <v>0</v>
      </c>
      <c r="O185" s="234">
        <f>IF(ISNUMBER(SEARCH("TECNOLOGIA DA INFORMACAO",tabParametros[[#This Row],[Função]],1)),0.0201*tabParametros[[#This Row],[Salário Base]],0)</f>
        <v>0</v>
      </c>
      <c r="P185" s="250" cm="1">
        <f t="array" ref="P185">_xlfn.IFS(
ISNUMBER(SEARCH("Auxiliar de Limpeza - 75 h",tabParametros[[#This Row],[Função]],1)),tabParametros[[#This Row],[Salário Base]]/75*0.75*30*0.12,
ISNUMBER(SEARCH("Auxiliar de Limpeza - 110 h",tabParametros[[#This Row],[Função]],1)),tabParametros[[#This Row],[Salário Base]]/110*1*30*0.12,
ISNUMBER(SEARCH("Auxiliar de Limpeza - 150 h",tabParametros[[#This Row],[Função]],1)),tabParametros[[#This Row],[Salário Base]]/150*1.5*30*0.12,
ISNUMBER(SEARCH("Auxiliar de Limpeza - 220 h",tabParametros[[#This Row],[Função]],1)),tabParametros[[#This Row],[Salário Base]]/220*2*30*0.12,
ISNUMBER(SEARCH("Auxiliar de Limpeza - 12 x 36",tabParametros[[#This Row],[Função]],1)),tabParametros[[#This Row],[Salário Base]]/220*2*30*0.12,
ISNUMBER(SEARCH("Auxiliar de Limpeza - 55 h",tabParametros[[#This Row],[Função]],1))=FALSE,0)</f>
        <v>39.181319999999985</v>
      </c>
      <c r="Q185" s="235">
        <f>VLOOKUP(tabParametros[[#Headers],[INSS]],tabImpostosNacionais[],2,0)</f>
        <v>0.2</v>
      </c>
      <c r="R185" s="235">
        <f>VLOOKUP(tabParametros[[#Headers],[SESI OU SESC]],tabImpostosNacionais[],2,0)</f>
        <v>1.4999999999999999E-2</v>
      </c>
      <c r="S185" s="235">
        <f>VLOOKUP(tabParametros[[#Headers],[SENAI OU SENAC]],tabImpostosNacionais[],2,0)</f>
        <v>0.01</v>
      </c>
      <c r="T185" s="235">
        <f>VLOOKUP(tabParametros[[#Headers],[INCRA]],tabImpostosNacionais[],2,0)</f>
        <v>2E-3</v>
      </c>
      <c r="U185" s="235">
        <f>VLOOKUP(tabParametros[[#Headers],[Salário Educação]],tabImpostosNacionais[],2,0)</f>
        <v>2.5000000000000001E-2</v>
      </c>
      <c r="V185" s="235">
        <f>VLOOKUP(tabParametros[[#Headers],[FGTS]],tabImpostosNacionais[],2,0)</f>
        <v>0.08</v>
      </c>
      <c r="W185" s="235">
        <f>VLOOKUP(tabParametros[[#Headers],[RAT Ajustado]],tabImpostosNacionais[],2,0)</f>
        <v>0.04</v>
      </c>
      <c r="X185" s="235">
        <f>VLOOKUP(tabParametros[[#Headers],[SEBRAE]],tabImpostosNacionais[],2,0)</f>
        <v>6.0000000000000001E-3</v>
      </c>
      <c r="Y185" s="235">
        <f t="shared" si="22"/>
        <v>8.3333333333333329E-2</v>
      </c>
      <c r="Z185" s="251">
        <f t="shared" si="23"/>
        <v>0.1111111111111111</v>
      </c>
      <c r="AA185" s="234">
        <f>VLOOKUP(tabParametros[[#This Row],[Comarca]],tabComarca[],5,0)</f>
        <v>6.4</v>
      </c>
      <c r="AB185" s="234">
        <f>IFERROR(VLOOKUP(tabParametros[[#This Row],[CCT DA CATEGORIA]],tabSindicatos[],6,0),0)</f>
        <v>29.15</v>
      </c>
      <c r="AC185" s="234">
        <f>IFERROR(VLOOKUP(tabParametros[[#This Row],[CCT DA CATEGORIA]],tabSindicatos[],7,0),0)</f>
        <v>0</v>
      </c>
      <c r="AD185" s="234" cm="1">
        <f t="array" ref="AD185">_xlfn.LET(
_xlpm.COMARCA, TRIM(UPPER(SUBSTITUTE(SUBSTITUTE(SUBSTITUTE(SUBSTITUTE(SUBSTITUTE(SUBSTITUTE(SUBSTITUTE(SUBSTITUTE(SUBSTITUTE(SUBSTITUTE(SUBSTITUTE(SUBSTITUTE(SUBSTITUTE(SUBSTITUTE(SUBSTITUTE(SUBSTITUTE(SUBSTITUTE(SUBSTITUTE(SUBSTITUTE(SUBSTITUTE(SUBSTITUTE(SUBSTITUTE(SUBSTITUTE(SUBSTITUTE(SUBSTITUTE(SUBSTITUTE(tabParametros[[#This Row],[Comarca]],"á","a"),"ã","a"),"â","a"),"é","e"),"ê","e"),"í","i"),"ó","o"),"õ","o"),"ô","o"),"ú","u"),"ç","c"),"Á","a"),"Ã","a"),"Â","a"),"É","e"),"Ê","e"),"Í","i"),"Ó","o"),"Õ","o"),"Ô","o"),"Ú","u"),"Ç","c"),"/MG","")," e ",", ")," ",""),".",""))),
_xlpm.MATRIZ_COMARCA, TRIM(UPPER(SUBSTITUTE(SUBSTITUTE(SUBSTITUTE(SUBSTITUTE(SUBSTITUTE(SUBSTITUTE(SUBSTITUTE(SUBSTITUTE(SUBSTITUTE(SUBSTITUTE(SUBSTITUTE(SUBSTITUTE(SUBSTITUTE(SUBSTITUTE(SUBSTITUTE(SUBSTITUTE(SUBSTITUTE(SUBSTITUTE(SUBSTITUTE(SUBSTITUTE(SUBSTITUTE(SUBSTITUTE(SUBSTITUTE(SUBSTITUTE(SUBSTITUTE(SUBSTITUTE(tabSindicatos[COMARCAS PAF],"á","a"),"ã","a"),"â","a"),"é","e"),"ê","e"),"í","i"),"ó","o"),"õ","o"),"ô","o"),"ú","u"),"ç","c"),"Á","a"),"Ã","a"),"Â","a"),"É","e"),"Ê","e"),"Í","i"),"Ó","o"),"Õ","o"),"Ô","o"),"Ú","u"),"Ç","c"),"/MG","")," e ",", ")," ",""),".",""))),
IFERROR(IF(_xlfn.XLOOKUP(tabParametros[[#This Row],[CCT DA CATEGORIA]],tabSindicatos[SINDICATOS],tabSindicatos[COMARCAS PAF])="",
VLOOKUP(tabParametros[[#This Row],[CCT DA CATEGORIA]],tabSindicatos[],8,0),
IF(ISNUMBER(SEARCH(TRIM(_xlpm.COMARCA),_xlfn.XLOOKUP(tabParametros[[#This Row],[CCT DA CATEGORIA]],tabSindicatos[SINDICATOS],_xlpm.MATRIZ_COMARCA),1)),VLOOKUP(tabParametros[[#This Row],[CCT DA CATEGORIA]],tabSindicatos[],8,0),0)
),0)
)</f>
        <v>0</v>
      </c>
      <c r="AE185" s="234">
        <f>IFERROR(VLOOKUP(tabParametros[[#This Row],[CCT DA CATEGORIA]],tabSindicatos[],9,0),0)</f>
        <v>15.07</v>
      </c>
      <c r="AF185" s="234">
        <f>IFERROR(VLOOKUP(tabParametros[[#This Row],[CCT DA CATEGORIA]],tabSindicatos[],10,0),0)</f>
        <v>0</v>
      </c>
      <c r="AG185" s="236">
        <f>VLOOKUP(tabParametros[[#Headers],[Seguro de Vida]],tabOutrosCustos[],3,0)</f>
        <v>3.36</v>
      </c>
      <c r="AH185" s="236">
        <f>IF(ISNUMBER(SEARCH("MOTORISTA",tabParametros[[#This Row],[Função]],1)),VLOOKUP("MOTORISTAS",tabDiarias[],2,0),IF(tabParametros[[#This Row],[Comarca]]="Belo Horizonte",VLOOKUP("LIMPEZA",tabDiarias[],2,0),0))</f>
        <v>0</v>
      </c>
      <c r="AI185" s="235">
        <f t="shared" si="24"/>
        <v>7.011766975308642E-3</v>
      </c>
      <c r="AJ185" s="237">
        <f>tabParametros[[#This Row],[FGTS]]*tabParametros[[#This Row],[Aviso Prévio Indenizado (API) e Reflexo do Aviso Prévio Indenizado]]</f>
        <v>5.609413580246914E-4</v>
      </c>
      <c r="AK185" s="237">
        <f>tabParametros[[#This Row],[FGTS]]*tabParametros[[#This Row],[Aviso Prévio Indenizado (API) e Reflexo do Aviso Prévio Indenizado]]*40%</f>
        <v>2.2437654320987658E-4</v>
      </c>
      <c r="AL185" s="235">
        <f t="shared" si="25"/>
        <v>3.5000000000000005E-3</v>
      </c>
      <c r="AM185" s="235">
        <f>tabParametros[[#This Row],[Aviso Prévio Trabalhado - APT]]*SUM(tabParametros[[#This Row],[INSS]:[SEBRAE]])</f>
        <v>1.3230000000000004E-3</v>
      </c>
      <c r="AN185" s="235">
        <f t="shared" si="26"/>
        <v>3.0577777777777773E-2</v>
      </c>
      <c r="AO185" s="235">
        <f t="shared" si="27"/>
        <v>8.3333333333333339E-4</v>
      </c>
      <c r="AP185" s="235">
        <f t="shared" si="28"/>
        <v>8.4444444444444437E-3</v>
      </c>
      <c r="AQ185" s="235">
        <f t="shared" si="29"/>
        <v>2.0277777777777777E-3</v>
      </c>
      <c r="AR185" s="235">
        <f t="shared" si="30"/>
        <v>1.7083333333333333E-4</v>
      </c>
      <c r="AS185" s="235">
        <f t="shared" si="31"/>
        <v>2.0833333333333335E-4</v>
      </c>
      <c r="AT185" s="235">
        <f t="shared" si="32"/>
        <v>1.2962962962962963E-3</v>
      </c>
      <c r="AU185" s="237">
        <f>SUM(tabParametros[[#This Row],[Ausência por Doença]:[Férias, Adicional de Férias e 13º  com empregada em gozo de Licença Maternidade]])*SUM(tabParametros[[#This Row],[INSS]:[SEBRAE]])</f>
        <v>4.5918250000000008E-3</v>
      </c>
      <c r="AV185" s="234">
        <f>IF(tabParametros[[#This Row],[Função]]="Porteiro - 220 h",SUM(tabParametros[[#This Row],[Salário Base]:[Adicional de Acúmulo de função]])/220*20*1.5,IF(ISNUMBER(SEARCH("12 x 36",tabParametros[[#This Row],[Função]],1)),SUM(tabParametros[[#This Row],[Salário Base]:[Adicional de Acúmulo de função]])/210*15.5*1.5,0))</f>
        <v>0</v>
      </c>
      <c r="AW185" s="234">
        <f>IF(tabParametros[[#This Row],[Vagas contratadas]]&gt;0,(SUM(tabParametros[[#This Row],[Salário Base]:[Adicional de Acúmulo de função]])*30%+SUM(tabParametros[[#This Row],[Vale - Alimentação]:[Seguro de Vida]]))/tabParametros[[#This Row],[Vagas contratadas]]*tabParametros[[#This Row],[Vagas suspensas]],0)</f>
        <v>0</v>
      </c>
      <c r="AX185" s="234">
        <f>SUMIF(tabUniformes[Cargo],tabParametros[[#This Row],[Função]],tabUniformes[Valor unit. Mensal])</f>
        <v>100.80916666666666</v>
      </c>
      <c r="AY185" s="281">
        <f>IF(ISNUMBER(SEARCH("AUXILIAR DE LIMPEZA - 75 H",tabParametros[[#This Row],[Função]],1)),
SUMIF(tabLimpGeral[TIPO],"Material",tabLimpGeral[VALOR UNITÁRIO P/ HORA (R$)])*75,
IF(ISNUMBER(SEARCH("AUXILIAR DE LIMPEZA - 110 H",tabParametros[[#This Row],[Função]],1)),
SUMIF(tabLimpGeral[TIPO],"Material",tabLimpGeral[VALOR UNITÁRIO P/ HORA (R$)])*110,
IF(ISNUMBER(SEARCH("AUXILIAR DE LIMPEZA - 150 H",tabParametros[[#This Row],[Função]],1)),
SUMIF(tabLimpGeral[TIPO],"Material",tabLimpGeral[VALOR UNITÁRIO P/ HORA (R$)])*150,
IF(ISNUMBER(SEARCH("AUXILIAR DE LIMPEZA - 220 H",tabParametros[[#This Row],[Função]],1)),
SUMIF(tabLimpGeral[TIPO],"Material",tabLimpGeral[VALOR UNITÁRIO P/ HORA (R$)])*220,
IF(ISNUMBER(SEARCH("AUXILIAR DE LIMPEZA - 12 x 36",tabParametros[[#This Row],[Função]],1)),
SUMIF(tabLimpGeral[TIPO],"Material",tabLimpGeral[VALOR UNITÁRIO P/ HORA (R$)])*220,
IF(ISNUMBER(SEARCH("Limpador de vidros - 220 h",tabParametros[[#This Row],[Função]],1)),
SUMIF(tabVidros[TIPO],"Material",tabVidros[VALOR UNITÁRIO P/ POSTO (R$)]),
0))))))</f>
        <v>24.216963380852651</v>
      </c>
      <c r="AZ185" s="281">
        <f>IF(ISNUMBER(SEARCH("AUXILIAR DE LIMPEZA - 75 H",tabParametros[[#This Row],[Função]],1)),
SUMIF(tabLimpGeral[TIPO],"Equipamento",tabLimpGeral[VALOR UNITÁRIO P/ HORA (R$)])*75,
IF(ISNUMBER(SEARCH("AUXILIAR DE LIMPEZA - 110 H",tabParametros[[#This Row],[Função]],1)),
SUMIF(tabLimpGeral[TIPO],"Equipamento",tabLimpGeral[VALOR UNITÁRIO P/ HORA (R$)])*110,
IF(ISNUMBER(SEARCH("AUXILIAR DE LIMPEZA - 150 H",tabParametros[[#This Row],[Função]],1)),
SUMIF(tabLimpGeral[TIPO],"Equipamento",tabLimpGeral[VALOR UNITÁRIO P/ HORA (R$)])*150,
IF(ISNUMBER(SEARCH("AUXILIAR DE LIMPEZA - 220 H",tabParametros[[#This Row],[Função]],1)),
SUMIF(tabLimpGeral[TIPO],"Equipamento",tabLimpGeral[VALOR UNITÁRIO P/ HORA (R$)])*220,
IF(ISNUMBER(SEARCH("AUXILIAR DE LIMPEZA - 12 x 36",tabParametros[[#This Row],[Função]],1)),
SUMIF(tabLimpGeral[TIPO],"Equipamento",tabLimpGeral[VALOR UNITÁRIO P/ HORA (R$)])*220,
IF(ISNUMBER(SEARCH("Limpador de vidros - 220 h",tabParametros[[#This Row],[Função]],1)),
SUMIF(tabVidros[TIPO],"Equipamento",tabVidros[VALOR UNITÁRIO P/ POSTO (R$)]),
0))))))</f>
        <v>43.997314032835618</v>
      </c>
      <c r="BA185" s="281">
        <f>IF(ISNUMBER(SEARCH("AUXILIAR DE LIMPEZA - 75 H",tabParametros[[#This Row],[Função]],1)),
SUMIF(tabLimpGeral[TIPO],"Produto",tabLimpGeral[VALOR UNITÁRIO P/ HORA (R$)])*75,
IF(ISNUMBER(SEARCH("AUXILIAR DE LIMPEZA - 110 H",tabParametros[[#This Row],[Função]],1)),
SUMIF(tabLimpGeral[TIPO],"Produto",tabLimpGeral[VALOR UNITÁRIO P/ HORA (R$)])*110,
IF(ISNUMBER(SEARCH("AUXILIAR DE LIMPEZA - 150 H",tabParametros[[#This Row],[Função]],1)),
SUMIF(tabLimpGeral[TIPO],"Produto",tabLimpGeral[VALOR UNITÁRIO P/ HORA (R$)])*150,
IF(ISNUMBER(SEARCH("AUXILIAR DE LIMPEZA - 220 H",tabParametros[[#This Row],[Função]],1)),
SUMIF(tabLimpGeral[TIPO],"Produto",tabLimpGeral[VALOR UNITÁRIO P/ HORA (R$)])*220,
IF(ISNUMBER(SEARCH("AUXILIAR DE LIMPEZA - 12 x 36",tabParametros[[#This Row],[Função]],1)),
SUMIF(tabLimpGeral[TIPO],"Produto",tabLimpGeral[VALOR UNITÁRIO P/ HORA (R$)])*220,
IF(ISNUMBER(SEARCH("Limpador de vidros - 220 h",tabParametros[[#This Row],[Função]],1)),
SUMIF(tabVidros[TIPO],"Produto",tabVidros[VALOR UNITÁRIO P/ POSTO (R$)]),
0))))))</f>
        <v>470.6396814404431</v>
      </c>
      <c r="BB185" s="281">
        <v>0</v>
      </c>
      <c r="BC185" s="236">
        <f>VLOOKUP(tabParametros[[#Headers],[Custos Indiretos]],tabOutrosCustos[],3,0)</f>
        <v>189.64880140242613</v>
      </c>
      <c r="BD185" s="236">
        <f>VLOOKUP(tabParametros[[#Headers],[Lucro]],tabOutrosCustos[],3,0)</f>
        <v>159.30499317803796</v>
      </c>
      <c r="BE185" s="235">
        <f>VLOOKUP(tabParametros[[#Headers],[COFINS]],tabImpostosNacionais[],2,0)</f>
        <v>7.5999999999999998E-2</v>
      </c>
      <c r="BF185" s="235">
        <f>VLOOKUP(tabParametros[[#Headers],[PIS]],tabImpostosNacionais[],2,0)</f>
        <v>1.6500000000000001E-2</v>
      </c>
      <c r="BG185" s="235">
        <f>VLOOKUP(tabParametros[[#This Row],[Comarca]],tabComarca[],4,0)</f>
        <v>0.05</v>
      </c>
      <c r="BH185" s="238">
        <f>IFERROR(VLOOKUP(tabParametros[[#This Row],[CCT DA CATEGORIA]],tabSindicatos[],11,0),"")</f>
        <v>45658</v>
      </c>
      <c r="BI185" s="289" t="str">
        <f>IFERROR(VLOOKUP(tabParametros[[#This Row],[CCT DA CATEGORIA]],tabSindicatos[],12,0),"")</f>
        <v>-</v>
      </c>
      <c r="BJ185" s="293" t="str">
        <f>IFERROR(VLOOKUP(tabParametros[[#This Row],[CCT DA CATEGORIA]],tabSindicatos[],13,0),"")</f>
        <v>-</v>
      </c>
    </row>
    <row r="186" spans="1:62" x14ac:dyDescent="0.25">
      <c r="A186" s="233" t="s">
        <v>1522</v>
      </c>
      <c r="B186" s="198" t="s">
        <v>168</v>
      </c>
      <c r="C186" s="198" t="s">
        <v>1244</v>
      </c>
      <c r="D186" s="198" t="str">
        <f>VLOOKUP(tabParametros[[#This Row],[Código do Posto]],tabPostos[],4,0)</f>
        <v>Regiao de Teofilo Otoni</v>
      </c>
      <c r="E186" s="289" t="str">
        <f>VLOOKUP(tabParametros[[#This Row],[Código do Posto]],tabPostos[],5,0)</f>
        <v>Limpeza</v>
      </c>
      <c r="F186" s="289" t="str">
        <f>VLOOKUP(tabParametros[[#This Row],[Código do Posto]],tabPostos[],6,0)</f>
        <v>PGJ</v>
      </c>
      <c r="G186" s="289">
        <f>VLOOKUP(tabParametros[[#This Row],[Código do Posto]],tabPostos[],7,0)</f>
        <v>1</v>
      </c>
      <c r="H186" s="289">
        <f>VLOOKUP(tabParametros[[#This Row],[Código do Posto]],tabPostos[],8,0)</f>
        <v>0</v>
      </c>
      <c r="I186" s="234">
        <f>VLOOKUP(tabParametros[[#This Row],[Código do Posto]],tabPostos[],9,0)</f>
        <v>798.14</v>
      </c>
      <c r="J186" s="234">
        <f>IF(ISNUMBER(SEARCH("Eletricista",tabParametros[[#This Row],[Função]],1)),0.3*tabParametros[[#This Row],[Salário Base]],0)</f>
        <v>0</v>
      </c>
      <c r="K186" s="234">
        <f>IF(OR(ISNUMBER(SEARCH("Bombeiro Hidraulico",tabParametros[[#This Row],[Função]],1)),ISNUMBER(SEARCH("Jardineiro",tabParametros[[#This Row],[Função]],1)),ISNUMBER(SEARCH("Lavador de Veiculos",tabParametros[[#This Row],[Função]],1)),ISNUMBER(SEARCH("Marceneiro",tabParametros[[#This Row],[Função]],1)),ISNUMBER(SEARCH("Pintor",tabParametros[[#This Row],[Função]],1))),0.2*'BASE GERAL'!$R$4,0)</f>
        <v>0</v>
      </c>
      <c r="L186" s="234">
        <f>IF(AND(ISNUMBER(SEARCH("Noturno",tabParametros[[#This Row],[Função]],1)),tabParametros[[#This Row],[Comarca]]&lt;&gt;"Juiz de Fora"),tabParametros[[#This Row],[Salário Base]]/210*0.39*7*15.5,IF(ISNUMBER(SEARCH("Noturno",tabParametros[[#This Row],[Função]],1)),tabParametros[[#This Row],[Salário Base]]/210*0.2*8*15.5,0))</f>
        <v>0</v>
      </c>
      <c r="M186" s="234">
        <f>IF(ISNUMBER(SEARCH("Motorista II",tabParametros[[#This Row],[Função]],1)),0.25*tabParametros[[#This Row],[Salário Base]],0)</f>
        <v>0</v>
      </c>
      <c r="N186" s="250">
        <v>0</v>
      </c>
      <c r="O186" s="234">
        <f>IF(ISNUMBER(SEARCH("TECNOLOGIA DA INFORMACAO",tabParametros[[#This Row],[Função]],1)),0.0201*tabParametros[[#This Row],[Salário Base]],0)</f>
        <v>0</v>
      </c>
      <c r="P186" s="250" cm="1">
        <f t="array" ref="P186">_xlfn.IFS(
ISNUMBER(SEARCH("Auxiliar de Limpeza - 75 h",tabParametros[[#This Row],[Função]],1)),tabParametros[[#This Row],[Salário Base]]/75*0.75*30*0.12,
ISNUMBER(SEARCH("Auxiliar de Limpeza - 110 h",tabParametros[[#This Row],[Função]],1)),tabParametros[[#This Row],[Salário Base]]/110*1*30*0.12,
ISNUMBER(SEARCH("Auxiliar de Limpeza - 150 h",tabParametros[[#This Row],[Função]],1)),tabParametros[[#This Row],[Salário Base]]/150*1.5*30*0.12,
ISNUMBER(SEARCH("Auxiliar de Limpeza - 220 h",tabParametros[[#This Row],[Função]],1)),tabParametros[[#This Row],[Salário Base]]/220*2*30*0.12,
ISNUMBER(SEARCH("Auxiliar de Limpeza - 12 x 36",tabParametros[[#This Row],[Função]],1)),tabParametros[[#This Row],[Salário Base]]/220*2*30*0.12,
ISNUMBER(SEARCH("Auxiliar de Limpeza - 55 h",tabParametros[[#This Row],[Função]],1))=FALSE,0)</f>
        <v>26.120945454545453</v>
      </c>
      <c r="Q186" s="235">
        <f>VLOOKUP(tabParametros[[#Headers],[INSS]],tabImpostosNacionais[],2,0)</f>
        <v>0.2</v>
      </c>
      <c r="R186" s="235">
        <f>VLOOKUP(tabParametros[[#Headers],[SESI OU SESC]],tabImpostosNacionais[],2,0)</f>
        <v>1.4999999999999999E-2</v>
      </c>
      <c r="S186" s="235">
        <f>VLOOKUP(tabParametros[[#Headers],[SENAI OU SENAC]],tabImpostosNacionais[],2,0)</f>
        <v>0.01</v>
      </c>
      <c r="T186" s="235">
        <f>VLOOKUP(tabParametros[[#Headers],[INCRA]],tabImpostosNacionais[],2,0)</f>
        <v>2E-3</v>
      </c>
      <c r="U186" s="235">
        <f>VLOOKUP(tabParametros[[#Headers],[Salário Educação]],tabImpostosNacionais[],2,0)</f>
        <v>2.5000000000000001E-2</v>
      </c>
      <c r="V186" s="235">
        <f>VLOOKUP(tabParametros[[#Headers],[FGTS]],tabImpostosNacionais[],2,0)</f>
        <v>0.08</v>
      </c>
      <c r="W186" s="235">
        <f>VLOOKUP(tabParametros[[#Headers],[RAT Ajustado]],tabImpostosNacionais[],2,0)</f>
        <v>0.04</v>
      </c>
      <c r="X186" s="235">
        <f>VLOOKUP(tabParametros[[#Headers],[SEBRAE]],tabImpostosNacionais[],2,0)</f>
        <v>6.0000000000000001E-3</v>
      </c>
      <c r="Y186" s="235">
        <f t="shared" si="22"/>
        <v>8.3333333333333329E-2</v>
      </c>
      <c r="Z186" s="251">
        <f t="shared" si="23"/>
        <v>0.1111111111111111</v>
      </c>
      <c r="AA186" s="234">
        <f>VLOOKUP(tabParametros[[#This Row],[Comarca]],tabComarca[],5,0)</f>
        <v>6.4</v>
      </c>
      <c r="AB186" s="234">
        <f>IFERROR(VLOOKUP(tabParametros[[#This Row],[CCT DA CATEGORIA]],tabSindicatos[],6,0),0)</f>
        <v>29.15</v>
      </c>
      <c r="AC186" s="234">
        <f>IFERROR(VLOOKUP(tabParametros[[#This Row],[CCT DA CATEGORIA]],tabSindicatos[],7,0),0)</f>
        <v>0</v>
      </c>
      <c r="AD186" s="234" cm="1">
        <f t="array" ref="AD186">_xlfn.LET(
_xlpm.COMARCA, TRIM(UPPER(SUBSTITUTE(SUBSTITUTE(SUBSTITUTE(SUBSTITUTE(SUBSTITUTE(SUBSTITUTE(SUBSTITUTE(SUBSTITUTE(SUBSTITUTE(SUBSTITUTE(SUBSTITUTE(SUBSTITUTE(SUBSTITUTE(SUBSTITUTE(SUBSTITUTE(SUBSTITUTE(SUBSTITUTE(SUBSTITUTE(SUBSTITUTE(SUBSTITUTE(SUBSTITUTE(SUBSTITUTE(SUBSTITUTE(SUBSTITUTE(SUBSTITUTE(SUBSTITUTE(tabParametros[[#This Row],[Comarca]],"á","a"),"ã","a"),"â","a"),"é","e"),"ê","e"),"í","i"),"ó","o"),"õ","o"),"ô","o"),"ú","u"),"ç","c"),"Á","a"),"Ã","a"),"Â","a"),"É","e"),"Ê","e"),"Í","i"),"Ó","o"),"Õ","o"),"Ô","o"),"Ú","u"),"Ç","c"),"/MG","")," e ",", ")," ",""),".",""))),
_xlpm.MATRIZ_COMARCA, TRIM(UPPER(SUBSTITUTE(SUBSTITUTE(SUBSTITUTE(SUBSTITUTE(SUBSTITUTE(SUBSTITUTE(SUBSTITUTE(SUBSTITUTE(SUBSTITUTE(SUBSTITUTE(SUBSTITUTE(SUBSTITUTE(SUBSTITUTE(SUBSTITUTE(SUBSTITUTE(SUBSTITUTE(SUBSTITUTE(SUBSTITUTE(SUBSTITUTE(SUBSTITUTE(SUBSTITUTE(SUBSTITUTE(SUBSTITUTE(SUBSTITUTE(SUBSTITUTE(SUBSTITUTE(tabSindicatos[COMARCAS PAF],"á","a"),"ã","a"),"â","a"),"é","e"),"ê","e"),"í","i"),"ó","o"),"õ","o"),"ô","o"),"ú","u"),"ç","c"),"Á","a"),"Ã","a"),"Â","a"),"É","e"),"Ê","e"),"Í","i"),"Ó","o"),"Õ","o"),"Ô","o"),"Ú","u"),"Ç","c"),"/MG","")," e ",", ")," ",""),".",""))),
IFERROR(IF(_xlfn.XLOOKUP(tabParametros[[#This Row],[CCT DA CATEGORIA]],tabSindicatos[SINDICATOS],tabSindicatos[COMARCAS PAF])="",
VLOOKUP(tabParametros[[#This Row],[CCT DA CATEGORIA]],tabSindicatos[],8,0),
IF(ISNUMBER(SEARCH(TRIM(_xlpm.COMARCA),_xlfn.XLOOKUP(tabParametros[[#This Row],[CCT DA CATEGORIA]],tabSindicatos[SINDICATOS],_xlpm.MATRIZ_COMARCA),1)),VLOOKUP(tabParametros[[#This Row],[CCT DA CATEGORIA]],tabSindicatos[],8,0),0)
),0)
)</f>
        <v>0</v>
      </c>
      <c r="AE186" s="234">
        <f>IFERROR(VLOOKUP(tabParametros[[#This Row],[CCT DA CATEGORIA]],tabSindicatos[],9,0),0)</f>
        <v>15.07</v>
      </c>
      <c r="AF186" s="234">
        <f>IFERROR(VLOOKUP(tabParametros[[#This Row],[CCT DA CATEGORIA]],tabSindicatos[],10,0),0)</f>
        <v>0</v>
      </c>
      <c r="AG186" s="236">
        <f>VLOOKUP(tabParametros[[#Headers],[Seguro de Vida]],tabOutrosCustos[],3,0)</f>
        <v>3.36</v>
      </c>
      <c r="AH186" s="236">
        <f>IF(ISNUMBER(SEARCH("MOTORISTA",tabParametros[[#This Row],[Função]],1)),VLOOKUP("MOTORISTAS",tabDiarias[],2,0),IF(tabParametros[[#This Row],[Comarca]]="Belo Horizonte",VLOOKUP("LIMPEZA",tabDiarias[],2,0),0))</f>
        <v>0</v>
      </c>
      <c r="AI186" s="235">
        <f t="shared" si="24"/>
        <v>7.011766975308642E-3</v>
      </c>
      <c r="AJ186" s="237">
        <f>tabParametros[[#This Row],[FGTS]]*tabParametros[[#This Row],[Aviso Prévio Indenizado (API) e Reflexo do Aviso Prévio Indenizado]]</f>
        <v>5.609413580246914E-4</v>
      </c>
      <c r="AK186" s="237">
        <f>tabParametros[[#This Row],[FGTS]]*tabParametros[[#This Row],[Aviso Prévio Indenizado (API) e Reflexo do Aviso Prévio Indenizado]]*40%</f>
        <v>2.2437654320987658E-4</v>
      </c>
      <c r="AL186" s="235">
        <f t="shared" si="25"/>
        <v>3.5000000000000005E-3</v>
      </c>
      <c r="AM186" s="235">
        <f>tabParametros[[#This Row],[Aviso Prévio Trabalhado - APT]]*SUM(tabParametros[[#This Row],[INSS]:[SEBRAE]])</f>
        <v>1.3230000000000004E-3</v>
      </c>
      <c r="AN186" s="235">
        <f t="shared" si="26"/>
        <v>3.0577777777777773E-2</v>
      </c>
      <c r="AO186" s="235">
        <f t="shared" si="27"/>
        <v>8.3333333333333339E-4</v>
      </c>
      <c r="AP186" s="235">
        <f t="shared" si="28"/>
        <v>8.4444444444444437E-3</v>
      </c>
      <c r="AQ186" s="235">
        <f t="shared" si="29"/>
        <v>2.0277777777777777E-3</v>
      </c>
      <c r="AR186" s="235">
        <f t="shared" si="30"/>
        <v>1.7083333333333333E-4</v>
      </c>
      <c r="AS186" s="235">
        <f t="shared" si="31"/>
        <v>2.0833333333333335E-4</v>
      </c>
      <c r="AT186" s="235">
        <f t="shared" si="32"/>
        <v>1.2962962962962963E-3</v>
      </c>
      <c r="AU186" s="237">
        <f>SUM(tabParametros[[#This Row],[Ausência por Doença]:[Férias, Adicional de Férias e 13º  com empregada em gozo de Licença Maternidade]])*SUM(tabParametros[[#This Row],[INSS]:[SEBRAE]])</f>
        <v>4.5918250000000008E-3</v>
      </c>
      <c r="AV186" s="234">
        <f>IF(tabParametros[[#This Row],[Função]]="Porteiro - 220 h",SUM(tabParametros[[#This Row],[Salário Base]:[Adicional de Acúmulo de função]])/220*20*1.5,IF(ISNUMBER(SEARCH("12 x 36",tabParametros[[#This Row],[Função]],1)),SUM(tabParametros[[#This Row],[Salário Base]:[Adicional de Acúmulo de função]])/210*15.5*1.5,0))</f>
        <v>0</v>
      </c>
      <c r="AW186" s="234">
        <f>IF(tabParametros[[#This Row],[Vagas contratadas]]&gt;0,(SUM(tabParametros[[#This Row],[Salário Base]:[Adicional de Acúmulo de função]])*30%+SUM(tabParametros[[#This Row],[Vale - Alimentação]:[Seguro de Vida]]))/tabParametros[[#This Row],[Vagas contratadas]]*tabParametros[[#This Row],[Vagas suspensas]],0)</f>
        <v>0</v>
      </c>
      <c r="AX186" s="234">
        <f>SUMIF(tabUniformes[Cargo],tabParametros[[#This Row],[Função]],tabUniformes[Valor unit. Mensal])</f>
        <v>62.806666666666665</v>
      </c>
      <c r="AY186" s="281">
        <f>IF(ISNUMBER(SEARCH("AUXILIAR DE LIMPEZA - 75 H",tabParametros[[#This Row],[Função]],1)),
SUMIF(tabLimpGeral[TIPO],"Material",tabLimpGeral[VALOR UNITÁRIO P/ HORA (R$)])*75,
IF(ISNUMBER(SEARCH("AUXILIAR DE LIMPEZA - 110 H",tabParametros[[#This Row],[Função]],1)),
SUMIF(tabLimpGeral[TIPO],"Material",tabLimpGeral[VALOR UNITÁRIO P/ HORA (R$)])*110,
IF(ISNUMBER(SEARCH("AUXILIAR DE LIMPEZA - 150 H",tabParametros[[#This Row],[Função]],1)),
SUMIF(tabLimpGeral[TIPO],"Material",tabLimpGeral[VALOR UNITÁRIO P/ HORA (R$)])*150,
IF(ISNUMBER(SEARCH("AUXILIAR DE LIMPEZA - 220 H",tabParametros[[#This Row],[Função]],1)),
SUMIF(tabLimpGeral[TIPO],"Material",tabLimpGeral[VALOR UNITÁRIO P/ HORA (R$)])*220,
IF(ISNUMBER(SEARCH("AUXILIAR DE LIMPEZA - 12 x 36",tabParametros[[#This Row],[Função]],1)),
SUMIF(tabLimpGeral[TIPO],"Material",tabLimpGeral[VALOR UNITÁRIO P/ HORA (R$)])*220,
IF(ISNUMBER(SEARCH("Limpador de vidros - 220 h",tabParametros[[#This Row],[Função]],1)),
SUMIF(tabVidros[TIPO],"Material",tabVidros[VALOR UNITÁRIO P/ POSTO (R$)]),
0))))))</f>
        <v>17.759106479291944</v>
      </c>
      <c r="AZ186" s="281">
        <f>IF(ISNUMBER(SEARCH("AUXILIAR DE LIMPEZA - 75 H",tabParametros[[#This Row],[Função]],1)),
SUMIF(tabLimpGeral[TIPO],"Equipamento",tabLimpGeral[VALOR UNITÁRIO P/ HORA (R$)])*75,
IF(ISNUMBER(SEARCH("AUXILIAR DE LIMPEZA - 110 H",tabParametros[[#This Row],[Função]],1)),
SUMIF(tabLimpGeral[TIPO],"Equipamento",tabLimpGeral[VALOR UNITÁRIO P/ HORA (R$)])*110,
IF(ISNUMBER(SEARCH("AUXILIAR DE LIMPEZA - 150 H",tabParametros[[#This Row],[Função]],1)),
SUMIF(tabLimpGeral[TIPO],"Equipamento",tabLimpGeral[VALOR UNITÁRIO P/ HORA (R$)])*150,
IF(ISNUMBER(SEARCH("AUXILIAR DE LIMPEZA - 220 H",tabParametros[[#This Row],[Função]],1)),
SUMIF(tabLimpGeral[TIPO],"Equipamento",tabLimpGeral[VALOR UNITÁRIO P/ HORA (R$)])*220,
IF(ISNUMBER(SEARCH("AUXILIAR DE LIMPEZA - 12 x 36",tabParametros[[#This Row],[Função]],1)),
SUMIF(tabLimpGeral[TIPO],"Equipamento",tabLimpGeral[VALOR UNITÁRIO P/ HORA (R$)])*220,
IF(ISNUMBER(SEARCH("Limpador de vidros - 220 h",tabParametros[[#This Row],[Função]],1)),
SUMIF(tabVidros[TIPO],"Equipamento",tabVidros[VALOR UNITÁRIO P/ POSTO (R$)]),
0))))))</f>
        <v>32.264696957412788</v>
      </c>
      <c r="BA186" s="281">
        <f>IF(ISNUMBER(SEARCH("AUXILIAR DE LIMPEZA - 75 H",tabParametros[[#This Row],[Função]],1)),
SUMIF(tabLimpGeral[TIPO],"Produto",tabLimpGeral[VALOR UNITÁRIO P/ HORA (R$)])*75,
IF(ISNUMBER(SEARCH("AUXILIAR DE LIMPEZA - 110 H",tabParametros[[#This Row],[Função]],1)),
SUMIF(tabLimpGeral[TIPO],"Produto",tabLimpGeral[VALOR UNITÁRIO P/ HORA (R$)])*110,
IF(ISNUMBER(SEARCH("AUXILIAR DE LIMPEZA - 150 H",tabParametros[[#This Row],[Função]],1)),
SUMIF(tabLimpGeral[TIPO],"Produto",tabLimpGeral[VALOR UNITÁRIO P/ HORA (R$)])*150,
IF(ISNUMBER(SEARCH("AUXILIAR DE LIMPEZA - 220 H",tabParametros[[#This Row],[Função]],1)),
SUMIF(tabLimpGeral[TIPO],"Produto",tabLimpGeral[VALOR UNITÁRIO P/ HORA (R$)])*220,
IF(ISNUMBER(SEARCH("AUXILIAR DE LIMPEZA - 12 x 36",tabParametros[[#This Row],[Função]],1)),
SUMIF(tabLimpGeral[TIPO],"Produto",tabLimpGeral[VALOR UNITÁRIO P/ HORA (R$)])*220,
IF(ISNUMBER(SEARCH("Limpador de vidros - 220 h",tabParametros[[#This Row],[Função]],1)),
SUMIF(tabVidros[TIPO],"Produto",tabVidros[VALOR UNITÁRIO P/ POSTO (R$)]),
0))))))</f>
        <v>345.13576638965827</v>
      </c>
      <c r="BB186" s="281">
        <v>0</v>
      </c>
      <c r="BC186" s="236">
        <f>VLOOKUP(tabParametros[[#Headers],[Custos Indiretos]],tabOutrosCustos[],3,0)</f>
        <v>189.64880140242613</v>
      </c>
      <c r="BD186" s="236">
        <f>VLOOKUP(tabParametros[[#Headers],[Lucro]],tabOutrosCustos[],3,0)</f>
        <v>159.30499317803796</v>
      </c>
      <c r="BE186" s="235">
        <f>VLOOKUP(tabParametros[[#Headers],[COFINS]],tabImpostosNacionais[],2,0)</f>
        <v>7.5999999999999998E-2</v>
      </c>
      <c r="BF186" s="235">
        <f>VLOOKUP(tabParametros[[#Headers],[PIS]],tabImpostosNacionais[],2,0)</f>
        <v>1.6500000000000001E-2</v>
      </c>
      <c r="BG186" s="235">
        <f>VLOOKUP(tabParametros[[#This Row],[Comarca]],tabComarca[],4,0)</f>
        <v>0.05</v>
      </c>
      <c r="BH186" s="238">
        <f>IFERROR(VLOOKUP(tabParametros[[#This Row],[CCT DA CATEGORIA]],tabSindicatos[],11,0),"")</f>
        <v>45658</v>
      </c>
      <c r="BI186" s="289" t="str">
        <f>IFERROR(VLOOKUP(tabParametros[[#This Row],[CCT DA CATEGORIA]],tabSindicatos[],12,0),"")</f>
        <v>-</v>
      </c>
      <c r="BJ186" s="293" t="str">
        <f>IFERROR(VLOOKUP(tabParametros[[#This Row],[CCT DA CATEGORIA]],tabSindicatos[],13,0),"")</f>
        <v>-</v>
      </c>
    </row>
    <row r="187" spans="1:62" x14ac:dyDescent="0.25">
      <c r="A187" s="233" t="s">
        <v>1523</v>
      </c>
      <c r="B187" s="198" t="s">
        <v>169</v>
      </c>
      <c r="C187" s="198" t="s">
        <v>1245</v>
      </c>
      <c r="D187" s="198" t="str">
        <f>VLOOKUP(tabParametros[[#This Row],[Código do Posto]],tabPostos[],4,0)</f>
        <v>Fethemg RM</v>
      </c>
      <c r="E187" s="289" t="str">
        <f>VLOOKUP(tabParametros[[#This Row],[Código do Posto]],tabPostos[],5,0)</f>
        <v>Limpeza</v>
      </c>
      <c r="F187" s="289" t="str">
        <f>VLOOKUP(tabParametros[[#This Row],[Código do Posto]],tabPostos[],6,0)</f>
        <v>PGJ</v>
      </c>
      <c r="G187" s="289">
        <f>VLOOKUP(tabParametros[[#This Row],[Código do Posto]],tabPostos[],7,0)</f>
        <v>1</v>
      </c>
      <c r="H187" s="289">
        <f>VLOOKUP(tabParametros[[#This Row],[Código do Posto]],tabPostos[],8,0)</f>
        <v>0</v>
      </c>
      <c r="I187" s="234">
        <f>VLOOKUP(tabParametros[[#This Row],[Código do Posto]],tabPostos[],9,0)</f>
        <v>1649.12</v>
      </c>
      <c r="J187" s="234">
        <f>IF(ISNUMBER(SEARCH("Eletricista",tabParametros[[#This Row],[Função]],1)),0.3*tabParametros[[#This Row],[Salário Base]],0)</f>
        <v>0</v>
      </c>
      <c r="K187" s="234">
        <f>IF(OR(ISNUMBER(SEARCH("Bombeiro Hidraulico",tabParametros[[#This Row],[Função]],1)),ISNUMBER(SEARCH("Jardineiro",tabParametros[[#This Row],[Função]],1)),ISNUMBER(SEARCH("Lavador de Veiculos",tabParametros[[#This Row],[Função]],1)),ISNUMBER(SEARCH("Marceneiro",tabParametros[[#This Row],[Função]],1)),ISNUMBER(SEARCH("Pintor",tabParametros[[#This Row],[Função]],1))),0.2*'BASE GERAL'!$R$4,0)</f>
        <v>0</v>
      </c>
      <c r="L187" s="234">
        <f>IF(AND(ISNUMBER(SEARCH("Noturno",tabParametros[[#This Row],[Função]],1)),tabParametros[[#This Row],[Comarca]]&lt;&gt;"Juiz de Fora"),tabParametros[[#This Row],[Salário Base]]/210*0.39*7*15.5,IF(ISNUMBER(SEARCH("Noturno",tabParametros[[#This Row],[Função]],1)),tabParametros[[#This Row],[Salário Base]]/210*0.2*8*15.5,0))</f>
        <v>0</v>
      </c>
      <c r="M187" s="234">
        <f>IF(ISNUMBER(SEARCH("Motorista II",tabParametros[[#This Row],[Função]],1)),0.25*tabParametros[[#This Row],[Salário Base]],0)</f>
        <v>0</v>
      </c>
      <c r="N187" s="250">
        <v>0</v>
      </c>
      <c r="O187" s="234">
        <f>IF(ISNUMBER(SEARCH("TECNOLOGIA DA INFORMACAO",tabParametros[[#This Row],[Função]],1)),0.0201*tabParametros[[#This Row],[Salário Base]],0)</f>
        <v>0</v>
      </c>
      <c r="P187" s="250" cm="1">
        <f t="array" ref="P187">_xlfn.IFS(
ISNUMBER(SEARCH("Auxiliar de Limpeza - 75 h",tabParametros[[#This Row],[Função]],1)),tabParametros[[#This Row],[Salário Base]]/75*0.75*30*0.12,
ISNUMBER(SEARCH("Auxiliar de Limpeza - 110 h",tabParametros[[#This Row],[Função]],1)),tabParametros[[#This Row],[Salário Base]]/110*1*30*0.12,
ISNUMBER(SEARCH("Auxiliar de Limpeza - 150 h",tabParametros[[#This Row],[Função]],1)),tabParametros[[#This Row],[Salário Base]]/150*1.5*30*0.12,
ISNUMBER(SEARCH("Auxiliar de Limpeza - 220 h",tabParametros[[#This Row],[Função]],1)),tabParametros[[#This Row],[Salário Base]]/220*2*30*0.12,
ISNUMBER(SEARCH("Auxiliar de Limpeza - 12 x 36",tabParametros[[#This Row],[Função]],1)),tabParametros[[#This Row],[Salário Base]]/220*2*30*0.12,
ISNUMBER(SEARCH("Auxiliar de Limpeza - 55 h",tabParametros[[#This Row],[Função]],1))=FALSE,0)</f>
        <v>53.971199999999996</v>
      </c>
      <c r="Q187" s="235">
        <f>VLOOKUP(tabParametros[[#Headers],[INSS]],tabImpostosNacionais[],2,0)</f>
        <v>0.2</v>
      </c>
      <c r="R187" s="235">
        <f>VLOOKUP(tabParametros[[#Headers],[SESI OU SESC]],tabImpostosNacionais[],2,0)</f>
        <v>1.4999999999999999E-2</v>
      </c>
      <c r="S187" s="235">
        <f>VLOOKUP(tabParametros[[#Headers],[SENAI OU SENAC]],tabImpostosNacionais[],2,0)</f>
        <v>0.01</v>
      </c>
      <c r="T187" s="235">
        <f>VLOOKUP(tabParametros[[#Headers],[INCRA]],tabImpostosNacionais[],2,0)</f>
        <v>2E-3</v>
      </c>
      <c r="U187" s="235">
        <f>VLOOKUP(tabParametros[[#Headers],[Salário Educação]],tabImpostosNacionais[],2,0)</f>
        <v>2.5000000000000001E-2</v>
      </c>
      <c r="V187" s="235">
        <f>VLOOKUP(tabParametros[[#Headers],[FGTS]],tabImpostosNacionais[],2,0)</f>
        <v>0.08</v>
      </c>
      <c r="W187" s="235">
        <f>VLOOKUP(tabParametros[[#Headers],[RAT Ajustado]],tabImpostosNacionais[],2,0)</f>
        <v>0.04</v>
      </c>
      <c r="X187" s="235">
        <f>VLOOKUP(tabParametros[[#Headers],[SEBRAE]],tabImpostosNacionais[],2,0)</f>
        <v>6.0000000000000001E-3</v>
      </c>
      <c r="Y187" s="235">
        <f t="shared" si="22"/>
        <v>8.3333333333333329E-2</v>
      </c>
      <c r="Z187" s="251">
        <f t="shared" si="23"/>
        <v>0.1111111111111111</v>
      </c>
      <c r="AA187" s="234">
        <f>VLOOKUP(tabParametros[[#This Row],[Comarca]],tabComarca[],5,0)</f>
        <v>6.4</v>
      </c>
      <c r="AB187" s="234">
        <f>IFERROR(VLOOKUP(tabParametros[[#This Row],[CCT DA CATEGORIA]],tabSindicatos[],6,0),0)</f>
        <v>29.15</v>
      </c>
      <c r="AC187" s="234">
        <f>IFERROR(VLOOKUP(tabParametros[[#This Row],[CCT DA CATEGORIA]],tabSindicatos[],7,0),0)</f>
        <v>0</v>
      </c>
      <c r="AD187" s="234" cm="1">
        <f t="array" ref="AD187">_xlfn.LET(
_xlpm.COMARCA, TRIM(UPPER(SUBSTITUTE(SUBSTITUTE(SUBSTITUTE(SUBSTITUTE(SUBSTITUTE(SUBSTITUTE(SUBSTITUTE(SUBSTITUTE(SUBSTITUTE(SUBSTITUTE(SUBSTITUTE(SUBSTITUTE(SUBSTITUTE(SUBSTITUTE(SUBSTITUTE(SUBSTITUTE(SUBSTITUTE(SUBSTITUTE(SUBSTITUTE(SUBSTITUTE(SUBSTITUTE(SUBSTITUTE(SUBSTITUTE(SUBSTITUTE(SUBSTITUTE(SUBSTITUTE(tabParametros[[#This Row],[Comarca]],"á","a"),"ã","a"),"â","a"),"é","e"),"ê","e"),"í","i"),"ó","o"),"õ","o"),"ô","o"),"ú","u"),"ç","c"),"Á","a"),"Ã","a"),"Â","a"),"É","e"),"Ê","e"),"Í","i"),"Ó","o"),"Õ","o"),"Ô","o"),"Ú","u"),"Ç","c"),"/MG","")," e ",", ")," ",""),".",""))),
_xlpm.MATRIZ_COMARCA, TRIM(UPPER(SUBSTITUTE(SUBSTITUTE(SUBSTITUTE(SUBSTITUTE(SUBSTITUTE(SUBSTITUTE(SUBSTITUTE(SUBSTITUTE(SUBSTITUTE(SUBSTITUTE(SUBSTITUTE(SUBSTITUTE(SUBSTITUTE(SUBSTITUTE(SUBSTITUTE(SUBSTITUTE(SUBSTITUTE(SUBSTITUTE(SUBSTITUTE(SUBSTITUTE(SUBSTITUTE(SUBSTITUTE(SUBSTITUTE(SUBSTITUTE(SUBSTITUTE(SUBSTITUTE(tabSindicatos[COMARCAS PAF],"á","a"),"ã","a"),"â","a"),"é","e"),"ê","e"),"í","i"),"ó","o"),"õ","o"),"ô","o"),"ú","u"),"ç","c"),"Á","a"),"Ã","a"),"Â","a"),"É","e"),"Ê","e"),"Í","i"),"Ó","o"),"Õ","o"),"Ô","o"),"Ú","u"),"Ç","c"),"/MG","")," e ",", ")," ",""),".",""))),
IFERROR(IF(_xlfn.XLOOKUP(tabParametros[[#This Row],[CCT DA CATEGORIA]],tabSindicatos[SINDICATOS],tabSindicatos[COMARCAS PAF])="",
VLOOKUP(tabParametros[[#This Row],[CCT DA CATEGORIA]],tabSindicatos[],8,0),
IF(ISNUMBER(SEARCH(TRIM(_xlpm.COMARCA),_xlfn.XLOOKUP(tabParametros[[#This Row],[CCT DA CATEGORIA]],tabSindicatos[SINDICATOS],_xlpm.MATRIZ_COMARCA),1)),VLOOKUP(tabParametros[[#This Row],[CCT DA CATEGORIA]],tabSindicatos[],8,0),0)
),0)
)</f>
        <v>0</v>
      </c>
      <c r="AE187" s="234">
        <f>IFERROR(VLOOKUP(tabParametros[[#This Row],[CCT DA CATEGORIA]],tabSindicatos[],9,0),0)</f>
        <v>15.07</v>
      </c>
      <c r="AF187" s="234">
        <f>IFERROR(VLOOKUP(tabParametros[[#This Row],[CCT DA CATEGORIA]],tabSindicatos[],10,0),0)</f>
        <v>0</v>
      </c>
      <c r="AG187" s="236">
        <f>VLOOKUP(tabParametros[[#Headers],[Seguro de Vida]],tabOutrosCustos[],3,0)</f>
        <v>3.36</v>
      </c>
      <c r="AH187" s="236">
        <f>IF(ISNUMBER(SEARCH("MOTORISTA",tabParametros[[#This Row],[Função]],1)),VLOOKUP("MOTORISTAS",tabDiarias[],2,0),IF(tabParametros[[#This Row],[Comarca]]="Belo Horizonte",VLOOKUP("LIMPEZA",tabDiarias[],2,0),0))</f>
        <v>0</v>
      </c>
      <c r="AI187" s="235">
        <f t="shared" si="24"/>
        <v>7.011766975308642E-3</v>
      </c>
      <c r="AJ187" s="237">
        <f>tabParametros[[#This Row],[FGTS]]*tabParametros[[#This Row],[Aviso Prévio Indenizado (API) e Reflexo do Aviso Prévio Indenizado]]</f>
        <v>5.609413580246914E-4</v>
      </c>
      <c r="AK187" s="237">
        <f>tabParametros[[#This Row],[FGTS]]*tabParametros[[#This Row],[Aviso Prévio Indenizado (API) e Reflexo do Aviso Prévio Indenizado]]*40%</f>
        <v>2.2437654320987658E-4</v>
      </c>
      <c r="AL187" s="235">
        <f t="shared" si="25"/>
        <v>3.5000000000000005E-3</v>
      </c>
      <c r="AM187" s="235">
        <f>tabParametros[[#This Row],[Aviso Prévio Trabalhado - APT]]*SUM(tabParametros[[#This Row],[INSS]:[SEBRAE]])</f>
        <v>1.3230000000000004E-3</v>
      </c>
      <c r="AN187" s="235">
        <f t="shared" si="26"/>
        <v>3.0577777777777773E-2</v>
      </c>
      <c r="AO187" s="235">
        <f t="shared" si="27"/>
        <v>8.3333333333333339E-4</v>
      </c>
      <c r="AP187" s="235">
        <f t="shared" si="28"/>
        <v>8.4444444444444437E-3</v>
      </c>
      <c r="AQ187" s="235">
        <f t="shared" si="29"/>
        <v>2.0277777777777777E-3</v>
      </c>
      <c r="AR187" s="235">
        <f t="shared" si="30"/>
        <v>1.7083333333333333E-4</v>
      </c>
      <c r="AS187" s="235">
        <f t="shared" si="31"/>
        <v>2.0833333333333335E-4</v>
      </c>
      <c r="AT187" s="235">
        <f t="shared" si="32"/>
        <v>1.2962962962962963E-3</v>
      </c>
      <c r="AU187" s="237">
        <f>SUM(tabParametros[[#This Row],[Ausência por Doença]:[Férias, Adicional de Férias e 13º  com empregada em gozo de Licença Maternidade]])*SUM(tabParametros[[#This Row],[INSS]:[SEBRAE]])</f>
        <v>4.5918250000000008E-3</v>
      </c>
      <c r="AV187" s="234">
        <f>IF(tabParametros[[#This Row],[Função]]="Porteiro - 220 h",SUM(tabParametros[[#This Row],[Salário Base]:[Adicional de Acúmulo de função]])/220*20*1.5,IF(ISNUMBER(SEARCH("12 x 36",tabParametros[[#This Row],[Função]],1)),SUM(tabParametros[[#This Row],[Salário Base]:[Adicional de Acúmulo de função]])/210*15.5*1.5,0))</f>
        <v>0</v>
      </c>
      <c r="AW187" s="234">
        <f>IF(tabParametros[[#This Row],[Vagas contratadas]]&gt;0,(SUM(tabParametros[[#This Row],[Salário Base]:[Adicional de Acúmulo de função]])*30%+SUM(tabParametros[[#This Row],[Vale - Alimentação]:[Seguro de Vida]]))/tabParametros[[#This Row],[Vagas contratadas]]*tabParametros[[#This Row],[Vagas suspensas]],0)</f>
        <v>0</v>
      </c>
      <c r="AX187" s="234">
        <f>SUMIF(tabUniformes[Cargo],tabParametros[[#This Row],[Função]],tabUniformes[Valor unit. Mensal])</f>
        <v>100.80916666666666</v>
      </c>
      <c r="AY187" s="281">
        <f>IF(ISNUMBER(SEARCH("AUXILIAR DE LIMPEZA - 75 H",tabParametros[[#This Row],[Função]],1)),
SUMIF(tabLimpGeral[TIPO],"Material",tabLimpGeral[VALOR UNITÁRIO P/ HORA (R$)])*75,
IF(ISNUMBER(SEARCH("AUXILIAR DE LIMPEZA - 110 H",tabParametros[[#This Row],[Função]],1)),
SUMIF(tabLimpGeral[TIPO],"Material",tabLimpGeral[VALOR UNITÁRIO P/ HORA (R$)])*110,
IF(ISNUMBER(SEARCH("AUXILIAR DE LIMPEZA - 150 H",tabParametros[[#This Row],[Função]],1)),
SUMIF(tabLimpGeral[TIPO],"Material",tabLimpGeral[VALOR UNITÁRIO P/ HORA (R$)])*150,
IF(ISNUMBER(SEARCH("AUXILIAR DE LIMPEZA - 220 H",tabParametros[[#This Row],[Função]],1)),
SUMIF(tabLimpGeral[TIPO],"Material",tabLimpGeral[VALOR UNITÁRIO P/ HORA (R$)])*220,
IF(ISNUMBER(SEARCH("AUXILIAR DE LIMPEZA - 12 x 36",tabParametros[[#This Row],[Função]],1)),
SUMIF(tabLimpGeral[TIPO],"Material",tabLimpGeral[VALOR UNITÁRIO P/ HORA (R$)])*220,
IF(ISNUMBER(SEARCH("Limpador de vidros - 220 h",tabParametros[[#This Row],[Função]],1)),
SUMIF(tabVidros[TIPO],"Material",tabVidros[VALOR UNITÁRIO P/ POSTO (R$)]),
0))))))</f>
        <v>35.518212958583888</v>
      </c>
      <c r="AZ187" s="281">
        <f>IF(ISNUMBER(SEARCH("AUXILIAR DE LIMPEZA - 75 H",tabParametros[[#This Row],[Função]],1)),
SUMIF(tabLimpGeral[TIPO],"Equipamento",tabLimpGeral[VALOR UNITÁRIO P/ HORA (R$)])*75,
IF(ISNUMBER(SEARCH("AUXILIAR DE LIMPEZA - 110 H",tabParametros[[#This Row],[Função]],1)),
SUMIF(tabLimpGeral[TIPO],"Equipamento",tabLimpGeral[VALOR UNITÁRIO P/ HORA (R$)])*110,
IF(ISNUMBER(SEARCH("AUXILIAR DE LIMPEZA - 150 H",tabParametros[[#This Row],[Função]],1)),
SUMIF(tabLimpGeral[TIPO],"Equipamento",tabLimpGeral[VALOR UNITÁRIO P/ HORA (R$)])*150,
IF(ISNUMBER(SEARCH("AUXILIAR DE LIMPEZA - 220 H",tabParametros[[#This Row],[Função]],1)),
SUMIF(tabLimpGeral[TIPO],"Equipamento",tabLimpGeral[VALOR UNITÁRIO P/ HORA (R$)])*220,
IF(ISNUMBER(SEARCH("AUXILIAR DE LIMPEZA - 12 x 36",tabParametros[[#This Row],[Função]],1)),
SUMIF(tabLimpGeral[TIPO],"Equipamento",tabLimpGeral[VALOR UNITÁRIO P/ HORA (R$)])*220,
IF(ISNUMBER(SEARCH("Limpador de vidros - 220 h",tabParametros[[#This Row],[Função]],1)),
SUMIF(tabVidros[TIPO],"Equipamento",tabVidros[VALOR UNITÁRIO P/ POSTO (R$)]),
0))))))</f>
        <v>64.529393914825576</v>
      </c>
      <c r="BA187" s="281">
        <f>IF(ISNUMBER(SEARCH("AUXILIAR DE LIMPEZA - 75 H",tabParametros[[#This Row],[Função]],1)),
SUMIF(tabLimpGeral[TIPO],"Produto",tabLimpGeral[VALOR UNITÁRIO P/ HORA (R$)])*75,
IF(ISNUMBER(SEARCH("AUXILIAR DE LIMPEZA - 110 H",tabParametros[[#This Row],[Função]],1)),
SUMIF(tabLimpGeral[TIPO],"Produto",tabLimpGeral[VALOR UNITÁRIO P/ HORA (R$)])*110,
IF(ISNUMBER(SEARCH("AUXILIAR DE LIMPEZA - 150 H",tabParametros[[#This Row],[Função]],1)),
SUMIF(tabLimpGeral[TIPO],"Produto",tabLimpGeral[VALOR UNITÁRIO P/ HORA (R$)])*150,
IF(ISNUMBER(SEARCH("AUXILIAR DE LIMPEZA - 220 H",tabParametros[[#This Row],[Função]],1)),
SUMIF(tabLimpGeral[TIPO],"Produto",tabLimpGeral[VALOR UNITÁRIO P/ HORA (R$)])*220,
IF(ISNUMBER(SEARCH("AUXILIAR DE LIMPEZA - 12 x 36",tabParametros[[#This Row],[Função]],1)),
SUMIF(tabLimpGeral[TIPO],"Produto",tabLimpGeral[VALOR UNITÁRIO P/ HORA (R$)])*220,
IF(ISNUMBER(SEARCH("Limpador de vidros - 220 h",tabParametros[[#This Row],[Função]],1)),
SUMIF(tabVidros[TIPO],"Produto",tabVidros[VALOR UNITÁRIO P/ POSTO (R$)]),
0))))))</f>
        <v>690.27153277931654</v>
      </c>
      <c r="BB187" s="281">
        <v>0</v>
      </c>
      <c r="BC187" s="236">
        <f>VLOOKUP(tabParametros[[#Headers],[Custos Indiretos]],tabOutrosCustos[],3,0)</f>
        <v>189.64880140242613</v>
      </c>
      <c r="BD187" s="236">
        <f>VLOOKUP(tabParametros[[#Headers],[Lucro]],tabOutrosCustos[],3,0)</f>
        <v>159.30499317803796</v>
      </c>
      <c r="BE187" s="235">
        <f>VLOOKUP(tabParametros[[#Headers],[COFINS]],tabImpostosNacionais[],2,0)</f>
        <v>7.5999999999999998E-2</v>
      </c>
      <c r="BF187" s="235">
        <f>VLOOKUP(tabParametros[[#Headers],[PIS]],tabImpostosNacionais[],2,0)</f>
        <v>1.6500000000000001E-2</v>
      </c>
      <c r="BG187" s="235">
        <f>VLOOKUP(tabParametros[[#This Row],[Comarca]],tabComarca[],4,0)</f>
        <v>2.7E-2</v>
      </c>
      <c r="BH187" s="238">
        <f>IFERROR(VLOOKUP(tabParametros[[#This Row],[CCT DA CATEGORIA]],tabSindicatos[],11,0),"")</f>
        <v>45658</v>
      </c>
      <c r="BI187" s="289" t="str">
        <f>IFERROR(VLOOKUP(tabParametros[[#This Row],[CCT DA CATEGORIA]],tabSindicatos[],12,0),"")</f>
        <v>-</v>
      </c>
      <c r="BJ187" s="293" t="str">
        <f>IFERROR(VLOOKUP(tabParametros[[#This Row],[CCT DA CATEGORIA]],tabSindicatos[],13,0),"")</f>
        <v>-</v>
      </c>
    </row>
    <row r="188" spans="1:62" x14ac:dyDescent="0.25">
      <c r="A188" s="233" t="s">
        <v>1524</v>
      </c>
      <c r="B188" s="198" t="s">
        <v>170</v>
      </c>
      <c r="C188" s="198" t="s">
        <v>1244</v>
      </c>
      <c r="D188" s="198" t="str">
        <f>VLOOKUP(tabParametros[[#This Row],[Código do Posto]],tabPostos[],4,0)</f>
        <v>Alto Paranaiba</v>
      </c>
      <c r="E188" s="289" t="str">
        <f>VLOOKUP(tabParametros[[#This Row],[Código do Posto]],tabPostos[],5,0)</f>
        <v>Limpeza</v>
      </c>
      <c r="F188" s="289" t="str">
        <f>VLOOKUP(tabParametros[[#This Row],[Código do Posto]],tabPostos[],6,0)</f>
        <v>PGJ</v>
      </c>
      <c r="G188" s="289">
        <f>VLOOKUP(tabParametros[[#This Row],[Código do Posto]],tabPostos[],7,0)</f>
        <v>1</v>
      </c>
      <c r="H188" s="289">
        <f>VLOOKUP(tabParametros[[#This Row],[Código do Posto]],tabPostos[],8,0)</f>
        <v>0</v>
      </c>
      <c r="I188" s="234">
        <f>VLOOKUP(tabParametros[[#This Row],[Código do Posto]],tabPostos[],9,0)</f>
        <v>798.14</v>
      </c>
      <c r="J188" s="234">
        <f>IF(ISNUMBER(SEARCH("Eletricista",tabParametros[[#This Row],[Função]],1)),0.3*tabParametros[[#This Row],[Salário Base]],0)</f>
        <v>0</v>
      </c>
      <c r="K188" s="234">
        <f>IF(OR(ISNUMBER(SEARCH("Bombeiro Hidraulico",tabParametros[[#This Row],[Função]],1)),ISNUMBER(SEARCH("Jardineiro",tabParametros[[#This Row],[Função]],1)),ISNUMBER(SEARCH("Lavador de Veiculos",tabParametros[[#This Row],[Função]],1)),ISNUMBER(SEARCH("Marceneiro",tabParametros[[#This Row],[Função]],1)),ISNUMBER(SEARCH("Pintor",tabParametros[[#This Row],[Função]],1))),0.2*'BASE GERAL'!$R$4,0)</f>
        <v>0</v>
      </c>
      <c r="L188" s="234">
        <f>IF(AND(ISNUMBER(SEARCH("Noturno",tabParametros[[#This Row],[Função]],1)),tabParametros[[#This Row],[Comarca]]&lt;&gt;"Juiz de Fora"),tabParametros[[#This Row],[Salário Base]]/210*0.39*7*15.5,IF(ISNUMBER(SEARCH("Noturno",tabParametros[[#This Row],[Função]],1)),tabParametros[[#This Row],[Salário Base]]/210*0.2*8*15.5,0))</f>
        <v>0</v>
      </c>
      <c r="M188" s="234">
        <f>IF(ISNUMBER(SEARCH("Motorista II",tabParametros[[#This Row],[Função]],1)),0.25*tabParametros[[#This Row],[Salário Base]],0)</f>
        <v>0</v>
      </c>
      <c r="N188" s="250">
        <v>0</v>
      </c>
      <c r="O188" s="234">
        <f>IF(ISNUMBER(SEARCH("TECNOLOGIA DA INFORMACAO",tabParametros[[#This Row],[Função]],1)),0.0201*tabParametros[[#This Row],[Salário Base]],0)</f>
        <v>0</v>
      </c>
      <c r="P188" s="250" cm="1">
        <f t="array" ref="P188">_xlfn.IFS(
ISNUMBER(SEARCH("Auxiliar de Limpeza - 75 h",tabParametros[[#This Row],[Função]],1)),tabParametros[[#This Row],[Salário Base]]/75*0.75*30*0.12,
ISNUMBER(SEARCH("Auxiliar de Limpeza - 110 h",tabParametros[[#This Row],[Função]],1)),tabParametros[[#This Row],[Salário Base]]/110*1*30*0.12,
ISNUMBER(SEARCH("Auxiliar de Limpeza - 150 h",tabParametros[[#This Row],[Função]],1)),tabParametros[[#This Row],[Salário Base]]/150*1.5*30*0.12,
ISNUMBER(SEARCH("Auxiliar de Limpeza - 220 h",tabParametros[[#This Row],[Função]],1)),tabParametros[[#This Row],[Salário Base]]/220*2*30*0.12,
ISNUMBER(SEARCH("Auxiliar de Limpeza - 12 x 36",tabParametros[[#This Row],[Função]],1)),tabParametros[[#This Row],[Salário Base]]/220*2*30*0.12,
ISNUMBER(SEARCH("Auxiliar de Limpeza - 55 h",tabParametros[[#This Row],[Função]],1))=FALSE,0)</f>
        <v>26.120945454545453</v>
      </c>
      <c r="Q188" s="235">
        <f>VLOOKUP(tabParametros[[#Headers],[INSS]],tabImpostosNacionais[],2,0)</f>
        <v>0.2</v>
      </c>
      <c r="R188" s="235">
        <f>VLOOKUP(tabParametros[[#Headers],[SESI OU SESC]],tabImpostosNacionais[],2,0)</f>
        <v>1.4999999999999999E-2</v>
      </c>
      <c r="S188" s="235">
        <f>VLOOKUP(tabParametros[[#Headers],[SENAI OU SENAC]],tabImpostosNacionais[],2,0)</f>
        <v>0.01</v>
      </c>
      <c r="T188" s="235">
        <f>VLOOKUP(tabParametros[[#Headers],[INCRA]],tabImpostosNacionais[],2,0)</f>
        <v>2E-3</v>
      </c>
      <c r="U188" s="235">
        <f>VLOOKUP(tabParametros[[#Headers],[Salário Educação]],tabImpostosNacionais[],2,0)</f>
        <v>2.5000000000000001E-2</v>
      </c>
      <c r="V188" s="235">
        <f>VLOOKUP(tabParametros[[#Headers],[FGTS]],tabImpostosNacionais[],2,0)</f>
        <v>0.08</v>
      </c>
      <c r="W188" s="235">
        <f>VLOOKUP(tabParametros[[#Headers],[RAT Ajustado]],tabImpostosNacionais[],2,0)</f>
        <v>0.04</v>
      </c>
      <c r="X188" s="235">
        <f>VLOOKUP(tabParametros[[#Headers],[SEBRAE]],tabImpostosNacionais[],2,0)</f>
        <v>6.0000000000000001E-3</v>
      </c>
      <c r="Y188" s="235">
        <f t="shared" si="22"/>
        <v>8.3333333333333329E-2</v>
      </c>
      <c r="Z188" s="251">
        <f t="shared" si="23"/>
        <v>0.1111111111111111</v>
      </c>
      <c r="AA188" s="234">
        <f>VLOOKUP(tabParametros[[#This Row],[Comarca]],tabComarca[],5,0)</f>
        <v>6.4</v>
      </c>
      <c r="AB188" s="234">
        <f>IFERROR(VLOOKUP(tabParametros[[#This Row],[CCT DA CATEGORIA]],tabSindicatos[],6,0),0)</f>
        <v>0</v>
      </c>
      <c r="AC188" s="234">
        <f>IFERROR(VLOOKUP(tabParametros[[#This Row],[CCT DA CATEGORIA]],tabSindicatos[],7,0),0)</f>
        <v>387.79</v>
      </c>
      <c r="AD188" s="234" cm="1">
        <f t="array" ref="AD188">_xlfn.LET(
_xlpm.COMARCA, TRIM(UPPER(SUBSTITUTE(SUBSTITUTE(SUBSTITUTE(SUBSTITUTE(SUBSTITUTE(SUBSTITUTE(SUBSTITUTE(SUBSTITUTE(SUBSTITUTE(SUBSTITUTE(SUBSTITUTE(SUBSTITUTE(SUBSTITUTE(SUBSTITUTE(SUBSTITUTE(SUBSTITUTE(SUBSTITUTE(SUBSTITUTE(SUBSTITUTE(SUBSTITUTE(SUBSTITUTE(SUBSTITUTE(SUBSTITUTE(SUBSTITUTE(SUBSTITUTE(SUBSTITUTE(tabParametros[[#This Row],[Comarca]],"á","a"),"ã","a"),"â","a"),"é","e"),"ê","e"),"í","i"),"ó","o"),"õ","o"),"ô","o"),"ú","u"),"ç","c"),"Á","a"),"Ã","a"),"Â","a"),"É","e"),"Ê","e"),"Í","i"),"Ó","o"),"Õ","o"),"Ô","o"),"Ú","u"),"Ç","c"),"/MG","")," e ",", ")," ",""),".",""))),
_xlpm.MATRIZ_COMARCA, TRIM(UPPER(SUBSTITUTE(SUBSTITUTE(SUBSTITUTE(SUBSTITUTE(SUBSTITUTE(SUBSTITUTE(SUBSTITUTE(SUBSTITUTE(SUBSTITUTE(SUBSTITUTE(SUBSTITUTE(SUBSTITUTE(SUBSTITUTE(SUBSTITUTE(SUBSTITUTE(SUBSTITUTE(SUBSTITUTE(SUBSTITUTE(SUBSTITUTE(SUBSTITUTE(SUBSTITUTE(SUBSTITUTE(SUBSTITUTE(SUBSTITUTE(SUBSTITUTE(SUBSTITUTE(tabSindicatos[COMARCAS PAF],"á","a"),"ã","a"),"â","a"),"é","e"),"ê","e"),"í","i"),"ó","o"),"õ","o"),"ô","o"),"ú","u"),"ç","c"),"Á","a"),"Ã","a"),"Â","a"),"É","e"),"Ê","e"),"Í","i"),"Ó","o"),"Õ","o"),"Ô","o"),"Ú","u"),"Ç","c"),"/MG","")," e ",", ")," ",""),".",""))),
IFERROR(IF(_xlfn.XLOOKUP(tabParametros[[#This Row],[CCT DA CATEGORIA]],tabSindicatos[SINDICATOS],tabSindicatos[COMARCAS PAF])="",
VLOOKUP(tabParametros[[#This Row],[CCT DA CATEGORIA]],tabSindicatos[],8,0),
IF(ISNUMBER(SEARCH(TRIM(_xlpm.COMARCA),_xlfn.XLOOKUP(tabParametros[[#This Row],[CCT DA CATEGORIA]],tabSindicatos[SINDICATOS],_xlpm.MATRIZ_COMARCA),1)),VLOOKUP(tabParametros[[#This Row],[CCT DA CATEGORIA]],tabSindicatos[],8,0),0)
),0)
)</f>
        <v>42.97</v>
      </c>
      <c r="AE188" s="234">
        <f>IFERROR(VLOOKUP(tabParametros[[#This Row],[CCT DA CATEGORIA]],tabSindicatos[],9,0),0)</f>
        <v>0</v>
      </c>
      <c r="AF188" s="234">
        <f>IFERROR(VLOOKUP(tabParametros[[#This Row],[CCT DA CATEGORIA]],tabSindicatos[],10,0),0)</f>
        <v>0</v>
      </c>
      <c r="AG188" s="236">
        <f>VLOOKUP(tabParametros[[#Headers],[Seguro de Vida]],tabOutrosCustos[],3,0)</f>
        <v>3.36</v>
      </c>
      <c r="AH188" s="236">
        <f>IF(ISNUMBER(SEARCH("MOTORISTA",tabParametros[[#This Row],[Função]],1)),VLOOKUP("MOTORISTAS",tabDiarias[],2,0),IF(tabParametros[[#This Row],[Comarca]]="Belo Horizonte",VLOOKUP("LIMPEZA",tabDiarias[],2,0),0))</f>
        <v>0</v>
      </c>
      <c r="AI188" s="235">
        <f t="shared" si="24"/>
        <v>7.011766975308642E-3</v>
      </c>
      <c r="AJ188" s="237">
        <f>tabParametros[[#This Row],[FGTS]]*tabParametros[[#This Row],[Aviso Prévio Indenizado (API) e Reflexo do Aviso Prévio Indenizado]]</f>
        <v>5.609413580246914E-4</v>
      </c>
      <c r="AK188" s="237">
        <f>tabParametros[[#This Row],[FGTS]]*tabParametros[[#This Row],[Aviso Prévio Indenizado (API) e Reflexo do Aviso Prévio Indenizado]]*40%</f>
        <v>2.2437654320987658E-4</v>
      </c>
      <c r="AL188" s="235">
        <f t="shared" si="25"/>
        <v>3.5000000000000005E-3</v>
      </c>
      <c r="AM188" s="235">
        <f>tabParametros[[#This Row],[Aviso Prévio Trabalhado - APT]]*SUM(tabParametros[[#This Row],[INSS]:[SEBRAE]])</f>
        <v>1.3230000000000004E-3</v>
      </c>
      <c r="AN188" s="235">
        <f t="shared" si="26"/>
        <v>3.0577777777777773E-2</v>
      </c>
      <c r="AO188" s="235">
        <f t="shared" si="27"/>
        <v>8.3333333333333339E-4</v>
      </c>
      <c r="AP188" s="235">
        <f t="shared" si="28"/>
        <v>8.4444444444444437E-3</v>
      </c>
      <c r="AQ188" s="235">
        <f t="shared" si="29"/>
        <v>2.0277777777777777E-3</v>
      </c>
      <c r="AR188" s="235">
        <f t="shared" si="30"/>
        <v>1.7083333333333333E-4</v>
      </c>
      <c r="AS188" s="235">
        <f t="shared" si="31"/>
        <v>2.0833333333333335E-4</v>
      </c>
      <c r="AT188" s="235">
        <f t="shared" si="32"/>
        <v>1.2962962962962963E-3</v>
      </c>
      <c r="AU188" s="237">
        <f>SUM(tabParametros[[#This Row],[Ausência por Doença]:[Férias, Adicional de Férias e 13º  com empregada em gozo de Licença Maternidade]])*SUM(tabParametros[[#This Row],[INSS]:[SEBRAE]])</f>
        <v>4.5918250000000008E-3</v>
      </c>
      <c r="AV188" s="234">
        <f>IF(tabParametros[[#This Row],[Função]]="Porteiro - 220 h",SUM(tabParametros[[#This Row],[Salário Base]:[Adicional de Acúmulo de função]])/220*20*1.5,IF(ISNUMBER(SEARCH("12 x 36",tabParametros[[#This Row],[Função]],1)),SUM(tabParametros[[#This Row],[Salário Base]:[Adicional de Acúmulo de função]])/210*15.5*1.5,0))</f>
        <v>0</v>
      </c>
      <c r="AW188" s="234">
        <f>IF(tabParametros[[#This Row],[Vagas contratadas]]&gt;0,(SUM(tabParametros[[#This Row],[Salário Base]:[Adicional de Acúmulo de função]])*30%+SUM(tabParametros[[#This Row],[Vale - Alimentação]:[Seguro de Vida]]))/tabParametros[[#This Row],[Vagas contratadas]]*tabParametros[[#This Row],[Vagas suspensas]],0)</f>
        <v>0</v>
      </c>
      <c r="AX188" s="234">
        <f>SUMIF(tabUniformes[Cargo],tabParametros[[#This Row],[Função]],tabUniformes[Valor unit. Mensal])</f>
        <v>62.806666666666665</v>
      </c>
      <c r="AY188" s="281">
        <f>IF(ISNUMBER(SEARCH("AUXILIAR DE LIMPEZA - 75 H",tabParametros[[#This Row],[Função]],1)),
SUMIF(tabLimpGeral[TIPO],"Material",tabLimpGeral[VALOR UNITÁRIO P/ HORA (R$)])*75,
IF(ISNUMBER(SEARCH("AUXILIAR DE LIMPEZA - 110 H",tabParametros[[#This Row],[Função]],1)),
SUMIF(tabLimpGeral[TIPO],"Material",tabLimpGeral[VALOR UNITÁRIO P/ HORA (R$)])*110,
IF(ISNUMBER(SEARCH("AUXILIAR DE LIMPEZA - 150 H",tabParametros[[#This Row],[Função]],1)),
SUMIF(tabLimpGeral[TIPO],"Material",tabLimpGeral[VALOR UNITÁRIO P/ HORA (R$)])*150,
IF(ISNUMBER(SEARCH("AUXILIAR DE LIMPEZA - 220 H",tabParametros[[#This Row],[Função]],1)),
SUMIF(tabLimpGeral[TIPO],"Material",tabLimpGeral[VALOR UNITÁRIO P/ HORA (R$)])*220,
IF(ISNUMBER(SEARCH("AUXILIAR DE LIMPEZA - 12 x 36",tabParametros[[#This Row],[Função]],1)),
SUMIF(tabLimpGeral[TIPO],"Material",tabLimpGeral[VALOR UNITÁRIO P/ HORA (R$)])*220,
IF(ISNUMBER(SEARCH("Limpador de vidros - 220 h",tabParametros[[#This Row],[Função]],1)),
SUMIF(tabVidros[TIPO],"Material",tabVidros[VALOR UNITÁRIO P/ POSTO (R$)]),
0))))))</f>
        <v>17.759106479291944</v>
      </c>
      <c r="AZ188" s="281">
        <f>IF(ISNUMBER(SEARCH("AUXILIAR DE LIMPEZA - 75 H",tabParametros[[#This Row],[Função]],1)),
SUMIF(tabLimpGeral[TIPO],"Equipamento",tabLimpGeral[VALOR UNITÁRIO P/ HORA (R$)])*75,
IF(ISNUMBER(SEARCH("AUXILIAR DE LIMPEZA - 110 H",tabParametros[[#This Row],[Função]],1)),
SUMIF(tabLimpGeral[TIPO],"Equipamento",tabLimpGeral[VALOR UNITÁRIO P/ HORA (R$)])*110,
IF(ISNUMBER(SEARCH("AUXILIAR DE LIMPEZA - 150 H",tabParametros[[#This Row],[Função]],1)),
SUMIF(tabLimpGeral[TIPO],"Equipamento",tabLimpGeral[VALOR UNITÁRIO P/ HORA (R$)])*150,
IF(ISNUMBER(SEARCH("AUXILIAR DE LIMPEZA - 220 H",tabParametros[[#This Row],[Função]],1)),
SUMIF(tabLimpGeral[TIPO],"Equipamento",tabLimpGeral[VALOR UNITÁRIO P/ HORA (R$)])*220,
IF(ISNUMBER(SEARCH("AUXILIAR DE LIMPEZA - 12 x 36",tabParametros[[#This Row],[Função]],1)),
SUMIF(tabLimpGeral[TIPO],"Equipamento",tabLimpGeral[VALOR UNITÁRIO P/ HORA (R$)])*220,
IF(ISNUMBER(SEARCH("Limpador de vidros - 220 h",tabParametros[[#This Row],[Função]],1)),
SUMIF(tabVidros[TIPO],"Equipamento",tabVidros[VALOR UNITÁRIO P/ POSTO (R$)]),
0))))))</f>
        <v>32.264696957412788</v>
      </c>
      <c r="BA188" s="281">
        <f>IF(ISNUMBER(SEARCH("AUXILIAR DE LIMPEZA - 75 H",tabParametros[[#This Row],[Função]],1)),
SUMIF(tabLimpGeral[TIPO],"Produto",tabLimpGeral[VALOR UNITÁRIO P/ HORA (R$)])*75,
IF(ISNUMBER(SEARCH("AUXILIAR DE LIMPEZA - 110 H",tabParametros[[#This Row],[Função]],1)),
SUMIF(tabLimpGeral[TIPO],"Produto",tabLimpGeral[VALOR UNITÁRIO P/ HORA (R$)])*110,
IF(ISNUMBER(SEARCH("AUXILIAR DE LIMPEZA - 150 H",tabParametros[[#This Row],[Função]],1)),
SUMIF(tabLimpGeral[TIPO],"Produto",tabLimpGeral[VALOR UNITÁRIO P/ HORA (R$)])*150,
IF(ISNUMBER(SEARCH("AUXILIAR DE LIMPEZA - 220 H",tabParametros[[#This Row],[Função]],1)),
SUMIF(tabLimpGeral[TIPO],"Produto",tabLimpGeral[VALOR UNITÁRIO P/ HORA (R$)])*220,
IF(ISNUMBER(SEARCH("AUXILIAR DE LIMPEZA - 12 x 36",tabParametros[[#This Row],[Função]],1)),
SUMIF(tabLimpGeral[TIPO],"Produto",tabLimpGeral[VALOR UNITÁRIO P/ HORA (R$)])*220,
IF(ISNUMBER(SEARCH("Limpador de vidros - 220 h",tabParametros[[#This Row],[Função]],1)),
SUMIF(tabVidros[TIPO],"Produto",tabVidros[VALOR UNITÁRIO P/ POSTO (R$)]),
0))))))</f>
        <v>345.13576638965827</v>
      </c>
      <c r="BB188" s="281">
        <v>0</v>
      </c>
      <c r="BC188" s="236">
        <f>VLOOKUP(tabParametros[[#Headers],[Custos Indiretos]],tabOutrosCustos[],3,0)</f>
        <v>189.64880140242613</v>
      </c>
      <c r="BD188" s="236">
        <f>VLOOKUP(tabParametros[[#Headers],[Lucro]],tabOutrosCustos[],3,0)</f>
        <v>159.30499317803796</v>
      </c>
      <c r="BE188" s="235">
        <f>VLOOKUP(tabParametros[[#Headers],[COFINS]],tabImpostosNacionais[],2,0)</f>
        <v>7.5999999999999998E-2</v>
      </c>
      <c r="BF188" s="235">
        <f>VLOOKUP(tabParametros[[#Headers],[PIS]],tabImpostosNacionais[],2,0)</f>
        <v>1.6500000000000001E-2</v>
      </c>
      <c r="BG188" s="235">
        <f>VLOOKUP(tabParametros[[#This Row],[Comarca]],tabComarca[],4,0)</f>
        <v>0.03</v>
      </c>
      <c r="BH188" s="238">
        <f>IFERROR(VLOOKUP(tabParametros[[#This Row],[CCT DA CATEGORIA]],tabSindicatos[],11,0),"")</f>
        <v>45658</v>
      </c>
      <c r="BI188" s="289" t="str">
        <f>IFERROR(VLOOKUP(tabParametros[[#This Row],[CCT DA CATEGORIA]],tabSindicatos[],12,0),"")</f>
        <v>-</v>
      </c>
      <c r="BJ188" s="293" t="str">
        <f>IFERROR(VLOOKUP(tabParametros[[#This Row],[CCT DA CATEGORIA]],tabSindicatos[],13,0),"")</f>
        <v>-</v>
      </c>
    </row>
    <row r="189" spans="1:62" x14ac:dyDescent="0.25">
      <c r="A189" s="233" t="s">
        <v>1525</v>
      </c>
      <c r="B189" s="198" t="s">
        <v>171</v>
      </c>
      <c r="C189" s="198" t="s">
        <v>1244</v>
      </c>
      <c r="D189" s="198" t="str">
        <f>VLOOKUP(tabParametros[[#This Row],[Código do Posto]],tabPostos[],4,0)</f>
        <v>Regiao de Ouro Preto</v>
      </c>
      <c r="E189" s="289" t="str">
        <f>VLOOKUP(tabParametros[[#This Row],[Código do Posto]],tabPostos[],5,0)</f>
        <v>Limpeza</v>
      </c>
      <c r="F189" s="289" t="str">
        <f>VLOOKUP(tabParametros[[#This Row],[Código do Posto]],tabPostos[],6,0)</f>
        <v>PGJ</v>
      </c>
      <c r="G189" s="289">
        <f>VLOOKUP(tabParametros[[#This Row],[Código do Posto]],tabPostos[],7,0)</f>
        <v>1</v>
      </c>
      <c r="H189" s="289">
        <f>VLOOKUP(tabParametros[[#This Row],[Código do Posto]],tabPostos[],8,0)</f>
        <v>0</v>
      </c>
      <c r="I189" s="234">
        <f>VLOOKUP(tabParametros[[#This Row],[Código do Posto]],tabPostos[],9,0)</f>
        <v>798.14</v>
      </c>
      <c r="J189" s="234">
        <f>IF(ISNUMBER(SEARCH("Eletricista",tabParametros[[#This Row],[Função]],1)),0.3*tabParametros[[#This Row],[Salário Base]],0)</f>
        <v>0</v>
      </c>
      <c r="K189" s="234">
        <f>IF(OR(ISNUMBER(SEARCH("Bombeiro Hidraulico",tabParametros[[#This Row],[Função]],1)),ISNUMBER(SEARCH("Jardineiro",tabParametros[[#This Row],[Função]],1)),ISNUMBER(SEARCH("Lavador de Veiculos",tabParametros[[#This Row],[Função]],1)),ISNUMBER(SEARCH("Marceneiro",tabParametros[[#This Row],[Função]],1)),ISNUMBER(SEARCH("Pintor",tabParametros[[#This Row],[Função]],1))),0.2*'BASE GERAL'!$R$4,0)</f>
        <v>0</v>
      </c>
      <c r="L189" s="234">
        <f>IF(AND(ISNUMBER(SEARCH("Noturno",tabParametros[[#This Row],[Função]],1)),tabParametros[[#This Row],[Comarca]]&lt;&gt;"Juiz de Fora"),tabParametros[[#This Row],[Salário Base]]/210*0.39*7*15.5,IF(ISNUMBER(SEARCH("Noturno",tabParametros[[#This Row],[Função]],1)),tabParametros[[#This Row],[Salário Base]]/210*0.2*8*15.5,0))</f>
        <v>0</v>
      </c>
      <c r="M189" s="234">
        <f>IF(ISNUMBER(SEARCH("Motorista II",tabParametros[[#This Row],[Função]],1)),0.25*tabParametros[[#This Row],[Salário Base]],0)</f>
        <v>0</v>
      </c>
      <c r="N189" s="250">
        <v>0</v>
      </c>
      <c r="O189" s="234">
        <f>IF(ISNUMBER(SEARCH("TECNOLOGIA DA INFORMACAO",tabParametros[[#This Row],[Função]],1)),0.0201*tabParametros[[#This Row],[Salário Base]],0)</f>
        <v>0</v>
      </c>
      <c r="P189" s="250" cm="1">
        <f t="array" ref="P189">_xlfn.IFS(
ISNUMBER(SEARCH("Auxiliar de Limpeza - 75 h",tabParametros[[#This Row],[Função]],1)),tabParametros[[#This Row],[Salário Base]]/75*0.75*30*0.12,
ISNUMBER(SEARCH("Auxiliar de Limpeza - 110 h",tabParametros[[#This Row],[Função]],1)),tabParametros[[#This Row],[Salário Base]]/110*1*30*0.12,
ISNUMBER(SEARCH("Auxiliar de Limpeza - 150 h",tabParametros[[#This Row],[Função]],1)),tabParametros[[#This Row],[Salário Base]]/150*1.5*30*0.12,
ISNUMBER(SEARCH("Auxiliar de Limpeza - 220 h",tabParametros[[#This Row],[Função]],1)),tabParametros[[#This Row],[Salário Base]]/220*2*30*0.12,
ISNUMBER(SEARCH("Auxiliar de Limpeza - 12 x 36",tabParametros[[#This Row],[Função]],1)),tabParametros[[#This Row],[Salário Base]]/220*2*30*0.12,
ISNUMBER(SEARCH("Auxiliar de Limpeza - 55 h",tabParametros[[#This Row],[Função]],1))=FALSE,0)</f>
        <v>26.120945454545453</v>
      </c>
      <c r="Q189" s="235">
        <f>VLOOKUP(tabParametros[[#Headers],[INSS]],tabImpostosNacionais[],2,0)</f>
        <v>0.2</v>
      </c>
      <c r="R189" s="235">
        <f>VLOOKUP(tabParametros[[#Headers],[SESI OU SESC]],tabImpostosNacionais[],2,0)</f>
        <v>1.4999999999999999E-2</v>
      </c>
      <c r="S189" s="235">
        <f>VLOOKUP(tabParametros[[#Headers],[SENAI OU SENAC]],tabImpostosNacionais[],2,0)</f>
        <v>0.01</v>
      </c>
      <c r="T189" s="235">
        <f>VLOOKUP(tabParametros[[#Headers],[INCRA]],tabImpostosNacionais[],2,0)</f>
        <v>2E-3</v>
      </c>
      <c r="U189" s="235">
        <f>VLOOKUP(tabParametros[[#Headers],[Salário Educação]],tabImpostosNacionais[],2,0)</f>
        <v>2.5000000000000001E-2</v>
      </c>
      <c r="V189" s="235">
        <f>VLOOKUP(tabParametros[[#Headers],[FGTS]],tabImpostosNacionais[],2,0)</f>
        <v>0.08</v>
      </c>
      <c r="W189" s="235">
        <f>VLOOKUP(tabParametros[[#Headers],[RAT Ajustado]],tabImpostosNacionais[],2,0)</f>
        <v>0.04</v>
      </c>
      <c r="X189" s="235">
        <f>VLOOKUP(tabParametros[[#Headers],[SEBRAE]],tabImpostosNacionais[],2,0)</f>
        <v>6.0000000000000001E-3</v>
      </c>
      <c r="Y189" s="235">
        <f t="shared" si="22"/>
        <v>8.3333333333333329E-2</v>
      </c>
      <c r="Z189" s="251">
        <f t="shared" si="23"/>
        <v>0.1111111111111111</v>
      </c>
      <c r="AA189" s="234">
        <f>VLOOKUP(tabParametros[[#This Row],[Comarca]],tabComarca[],5,0)</f>
        <v>6.4</v>
      </c>
      <c r="AB189" s="234">
        <f>IFERROR(VLOOKUP(tabParametros[[#This Row],[CCT DA CATEGORIA]],tabSindicatos[],6,0),0)</f>
        <v>29.15</v>
      </c>
      <c r="AC189" s="234">
        <f>IFERROR(VLOOKUP(tabParametros[[#This Row],[CCT DA CATEGORIA]],tabSindicatos[],7,0),0)</f>
        <v>0</v>
      </c>
      <c r="AD189" s="234" cm="1">
        <f t="array" ref="AD189">_xlfn.LET(
_xlpm.COMARCA, TRIM(UPPER(SUBSTITUTE(SUBSTITUTE(SUBSTITUTE(SUBSTITUTE(SUBSTITUTE(SUBSTITUTE(SUBSTITUTE(SUBSTITUTE(SUBSTITUTE(SUBSTITUTE(SUBSTITUTE(SUBSTITUTE(SUBSTITUTE(SUBSTITUTE(SUBSTITUTE(SUBSTITUTE(SUBSTITUTE(SUBSTITUTE(SUBSTITUTE(SUBSTITUTE(SUBSTITUTE(SUBSTITUTE(SUBSTITUTE(SUBSTITUTE(SUBSTITUTE(SUBSTITUTE(tabParametros[[#This Row],[Comarca]],"á","a"),"ã","a"),"â","a"),"é","e"),"ê","e"),"í","i"),"ó","o"),"õ","o"),"ô","o"),"ú","u"),"ç","c"),"Á","a"),"Ã","a"),"Â","a"),"É","e"),"Ê","e"),"Í","i"),"Ó","o"),"Õ","o"),"Ô","o"),"Ú","u"),"Ç","c"),"/MG","")," e ",", ")," ",""),".",""))),
_xlpm.MATRIZ_COMARCA, TRIM(UPPER(SUBSTITUTE(SUBSTITUTE(SUBSTITUTE(SUBSTITUTE(SUBSTITUTE(SUBSTITUTE(SUBSTITUTE(SUBSTITUTE(SUBSTITUTE(SUBSTITUTE(SUBSTITUTE(SUBSTITUTE(SUBSTITUTE(SUBSTITUTE(SUBSTITUTE(SUBSTITUTE(SUBSTITUTE(SUBSTITUTE(SUBSTITUTE(SUBSTITUTE(SUBSTITUTE(SUBSTITUTE(SUBSTITUTE(SUBSTITUTE(SUBSTITUTE(SUBSTITUTE(tabSindicatos[COMARCAS PAF],"á","a"),"ã","a"),"â","a"),"é","e"),"ê","e"),"í","i"),"ó","o"),"õ","o"),"ô","o"),"ú","u"),"ç","c"),"Á","a"),"Ã","a"),"Â","a"),"É","e"),"Ê","e"),"Í","i"),"Ó","o"),"Õ","o"),"Ô","o"),"Ú","u"),"Ç","c"),"/MG","")," e ",", ")," ",""),".",""))),
IFERROR(IF(_xlfn.XLOOKUP(tabParametros[[#This Row],[CCT DA CATEGORIA]],tabSindicatos[SINDICATOS],tabSindicatos[COMARCAS PAF])="",
VLOOKUP(tabParametros[[#This Row],[CCT DA CATEGORIA]],tabSindicatos[],8,0),
IF(ISNUMBER(SEARCH(TRIM(_xlpm.COMARCA),_xlfn.XLOOKUP(tabParametros[[#This Row],[CCT DA CATEGORIA]],tabSindicatos[SINDICATOS],_xlpm.MATRIZ_COMARCA),1)),VLOOKUP(tabParametros[[#This Row],[CCT DA CATEGORIA]],tabSindicatos[],8,0),0)
),0)
)</f>
        <v>0</v>
      </c>
      <c r="AE189" s="234">
        <f>IFERROR(VLOOKUP(tabParametros[[#This Row],[CCT DA CATEGORIA]],tabSindicatos[],9,0),0)</f>
        <v>0</v>
      </c>
      <c r="AF189" s="234">
        <f>IFERROR(VLOOKUP(tabParametros[[#This Row],[CCT DA CATEGORIA]],tabSindicatos[],10,0),0)</f>
        <v>0</v>
      </c>
      <c r="AG189" s="236">
        <f>VLOOKUP(tabParametros[[#Headers],[Seguro de Vida]],tabOutrosCustos[],3,0)</f>
        <v>3.36</v>
      </c>
      <c r="AH189" s="236">
        <f>IF(ISNUMBER(SEARCH("MOTORISTA",tabParametros[[#This Row],[Função]],1)),VLOOKUP("MOTORISTAS",tabDiarias[],2,0),IF(tabParametros[[#This Row],[Comarca]]="Belo Horizonte",VLOOKUP("LIMPEZA",tabDiarias[],2,0),0))</f>
        <v>0</v>
      </c>
      <c r="AI189" s="235">
        <f t="shared" si="24"/>
        <v>7.011766975308642E-3</v>
      </c>
      <c r="AJ189" s="237">
        <f>tabParametros[[#This Row],[FGTS]]*tabParametros[[#This Row],[Aviso Prévio Indenizado (API) e Reflexo do Aviso Prévio Indenizado]]</f>
        <v>5.609413580246914E-4</v>
      </c>
      <c r="AK189" s="237">
        <f>tabParametros[[#This Row],[FGTS]]*tabParametros[[#This Row],[Aviso Prévio Indenizado (API) e Reflexo do Aviso Prévio Indenizado]]*40%</f>
        <v>2.2437654320987658E-4</v>
      </c>
      <c r="AL189" s="235">
        <f t="shared" si="25"/>
        <v>3.5000000000000005E-3</v>
      </c>
      <c r="AM189" s="235">
        <f>tabParametros[[#This Row],[Aviso Prévio Trabalhado - APT]]*SUM(tabParametros[[#This Row],[INSS]:[SEBRAE]])</f>
        <v>1.3230000000000004E-3</v>
      </c>
      <c r="AN189" s="235">
        <f t="shared" si="26"/>
        <v>3.0577777777777773E-2</v>
      </c>
      <c r="AO189" s="235">
        <f t="shared" si="27"/>
        <v>8.3333333333333339E-4</v>
      </c>
      <c r="AP189" s="235">
        <f t="shared" si="28"/>
        <v>8.4444444444444437E-3</v>
      </c>
      <c r="AQ189" s="235">
        <f t="shared" si="29"/>
        <v>2.0277777777777777E-3</v>
      </c>
      <c r="AR189" s="235">
        <f t="shared" si="30"/>
        <v>1.7083333333333333E-4</v>
      </c>
      <c r="AS189" s="235">
        <f t="shared" si="31"/>
        <v>2.0833333333333335E-4</v>
      </c>
      <c r="AT189" s="235">
        <f t="shared" si="32"/>
        <v>1.2962962962962963E-3</v>
      </c>
      <c r="AU189" s="237">
        <f>SUM(tabParametros[[#This Row],[Ausência por Doença]:[Férias, Adicional de Férias e 13º  com empregada em gozo de Licença Maternidade]])*SUM(tabParametros[[#This Row],[INSS]:[SEBRAE]])</f>
        <v>4.5918250000000008E-3</v>
      </c>
      <c r="AV189" s="234">
        <f>IF(tabParametros[[#This Row],[Função]]="Porteiro - 220 h",SUM(tabParametros[[#This Row],[Salário Base]:[Adicional de Acúmulo de função]])/220*20*1.5,IF(ISNUMBER(SEARCH("12 x 36",tabParametros[[#This Row],[Função]],1)),SUM(tabParametros[[#This Row],[Salário Base]:[Adicional de Acúmulo de função]])/210*15.5*1.5,0))</f>
        <v>0</v>
      </c>
      <c r="AW189" s="234">
        <f>IF(tabParametros[[#This Row],[Vagas contratadas]]&gt;0,(SUM(tabParametros[[#This Row],[Salário Base]:[Adicional de Acúmulo de função]])*30%+SUM(tabParametros[[#This Row],[Vale - Alimentação]:[Seguro de Vida]]))/tabParametros[[#This Row],[Vagas contratadas]]*tabParametros[[#This Row],[Vagas suspensas]],0)</f>
        <v>0</v>
      </c>
      <c r="AX189" s="234">
        <f>SUMIF(tabUniformes[Cargo],tabParametros[[#This Row],[Função]],tabUniformes[Valor unit. Mensal])</f>
        <v>62.806666666666665</v>
      </c>
      <c r="AY189" s="281">
        <f>IF(ISNUMBER(SEARCH("AUXILIAR DE LIMPEZA - 75 H",tabParametros[[#This Row],[Função]],1)),
SUMIF(tabLimpGeral[TIPO],"Material",tabLimpGeral[VALOR UNITÁRIO P/ HORA (R$)])*75,
IF(ISNUMBER(SEARCH("AUXILIAR DE LIMPEZA - 110 H",tabParametros[[#This Row],[Função]],1)),
SUMIF(tabLimpGeral[TIPO],"Material",tabLimpGeral[VALOR UNITÁRIO P/ HORA (R$)])*110,
IF(ISNUMBER(SEARCH("AUXILIAR DE LIMPEZA - 150 H",tabParametros[[#This Row],[Função]],1)),
SUMIF(tabLimpGeral[TIPO],"Material",tabLimpGeral[VALOR UNITÁRIO P/ HORA (R$)])*150,
IF(ISNUMBER(SEARCH("AUXILIAR DE LIMPEZA - 220 H",tabParametros[[#This Row],[Função]],1)),
SUMIF(tabLimpGeral[TIPO],"Material",tabLimpGeral[VALOR UNITÁRIO P/ HORA (R$)])*220,
IF(ISNUMBER(SEARCH("AUXILIAR DE LIMPEZA - 12 x 36",tabParametros[[#This Row],[Função]],1)),
SUMIF(tabLimpGeral[TIPO],"Material",tabLimpGeral[VALOR UNITÁRIO P/ HORA (R$)])*220,
IF(ISNUMBER(SEARCH("Limpador de vidros - 220 h",tabParametros[[#This Row],[Função]],1)),
SUMIF(tabVidros[TIPO],"Material",tabVidros[VALOR UNITÁRIO P/ POSTO (R$)]),
0))))))</f>
        <v>17.759106479291944</v>
      </c>
      <c r="AZ189" s="281">
        <f>IF(ISNUMBER(SEARCH("AUXILIAR DE LIMPEZA - 75 H",tabParametros[[#This Row],[Função]],1)),
SUMIF(tabLimpGeral[TIPO],"Equipamento",tabLimpGeral[VALOR UNITÁRIO P/ HORA (R$)])*75,
IF(ISNUMBER(SEARCH("AUXILIAR DE LIMPEZA - 110 H",tabParametros[[#This Row],[Função]],1)),
SUMIF(tabLimpGeral[TIPO],"Equipamento",tabLimpGeral[VALOR UNITÁRIO P/ HORA (R$)])*110,
IF(ISNUMBER(SEARCH("AUXILIAR DE LIMPEZA - 150 H",tabParametros[[#This Row],[Função]],1)),
SUMIF(tabLimpGeral[TIPO],"Equipamento",tabLimpGeral[VALOR UNITÁRIO P/ HORA (R$)])*150,
IF(ISNUMBER(SEARCH("AUXILIAR DE LIMPEZA - 220 H",tabParametros[[#This Row],[Função]],1)),
SUMIF(tabLimpGeral[TIPO],"Equipamento",tabLimpGeral[VALOR UNITÁRIO P/ HORA (R$)])*220,
IF(ISNUMBER(SEARCH("AUXILIAR DE LIMPEZA - 12 x 36",tabParametros[[#This Row],[Função]],1)),
SUMIF(tabLimpGeral[TIPO],"Equipamento",tabLimpGeral[VALOR UNITÁRIO P/ HORA (R$)])*220,
IF(ISNUMBER(SEARCH("Limpador de vidros - 220 h",tabParametros[[#This Row],[Função]],1)),
SUMIF(tabVidros[TIPO],"Equipamento",tabVidros[VALOR UNITÁRIO P/ POSTO (R$)]),
0))))))</f>
        <v>32.264696957412788</v>
      </c>
      <c r="BA189" s="281">
        <f>IF(ISNUMBER(SEARCH("AUXILIAR DE LIMPEZA - 75 H",tabParametros[[#This Row],[Função]],1)),
SUMIF(tabLimpGeral[TIPO],"Produto",tabLimpGeral[VALOR UNITÁRIO P/ HORA (R$)])*75,
IF(ISNUMBER(SEARCH("AUXILIAR DE LIMPEZA - 110 H",tabParametros[[#This Row],[Função]],1)),
SUMIF(tabLimpGeral[TIPO],"Produto",tabLimpGeral[VALOR UNITÁRIO P/ HORA (R$)])*110,
IF(ISNUMBER(SEARCH("AUXILIAR DE LIMPEZA - 150 H",tabParametros[[#This Row],[Função]],1)),
SUMIF(tabLimpGeral[TIPO],"Produto",tabLimpGeral[VALOR UNITÁRIO P/ HORA (R$)])*150,
IF(ISNUMBER(SEARCH("AUXILIAR DE LIMPEZA - 220 H",tabParametros[[#This Row],[Função]],1)),
SUMIF(tabLimpGeral[TIPO],"Produto",tabLimpGeral[VALOR UNITÁRIO P/ HORA (R$)])*220,
IF(ISNUMBER(SEARCH("AUXILIAR DE LIMPEZA - 12 x 36",tabParametros[[#This Row],[Função]],1)),
SUMIF(tabLimpGeral[TIPO],"Produto",tabLimpGeral[VALOR UNITÁRIO P/ HORA (R$)])*220,
IF(ISNUMBER(SEARCH("Limpador de vidros - 220 h",tabParametros[[#This Row],[Função]],1)),
SUMIF(tabVidros[TIPO],"Produto",tabVidros[VALOR UNITÁRIO P/ POSTO (R$)]),
0))))))</f>
        <v>345.13576638965827</v>
      </c>
      <c r="BB189" s="281">
        <v>0</v>
      </c>
      <c r="BC189" s="236">
        <f>VLOOKUP(tabParametros[[#Headers],[Custos Indiretos]],tabOutrosCustos[],3,0)</f>
        <v>189.64880140242613</v>
      </c>
      <c r="BD189" s="236">
        <f>VLOOKUP(tabParametros[[#Headers],[Lucro]],tabOutrosCustos[],3,0)</f>
        <v>159.30499317803796</v>
      </c>
      <c r="BE189" s="235">
        <f>VLOOKUP(tabParametros[[#Headers],[COFINS]],tabImpostosNacionais[],2,0)</f>
        <v>7.5999999999999998E-2</v>
      </c>
      <c r="BF189" s="235">
        <f>VLOOKUP(tabParametros[[#Headers],[PIS]],tabImpostosNacionais[],2,0)</f>
        <v>1.6500000000000001E-2</v>
      </c>
      <c r="BG189" s="235">
        <f>VLOOKUP(tabParametros[[#This Row],[Comarca]],tabComarca[],4,0)</f>
        <v>0.02</v>
      </c>
      <c r="BH189" s="238">
        <f>IFERROR(VLOOKUP(tabParametros[[#This Row],[CCT DA CATEGORIA]],tabSindicatos[],11,0),"")</f>
        <v>45658</v>
      </c>
      <c r="BI189" s="289" t="str">
        <f>IFERROR(VLOOKUP(tabParametros[[#This Row],[CCT DA CATEGORIA]],tabSindicatos[],12,0),"")</f>
        <v>-</v>
      </c>
      <c r="BJ189" s="293" t="str">
        <f>IFERROR(VLOOKUP(tabParametros[[#This Row],[CCT DA CATEGORIA]],tabSindicatos[],13,0),"")</f>
        <v>-</v>
      </c>
    </row>
    <row r="190" spans="1:62" x14ac:dyDescent="0.25">
      <c r="A190" s="233" t="s">
        <v>1526</v>
      </c>
      <c r="B190" s="198" t="s">
        <v>172</v>
      </c>
      <c r="C190" s="198" t="s">
        <v>1246</v>
      </c>
      <c r="D190" s="198" t="str">
        <f>VLOOKUP(tabParametros[[#This Row],[Código do Posto]],tabPostos[],4,0)</f>
        <v>Sethac Norte de Minas</v>
      </c>
      <c r="E190" s="289" t="str">
        <f>VLOOKUP(tabParametros[[#This Row],[Código do Posto]],tabPostos[],5,0)</f>
        <v>Limpeza</v>
      </c>
      <c r="F190" s="289" t="str">
        <f>VLOOKUP(tabParametros[[#This Row],[Código do Posto]],tabPostos[],6,0)</f>
        <v>PGJ</v>
      </c>
      <c r="G190" s="289">
        <f>VLOOKUP(tabParametros[[#This Row],[Código do Posto]],tabPostos[],7,0)</f>
        <v>1</v>
      </c>
      <c r="H190" s="289">
        <f>VLOOKUP(tabParametros[[#This Row],[Código do Posto]],tabPostos[],8,0)</f>
        <v>0</v>
      </c>
      <c r="I190" s="234">
        <f>VLOOKUP(tabParametros[[#This Row],[Código do Posto]],tabPostos[],9,0)</f>
        <v>1088.3699999999999</v>
      </c>
      <c r="J190" s="234">
        <f>IF(ISNUMBER(SEARCH("Eletricista",tabParametros[[#This Row],[Função]],1)),0.3*tabParametros[[#This Row],[Salário Base]],0)</f>
        <v>0</v>
      </c>
      <c r="K190" s="234">
        <f>IF(OR(ISNUMBER(SEARCH("Bombeiro Hidraulico",tabParametros[[#This Row],[Função]],1)),ISNUMBER(SEARCH("Jardineiro",tabParametros[[#This Row],[Função]],1)),ISNUMBER(SEARCH("Lavador de Veiculos",tabParametros[[#This Row],[Função]],1)),ISNUMBER(SEARCH("Marceneiro",tabParametros[[#This Row],[Função]],1)),ISNUMBER(SEARCH("Pintor",tabParametros[[#This Row],[Função]],1))),0.2*'BASE GERAL'!$R$4,0)</f>
        <v>0</v>
      </c>
      <c r="L190" s="234">
        <f>IF(AND(ISNUMBER(SEARCH("Noturno",tabParametros[[#This Row],[Função]],1)),tabParametros[[#This Row],[Comarca]]&lt;&gt;"Juiz de Fora"),tabParametros[[#This Row],[Salário Base]]/210*0.39*7*15.5,IF(ISNUMBER(SEARCH("Noturno",tabParametros[[#This Row],[Função]],1)),tabParametros[[#This Row],[Salário Base]]/210*0.2*8*15.5,0))</f>
        <v>0</v>
      </c>
      <c r="M190" s="234">
        <f>IF(ISNUMBER(SEARCH("Motorista II",tabParametros[[#This Row],[Função]],1)),0.25*tabParametros[[#This Row],[Salário Base]],0)</f>
        <v>0</v>
      </c>
      <c r="N190" s="250">
        <v>0</v>
      </c>
      <c r="O190" s="234">
        <f>IF(ISNUMBER(SEARCH("TECNOLOGIA DA INFORMACAO",tabParametros[[#This Row],[Função]],1)),0.0201*tabParametros[[#This Row],[Salário Base]],0)</f>
        <v>0</v>
      </c>
      <c r="P190" s="250" cm="1">
        <f t="array" ref="P190">_xlfn.IFS(
ISNUMBER(SEARCH("Auxiliar de Limpeza - 75 h",tabParametros[[#This Row],[Função]],1)),tabParametros[[#This Row],[Salário Base]]/75*0.75*30*0.12,
ISNUMBER(SEARCH("Auxiliar de Limpeza - 110 h",tabParametros[[#This Row],[Função]],1)),tabParametros[[#This Row],[Salário Base]]/110*1*30*0.12,
ISNUMBER(SEARCH("Auxiliar de Limpeza - 150 h",tabParametros[[#This Row],[Função]],1)),tabParametros[[#This Row],[Salário Base]]/150*1.5*30*0.12,
ISNUMBER(SEARCH("Auxiliar de Limpeza - 220 h",tabParametros[[#This Row],[Função]],1)),tabParametros[[#This Row],[Salário Base]]/220*2*30*0.12,
ISNUMBER(SEARCH("Auxiliar de Limpeza - 12 x 36",tabParametros[[#This Row],[Função]],1)),tabParametros[[#This Row],[Salário Base]]/220*2*30*0.12,
ISNUMBER(SEARCH("Auxiliar de Limpeza - 55 h",tabParametros[[#This Row],[Função]],1))=FALSE,0)</f>
        <v>39.181319999999985</v>
      </c>
      <c r="Q190" s="235">
        <f>VLOOKUP(tabParametros[[#Headers],[INSS]],tabImpostosNacionais[],2,0)</f>
        <v>0.2</v>
      </c>
      <c r="R190" s="235">
        <f>VLOOKUP(tabParametros[[#Headers],[SESI OU SESC]],tabImpostosNacionais[],2,0)</f>
        <v>1.4999999999999999E-2</v>
      </c>
      <c r="S190" s="235">
        <f>VLOOKUP(tabParametros[[#Headers],[SENAI OU SENAC]],tabImpostosNacionais[],2,0)</f>
        <v>0.01</v>
      </c>
      <c r="T190" s="235">
        <f>VLOOKUP(tabParametros[[#Headers],[INCRA]],tabImpostosNacionais[],2,0)</f>
        <v>2E-3</v>
      </c>
      <c r="U190" s="235">
        <f>VLOOKUP(tabParametros[[#Headers],[Salário Educação]],tabImpostosNacionais[],2,0)</f>
        <v>2.5000000000000001E-2</v>
      </c>
      <c r="V190" s="235">
        <f>VLOOKUP(tabParametros[[#Headers],[FGTS]],tabImpostosNacionais[],2,0)</f>
        <v>0.08</v>
      </c>
      <c r="W190" s="235">
        <f>VLOOKUP(tabParametros[[#Headers],[RAT Ajustado]],tabImpostosNacionais[],2,0)</f>
        <v>0.04</v>
      </c>
      <c r="X190" s="235">
        <f>VLOOKUP(tabParametros[[#Headers],[SEBRAE]],tabImpostosNacionais[],2,0)</f>
        <v>6.0000000000000001E-3</v>
      </c>
      <c r="Y190" s="235">
        <f t="shared" si="22"/>
        <v>8.3333333333333329E-2</v>
      </c>
      <c r="Z190" s="251">
        <f t="shared" si="23"/>
        <v>0.1111111111111111</v>
      </c>
      <c r="AA190" s="234">
        <f>VLOOKUP(tabParametros[[#This Row],[Comarca]],tabComarca[],5,0)</f>
        <v>6.4</v>
      </c>
      <c r="AB190" s="234">
        <f>IFERROR(VLOOKUP(tabParametros[[#This Row],[CCT DA CATEGORIA]],tabSindicatos[],6,0),0)</f>
        <v>29.15</v>
      </c>
      <c r="AC190" s="234">
        <f>IFERROR(VLOOKUP(tabParametros[[#This Row],[CCT DA CATEGORIA]],tabSindicatos[],7,0),0)</f>
        <v>0</v>
      </c>
      <c r="AD190" s="234" cm="1">
        <f t="array" ref="AD190">_xlfn.LET(
_xlpm.COMARCA, TRIM(UPPER(SUBSTITUTE(SUBSTITUTE(SUBSTITUTE(SUBSTITUTE(SUBSTITUTE(SUBSTITUTE(SUBSTITUTE(SUBSTITUTE(SUBSTITUTE(SUBSTITUTE(SUBSTITUTE(SUBSTITUTE(SUBSTITUTE(SUBSTITUTE(SUBSTITUTE(SUBSTITUTE(SUBSTITUTE(SUBSTITUTE(SUBSTITUTE(SUBSTITUTE(SUBSTITUTE(SUBSTITUTE(SUBSTITUTE(SUBSTITUTE(SUBSTITUTE(SUBSTITUTE(tabParametros[[#This Row],[Comarca]],"á","a"),"ã","a"),"â","a"),"é","e"),"ê","e"),"í","i"),"ó","o"),"õ","o"),"ô","o"),"ú","u"),"ç","c"),"Á","a"),"Ã","a"),"Â","a"),"É","e"),"Ê","e"),"Í","i"),"Ó","o"),"Õ","o"),"Ô","o"),"Ú","u"),"Ç","c"),"/MG","")," e ",", ")," ",""),".",""))),
_xlpm.MATRIZ_COMARCA, TRIM(UPPER(SUBSTITUTE(SUBSTITUTE(SUBSTITUTE(SUBSTITUTE(SUBSTITUTE(SUBSTITUTE(SUBSTITUTE(SUBSTITUTE(SUBSTITUTE(SUBSTITUTE(SUBSTITUTE(SUBSTITUTE(SUBSTITUTE(SUBSTITUTE(SUBSTITUTE(SUBSTITUTE(SUBSTITUTE(SUBSTITUTE(SUBSTITUTE(SUBSTITUTE(SUBSTITUTE(SUBSTITUTE(SUBSTITUTE(SUBSTITUTE(SUBSTITUTE(SUBSTITUTE(tabSindicatos[COMARCAS PAF],"á","a"),"ã","a"),"â","a"),"é","e"),"ê","e"),"í","i"),"ó","o"),"õ","o"),"ô","o"),"ú","u"),"ç","c"),"Á","a"),"Ã","a"),"Â","a"),"É","e"),"Ê","e"),"Í","i"),"Ó","o"),"Õ","o"),"Ô","o"),"Ú","u"),"Ç","c"),"/MG","")," e ",", ")," ",""),".",""))),
IFERROR(IF(_xlfn.XLOOKUP(tabParametros[[#This Row],[CCT DA CATEGORIA]],tabSindicatos[SINDICATOS],tabSindicatos[COMARCAS PAF])="",
VLOOKUP(tabParametros[[#This Row],[CCT DA CATEGORIA]],tabSindicatos[],8,0),
IF(ISNUMBER(SEARCH(TRIM(_xlpm.COMARCA),_xlfn.XLOOKUP(tabParametros[[#This Row],[CCT DA CATEGORIA]],tabSindicatos[SINDICATOS],_xlpm.MATRIZ_COMARCA),1)),VLOOKUP(tabParametros[[#This Row],[CCT DA CATEGORIA]],tabSindicatos[],8,0),0)
),0)
)</f>
        <v>51.86</v>
      </c>
      <c r="AE190" s="234">
        <f>IFERROR(VLOOKUP(tabParametros[[#This Row],[CCT DA CATEGORIA]],tabSindicatos[],9,0),0)</f>
        <v>0</v>
      </c>
      <c r="AF190" s="234">
        <f>IFERROR(VLOOKUP(tabParametros[[#This Row],[CCT DA CATEGORIA]],tabSindicatos[],10,0),0)</f>
        <v>0</v>
      </c>
      <c r="AG190" s="236">
        <f>VLOOKUP(tabParametros[[#Headers],[Seguro de Vida]],tabOutrosCustos[],3,0)</f>
        <v>3.36</v>
      </c>
      <c r="AH190" s="236">
        <f>IF(ISNUMBER(SEARCH("MOTORISTA",tabParametros[[#This Row],[Função]],1)),VLOOKUP("MOTORISTAS",tabDiarias[],2,0),IF(tabParametros[[#This Row],[Comarca]]="Belo Horizonte",VLOOKUP("LIMPEZA",tabDiarias[],2,0),0))</f>
        <v>0</v>
      </c>
      <c r="AI190" s="235">
        <f t="shared" si="24"/>
        <v>7.011766975308642E-3</v>
      </c>
      <c r="AJ190" s="237">
        <f>tabParametros[[#This Row],[FGTS]]*tabParametros[[#This Row],[Aviso Prévio Indenizado (API) e Reflexo do Aviso Prévio Indenizado]]</f>
        <v>5.609413580246914E-4</v>
      </c>
      <c r="AK190" s="237">
        <f>tabParametros[[#This Row],[FGTS]]*tabParametros[[#This Row],[Aviso Prévio Indenizado (API) e Reflexo do Aviso Prévio Indenizado]]*40%</f>
        <v>2.2437654320987658E-4</v>
      </c>
      <c r="AL190" s="235">
        <f t="shared" si="25"/>
        <v>3.5000000000000005E-3</v>
      </c>
      <c r="AM190" s="235">
        <f>tabParametros[[#This Row],[Aviso Prévio Trabalhado - APT]]*SUM(tabParametros[[#This Row],[INSS]:[SEBRAE]])</f>
        <v>1.3230000000000004E-3</v>
      </c>
      <c r="AN190" s="235">
        <f t="shared" si="26"/>
        <v>3.0577777777777773E-2</v>
      </c>
      <c r="AO190" s="235">
        <f t="shared" si="27"/>
        <v>8.3333333333333339E-4</v>
      </c>
      <c r="AP190" s="235">
        <f t="shared" si="28"/>
        <v>8.4444444444444437E-3</v>
      </c>
      <c r="AQ190" s="235">
        <f t="shared" si="29"/>
        <v>2.0277777777777777E-3</v>
      </c>
      <c r="AR190" s="235">
        <f t="shared" si="30"/>
        <v>1.7083333333333333E-4</v>
      </c>
      <c r="AS190" s="235">
        <f t="shared" si="31"/>
        <v>2.0833333333333335E-4</v>
      </c>
      <c r="AT190" s="235">
        <f t="shared" si="32"/>
        <v>1.2962962962962963E-3</v>
      </c>
      <c r="AU190" s="237">
        <f>SUM(tabParametros[[#This Row],[Ausência por Doença]:[Férias, Adicional de Férias e 13º  com empregada em gozo de Licença Maternidade]])*SUM(tabParametros[[#This Row],[INSS]:[SEBRAE]])</f>
        <v>4.5918250000000008E-3</v>
      </c>
      <c r="AV190" s="234">
        <f>IF(tabParametros[[#This Row],[Função]]="Porteiro - 220 h",SUM(tabParametros[[#This Row],[Salário Base]:[Adicional de Acúmulo de função]])/220*20*1.5,IF(ISNUMBER(SEARCH("12 x 36",tabParametros[[#This Row],[Função]],1)),SUM(tabParametros[[#This Row],[Salário Base]:[Adicional de Acúmulo de função]])/210*15.5*1.5,0))</f>
        <v>0</v>
      </c>
      <c r="AW190" s="234">
        <f>IF(tabParametros[[#This Row],[Vagas contratadas]]&gt;0,(SUM(tabParametros[[#This Row],[Salário Base]:[Adicional de Acúmulo de função]])*30%+SUM(tabParametros[[#This Row],[Vale - Alimentação]:[Seguro de Vida]]))/tabParametros[[#This Row],[Vagas contratadas]]*tabParametros[[#This Row],[Vagas suspensas]],0)</f>
        <v>0</v>
      </c>
      <c r="AX190" s="234">
        <f>SUMIF(tabUniformes[Cargo],tabParametros[[#This Row],[Função]],tabUniformes[Valor unit. Mensal])</f>
        <v>100.80916666666666</v>
      </c>
      <c r="AY190" s="281">
        <f>IF(ISNUMBER(SEARCH("AUXILIAR DE LIMPEZA - 75 H",tabParametros[[#This Row],[Função]],1)),
SUMIF(tabLimpGeral[TIPO],"Material",tabLimpGeral[VALOR UNITÁRIO P/ HORA (R$)])*75,
IF(ISNUMBER(SEARCH("AUXILIAR DE LIMPEZA - 110 H",tabParametros[[#This Row],[Função]],1)),
SUMIF(tabLimpGeral[TIPO],"Material",tabLimpGeral[VALOR UNITÁRIO P/ HORA (R$)])*110,
IF(ISNUMBER(SEARCH("AUXILIAR DE LIMPEZA - 150 H",tabParametros[[#This Row],[Função]],1)),
SUMIF(tabLimpGeral[TIPO],"Material",tabLimpGeral[VALOR UNITÁRIO P/ HORA (R$)])*150,
IF(ISNUMBER(SEARCH("AUXILIAR DE LIMPEZA - 220 H",tabParametros[[#This Row],[Função]],1)),
SUMIF(tabLimpGeral[TIPO],"Material",tabLimpGeral[VALOR UNITÁRIO P/ HORA (R$)])*220,
IF(ISNUMBER(SEARCH("AUXILIAR DE LIMPEZA - 12 x 36",tabParametros[[#This Row],[Função]],1)),
SUMIF(tabLimpGeral[TIPO],"Material",tabLimpGeral[VALOR UNITÁRIO P/ HORA (R$)])*220,
IF(ISNUMBER(SEARCH("Limpador de vidros - 220 h",tabParametros[[#This Row],[Função]],1)),
SUMIF(tabVidros[TIPO],"Material",tabVidros[VALOR UNITÁRIO P/ POSTO (R$)]),
0))))))</f>
        <v>24.216963380852651</v>
      </c>
      <c r="AZ190" s="281">
        <f>IF(ISNUMBER(SEARCH("AUXILIAR DE LIMPEZA - 75 H",tabParametros[[#This Row],[Função]],1)),
SUMIF(tabLimpGeral[TIPO],"Equipamento",tabLimpGeral[VALOR UNITÁRIO P/ HORA (R$)])*75,
IF(ISNUMBER(SEARCH("AUXILIAR DE LIMPEZA - 110 H",tabParametros[[#This Row],[Função]],1)),
SUMIF(tabLimpGeral[TIPO],"Equipamento",tabLimpGeral[VALOR UNITÁRIO P/ HORA (R$)])*110,
IF(ISNUMBER(SEARCH("AUXILIAR DE LIMPEZA - 150 H",tabParametros[[#This Row],[Função]],1)),
SUMIF(tabLimpGeral[TIPO],"Equipamento",tabLimpGeral[VALOR UNITÁRIO P/ HORA (R$)])*150,
IF(ISNUMBER(SEARCH("AUXILIAR DE LIMPEZA - 220 H",tabParametros[[#This Row],[Função]],1)),
SUMIF(tabLimpGeral[TIPO],"Equipamento",tabLimpGeral[VALOR UNITÁRIO P/ HORA (R$)])*220,
IF(ISNUMBER(SEARCH("AUXILIAR DE LIMPEZA - 12 x 36",tabParametros[[#This Row],[Função]],1)),
SUMIF(tabLimpGeral[TIPO],"Equipamento",tabLimpGeral[VALOR UNITÁRIO P/ HORA (R$)])*220,
IF(ISNUMBER(SEARCH("Limpador de vidros - 220 h",tabParametros[[#This Row],[Função]],1)),
SUMIF(tabVidros[TIPO],"Equipamento",tabVidros[VALOR UNITÁRIO P/ POSTO (R$)]),
0))))))</f>
        <v>43.997314032835618</v>
      </c>
      <c r="BA190" s="281">
        <f>IF(ISNUMBER(SEARCH("AUXILIAR DE LIMPEZA - 75 H",tabParametros[[#This Row],[Função]],1)),
SUMIF(tabLimpGeral[TIPO],"Produto",tabLimpGeral[VALOR UNITÁRIO P/ HORA (R$)])*75,
IF(ISNUMBER(SEARCH("AUXILIAR DE LIMPEZA - 110 H",tabParametros[[#This Row],[Função]],1)),
SUMIF(tabLimpGeral[TIPO],"Produto",tabLimpGeral[VALOR UNITÁRIO P/ HORA (R$)])*110,
IF(ISNUMBER(SEARCH("AUXILIAR DE LIMPEZA - 150 H",tabParametros[[#This Row],[Função]],1)),
SUMIF(tabLimpGeral[TIPO],"Produto",tabLimpGeral[VALOR UNITÁRIO P/ HORA (R$)])*150,
IF(ISNUMBER(SEARCH("AUXILIAR DE LIMPEZA - 220 H",tabParametros[[#This Row],[Função]],1)),
SUMIF(tabLimpGeral[TIPO],"Produto",tabLimpGeral[VALOR UNITÁRIO P/ HORA (R$)])*220,
IF(ISNUMBER(SEARCH("AUXILIAR DE LIMPEZA - 12 x 36",tabParametros[[#This Row],[Função]],1)),
SUMIF(tabLimpGeral[TIPO],"Produto",tabLimpGeral[VALOR UNITÁRIO P/ HORA (R$)])*220,
IF(ISNUMBER(SEARCH("Limpador de vidros - 220 h",tabParametros[[#This Row],[Função]],1)),
SUMIF(tabVidros[TIPO],"Produto",tabVidros[VALOR UNITÁRIO P/ POSTO (R$)]),
0))))))</f>
        <v>470.6396814404431</v>
      </c>
      <c r="BB190" s="281">
        <v>0</v>
      </c>
      <c r="BC190" s="236">
        <f>VLOOKUP(tabParametros[[#Headers],[Custos Indiretos]],tabOutrosCustos[],3,0)</f>
        <v>189.64880140242613</v>
      </c>
      <c r="BD190" s="236">
        <f>VLOOKUP(tabParametros[[#Headers],[Lucro]],tabOutrosCustos[],3,0)</f>
        <v>159.30499317803796</v>
      </c>
      <c r="BE190" s="235">
        <f>VLOOKUP(tabParametros[[#Headers],[COFINS]],tabImpostosNacionais[],2,0)</f>
        <v>7.5999999999999998E-2</v>
      </c>
      <c r="BF190" s="235">
        <f>VLOOKUP(tabParametros[[#Headers],[PIS]],tabImpostosNacionais[],2,0)</f>
        <v>1.6500000000000001E-2</v>
      </c>
      <c r="BG190" s="235">
        <f>VLOOKUP(tabParametros[[#This Row],[Comarca]],tabComarca[],4,0)</f>
        <v>0.05</v>
      </c>
      <c r="BH190" s="238">
        <f>IFERROR(VLOOKUP(tabParametros[[#This Row],[CCT DA CATEGORIA]],tabSindicatos[],11,0),"")</f>
        <v>45658</v>
      </c>
      <c r="BI190" s="289" t="str">
        <f>IFERROR(VLOOKUP(tabParametros[[#This Row],[CCT DA CATEGORIA]],tabSindicatos[],12,0),"")</f>
        <v>-</v>
      </c>
      <c r="BJ190" s="293" t="str">
        <f>IFERROR(VLOOKUP(tabParametros[[#This Row],[CCT DA CATEGORIA]],tabSindicatos[],13,0),"")</f>
        <v>-</v>
      </c>
    </row>
    <row r="191" spans="1:62" x14ac:dyDescent="0.25">
      <c r="A191" s="233" t="s">
        <v>1527</v>
      </c>
      <c r="B191" s="198" t="s">
        <v>173</v>
      </c>
      <c r="C191" s="198" t="s">
        <v>1244</v>
      </c>
      <c r="D191" s="198" t="str">
        <f>VLOOKUP(tabParametros[[#This Row],[Código do Posto]],tabPostos[],4,0)</f>
        <v>Regiao de Divinopolis</v>
      </c>
      <c r="E191" s="289" t="str">
        <f>VLOOKUP(tabParametros[[#This Row],[Código do Posto]],tabPostos[],5,0)</f>
        <v>Limpeza</v>
      </c>
      <c r="F191" s="289" t="str">
        <f>VLOOKUP(tabParametros[[#This Row],[Código do Posto]],tabPostos[],6,0)</f>
        <v>PGJ</v>
      </c>
      <c r="G191" s="289">
        <f>VLOOKUP(tabParametros[[#This Row],[Código do Posto]],tabPostos[],7,0)</f>
        <v>1</v>
      </c>
      <c r="H191" s="289">
        <f>VLOOKUP(tabParametros[[#This Row],[Código do Posto]],tabPostos[],8,0)</f>
        <v>0</v>
      </c>
      <c r="I191" s="234">
        <f>VLOOKUP(tabParametros[[#This Row],[Código do Posto]],tabPostos[],9,0)</f>
        <v>798.14</v>
      </c>
      <c r="J191" s="234">
        <f>IF(ISNUMBER(SEARCH("Eletricista",tabParametros[[#This Row],[Função]],1)),0.3*tabParametros[[#This Row],[Salário Base]],0)</f>
        <v>0</v>
      </c>
      <c r="K191" s="234">
        <f>IF(OR(ISNUMBER(SEARCH("Bombeiro Hidraulico",tabParametros[[#This Row],[Função]],1)),ISNUMBER(SEARCH("Jardineiro",tabParametros[[#This Row],[Função]],1)),ISNUMBER(SEARCH("Lavador de Veiculos",tabParametros[[#This Row],[Função]],1)),ISNUMBER(SEARCH("Marceneiro",tabParametros[[#This Row],[Função]],1)),ISNUMBER(SEARCH("Pintor",tabParametros[[#This Row],[Função]],1))),0.2*'BASE GERAL'!$R$4,0)</f>
        <v>0</v>
      </c>
      <c r="L191" s="234">
        <f>IF(AND(ISNUMBER(SEARCH("Noturno",tabParametros[[#This Row],[Função]],1)),tabParametros[[#This Row],[Comarca]]&lt;&gt;"Juiz de Fora"),tabParametros[[#This Row],[Salário Base]]/210*0.39*7*15.5,IF(ISNUMBER(SEARCH("Noturno",tabParametros[[#This Row],[Função]],1)),tabParametros[[#This Row],[Salário Base]]/210*0.2*8*15.5,0))</f>
        <v>0</v>
      </c>
      <c r="M191" s="234">
        <f>IF(ISNUMBER(SEARCH("Motorista II",tabParametros[[#This Row],[Função]],1)),0.25*tabParametros[[#This Row],[Salário Base]],0)</f>
        <v>0</v>
      </c>
      <c r="N191" s="250">
        <v>0</v>
      </c>
      <c r="O191" s="234">
        <f>IF(ISNUMBER(SEARCH("TECNOLOGIA DA INFORMACAO",tabParametros[[#This Row],[Função]],1)),0.0201*tabParametros[[#This Row],[Salário Base]],0)</f>
        <v>0</v>
      </c>
      <c r="P191" s="250" cm="1">
        <f t="array" ref="P191">_xlfn.IFS(
ISNUMBER(SEARCH("Auxiliar de Limpeza - 75 h",tabParametros[[#This Row],[Função]],1)),tabParametros[[#This Row],[Salário Base]]/75*0.75*30*0.12,
ISNUMBER(SEARCH("Auxiliar de Limpeza - 110 h",tabParametros[[#This Row],[Função]],1)),tabParametros[[#This Row],[Salário Base]]/110*1*30*0.12,
ISNUMBER(SEARCH("Auxiliar de Limpeza - 150 h",tabParametros[[#This Row],[Função]],1)),tabParametros[[#This Row],[Salário Base]]/150*1.5*30*0.12,
ISNUMBER(SEARCH("Auxiliar de Limpeza - 220 h",tabParametros[[#This Row],[Função]],1)),tabParametros[[#This Row],[Salário Base]]/220*2*30*0.12,
ISNUMBER(SEARCH("Auxiliar de Limpeza - 12 x 36",tabParametros[[#This Row],[Função]],1)),tabParametros[[#This Row],[Salário Base]]/220*2*30*0.12,
ISNUMBER(SEARCH("Auxiliar de Limpeza - 55 h",tabParametros[[#This Row],[Função]],1))=FALSE,0)</f>
        <v>26.120945454545453</v>
      </c>
      <c r="Q191" s="235">
        <f>VLOOKUP(tabParametros[[#Headers],[INSS]],tabImpostosNacionais[],2,0)</f>
        <v>0.2</v>
      </c>
      <c r="R191" s="235">
        <f>VLOOKUP(tabParametros[[#Headers],[SESI OU SESC]],tabImpostosNacionais[],2,0)</f>
        <v>1.4999999999999999E-2</v>
      </c>
      <c r="S191" s="235">
        <f>VLOOKUP(tabParametros[[#Headers],[SENAI OU SENAC]],tabImpostosNacionais[],2,0)</f>
        <v>0.01</v>
      </c>
      <c r="T191" s="235">
        <f>VLOOKUP(tabParametros[[#Headers],[INCRA]],tabImpostosNacionais[],2,0)</f>
        <v>2E-3</v>
      </c>
      <c r="U191" s="235">
        <f>VLOOKUP(tabParametros[[#Headers],[Salário Educação]],tabImpostosNacionais[],2,0)</f>
        <v>2.5000000000000001E-2</v>
      </c>
      <c r="V191" s="235">
        <f>VLOOKUP(tabParametros[[#Headers],[FGTS]],tabImpostosNacionais[],2,0)</f>
        <v>0.08</v>
      </c>
      <c r="W191" s="235">
        <f>VLOOKUP(tabParametros[[#Headers],[RAT Ajustado]],tabImpostosNacionais[],2,0)</f>
        <v>0.04</v>
      </c>
      <c r="X191" s="235">
        <f>VLOOKUP(tabParametros[[#Headers],[SEBRAE]],tabImpostosNacionais[],2,0)</f>
        <v>6.0000000000000001E-3</v>
      </c>
      <c r="Y191" s="235">
        <f t="shared" si="22"/>
        <v>8.3333333333333329E-2</v>
      </c>
      <c r="Z191" s="251">
        <f t="shared" si="23"/>
        <v>0.1111111111111111</v>
      </c>
      <c r="AA191" s="234">
        <f>VLOOKUP(tabParametros[[#This Row],[Comarca]],tabComarca[],5,0)</f>
        <v>6.4</v>
      </c>
      <c r="AB191" s="234">
        <f>IFERROR(VLOOKUP(tabParametros[[#This Row],[CCT DA CATEGORIA]],tabSindicatos[],6,0),0)</f>
        <v>29.15</v>
      </c>
      <c r="AC191" s="234">
        <f>IFERROR(VLOOKUP(tabParametros[[#This Row],[CCT DA CATEGORIA]],tabSindicatos[],7,0),0)</f>
        <v>0</v>
      </c>
      <c r="AD191" s="234" cm="1">
        <f t="array" ref="AD191">_xlfn.LET(
_xlpm.COMARCA, TRIM(UPPER(SUBSTITUTE(SUBSTITUTE(SUBSTITUTE(SUBSTITUTE(SUBSTITUTE(SUBSTITUTE(SUBSTITUTE(SUBSTITUTE(SUBSTITUTE(SUBSTITUTE(SUBSTITUTE(SUBSTITUTE(SUBSTITUTE(SUBSTITUTE(SUBSTITUTE(SUBSTITUTE(SUBSTITUTE(SUBSTITUTE(SUBSTITUTE(SUBSTITUTE(SUBSTITUTE(SUBSTITUTE(SUBSTITUTE(SUBSTITUTE(SUBSTITUTE(SUBSTITUTE(tabParametros[[#This Row],[Comarca]],"á","a"),"ã","a"),"â","a"),"é","e"),"ê","e"),"í","i"),"ó","o"),"õ","o"),"ô","o"),"ú","u"),"ç","c"),"Á","a"),"Ã","a"),"Â","a"),"É","e"),"Ê","e"),"Í","i"),"Ó","o"),"Õ","o"),"Ô","o"),"Ú","u"),"Ç","c"),"/MG","")," e ",", ")," ",""),".",""))),
_xlpm.MATRIZ_COMARCA, TRIM(UPPER(SUBSTITUTE(SUBSTITUTE(SUBSTITUTE(SUBSTITUTE(SUBSTITUTE(SUBSTITUTE(SUBSTITUTE(SUBSTITUTE(SUBSTITUTE(SUBSTITUTE(SUBSTITUTE(SUBSTITUTE(SUBSTITUTE(SUBSTITUTE(SUBSTITUTE(SUBSTITUTE(SUBSTITUTE(SUBSTITUTE(SUBSTITUTE(SUBSTITUTE(SUBSTITUTE(SUBSTITUTE(SUBSTITUTE(SUBSTITUTE(SUBSTITUTE(SUBSTITUTE(tabSindicatos[COMARCAS PAF],"á","a"),"ã","a"),"â","a"),"é","e"),"ê","e"),"í","i"),"ó","o"),"õ","o"),"ô","o"),"ú","u"),"ç","c"),"Á","a"),"Ã","a"),"Â","a"),"É","e"),"Ê","e"),"Í","i"),"Ó","o"),"Õ","o"),"Ô","o"),"Ú","u"),"Ç","c"),"/MG","")," e ",", ")," ",""),".",""))),
IFERROR(IF(_xlfn.XLOOKUP(tabParametros[[#This Row],[CCT DA CATEGORIA]],tabSindicatos[SINDICATOS],tabSindicatos[COMARCAS PAF])="",
VLOOKUP(tabParametros[[#This Row],[CCT DA CATEGORIA]],tabSindicatos[],8,0),
IF(ISNUMBER(SEARCH(TRIM(_xlpm.COMARCA),_xlfn.XLOOKUP(tabParametros[[#This Row],[CCT DA CATEGORIA]],tabSindicatos[SINDICATOS],_xlpm.MATRIZ_COMARCA),1)),VLOOKUP(tabParametros[[#This Row],[CCT DA CATEGORIA]],tabSindicatos[],8,0),0)
),0)
)</f>
        <v>0</v>
      </c>
      <c r="AE191" s="234">
        <f>IFERROR(VLOOKUP(tabParametros[[#This Row],[CCT DA CATEGORIA]],tabSindicatos[],9,0),0)</f>
        <v>0</v>
      </c>
      <c r="AF191" s="234">
        <f>IFERROR(VLOOKUP(tabParametros[[#This Row],[CCT DA CATEGORIA]],tabSindicatos[],10,0),0)</f>
        <v>0</v>
      </c>
      <c r="AG191" s="236">
        <f>VLOOKUP(tabParametros[[#Headers],[Seguro de Vida]],tabOutrosCustos[],3,0)</f>
        <v>3.36</v>
      </c>
      <c r="AH191" s="236">
        <f>IF(ISNUMBER(SEARCH("MOTORISTA",tabParametros[[#This Row],[Função]],1)),VLOOKUP("MOTORISTAS",tabDiarias[],2,0),IF(tabParametros[[#This Row],[Comarca]]="Belo Horizonte",VLOOKUP("LIMPEZA",tabDiarias[],2,0),0))</f>
        <v>0</v>
      </c>
      <c r="AI191" s="235">
        <f t="shared" si="24"/>
        <v>7.011766975308642E-3</v>
      </c>
      <c r="AJ191" s="237">
        <f>tabParametros[[#This Row],[FGTS]]*tabParametros[[#This Row],[Aviso Prévio Indenizado (API) e Reflexo do Aviso Prévio Indenizado]]</f>
        <v>5.609413580246914E-4</v>
      </c>
      <c r="AK191" s="237">
        <f>tabParametros[[#This Row],[FGTS]]*tabParametros[[#This Row],[Aviso Prévio Indenizado (API) e Reflexo do Aviso Prévio Indenizado]]*40%</f>
        <v>2.2437654320987658E-4</v>
      </c>
      <c r="AL191" s="235">
        <f t="shared" si="25"/>
        <v>3.5000000000000005E-3</v>
      </c>
      <c r="AM191" s="235">
        <f>tabParametros[[#This Row],[Aviso Prévio Trabalhado - APT]]*SUM(tabParametros[[#This Row],[INSS]:[SEBRAE]])</f>
        <v>1.3230000000000004E-3</v>
      </c>
      <c r="AN191" s="235">
        <f t="shared" si="26"/>
        <v>3.0577777777777773E-2</v>
      </c>
      <c r="AO191" s="235">
        <f t="shared" si="27"/>
        <v>8.3333333333333339E-4</v>
      </c>
      <c r="AP191" s="235">
        <f t="shared" si="28"/>
        <v>8.4444444444444437E-3</v>
      </c>
      <c r="AQ191" s="235">
        <f t="shared" si="29"/>
        <v>2.0277777777777777E-3</v>
      </c>
      <c r="AR191" s="235">
        <f t="shared" si="30"/>
        <v>1.7083333333333333E-4</v>
      </c>
      <c r="AS191" s="235">
        <f t="shared" si="31"/>
        <v>2.0833333333333335E-4</v>
      </c>
      <c r="AT191" s="235">
        <f t="shared" si="32"/>
        <v>1.2962962962962963E-3</v>
      </c>
      <c r="AU191" s="237">
        <f>SUM(tabParametros[[#This Row],[Ausência por Doença]:[Férias, Adicional de Férias e 13º  com empregada em gozo de Licença Maternidade]])*SUM(tabParametros[[#This Row],[INSS]:[SEBRAE]])</f>
        <v>4.5918250000000008E-3</v>
      </c>
      <c r="AV191" s="234">
        <f>IF(tabParametros[[#This Row],[Função]]="Porteiro - 220 h",SUM(tabParametros[[#This Row],[Salário Base]:[Adicional de Acúmulo de função]])/220*20*1.5,IF(ISNUMBER(SEARCH("12 x 36",tabParametros[[#This Row],[Função]],1)),SUM(tabParametros[[#This Row],[Salário Base]:[Adicional de Acúmulo de função]])/210*15.5*1.5,0))</f>
        <v>0</v>
      </c>
      <c r="AW191" s="234">
        <f>IF(tabParametros[[#This Row],[Vagas contratadas]]&gt;0,(SUM(tabParametros[[#This Row],[Salário Base]:[Adicional de Acúmulo de função]])*30%+SUM(tabParametros[[#This Row],[Vale - Alimentação]:[Seguro de Vida]]))/tabParametros[[#This Row],[Vagas contratadas]]*tabParametros[[#This Row],[Vagas suspensas]],0)</f>
        <v>0</v>
      </c>
      <c r="AX191" s="234">
        <f>SUMIF(tabUniformes[Cargo],tabParametros[[#This Row],[Função]],tabUniformes[Valor unit. Mensal])</f>
        <v>62.806666666666665</v>
      </c>
      <c r="AY191" s="281">
        <f>IF(ISNUMBER(SEARCH("AUXILIAR DE LIMPEZA - 75 H",tabParametros[[#This Row],[Função]],1)),
SUMIF(tabLimpGeral[TIPO],"Material",tabLimpGeral[VALOR UNITÁRIO P/ HORA (R$)])*75,
IF(ISNUMBER(SEARCH("AUXILIAR DE LIMPEZA - 110 H",tabParametros[[#This Row],[Função]],1)),
SUMIF(tabLimpGeral[TIPO],"Material",tabLimpGeral[VALOR UNITÁRIO P/ HORA (R$)])*110,
IF(ISNUMBER(SEARCH("AUXILIAR DE LIMPEZA - 150 H",tabParametros[[#This Row],[Função]],1)),
SUMIF(tabLimpGeral[TIPO],"Material",tabLimpGeral[VALOR UNITÁRIO P/ HORA (R$)])*150,
IF(ISNUMBER(SEARCH("AUXILIAR DE LIMPEZA - 220 H",tabParametros[[#This Row],[Função]],1)),
SUMIF(tabLimpGeral[TIPO],"Material",tabLimpGeral[VALOR UNITÁRIO P/ HORA (R$)])*220,
IF(ISNUMBER(SEARCH("AUXILIAR DE LIMPEZA - 12 x 36",tabParametros[[#This Row],[Função]],1)),
SUMIF(tabLimpGeral[TIPO],"Material",tabLimpGeral[VALOR UNITÁRIO P/ HORA (R$)])*220,
IF(ISNUMBER(SEARCH("Limpador de vidros - 220 h",tabParametros[[#This Row],[Função]],1)),
SUMIF(tabVidros[TIPO],"Material",tabVidros[VALOR UNITÁRIO P/ POSTO (R$)]),
0))))))</f>
        <v>17.759106479291944</v>
      </c>
      <c r="AZ191" s="281">
        <f>IF(ISNUMBER(SEARCH("AUXILIAR DE LIMPEZA - 75 H",tabParametros[[#This Row],[Função]],1)),
SUMIF(tabLimpGeral[TIPO],"Equipamento",tabLimpGeral[VALOR UNITÁRIO P/ HORA (R$)])*75,
IF(ISNUMBER(SEARCH("AUXILIAR DE LIMPEZA - 110 H",tabParametros[[#This Row],[Função]],1)),
SUMIF(tabLimpGeral[TIPO],"Equipamento",tabLimpGeral[VALOR UNITÁRIO P/ HORA (R$)])*110,
IF(ISNUMBER(SEARCH("AUXILIAR DE LIMPEZA - 150 H",tabParametros[[#This Row],[Função]],1)),
SUMIF(tabLimpGeral[TIPO],"Equipamento",tabLimpGeral[VALOR UNITÁRIO P/ HORA (R$)])*150,
IF(ISNUMBER(SEARCH("AUXILIAR DE LIMPEZA - 220 H",tabParametros[[#This Row],[Função]],1)),
SUMIF(tabLimpGeral[TIPO],"Equipamento",tabLimpGeral[VALOR UNITÁRIO P/ HORA (R$)])*220,
IF(ISNUMBER(SEARCH("AUXILIAR DE LIMPEZA - 12 x 36",tabParametros[[#This Row],[Função]],1)),
SUMIF(tabLimpGeral[TIPO],"Equipamento",tabLimpGeral[VALOR UNITÁRIO P/ HORA (R$)])*220,
IF(ISNUMBER(SEARCH("Limpador de vidros - 220 h",tabParametros[[#This Row],[Função]],1)),
SUMIF(tabVidros[TIPO],"Equipamento",tabVidros[VALOR UNITÁRIO P/ POSTO (R$)]),
0))))))</f>
        <v>32.264696957412788</v>
      </c>
      <c r="BA191" s="281">
        <f>IF(ISNUMBER(SEARCH("AUXILIAR DE LIMPEZA - 75 H",tabParametros[[#This Row],[Função]],1)),
SUMIF(tabLimpGeral[TIPO],"Produto",tabLimpGeral[VALOR UNITÁRIO P/ HORA (R$)])*75,
IF(ISNUMBER(SEARCH("AUXILIAR DE LIMPEZA - 110 H",tabParametros[[#This Row],[Função]],1)),
SUMIF(tabLimpGeral[TIPO],"Produto",tabLimpGeral[VALOR UNITÁRIO P/ HORA (R$)])*110,
IF(ISNUMBER(SEARCH("AUXILIAR DE LIMPEZA - 150 H",tabParametros[[#This Row],[Função]],1)),
SUMIF(tabLimpGeral[TIPO],"Produto",tabLimpGeral[VALOR UNITÁRIO P/ HORA (R$)])*150,
IF(ISNUMBER(SEARCH("AUXILIAR DE LIMPEZA - 220 H",tabParametros[[#This Row],[Função]],1)),
SUMIF(tabLimpGeral[TIPO],"Produto",tabLimpGeral[VALOR UNITÁRIO P/ HORA (R$)])*220,
IF(ISNUMBER(SEARCH("AUXILIAR DE LIMPEZA - 12 x 36",tabParametros[[#This Row],[Função]],1)),
SUMIF(tabLimpGeral[TIPO],"Produto",tabLimpGeral[VALOR UNITÁRIO P/ HORA (R$)])*220,
IF(ISNUMBER(SEARCH("Limpador de vidros - 220 h",tabParametros[[#This Row],[Função]],1)),
SUMIF(tabVidros[TIPO],"Produto",tabVidros[VALOR UNITÁRIO P/ POSTO (R$)]),
0))))))</f>
        <v>345.13576638965827</v>
      </c>
      <c r="BB191" s="281">
        <v>0</v>
      </c>
      <c r="BC191" s="236">
        <f>VLOOKUP(tabParametros[[#Headers],[Custos Indiretos]],tabOutrosCustos[],3,0)</f>
        <v>189.64880140242613</v>
      </c>
      <c r="BD191" s="236">
        <f>VLOOKUP(tabParametros[[#Headers],[Lucro]],tabOutrosCustos[],3,0)</f>
        <v>159.30499317803796</v>
      </c>
      <c r="BE191" s="235">
        <f>VLOOKUP(tabParametros[[#Headers],[COFINS]],tabImpostosNacionais[],2,0)</f>
        <v>7.5999999999999998E-2</v>
      </c>
      <c r="BF191" s="235">
        <f>VLOOKUP(tabParametros[[#Headers],[PIS]],tabImpostosNacionais[],2,0)</f>
        <v>1.6500000000000001E-2</v>
      </c>
      <c r="BG191" s="235">
        <f>VLOOKUP(tabParametros[[#This Row],[Comarca]],tabComarca[],4,0)</f>
        <v>0.02</v>
      </c>
      <c r="BH191" s="238">
        <f>IFERROR(VLOOKUP(tabParametros[[#This Row],[CCT DA CATEGORIA]],tabSindicatos[],11,0),"")</f>
        <v>45658</v>
      </c>
      <c r="BI191" s="289" t="str">
        <f>IFERROR(VLOOKUP(tabParametros[[#This Row],[CCT DA CATEGORIA]],tabSindicatos[],12,0),"")</f>
        <v>-</v>
      </c>
      <c r="BJ191" s="293" t="str">
        <f>IFERROR(VLOOKUP(tabParametros[[#This Row],[CCT DA CATEGORIA]],tabSindicatos[],13,0),"")</f>
        <v>-</v>
      </c>
    </row>
    <row r="192" spans="1:62" x14ac:dyDescent="0.25">
      <c r="A192" s="233" t="s">
        <v>1528</v>
      </c>
      <c r="B192" s="198" t="s">
        <v>174</v>
      </c>
      <c r="C192" s="198" t="s">
        <v>1244</v>
      </c>
      <c r="D192" s="198" t="str">
        <f>VLOOKUP(tabParametros[[#This Row],[Código do Posto]],tabPostos[],4,0)</f>
        <v>Regiao de Sao Lourenco</v>
      </c>
      <c r="E192" s="289" t="str">
        <f>VLOOKUP(tabParametros[[#This Row],[Código do Posto]],tabPostos[],5,0)</f>
        <v>Limpeza</v>
      </c>
      <c r="F192" s="289" t="str">
        <f>VLOOKUP(tabParametros[[#This Row],[Código do Posto]],tabPostos[],6,0)</f>
        <v>PGJ</v>
      </c>
      <c r="G192" s="289">
        <f>VLOOKUP(tabParametros[[#This Row],[Código do Posto]],tabPostos[],7,0)</f>
        <v>1</v>
      </c>
      <c r="H192" s="289">
        <f>VLOOKUP(tabParametros[[#This Row],[Código do Posto]],tabPostos[],8,0)</f>
        <v>0</v>
      </c>
      <c r="I192" s="234">
        <f>VLOOKUP(tabParametros[[#This Row],[Código do Posto]],tabPostos[],9,0)</f>
        <v>798.14</v>
      </c>
      <c r="J192" s="234">
        <f>IF(ISNUMBER(SEARCH("Eletricista",tabParametros[[#This Row],[Função]],1)),0.3*tabParametros[[#This Row],[Salário Base]],0)</f>
        <v>0</v>
      </c>
      <c r="K192" s="234">
        <f>IF(OR(ISNUMBER(SEARCH("Bombeiro Hidraulico",tabParametros[[#This Row],[Função]],1)),ISNUMBER(SEARCH("Jardineiro",tabParametros[[#This Row],[Função]],1)),ISNUMBER(SEARCH("Lavador de Veiculos",tabParametros[[#This Row],[Função]],1)),ISNUMBER(SEARCH("Marceneiro",tabParametros[[#This Row],[Função]],1)),ISNUMBER(SEARCH("Pintor",tabParametros[[#This Row],[Função]],1))),0.2*'BASE GERAL'!$R$4,0)</f>
        <v>0</v>
      </c>
      <c r="L192" s="234">
        <f>IF(AND(ISNUMBER(SEARCH("Noturno",tabParametros[[#This Row],[Função]],1)),tabParametros[[#This Row],[Comarca]]&lt;&gt;"Juiz de Fora"),tabParametros[[#This Row],[Salário Base]]/210*0.39*7*15.5,IF(ISNUMBER(SEARCH("Noturno",tabParametros[[#This Row],[Função]],1)),tabParametros[[#This Row],[Salário Base]]/210*0.2*8*15.5,0))</f>
        <v>0</v>
      </c>
      <c r="M192" s="234">
        <f>IF(ISNUMBER(SEARCH("Motorista II",tabParametros[[#This Row],[Função]],1)),0.25*tabParametros[[#This Row],[Salário Base]],0)</f>
        <v>0</v>
      </c>
      <c r="N192" s="250">
        <v>0</v>
      </c>
      <c r="O192" s="234">
        <f>IF(ISNUMBER(SEARCH("TECNOLOGIA DA INFORMACAO",tabParametros[[#This Row],[Função]],1)),0.0201*tabParametros[[#This Row],[Salário Base]],0)</f>
        <v>0</v>
      </c>
      <c r="P192" s="250" cm="1">
        <f t="array" ref="P192">_xlfn.IFS(
ISNUMBER(SEARCH("Auxiliar de Limpeza - 75 h",tabParametros[[#This Row],[Função]],1)),tabParametros[[#This Row],[Salário Base]]/75*0.75*30*0.12,
ISNUMBER(SEARCH("Auxiliar de Limpeza - 110 h",tabParametros[[#This Row],[Função]],1)),tabParametros[[#This Row],[Salário Base]]/110*1*30*0.12,
ISNUMBER(SEARCH("Auxiliar de Limpeza - 150 h",tabParametros[[#This Row],[Função]],1)),tabParametros[[#This Row],[Salário Base]]/150*1.5*30*0.12,
ISNUMBER(SEARCH("Auxiliar de Limpeza - 220 h",tabParametros[[#This Row],[Função]],1)),tabParametros[[#This Row],[Salário Base]]/220*2*30*0.12,
ISNUMBER(SEARCH("Auxiliar de Limpeza - 12 x 36",tabParametros[[#This Row],[Função]],1)),tabParametros[[#This Row],[Salário Base]]/220*2*30*0.12,
ISNUMBER(SEARCH("Auxiliar de Limpeza - 55 h",tabParametros[[#This Row],[Função]],1))=FALSE,0)</f>
        <v>26.120945454545453</v>
      </c>
      <c r="Q192" s="235">
        <f>VLOOKUP(tabParametros[[#Headers],[INSS]],tabImpostosNacionais[],2,0)</f>
        <v>0.2</v>
      </c>
      <c r="R192" s="235">
        <f>VLOOKUP(tabParametros[[#Headers],[SESI OU SESC]],tabImpostosNacionais[],2,0)</f>
        <v>1.4999999999999999E-2</v>
      </c>
      <c r="S192" s="235">
        <f>VLOOKUP(tabParametros[[#Headers],[SENAI OU SENAC]],tabImpostosNacionais[],2,0)</f>
        <v>0.01</v>
      </c>
      <c r="T192" s="235">
        <f>VLOOKUP(tabParametros[[#Headers],[INCRA]],tabImpostosNacionais[],2,0)</f>
        <v>2E-3</v>
      </c>
      <c r="U192" s="235">
        <f>VLOOKUP(tabParametros[[#Headers],[Salário Educação]],tabImpostosNacionais[],2,0)</f>
        <v>2.5000000000000001E-2</v>
      </c>
      <c r="V192" s="235">
        <f>VLOOKUP(tabParametros[[#Headers],[FGTS]],tabImpostosNacionais[],2,0)</f>
        <v>0.08</v>
      </c>
      <c r="W192" s="235">
        <f>VLOOKUP(tabParametros[[#Headers],[RAT Ajustado]],tabImpostosNacionais[],2,0)</f>
        <v>0.04</v>
      </c>
      <c r="X192" s="235">
        <f>VLOOKUP(tabParametros[[#Headers],[SEBRAE]],tabImpostosNacionais[],2,0)</f>
        <v>6.0000000000000001E-3</v>
      </c>
      <c r="Y192" s="235">
        <f t="shared" si="22"/>
        <v>8.3333333333333329E-2</v>
      </c>
      <c r="Z192" s="251">
        <f t="shared" si="23"/>
        <v>0.1111111111111111</v>
      </c>
      <c r="AA192" s="234">
        <f>VLOOKUP(tabParametros[[#This Row],[Comarca]],tabComarca[],5,0)</f>
        <v>6.4</v>
      </c>
      <c r="AB192" s="234">
        <f>IFERROR(VLOOKUP(tabParametros[[#This Row],[CCT DA CATEGORIA]],tabSindicatos[],6,0),0)</f>
        <v>29.15</v>
      </c>
      <c r="AC192" s="234">
        <f>IFERROR(VLOOKUP(tabParametros[[#This Row],[CCT DA CATEGORIA]],tabSindicatos[],7,0),0)</f>
        <v>0</v>
      </c>
      <c r="AD192" s="234" cm="1">
        <f t="array" ref="AD192">_xlfn.LET(
_xlpm.COMARCA, TRIM(UPPER(SUBSTITUTE(SUBSTITUTE(SUBSTITUTE(SUBSTITUTE(SUBSTITUTE(SUBSTITUTE(SUBSTITUTE(SUBSTITUTE(SUBSTITUTE(SUBSTITUTE(SUBSTITUTE(SUBSTITUTE(SUBSTITUTE(SUBSTITUTE(SUBSTITUTE(SUBSTITUTE(SUBSTITUTE(SUBSTITUTE(SUBSTITUTE(SUBSTITUTE(SUBSTITUTE(SUBSTITUTE(SUBSTITUTE(SUBSTITUTE(SUBSTITUTE(SUBSTITUTE(tabParametros[[#This Row],[Comarca]],"á","a"),"ã","a"),"â","a"),"é","e"),"ê","e"),"í","i"),"ó","o"),"õ","o"),"ô","o"),"ú","u"),"ç","c"),"Á","a"),"Ã","a"),"Â","a"),"É","e"),"Ê","e"),"Í","i"),"Ó","o"),"Õ","o"),"Ô","o"),"Ú","u"),"Ç","c"),"/MG","")," e ",", ")," ",""),".",""))),
_xlpm.MATRIZ_COMARCA, TRIM(UPPER(SUBSTITUTE(SUBSTITUTE(SUBSTITUTE(SUBSTITUTE(SUBSTITUTE(SUBSTITUTE(SUBSTITUTE(SUBSTITUTE(SUBSTITUTE(SUBSTITUTE(SUBSTITUTE(SUBSTITUTE(SUBSTITUTE(SUBSTITUTE(SUBSTITUTE(SUBSTITUTE(SUBSTITUTE(SUBSTITUTE(SUBSTITUTE(SUBSTITUTE(SUBSTITUTE(SUBSTITUTE(SUBSTITUTE(SUBSTITUTE(SUBSTITUTE(SUBSTITUTE(tabSindicatos[COMARCAS PAF],"á","a"),"ã","a"),"â","a"),"é","e"),"ê","e"),"í","i"),"ó","o"),"õ","o"),"ô","o"),"ú","u"),"ç","c"),"Á","a"),"Ã","a"),"Â","a"),"É","e"),"Ê","e"),"Í","i"),"Ó","o"),"Õ","o"),"Ô","o"),"Ú","u"),"Ç","c"),"/MG","")," e ",", ")," ",""),".",""))),
IFERROR(IF(_xlfn.XLOOKUP(tabParametros[[#This Row],[CCT DA CATEGORIA]],tabSindicatos[SINDICATOS],tabSindicatos[COMARCAS PAF])="",
VLOOKUP(tabParametros[[#This Row],[CCT DA CATEGORIA]],tabSindicatos[],8,0),
IF(ISNUMBER(SEARCH(TRIM(_xlpm.COMARCA),_xlfn.XLOOKUP(tabParametros[[#This Row],[CCT DA CATEGORIA]],tabSindicatos[SINDICATOS],_xlpm.MATRIZ_COMARCA),1)),VLOOKUP(tabParametros[[#This Row],[CCT DA CATEGORIA]],tabSindicatos[],8,0),0)
),0)
)</f>
        <v>0</v>
      </c>
      <c r="AE192" s="234">
        <f>IFERROR(VLOOKUP(tabParametros[[#This Row],[CCT DA CATEGORIA]],tabSindicatos[],9,0),0)</f>
        <v>0</v>
      </c>
      <c r="AF192" s="234">
        <f>IFERROR(VLOOKUP(tabParametros[[#This Row],[CCT DA CATEGORIA]],tabSindicatos[],10,0),0)</f>
        <v>0</v>
      </c>
      <c r="AG192" s="236">
        <f>VLOOKUP(tabParametros[[#Headers],[Seguro de Vida]],tabOutrosCustos[],3,0)</f>
        <v>3.36</v>
      </c>
      <c r="AH192" s="236">
        <f>IF(ISNUMBER(SEARCH("MOTORISTA",tabParametros[[#This Row],[Função]],1)),VLOOKUP("MOTORISTAS",tabDiarias[],2,0),IF(tabParametros[[#This Row],[Comarca]]="Belo Horizonte",VLOOKUP("LIMPEZA",tabDiarias[],2,0),0))</f>
        <v>0</v>
      </c>
      <c r="AI192" s="235">
        <f t="shared" si="24"/>
        <v>7.011766975308642E-3</v>
      </c>
      <c r="AJ192" s="237">
        <f>tabParametros[[#This Row],[FGTS]]*tabParametros[[#This Row],[Aviso Prévio Indenizado (API) e Reflexo do Aviso Prévio Indenizado]]</f>
        <v>5.609413580246914E-4</v>
      </c>
      <c r="AK192" s="237">
        <f>tabParametros[[#This Row],[FGTS]]*tabParametros[[#This Row],[Aviso Prévio Indenizado (API) e Reflexo do Aviso Prévio Indenizado]]*40%</f>
        <v>2.2437654320987658E-4</v>
      </c>
      <c r="AL192" s="235">
        <f t="shared" si="25"/>
        <v>3.5000000000000005E-3</v>
      </c>
      <c r="AM192" s="235">
        <f>tabParametros[[#This Row],[Aviso Prévio Trabalhado - APT]]*SUM(tabParametros[[#This Row],[INSS]:[SEBRAE]])</f>
        <v>1.3230000000000004E-3</v>
      </c>
      <c r="AN192" s="235">
        <f t="shared" si="26"/>
        <v>3.0577777777777773E-2</v>
      </c>
      <c r="AO192" s="235">
        <f t="shared" si="27"/>
        <v>8.3333333333333339E-4</v>
      </c>
      <c r="AP192" s="235">
        <f t="shared" si="28"/>
        <v>8.4444444444444437E-3</v>
      </c>
      <c r="AQ192" s="235">
        <f t="shared" si="29"/>
        <v>2.0277777777777777E-3</v>
      </c>
      <c r="AR192" s="235">
        <f t="shared" si="30"/>
        <v>1.7083333333333333E-4</v>
      </c>
      <c r="AS192" s="235">
        <f t="shared" si="31"/>
        <v>2.0833333333333335E-4</v>
      </c>
      <c r="AT192" s="235">
        <f t="shared" si="32"/>
        <v>1.2962962962962963E-3</v>
      </c>
      <c r="AU192" s="237">
        <f>SUM(tabParametros[[#This Row],[Ausência por Doença]:[Férias, Adicional de Férias e 13º  com empregada em gozo de Licença Maternidade]])*SUM(tabParametros[[#This Row],[INSS]:[SEBRAE]])</f>
        <v>4.5918250000000008E-3</v>
      </c>
      <c r="AV192" s="234">
        <f>IF(tabParametros[[#This Row],[Função]]="Porteiro - 220 h",SUM(tabParametros[[#This Row],[Salário Base]:[Adicional de Acúmulo de função]])/220*20*1.5,IF(ISNUMBER(SEARCH("12 x 36",tabParametros[[#This Row],[Função]],1)),SUM(tabParametros[[#This Row],[Salário Base]:[Adicional de Acúmulo de função]])/210*15.5*1.5,0))</f>
        <v>0</v>
      </c>
      <c r="AW192" s="234">
        <f>IF(tabParametros[[#This Row],[Vagas contratadas]]&gt;0,(SUM(tabParametros[[#This Row],[Salário Base]:[Adicional de Acúmulo de função]])*30%+SUM(tabParametros[[#This Row],[Vale - Alimentação]:[Seguro de Vida]]))/tabParametros[[#This Row],[Vagas contratadas]]*tabParametros[[#This Row],[Vagas suspensas]],0)</f>
        <v>0</v>
      </c>
      <c r="AX192" s="234">
        <f>SUMIF(tabUniformes[Cargo],tabParametros[[#This Row],[Função]],tabUniformes[Valor unit. Mensal])</f>
        <v>62.806666666666665</v>
      </c>
      <c r="AY192" s="281">
        <f>IF(ISNUMBER(SEARCH("AUXILIAR DE LIMPEZA - 75 H",tabParametros[[#This Row],[Função]],1)),
SUMIF(tabLimpGeral[TIPO],"Material",tabLimpGeral[VALOR UNITÁRIO P/ HORA (R$)])*75,
IF(ISNUMBER(SEARCH("AUXILIAR DE LIMPEZA - 110 H",tabParametros[[#This Row],[Função]],1)),
SUMIF(tabLimpGeral[TIPO],"Material",tabLimpGeral[VALOR UNITÁRIO P/ HORA (R$)])*110,
IF(ISNUMBER(SEARCH("AUXILIAR DE LIMPEZA - 150 H",tabParametros[[#This Row],[Função]],1)),
SUMIF(tabLimpGeral[TIPO],"Material",tabLimpGeral[VALOR UNITÁRIO P/ HORA (R$)])*150,
IF(ISNUMBER(SEARCH("AUXILIAR DE LIMPEZA - 220 H",tabParametros[[#This Row],[Função]],1)),
SUMIF(tabLimpGeral[TIPO],"Material",tabLimpGeral[VALOR UNITÁRIO P/ HORA (R$)])*220,
IF(ISNUMBER(SEARCH("AUXILIAR DE LIMPEZA - 12 x 36",tabParametros[[#This Row],[Função]],1)),
SUMIF(tabLimpGeral[TIPO],"Material",tabLimpGeral[VALOR UNITÁRIO P/ HORA (R$)])*220,
IF(ISNUMBER(SEARCH("Limpador de vidros - 220 h",tabParametros[[#This Row],[Função]],1)),
SUMIF(tabVidros[TIPO],"Material",tabVidros[VALOR UNITÁRIO P/ POSTO (R$)]),
0))))))</f>
        <v>17.759106479291944</v>
      </c>
      <c r="AZ192" s="281">
        <f>IF(ISNUMBER(SEARCH("AUXILIAR DE LIMPEZA - 75 H",tabParametros[[#This Row],[Função]],1)),
SUMIF(tabLimpGeral[TIPO],"Equipamento",tabLimpGeral[VALOR UNITÁRIO P/ HORA (R$)])*75,
IF(ISNUMBER(SEARCH("AUXILIAR DE LIMPEZA - 110 H",tabParametros[[#This Row],[Função]],1)),
SUMIF(tabLimpGeral[TIPO],"Equipamento",tabLimpGeral[VALOR UNITÁRIO P/ HORA (R$)])*110,
IF(ISNUMBER(SEARCH("AUXILIAR DE LIMPEZA - 150 H",tabParametros[[#This Row],[Função]],1)),
SUMIF(tabLimpGeral[TIPO],"Equipamento",tabLimpGeral[VALOR UNITÁRIO P/ HORA (R$)])*150,
IF(ISNUMBER(SEARCH("AUXILIAR DE LIMPEZA - 220 H",tabParametros[[#This Row],[Função]],1)),
SUMIF(tabLimpGeral[TIPO],"Equipamento",tabLimpGeral[VALOR UNITÁRIO P/ HORA (R$)])*220,
IF(ISNUMBER(SEARCH("AUXILIAR DE LIMPEZA - 12 x 36",tabParametros[[#This Row],[Função]],1)),
SUMIF(tabLimpGeral[TIPO],"Equipamento",tabLimpGeral[VALOR UNITÁRIO P/ HORA (R$)])*220,
IF(ISNUMBER(SEARCH("Limpador de vidros - 220 h",tabParametros[[#This Row],[Função]],1)),
SUMIF(tabVidros[TIPO],"Equipamento",tabVidros[VALOR UNITÁRIO P/ POSTO (R$)]),
0))))))</f>
        <v>32.264696957412788</v>
      </c>
      <c r="BA192" s="281">
        <f>IF(ISNUMBER(SEARCH("AUXILIAR DE LIMPEZA - 75 H",tabParametros[[#This Row],[Função]],1)),
SUMIF(tabLimpGeral[TIPO],"Produto",tabLimpGeral[VALOR UNITÁRIO P/ HORA (R$)])*75,
IF(ISNUMBER(SEARCH("AUXILIAR DE LIMPEZA - 110 H",tabParametros[[#This Row],[Função]],1)),
SUMIF(tabLimpGeral[TIPO],"Produto",tabLimpGeral[VALOR UNITÁRIO P/ HORA (R$)])*110,
IF(ISNUMBER(SEARCH("AUXILIAR DE LIMPEZA - 150 H",tabParametros[[#This Row],[Função]],1)),
SUMIF(tabLimpGeral[TIPO],"Produto",tabLimpGeral[VALOR UNITÁRIO P/ HORA (R$)])*150,
IF(ISNUMBER(SEARCH("AUXILIAR DE LIMPEZA - 220 H",tabParametros[[#This Row],[Função]],1)),
SUMIF(tabLimpGeral[TIPO],"Produto",tabLimpGeral[VALOR UNITÁRIO P/ HORA (R$)])*220,
IF(ISNUMBER(SEARCH("AUXILIAR DE LIMPEZA - 12 x 36",tabParametros[[#This Row],[Função]],1)),
SUMIF(tabLimpGeral[TIPO],"Produto",tabLimpGeral[VALOR UNITÁRIO P/ HORA (R$)])*220,
IF(ISNUMBER(SEARCH("Limpador de vidros - 220 h",tabParametros[[#This Row],[Função]],1)),
SUMIF(tabVidros[TIPO],"Produto",tabVidros[VALOR UNITÁRIO P/ POSTO (R$)]),
0))))))</f>
        <v>345.13576638965827</v>
      </c>
      <c r="BB192" s="281">
        <v>0</v>
      </c>
      <c r="BC192" s="236">
        <f>VLOOKUP(tabParametros[[#Headers],[Custos Indiretos]],tabOutrosCustos[],3,0)</f>
        <v>189.64880140242613</v>
      </c>
      <c r="BD192" s="236">
        <f>VLOOKUP(tabParametros[[#Headers],[Lucro]],tabOutrosCustos[],3,0)</f>
        <v>159.30499317803796</v>
      </c>
      <c r="BE192" s="235">
        <f>VLOOKUP(tabParametros[[#Headers],[COFINS]],tabImpostosNacionais[],2,0)</f>
        <v>7.5999999999999998E-2</v>
      </c>
      <c r="BF192" s="235">
        <f>VLOOKUP(tabParametros[[#Headers],[PIS]],tabImpostosNacionais[],2,0)</f>
        <v>1.6500000000000001E-2</v>
      </c>
      <c r="BG192" s="235">
        <f>VLOOKUP(tabParametros[[#This Row],[Comarca]],tabComarca[],4,0)</f>
        <v>0.05</v>
      </c>
      <c r="BH192" s="238">
        <f>IFERROR(VLOOKUP(tabParametros[[#This Row],[CCT DA CATEGORIA]],tabSindicatos[],11,0),"")</f>
        <v>45658</v>
      </c>
      <c r="BI192" s="289" t="str">
        <f>IFERROR(VLOOKUP(tabParametros[[#This Row],[CCT DA CATEGORIA]],tabSindicatos[],12,0),"")</f>
        <v>-</v>
      </c>
      <c r="BJ192" s="293" t="str">
        <f>IFERROR(VLOOKUP(tabParametros[[#This Row],[CCT DA CATEGORIA]],tabSindicatos[],13,0),"")</f>
        <v>-</v>
      </c>
    </row>
    <row r="193" spans="1:62" x14ac:dyDescent="0.25">
      <c r="A193" s="233" t="s">
        <v>1529</v>
      </c>
      <c r="B193" s="198" t="s">
        <v>175</v>
      </c>
      <c r="C193" s="198" t="s">
        <v>1245</v>
      </c>
      <c r="D193" s="198" t="str">
        <f>VLOOKUP(tabParametros[[#This Row],[Código do Posto]],tabPostos[],4,0)</f>
        <v>Regiao de Sao Lourenco</v>
      </c>
      <c r="E193" s="289" t="str">
        <f>VLOOKUP(tabParametros[[#This Row],[Código do Posto]],tabPostos[],5,0)</f>
        <v>Limpeza</v>
      </c>
      <c r="F193" s="289" t="str">
        <f>VLOOKUP(tabParametros[[#This Row],[Código do Posto]],tabPostos[],6,0)</f>
        <v>PGJ</v>
      </c>
      <c r="G193" s="289">
        <f>VLOOKUP(tabParametros[[#This Row],[Código do Posto]],tabPostos[],7,0)</f>
        <v>1</v>
      </c>
      <c r="H193" s="289">
        <f>VLOOKUP(tabParametros[[#This Row],[Código do Posto]],tabPostos[],8,0)</f>
        <v>0</v>
      </c>
      <c r="I193" s="234">
        <f>VLOOKUP(tabParametros[[#This Row],[Código do Posto]],tabPostos[],9,0)</f>
        <v>1596.28</v>
      </c>
      <c r="J193" s="234">
        <f>IF(ISNUMBER(SEARCH("Eletricista",tabParametros[[#This Row],[Função]],1)),0.3*tabParametros[[#This Row],[Salário Base]],0)</f>
        <v>0</v>
      </c>
      <c r="K193" s="234">
        <f>IF(OR(ISNUMBER(SEARCH("Bombeiro Hidraulico",tabParametros[[#This Row],[Função]],1)),ISNUMBER(SEARCH("Jardineiro",tabParametros[[#This Row],[Função]],1)),ISNUMBER(SEARCH("Lavador de Veiculos",tabParametros[[#This Row],[Função]],1)),ISNUMBER(SEARCH("Marceneiro",tabParametros[[#This Row],[Função]],1)),ISNUMBER(SEARCH("Pintor",tabParametros[[#This Row],[Função]],1))),0.2*'BASE GERAL'!$R$4,0)</f>
        <v>0</v>
      </c>
      <c r="L193" s="234">
        <f>IF(AND(ISNUMBER(SEARCH("Noturno",tabParametros[[#This Row],[Função]],1)),tabParametros[[#This Row],[Comarca]]&lt;&gt;"Juiz de Fora"),tabParametros[[#This Row],[Salário Base]]/210*0.39*7*15.5,IF(ISNUMBER(SEARCH("Noturno",tabParametros[[#This Row],[Função]],1)),tabParametros[[#This Row],[Salário Base]]/210*0.2*8*15.5,0))</f>
        <v>0</v>
      </c>
      <c r="M193" s="234">
        <f>IF(ISNUMBER(SEARCH("Motorista II",tabParametros[[#This Row],[Função]],1)),0.25*tabParametros[[#This Row],[Salário Base]],0)</f>
        <v>0</v>
      </c>
      <c r="N193" s="250">
        <v>0</v>
      </c>
      <c r="O193" s="234">
        <f>IF(ISNUMBER(SEARCH("TECNOLOGIA DA INFORMACAO",tabParametros[[#This Row],[Função]],1)),0.0201*tabParametros[[#This Row],[Salário Base]],0)</f>
        <v>0</v>
      </c>
      <c r="P193" s="250" cm="1">
        <f t="array" ref="P193">_xlfn.IFS(
ISNUMBER(SEARCH("Auxiliar de Limpeza - 75 h",tabParametros[[#This Row],[Função]],1)),tabParametros[[#This Row],[Salário Base]]/75*0.75*30*0.12,
ISNUMBER(SEARCH("Auxiliar de Limpeza - 110 h",tabParametros[[#This Row],[Função]],1)),tabParametros[[#This Row],[Salário Base]]/110*1*30*0.12,
ISNUMBER(SEARCH("Auxiliar de Limpeza - 150 h",tabParametros[[#This Row],[Função]],1)),tabParametros[[#This Row],[Salário Base]]/150*1.5*30*0.12,
ISNUMBER(SEARCH("Auxiliar de Limpeza - 220 h",tabParametros[[#This Row],[Função]],1)),tabParametros[[#This Row],[Salário Base]]/220*2*30*0.12,
ISNUMBER(SEARCH("Auxiliar de Limpeza - 12 x 36",tabParametros[[#This Row],[Função]],1)),tabParametros[[#This Row],[Salário Base]]/220*2*30*0.12,
ISNUMBER(SEARCH("Auxiliar de Limpeza - 55 h",tabParametros[[#This Row],[Função]],1))=FALSE,0)</f>
        <v>52.241890909090905</v>
      </c>
      <c r="Q193" s="235">
        <f>VLOOKUP(tabParametros[[#Headers],[INSS]],tabImpostosNacionais[],2,0)</f>
        <v>0.2</v>
      </c>
      <c r="R193" s="235">
        <f>VLOOKUP(tabParametros[[#Headers],[SESI OU SESC]],tabImpostosNacionais[],2,0)</f>
        <v>1.4999999999999999E-2</v>
      </c>
      <c r="S193" s="235">
        <f>VLOOKUP(tabParametros[[#Headers],[SENAI OU SENAC]],tabImpostosNacionais[],2,0)</f>
        <v>0.01</v>
      </c>
      <c r="T193" s="235">
        <f>VLOOKUP(tabParametros[[#Headers],[INCRA]],tabImpostosNacionais[],2,0)</f>
        <v>2E-3</v>
      </c>
      <c r="U193" s="235">
        <f>VLOOKUP(tabParametros[[#Headers],[Salário Educação]],tabImpostosNacionais[],2,0)</f>
        <v>2.5000000000000001E-2</v>
      </c>
      <c r="V193" s="235">
        <f>VLOOKUP(tabParametros[[#Headers],[FGTS]],tabImpostosNacionais[],2,0)</f>
        <v>0.08</v>
      </c>
      <c r="W193" s="235">
        <f>VLOOKUP(tabParametros[[#Headers],[RAT Ajustado]],tabImpostosNacionais[],2,0)</f>
        <v>0.04</v>
      </c>
      <c r="X193" s="235">
        <f>VLOOKUP(tabParametros[[#Headers],[SEBRAE]],tabImpostosNacionais[],2,0)</f>
        <v>6.0000000000000001E-3</v>
      </c>
      <c r="Y193" s="235">
        <f t="shared" si="22"/>
        <v>8.3333333333333329E-2</v>
      </c>
      <c r="Z193" s="251">
        <f t="shared" si="23"/>
        <v>0.1111111111111111</v>
      </c>
      <c r="AA193" s="234">
        <f>VLOOKUP(tabParametros[[#This Row],[Comarca]],tabComarca[],5,0)</f>
        <v>6.4</v>
      </c>
      <c r="AB193" s="234">
        <f>IFERROR(VLOOKUP(tabParametros[[#This Row],[CCT DA CATEGORIA]],tabSindicatos[],6,0),0)</f>
        <v>29.15</v>
      </c>
      <c r="AC193" s="234">
        <f>IFERROR(VLOOKUP(tabParametros[[#This Row],[CCT DA CATEGORIA]],tabSindicatos[],7,0),0)</f>
        <v>0</v>
      </c>
      <c r="AD193" s="234" cm="1">
        <f t="array" ref="AD193">_xlfn.LET(
_xlpm.COMARCA, TRIM(UPPER(SUBSTITUTE(SUBSTITUTE(SUBSTITUTE(SUBSTITUTE(SUBSTITUTE(SUBSTITUTE(SUBSTITUTE(SUBSTITUTE(SUBSTITUTE(SUBSTITUTE(SUBSTITUTE(SUBSTITUTE(SUBSTITUTE(SUBSTITUTE(SUBSTITUTE(SUBSTITUTE(SUBSTITUTE(SUBSTITUTE(SUBSTITUTE(SUBSTITUTE(SUBSTITUTE(SUBSTITUTE(SUBSTITUTE(SUBSTITUTE(SUBSTITUTE(SUBSTITUTE(tabParametros[[#This Row],[Comarca]],"á","a"),"ã","a"),"â","a"),"é","e"),"ê","e"),"í","i"),"ó","o"),"õ","o"),"ô","o"),"ú","u"),"ç","c"),"Á","a"),"Ã","a"),"Â","a"),"É","e"),"Ê","e"),"Í","i"),"Ó","o"),"Õ","o"),"Ô","o"),"Ú","u"),"Ç","c"),"/MG","")," e ",", ")," ",""),".",""))),
_xlpm.MATRIZ_COMARCA, TRIM(UPPER(SUBSTITUTE(SUBSTITUTE(SUBSTITUTE(SUBSTITUTE(SUBSTITUTE(SUBSTITUTE(SUBSTITUTE(SUBSTITUTE(SUBSTITUTE(SUBSTITUTE(SUBSTITUTE(SUBSTITUTE(SUBSTITUTE(SUBSTITUTE(SUBSTITUTE(SUBSTITUTE(SUBSTITUTE(SUBSTITUTE(SUBSTITUTE(SUBSTITUTE(SUBSTITUTE(SUBSTITUTE(SUBSTITUTE(SUBSTITUTE(SUBSTITUTE(SUBSTITUTE(tabSindicatos[COMARCAS PAF],"á","a"),"ã","a"),"â","a"),"é","e"),"ê","e"),"í","i"),"ó","o"),"õ","o"),"ô","o"),"ú","u"),"ç","c"),"Á","a"),"Ã","a"),"Â","a"),"É","e"),"Ê","e"),"Í","i"),"Ó","o"),"Õ","o"),"Ô","o"),"Ú","u"),"Ç","c"),"/MG","")," e ",", ")," ",""),".",""))),
IFERROR(IF(_xlfn.XLOOKUP(tabParametros[[#This Row],[CCT DA CATEGORIA]],tabSindicatos[SINDICATOS],tabSindicatos[COMARCAS PAF])="",
VLOOKUP(tabParametros[[#This Row],[CCT DA CATEGORIA]],tabSindicatos[],8,0),
IF(ISNUMBER(SEARCH(TRIM(_xlpm.COMARCA),_xlfn.XLOOKUP(tabParametros[[#This Row],[CCT DA CATEGORIA]],tabSindicatos[SINDICATOS],_xlpm.MATRIZ_COMARCA),1)),VLOOKUP(tabParametros[[#This Row],[CCT DA CATEGORIA]],tabSindicatos[],8,0),0)
),0)
)</f>
        <v>0</v>
      </c>
      <c r="AE193" s="234">
        <f>IFERROR(VLOOKUP(tabParametros[[#This Row],[CCT DA CATEGORIA]],tabSindicatos[],9,0),0)</f>
        <v>0</v>
      </c>
      <c r="AF193" s="234">
        <f>IFERROR(VLOOKUP(tabParametros[[#This Row],[CCT DA CATEGORIA]],tabSindicatos[],10,0),0)</f>
        <v>0</v>
      </c>
      <c r="AG193" s="236">
        <f>VLOOKUP(tabParametros[[#Headers],[Seguro de Vida]],tabOutrosCustos[],3,0)</f>
        <v>3.36</v>
      </c>
      <c r="AH193" s="236">
        <f>IF(ISNUMBER(SEARCH("MOTORISTA",tabParametros[[#This Row],[Função]],1)),VLOOKUP("MOTORISTAS",tabDiarias[],2,0),IF(tabParametros[[#This Row],[Comarca]]="Belo Horizonte",VLOOKUP("LIMPEZA",tabDiarias[],2,0),0))</f>
        <v>0</v>
      </c>
      <c r="AI193" s="235">
        <f t="shared" si="24"/>
        <v>7.011766975308642E-3</v>
      </c>
      <c r="AJ193" s="237">
        <f>tabParametros[[#This Row],[FGTS]]*tabParametros[[#This Row],[Aviso Prévio Indenizado (API) e Reflexo do Aviso Prévio Indenizado]]</f>
        <v>5.609413580246914E-4</v>
      </c>
      <c r="AK193" s="237">
        <f>tabParametros[[#This Row],[FGTS]]*tabParametros[[#This Row],[Aviso Prévio Indenizado (API) e Reflexo do Aviso Prévio Indenizado]]*40%</f>
        <v>2.2437654320987658E-4</v>
      </c>
      <c r="AL193" s="235">
        <f t="shared" si="25"/>
        <v>3.5000000000000005E-3</v>
      </c>
      <c r="AM193" s="235">
        <f>tabParametros[[#This Row],[Aviso Prévio Trabalhado - APT]]*SUM(tabParametros[[#This Row],[INSS]:[SEBRAE]])</f>
        <v>1.3230000000000004E-3</v>
      </c>
      <c r="AN193" s="235">
        <f t="shared" si="26"/>
        <v>3.0577777777777773E-2</v>
      </c>
      <c r="AO193" s="235">
        <f t="shared" si="27"/>
        <v>8.3333333333333339E-4</v>
      </c>
      <c r="AP193" s="235">
        <f t="shared" si="28"/>
        <v>8.4444444444444437E-3</v>
      </c>
      <c r="AQ193" s="235">
        <f t="shared" si="29"/>
        <v>2.0277777777777777E-3</v>
      </c>
      <c r="AR193" s="235">
        <f t="shared" si="30"/>
        <v>1.7083333333333333E-4</v>
      </c>
      <c r="AS193" s="235">
        <f t="shared" si="31"/>
        <v>2.0833333333333335E-4</v>
      </c>
      <c r="AT193" s="235">
        <f t="shared" si="32"/>
        <v>1.2962962962962963E-3</v>
      </c>
      <c r="AU193" s="237">
        <f>SUM(tabParametros[[#This Row],[Ausência por Doença]:[Férias, Adicional de Férias e 13º  com empregada em gozo de Licença Maternidade]])*SUM(tabParametros[[#This Row],[INSS]:[SEBRAE]])</f>
        <v>4.5918250000000008E-3</v>
      </c>
      <c r="AV193" s="234">
        <f>IF(tabParametros[[#This Row],[Função]]="Porteiro - 220 h",SUM(tabParametros[[#This Row],[Salário Base]:[Adicional de Acúmulo de função]])/220*20*1.5,IF(ISNUMBER(SEARCH("12 x 36",tabParametros[[#This Row],[Função]],1)),SUM(tabParametros[[#This Row],[Salário Base]:[Adicional de Acúmulo de função]])/210*15.5*1.5,0))</f>
        <v>0</v>
      </c>
      <c r="AW193" s="234">
        <f>IF(tabParametros[[#This Row],[Vagas contratadas]]&gt;0,(SUM(tabParametros[[#This Row],[Salário Base]:[Adicional de Acúmulo de função]])*30%+SUM(tabParametros[[#This Row],[Vale - Alimentação]:[Seguro de Vida]]))/tabParametros[[#This Row],[Vagas contratadas]]*tabParametros[[#This Row],[Vagas suspensas]],0)</f>
        <v>0</v>
      </c>
      <c r="AX193" s="234">
        <f>SUMIF(tabUniformes[Cargo],tabParametros[[#This Row],[Função]],tabUniformes[Valor unit. Mensal])</f>
        <v>100.80916666666666</v>
      </c>
      <c r="AY193" s="281">
        <f>IF(ISNUMBER(SEARCH("AUXILIAR DE LIMPEZA - 75 H",tabParametros[[#This Row],[Função]],1)),
SUMIF(tabLimpGeral[TIPO],"Material",tabLimpGeral[VALOR UNITÁRIO P/ HORA (R$)])*75,
IF(ISNUMBER(SEARCH("AUXILIAR DE LIMPEZA - 110 H",tabParametros[[#This Row],[Função]],1)),
SUMIF(tabLimpGeral[TIPO],"Material",tabLimpGeral[VALOR UNITÁRIO P/ HORA (R$)])*110,
IF(ISNUMBER(SEARCH("AUXILIAR DE LIMPEZA - 150 H",tabParametros[[#This Row],[Função]],1)),
SUMIF(tabLimpGeral[TIPO],"Material",tabLimpGeral[VALOR UNITÁRIO P/ HORA (R$)])*150,
IF(ISNUMBER(SEARCH("AUXILIAR DE LIMPEZA - 220 H",tabParametros[[#This Row],[Função]],1)),
SUMIF(tabLimpGeral[TIPO],"Material",tabLimpGeral[VALOR UNITÁRIO P/ HORA (R$)])*220,
IF(ISNUMBER(SEARCH("AUXILIAR DE LIMPEZA - 12 x 36",tabParametros[[#This Row],[Função]],1)),
SUMIF(tabLimpGeral[TIPO],"Material",tabLimpGeral[VALOR UNITÁRIO P/ HORA (R$)])*220,
IF(ISNUMBER(SEARCH("Limpador de vidros - 220 h",tabParametros[[#This Row],[Função]],1)),
SUMIF(tabVidros[TIPO],"Material",tabVidros[VALOR UNITÁRIO P/ POSTO (R$)]),
0))))))</f>
        <v>35.518212958583888</v>
      </c>
      <c r="AZ193" s="281">
        <f>IF(ISNUMBER(SEARCH("AUXILIAR DE LIMPEZA - 75 H",tabParametros[[#This Row],[Função]],1)),
SUMIF(tabLimpGeral[TIPO],"Equipamento",tabLimpGeral[VALOR UNITÁRIO P/ HORA (R$)])*75,
IF(ISNUMBER(SEARCH("AUXILIAR DE LIMPEZA - 110 H",tabParametros[[#This Row],[Função]],1)),
SUMIF(tabLimpGeral[TIPO],"Equipamento",tabLimpGeral[VALOR UNITÁRIO P/ HORA (R$)])*110,
IF(ISNUMBER(SEARCH("AUXILIAR DE LIMPEZA - 150 H",tabParametros[[#This Row],[Função]],1)),
SUMIF(tabLimpGeral[TIPO],"Equipamento",tabLimpGeral[VALOR UNITÁRIO P/ HORA (R$)])*150,
IF(ISNUMBER(SEARCH("AUXILIAR DE LIMPEZA - 220 H",tabParametros[[#This Row],[Função]],1)),
SUMIF(tabLimpGeral[TIPO],"Equipamento",tabLimpGeral[VALOR UNITÁRIO P/ HORA (R$)])*220,
IF(ISNUMBER(SEARCH("AUXILIAR DE LIMPEZA - 12 x 36",tabParametros[[#This Row],[Função]],1)),
SUMIF(tabLimpGeral[TIPO],"Equipamento",tabLimpGeral[VALOR UNITÁRIO P/ HORA (R$)])*220,
IF(ISNUMBER(SEARCH("Limpador de vidros - 220 h",tabParametros[[#This Row],[Função]],1)),
SUMIF(tabVidros[TIPO],"Equipamento",tabVidros[VALOR UNITÁRIO P/ POSTO (R$)]),
0))))))</f>
        <v>64.529393914825576</v>
      </c>
      <c r="BA193" s="281">
        <f>IF(ISNUMBER(SEARCH("AUXILIAR DE LIMPEZA - 75 H",tabParametros[[#This Row],[Função]],1)),
SUMIF(tabLimpGeral[TIPO],"Produto",tabLimpGeral[VALOR UNITÁRIO P/ HORA (R$)])*75,
IF(ISNUMBER(SEARCH("AUXILIAR DE LIMPEZA - 110 H",tabParametros[[#This Row],[Função]],1)),
SUMIF(tabLimpGeral[TIPO],"Produto",tabLimpGeral[VALOR UNITÁRIO P/ HORA (R$)])*110,
IF(ISNUMBER(SEARCH("AUXILIAR DE LIMPEZA - 150 H",tabParametros[[#This Row],[Função]],1)),
SUMIF(tabLimpGeral[TIPO],"Produto",tabLimpGeral[VALOR UNITÁRIO P/ HORA (R$)])*150,
IF(ISNUMBER(SEARCH("AUXILIAR DE LIMPEZA - 220 H",tabParametros[[#This Row],[Função]],1)),
SUMIF(tabLimpGeral[TIPO],"Produto",tabLimpGeral[VALOR UNITÁRIO P/ HORA (R$)])*220,
IF(ISNUMBER(SEARCH("AUXILIAR DE LIMPEZA - 12 x 36",tabParametros[[#This Row],[Função]],1)),
SUMIF(tabLimpGeral[TIPO],"Produto",tabLimpGeral[VALOR UNITÁRIO P/ HORA (R$)])*220,
IF(ISNUMBER(SEARCH("Limpador de vidros - 220 h",tabParametros[[#This Row],[Função]],1)),
SUMIF(tabVidros[TIPO],"Produto",tabVidros[VALOR UNITÁRIO P/ POSTO (R$)]),
0))))))</f>
        <v>690.27153277931654</v>
      </c>
      <c r="BB193" s="281">
        <v>0</v>
      </c>
      <c r="BC193" s="236">
        <f>VLOOKUP(tabParametros[[#Headers],[Custos Indiretos]],tabOutrosCustos[],3,0)</f>
        <v>189.64880140242613</v>
      </c>
      <c r="BD193" s="236">
        <f>VLOOKUP(tabParametros[[#Headers],[Lucro]],tabOutrosCustos[],3,0)</f>
        <v>159.30499317803796</v>
      </c>
      <c r="BE193" s="235">
        <f>VLOOKUP(tabParametros[[#Headers],[COFINS]],tabImpostosNacionais[],2,0)</f>
        <v>7.5999999999999998E-2</v>
      </c>
      <c r="BF193" s="235">
        <f>VLOOKUP(tabParametros[[#Headers],[PIS]],tabImpostosNacionais[],2,0)</f>
        <v>1.6500000000000001E-2</v>
      </c>
      <c r="BG193" s="235">
        <f>VLOOKUP(tabParametros[[#This Row],[Comarca]],tabComarca[],4,0)</f>
        <v>0.03</v>
      </c>
      <c r="BH193" s="238">
        <f>IFERROR(VLOOKUP(tabParametros[[#This Row],[CCT DA CATEGORIA]],tabSindicatos[],11,0),"")</f>
        <v>45658</v>
      </c>
      <c r="BI193" s="289" t="str">
        <f>IFERROR(VLOOKUP(tabParametros[[#This Row],[CCT DA CATEGORIA]],tabSindicatos[],12,0),"")</f>
        <v>-</v>
      </c>
      <c r="BJ193" s="293" t="str">
        <f>IFERROR(VLOOKUP(tabParametros[[#This Row],[CCT DA CATEGORIA]],tabSindicatos[],13,0),"")</f>
        <v>-</v>
      </c>
    </row>
    <row r="194" spans="1:62" x14ac:dyDescent="0.25">
      <c r="A194" s="233" t="s">
        <v>1530</v>
      </c>
      <c r="B194" s="198" t="s">
        <v>176</v>
      </c>
      <c r="C194" s="198" t="s">
        <v>1245</v>
      </c>
      <c r="D194" s="198" t="str">
        <f>VLOOKUP(tabParametros[[#This Row],[Código do Posto]],tabPostos[],4,0)</f>
        <v>SETHPC - Pocos de Caldas</v>
      </c>
      <c r="E194" s="289" t="str">
        <f>VLOOKUP(tabParametros[[#This Row],[Código do Posto]],tabPostos[],5,0)</f>
        <v>Limpeza</v>
      </c>
      <c r="F194" s="289" t="str">
        <f>VLOOKUP(tabParametros[[#This Row],[Código do Posto]],tabPostos[],6,0)</f>
        <v>PGJ</v>
      </c>
      <c r="G194" s="289">
        <f>VLOOKUP(tabParametros[[#This Row],[Código do Posto]],tabPostos[],7,0)</f>
        <v>1</v>
      </c>
      <c r="H194" s="289">
        <f>VLOOKUP(tabParametros[[#This Row],[Código do Posto]],tabPostos[],8,0)</f>
        <v>0</v>
      </c>
      <c r="I194" s="234">
        <f>VLOOKUP(tabParametros[[#This Row],[Código do Posto]],tabPostos[],9,0)</f>
        <v>1596.28</v>
      </c>
      <c r="J194" s="234">
        <f>IF(ISNUMBER(SEARCH("Eletricista",tabParametros[[#This Row],[Função]],1)),0.3*tabParametros[[#This Row],[Salário Base]],0)</f>
        <v>0</v>
      </c>
      <c r="K194" s="234">
        <f>IF(OR(ISNUMBER(SEARCH("Bombeiro Hidraulico",tabParametros[[#This Row],[Função]],1)),ISNUMBER(SEARCH("Jardineiro",tabParametros[[#This Row],[Função]],1)),ISNUMBER(SEARCH("Lavador de Veiculos",tabParametros[[#This Row],[Função]],1)),ISNUMBER(SEARCH("Marceneiro",tabParametros[[#This Row],[Função]],1)),ISNUMBER(SEARCH("Pintor",tabParametros[[#This Row],[Função]],1))),0.2*'BASE GERAL'!$R$4,0)</f>
        <v>0</v>
      </c>
      <c r="L194" s="234">
        <f>IF(AND(ISNUMBER(SEARCH("Noturno",tabParametros[[#This Row],[Função]],1)),tabParametros[[#This Row],[Comarca]]&lt;&gt;"Juiz de Fora"),tabParametros[[#This Row],[Salário Base]]/210*0.39*7*15.5,IF(ISNUMBER(SEARCH("Noturno",tabParametros[[#This Row],[Função]],1)),tabParametros[[#This Row],[Salário Base]]/210*0.2*8*15.5,0))</f>
        <v>0</v>
      </c>
      <c r="M194" s="234">
        <f>IF(ISNUMBER(SEARCH("Motorista II",tabParametros[[#This Row],[Função]],1)),0.25*tabParametros[[#This Row],[Salário Base]],0)</f>
        <v>0</v>
      </c>
      <c r="N194" s="250">
        <v>0</v>
      </c>
      <c r="O194" s="234">
        <f>IF(ISNUMBER(SEARCH("TECNOLOGIA DA INFORMACAO",tabParametros[[#This Row],[Função]],1)),0.0201*tabParametros[[#This Row],[Salário Base]],0)</f>
        <v>0</v>
      </c>
      <c r="P194" s="250" cm="1">
        <f t="array" ref="P194">_xlfn.IFS(
ISNUMBER(SEARCH("Auxiliar de Limpeza - 75 h",tabParametros[[#This Row],[Função]],1)),tabParametros[[#This Row],[Salário Base]]/75*0.75*30*0.12,
ISNUMBER(SEARCH("Auxiliar de Limpeza - 110 h",tabParametros[[#This Row],[Função]],1)),tabParametros[[#This Row],[Salário Base]]/110*1*30*0.12,
ISNUMBER(SEARCH("Auxiliar de Limpeza - 150 h",tabParametros[[#This Row],[Função]],1)),tabParametros[[#This Row],[Salário Base]]/150*1.5*30*0.12,
ISNUMBER(SEARCH("Auxiliar de Limpeza - 220 h",tabParametros[[#This Row],[Função]],1)),tabParametros[[#This Row],[Salário Base]]/220*2*30*0.12,
ISNUMBER(SEARCH("Auxiliar de Limpeza - 12 x 36",tabParametros[[#This Row],[Função]],1)),tabParametros[[#This Row],[Salário Base]]/220*2*30*0.12,
ISNUMBER(SEARCH("Auxiliar de Limpeza - 55 h",tabParametros[[#This Row],[Função]],1))=FALSE,0)</f>
        <v>52.241890909090905</v>
      </c>
      <c r="Q194" s="235">
        <f>VLOOKUP(tabParametros[[#Headers],[INSS]],tabImpostosNacionais[],2,0)</f>
        <v>0.2</v>
      </c>
      <c r="R194" s="235">
        <f>VLOOKUP(tabParametros[[#Headers],[SESI OU SESC]],tabImpostosNacionais[],2,0)</f>
        <v>1.4999999999999999E-2</v>
      </c>
      <c r="S194" s="235">
        <f>VLOOKUP(tabParametros[[#Headers],[SENAI OU SENAC]],tabImpostosNacionais[],2,0)</f>
        <v>0.01</v>
      </c>
      <c r="T194" s="235">
        <f>VLOOKUP(tabParametros[[#Headers],[INCRA]],tabImpostosNacionais[],2,0)</f>
        <v>2E-3</v>
      </c>
      <c r="U194" s="235">
        <f>VLOOKUP(tabParametros[[#Headers],[Salário Educação]],tabImpostosNacionais[],2,0)</f>
        <v>2.5000000000000001E-2</v>
      </c>
      <c r="V194" s="235">
        <f>VLOOKUP(tabParametros[[#Headers],[FGTS]],tabImpostosNacionais[],2,0)</f>
        <v>0.08</v>
      </c>
      <c r="W194" s="235">
        <f>VLOOKUP(tabParametros[[#Headers],[RAT Ajustado]],tabImpostosNacionais[],2,0)</f>
        <v>0.04</v>
      </c>
      <c r="X194" s="235">
        <f>VLOOKUP(tabParametros[[#Headers],[SEBRAE]],tabImpostosNacionais[],2,0)</f>
        <v>6.0000000000000001E-3</v>
      </c>
      <c r="Y194" s="235">
        <f t="shared" si="22"/>
        <v>8.3333333333333329E-2</v>
      </c>
      <c r="Z194" s="251">
        <f t="shared" si="23"/>
        <v>0.1111111111111111</v>
      </c>
      <c r="AA194" s="234">
        <f>VLOOKUP(tabParametros[[#This Row],[Comarca]],tabComarca[],5,0)</f>
        <v>6.4</v>
      </c>
      <c r="AB194" s="234">
        <f>IFERROR(VLOOKUP(tabParametros[[#This Row],[CCT DA CATEGORIA]],tabSindicatos[],6,0),0)</f>
        <v>29.15</v>
      </c>
      <c r="AC194" s="234">
        <f>IFERROR(VLOOKUP(tabParametros[[#This Row],[CCT DA CATEGORIA]],tabSindicatos[],7,0),0)</f>
        <v>0</v>
      </c>
      <c r="AD194" s="234" cm="1">
        <f t="array" ref="AD194">_xlfn.LET(
_xlpm.COMARCA, TRIM(UPPER(SUBSTITUTE(SUBSTITUTE(SUBSTITUTE(SUBSTITUTE(SUBSTITUTE(SUBSTITUTE(SUBSTITUTE(SUBSTITUTE(SUBSTITUTE(SUBSTITUTE(SUBSTITUTE(SUBSTITUTE(SUBSTITUTE(SUBSTITUTE(SUBSTITUTE(SUBSTITUTE(SUBSTITUTE(SUBSTITUTE(SUBSTITUTE(SUBSTITUTE(SUBSTITUTE(SUBSTITUTE(SUBSTITUTE(SUBSTITUTE(SUBSTITUTE(SUBSTITUTE(tabParametros[[#This Row],[Comarca]],"á","a"),"ã","a"),"â","a"),"é","e"),"ê","e"),"í","i"),"ó","o"),"õ","o"),"ô","o"),"ú","u"),"ç","c"),"Á","a"),"Ã","a"),"Â","a"),"É","e"),"Ê","e"),"Í","i"),"Ó","o"),"Õ","o"),"Ô","o"),"Ú","u"),"Ç","c"),"/MG","")," e ",", ")," ",""),".",""))),
_xlpm.MATRIZ_COMARCA, TRIM(UPPER(SUBSTITUTE(SUBSTITUTE(SUBSTITUTE(SUBSTITUTE(SUBSTITUTE(SUBSTITUTE(SUBSTITUTE(SUBSTITUTE(SUBSTITUTE(SUBSTITUTE(SUBSTITUTE(SUBSTITUTE(SUBSTITUTE(SUBSTITUTE(SUBSTITUTE(SUBSTITUTE(SUBSTITUTE(SUBSTITUTE(SUBSTITUTE(SUBSTITUTE(SUBSTITUTE(SUBSTITUTE(SUBSTITUTE(SUBSTITUTE(SUBSTITUTE(SUBSTITUTE(tabSindicatos[COMARCAS PAF],"á","a"),"ã","a"),"â","a"),"é","e"),"ê","e"),"í","i"),"ó","o"),"õ","o"),"ô","o"),"ú","u"),"ç","c"),"Á","a"),"Ã","a"),"Â","a"),"É","e"),"Ê","e"),"Í","i"),"Ó","o"),"Õ","o"),"Ô","o"),"Ú","u"),"Ç","c"),"/MG","")," e ",", ")," ",""),".",""))),
IFERROR(IF(_xlfn.XLOOKUP(tabParametros[[#This Row],[CCT DA CATEGORIA]],tabSindicatos[SINDICATOS],tabSindicatos[COMARCAS PAF])="",
VLOOKUP(tabParametros[[#This Row],[CCT DA CATEGORIA]],tabSindicatos[],8,0),
IF(ISNUMBER(SEARCH(TRIM(_xlpm.COMARCA),_xlfn.XLOOKUP(tabParametros[[#This Row],[CCT DA CATEGORIA]],tabSindicatos[SINDICATOS],_xlpm.MATRIZ_COMARCA),1)),VLOOKUP(tabParametros[[#This Row],[CCT DA CATEGORIA]],tabSindicatos[],8,0),0)
),0)
)</f>
        <v>51.86</v>
      </c>
      <c r="AE194" s="234">
        <f>IFERROR(VLOOKUP(tabParametros[[#This Row],[CCT DA CATEGORIA]],tabSindicatos[],9,0),0)</f>
        <v>0</v>
      </c>
      <c r="AF194" s="234">
        <f>IFERROR(VLOOKUP(tabParametros[[#This Row],[CCT DA CATEGORIA]],tabSindicatos[],10,0),0)</f>
        <v>0</v>
      </c>
      <c r="AG194" s="236">
        <f>VLOOKUP(tabParametros[[#Headers],[Seguro de Vida]],tabOutrosCustos[],3,0)</f>
        <v>3.36</v>
      </c>
      <c r="AH194" s="236">
        <f>IF(ISNUMBER(SEARCH("MOTORISTA",tabParametros[[#This Row],[Função]],1)),VLOOKUP("MOTORISTAS",tabDiarias[],2,0),IF(tabParametros[[#This Row],[Comarca]]="Belo Horizonte",VLOOKUP("LIMPEZA",tabDiarias[],2,0),0))</f>
        <v>0</v>
      </c>
      <c r="AI194" s="235">
        <f t="shared" si="24"/>
        <v>7.011766975308642E-3</v>
      </c>
      <c r="AJ194" s="237">
        <f>tabParametros[[#This Row],[FGTS]]*tabParametros[[#This Row],[Aviso Prévio Indenizado (API) e Reflexo do Aviso Prévio Indenizado]]</f>
        <v>5.609413580246914E-4</v>
      </c>
      <c r="AK194" s="237">
        <f>tabParametros[[#This Row],[FGTS]]*tabParametros[[#This Row],[Aviso Prévio Indenizado (API) e Reflexo do Aviso Prévio Indenizado]]*40%</f>
        <v>2.2437654320987658E-4</v>
      </c>
      <c r="AL194" s="235">
        <f t="shared" si="25"/>
        <v>3.5000000000000005E-3</v>
      </c>
      <c r="AM194" s="235">
        <f>tabParametros[[#This Row],[Aviso Prévio Trabalhado - APT]]*SUM(tabParametros[[#This Row],[INSS]:[SEBRAE]])</f>
        <v>1.3230000000000004E-3</v>
      </c>
      <c r="AN194" s="235">
        <f t="shared" si="26"/>
        <v>3.0577777777777773E-2</v>
      </c>
      <c r="AO194" s="235">
        <f t="shared" si="27"/>
        <v>8.3333333333333339E-4</v>
      </c>
      <c r="AP194" s="235">
        <f t="shared" si="28"/>
        <v>8.4444444444444437E-3</v>
      </c>
      <c r="AQ194" s="235">
        <f t="shared" si="29"/>
        <v>2.0277777777777777E-3</v>
      </c>
      <c r="AR194" s="235">
        <f t="shared" si="30"/>
        <v>1.7083333333333333E-4</v>
      </c>
      <c r="AS194" s="235">
        <f t="shared" si="31"/>
        <v>2.0833333333333335E-4</v>
      </c>
      <c r="AT194" s="235">
        <f t="shared" si="32"/>
        <v>1.2962962962962963E-3</v>
      </c>
      <c r="AU194" s="237">
        <f>SUM(tabParametros[[#This Row],[Ausência por Doença]:[Férias, Adicional de Férias e 13º  com empregada em gozo de Licença Maternidade]])*SUM(tabParametros[[#This Row],[INSS]:[SEBRAE]])</f>
        <v>4.5918250000000008E-3</v>
      </c>
      <c r="AV194" s="234">
        <f>IF(tabParametros[[#This Row],[Função]]="Porteiro - 220 h",SUM(tabParametros[[#This Row],[Salário Base]:[Adicional de Acúmulo de função]])/220*20*1.5,IF(ISNUMBER(SEARCH("12 x 36",tabParametros[[#This Row],[Função]],1)),SUM(tabParametros[[#This Row],[Salário Base]:[Adicional de Acúmulo de função]])/210*15.5*1.5,0))</f>
        <v>0</v>
      </c>
      <c r="AW194" s="234">
        <f>IF(tabParametros[[#This Row],[Vagas contratadas]]&gt;0,(SUM(tabParametros[[#This Row],[Salário Base]:[Adicional de Acúmulo de função]])*30%+SUM(tabParametros[[#This Row],[Vale - Alimentação]:[Seguro de Vida]]))/tabParametros[[#This Row],[Vagas contratadas]]*tabParametros[[#This Row],[Vagas suspensas]],0)</f>
        <v>0</v>
      </c>
      <c r="AX194" s="234">
        <f>SUMIF(tabUniformes[Cargo],tabParametros[[#This Row],[Função]],tabUniformes[Valor unit. Mensal])</f>
        <v>100.80916666666666</v>
      </c>
      <c r="AY194" s="281">
        <f>IF(ISNUMBER(SEARCH("AUXILIAR DE LIMPEZA - 75 H",tabParametros[[#This Row],[Função]],1)),
SUMIF(tabLimpGeral[TIPO],"Material",tabLimpGeral[VALOR UNITÁRIO P/ HORA (R$)])*75,
IF(ISNUMBER(SEARCH("AUXILIAR DE LIMPEZA - 110 H",tabParametros[[#This Row],[Função]],1)),
SUMIF(tabLimpGeral[TIPO],"Material",tabLimpGeral[VALOR UNITÁRIO P/ HORA (R$)])*110,
IF(ISNUMBER(SEARCH("AUXILIAR DE LIMPEZA - 150 H",tabParametros[[#This Row],[Função]],1)),
SUMIF(tabLimpGeral[TIPO],"Material",tabLimpGeral[VALOR UNITÁRIO P/ HORA (R$)])*150,
IF(ISNUMBER(SEARCH("AUXILIAR DE LIMPEZA - 220 H",tabParametros[[#This Row],[Função]],1)),
SUMIF(tabLimpGeral[TIPO],"Material",tabLimpGeral[VALOR UNITÁRIO P/ HORA (R$)])*220,
IF(ISNUMBER(SEARCH("AUXILIAR DE LIMPEZA - 12 x 36",tabParametros[[#This Row],[Função]],1)),
SUMIF(tabLimpGeral[TIPO],"Material",tabLimpGeral[VALOR UNITÁRIO P/ HORA (R$)])*220,
IF(ISNUMBER(SEARCH("Limpador de vidros - 220 h",tabParametros[[#This Row],[Função]],1)),
SUMIF(tabVidros[TIPO],"Material",tabVidros[VALOR UNITÁRIO P/ POSTO (R$)]),
0))))))</f>
        <v>35.518212958583888</v>
      </c>
      <c r="AZ194" s="281">
        <f>IF(ISNUMBER(SEARCH("AUXILIAR DE LIMPEZA - 75 H",tabParametros[[#This Row],[Função]],1)),
SUMIF(tabLimpGeral[TIPO],"Equipamento",tabLimpGeral[VALOR UNITÁRIO P/ HORA (R$)])*75,
IF(ISNUMBER(SEARCH("AUXILIAR DE LIMPEZA - 110 H",tabParametros[[#This Row],[Função]],1)),
SUMIF(tabLimpGeral[TIPO],"Equipamento",tabLimpGeral[VALOR UNITÁRIO P/ HORA (R$)])*110,
IF(ISNUMBER(SEARCH("AUXILIAR DE LIMPEZA - 150 H",tabParametros[[#This Row],[Função]],1)),
SUMIF(tabLimpGeral[TIPO],"Equipamento",tabLimpGeral[VALOR UNITÁRIO P/ HORA (R$)])*150,
IF(ISNUMBER(SEARCH("AUXILIAR DE LIMPEZA - 220 H",tabParametros[[#This Row],[Função]],1)),
SUMIF(tabLimpGeral[TIPO],"Equipamento",tabLimpGeral[VALOR UNITÁRIO P/ HORA (R$)])*220,
IF(ISNUMBER(SEARCH("AUXILIAR DE LIMPEZA - 12 x 36",tabParametros[[#This Row],[Função]],1)),
SUMIF(tabLimpGeral[TIPO],"Equipamento",tabLimpGeral[VALOR UNITÁRIO P/ HORA (R$)])*220,
IF(ISNUMBER(SEARCH("Limpador de vidros - 220 h",tabParametros[[#This Row],[Função]],1)),
SUMIF(tabVidros[TIPO],"Equipamento",tabVidros[VALOR UNITÁRIO P/ POSTO (R$)]),
0))))))</f>
        <v>64.529393914825576</v>
      </c>
      <c r="BA194" s="281">
        <f>IF(ISNUMBER(SEARCH("AUXILIAR DE LIMPEZA - 75 H",tabParametros[[#This Row],[Função]],1)),
SUMIF(tabLimpGeral[TIPO],"Produto",tabLimpGeral[VALOR UNITÁRIO P/ HORA (R$)])*75,
IF(ISNUMBER(SEARCH("AUXILIAR DE LIMPEZA - 110 H",tabParametros[[#This Row],[Função]],1)),
SUMIF(tabLimpGeral[TIPO],"Produto",tabLimpGeral[VALOR UNITÁRIO P/ HORA (R$)])*110,
IF(ISNUMBER(SEARCH("AUXILIAR DE LIMPEZA - 150 H",tabParametros[[#This Row],[Função]],1)),
SUMIF(tabLimpGeral[TIPO],"Produto",tabLimpGeral[VALOR UNITÁRIO P/ HORA (R$)])*150,
IF(ISNUMBER(SEARCH("AUXILIAR DE LIMPEZA - 220 H",tabParametros[[#This Row],[Função]],1)),
SUMIF(tabLimpGeral[TIPO],"Produto",tabLimpGeral[VALOR UNITÁRIO P/ HORA (R$)])*220,
IF(ISNUMBER(SEARCH("AUXILIAR DE LIMPEZA - 12 x 36",tabParametros[[#This Row],[Função]],1)),
SUMIF(tabLimpGeral[TIPO],"Produto",tabLimpGeral[VALOR UNITÁRIO P/ HORA (R$)])*220,
IF(ISNUMBER(SEARCH("Limpador de vidros - 220 h",tabParametros[[#This Row],[Função]],1)),
SUMIF(tabVidros[TIPO],"Produto",tabVidros[VALOR UNITÁRIO P/ POSTO (R$)]),
0))))))</f>
        <v>690.27153277931654</v>
      </c>
      <c r="BB194" s="281">
        <v>0</v>
      </c>
      <c r="BC194" s="236">
        <f>VLOOKUP(tabParametros[[#Headers],[Custos Indiretos]],tabOutrosCustos[],3,0)</f>
        <v>189.64880140242613</v>
      </c>
      <c r="BD194" s="236">
        <f>VLOOKUP(tabParametros[[#Headers],[Lucro]],tabOutrosCustos[],3,0)</f>
        <v>159.30499317803796</v>
      </c>
      <c r="BE194" s="235">
        <f>VLOOKUP(tabParametros[[#Headers],[COFINS]],tabImpostosNacionais[],2,0)</f>
        <v>7.5999999999999998E-2</v>
      </c>
      <c r="BF194" s="235">
        <f>VLOOKUP(tabParametros[[#Headers],[PIS]],tabImpostosNacionais[],2,0)</f>
        <v>1.6500000000000001E-2</v>
      </c>
      <c r="BG194" s="235">
        <f>VLOOKUP(tabParametros[[#This Row],[Comarca]],tabComarca[],4,0)</f>
        <v>0.05</v>
      </c>
      <c r="BH194" s="238">
        <f>IFERROR(VLOOKUP(tabParametros[[#This Row],[CCT DA CATEGORIA]],tabSindicatos[],11,0),"")</f>
        <v>45658</v>
      </c>
      <c r="BI194" s="289" t="str">
        <f>IFERROR(VLOOKUP(tabParametros[[#This Row],[CCT DA CATEGORIA]],tabSindicatos[],12,0),"")</f>
        <v>-</v>
      </c>
      <c r="BJ194" s="293" t="str">
        <f>IFERROR(VLOOKUP(tabParametros[[#This Row],[CCT DA CATEGORIA]],tabSindicatos[],13,0),"")</f>
        <v>-</v>
      </c>
    </row>
    <row r="195" spans="1:62" x14ac:dyDescent="0.25">
      <c r="A195" s="233" t="s">
        <v>1274</v>
      </c>
      <c r="B195" s="198" t="s">
        <v>177</v>
      </c>
      <c r="C195" s="198" t="s">
        <v>1247</v>
      </c>
      <c r="D195" s="198" t="str">
        <f>VLOOKUP(tabParametros[[#This Row],[Código do Posto]],tabPostos[],4,0)</f>
        <v>Curvelo</v>
      </c>
      <c r="E195" s="289" t="str">
        <f>VLOOKUP(tabParametros[[#This Row],[Código do Posto]],tabPostos[],5,0)</f>
        <v>Limpeza</v>
      </c>
      <c r="F195" s="289" t="str">
        <f>VLOOKUP(tabParametros[[#This Row],[Código do Posto]],tabPostos[],6,0)</f>
        <v>PGJ</v>
      </c>
      <c r="G195" s="289">
        <f>VLOOKUP(tabParametros[[#This Row],[Código do Posto]],tabPostos[],7,0)</f>
        <v>1</v>
      </c>
      <c r="H195" s="289">
        <f>VLOOKUP(tabParametros[[#This Row],[Código do Posto]],tabPostos[],8,0)</f>
        <v>0</v>
      </c>
      <c r="I195" s="234">
        <f>VLOOKUP(tabParametros[[#This Row],[Código do Posto]],tabPostos[],9,0)</f>
        <v>544.17999999999995</v>
      </c>
      <c r="J195" s="234">
        <f>IF(ISNUMBER(SEARCH("Eletricista",tabParametros[[#This Row],[Função]],1)),0.3*tabParametros[[#This Row],[Salário Base]],0)</f>
        <v>0</v>
      </c>
      <c r="K195" s="234">
        <f>IF(OR(ISNUMBER(SEARCH("Bombeiro Hidraulico",tabParametros[[#This Row],[Função]],1)),ISNUMBER(SEARCH("Jardineiro",tabParametros[[#This Row],[Função]],1)),ISNUMBER(SEARCH("Lavador de Veiculos",tabParametros[[#This Row],[Função]],1)),ISNUMBER(SEARCH("Marceneiro",tabParametros[[#This Row],[Função]],1)),ISNUMBER(SEARCH("Pintor",tabParametros[[#This Row],[Função]],1))),0.2*'BASE GERAL'!$R$4,0)</f>
        <v>0</v>
      </c>
      <c r="L195" s="234">
        <f>IF(AND(ISNUMBER(SEARCH("Noturno",tabParametros[[#This Row],[Função]],1)),tabParametros[[#This Row],[Comarca]]&lt;&gt;"Juiz de Fora"),tabParametros[[#This Row],[Salário Base]]/210*0.39*7*15.5,IF(ISNUMBER(SEARCH("Noturno",tabParametros[[#This Row],[Função]],1)),tabParametros[[#This Row],[Salário Base]]/210*0.2*8*15.5,0))</f>
        <v>0</v>
      </c>
      <c r="M195" s="234">
        <f>IF(ISNUMBER(SEARCH("Motorista II",tabParametros[[#This Row],[Função]],1)),0.25*tabParametros[[#This Row],[Salário Base]],0)</f>
        <v>0</v>
      </c>
      <c r="N195" s="250">
        <v>0</v>
      </c>
      <c r="O195" s="234">
        <f>IF(ISNUMBER(SEARCH("TECNOLOGIA DA INFORMACAO",tabParametros[[#This Row],[Função]],1)),0.0201*tabParametros[[#This Row],[Salário Base]],0)</f>
        <v>0</v>
      </c>
      <c r="P195" s="250" cm="1">
        <f t="array" ref="P195">_xlfn.IFS(
ISNUMBER(SEARCH("Auxiliar de Limpeza - 75 h",tabParametros[[#This Row],[Função]],1)),tabParametros[[#This Row],[Salário Base]]/75*0.75*30*0.12,
ISNUMBER(SEARCH("Auxiliar de Limpeza - 110 h",tabParametros[[#This Row],[Função]],1)),tabParametros[[#This Row],[Salário Base]]/110*1*30*0.12,
ISNUMBER(SEARCH("Auxiliar de Limpeza - 150 h",tabParametros[[#This Row],[Função]],1)),tabParametros[[#This Row],[Salário Base]]/150*1.5*30*0.12,
ISNUMBER(SEARCH("Auxiliar de Limpeza - 220 h",tabParametros[[#This Row],[Função]],1)),tabParametros[[#This Row],[Salário Base]]/220*2*30*0.12,
ISNUMBER(SEARCH("Auxiliar de Limpeza - 12 x 36",tabParametros[[#This Row],[Função]],1)),tabParametros[[#This Row],[Salário Base]]/220*2*30*0.12,
ISNUMBER(SEARCH("Auxiliar de Limpeza - 55 h",tabParametros[[#This Row],[Função]],1))=FALSE,0)</f>
        <v>19.590479999999999</v>
      </c>
      <c r="Q195" s="235">
        <f>VLOOKUP(tabParametros[[#Headers],[INSS]],tabImpostosNacionais[],2,0)</f>
        <v>0.2</v>
      </c>
      <c r="R195" s="235">
        <f>VLOOKUP(tabParametros[[#Headers],[SESI OU SESC]],tabImpostosNacionais[],2,0)</f>
        <v>1.4999999999999999E-2</v>
      </c>
      <c r="S195" s="235">
        <f>VLOOKUP(tabParametros[[#Headers],[SENAI OU SENAC]],tabImpostosNacionais[],2,0)</f>
        <v>0.01</v>
      </c>
      <c r="T195" s="235">
        <f>VLOOKUP(tabParametros[[#Headers],[INCRA]],tabImpostosNacionais[],2,0)</f>
        <v>2E-3</v>
      </c>
      <c r="U195" s="235">
        <f>VLOOKUP(tabParametros[[#Headers],[Salário Educação]],tabImpostosNacionais[],2,0)</f>
        <v>2.5000000000000001E-2</v>
      </c>
      <c r="V195" s="235">
        <f>VLOOKUP(tabParametros[[#Headers],[FGTS]],tabImpostosNacionais[],2,0)</f>
        <v>0.08</v>
      </c>
      <c r="W195" s="235">
        <f>VLOOKUP(tabParametros[[#Headers],[RAT Ajustado]],tabImpostosNacionais[],2,0)</f>
        <v>0.04</v>
      </c>
      <c r="X195" s="235">
        <f>VLOOKUP(tabParametros[[#Headers],[SEBRAE]],tabImpostosNacionais[],2,0)</f>
        <v>6.0000000000000001E-3</v>
      </c>
      <c r="Y195" s="235">
        <f t="shared" si="22"/>
        <v>8.3333333333333329E-2</v>
      </c>
      <c r="Z195" s="251">
        <f t="shared" si="23"/>
        <v>0.1111111111111111</v>
      </c>
      <c r="AA195" s="234">
        <f>VLOOKUP(tabParametros[[#This Row],[Comarca]],tabComarca[],5,0)</f>
        <v>6.4</v>
      </c>
      <c r="AB195" s="234">
        <f>IFERROR(VLOOKUP(tabParametros[[#This Row],[CCT DA CATEGORIA]],tabSindicatos[],6,0),0)</f>
        <v>29.15</v>
      </c>
      <c r="AC195" s="234">
        <f>IFERROR(VLOOKUP(tabParametros[[#This Row],[CCT DA CATEGORIA]],tabSindicatos[],7,0),0)</f>
        <v>0</v>
      </c>
      <c r="AD195" s="234" cm="1">
        <f t="array" ref="AD195">_xlfn.LET(
_xlpm.COMARCA, TRIM(UPPER(SUBSTITUTE(SUBSTITUTE(SUBSTITUTE(SUBSTITUTE(SUBSTITUTE(SUBSTITUTE(SUBSTITUTE(SUBSTITUTE(SUBSTITUTE(SUBSTITUTE(SUBSTITUTE(SUBSTITUTE(SUBSTITUTE(SUBSTITUTE(SUBSTITUTE(SUBSTITUTE(SUBSTITUTE(SUBSTITUTE(SUBSTITUTE(SUBSTITUTE(SUBSTITUTE(SUBSTITUTE(SUBSTITUTE(SUBSTITUTE(SUBSTITUTE(SUBSTITUTE(tabParametros[[#This Row],[Comarca]],"á","a"),"ã","a"),"â","a"),"é","e"),"ê","e"),"í","i"),"ó","o"),"õ","o"),"ô","o"),"ú","u"),"ç","c"),"Á","a"),"Ã","a"),"Â","a"),"É","e"),"Ê","e"),"Í","i"),"Ó","o"),"Õ","o"),"Ô","o"),"Ú","u"),"Ç","c"),"/MG","")," e ",", ")," ",""),".",""))),
_xlpm.MATRIZ_COMARCA, TRIM(UPPER(SUBSTITUTE(SUBSTITUTE(SUBSTITUTE(SUBSTITUTE(SUBSTITUTE(SUBSTITUTE(SUBSTITUTE(SUBSTITUTE(SUBSTITUTE(SUBSTITUTE(SUBSTITUTE(SUBSTITUTE(SUBSTITUTE(SUBSTITUTE(SUBSTITUTE(SUBSTITUTE(SUBSTITUTE(SUBSTITUTE(SUBSTITUTE(SUBSTITUTE(SUBSTITUTE(SUBSTITUTE(SUBSTITUTE(SUBSTITUTE(SUBSTITUTE(SUBSTITUTE(tabSindicatos[COMARCAS PAF],"á","a"),"ã","a"),"â","a"),"é","e"),"ê","e"),"í","i"),"ó","o"),"õ","o"),"ô","o"),"ú","u"),"ç","c"),"Á","a"),"Ã","a"),"Â","a"),"É","e"),"Ê","e"),"Í","i"),"Ó","o"),"Õ","o"),"Ô","o"),"Ú","u"),"Ç","c"),"/MG","")," e ",", ")," ",""),".",""))),
IFERROR(IF(_xlfn.XLOOKUP(tabParametros[[#This Row],[CCT DA CATEGORIA]],tabSindicatos[SINDICATOS],tabSindicatos[COMARCAS PAF])="",
VLOOKUP(tabParametros[[#This Row],[CCT DA CATEGORIA]],tabSindicatos[],8,0),
IF(ISNUMBER(SEARCH(TRIM(_xlpm.COMARCA),_xlfn.XLOOKUP(tabParametros[[#This Row],[CCT DA CATEGORIA]],tabSindicatos[SINDICATOS],_xlpm.MATRIZ_COMARCA),1)),VLOOKUP(tabParametros[[#This Row],[CCT DA CATEGORIA]],tabSindicatos[],8,0),0)
),0)
)</f>
        <v>0</v>
      </c>
      <c r="AE195" s="234">
        <f>IFERROR(VLOOKUP(tabParametros[[#This Row],[CCT DA CATEGORIA]],tabSindicatos[],9,0),0)</f>
        <v>0</v>
      </c>
      <c r="AF195" s="234">
        <f>IFERROR(VLOOKUP(tabParametros[[#This Row],[CCT DA CATEGORIA]],tabSindicatos[],10,0),0)</f>
        <v>0</v>
      </c>
      <c r="AG195" s="236">
        <f>VLOOKUP(tabParametros[[#Headers],[Seguro de Vida]],tabOutrosCustos[],3,0)</f>
        <v>3.36</v>
      </c>
      <c r="AH195" s="236">
        <f>IF(ISNUMBER(SEARCH("MOTORISTA",tabParametros[[#This Row],[Função]],1)),VLOOKUP("MOTORISTAS",tabDiarias[],2,0),IF(tabParametros[[#This Row],[Comarca]]="Belo Horizonte",VLOOKUP("LIMPEZA",tabDiarias[],2,0),0))</f>
        <v>0</v>
      </c>
      <c r="AI195" s="235">
        <f t="shared" si="24"/>
        <v>7.011766975308642E-3</v>
      </c>
      <c r="AJ195" s="237">
        <f>tabParametros[[#This Row],[FGTS]]*tabParametros[[#This Row],[Aviso Prévio Indenizado (API) e Reflexo do Aviso Prévio Indenizado]]</f>
        <v>5.609413580246914E-4</v>
      </c>
      <c r="AK195" s="237">
        <f>tabParametros[[#This Row],[FGTS]]*tabParametros[[#This Row],[Aviso Prévio Indenizado (API) e Reflexo do Aviso Prévio Indenizado]]*40%</f>
        <v>2.2437654320987658E-4</v>
      </c>
      <c r="AL195" s="235">
        <f t="shared" si="25"/>
        <v>3.5000000000000005E-3</v>
      </c>
      <c r="AM195" s="235">
        <f>tabParametros[[#This Row],[Aviso Prévio Trabalhado - APT]]*SUM(tabParametros[[#This Row],[INSS]:[SEBRAE]])</f>
        <v>1.3230000000000004E-3</v>
      </c>
      <c r="AN195" s="235">
        <f t="shared" si="26"/>
        <v>3.0577777777777773E-2</v>
      </c>
      <c r="AO195" s="235">
        <f t="shared" si="27"/>
        <v>8.3333333333333339E-4</v>
      </c>
      <c r="AP195" s="235">
        <f t="shared" si="28"/>
        <v>8.4444444444444437E-3</v>
      </c>
      <c r="AQ195" s="235">
        <f t="shared" si="29"/>
        <v>2.0277777777777777E-3</v>
      </c>
      <c r="AR195" s="235">
        <f t="shared" si="30"/>
        <v>1.7083333333333333E-4</v>
      </c>
      <c r="AS195" s="235">
        <f t="shared" si="31"/>
        <v>2.0833333333333335E-4</v>
      </c>
      <c r="AT195" s="235">
        <f t="shared" si="32"/>
        <v>1.2962962962962963E-3</v>
      </c>
      <c r="AU195" s="237">
        <f>SUM(tabParametros[[#This Row],[Ausência por Doença]:[Férias, Adicional de Férias e 13º  com empregada em gozo de Licença Maternidade]])*SUM(tabParametros[[#This Row],[INSS]:[SEBRAE]])</f>
        <v>4.5918250000000008E-3</v>
      </c>
      <c r="AV195" s="234">
        <f>IF(tabParametros[[#This Row],[Função]]="Porteiro - 220 h",SUM(tabParametros[[#This Row],[Salário Base]:[Adicional de Acúmulo de função]])/220*20*1.5,IF(ISNUMBER(SEARCH("12 x 36",tabParametros[[#This Row],[Função]],1)),SUM(tabParametros[[#This Row],[Salário Base]:[Adicional de Acúmulo de função]])/210*15.5*1.5,0))</f>
        <v>0</v>
      </c>
      <c r="AW195" s="234">
        <f>IF(tabParametros[[#This Row],[Vagas contratadas]]&gt;0,(SUM(tabParametros[[#This Row],[Salário Base]:[Adicional de Acúmulo de função]])*30%+SUM(tabParametros[[#This Row],[Vale - Alimentação]:[Seguro de Vida]]))/tabParametros[[#This Row],[Vagas contratadas]]*tabParametros[[#This Row],[Vagas suspensas]],0)</f>
        <v>0</v>
      </c>
      <c r="AX195" s="234">
        <f>SUMIF(tabUniformes[Cargo],tabParametros[[#This Row],[Função]],tabUniformes[Valor unit. Mensal])</f>
        <v>62.806666666666665</v>
      </c>
      <c r="AY195" s="281">
        <f>IF(ISNUMBER(SEARCH("AUXILIAR DE LIMPEZA - 75 H",tabParametros[[#This Row],[Função]],1)),
SUMIF(tabLimpGeral[TIPO],"Material",tabLimpGeral[VALOR UNITÁRIO P/ HORA (R$)])*75,
IF(ISNUMBER(SEARCH("AUXILIAR DE LIMPEZA - 110 H",tabParametros[[#This Row],[Função]],1)),
SUMIF(tabLimpGeral[TIPO],"Material",tabLimpGeral[VALOR UNITÁRIO P/ HORA (R$)])*110,
IF(ISNUMBER(SEARCH("AUXILIAR DE LIMPEZA - 150 H",tabParametros[[#This Row],[Função]],1)),
SUMIF(tabLimpGeral[TIPO],"Material",tabLimpGeral[VALOR UNITÁRIO P/ HORA (R$)])*150,
IF(ISNUMBER(SEARCH("AUXILIAR DE LIMPEZA - 220 H",tabParametros[[#This Row],[Função]],1)),
SUMIF(tabLimpGeral[TIPO],"Material",tabLimpGeral[VALOR UNITÁRIO P/ HORA (R$)])*220,
IF(ISNUMBER(SEARCH("AUXILIAR DE LIMPEZA - 12 x 36",tabParametros[[#This Row],[Função]],1)),
SUMIF(tabLimpGeral[TIPO],"Material",tabLimpGeral[VALOR UNITÁRIO P/ HORA (R$)])*220,
IF(ISNUMBER(SEARCH("Limpador de vidros - 220 h",tabParametros[[#This Row],[Função]],1)),
SUMIF(tabVidros[TIPO],"Material",tabVidros[VALOR UNITÁRIO P/ POSTO (R$)]),
0))))))</f>
        <v>12.108481690426325</v>
      </c>
      <c r="AZ195" s="281">
        <f>IF(ISNUMBER(SEARCH("AUXILIAR DE LIMPEZA - 75 H",tabParametros[[#This Row],[Função]],1)),
SUMIF(tabLimpGeral[TIPO],"Equipamento",tabLimpGeral[VALOR UNITÁRIO P/ HORA (R$)])*75,
IF(ISNUMBER(SEARCH("AUXILIAR DE LIMPEZA - 110 H",tabParametros[[#This Row],[Função]],1)),
SUMIF(tabLimpGeral[TIPO],"Equipamento",tabLimpGeral[VALOR UNITÁRIO P/ HORA (R$)])*110,
IF(ISNUMBER(SEARCH("AUXILIAR DE LIMPEZA - 150 H",tabParametros[[#This Row],[Função]],1)),
SUMIF(tabLimpGeral[TIPO],"Equipamento",tabLimpGeral[VALOR UNITÁRIO P/ HORA (R$)])*150,
IF(ISNUMBER(SEARCH("AUXILIAR DE LIMPEZA - 220 H",tabParametros[[#This Row],[Função]],1)),
SUMIF(tabLimpGeral[TIPO],"Equipamento",tabLimpGeral[VALOR UNITÁRIO P/ HORA (R$)])*220,
IF(ISNUMBER(SEARCH("AUXILIAR DE LIMPEZA - 12 x 36",tabParametros[[#This Row],[Função]],1)),
SUMIF(tabLimpGeral[TIPO],"Equipamento",tabLimpGeral[VALOR UNITÁRIO P/ HORA (R$)])*220,
IF(ISNUMBER(SEARCH("Limpador de vidros - 220 h",tabParametros[[#This Row],[Função]],1)),
SUMIF(tabVidros[TIPO],"Equipamento",tabVidros[VALOR UNITÁRIO P/ POSTO (R$)]),
0))))))</f>
        <v>21.998657016417809</v>
      </c>
      <c r="BA195" s="281">
        <f>IF(ISNUMBER(SEARCH("AUXILIAR DE LIMPEZA - 75 H",tabParametros[[#This Row],[Função]],1)),
SUMIF(tabLimpGeral[TIPO],"Produto",tabLimpGeral[VALOR UNITÁRIO P/ HORA (R$)])*75,
IF(ISNUMBER(SEARCH("AUXILIAR DE LIMPEZA - 110 H",tabParametros[[#This Row],[Função]],1)),
SUMIF(tabLimpGeral[TIPO],"Produto",tabLimpGeral[VALOR UNITÁRIO P/ HORA (R$)])*110,
IF(ISNUMBER(SEARCH("AUXILIAR DE LIMPEZA - 150 H",tabParametros[[#This Row],[Função]],1)),
SUMIF(tabLimpGeral[TIPO],"Produto",tabLimpGeral[VALOR UNITÁRIO P/ HORA (R$)])*150,
IF(ISNUMBER(SEARCH("AUXILIAR DE LIMPEZA - 220 H",tabParametros[[#This Row],[Função]],1)),
SUMIF(tabLimpGeral[TIPO],"Produto",tabLimpGeral[VALOR UNITÁRIO P/ HORA (R$)])*220,
IF(ISNUMBER(SEARCH("AUXILIAR DE LIMPEZA - 12 x 36",tabParametros[[#This Row],[Função]],1)),
SUMIF(tabLimpGeral[TIPO],"Produto",tabLimpGeral[VALOR UNITÁRIO P/ HORA (R$)])*220,
IF(ISNUMBER(SEARCH("Limpador de vidros - 220 h",tabParametros[[#This Row],[Função]],1)),
SUMIF(tabVidros[TIPO],"Produto",tabVidros[VALOR UNITÁRIO P/ POSTO (R$)]),
0))))))</f>
        <v>235.31984072022155</v>
      </c>
      <c r="BB195" s="281">
        <v>0</v>
      </c>
      <c r="BC195" s="236">
        <f>VLOOKUP(tabParametros[[#Headers],[Custos Indiretos]],tabOutrosCustos[],3,0)</f>
        <v>189.64880140242613</v>
      </c>
      <c r="BD195" s="236">
        <f>VLOOKUP(tabParametros[[#Headers],[Lucro]],tabOutrosCustos[],3,0)</f>
        <v>159.30499317803796</v>
      </c>
      <c r="BE195" s="235">
        <f>VLOOKUP(tabParametros[[#Headers],[COFINS]],tabImpostosNacionais[],2,0)</f>
        <v>7.5999999999999998E-2</v>
      </c>
      <c r="BF195" s="235">
        <f>VLOOKUP(tabParametros[[#Headers],[PIS]],tabImpostosNacionais[],2,0)</f>
        <v>1.6500000000000001E-2</v>
      </c>
      <c r="BG195" s="235">
        <f>VLOOKUP(tabParametros[[#This Row],[Comarca]],tabComarca[],4,0)</f>
        <v>0.02</v>
      </c>
      <c r="BH195" s="238">
        <f>IFERROR(VLOOKUP(tabParametros[[#This Row],[CCT DA CATEGORIA]],tabSindicatos[],11,0),"")</f>
        <v>45658</v>
      </c>
      <c r="BI195" s="289" t="str">
        <f>IFERROR(VLOOKUP(tabParametros[[#This Row],[CCT DA CATEGORIA]],tabSindicatos[],12,0),"")</f>
        <v>-</v>
      </c>
      <c r="BJ195" s="293" t="str">
        <f>IFERROR(VLOOKUP(tabParametros[[#This Row],[CCT DA CATEGORIA]],tabSindicatos[],13,0),"")</f>
        <v>-</v>
      </c>
    </row>
    <row r="196" spans="1:62" x14ac:dyDescent="0.25">
      <c r="A196" s="233" t="s">
        <v>1531</v>
      </c>
      <c r="B196" s="198" t="s">
        <v>177</v>
      </c>
      <c r="C196" s="198" t="s">
        <v>1244</v>
      </c>
      <c r="D196" s="198" t="str">
        <f>VLOOKUP(tabParametros[[#This Row],[Código do Posto]],tabPostos[],4,0)</f>
        <v>Curvelo</v>
      </c>
      <c r="E196" s="289" t="str">
        <f>VLOOKUP(tabParametros[[#This Row],[Código do Posto]],tabPostos[],5,0)</f>
        <v>Limpeza</v>
      </c>
      <c r="F196" s="289" t="str">
        <f>VLOOKUP(tabParametros[[#This Row],[Código do Posto]],tabPostos[],6,0)</f>
        <v>PGJ</v>
      </c>
      <c r="G196" s="289">
        <f>VLOOKUP(tabParametros[[#This Row],[Código do Posto]],tabPostos[],7,0)</f>
        <v>1</v>
      </c>
      <c r="H196" s="289">
        <f>VLOOKUP(tabParametros[[#This Row],[Código do Posto]],tabPostos[],8,0)</f>
        <v>0</v>
      </c>
      <c r="I196" s="234">
        <f>VLOOKUP(tabParametros[[#This Row],[Código do Posto]],tabPostos[],9,0)</f>
        <v>798.14</v>
      </c>
      <c r="J196" s="234">
        <f>IF(ISNUMBER(SEARCH("Eletricista",tabParametros[[#This Row],[Função]],1)),0.3*tabParametros[[#This Row],[Salário Base]],0)</f>
        <v>0</v>
      </c>
      <c r="K196" s="234">
        <f>IF(OR(ISNUMBER(SEARCH("Bombeiro Hidraulico",tabParametros[[#This Row],[Função]],1)),ISNUMBER(SEARCH("Jardineiro",tabParametros[[#This Row],[Função]],1)),ISNUMBER(SEARCH("Lavador de Veiculos",tabParametros[[#This Row],[Função]],1)),ISNUMBER(SEARCH("Marceneiro",tabParametros[[#This Row],[Função]],1)),ISNUMBER(SEARCH("Pintor",tabParametros[[#This Row],[Função]],1))),0.2*'BASE GERAL'!$R$4,0)</f>
        <v>0</v>
      </c>
      <c r="L196" s="234">
        <f>IF(AND(ISNUMBER(SEARCH("Noturno",tabParametros[[#This Row],[Função]],1)),tabParametros[[#This Row],[Comarca]]&lt;&gt;"Juiz de Fora"),tabParametros[[#This Row],[Salário Base]]/210*0.39*7*15.5,IF(ISNUMBER(SEARCH("Noturno",tabParametros[[#This Row],[Função]],1)),tabParametros[[#This Row],[Salário Base]]/210*0.2*8*15.5,0))</f>
        <v>0</v>
      </c>
      <c r="M196" s="234">
        <f>IF(ISNUMBER(SEARCH("Motorista II",tabParametros[[#This Row],[Função]],1)),0.25*tabParametros[[#This Row],[Salário Base]],0)</f>
        <v>0</v>
      </c>
      <c r="N196" s="250">
        <v>0</v>
      </c>
      <c r="O196" s="234">
        <f>IF(ISNUMBER(SEARCH("TECNOLOGIA DA INFORMACAO",tabParametros[[#This Row],[Função]],1)),0.0201*tabParametros[[#This Row],[Salário Base]],0)</f>
        <v>0</v>
      </c>
      <c r="P196" s="250" cm="1">
        <f t="array" ref="P196">_xlfn.IFS(
ISNUMBER(SEARCH("Auxiliar de Limpeza - 75 h",tabParametros[[#This Row],[Função]],1)),tabParametros[[#This Row],[Salário Base]]/75*0.75*30*0.12,
ISNUMBER(SEARCH("Auxiliar de Limpeza - 110 h",tabParametros[[#This Row],[Função]],1)),tabParametros[[#This Row],[Salário Base]]/110*1*30*0.12,
ISNUMBER(SEARCH("Auxiliar de Limpeza - 150 h",tabParametros[[#This Row],[Função]],1)),tabParametros[[#This Row],[Salário Base]]/150*1.5*30*0.12,
ISNUMBER(SEARCH("Auxiliar de Limpeza - 220 h",tabParametros[[#This Row],[Função]],1)),tabParametros[[#This Row],[Salário Base]]/220*2*30*0.12,
ISNUMBER(SEARCH("Auxiliar de Limpeza - 12 x 36",tabParametros[[#This Row],[Função]],1)),tabParametros[[#This Row],[Salário Base]]/220*2*30*0.12,
ISNUMBER(SEARCH("Auxiliar de Limpeza - 55 h",tabParametros[[#This Row],[Função]],1))=FALSE,0)</f>
        <v>26.120945454545453</v>
      </c>
      <c r="Q196" s="235">
        <f>VLOOKUP(tabParametros[[#Headers],[INSS]],tabImpostosNacionais[],2,0)</f>
        <v>0.2</v>
      </c>
      <c r="R196" s="235">
        <f>VLOOKUP(tabParametros[[#Headers],[SESI OU SESC]],tabImpostosNacionais[],2,0)</f>
        <v>1.4999999999999999E-2</v>
      </c>
      <c r="S196" s="235">
        <f>VLOOKUP(tabParametros[[#Headers],[SENAI OU SENAC]],tabImpostosNacionais[],2,0)</f>
        <v>0.01</v>
      </c>
      <c r="T196" s="235">
        <f>VLOOKUP(tabParametros[[#Headers],[INCRA]],tabImpostosNacionais[],2,0)</f>
        <v>2E-3</v>
      </c>
      <c r="U196" s="235">
        <f>VLOOKUP(tabParametros[[#Headers],[Salário Educação]],tabImpostosNacionais[],2,0)</f>
        <v>2.5000000000000001E-2</v>
      </c>
      <c r="V196" s="235">
        <f>VLOOKUP(tabParametros[[#Headers],[FGTS]],tabImpostosNacionais[],2,0)</f>
        <v>0.08</v>
      </c>
      <c r="W196" s="235">
        <f>VLOOKUP(tabParametros[[#Headers],[RAT Ajustado]],tabImpostosNacionais[],2,0)</f>
        <v>0.04</v>
      </c>
      <c r="X196" s="235">
        <f>VLOOKUP(tabParametros[[#Headers],[SEBRAE]],tabImpostosNacionais[],2,0)</f>
        <v>6.0000000000000001E-3</v>
      </c>
      <c r="Y196" s="235">
        <f t="shared" ref="Y196:Y255" si="33">1/12</f>
        <v>8.3333333333333329E-2</v>
      </c>
      <c r="Z196" s="251">
        <f t="shared" ref="Z196:Z255" si="34">1/12+1/12/3</f>
        <v>0.1111111111111111</v>
      </c>
      <c r="AA196" s="234">
        <f>VLOOKUP(tabParametros[[#This Row],[Comarca]],tabComarca[],5,0)</f>
        <v>6.4</v>
      </c>
      <c r="AB196" s="234">
        <f>IFERROR(VLOOKUP(tabParametros[[#This Row],[CCT DA CATEGORIA]],tabSindicatos[],6,0),0)</f>
        <v>29.15</v>
      </c>
      <c r="AC196" s="234">
        <f>IFERROR(VLOOKUP(tabParametros[[#This Row],[CCT DA CATEGORIA]],tabSindicatos[],7,0),0)</f>
        <v>0</v>
      </c>
      <c r="AD196" s="234" cm="1">
        <f t="array" ref="AD196">_xlfn.LET(
_xlpm.COMARCA, TRIM(UPPER(SUBSTITUTE(SUBSTITUTE(SUBSTITUTE(SUBSTITUTE(SUBSTITUTE(SUBSTITUTE(SUBSTITUTE(SUBSTITUTE(SUBSTITUTE(SUBSTITUTE(SUBSTITUTE(SUBSTITUTE(SUBSTITUTE(SUBSTITUTE(SUBSTITUTE(SUBSTITUTE(SUBSTITUTE(SUBSTITUTE(SUBSTITUTE(SUBSTITUTE(SUBSTITUTE(SUBSTITUTE(SUBSTITUTE(SUBSTITUTE(SUBSTITUTE(SUBSTITUTE(tabParametros[[#This Row],[Comarca]],"á","a"),"ã","a"),"â","a"),"é","e"),"ê","e"),"í","i"),"ó","o"),"õ","o"),"ô","o"),"ú","u"),"ç","c"),"Á","a"),"Ã","a"),"Â","a"),"É","e"),"Ê","e"),"Í","i"),"Ó","o"),"Õ","o"),"Ô","o"),"Ú","u"),"Ç","c"),"/MG","")," e ",", ")," ",""),".",""))),
_xlpm.MATRIZ_COMARCA, TRIM(UPPER(SUBSTITUTE(SUBSTITUTE(SUBSTITUTE(SUBSTITUTE(SUBSTITUTE(SUBSTITUTE(SUBSTITUTE(SUBSTITUTE(SUBSTITUTE(SUBSTITUTE(SUBSTITUTE(SUBSTITUTE(SUBSTITUTE(SUBSTITUTE(SUBSTITUTE(SUBSTITUTE(SUBSTITUTE(SUBSTITUTE(SUBSTITUTE(SUBSTITUTE(SUBSTITUTE(SUBSTITUTE(SUBSTITUTE(SUBSTITUTE(SUBSTITUTE(SUBSTITUTE(tabSindicatos[COMARCAS PAF],"á","a"),"ã","a"),"â","a"),"é","e"),"ê","e"),"í","i"),"ó","o"),"õ","o"),"ô","o"),"ú","u"),"ç","c"),"Á","a"),"Ã","a"),"Â","a"),"É","e"),"Ê","e"),"Í","i"),"Ó","o"),"Õ","o"),"Ô","o"),"Ú","u"),"Ç","c"),"/MG","")," e ",", ")," ",""),".",""))),
IFERROR(IF(_xlfn.XLOOKUP(tabParametros[[#This Row],[CCT DA CATEGORIA]],tabSindicatos[SINDICATOS],tabSindicatos[COMARCAS PAF])="",
VLOOKUP(tabParametros[[#This Row],[CCT DA CATEGORIA]],tabSindicatos[],8,0),
IF(ISNUMBER(SEARCH(TRIM(_xlpm.COMARCA),_xlfn.XLOOKUP(tabParametros[[#This Row],[CCT DA CATEGORIA]],tabSindicatos[SINDICATOS],_xlpm.MATRIZ_COMARCA),1)),VLOOKUP(tabParametros[[#This Row],[CCT DA CATEGORIA]],tabSindicatos[],8,0),0)
),0)
)</f>
        <v>0</v>
      </c>
      <c r="AE196" s="234">
        <f>IFERROR(VLOOKUP(tabParametros[[#This Row],[CCT DA CATEGORIA]],tabSindicatos[],9,0),0)</f>
        <v>0</v>
      </c>
      <c r="AF196" s="234">
        <f>IFERROR(VLOOKUP(tabParametros[[#This Row],[CCT DA CATEGORIA]],tabSindicatos[],10,0),0)</f>
        <v>0</v>
      </c>
      <c r="AG196" s="236">
        <f>VLOOKUP(tabParametros[[#Headers],[Seguro de Vida]],tabOutrosCustos[],3,0)</f>
        <v>3.36</v>
      </c>
      <c r="AH196" s="236">
        <f>IF(ISNUMBER(SEARCH("MOTORISTA",tabParametros[[#This Row],[Função]],1)),VLOOKUP("MOTORISTAS",tabDiarias[],2,0),IF(tabParametros[[#This Row],[Comarca]]="Belo Horizonte",VLOOKUP("LIMPEZA",tabDiarias[],2,0),0))</f>
        <v>0</v>
      </c>
      <c r="AI196" s="235">
        <f t="shared" ref="AI196:AI255" si="35">(1/12*7%)+((1+1+1/3)*1/12)*(7%/12)+((1/12*0.05)+((1+1+1/3)*1/12)*(7%/12))/30*3*5/60</f>
        <v>7.011766975308642E-3</v>
      </c>
      <c r="AJ196" s="237">
        <f>tabParametros[[#This Row],[FGTS]]*tabParametros[[#This Row],[Aviso Prévio Indenizado (API) e Reflexo do Aviso Prévio Indenizado]]</f>
        <v>5.609413580246914E-4</v>
      </c>
      <c r="AK196" s="237">
        <f>tabParametros[[#This Row],[FGTS]]*tabParametros[[#This Row],[Aviso Prévio Indenizado (API) e Reflexo do Aviso Prévio Indenizado]]*40%</f>
        <v>2.2437654320987658E-4</v>
      </c>
      <c r="AL196" s="235">
        <f t="shared" ref="AL196:AL255" si="36">((1/30*7)*0.9)/60</f>
        <v>3.5000000000000005E-3</v>
      </c>
      <c r="AM196" s="235">
        <f>tabParametros[[#This Row],[Aviso Prévio Trabalhado - APT]]*SUM(tabParametros[[#This Row],[INSS]:[SEBRAE]])</f>
        <v>1.3230000000000004E-3</v>
      </c>
      <c r="AN196" s="235">
        <f t="shared" ref="AN196:AN255" si="37">0.4*0.08*0.8*(1+1/12+1/12+1/3/12)</f>
        <v>3.0577777777777773E-2</v>
      </c>
      <c r="AO196" s="235">
        <f t="shared" ref="AO196:AO255" si="38">(1*1%)/12</f>
        <v>8.3333333333333339E-4</v>
      </c>
      <c r="AP196" s="235">
        <f t="shared" ref="AP196:AP255" si="39">1/30*3.04/12</f>
        <v>8.4444444444444437E-3</v>
      </c>
      <c r="AQ196" s="235">
        <f t="shared" ref="AQ196:AQ255" si="40">0.73/30/12</f>
        <v>2.0277777777777777E-3</v>
      </c>
      <c r="AR196" s="235">
        <f t="shared" ref="AR196:AR255" si="41">5/30/12*1.23%</f>
        <v>1.7083333333333333E-4</v>
      </c>
      <c r="AS196" s="235">
        <f t="shared" ref="AS196:AS255" si="42">1/30*15*0.5%/12</f>
        <v>2.0833333333333335E-4</v>
      </c>
      <c r="AT196" s="235">
        <f t="shared" ref="AT196:AT255" si="43">((1/12+1/12+1/3/12)*4/12)*2%</f>
        <v>1.2962962962962963E-3</v>
      </c>
      <c r="AU196" s="237">
        <f>SUM(tabParametros[[#This Row],[Ausência por Doença]:[Férias, Adicional de Férias e 13º  com empregada em gozo de Licença Maternidade]])*SUM(tabParametros[[#This Row],[INSS]:[SEBRAE]])</f>
        <v>4.5918250000000008E-3</v>
      </c>
      <c r="AV196" s="234">
        <f>IF(tabParametros[[#This Row],[Função]]="Porteiro - 220 h",SUM(tabParametros[[#This Row],[Salário Base]:[Adicional de Acúmulo de função]])/220*20*1.5,IF(ISNUMBER(SEARCH("12 x 36",tabParametros[[#This Row],[Função]],1)),SUM(tabParametros[[#This Row],[Salário Base]:[Adicional de Acúmulo de função]])/210*15.5*1.5,0))</f>
        <v>0</v>
      </c>
      <c r="AW196" s="234">
        <f>IF(tabParametros[[#This Row],[Vagas contratadas]]&gt;0,(SUM(tabParametros[[#This Row],[Salário Base]:[Adicional de Acúmulo de função]])*30%+SUM(tabParametros[[#This Row],[Vale - Alimentação]:[Seguro de Vida]]))/tabParametros[[#This Row],[Vagas contratadas]]*tabParametros[[#This Row],[Vagas suspensas]],0)</f>
        <v>0</v>
      </c>
      <c r="AX196" s="234">
        <f>SUMIF(tabUniformes[Cargo],tabParametros[[#This Row],[Função]],tabUniformes[Valor unit. Mensal])</f>
        <v>62.806666666666665</v>
      </c>
      <c r="AY196" s="281">
        <f>IF(ISNUMBER(SEARCH("AUXILIAR DE LIMPEZA - 75 H",tabParametros[[#This Row],[Função]],1)),
SUMIF(tabLimpGeral[TIPO],"Material",tabLimpGeral[VALOR UNITÁRIO P/ HORA (R$)])*75,
IF(ISNUMBER(SEARCH("AUXILIAR DE LIMPEZA - 110 H",tabParametros[[#This Row],[Função]],1)),
SUMIF(tabLimpGeral[TIPO],"Material",tabLimpGeral[VALOR UNITÁRIO P/ HORA (R$)])*110,
IF(ISNUMBER(SEARCH("AUXILIAR DE LIMPEZA - 150 H",tabParametros[[#This Row],[Função]],1)),
SUMIF(tabLimpGeral[TIPO],"Material",tabLimpGeral[VALOR UNITÁRIO P/ HORA (R$)])*150,
IF(ISNUMBER(SEARCH("AUXILIAR DE LIMPEZA - 220 H",tabParametros[[#This Row],[Função]],1)),
SUMIF(tabLimpGeral[TIPO],"Material",tabLimpGeral[VALOR UNITÁRIO P/ HORA (R$)])*220,
IF(ISNUMBER(SEARCH("AUXILIAR DE LIMPEZA - 12 x 36",tabParametros[[#This Row],[Função]],1)),
SUMIF(tabLimpGeral[TIPO],"Material",tabLimpGeral[VALOR UNITÁRIO P/ HORA (R$)])*220,
IF(ISNUMBER(SEARCH("Limpador de vidros - 220 h",tabParametros[[#This Row],[Função]],1)),
SUMIF(tabVidros[TIPO],"Material",tabVidros[VALOR UNITÁRIO P/ POSTO (R$)]),
0))))))</f>
        <v>17.759106479291944</v>
      </c>
      <c r="AZ196" s="281">
        <f>IF(ISNUMBER(SEARCH("AUXILIAR DE LIMPEZA - 75 H",tabParametros[[#This Row],[Função]],1)),
SUMIF(tabLimpGeral[TIPO],"Equipamento",tabLimpGeral[VALOR UNITÁRIO P/ HORA (R$)])*75,
IF(ISNUMBER(SEARCH("AUXILIAR DE LIMPEZA - 110 H",tabParametros[[#This Row],[Função]],1)),
SUMIF(tabLimpGeral[TIPO],"Equipamento",tabLimpGeral[VALOR UNITÁRIO P/ HORA (R$)])*110,
IF(ISNUMBER(SEARCH("AUXILIAR DE LIMPEZA - 150 H",tabParametros[[#This Row],[Função]],1)),
SUMIF(tabLimpGeral[TIPO],"Equipamento",tabLimpGeral[VALOR UNITÁRIO P/ HORA (R$)])*150,
IF(ISNUMBER(SEARCH("AUXILIAR DE LIMPEZA - 220 H",tabParametros[[#This Row],[Função]],1)),
SUMIF(tabLimpGeral[TIPO],"Equipamento",tabLimpGeral[VALOR UNITÁRIO P/ HORA (R$)])*220,
IF(ISNUMBER(SEARCH("AUXILIAR DE LIMPEZA - 12 x 36",tabParametros[[#This Row],[Função]],1)),
SUMIF(tabLimpGeral[TIPO],"Equipamento",tabLimpGeral[VALOR UNITÁRIO P/ HORA (R$)])*220,
IF(ISNUMBER(SEARCH("Limpador de vidros - 220 h",tabParametros[[#This Row],[Função]],1)),
SUMIF(tabVidros[TIPO],"Equipamento",tabVidros[VALOR UNITÁRIO P/ POSTO (R$)]),
0))))))</f>
        <v>32.264696957412788</v>
      </c>
      <c r="BA196" s="281">
        <f>IF(ISNUMBER(SEARCH("AUXILIAR DE LIMPEZA - 75 H",tabParametros[[#This Row],[Função]],1)),
SUMIF(tabLimpGeral[TIPO],"Produto",tabLimpGeral[VALOR UNITÁRIO P/ HORA (R$)])*75,
IF(ISNUMBER(SEARCH("AUXILIAR DE LIMPEZA - 110 H",tabParametros[[#This Row],[Função]],1)),
SUMIF(tabLimpGeral[TIPO],"Produto",tabLimpGeral[VALOR UNITÁRIO P/ HORA (R$)])*110,
IF(ISNUMBER(SEARCH("AUXILIAR DE LIMPEZA - 150 H",tabParametros[[#This Row],[Função]],1)),
SUMIF(tabLimpGeral[TIPO],"Produto",tabLimpGeral[VALOR UNITÁRIO P/ HORA (R$)])*150,
IF(ISNUMBER(SEARCH("AUXILIAR DE LIMPEZA - 220 H",tabParametros[[#This Row],[Função]],1)),
SUMIF(tabLimpGeral[TIPO],"Produto",tabLimpGeral[VALOR UNITÁRIO P/ HORA (R$)])*220,
IF(ISNUMBER(SEARCH("AUXILIAR DE LIMPEZA - 12 x 36",tabParametros[[#This Row],[Função]],1)),
SUMIF(tabLimpGeral[TIPO],"Produto",tabLimpGeral[VALOR UNITÁRIO P/ HORA (R$)])*220,
IF(ISNUMBER(SEARCH("Limpador de vidros - 220 h",tabParametros[[#This Row],[Função]],1)),
SUMIF(tabVidros[TIPO],"Produto",tabVidros[VALOR UNITÁRIO P/ POSTO (R$)]),
0))))))</f>
        <v>345.13576638965827</v>
      </c>
      <c r="BB196" s="281">
        <v>0</v>
      </c>
      <c r="BC196" s="236">
        <f>VLOOKUP(tabParametros[[#Headers],[Custos Indiretos]],tabOutrosCustos[],3,0)</f>
        <v>189.64880140242613</v>
      </c>
      <c r="BD196" s="236">
        <f>VLOOKUP(tabParametros[[#Headers],[Lucro]],tabOutrosCustos[],3,0)</f>
        <v>159.30499317803796</v>
      </c>
      <c r="BE196" s="235">
        <f>VLOOKUP(tabParametros[[#Headers],[COFINS]],tabImpostosNacionais[],2,0)</f>
        <v>7.5999999999999998E-2</v>
      </c>
      <c r="BF196" s="235">
        <f>VLOOKUP(tabParametros[[#Headers],[PIS]],tabImpostosNacionais[],2,0)</f>
        <v>1.6500000000000001E-2</v>
      </c>
      <c r="BG196" s="235">
        <f>VLOOKUP(tabParametros[[#This Row],[Comarca]],tabComarca[],4,0)</f>
        <v>0.02</v>
      </c>
      <c r="BH196" s="238">
        <f>IFERROR(VLOOKUP(tabParametros[[#This Row],[CCT DA CATEGORIA]],tabSindicatos[],11,0),"")</f>
        <v>45658</v>
      </c>
      <c r="BI196" s="289" t="str">
        <f>IFERROR(VLOOKUP(tabParametros[[#This Row],[CCT DA CATEGORIA]],tabSindicatos[],12,0),"")</f>
        <v>-</v>
      </c>
      <c r="BJ196" s="293" t="str">
        <f>IFERROR(VLOOKUP(tabParametros[[#This Row],[CCT DA CATEGORIA]],tabSindicatos[],13,0),"")</f>
        <v>-</v>
      </c>
    </row>
    <row r="197" spans="1:62" x14ac:dyDescent="0.25">
      <c r="A197" s="233" t="s">
        <v>1532</v>
      </c>
      <c r="B197" s="198" t="s">
        <v>178</v>
      </c>
      <c r="C197" s="198" t="s">
        <v>1245</v>
      </c>
      <c r="D197" s="198" t="str">
        <f>VLOOKUP(tabParametros[[#This Row],[Código do Posto]],tabPostos[],4,0)</f>
        <v>Regiao de Ouro Preto</v>
      </c>
      <c r="E197" s="289" t="str">
        <f>VLOOKUP(tabParametros[[#This Row],[Código do Posto]],tabPostos[],5,0)</f>
        <v>Limpeza</v>
      </c>
      <c r="F197" s="289" t="str">
        <f>VLOOKUP(tabParametros[[#This Row],[Código do Posto]],tabPostos[],6,0)</f>
        <v>PGJ</v>
      </c>
      <c r="G197" s="289">
        <f>VLOOKUP(tabParametros[[#This Row],[Código do Posto]],tabPostos[],7,0)</f>
        <v>2</v>
      </c>
      <c r="H197" s="289">
        <f>VLOOKUP(tabParametros[[#This Row],[Código do Posto]],tabPostos[],8,0)</f>
        <v>0</v>
      </c>
      <c r="I197" s="234">
        <f>VLOOKUP(tabParametros[[#This Row],[Código do Posto]],tabPostos[],9,0)</f>
        <v>1596.28</v>
      </c>
      <c r="J197" s="234">
        <f>IF(ISNUMBER(SEARCH("Eletricista",tabParametros[[#This Row],[Função]],1)),0.3*tabParametros[[#This Row],[Salário Base]],0)</f>
        <v>0</v>
      </c>
      <c r="K197" s="234">
        <f>IF(OR(ISNUMBER(SEARCH("Bombeiro Hidraulico",tabParametros[[#This Row],[Função]],1)),ISNUMBER(SEARCH("Jardineiro",tabParametros[[#This Row],[Função]],1)),ISNUMBER(SEARCH("Lavador de Veiculos",tabParametros[[#This Row],[Função]],1)),ISNUMBER(SEARCH("Marceneiro",tabParametros[[#This Row],[Função]],1)),ISNUMBER(SEARCH("Pintor",tabParametros[[#This Row],[Função]],1))),0.2*'BASE GERAL'!$R$4,0)</f>
        <v>0</v>
      </c>
      <c r="L197" s="234">
        <f>IF(AND(ISNUMBER(SEARCH("Noturno",tabParametros[[#This Row],[Função]],1)),tabParametros[[#This Row],[Comarca]]&lt;&gt;"Juiz de Fora"),tabParametros[[#This Row],[Salário Base]]/210*0.39*7*15.5,IF(ISNUMBER(SEARCH("Noturno",tabParametros[[#This Row],[Função]],1)),tabParametros[[#This Row],[Salário Base]]/210*0.2*8*15.5,0))</f>
        <v>0</v>
      </c>
      <c r="M197" s="234">
        <f>IF(ISNUMBER(SEARCH("Motorista II",tabParametros[[#This Row],[Função]],1)),0.25*tabParametros[[#This Row],[Salário Base]],0)</f>
        <v>0</v>
      </c>
      <c r="N197" s="250">
        <v>0</v>
      </c>
      <c r="O197" s="234">
        <f>IF(ISNUMBER(SEARCH("TECNOLOGIA DA INFORMACAO",tabParametros[[#This Row],[Função]],1)),0.0201*tabParametros[[#This Row],[Salário Base]],0)</f>
        <v>0</v>
      </c>
      <c r="P197" s="250" cm="1">
        <f t="array" ref="P197">_xlfn.IFS(
ISNUMBER(SEARCH("Auxiliar de Limpeza - 75 h",tabParametros[[#This Row],[Função]],1)),tabParametros[[#This Row],[Salário Base]]/75*0.75*30*0.12,
ISNUMBER(SEARCH("Auxiliar de Limpeza - 110 h",tabParametros[[#This Row],[Função]],1)),tabParametros[[#This Row],[Salário Base]]/110*1*30*0.12,
ISNUMBER(SEARCH("Auxiliar de Limpeza - 150 h",tabParametros[[#This Row],[Função]],1)),tabParametros[[#This Row],[Salário Base]]/150*1.5*30*0.12,
ISNUMBER(SEARCH("Auxiliar de Limpeza - 220 h",tabParametros[[#This Row],[Função]],1)),tabParametros[[#This Row],[Salário Base]]/220*2*30*0.12,
ISNUMBER(SEARCH("Auxiliar de Limpeza - 12 x 36",tabParametros[[#This Row],[Função]],1)),tabParametros[[#This Row],[Salário Base]]/220*2*30*0.12,
ISNUMBER(SEARCH("Auxiliar de Limpeza - 55 h",tabParametros[[#This Row],[Função]],1))=FALSE,0)</f>
        <v>52.241890909090905</v>
      </c>
      <c r="Q197" s="235">
        <f>VLOOKUP(tabParametros[[#Headers],[INSS]],tabImpostosNacionais[],2,0)</f>
        <v>0.2</v>
      </c>
      <c r="R197" s="235">
        <f>VLOOKUP(tabParametros[[#Headers],[SESI OU SESC]],tabImpostosNacionais[],2,0)</f>
        <v>1.4999999999999999E-2</v>
      </c>
      <c r="S197" s="235">
        <f>VLOOKUP(tabParametros[[#Headers],[SENAI OU SENAC]],tabImpostosNacionais[],2,0)</f>
        <v>0.01</v>
      </c>
      <c r="T197" s="235">
        <f>VLOOKUP(tabParametros[[#Headers],[INCRA]],tabImpostosNacionais[],2,0)</f>
        <v>2E-3</v>
      </c>
      <c r="U197" s="235">
        <f>VLOOKUP(tabParametros[[#Headers],[Salário Educação]],tabImpostosNacionais[],2,0)</f>
        <v>2.5000000000000001E-2</v>
      </c>
      <c r="V197" s="235">
        <f>VLOOKUP(tabParametros[[#Headers],[FGTS]],tabImpostosNacionais[],2,0)</f>
        <v>0.08</v>
      </c>
      <c r="W197" s="235">
        <f>VLOOKUP(tabParametros[[#Headers],[RAT Ajustado]],tabImpostosNacionais[],2,0)</f>
        <v>0.04</v>
      </c>
      <c r="X197" s="235">
        <f>VLOOKUP(tabParametros[[#Headers],[SEBRAE]],tabImpostosNacionais[],2,0)</f>
        <v>6.0000000000000001E-3</v>
      </c>
      <c r="Y197" s="235">
        <f t="shared" si="33"/>
        <v>8.3333333333333329E-2</v>
      </c>
      <c r="Z197" s="251">
        <f t="shared" si="34"/>
        <v>0.1111111111111111</v>
      </c>
      <c r="AA197" s="234">
        <f>VLOOKUP(tabParametros[[#This Row],[Comarca]],tabComarca[],5,0)</f>
        <v>6.4</v>
      </c>
      <c r="AB197" s="234">
        <f>IFERROR(VLOOKUP(tabParametros[[#This Row],[CCT DA CATEGORIA]],tabSindicatos[],6,0),0)</f>
        <v>29.15</v>
      </c>
      <c r="AC197" s="234">
        <f>IFERROR(VLOOKUP(tabParametros[[#This Row],[CCT DA CATEGORIA]],tabSindicatos[],7,0),0)</f>
        <v>0</v>
      </c>
      <c r="AD197" s="234" cm="1">
        <f t="array" ref="AD197">_xlfn.LET(
_xlpm.COMARCA, TRIM(UPPER(SUBSTITUTE(SUBSTITUTE(SUBSTITUTE(SUBSTITUTE(SUBSTITUTE(SUBSTITUTE(SUBSTITUTE(SUBSTITUTE(SUBSTITUTE(SUBSTITUTE(SUBSTITUTE(SUBSTITUTE(SUBSTITUTE(SUBSTITUTE(SUBSTITUTE(SUBSTITUTE(SUBSTITUTE(SUBSTITUTE(SUBSTITUTE(SUBSTITUTE(SUBSTITUTE(SUBSTITUTE(SUBSTITUTE(SUBSTITUTE(SUBSTITUTE(SUBSTITUTE(tabParametros[[#This Row],[Comarca]],"á","a"),"ã","a"),"â","a"),"é","e"),"ê","e"),"í","i"),"ó","o"),"õ","o"),"ô","o"),"ú","u"),"ç","c"),"Á","a"),"Ã","a"),"Â","a"),"É","e"),"Ê","e"),"Í","i"),"Ó","o"),"Õ","o"),"Ô","o"),"Ú","u"),"Ç","c"),"/MG","")," e ",", ")," ",""),".",""))),
_xlpm.MATRIZ_COMARCA, TRIM(UPPER(SUBSTITUTE(SUBSTITUTE(SUBSTITUTE(SUBSTITUTE(SUBSTITUTE(SUBSTITUTE(SUBSTITUTE(SUBSTITUTE(SUBSTITUTE(SUBSTITUTE(SUBSTITUTE(SUBSTITUTE(SUBSTITUTE(SUBSTITUTE(SUBSTITUTE(SUBSTITUTE(SUBSTITUTE(SUBSTITUTE(SUBSTITUTE(SUBSTITUTE(SUBSTITUTE(SUBSTITUTE(SUBSTITUTE(SUBSTITUTE(SUBSTITUTE(SUBSTITUTE(tabSindicatos[COMARCAS PAF],"á","a"),"ã","a"),"â","a"),"é","e"),"ê","e"),"í","i"),"ó","o"),"õ","o"),"ô","o"),"ú","u"),"ç","c"),"Á","a"),"Ã","a"),"Â","a"),"É","e"),"Ê","e"),"Í","i"),"Ó","o"),"Õ","o"),"Ô","o"),"Ú","u"),"Ç","c"),"/MG","")," e ",", ")," ",""),".",""))),
IFERROR(IF(_xlfn.XLOOKUP(tabParametros[[#This Row],[CCT DA CATEGORIA]],tabSindicatos[SINDICATOS],tabSindicatos[COMARCAS PAF])="",
VLOOKUP(tabParametros[[#This Row],[CCT DA CATEGORIA]],tabSindicatos[],8,0),
IF(ISNUMBER(SEARCH(TRIM(_xlpm.COMARCA),_xlfn.XLOOKUP(tabParametros[[#This Row],[CCT DA CATEGORIA]],tabSindicatos[SINDICATOS],_xlpm.MATRIZ_COMARCA),1)),VLOOKUP(tabParametros[[#This Row],[CCT DA CATEGORIA]],tabSindicatos[],8,0),0)
),0)
)</f>
        <v>0</v>
      </c>
      <c r="AE197" s="234">
        <f>IFERROR(VLOOKUP(tabParametros[[#This Row],[CCT DA CATEGORIA]],tabSindicatos[],9,0),0)</f>
        <v>0</v>
      </c>
      <c r="AF197" s="234">
        <f>IFERROR(VLOOKUP(tabParametros[[#This Row],[CCT DA CATEGORIA]],tabSindicatos[],10,0),0)</f>
        <v>0</v>
      </c>
      <c r="AG197" s="236">
        <f>VLOOKUP(tabParametros[[#Headers],[Seguro de Vida]],tabOutrosCustos[],3,0)</f>
        <v>3.36</v>
      </c>
      <c r="AH197" s="236">
        <f>IF(ISNUMBER(SEARCH("MOTORISTA",tabParametros[[#This Row],[Função]],1)),VLOOKUP("MOTORISTAS",tabDiarias[],2,0),IF(tabParametros[[#This Row],[Comarca]]="Belo Horizonte",VLOOKUP("LIMPEZA",tabDiarias[],2,0),0))</f>
        <v>0</v>
      </c>
      <c r="AI197" s="235">
        <f t="shared" si="35"/>
        <v>7.011766975308642E-3</v>
      </c>
      <c r="AJ197" s="237">
        <f>tabParametros[[#This Row],[FGTS]]*tabParametros[[#This Row],[Aviso Prévio Indenizado (API) e Reflexo do Aviso Prévio Indenizado]]</f>
        <v>5.609413580246914E-4</v>
      </c>
      <c r="AK197" s="237">
        <f>tabParametros[[#This Row],[FGTS]]*tabParametros[[#This Row],[Aviso Prévio Indenizado (API) e Reflexo do Aviso Prévio Indenizado]]*40%</f>
        <v>2.2437654320987658E-4</v>
      </c>
      <c r="AL197" s="235">
        <f t="shared" si="36"/>
        <v>3.5000000000000005E-3</v>
      </c>
      <c r="AM197" s="235">
        <f>tabParametros[[#This Row],[Aviso Prévio Trabalhado - APT]]*SUM(tabParametros[[#This Row],[INSS]:[SEBRAE]])</f>
        <v>1.3230000000000004E-3</v>
      </c>
      <c r="AN197" s="235">
        <f t="shared" si="37"/>
        <v>3.0577777777777773E-2</v>
      </c>
      <c r="AO197" s="235">
        <f t="shared" si="38"/>
        <v>8.3333333333333339E-4</v>
      </c>
      <c r="AP197" s="235">
        <f t="shared" si="39"/>
        <v>8.4444444444444437E-3</v>
      </c>
      <c r="AQ197" s="235">
        <f t="shared" si="40"/>
        <v>2.0277777777777777E-3</v>
      </c>
      <c r="AR197" s="235">
        <f t="shared" si="41"/>
        <v>1.7083333333333333E-4</v>
      </c>
      <c r="AS197" s="235">
        <f t="shared" si="42"/>
        <v>2.0833333333333335E-4</v>
      </c>
      <c r="AT197" s="235">
        <f t="shared" si="43"/>
        <v>1.2962962962962963E-3</v>
      </c>
      <c r="AU197" s="237">
        <f>SUM(tabParametros[[#This Row],[Ausência por Doença]:[Férias, Adicional de Férias e 13º  com empregada em gozo de Licença Maternidade]])*SUM(tabParametros[[#This Row],[INSS]:[SEBRAE]])</f>
        <v>4.5918250000000008E-3</v>
      </c>
      <c r="AV197" s="234">
        <f>IF(tabParametros[[#This Row],[Função]]="Porteiro - 220 h",SUM(tabParametros[[#This Row],[Salário Base]:[Adicional de Acúmulo de função]])/220*20*1.5,IF(ISNUMBER(SEARCH("12 x 36",tabParametros[[#This Row],[Função]],1)),SUM(tabParametros[[#This Row],[Salário Base]:[Adicional de Acúmulo de função]])/210*15.5*1.5,0))</f>
        <v>0</v>
      </c>
      <c r="AW197" s="234">
        <f>IF(tabParametros[[#This Row],[Vagas contratadas]]&gt;0,(SUM(tabParametros[[#This Row],[Salário Base]:[Adicional de Acúmulo de função]])*30%+SUM(tabParametros[[#This Row],[Vale - Alimentação]:[Seguro de Vida]]))/tabParametros[[#This Row],[Vagas contratadas]]*tabParametros[[#This Row],[Vagas suspensas]],0)</f>
        <v>0</v>
      </c>
      <c r="AX197" s="234">
        <f>SUMIF(tabUniformes[Cargo],tabParametros[[#This Row],[Função]],tabUniformes[Valor unit. Mensal])</f>
        <v>100.80916666666666</v>
      </c>
      <c r="AY197" s="281">
        <f>IF(ISNUMBER(SEARCH("AUXILIAR DE LIMPEZA - 75 H",tabParametros[[#This Row],[Função]],1)),
SUMIF(tabLimpGeral[TIPO],"Material",tabLimpGeral[VALOR UNITÁRIO P/ HORA (R$)])*75,
IF(ISNUMBER(SEARCH("AUXILIAR DE LIMPEZA - 110 H",tabParametros[[#This Row],[Função]],1)),
SUMIF(tabLimpGeral[TIPO],"Material",tabLimpGeral[VALOR UNITÁRIO P/ HORA (R$)])*110,
IF(ISNUMBER(SEARCH("AUXILIAR DE LIMPEZA - 150 H",tabParametros[[#This Row],[Função]],1)),
SUMIF(tabLimpGeral[TIPO],"Material",tabLimpGeral[VALOR UNITÁRIO P/ HORA (R$)])*150,
IF(ISNUMBER(SEARCH("AUXILIAR DE LIMPEZA - 220 H",tabParametros[[#This Row],[Função]],1)),
SUMIF(tabLimpGeral[TIPO],"Material",tabLimpGeral[VALOR UNITÁRIO P/ HORA (R$)])*220,
IF(ISNUMBER(SEARCH("AUXILIAR DE LIMPEZA - 12 x 36",tabParametros[[#This Row],[Função]],1)),
SUMIF(tabLimpGeral[TIPO],"Material",tabLimpGeral[VALOR UNITÁRIO P/ HORA (R$)])*220,
IF(ISNUMBER(SEARCH("Limpador de vidros - 220 h",tabParametros[[#This Row],[Função]],1)),
SUMIF(tabVidros[TIPO],"Material",tabVidros[VALOR UNITÁRIO P/ POSTO (R$)]),
0))))))</f>
        <v>35.518212958583888</v>
      </c>
      <c r="AZ197" s="281">
        <f>IF(ISNUMBER(SEARCH("AUXILIAR DE LIMPEZA - 75 H",tabParametros[[#This Row],[Função]],1)),
SUMIF(tabLimpGeral[TIPO],"Equipamento",tabLimpGeral[VALOR UNITÁRIO P/ HORA (R$)])*75,
IF(ISNUMBER(SEARCH("AUXILIAR DE LIMPEZA - 110 H",tabParametros[[#This Row],[Função]],1)),
SUMIF(tabLimpGeral[TIPO],"Equipamento",tabLimpGeral[VALOR UNITÁRIO P/ HORA (R$)])*110,
IF(ISNUMBER(SEARCH("AUXILIAR DE LIMPEZA - 150 H",tabParametros[[#This Row],[Função]],1)),
SUMIF(tabLimpGeral[TIPO],"Equipamento",tabLimpGeral[VALOR UNITÁRIO P/ HORA (R$)])*150,
IF(ISNUMBER(SEARCH("AUXILIAR DE LIMPEZA - 220 H",tabParametros[[#This Row],[Função]],1)),
SUMIF(tabLimpGeral[TIPO],"Equipamento",tabLimpGeral[VALOR UNITÁRIO P/ HORA (R$)])*220,
IF(ISNUMBER(SEARCH("AUXILIAR DE LIMPEZA - 12 x 36",tabParametros[[#This Row],[Função]],1)),
SUMIF(tabLimpGeral[TIPO],"Equipamento",tabLimpGeral[VALOR UNITÁRIO P/ HORA (R$)])*220,
IF(ISNUMBER(SEARCH("Limpador de vidros - 220 h",tabParametros[[#This Row],[Função]],1)),
SUMIF(tabVidros[TIPO],"Equipamento",tabVidros[VALOR UNITÁRIO P/ POSTO (R$)]),
0))))))</f>
        <v>64.529393914825576</v>
      </c>
      <c r="BA197" s="281">
        <f>IF(ISNUMBER(SEARCH("AUXILIAR DE LIMPEZA - 75 H",tabParametros[[#This Row],[Função]],1)),
SUMIF(tabLimpGeral[TIPO],"Produto",tabLimpGeral[VALOR UNITÁRIO P/ HORA (R$)])*75,
IF(ISNUMBER(SEARCH("AUXILIAR DE LIMPEZA - 110 H",tabParametros[[#This Row],[Função]],1)),
SUMIF(tabLimpGeral[TIPO],"Produto",tabLimpGeral[VALOR UNITÁRIO P/ HORA (R$)])*110,
IF(ISNUMBER(SEARCH("AUXILIAR DE LIMPEZA - 150 H",tabParametros[[#This Row],[Função]],1)),
SUMIF(tabLimpGeral[TIPO],"Produto",tabLimpGeral[VALOR UNITÁRIO P/ HORA (R$)])*150,
IF(ISNUMBER(SEARCH("AUXILIAR DE LIMPEZA - 220 H",tabParametros[[#This Row],[Função]],1)),
SUMIF(tabLimpGeral[TIPO],"Produto",tabLimpGeral[VALOR UNITÁRIO P/ HORA (R$)])*220,
IF(ISNUMBER(SEARCH("AUXILIAR DE LIMPEZA - 12 x 36",tabParametros[[#This Row],[Função]],1)),
SUMIF(tabLimpGeral[TIPO],"Produto",tabLimpGeral[VALOR UNITÁRIO P/ HORA (R$)])*220,
IF(ISNUMBER(SEARCH("Limpador de vidros - 220 h",tabParametros[[#This Row],[Função]],1)),
SUMIF(tabVidros[TIPO],"Produto",tabVidros[VALOR UNITÁRIO P/ POSTO (R$)]),
0))))))</f>
        <v>690.27153277931654</v>
      </c>
      <c r="BB197" s="281">
        <v>0</v>
      </c>
      <c r="BC197" s="236">
        <f>VLOOKUP(tabParametros[[#Headers],[Custos Indiretos]],tabOutrosCustos[],3,0)</f>
        <v>189.64880140242613</v>
      </c>
      <c r="BD197" s="236">
        <f>VLOOKUP(tabParametros[[#Headers],[Lucro]],tabOutrosCustos[],3,0)</f>
        <v>159.30499317803796</v>
      </c>
      <c r="BE197" s="235">
        <f>VLOOKUP(tabParametros[[#Headers],[COFINS]],tabImpostosNacionais[],2,0)</f>
        <v>7.5999999999999998E-2</v>
      </c>
      <c r="BF197" s="235">
        <f>VLOOKUP(tabParametros[[#Headers],[PIS]],tabImpostosNacionais[],2,0)</f>
        <v>1.6500000000000001E-2</v>
      </c>
      <c r="BG197" s="235">
        <f>VLOOKUP(tabParametros[[#This Row],[Comarca]],tabComarca[],4,0)</f>
        <v>0.03</v>
      </c>
      <c r="BH197" s="238">
        <f>IFERROR(VLOOKUP(tabParametros[[#This Row],[CCT DA CATEGORIA]],tabSindicatos[],11,0),"")</f>
        <v>45658</v>
      </c>
      <c r="BI197" s="289" t="str">
        <f>IFERROR(VLOOKUP(tabParametros[[#This Row],[CCT DA CATEGORIA]],tabSindicatos[],12,0),"")</f>
        <v>-</v>
      </c>
      <c r="BJ197" s="293" t="str">
        <f>IFERROR(VLOOKUP(tabParametros[[#This Row],[CCT DA CATEGORIA]],tabSindicatos[],13,0),"")</f>
        <v>-</v>
      </c>
    </row>
    <row r="198" spans="1:62" x14ac:dyDescent="0.25">
      <c r="A198" s="233" t="s">
        <v>1533</v>
      </c>
      <c r="B198" s="198" t="s">
        <v>179</v>
      </c>
      <c r="C198" s="198" t="s">
        <v>1244</v>
      </c>
      <c r="D198" s="198" t="str">
        <f>VLOOKUP(tabParametros[[#This Row],[Código do Posto]],tabPostos[],4,0)</f>
        <v>Sethac Norte de Minas</v>
      </c>
      <c r="E198" s="289" t="str">
        <f>VLOOKUP(tabParametros[[#This Row],[Código do Posto]],tabPostos[],5,0)</f>
        <v>Limpeza</v>
      </c>
      <c r="F198" s="289" t="str">
        <f>VLOOKUP(tabParametros[[#This Row],[Código do Posto]],tabPostos[],6,0)</f>
        <v>PGJ</v>
      </c>
      <c r="G198" s="289">
        <f>VLOOKUP(tabParametros[[#This Row],[Código do Posto]],tabPostos[],7,0)</f>
        <v>1</v>
      </c>
      <c r="H198" s="289">
        <f>VLOOKUP(tabParametros[[#This Row],[Código do Posto]],tabPostos[],8,0)</f>
        <v>0</v>
      </c>
      <c r="I198" s="234">
        <f>VLOOKUP(tabParametros[[#This Row],[Código do Posto]],tabPostos[],9,0)</f>
        <v>798.14</v>
      </c>
      <c r="J198" s="234">
        <f>IF(ISNUMBER(SEARCH("Eletricista",tabParametros[[#This Row],[Função]],1)),0.3*tabParametros[[#This Row],[Salário Base]],0)</f>
        <v>0</v>
      </c>
      <c r="K198" s="234">
        <f>IF(OR(ISNUMBER(SEARCH("Bombeiro Hidraulico",tabParametros[[#This Row],[Função]],1)),ISNUMBER(SEARCH("Jardineiro",tabParametros[[#This Row],[Função]],1)),ISNUMBER(SEARCH("Lavador de Veiculos",tabParametros[[#This Row],[Função]],1)),ISNUMBER(SEARCH("Marceneiro",tabParametros[[#This Row],[Função]],1)),ISNUMBER(SEARCH("Pintor",tabParametros[[#This Row],[Função]],1))),0.2*'BASE GERAL'!$R$4,0)</f>
        <v>0</v>
      </c>
      <c r="L198" s="234">
        <f>IF(AND(ISNUMBER(SEARCH("Noturno",tabParametros[[#This Row],[Função]],1)),tabParametros[[#This Row],[Comarca]]&lt;&gt;"Juiz de Fora"),tabParametros[[#This Row],[Salário Base]]/210*0.39*7*15.5,IF(ISNUMBER(SEARCH("Noturno",tabParametros[[#This Row],[Função]],1)),tabParametros[[#This Row],[Salário Base]]/210*0.2*8*15.5,0))</f>
        <v>0</v>
      </c>
      <c r="M198" s="234">
        <f>IF(ISNUMBER(SEARCH("Motorista II",tabParametros[[#This Row],[Função]],1)),0.25*tabParametros[[#This Row],[Salário Base]],0)</f>
        <v>0</v>
      </c>
      <c r="N198" s="250">
        <v>0</v>
      </c>
      <c r="O198" s="234">
        <f>IF(ISNUMBER(SEARCH("TECNOLOGIA DA INFORMACAO",tabParametros[[#This Row],[Função]],1)),0.0201*tabParametros[[#This Row],[Salário Base]],0)</f>
        <v>0</v>
      </c>
      <c r="P198" s="250" cm="1">
        <f t="array" ref="P198">_xlfn.IFS(
ISNUMBER(SEARCH("Auxiliar de Limpeza - 75 h",tabParametros[[#This Row],[Função]],1)),tabParametros[[#This Row],[Salário Base]]/75*0.75*30*0.12,
ISNUMBER(SEARCH("Auxiliar de Limpeza - 110 h",tabParametros[[#This Row],[Função]],1)),tabParametros[[#This Row],[Salário Base]]/110*1*30*0.12,
ISNUMBER(SEARCH("Auxiliar de Limpeza - 150 h",tabParametros[[#This Row],[Função]],1)),tabParametros[[#This Row],[Salário Base]]/150*1.5*30*0.12,
ISNUMBER(SEARCH("Auxiliar de Limpeza - 220 h",tabParametros[[#This Row],[Função]],1)),tabParametros[[#This Row],[Salário Base]]/220*2*30*0.12,
ISNUMBER(SEARCH("Auxiliar de Limpeza - 12 x 36",tabParametros[[#This Row],[Função]],1)),tabParametros[[#This Row],[Salário Base]]/220*2*30*0.12,
ISNUMBER(SEARCH("Auxiliar de Limpeza - 55 h",tabParametros[[#This Row],[Função]],1))=FALSE,0)</f>
        <v>26.120945454545453</v>
      </c>
      <c r="Q198" s="235">
        <f>VLOOKUP(tabParametros[[#Headers],[INSS]],tabImpostosNacionais[],2,0)</f>
        <v>0.2</v>
      </c>
      <c r="R198" s="235">
        <f>VLOOKUP(tabParametros[[#Headers],[SESI OU SESC]],tabImpostosNacionais[],2,0)</f>
        <v>1.4999999999999999E-2</v>
      </c>
      <c r="S198" s="235">
        <f>VLOOKUP(tabParametros[[#Headers],[SENAI OU SENAC]],tabImpostosNacionais[],2,0)</f>
        <v>0.01</v>
      </c>
      <c r="T198" s="235">
        <f>VLOOKUP(tabParametros[[#Headers],[INCRA]],tabImpostosNacionais[],2,0)</f>
        <v>2E-3</v>
      </c>
      <c r="U198" s="235">
        <f>VLOOKUP(tabParametros[[#Headers],[Salário Educação]],tabImpostosNacionais[],2,0)</f>
        <v>2.5000000000000001E-2</v>
      </c>
      <c r="V198" s="235">
        <f>VLOOKUP(tabParametros[[#Headers],[FGTS]],tabImpostosNacionais[],2,0)</f>
        <v>0.08</v>
      </c>
      <c r="W198" s="235">
        <f>VLOOKUP(tabParametros[[#Headers],[RAT Ajustado]],tabImpostosNacionais[],2,0)</f>
        <v>0.04</v>
      </c>
      <c r="X198" s="235">
        <f>VLOOKUP(tabParametros[[#Headers],[SEBRAE]],tabImpostosNacionais[],2,0)</f>
        <v>6.0000000000000001E-3</v>
      </c>
      <c r="Y198" s="235">
        <f t="shared" si="33"/>
        <v>8.3333333333333329E-2</v>
      </c>
      <c r="Z198" s="251">
        <f t="shared" si="34"/>
        <v>0.1111111111111111</v>
      </c>
      <c r="AA198" s="234">
        <f>VLOOKUP(tabParametros[[#This Row],[Comarca]],tabComarca[],5,0)</f>
        <v>6.4</v>
      </c>
      <c r="AB198" s="234">
        <f>IFERROR(VLOOKUP(tabParametros[[#This Row],[CCT DA CATEGORIA]],tabSindicatos[],6,0),0)</f>
        <v>29.15</v>
      </c>
      <c r="AC198" s="234">
        <f>IFERROR(VLOOKUP(tabParametros[[#This Row],[CCT DA CATEGORIA]],tabSindicatos[],7,0),0)</f>
        <v>0</v>
      </c>
      <c r="AD198" s="234" cm="1">
        <f t="array" ref="AD198">_xlfn.LET(
_xlpm.COMARCA, TRIM(UPPER(SUBSTITUTE(SUBSTITUTE(SUBSTITUTE(SUBSTITUTE(SUBSTITUTE(SUBSTITUTE(SUBSTITUTE(SUBSTITUTE(SUBSTITUTE(SUBSTITUTE(SUBSTITUTE(SUBSTITUTE(SUBSTITUTE(SUBSTITUTE(SUBSTITUTE(SUBSTITUTE(SUBSTITUTE(SUBSTITUTE(SUBSTITUTE(SUBSTITUTE(SUBSTITUTE(SUBSTITUTE(SUBSTITUTE(SUBSTITUTE(SUBSTITUTE(SUBSTITUTE(tabParametros[[#This Row],[Comarca]],"á","a"),"ã","a"),"â","a"),"é","e"),"ê","e"),"í","i"),"ó","o"),"õ","o"),"ô","o"),"ú","u"),"ç","c"),"Á","a"),"Ã","a"),"Â","a"),"É","e"),"Ê","e"),"Í","i"),"Ó","o"),"Õ","o"),"Ô","o"),"Ú","u"),"Ç","c"),"/MG","")," e ",", ")," ",""),".",""))),
_xlpm.MATRIZ_COMARCA, TRIM(UPPER(SUBSTITUTE(SUBSTITUTE(SUBSTITUTE(SUBSTITUTE(SUBSTITUTE(SUBSTITUTE(SUBSTITUTE(SUBSTITUTE(SUBSTITUTE(SUBSTITUTE(SUBSTITUTE(SUBSTITUTE(SUBSTITUTE(SUBSTITUTE(SUBSTITUTE(SUBSTITUTE(SUBSTITUTE(SUBSTITUTE(SUBSTITUTE(SUBSTITUTE(SUBSTITUTE(SUBSTITUTE(SUBSTITUTE(SUBSTITUTE(SUBSTITUTE(SUBSTITUTE(tabSindicatos[COMARCAS PAF],"á","a"),"ã","a"),"â","a"),"é","e"),"ê","e"),"í","i"),"ó","o"),"õ","o"),"ô","o"),"ú","u"),"ç","c"),"Á","a"),"Ã","a"),"Â","a"),"É","e"),"Ê","e"),"Í","i"),"Ó","o"),"Õ","o"),"Ô","o"),"Ú","u"),"Ç","c"),"/MG","")," e ",", ")," ",""),".",""))),
IFERROR(IF(_xlfn.XLOOKUP(tabParametros[[#This Row],[CCT DA CATEGORIA]],tabSindicatos[SINDICATOS],tabSindicatos[COMARCAS PAF])="",
VLOOKUP(tabParametros[[#This Row],[CCT DA CATEGORIA]],tabSindicatos[],8,0),
IF(ISNUMBER(SEARCH(TRIM(_xlpm.COMARCA),_xlfn.XLOOKUP(tabParametros[[#This Row],[CCT DA CATEGORIA]],tabSindicatos[SINDICATOS],_xlpm.MATRIZ_COMARCA),1)),VLOOKUP(tabParametros[[#This Row],[CCT DA CATEGORIA]],tabSindicatos[],8,0),0)
),0)
)</f>
        <v>0</v>
      </c>
      <c r="AE198" s="234">
        <f>IFERROR(VLOOKUP(tabParametros[[#This Row],[CCT DA CATEGORIA]],tabSindicatos[],9,0),0)</f>
        <v>0</v>
      </c>
      <c r="AF198" s="234">
        <f>IFERROR(VLOOKUP(tabParametros[[#This Row],[CCT DA CATEGORIA]],tabSindicatos[],10,0),0)</f>
        <v>0</v>
      </c>
      <c r="AG198" s="236">
        <f>VLOOKUP(tabParametros[[#Headers],[Seguro de Vida]],tabOutrosCustos[],3,0)</f>
        <v>3.36</v>
      </c>
      <c r="AH198" s="236">
        <f>IF(ISNUMBER(SEARCH("MOTORISTA",tabParametros[[#This Row],[Função]],1)),VLOOKUP("MOTORISTAS",tabDiarias[],2,0),IF(tabParametros[[#This Row],[Comarca]]="Belo Horizonte",VLOOKUP("LIMPEZA",tabDiarias[],2,0),0))</f>
        <v>0</v>
      </c>
      <c r="AI198" s="235">
        <f t="shared" si="35"/>
        <v>7.011766975308642E-3</v>
      </c>
      <c r="AJ198" s="237">
        <f>tabParametros[[#This Row],[FGTS]]*tabParametros[[#This Row],[Aviso Prévio Indenizado (API) e Reflexo do Aviso Prévio Indenizado]]</f>
        <v>5.609413580246914E-4</v>
      </c>
      <c r="AK198" s="237">
        <f>tabParametros[[#This Row],[FGTS]]*tabParametros[[#This Row],[Aviso Prévio Indenizado (API) e Reflexo do Aviso Prévio Indenizado]]*40%</f>
        <v>2.2437654320987658E-4</v>
      </c>
      <c r="AL198" s="235">
        <f t="shared" si="36"/>
        <v>3.5000000000000005E-3</v>
      </c>
      <c r="AM198" s="235">
        <f>tabParametros[[#This Row],[Aviso Prévio Trabalhado - APT]]*SUM(tabParametros[[#This Row],[INSS]:[SEBRAE]])</f>
        <v>1.3230000000000004E-3</v>
      </c>
      <c r="AN198" s="235">
        <f t="shared" si="37"/>
        <v>3.0577777777777773E-2</v>
      </c>
      <c r="AO198" s="235">
        <f t="shared" si="38"/>
        <v>8.3333333333333339E-4</v>
      </c>
      <c r="AP198" s="235">
        <f t="shared" si="39"/>
        <v>8.4444444444444437E-3</v>
      </c>
      <c r="AQ198" s="235">
        <f t="shared" si="40"/>
        <v>2.0277777777777777E-3</v>
      </c>
      <c r="AR198" s="235">
        <f t="shared" si="41"/>
        <v>1.7083333333333333E-4</v>
      </c>
      <c r="AS198" s="235">
        <f t="shared" si="42"/>
        <v>2.0833333333333335E-4</v>
      </c>
      <c r="AT198" s="235">
        <f t="shared" si="43"/>
        <v>1.2962962962962963E-3</v>
      </c>
      <c r="AU198" s="237">
        <f>SUM(tabParametros[[#This Row],[Ausência por Doença]:[Férias, Adicional de Férias e 13º  com empregada em gozo de Licença Maternidade]])*SUM(tabParametros[[#This Row],[INSS]:[SEBRAE]])</f>
        <v>4.5918250000000008E-3</v>
      </c>
      <c r="AV198" s="234">
        <f>IF(tabParametros[[#This Row],[Função]]="Porteiro - 220 h",SUM(tabParametros[[#This Row],[Salário Base]:[Adicional de Acúmulo de função]])/220*20*1.5,IF(ISNUMBER(SEARCH("12 x 36",tabParametros[[#This Row],[Função]],1)),SUM(tabParametros[[#This Row],[Salário Base]:[Adicional de Acúmulo de função]])/210*15.5*1.5,0))</f>
        <v>0</v>
      </c>
      <c r="AW198" s="234">
        <f>IF(tabParametros[[#This Row],[Vagas contratadas]]&gt;0,(SUM(tabParametros[[#This Row],[Salário Base]:[Adicional de Acúmulo de função]])*30%+SUM(tabParametros[[#This Row],[Vale - Alimentação]:[Seguro de Vida]]))/tabParametros[[#This Row],[Vagas contratadas]]*tabParametros[[#This Row],[Vagas suspensas]],0)</f>
        <v>0</v>
      </c>
      <c r="AX198" s="234">
        <f>SUMIF(tabUniformes[Cargo],tabParametros[[#This Row],[Função]],tabUniformes[Valor unit. Mensal])</f>
        <v>62.806666666666665</v>
      </c>
      <c r="AY198" s="281">
        <f>IF(ISNUMBER(SEARCH("AUXILIAR DE LIMPEZA - 75 H",tabParametros[[#This Row],[Função]],1)),
SUMIF(tabLimpGeral[TIPO],"Material",tabLimpGeral[VALOR UNITÁRIO P/ HORA (R$)])*75,
IF(ISNUMBER(SEARCH("AUXILIAR DE LIMPEZA - 110 H",tabParametros[[#This Row],[Função]],1)),
SUMIF(tabLimpGeral[TIPO],"Material",tabLimpGeral[VALOR UNITÁRIO P/ HORA (R$)])*110,
IF(ISNUMBER(SEARCH("AUXILIAR DE LIMPEZA - 150 H",tabParametros[[#This Row],[Função]],1)),
SUMIF(tabLimpGeral[TIPO],"Material",tabLimpGeral[VALOR UNITÁRIO P/ HORA (R$)])*150,
IF(ISNUMBER(SEARCH("AUXILIAR DE LIMPEZA - 220 H",tabParametros[[#This Row],[Função]],1)),
SUMIF(tabLimpGeral[TIPO],"Material",tabLimpGeral[VALOR UNITÁRIO P/ HORA (R$)])*220,
IF(ISNUMBER(SEARCH("AUXILIAR DE LIMPEZA - 12 x 36",tabParametros[[#This Row],[Função]],1)),
SUMIF(tabLimpGeral[TIPO],"Material",tabLimpGeral[VALOR UNITÁRIO P/ HORA (R$)])*220,
IF(ISNUMBER(SEARCH("Limpador de vidros - 220 h",tabParametros[[#This Row],[Função]],1)),
SUMIF(tabVidros[TIPO],"Material",tabVidros[VALOR UNITÁRIO P/ POSTO (R$)]),
0))))))</f>
        <v>17.759106479291944</v>
      </c>
      <c r="AZ198" s="281">
        <f>IF(ISNUMBER(SEARCH("AUXILIAR DE LIMPEZA - 75 H",tabParametros[[#This Row],[Função]],1)),
SUMIF(tabLimpGeral[TIPO],"Equipamento",tabLimpGeral[VALOR UNITÁRIO P/ HORA (R$)])*75,
IF(ISNUMBER(SEARCH("AUXILIAR DE LIMPEZA - 110 H",tabParametros[[#This Row],[Função]],1)),
SUMIF(tabLimpGeral[TIPO],"Equipamento",tabLimpGeral[VALOR UNITÁRIO P/ HORA (R$)])*110,
IF(ISNUMBER(SEARCH("AUXILIAR DE LIMPEZA - 150 H",tabParametros[[#This Row],[Função]],1)),
SUMIF(tabLimpGeral[TIPO],"Equipamento",tabLimpGeral[VALOR UNITÁRIO P/ HORA (R$)])*150,
IF(ISNUMBER(SEARCH("AUXILIAR DE LIMPEZA - 220 H",tabParametros[[#This Row],[Função]],1)),
SUMIF(tabLimpGeral[TIPO],"Equipamento",tabLimpGeral[VALOR UNITÁRIO P/ HORA (R$)])*220,
IF(ISNUMBER(SEARCH("AUXILIAR DE LIMPEZA - 12 x 36",tabParametros[[#This Row],[Função]],1)),
SUMIF(tabLimpGeral[TIPO],"Equipamento",tabLimpGeral[VALOR UNITÁRIO P/ HORA (R$)])*220,
IF(ISNUMBER(SEARCH("Limpador de vidros - 220 h",tabParametros[[#This Row],[Função]],1)),
SUMIF(tabVidros[TIPO],"Equipamento",tabVidros[VALOR UNITÁRIO P/ POSTO (R$)]),
0))))))</f>
        <v>32.264696957412788</v>
      </c>
      <c r="BA198" s="281">
        <f>IF(ISNUMBER(SEARCH("AUXILIAR DE LIMPEZA - 75 H",tabParametros[[#This Row],[Função]],1)),
SUMIF(tabLimpGeral[TIPO],"Produto",tabLimpGeral[VALOR UNITÁRIO P/ HORA (R$)])*75,
IF(ISNUMBER(SEARCH("AUXILIAR DE LIMPEZA - 110 H",tabParametros[[#This Row],[Função]],1)),
SUMIF(tabLimpGeral[TIPO],"Produto",tabLimpGeral[VALOR UNITÁRIO P/ HORA (R$)])*110,
IF(ISNUMBER(SEARCH("AUXILIAR DE LIMPEZA - 150 H",tabParametros[[#This Row],[Função]],1)),
SUMIF(tabLimpGeral[TIPO],"Produto",tabLimpGeral[VALOR UNITÁRIO P/ HORA (R$)])*150,
IF(ISNUMBER(SEARCH("AUXILIAR DE LIMPEZA - 220 H",tabParametros[[#This Row],[Função]],1)),
SUMIF(tabLimpGeral[TIPO],"Produto",tabLimpGeral[VALOR UNITÁRIO P/ HORA (R$)])*220,
IF(ISNUMBER(SEARCH("AUXILIAR DE LIMPEZA - 12 x 36",tabParametros[[#This Row],[Função]],1)),
SUMIF(tabLimpGeral[TIPO],"Produto",tabLimpGeral[VALOR UNITÁRIO P/ HORA (R$)])*220,
IF(ISNUMBER(SEARCH("Limpador de vidros - 220 h",tabParametros[[#This Row],[Função]],1)),
SUMIF(tabVidros[TIPO],"Produto",tabVidros[VALOR UNITÁRIO P/ POSTO (R$)]),
0))))))</f>
        <v>345.13576638965827</v>
      </c>
      <c r="BB198" s="281">
        <v>0</v>
      </c>
      <c r="BC198" s="236">
        <f>VLOOKUP(tabParametros[[#Headers],[Custos Indiretos]],tabOutrosCustos[],3,0)</f>
        <v>189.64880140242613</v>
      </c>
      <c r="BD198" s="236">
        <f>VLOOKUP(tabParametros[[#Headers],[Lucro]],tabOutrosCustos[],3,0)</f>
        <v>159.30499317803796</v>
      </c>
      <c r="BE198" s="235">
        <f>VLOOKUP(tabParametros[[#Headers],[COFINS]],tabImpostosNacionais[],2,0)</f>
        <v>7.5999999999999998E-2</v>
      </c>
      <c r="BF198" s="235">
        <f>VLOOKUP(tabParametros[[#Headers],[PIS]],tabImpostosNacionais[],2,0)</f>
        <v>1.6500000000000001E-2</v>
      </c>
      <c r="BG198" s="235">
        <f>VLOOKUP(tabParametros[[#This Row],[Comarca]],tabComarca[],4,0)</f>
        <v>0.05</v>
      </c>
      <c r="BH198" s="238">
        <f>IFERROR(VLOOKUP(tabParametros[[#This Row],[CCT DA CATEGORIA]],tabSindicatos[],11,0),"")</f>
        <v>45658</v>
      </c>
      <c r="BI198" s="289" t="str">
        <f>IFERROR(VLOOKUP(tabParametros[[#This Row],[CCT DA CATEGORIA]],tabSindicatos[],12,0),"")</f>
        <v>-</v>
      </c>
      <c r="BJ198" s="293" t="str">
        <f>IFERROR(VLOOKUP(tabParametros[[#This Row],[CCT DA CATEGORIA]],tabSindicatos[],13,0),"")</f>
        <v>-</v>
      </c>
    </row>
    <row r="199" spans="1:62" x14ac:dyDescent="0.25">
      <c r="A199" s="233" t="s">
        <v>1534</v>
      </c>
      <c r="B199" s="198" t="s">
        <v>180</v>
      </c>
      <c r="C199" s="198" t="s">
        <v>1245</v>
      </c>
      <c r="D199" s="198" t="str">
        <f>VLOOKUP(tabParametros[[#This Row],[Código do Posto]],tabPostos[],4,0)</f>
        <v>Regiao de Sao Lourenco</v>
      </c>
      <c r="E199" s="289" t="str">
        <f>VLOOKUP(tabParametros[[#This Row],[Código do Posto]],tabPostos[],5,0)</f>
        <v>Limpeza</v>
      </c>
      <c r="F199" s="289" t="str">
        <f>VLOOKUP(tabParametros[[#This Row],[Código do Posto]],tabPostos[],6,0)</f>
        <v>PGJ</v>
      </c>
      <c r="G199" s="289">
        <f>VLOOKUP(tabParametros[[#This Row],[Código do Posto]],tabPostos[],7,0)</f>
        <v>3</v>
      </c>
      <c r="H199" s="289">
        <f>VLOOKUP(tabParametros[[#This Row],[Código do Posto]],tabPostos[],8,0)</f>
        <v>0</v>
      </c>
      <c r="I199" s="234">
        <f>VLOOKUP(tabParametros[[#This Row],[Código do Posto]],tabPostos[],9,0)</f>
        <v>1596.28</v>
      </c>
      <c r="J199" s="234">
        <f>IF(ISNUMBER(SEARCH("Eletricista",tabParametros[[#This Row],[Função]],1)),0.3*tabParametros[[#This Row],[Salário Base]],0)</f>
        <v>0</v>
      </c>
      <c r="K199" s="234">
        <f>IF(OR(ISNUMBER(SEARCH("Bombeiro Hidraulico",tabParametros[[#This Row],[Função]],1)),ISNUMBER(SEARCH("Jardineiro",tabParametros[[#This Row],[Função]],1)),ISNUMBER(SEARCH("Lavador de Veiculos",tabParametros[[#This Row],[Função]],1)),ISNUMBER(SEARCH("Marceneiro",tabParametros[[#This Row],[Função]],1)),ISNUMBER(SEARCH("Pintor",tabParametros[[#This Row],[Função]],1))),0.2*'BASE GERAL'!$R$4,0)</f>
        <v>0</v>
      </c>
      <c r="L199" s="234">
        <f>IF(AND(ISNUMBER(SEARCH("Noturno",tabParametros[[#This Row],[Função]],1)),tabParametros[[#This Row],[Comarca]]&lt;&gt;"Juiz de Fora"),tabParametros[[#This Row],[Salário Base]]/210*0.39*7*15.5,IF(ISNUMBER(SEARCH("Noturno",tabParametros[[#This Row],[Função]],1)),tabParametros[[#This Row],[Salário Base]]/210*0.2*8*15.5,0))</f>
        <v>0</v>
      </c>
      <c r="M199" s="234">
        <f>IF(ISNUMBER(SEARCH("Motorista II",tabParametros[[#This Row],[Função]],1)),0.25*tabParametros[[#This Row],[Salário Base]],0)</f>
        <v>0</v>
      </c>
      <c r="N199" s="250">
        <v>0</v>
      </c>
      <c r="O199" s="234">
        <f>IF(ISNUMBER(SEARCH("TECNOLOGIA DA INFORMACAO",tabParametros[[#This Row],[Função]],1)),0.0201*tabParametros[[#This Row],[Salário Base]],0)</f>
        <v>0</v>
      </c>
      <c r="P199" s="250" cm="1">
        <f t="array" ref="P199">_xlfn.IFS(
ISNUMBER(SEARCH("Auxiliar de Limpeza - 75 h",tabParametros[[#This Row],[Função]],1)),tabParametros[[#This Row],[Salário Base]]/75*0.75*30*0.12,
ISNUMBER(SEARCH("Auxiliar de Limpeza - 110 h",tabParametros[[#This Row],[Função]],1)),tabParametros[[#This Row],[Salário Base]]/110*1*30*0.12,
ISNUMBER(SEARCH("Auxiliar de Limpeza - 150 h",tabParametros[[#This Row],[Função]],1)),tabParametros[[#This Row],[Salário Base]]/150*1.5*30*0.12,
ISNUMBER(SEARCH("Auxiliar de Limpeza - 220 h",tabParametros[[#This Row],[Função]],1)),tabParametros[[#This Row],[Salário Base]]/220*2*30*0.12,
ISNUMBER(SEARCH("Auxiliar de Limpeza - 12 x 36",tabParametros[[#This Row],[Função]],1)),tabParametros[[#This Row],[Salário Base]]/220*2*30*0.12,
ISNUMBER(SEARCH("Auxiliar de Limpeza - 55 h",tabParametros[[#This Row],[Função]],1))=FALSE,0)</f>
        <v>52.241890909090905</v>
      </c>
      <c r="Q199" s="235">
        <f>VLOOKUP(tabParametros[[#Headers],[INSS]],tabImpostosNacionais[],2,0)</f>
        <v>0.2</v>
      </c>
      <c r="R199" s="235">
        <f>VLOOKUP(tabParametros[[#Headers],[SESI OU SESC]],tabImpostosNacionais[],2,0)</f>
        <v>1.4999999999999999E-2</v>
      </c>
      <c r="S199" s="235">
        <f>VLOOKUP(tabParametros[[#Headers],[SENAI OU SENAC]],tabImpostosNacionais[],2,0)</f>
        <v>0.01</v>
      </c>
      <c r="T199" s="235">
        <f>VLOOKUP(tabParametros[[#Headers],[INCRA]],tabImpostosNacionais[],2,0)</f>
        <v>2E-3</v>
      </c>
      <c r="U199" s="235">
        <f>VLOOKUP(tabParametros[[#Headers],[Salário Educação]],tabImpostosNacionais[],2,0)</f>
        <v>2.5000000000000001E-2</v>
      </c>
      <c r="V199" s="235">
        <f>VLOOKUP(tabParametros[[#Headers],[FGTS]],tabImpostosNacionais[],2,0)</f>
        <v>0.08</v>
      </c>
      <c r="W199" s="235">
        <f>VLOOKUP(tabParametros[[#Headers],[RAT Ajustado]],tabImpostosNacionais[],2,0)</f>
        <v>0.04</v>
      </c>
      <c r="X199" s="235">
        <f>VLOOKUP(tabParametros[[#Headers],[SEBRAE]],tabImpostosNacionais[],2,0)</f>
        <v>6.0000000000000001E-3</v>
      </c>
      <c r="Y199" s="235">
        <f t="shared" si="33"/>
        <v>8.3333333333333329E-2</v>
      </c>
      <c r="Z199" s="251">
        <f t="shared" si="34"/>
        <v>0.1111111111111111</v>
      </c>
      <c r="AA199" s="234">
        <f>VLOOKUP(tabParametros[[#This Row],[Comarca]],tabComarca[],5,0)</f>
        <v>6.4</v>
      </c>
      <c r="AB199" s="234">
        <f>IFERROR(VLOOKUP(tabParametros[[#This Row],[CCT DA CATEGORIA]],tabSindicatos[],6,0),0)</f>
        <v>29.15</v>
      </c>
      <c r="AC199" s="234">
        <f>IFERROR(VLOOKUP(tabParametros[[#This Row],[CCT DA CATEGORIA]],tabSindicatos[],7,0),0)</f>
        <v>0</v>
      </c>
      <c r="AD199" s="234" cm="1">
        <f t="array" ref="AD199">_xlfn.LET(
_xlpm.COMARCA, TRIM(UPPER(SUBSTITUTE(SUBSTITUTE(SUBSTITUTE(SUBSTITUTE(SUBSTITUTE(SUBSTITUTE(SUBSTITUTE(SUBSTITUTE(SUBSTITUTE(SUBSTITUTE(SUBSTITUTE(SUBSTITUTE(SUBSTITUTE(SUBSTITUTE(SUBSTITUTE(SUBSTITUTE(SUBSTITUTE(SUBSTITUTE(SUBSTITUTE(SUBSTITUTE(SUBSTITUTE(SUBSTITUTE(SUBSTITUTE(SUBSTITUTE(SUBSTITUTE(SUBSTITUTE(tabParametros[[#This Row],[Comarca]],"á","a"),"ã","a"),"â","a"),"é","e"),"ê","e"),"í","i"),"ó","o"),"õ","o"),"ô","o"),"ú","u"),"ç","c"),"Á","a"),"Ã","a"),"Â","a"),"É","e"),"Ê","e"),"Í","i"),"Ó","o"),"Õ","o"),"Ô","o"),"Ú","u"),"Ç","c"),"/MG","")," e ",", ")," ",""),".",""))),
_xlpm.MATRIZ_COMARCA, TRIM(UPPER(SUBSTITUTE(SUBSTITUTE(SUBSTITUTE(SUBSTITUTE(SUBSTITUTE(SUBSTITUTE(SUBSTITUTE(SUBSTITUTE(SUBSTITUTE(SUBSTITUTE(SUBSTITUTE(SUBSTITUTE(SUBSTITUTE(SUBSTITUTE(SUBSTITUTE(SUBSTITUTE(SUBSTITUTE(SUBSTITUTE(SUBSTITUTE(SUBSTITUTE(SUBSTITUTE(SUBSTITUTE(SUBSTITUTE(SUBSTITUTE(SUBSTITUTE(SUBSTITUTE(tabSindicatos[COMARCAS PAF],"á","a"),"ã","a"),"â","a"),"é","e"),"ê","e"),"í","i"),"ó","o"),"õ","o"),"ô","o"),"ú","u"),"ç","c"),"Á","a"),"Ã","a"),"Â","a"),"É","e"),"Ê","e"),"Í","i"),"Ó","o"),"Õ","o"),"Ô","o"),"Ú","u"),"Ç","c"),"/MG","")," e ",", ")," ",""),".",""))),
IFERROR(IF(_xlfn.XLOOKUP(tabParametros[[#This Row],[CCT DA CATEGORIA]],tabSindicatos[SINDICATOS],tabSindicatos[COMARCAS PAF])="",
VLOOKUP(tabParametros[[#This Row],[CCT DA CATEGORIA]],tabSindicatos[],8,0),
IF(ISNUMBER(SEARCH(TRIM(_xlpm.COMARCA),_xlfn.XLOOKUP(tabParametros[[#This Row],[CCT DA CATEGORIA]],tabSindicatos[SINDICATOS],_xlpm.MATRIZ_COMARCA),1)),VLOOKUP(tabParametros[[#This Row],[CCT DA CATEGORIA]],tabSindicatos[],8,0),0)
),0)
)</f>
        <v>53.27</v>
      </c>
      <c r="AE199" s="234">
        <f>IFERROR(VLOOKUP(tabParametros[[#This Row],[CCT DA CATEGORIA]],tabSindicatos[],9,0),0)</f>
        <v>0</v>
      </c>
      <c r="AF199" s="234">
        <f>IFERROR(VLOOKUP(tabParametros[[#This Row],[CCT DA CATEGORIA]],tabSindicatos[],10,0),0)</f>
        <v>0</v>
      </c>
      <c r="AG199" s="236">
        <f>VLOOKUP(tabParametros[[#Headers],[Seguro de Vida]],tabOutrosCustos[],3,0)</f>
        <v>3.36</v>
      </c>
      <c r="AH199" s="236">
        <f>IF(ISNUMBER(SEARCH("MOTORISTA",tabParametros[[#This Row],[Função]],1)),VLOOKUP("MOTORISTAS",tabDiarias[],2,0),IF(tabParametros[[#This Row],[Comarca]]="Belo Horizonte",VLOOKUP("LIMPEZA",tabDiarias[],2,0),0))</f>
        <v>0</v>
      </c>
      <c r="AI199" s="235">
        <f t="shared" si="35"/>
        <v>7.011766975308642E-3</v>
      </c>
      <c r="AJ199" s="237">
        <f>tabParametros[[#This Row],[FGTS]]*tabParametros[[#This Row],[Aviso Prévio Indenizado (API) e Reflexo do Aviso Prévio Indenizado]]</f>
        <v>5.609413580246914E-4</v>
      </c>
      <c r="AK199" s="237">
        <f>tabParametros[[#This Row],[FGTS]]*tabParametros[[#This Row],[Aviso Prévio Indenizado (API) e Reflexo do Aviso Prévio Indenizado]]*40%</f>
        <v>2.2437654320987658E-4</v>
      </c>
      <c r="AL199" s="235">
        <f t="shared" si="36"/>
        <v>3.5000000000000005E-3</v>
      </c>
      <c r="AM199" s="235">
        <f>tabParametros[[#This Row],[Aviso Prévio Trabalhado - APT]]*SUM(tabParametros[[#This Row],[INSS]:[SEBRAE]])</f>
        <v>1.3230000000000004E-3</v>
      </c>
      <c r="AN199" s="235">
        <f t="shared" si="37"/>
        <v>3.0577777777777773E-2</v>
      </c>
      <c r="AO199" s="235">
        <f t="shared" si="38"/>
        <v>8.3333333333333339E-4</v>
      </c>
      <c r="AP199" s="235">
        <f t="shared" si="39"/>
        <v>8.4444444444444437E-3</v>
      </c>
      <c r="AQ199" s="235">
        <f t="shared" si="40"/>
        <v>2.0277777777777777E-3</v>
      </c>
      <c r="AR199" s="235">
        <f t="shared" si="41"/>
        <v>1.7083333333333333E-4</v>
      </c>
      <c r="AS199" s="235">
        <f t="shared" si="42"/>
        <v>2.0833333333333335E-4</v>
      </c>
      <c r="AT199" s="235">
        <f t="shared" si="43"/>
        <v>1.2962962962962963E-3</v>
      </c>
      <c r="AU199" s="237">
        <f>SUM(tabParametros[[#This Row],[Ausência por Doença]:[Férias, Adicional de Férias e 13º  com empregada em gozo de Licença Maternidade]])*SUM(tabParametros[[#This Row],[INSS]:[SEBRAE]])</f>
        <v>4.5918250000000008E-3</v>
      </c>
      <c r="AV199" s="234">
        <f>IF(tabParametros[[#This Row],[Função]]="Porteiro - 220 h",SUM(tabParametros[[#This Row],[Salário Base]:[Adicional de Acúmulo de função]])/220*20*1.5,IF(ISNUMBER(SEARCH("12 x 36",tabParametros[[#This Row],[Função]],1)),SUM(tabParametros[[#This Row],[Salário Base]:[Adicional de Acúmulo de função]])/210*15.5*1.5,0))</f>
        <v>0</v>
      </c>
      <c r="AW199" s="234">
        <f>IF(tabParametros[[#This Row],[Vagas contratadas]]&gt;0,(SUM(tabParametros[[#This Row],[Salário Base]:[Adicional de Acúmulo de função]])*30%+SUM(tabParametros[[#This Row],[Vale - Alimentação]:[Seguro de Vida]]))/tabParametros[[#This Row],[Vagas contratadas]]*tabParametros[[#This Row],[Vagas suspensas]],0)</f>
        <v>0</v>
      </c>
      <c r="AX199" s="234">
        <f>SUMIF(tabUniformes[Cargo],tabParametros[[#This Row],[Função]],tabUniformes[Valor unit. Mensal])</f>
        <v>100.80916666666666</v>
      </c>
      <c r="AY199" s="281">
        <f>IF(ISNUMBER(SEARCH("AUXILIAR DE LIMPEZA - 75 H",tabParametros[[#This Row],[Função]],1)),
SUMIF(tabLimpGeral[TIPO],"Material",tabLimpGeral[VALOR UNITÁRIO P/ HORA (R$)])*75,
IF(ISNUMBER(SEARCH("AUXILIAR DE LIMPEZA - 110 H",tabParametros[[#This Row],[Função]],1)),
SUMIF(tabLimpGeral[TIPO],"Material",tabLimpGeral[VALOR UNITÁRIO P/ HORA (R$)])*110,
IF(ISNUMBER(SEARCH("AUXILIAR DE LIMPEZA - 150 H",tabParametros[[#This Row],[Função]],1)),
SUMIF(tabLimpGeral[TIPO],"Material",tabLimpGeral[VALOR UNITÁRIO P/ HORA (R$)])*150,
IF(ISNUMBER(SEARCH("AUXILIAR DE LIMPEZA - 220 H",tabParametros[[#This Row],[Função]],1)),
SUMIF(tabLimpGeral[TIPO],"Material",tabLimpGeral[VALOR UNITÁRIO P/ HORA (R$)])*220,
IF(ISNUMBER(SEARCH("AUXILIAR DE LIMPEZA - 12 x 36",tabParametros[[#This Row],[Função]],1)),
SUMIF(tabLimpGeral[TIPO],"Material",tabLimpGeral[VALOR UNITÁRIO P/ HORA (R$)])*220,
IF(ISNUMBER(SEARCH("Limpador de vidros - 220 h",tabParametros[[#This Row],[Função]],1)),
SUMIF(tabVidros[TIPO],"Material",tabVidros[VALOR UNITÁRIO P/ POSTO (R$)]),
0))))))</f>
        <v>35.518212958583888</v>
      </c>
      <c r="AZ199" s="281">
        <f>IF(ISNUMBER(SEARCH("AUXILIAR DE LIMPEZA - 75 H",tabParametros[[#This Row],[Função]],1)),
SUMIF(tabLimpGeral[TIPO],"Equipamento",tabLimpGeral[VALOR UNITÁRIO P/ HORA (R$)])*75,
IF(ISNUMBER(SEARCH("AUXILIAR DE LIMPEZA - 110 H",tabParametros[[#This Row],[Função]],1)),
SUMIF(tabLimpGeral[TIPO],"Equipamento",tabLimpGeral[VALOR UNITÁRIO P/ HORA (R$)])*110,
IF(ISNUMBER(SEARCH("AUXILIAR DE LIMPEZA - 150 H",tabParametros[[#This Row],[Função]],1)),
SUMIF(tabLimpGeral[TIPO],"Equipamento",tabLimpGeral[VALOR UNITÁRIO P/ HORA (R$)])*150,
IF(ISNUMBER(SEARCH("AUXILIAR DE LIMPEZA - 220 H",tabParametros[[#This Row],[Função]],1)),
SUMIF(tabLimpGeral[TIPO],"Equipamento",tabLimpGeral[VALOR UNITÁRIO P/ HORA (R$)])*220,
IF(ISNUMBER(SEARCH("AUXILIAR DE LIMPEZA - 12 x 36",tabParametros[[#This Row],[Função]],1)),
SUMIF(tabLimpGeral[TIPO],"Equipamento",tabLimpGeral[VALOR UNITÁRIO P/ HORA (R$)])*220,
IF(ISNUMBER(SEARCH("Limpador de vidros - 220 h",tabParametros[[#This Row],[Função]],1)),
SUMIF(tabVidros[TIPO],"Equipamento",tabVidros[VALOR UNITÁRIO P/ POSTO (R$)]),
0))))))</f>
        <v>64.529393914825576</v>
      </c>
      <c r="BA199" s="281">
        <f>IF(ISNUMBER(SEARCH("AUXILIAR DE LIMPEZA - 75 H",tabParametros[[#This Row],[Função]],1)),
SUMIF(tabLimpGeral[TIPO],"Produto",tabLimpGeral[VALOR UNITÁRIO P/ HORA (R$)])*75,
IF(ISNUMBER(SEARCH("AUXILIAR DE LIMPEZA - 110 H",tabParametros[[#This Row],[Função]],1)),
SUMIF(tabLimpGeral[TIPO],"Produto",tabLimpGeral[VALOR UNITÁRIO P/ HORA (R$)])*110,
IF(ISNUMBER(SEARCH("AUXILIAR DE LIMPEZA - 150 H",tabParametros[[#This Row],[Função]],1)),
SUMIF(tabLimpGeral[TIPO],"Produto",tabLimpGeral[VALOR UNITÁRIO P/ HORA (R$)])*150,
IF(ISNUMBER(SEARCH("AUXILIAR DE LIMPEZA - 220 H",tabParametros[[#This Row],[Função]],1)),
SUMIF(tabLimpGeral[TIPO],"Produto",tabLimpGeral[VALOR UNITÁRIO P/ HORA (R$)])*220,
IF(ISNUMBER(SEARCH("AUXILIAR DE LIMPEZA - 12 x 36",tabParametros[[#This Row],[Função]],1)),
SUMIF(tabLimpGeral[TIPO],"Produto",tabLimpGeral[VALOR UNITÁRIO P/ HORA (R$)])*220,
IF(ISNUMBER(SEARCH("Limpador de vidros - 220 h",tabParametros[[#This Row],[Função]],1)),
SUMIF(tabVidros[TIPO],"Produto",tabVidros[VALOR UNITÁRIO P/ POSTO (R$)]),
0))))))</f>
        <v>690.27153277931654</v>
      </c>
      <c r="BB199" s="281">
        <v>0</v>
      </c>
      <c r="BC199" s="236">
        <f>VLOOKUP(tabParametros[[#Headers],[Custos Indiretos]],tabOutrosCustos[],3,0)</f>
        <v>189.64880140242613</v>
      </c>
      <c r="BD199" s="236">
        <f>VLOOKUP(tabParametros[[#Headers],[Lucro]],tabOutrosCustos[],3,0)</f>
        <v>159.30499317803796</v>
      </c>
      <c r="BE199" s="235">
        <f>VLOOKUP(tabParametros[[#Headers],[COFINS]],tabImpostosNacionais[],2,0)</f>
        <v>7.5999999999999998E-2</v>
      </c>
      <c r="BF199" s="235">
        <f>VLOOKUP(tabParametros[[#Headers],[PIS]],tabImpostosNacionais[],2,0)</f>
        <v>1.6500000000000001E-2</v>
      </c>
      <c r="BG199" s="235">
        <f>VLOOKUP(tabParametros[[#This Row],[Comarca]],tabComarca[],4,0)</f>
        <v>0.02</v>
      </c>
      <c r="BH199" s="238">
        <f>IFERROR(VLOOKUP(tabParametros[[#This Row],[CCT DA CATEGORIA]],tabSindicatos[],11,0),"")</f>
        <v>45658</v>
      </c>
      <c r="BI199" s="289" t="str">
        <f>IFERROR(VLOOKUP(tabParametros[[#This Row],[CCT DA CATEGORIA]],tabSindicatos[],12,0),"")</f>
        <v>-</v>
      </c>
      <c r="BJ199" s="293" t="str">
        <f>IFERROR(VLOOKUP(tabParametros[[#This Row],[CCT DA CATEGORIA]],tabSindicatos[],13,0),"")</f>
        <v>-</v>
      </c>
    </row>
    <row r="200" spans="1:62" x14ac:dyDescent="0.25">
      <c r="A200" s="233" t="s">
        <v>1535</v>
      </c>
      <c r="B200" s="198" t="s">
        <v>181</v>
      </c>
      <c r="C200" s="198" t="s">
        <v>1247</v>
      </c>
      <c r="D200" s="198" t="str">
        <f>VLOOKUP(tabParametros[[#This Row],[Código do Posto]],tabPostos[],4,0)</f>
        <v>Regiao de Juiz de Fora</v>
      </c>
      <c r="E200" s="289" t="str">
        <f>VLOOKUP(tabParametros[[#This Row],[Código do Posto]],tabPostos[],5,0)</f>
        <v>Limpeza</v>
      </c>
      <c r="F200" s="289" t="str">
        <f>VLOOKUP(tabParametros[[#This Row],[Código do Posto]],tabPostos[],6,0)</f>
        <v>PGJ</v>
      </c>
      <c r="G200" s="289">
        <f>VLOOKUP(tabParametros[[#This Row],[Código do Posto]],tabPostos[],7,0)</f>
        <v>1</v>
      </c>
      <c r="H200" s="289">
        <f>VLOOKUP(tabParametros[[#This Row],[Código do Posto]],tabPostos[],8,0)</f>
        <v>0</v>
      </c>
      <c r="I200" s="234">
        <f>VLOOKUP(tabParametros[[#This Row],[Código do Posto]],tabPostos[],9,0)</f>
        <v>544.17999999999995</v>
      </c>
      <c r="J200" s="234">
        <f>IF(ISNUMBER(SEARCH("Eletricista",tabParametros[[#This Row],[Função]],1)),0.3*tabParametros[[#This Row],[Salário Base]],0)</f>
        <v>0</v>
      </c>
      <c r="K200" s="234">
        <f>IF(OR(ISNUMBER(SEARCH("Bombeiro Hidraulico",tabParametros[[#This Row],[Função]],1)),ISNUMBER(SEARCH("Jardineiro",tabParametros[[#This Row],[Função]],1)),ISNUMBER(SEARCH("Lavador de Veiculos",tabParametros[[#This Row],[Função]],1)),ISNUMBER(SEARCH("Marceneiro",tabParametros[[#This Row],[Função]],1)),ISNUMBER(SEARCH("Pintor",tabParametros[[#This Row],[Função]],1))),0.2*'BASE GERAL'!$R$4,0)</f>
        <v>0</v>
      </c>
      <c r="L200" s="234">
        <f>IF(AND(ISNUMBER(SEARCH("Noturno",tabParametros[[#This Row],[Função]],1)),tabParametros[[#This Row],[Comarca]]&lt;&gt;"Juiz de Fora"),tabParametros[[#This Row],[Salário Base]]/210*0.39*7*15.5,IF(ISNUMBER(SEARCH("Noturno",tabParametros[[#This Row],[Função]],1)),tabParametros[[#This Row],[Salário Base]]/210*0.2*8*15.5,0))</f>
        <v>0</v>
      </c>
      <c r="M200" s="234">
        <f>IF(ISNUMBER(SEARCH("Motorista II",tabParametros[[#This Row],[Função]],1)),0.25*tabParametros[[#This Row],[Salário Base]],0)</f>
        <v>0</v>
      </c>
      <c r="N200" s="250">
        <v>0</v>
      </c>
      <c r="O200" s="234">
        <f>IF(ISNUMBER(SEARCH("TECNOLOGIA DA INFORMACAO",tabParametros[[#This Row],[Função]],1)),0.0201*tabParametros[[#This Row],[Salário Base]],0)</f>
        <v>0</v>
      </c>
      <c r="P200" s="250" cm="1">
        <f t="array" ref="P200">_xlfn.IFS(
ISNUMBER(SEARCH("Auxiliar de Limpeza - 75 h",tabParametros[[#This Row],[Função]],1)),tabParametros[[#This Row],[Salário Base]]/75*0.75*30*0.12,
ISNUMBER(SEARCH("Auxiliar de Limpeza - 110 h",tabParametros[[#This Row],[Função]],1)),tabParametros[[#This Row],[Salário Base]]/110*1*30*0.12,
ISNUMBER(SEARCH("Auxiliar de Limpeza - 150 h",tabParametros[[#This Row],[Função]],1)),tabParametros[[#This Row],[Salário Base]]/150*1.5*30*0.12,
ISNUMBER(SEARCH("Auxiliar de Limpeza - 220 h",tabParametros[[#This Row],[Função]],1)),tabParametros[[#This Row],[Salário Base]]/220*2*30*0.12,
ISNUMBER(SEARCH("Auxiliar de Limpeza - 12 x 36",tabParametros[[#This Row],[Função]],1)),tabParametros[[#This Row],[Salário Base]]/220*2*30*0.12,
ISNUMBER(SEARCH("Auxiliar de Limpeza - 55 h",tabParametros[[#This Row],[Função]],1))=FALSE,0)</f>
        <v>19.590479999999999</v>
      </c>
      <c r="Q200" s="235">
        <f>VLOOKUP(tabParametros[[#Headers],[INSS]],tabImpostosNacionais[],2,0)</f>
        <v>0.2</v>
      </c>
      <c r="R200" s="235">
        <f>VLOOKUP(tabParametros[[#Headers],[SESI OU SESC]],tabImpostosNacionais[],2,0)</f>
        <v>1.4999999999999999E-2</v>
      </c>
      <c r="S200" s="235">
        <f>VLOOKUP(tabParametros[[#Headers],[SENAI OU SENAC]],tabImpostosNacionais[],2,0)</f>
        <v>0.01</v>
      </c>
      <c r="T200" s="235">
        <f>VLOOKUP(tabParametros[[#Headers],[INCRA]],tabImpostosNacionais[],2,0)</f>
        <v>2E-3</v>
      </c>
      <c r="U200" s="235">
        <f>VLOOKUP(tabParametros[[#Headers],[Salário Educação]],tabImpostosNacionais[],2,0)</f>
        <v>2.5000000000000001E-2</v>
      </c>
      <c r="V200" s="235">
        <f>VLOOKUP(tabParametros[[#Headers],[FGTS]],tabImpostosNacionais[],2,0)</f>
        <v>0.08</v>
      </c>
      <c r="W200" s="235">
        <f>VLOOKUP(tabParametros[[#Headers],[RAT Ajustado]],tabImpostosNacionais[],2,0)</f>
        <v>0.04</v>
      </c>
      <c r="X200" s="235">
        <f>VLOOKUP(tabParametros[[#Headers],[SEBRAE]],tabImpostosNacionais[],2,0)</f>
        <v>6.0000000000000001E-3</v>
      </c>
      <c r="Y200" s="235">
        <f t="shared" si="33"/>
        <v>8.3333333333333329E-2</v>
      </c>
      <c r="Z200" s="251">
        <f t="shared" si="34"/>
        <v>0.1111111111111111</v>
      </c>
      <c r="AA200" s="234">
        <f>VLOOKUP(tabParametros[[#This Row],[Comarca]],tabComarca[],5,0)</f>
        <v>6.4</v>
      </c>
      <c r="AB200" s="234">
        <f>IFERROR(VLOOKUP(tabParametros[[#This Row],[CCT DA CATEGORIA]],tabSindicatos[],6,0),0)</f>
        <v>29.15</v>
      </c>
      <c r="AC200" s="234">
        <f>IFERROR(VLOOKUP(tabParametros[[#This Row],[CCT DA CATEGORIA]],tabSindicatos[],7,0),0)</f>
        <v>0</v>
      </c>
      <c r="AD200" s="234" cm="1">
        <f t="array" ref="AD200">_xlfn.LET(
_xlpm.COMARCA, TRIM(UPPER(SUBSTITUTE(SUBSTITUTE(SUBSTITUTE(SUBSTITUTE(SUBSTITUTE(SUBSTITUTE(SUBSTITUTE(SUBSTITUTE(SUBSTITUTE(SUBSTITUTE(SUBSTITUTE(SUBSTITUTE(SUBSTITUTE(SUBSTITUTE(SUBSTITUTE(SUBSTITUTE(SUBSTITUTE(SUBSTITUTE(SUBSTITUTE(SUBSTITUTE(SUBSTITUTE(SUBSTITUTE(SUBSTITUTE(SUBSTITUTE(SUBSTITUTE(SUBSTITUTE(tabParametros[[#This Row],[Comarca]],"á","a"),"ã","a"),"â","a"),"é","e"),"ê","e"),"í","i"),"ó","o"),"õ","o"),"ô","o"),"ú","u"),"ç","c"),"Á","a"),"Ã","a"),"Â","a"),"É","e"),"Ê","e"),"Í","i"),"Ó","o"),"Õ","o"),"Ô","o"),"Ú","u"),"Ç","c"),"/MG","")," e ",", ")," ",""),".",""))),
_xlpm.MATRIZ_COMARCA, TRIM(UPPER(SUBSTITUTE(SUBSTITUTE(SUBSTITUTE(SUBSTITUTE(SUBSTITUTE(SUBSTITUTE(SUBSTITUTE(SUBSTITUTE(SUBSTITUTE(SUBSTITUTE(SUBSTITUTE(SUBSTITUTE(SUBSTITUTE(SUBSTITUTE(SUBSTITUTE(SUBSTITUTE(SUBSTITUTE(SUBSTITUTE(SUBSTITUTE(SUBSTITUTE(SUBSTITUTE(SUBSTITUTE(SUBSTITUTE(SUBSTITUTE(SUBSTITUTE(SUBSTITUTE(tabSindicatos[COMARCAS PAF],"á","a"),"ã","a"),"â","a"),"é","e"),"ê","e"),"í","i"),"ó","o"),"õ","o"),"ô","o"),"ú","u"),"ç","c"),"Á","a"),"Ã","a"),"Â","a"),"É","e"),"Ê","e"),"Í","i"),"Ó","o"),"Õ","o"),"Ô","o"),"Ú","u"),"Ç","c"),"/MG","")," e ",", ")," ",""),".",""))),
IFERROR(IF(_xlfn.XLOOKUP(tabParametros[[#This Row],[CCT DA CATEGORIA]],tabSindicatos[SINDICATOS],tabSindicatos[COMARCAS PAF])="",
VLOOKUP(tabParametros[[#This Row],[CCT DA CATEGORIA]],tabSindicatos[],8,0),
IF(ISNUMBER(SEARCH(TRIM(_xlpm.COMARCA),_xlfn.XLOOKUP(tabParametros[[#This Row],[CCT DA CATEGORIA]],tabSindicatos[SINDICATOS],_xlpm.MATRIZ_COMARCA),1)),VLOOKUP(tabParametros[[#This Row],[CCT DA CATEGORIA]],tabSindicatos[],8,0),0)
),0)
)</f>
        <v>51.88</v>
      </c>
      <c r="AE200" s="234">
        <f>IFERROR(VLOOKUP(tabParametros[[#This Row],[CCT DA CATEGORIA]],tabSindicatos[],9,0),0)</f>
        <v>0</v>
      </c>
      <c r="AF200" s="234">
        <f>IFERROR(VLOOKUP(tabParametros[[#This Row],[CCT DA CATEGORIA]],tabSindicatos[],10,0),0)</f>
        <v>0</v>
      </c>
      <c r="AG200" s="236">
        <f>VLOOKUP(tabParametros[[#Headers],[Seguro de Vida]],tabOutrosCustos[],3,0)</f>
        <v>3.36</v>
      </c>
      <c r="AH200" s="236">
        <f>IF(ISNUMBER(SEARCH("MOTORISTA",tabParametros[[#This Row],[Função]],1)),VLOOKUP("MOTORISTAS",tabDiarias[],2,0),IF(tabParametros[[#This Row],[Comarca]]="Belo Horizonte",VLOOKUP("LIMPEZA",tabDiarias[],2,0),0))</f>
        <v>0</v>
      </c>
      <c r="AI200" s="235">
        <f t="shared" si="35"/>
        <v>7.011766975308642E-3</v>
      </c>
      <c r="AJ200" s="237">
        <f>tabParametros[[#This Row],[FGTS]]*tabParametros[[#This Row],[Aviso Prévio Indenizado (API) e Reflexo do Aviso Prévio Indenizado]]</f>
        <v>5.609413580246914E-4</v>
      </c>
      <c r="AK200" s="237">
        <f>tabParametros[[#This Row],[FGTS]]*tabParametros[[#This Row],[Aviso Prévio Indenizado (API) e Reflexo do Aviso Prévio Indenizado]]*40%</f>
        <v>2.2437654320987658E-4</v>
      </c>
      <c r="AL200" s="235">
        <f t="shared" si="36"/>
        <v>3.5000000000000005E-3</v>
      </c>
      <c r="AM200" s="235">
        <f>tabParametros[[#This Row],[Aviso Prévio Trabalhado - APT]]*SUM(tabParametros[[#This Row],[INSS]:[SEBRAE]])</f>
        <v>1.3230000000000004E-3</v>
      </c>
      <c r="AN200" s="235">
        <f t="shared" si="37"/>
        <v>3.0577777777777773E-2</v>
      </c>
      <c r="AO200" s="235">
        <f t="shared" si="38"/>
        <v>8.3333333333333339E-4</v>
      </c>
      <c r="AP200" s="235">
        <f t="shared" si="39"/>
        <v>8.4444444444444437E-3</v>
      </c>
      <c r="AQ200" s="235">
        <f t="shared" si="40"/>
        <v>2.0277777777777777E-3</v>
      </c>
      <c r="AR200" s="235">
        <f t="shared" si="41"/>
        <v>1.7083333333333333E-4</v>
      </c>
      <c r="AS200" s="235">
        <f t="shared" si="42"/>
        <v>2.0833333333333335E-4</v>
      </c>
      <c r="AT200" s="235">
        <f t="shared" si="43"/>
        <v>1.2962962962962963E-3</v>
      </c>
      <c r="AU200" s="237">
        <f>SUM(tabParametros[[#This Row],[Ausência por Doença]:[Férias, Adicional de Férias e 13º  com empregada em gozo de Licença Maternidade]])*SUM(tabParametros[[#This Row],[INSS]:[SEBRAE]])</f>
        <v>4.5918250000000008E-3</v>
      </c>
      <c r="AV200" s="234">
        <f>IF(tabParametros[[#This Row],[Função]]="Porteiro - 220 h",SUM(tabParametros[[#This Row],[Salário Base]:[Adicional de Acúmulo de função]])/220*20*1.5,IF(ISNUMBER(SEARCH("12 x 36",tabParametros[[#This Row],[Função]],1)),SUM(tabParametros[[#This Row],[Salário Base]:[Adicional de Acúmulo de função]])/210*15.5*1.5,0))</f>
        <v>0</v>
      </c>
      <c r="AW200" s="234">
        <f>IF(tabParametros[[#This Row],[Vagas contratadas]]&gt;0,(SUM(tabParametros[[#This Row],[Salário Base]:[Adicional de Acúmulo de função]])*30%+SUM(tabParametros[[#This Row],[Vale - Alimentação]:[Seguro de Vida]]))/tabParametros[[#This Row],[Vagas contratadas]]*tabParametros[[#This Row],[Vagas suspensas]],0)</f>
        <v>0</v>
      </c>
      <c r="AX200" s="234">
        <f>SUMIF(tabUniformes[Cargo],tabParametros[[#This Row],[Função]],tabUniformes[Valor unit. Mensal])</f>
        <v>62.806666666666665</v>
      </c>
      <c r="AY200" s="281">
        <f>IF(ISNUMBER(SEARCH("AUXILIAR DE LIMPEZA - 75 H",tabParametros[[#This Row],[Função]],1)),
SUMIF(tabLimpGeral[TIPO],"Material",tabLimpGeral[VALOR UNITÁRIO P/ HORA (R$)])*75,
IF(ISNUMBER(SEARCH("AUXILIAR DE LIMPEZA - 110 H",tabParametros[[#This Row],[Função]],1)),
SUMIF(tabLimpGeral[TIPO],"Material",tabLimpGeral[VALOR UNITÁRIO P/ HORA (R$)])*110,
IF(ISNUMBER(SEARCH("AUXILIAR DE LIMPEZA - 150 H",tabParametros[[#This Row],[Função]],1)),
SUMIF(tabLimpGeral[TIPO],"Material",tabLimpGeral[VALOR UNITÁRIO P/ HORA (R$)])*150,
IF(ISNUMBER(SEARCH("AUXILIAR DE LIMPEZA - 220 H",tabParametros[[#This Row],[Função]],1)),
SUMIF(tabLimpGeral[TIPO],"Material",tabLimpGeral[VALOR UNITÁRIO P/ HORA (R$)])*220,
IF(ISNUMBER(SEARCH("AUXILIAR DE LIMPEZA - 12 x 36",tabParametros[[#This Row],[Função]],1)),
SUMIF(tabLimpGeral[TIPO],"Material",tabLimpGeral[VALOR UNITÁRIO P/ HORA (R$)])*220,
IF(ISNUMBER(SEARCH("Limpador de vidros - 220 h",tabParametros[[#This Row],[Função]],1)),
SUMIF(tabVidros[TIPO],"Material",tabVidros[VALOR UNITÁRIO P/ POSTO (R$)]),
0))))))</f>
        <v>12.108481690426325</v>
      </c>
      <c r="AZ200" s="281">
        <f>IF(ISNUMBER(SEARCH("AUXILIAR DE LIMPEZA - 75 H",tabParametros[[#This Row],[Função]],1)),
SUMIF(tabLimpGeral[TIPO],"Equipamento",tabLimpGeral[VALOR UNITÁRIO P/ HORA (R$)])*75,
IF(ISNUMBER(SEARCH("AUXILIAR DE LIMPEZA - 110 H",tabParametros[[#This Row],[Função]],1)),
SUMIF(tabLimpGeral[TIPO],"Equipamento",tabLimpGeral[VALOR UNITÁRIO P/ HORA (R$)])*110,
IF(ISNUMBER(SEARCH("AUXILIAR DE LIMPEZA - 150 H",tabParametros[[#This Row],[Função]],1)),
SUMIF(tabLimpGeral[TIPO],"Equipamento",tabLimpGeral[VALOR UNITÁRIO P/ HORA (R$)])*150,
IF(ISNUMBER(SEARCH("AUXILIAR DE LIMPEZA - 220 H",tabParametros[[#This Row],[Função]],1)),
SUMIF(tabLimpGeral[TIPO],"Equipamento",tabLimpGeral[VALOR UNITÁRIO P/ HORA (R$)])*220,
IF(ISNUMBER(SEARCH("AUXILIAR DE LIMPEZA - 12 x 36",tabParametros[[#This Row],[Função]],1)),
SUMIF(tabLimpGeral[TIPO],"Equipamento",tabLimpGeral[VALOR UNITÁRIO P/ HORA (R$)])*220,
IF(ISNUMBER(SEARCH("Limpador de vidros - 220 h",tabParametros[[#This Row],[Função]],1)),
SUMIF(tabVidros[TIPO],"Equipamento",tabVidros[VALOR UNITÁRIO P/ POSTO (R$)]),
0))))))</f>
        <v>21.998657016417809</v>
      </c>
      <c r="BA200" s="281">
        <f>IF(ISNUMBER(SEARCH("AUXILIAR DE LIMPEZA - 75 H",tabParametros[[#This Row],[Função]],1)),
SUMIF(tabLimpGeral[TIPO],"Produto",tabLimpGeral[VALOR UNITÁRIO P/ HORA (R$)])*75,
IF(ISNUMBER(SEARCH("AUXILIAR DE LIMPEZA - 110 H",tabParametros[[#This Row],[Função]],1)),
SUMIF(tabLimpGeral[TIPO],"Produto",tabLimpGeral[VALOR UNITÁRIO P/ HORA (R$)])*110,
IF(ISNUMBER(SEARCH("AUXILIAR DE LIMPEZA - 150 H",tabParametros[[#This Row],[Função]],1)),
SUMIF(tabLimpGeral[TIPO],"Produto",tabLimpGeral[VALOR UNITÁRIO P/ HORA (R$)])*150,
IF(ISNUMBER(SEARCH("AUXILIAR DE LIMPEZA - 220 H",tabParametros[[#This Row],[Função]],1)),
SUMIF(tabLimpGeral[TIPO],"Produto",tabLimpGeral[VALOR UNITÁRIO P/ HORA (R$)])*220,
IF(ISNUMBER(SEARCH("AUXILIAR DE LIMPEZA - 12 x 36",tabParametros[[#This Row],[Função]],1)),
SUMIF(tabLimpGeral[TIPO],"Produto",tabLimpGeral[VALOR UNITÁRIO P/ HORA (R$)])*220,
IF(ISNUMBER(SEARCH("Limpador de vidros - 220 h",tabParametros[[#This Row],[Função]],1)),
SUMIF(tabVidros[TIPO],"Produto",tabVidros[VALOR UNITÁRIO P/ POSTO (R$)]),
0))))))</f>
        <v>235.31984072022155</v>
      </c>
      <c r="BB200" s="281">
        <v>0</v>
      </c>
      <c r="BC200" s="236">
        <f>VLOOKUP(tabParametros[[#Headers],[Custos Indiretos]],tabOutrosCustos[],3,0)</f>
        <v>189.64880140242613</v>
      </c>
      <c r="BD200" s="236">
        <f>VLOOKUP(tabParametros[[#Headers],[Lucro]],tabOutrosCustos[],3,0)</f>
        <v>159.30499317803796</v>
      </c>
      <c r="BE200" s="235">
        <f>VLOOKUP(tabParametros[[#Headers],[COFINS]],tabImpostosNacionais[],2,0)</f>
        <v>7.5999999999999998E-2</v>
      </c>
      <c r="BF200" s="235">
        <f>VLOOKUP(tabParametros[[#Headers],[PIS]],tabImpostosNacionais[],2,0)</f>
        <v>1.6500000000000001E-2</v>
      </c>
      <c r="BG200" s="235">
        <f>VLOOKUP(tabParametros[[#This Row],[Comarca]],tabComarca[],4,0)</f>
        <v>3.5000000000000003E-2</v>
      </c>
      <c r="BH200" s="238">
        <f>IFERROR(VLOOKUP(tabParametros[[#This Row],[CCT DA CATEGORIA]],tabSindicatos[],11,0),"")</f>
        <v>45658</v>
      </c>
      <c r="BI200" s="289" t="str">
        <f>IFERROR(VLOOKUP(tabParametros[[#This Row],[CCT DA CATEGORIA]],tabSindicatos[],12,0),"")</f>
        <v>-</v>
      </c>
      <c r="BJ200" s="293" t="str">
        <f>IFERROR(VLOOKUP(tabParametros[[#This Row],[CCT DA CATEGORIA]],tabSindicatos[],13,0),"")</f>
        <v>-</v>
      </c>
    </row>
    <row r="201" spans="1:62" x14ac:dyDescent="0.25">
      <c r="A201" s="233" t="s">
        <v>1536</v>
      </c>
      <c r="B201" s="198" t="s">
        <v>182</v>
      </c>
      <c r="C201" s="198" t="s">
        <v>1247</v>
      </c>
      <c r="D201" s="198" t="str">
        <f>VLOOKUP(tabParametros[[#This Row],[Código do Posto]],tabPostos[],4,0)</f>
        <v>Alto Paranaiba</v>
      </c>
      <c r="E201" s="289" t="str">
        <f>VLOOKUP(tabParametros[[#This Row],[Código do Posto]],tabPostos[],5,0)</f>
        <v>Limpeza</v>
      </c>
      <c r="F201" s="289" t="str">
        <f>VLOOKUP(tabParametros[[#This Row],[Código do Posto]],tabPostos[],6,0)</f>
        <v>PGJ</v>
      </c>
      <c r="G201" s="289">
        <f>VLOOKUP(tabParametros[[#This Row],[Código do Posto]],tabPostos[],7,0)</f>
        <v>1</v>
      </c>
      <c r="H201" s="289">
        <f>VLOOKUP(tabParametros[[#This Row],[Código do Posto]],tabPostos[],8,0)</f>
        <v>0</v>
      </c>
      <c r="I201" s="234">
        <f>VLOOKUP(tabParametros[[#This Row],[Código do Posto]],tabPostos[],9,0)</f>
        <v>544.17999999999995</v>
      </c>
      <c r="J201" s="234">
        <f>IF(ISNUMBER(SEARCH("Eletricista",tabParametros[[#This Row],[Função]],1)),0.3*tabParametros[[#This Row],[Salário Base]],0)</f>
        <v>0</v>
      </c>
      <c r="K201" s="234">
        <f>IF(OR(ISNUMBER(SEARCH("Bombeiro Hidraulico",tabParametros[[#This Row],[Função]],1)),ISNUMBER(SEARCH("Jardineiro",tabParametros[[#This Row],[Função]],1)),ISNUMBER(SEARCH("Lavador de Veiculos",tabParametros[[#This Row],[Função]],1)),ISNUMBER(SEARCH("Marceneiro",tabParametros[[#This Row],[Função]],1)),ISNUMBER(SEARCH("Pintor",tabParametros[[#This Row],[Função]],1))),0.2*'BASE GERAL'!$R$4,0)</f>
        <v>0</v>
      </c>
      <c r="L201" s="234">
        <f>IF(AND(ISNUMBER(SEARCH("Noturno",tabParametros[[#This Row],[Função]],1)),tabParametros[[#This Row],[Comarca]]&lt;&gt;"Juiz de Fora"),tabParametros[[#This Row],[Salário Base]]/210*0.39*7*15.5,IF(ISNUMBER(SEARCH("Noturno",tabParametros[[#This Row],[Função]],1)),tabParametros[[#This Row],[Salário Base]]/210*0.2*8*15.5,0))</f>
        <v>0</v>
      </c>
      <c r="M201" s="234">
        <f>IF(ISNUMBER(SEARCH("Motorista II",tabParametros[[#This Row],[Função]],1)),0.25*tabParametros[[#This Row],[Salário Base]],0)</f>
        <v>0</v>
      </c>
      <c r="N201" s="250">
        <v>0</v>
      </c>
      <c r="O201" s="234">
        <f>IF(ISNUMBER(SEARCH("TECNOLOGIA DA INFORMACAO",tabParametros[[#This Row],[Função]],1)),0.0201*tabParametros[[#This Row],[Salário Base]],0)</f>
        <v>0</v>
      </c>
      <c r="P201" s="250" cm="1">
        <f t="array" ref="P201">_xlfn.IFS(
ISNUMBER(SEARCH("Auxiliar de Limpeza - 75 h",tabParametros[[#This Row],[Função]],1)),tabParametros[[#This Row],[Salário Base]]/75*0.75*30*0.12,
ISNUMBER(SEARCH("Auxiliar de Limpeza - 110 h",tabParametros[[#This Row],[Função]],1)),tabParametros[[#This Row],[Salário Base]]/110*1*30*0.12,
ISNUMBER(SEARCH("Auxiliar de Limpeza - 150 h",tabParametros[[#This Row],[Função]],1)),tabParametros[[#This Row],[Salário Base]]/150*1.5*30*0.12,
ISNUMBER(SEARCH("Auxiliar de Limpeza - 220 h",tabParametros[[#This Row],[Função]],1)),tabParametros[[#This Row],[Salário Base]]/220*2*30*0.12,
ISNUMBER(SEARCH("Auxiliar de Limpeza - 12 x 36",tabParametros[[#This Row],[Função]],1)),tabParametros[[#This Row],[Salário Base]]/220*2*30*0.12,
ISNUMBER(SEARCH("Auxiliar de Limpeza - 55 h",tabParametros[[#This Row],[Função]],1))=FALSE,0)</f>
        <v>19.590479999999999</v>
      </c>
      <c r="Q201" s="235">
        <f>VLOOKUP(tabParametros[[#Headers],[INSS]],tabImpostosNacionais[],2,0)</f>
        <v>0.2</v>
      </c>
      <c r="R201" s="235">
        <f>VLOOKUP(tabParametros[[#Headers],[SESI OU SESC]],tabImpostosNacionais[],2,0)</f>
        <v>1.4999999999999999E-2</v>
      </c>
      <c r="S201" s="235">
        <f>VLOOKUP(tabParametros[[#Headers],[SENAI OU SENAC]],tabImpostosNacionais[],2,0)</f>
        <v>0.01</v>
      </c>
      <c r="T201" s="235">
        <f>VLOOKUP(tabParametros[[#Headers],[INCRA]],tabImpostosNacionais[],2,0)</f>
        <v>2E-3</v>
      </c>
      <c r="U201" s="235">
        <f>VLOOKUP(tabParametros[[#Headers],[Salário Educação]],tabImpostosNacionais[],2,0)</f>
        <v>2.5000000000000001E-2</v>
      </c>
      <c r="V201" s="235">
        <f>VLOOKUP(tabParametros[[#Headers],[FGTS]],tabImpostosNacionais[],2,0)</f>
        <v>0.08</v>
      </c>
      <c r="W201" s="235">
        <f>VLOOKUP(tabParametros[[#Headers],[RAT Ajustado]],tabImpostosNacionais[],2,0)</f>
        <v>0.04</v>
      </c>
      <c r="X201" s="235">
        <f>VLOOKUP(tabParametros[[#Headers],[SEBRAE]],tabImpostosNacionais[],2,0)</f>
        <v>6.0000000000000001E-3</v>
      </c>
      <c r="Y201" s="235">
        <f t="shared" si="33"/>
        <v>8.3333333333333329E-2</v>
      </c>
      <c r="Z201" s="251">
        <f t="shared" si="34"/>
        <v>0.1111111111111111</v>
      </c>
      <c r="AA201" s="234">
        <f>VLOOKUP(tabParametros[[#This Row],[Comarca]],tabComarca[],5,0)</f>
        <v>6.4</v>
      </c>
      <c r="AB201" s="234">
        <f>IFERROR(VLOOKUP(tabParametros[[#This Row],[CCT DA CATEGORIA]],tabSindicatos[],6,0),0)</f>
        <v>0</v>
      </c>
      <c r="AC201" s="234">
        <f>IFERROR(VLOOKUP(tabParametros[[#This Row],[CCT DA CATEGORIA]],tabSindicatos[],7,0),0)</f>
        <v>387.79</v>
      </c>
      <c r="AD201" s="234" cm="1">
        <f t="array" ref="AD201">_xlfn.LET(
_xlpm.COMARCA, TRIM(UPPER(SUBSTITUTE(SUBSTITUTE(SUBSTITUTE(SUBSTITUTE(SUBSTITUTE(SUBSTITUTE(SUBSTITUTE(SUBSTITUTE(SUBSTITUTE(SUBSTITUTE(SUBSTITUTE(SUBSTITUTE(SUBSTITUTE(SUBSTITUTE(SUBSTITUTE(SUBSTITUTE(SUBSTITUTE(SUBSTITUTE(SUBSTITUTE(SUBSTITUTE(SUBSTITUTE(SUBSTITUTE(SUBSTITUTE(SUBSTITUTE(SUBSTITUTE(SUBSTITUTE(tabParametros[[#This Row],[Comarca]],"á","a"),"ã","a"),"â","a"),"é","e"),"ê","e"),"í","i"),"ó","o"),"õ","o"),"ô","o"),"ú","u"),"ç","c"),"Á","a"),"Ã","a"),"Â","a"),"É","e"),"Ê","e"),"Í","i"),"Ó","o"),"Õ","o"),"Ô","o"),"Ú","u"),"Ç","c"),"/MG","")," e ",", ")," ",""),".",""))),
_xlpm.MATRIZ_COMARCA, TRIM(UPPER(SUBSTITUTE(SUBSTITUTE(SUBSTITUTE(SUBSTITUTE(SUBSTITUTE(SUBSTITUTE(SUBSTITUTE(SUBSTITUTE(SUBSTITUTE(SUBSTITUTE(SUBSTITUTE(SUBSTITUTE(SUBSTITUTE(SUBSTITUTE(SUBSTITUTE(SUBSTITUTE(SUBSTITUTE(SUBSTITUTE(SUBSTITUTE(SUBSTITUTE(SUBSTITUTE(SUBSTITUTE(SUBSTITUTE(SUBSTITUTE(SUBSTITUTE(SUBSTITUTE(tabSindicatos[COMARCAS PAF],"á","a"),"ã","a"),"â","a"),"é","e"),"ê","e"),"í","i"),"ó","o"),"õ","o"),"ô","o"),"ú","u"),"ç","c"),"Á","a"),"Ã","a"),"Â","a"),"É","e"),"Ê","e"),"Í","i"),"Ó","o"),"Õ","o"),"Ô","o"),"Ú","u"),"Ç","c"),"/MG","")," e ",", ")," ",""),".",""))),
IFERROR(IF(_xlfn.XLOOKUP(tabParametros[[#This Row],[CCT DA CATEGORIA]],tabSindicatos[SINDICATOS],tabSindicatos[COMARCAS PAF])="",
VLOOKUP(tabParametros[[#This Row],[CCT DA CATEGORIA]],tabSindicatos[],8,0),
IF(ISNUMBER(SEARCH(TRIM(_xlpm.COMARCA),_xlfn.XLOOKUP(tabParametros[[#This Row],[CCT DA CATEGORIA]],tabSindicatos[SINDICATOS],_xlpm.MATRIZ_COMARCA),1)),VLOOKUP(tabParametros[[#This Row],[CCT DA CATEGORIA]],tabSindicatos[],8,0),0)
),0)
)</f>
        <v>42.97</v>
      </c>
      <c r="AE201" s="234">
        <f>IFERROR(VLOOKUP(tabParametros[[#This Row],[CCT DA CATEGORIA]],tabSindicatos[],9,0),0)</f>
        <v>0</v>
      </c>
      <c r="AF201" s="234">
        <f>IFERROR(VLOOKUP(tabParametros[[#This Row],[CCT DA CATEGORIA]],tabSindicatos[],10,0),0)</f>
        <v>0</v>
      </c>
      <c r="AG201" s="236">
        <f>VLOOKUP(tabParametros[[#Headers],[Seguro de Vida]],tabOutrosCustos[],3,0)</f>
        <v>3.36</v>
      </c>
      <c r="AH201" s="236">
        <f>IF(ISNUMBER(SEARCH("MOTORISTA",tabParametros[[#This Row],[Função]],1)),VLOOKUP("MOTORISTAS",tabDiarias[],2,0),IF(tabParametros[[#This Row],[Comarca]]="Belo Horizonte",VLOOKUP("LIMPEZA",tabDiarias[],2,0),0))</f>
        <v>0</v>
      </c>
      <c r="AI201" s="235">
        <f t="shared" si="35"/>
        <v>7.011766975308642E-3</v>
      </c>
      <c r="AJ201" s="237">
        <f>tabParametros[[#This Row],[FGTS]]*tabParametros[[#This Row],[Aviso Prévio Indenizado (API) e Reflexo do Aviso Prévio Indenizado]]</f>
        <v>5.609413580246914E-4</v>
      </c>
      <c r="AK201" s="237">
        <f>tabParametros[[#This Row],[FGTS]]*tabParametros[[#This Row],[Aviso Prévio Indenizado (API) e Reflexo do Aviso Prévio Indenizado]]*40%</f>
        <v>2.2437654320987658E-4</v>
      </c>
      <c r="AL201" s="235">
        <f t="shared" si="36"/>
        <v>3.5000000000000005E-3</v>
      </c>
      <c r="AM201" s="235">
        <f>tabParametros[[#This Row],[Aviso Prévio Trabalhado - APT]]*SUM(tabParametros[[#This Row],[INSS]:[SEBRAE]])</f>
        <v>1.3230000000000004E-3</v>
      </c>
      <c r="AN201" s="235">
        <f t="shared" si="37"/>
        <v>3.0577777777777773E-2</v>
      </c>
      <c r="AO201" s="235">
        <f t="shared" si="38"/>
        <v>8.3333333333333339E-4</v>
      </c>
      <c r="AP201" s="235">
        <f t="shared" si="39"/>
        <v>8.4444444444444437E-3</v>
      </c>
      <c r="AQ201" s="235">
        <f t="shared" si="40"/>
        <v>2.0277777777777777E-3</v>
      </c>
      <c r="AR201" s="235">
        <f t="shared" si="41"/>
        <v>1.7083333333333333E-4</v>
      </c>
      <c r="AS201" s="235">
        <f t="shared" si="42"/>
        <v>2.0833333333333335E-4</v>
      </c>
      <c r="AT201" s="235">
        <f t="shared" si="43"/>
        <v>1.2962962962962963E-3</v>
      </c>
      <c r="AU201" s="237">
        <f>SUM(tabParametros[[#This Row],[Ausência por Doença]:[Férias, Adicional de Férias e 13º  com empregada em gozo de Licença Maternidade]])*SUM(tabParametros[[#This Row],[INSS]:[SEBRAE]])</f>
        <v>4.5918250000000008E-3</v>
      </c>
      <c r="AV201" s="234">
        <f>IF(tabParametros[[#This Row],[Função]]="Porteiro - 220 h",SUM(tabParametros[[#This Row],[Salário Base]:[Adicional de Acúmulo de função]])/220*20*1.5,IF(ISNUMBER(SEARCH("12 x 36",tabParametros[[#This Row],[Função]],1)),SUM(tabParametros[[#This Row],[Salário Base]:[Adicional de Acúmulo de função]])/210*15.5*1.5,0))</f>
        <v>0</v>
      </c>
      <c r="AW201" s="234">
        <f>IF(tabParametros[[#This Row],[Vagas contratadas]]&gt;0,(SUM(tabParametros[[#This Row],[Salário Base]:[Adicional de Acúmulo de função]])*30%+SUM(tabParametros[[#This Row],[Vale - Alimentação]:[Seguro de Vida]]))/tabParametros[[#This Row],[Vagas contratadas]]*tabParametros[[#This Row],[Vagas suspensas]],0)</f>
        <v>0</v>
      </c>
      <c r="AX201" s="234">
        <f>SUMIF(tabUniformes[Cargo],tabParametros[[#This Row],[Função]],tabUniformes[Valor unit. Mensal])</f>
        <v>62.806666666666665</v>
      </c>
      <c r="AY201" s="281">
        <f>IF(ISNUMBER(SEARCH("AUXILIAR DE LIMPEZA - 75 H",tabParametros[[#This Row],[Função]],1)),
SUMIF(tabLimpGeral[TIPO],"Material",tabLimpGeral[VALOR UNITÁRIO P/ HORA (R$)])*75,
IF(ISNUMBER(SEARCH("AUXILIAR DE LIMPEZA - 110 H",tabParametros[[#This Row],[Função]],1)),
SUMIF(tabLimpGeral[TIPO],"Material",tabLimpGeral[VALOR UNITÁRIO P/ HORA (R$)])*110,
IF(ISNUMBER(SEARCH("AUXILIAR DE LIMPEZA - 150 H",tabParametros[[#This Row],[Função]],1)),
SUMIF(tabLimpGeral[TIPO],"Material",tabLimpGeral[VALOR UNITÁRIO P/ HORA (R$)])*150,
IF(ISNUMBER(SEARCH("AUXILIAR DE LIMPEZA - 220 H",tabParametros[[#This Row],[Função]],1)),
SUMIF(tabLimpGeral[TIPO],"Material",tabLimpGeral[VALOR UNITÁRIO P/ HORA (R$)])*220,
IF(ISNUMBER(SEARCH("AUXILIAR DE LIMPEZA - 12 x 36",tabParametros[[#This Row],[Função]],1)),
SUMIF(tabLimpGeral[TIPO],"Material",tabLimpGeral[VALOR UNITÁRIO P/ HORA (R$)])*220,
IF(ISNUMBER(SEARCH("Limpador de vidros - 220 h",tabParametros[[#This Row],[Função]],1)),
SUMIF(tabVidros[TIPO],"Material",tabVidros[VALOR UNITÁRIO P/ POSTO (R$)]),
0))))))</f>
        <v>12.108481690426325</v>
      </c>
      <c r="AZ201" s="281">
        <f>IF(ISNUMBER(SEARCH("AUXILIAR DE LIMPEZA - 75 H",tabParametros[[#This Row],[Função]],1)),
SUMIF(tabLimpGeral[TIPO],"Equipamento",tabLimpGeral[VALOR UNITÁRIO P/ HORA (R$)])*75,
IF(ISNUMBER(SEARCH("AUXILIAR DE LIMPEZA - 110 H",tabParametros[[#This Row],[Função]],1)),
SUMIF(tabLimpGeral[TIPO],"Equipamento",tabLimpGeral[VALOR UNITÁRIO P/ HORA (R$)])*110,
IF(ISNUMBER(SEARCH("AUXILIAR DE LIMPEZA - 150 H",tabParametros[[#This Row],[Função]],1)),
SUMIF(tabLimpGeral[TIPO],"Equipamento",tabLimpGeral[VALOR UNITÁRIO P/ HORA (R$)])*150,
IF(ISNUMBER(SEARCH("AUXILIAR DE LIMPEZA - 220 H",tabParametros[[#This Row],[Função]],1)),
SUMIF(tabLimpGeral[TIPO],"Equipamento",tabLimpGeral[VALOR UNITÁRIO P/ HORA (R$)])*220,
IF(ISNUMBER(SEARCH("AUXILIAR DE LIMPEZA - 12 x 36",tabParametros[[#This Row],[Função]],1)),
SUMIF(tabLimpGeral[TIPO],"Equipamento",tabLimpGeral[VALOR UNITÁRIO P/ HORA (R$)])*220,
IF(ISNUMBER(SEARCH("Limpador de vidros - 220 h",tabParametros[[#This Row],[Função]],1)),
SUMIF(tabVidros[TIPO],"Equipamento",tabVidros[VALOR UNITÁRIO P/ POSTO (R$)]),
0))))))</f>
        <v>21.998657016417809</v>
      </c>
      <c r="BA201" s="281">
        <f>IF(ISNUMBER(SEARCH("AUXILIAR DE LIMPEZA - 75 H",tabParametros[[#This Row],[Função]],1)),
SUMIF(tabLimpGeral[TIPO],"Produto",tabLimpGeral[VALOR UNITÁRIO P/ HORA (R$)])*75,
IF(ISNUMBER(SEARCH("AUXILIAR DE LIMPEZA - 110 H",tabParametros[[#This Row],[Função]],1)),
SUMIF(tabLimpGeral[TIPO],"Produto",tabLimpGeral[VALOR UNITÁRIO P/ HORA (R$)])*110,
IF(ISNUMBER(SEARCH("AUXILIAR DE LIMPEZA - 150 H",tabParametros[[#This Row],[Função]],1)),
SUMIF(tabLimpGeral[TIPO],"Produto",tabLimpGeral[VALOR UNITÁRIO P/ HORA (R$)])*150,
IF(ISNUMBER(SEARCH("AUXILIAR DE LIMPEZA - 220 H",tabParametros[[#This Row],[Função]],1)),
SUMIF(tabLimpGeral[TIPO],"Produto",tabLimpGeral[VALOR UNITÁRIO P/ HORA (R$)])*220,
IF(ISNUMBER(SEARCH("AUXILIAR DE LIMPEZA - 12 x 36",tabParametros[[#This Row],[Função]],1)),
SUMIF(tabLimpGeral[TIPO],"Produto",tabLimpGeral[VALOR UNITÁRIO P/ HORA (R$)])*220,
IF(ISNUMBER(SEARCH("Limpador de vidros - 220 h",tabParametros[[#This Row],[Função]],1)),
SUMIF(tabVidros[TIPO],"Produto",tabVidros[VALOR UNITÁRIO P/ POSTO (R$)]),
0))))))</f>
        <v>235.31984072022155</v>
      </c>
      <c r="BB201" s="281">
        <v>0</v>
      </c>
      <c r="BC201" s="236">
        <f>VLOOKUP(tabParametros[[#Headers],[Custos Indiretos]],tabOutrosCustos[],3,0)</f>
        <v>189.64880140242613</v>
      </c>
      <c r="BD201" s="236">
        <f>VLOOKUP(tabParametros[[#Headers],[Lucro]],tabOutrosCustos[],3,0)</f>
        <v>159.30499317803796</v>
      </c>
      <c r="BE201" s="235">
        <f>VLOOKUP(tabParametros[[#Headers],[COFINS]],tabImpostosNacionais[],2,0)</f>
        <v>7.5999999999999998E-2</v>
      </c>
      <c r="BF201" s="235">
        <f>VLOOKUP(tabParametros[[#Headers],[PIS]],tabImpostosNacionais[],2,0)</f>
        <v>1.6500000000000001E-2</v>
      </c>
      <c r="BG201" s="235">
        <f>VLOOKUP(tabParametros[[#This Row],[Comarca]],tabComarca[],4,0)</f>
        <v>0.03</v>
      </c>
      <c r="BH201" s="238">
        <f>IFERROR(VLOOKUP(tabParametros[[#This Row],[CCT DA CATEGORIA]],tabSindicatos[],11,0),"")</f>
        <v>45658</v>
      </c>
      <c r="BI201" s="289" t="str">
        <f>IFERROR(VLOOKUP(tabParametros[[#This Row],[CCT DA CATEGORIA]],tabSindicatos[],12,0),"")</f>
        <v>-</v>
      </c>
      <c r="BJ201" s="293" t="str">
        <f>IFERROR(VLOOKUP(tabParametros[[#This Row],[CCT DA CATEGORIA]],tabSindicatos[],13,0),"")</f>
        <v>-</v>
      </c>
    </row>
    <row r="202" spans="1:62" x14ac:dyDescent="0.25">
      <c r="A202" s="233" t="s">
        <v>1537</v>
      </c>
      <c r="B202" s="198" t="s">
        <v>183</v>
      </c>
      <c r="C202" s="198" t="s">
        <v>1247</v>
      </c>
      <c r="D202" s="198" t="str">
        <f>VLOOKUP(tabParametros[[#This Row],[Código do Posto]],tabPostos[],4,0)</f>
        <v>Vicosa e Regiao</v>
      </c>
      <c r="E202" s="289" t="str">
        <f>VLOOKUP(tabParametros[[#This Row],[Código do Posto]],tabPostos[],5,0)</f>
        <v>Limpeza</v>
      </c>
      <c r="F202" s="289" t="str">
        <f>VLOOKUP(tabParametros[[#This Row],[Código do Posto]],tabPostos[],6,0)</f>
        <v>PGJ</v>
      </c>
      <c r="G202" s="289">
        <f>VLOOKUP(tabParametros[[#This Row],[Código do Posto]],tabPostos[],7,0)</f>
        <v>1</v>
      </c>
      <c r="H202" s="289">
        <f>VLOOKUP(tabParametros[[#This Row],[Código do Posto]],tabPostos[],8,0)</f>
        <v>0</v>
      </c>
      <c r="I202" s="234">
        <f>VLOOKUP(tabParametros[[#This Row],[Código do Posto]],tabPostos[],9,0)</f>
        <v>544.17999999999995</v>
      </c>
      <c r="J202" s="234">
        <f>IF(ISNUMBER(SEARCH("Eletricista",tabParametros[[#This Row],[Função]],1)),0.3*tabParametros[[#This Row],[Salário Base]],0)</f>
        <v>0</v>
      </c>
      <c r="K202" s="234">
        <f>IF(OR(ISNUMBER(SEARCH("Bombeiro Hidraulico",tabParametros[[#This Row],[Função]],1)),ISNUMBER(SEARCH("Jardineiro",tabParametros[[#This Row],[Função]],1)),ISNUMBER(SEARCH("Lavador de Veiculos",tabParametros[[#This Row],[Função]],1)),ISNUMBER(SEARCH("Marceneiro",tabParametros[[#This Row],[Função]],1)),ISNUMBER(SEARCH("Pintor",tabParametros[[#This Row],[Função]],1))),0.2*'BASE GERAL'!$R$4,0)</f>
        <v>0</v>
      </c>
      <c r="L202" s="234">
        <f>IF(AND(ISNUMBER(SEARCH("Noturno",tabParametros[[#This Row],[Função]],1)),tabParametros[[#This Row],[Comarca]]&lt;&gt;"Juiz de Fora"),tabParametros[[#This Row],[Salário Base]]/210*0.39*7*15.5,IF(ISNUMBER(SEARCH("Noturno",tabParametros[[#This Row],[Função]],1)),tabParametros[[#This Row],[Salário Base]]/210*0.2*8*15.5,0))</f>
        <v>0</v>
      </c>
      <c r="M202" s="234">
        <f>IF(ISNUMBER(SEARCH("Motorista II",tabParametros[[#This Row],[Função]],1)),0.25*tabParametros[[#This Row],[Salário Base]],0)</f>
        <v>0</v>
      </c>
      <c r="N202" s="250">
        <v>0</v>
      </c>
      <c r="O202" s="234">
        <f>IF(ISNUMBER(SEARCH("TECNOLOGIA DA INFORMACAO",tabParametros[[#This Row],[Função]],1)),0.0201*tabParametros[[#This Row],[Salário Base]],0)</f>
        <v>0</v>
      </c>
      <c r="P202" s="250" cm="1">
        <f t="array" ref="P202">_xlfn.IFS(
ISNUMBER(SEARCH("Auxiliar de Limpeza - 75 h",tabParametros[[#This Row],[Função]],1)),tabParametros[[#This Row],[Salário Base]]/75*0.75*30*0.12,
ISNUMBER(SEARCH("Auxiliar de Limpeza - 110 h",tabParametros[[#This Row],[Função]],1)),tabParametros[[#This Row],[Salário Base]]/110*1*30*0.12,
ISNUMBER(SEARCH("Auxiliar de Limpeza - 150 h",tabParametros[[#This Row],[Função]],1)),tabParametros[[#This Row],[Salário Base]]/150*1.5*30*0.12,
ISNUMBER(SEARCH("Auxiliar de Limpeza - 220 h",tabParametros[[#This Row],[Função]],1)),tabParametros[[#This Row],[Salário Base]]/220*2*30*0.12,
ISNUMBER(SEARCH("Auxiliar de Limpeza - 12 x 36",tabParametros[[#This Row],[Função]],1)),tabParametros[[#This Row],[Salário Base]]/220*2*30*0.12,
ISNUMBER(SEARCH("Auxiliar de Limpeza - 55 h",tabParametros[[#This Row],[Função]],1))=FALSE,0)</f>
        <v>19.590479999999999</v>
      </c>
      <c r="Q202" s="235">
        <f>VLOOKUP(tabParametros[[#Headers],[INSS]],tabImpostosNacionais[],2,0)</f>
        <v>0.2</v>
      </c>
      <c r="R202" s="235">
        <f>VLOOKUP(tabParametros[[#Headers],[SESI OU SESC]],tabImpostosNacionais[],2,0)</f>
        <v>1.4999999999999999E-2</v>
      </c>
      <c r="S202" s="235">
        <f>VLOOKUP(tabParametros[[#Headers],[SENAI OU SENAC]],tabImpostosNacionais[],2,0)</f>
        <v>0.01</v>
      </c>
      <c r="T202" s="235">
        <f>VLOOKUP(tabParametros[[#Headers],[INCRA]],tabImpostosNacionais[],2,0)</f>
        <v>2E-3</v>
      </c>
      <c r="U202" s="235">
        <f>VLOOKUP(tabParametros[[#Headers],[Salário Educação]],tabImpostosNacionais[],2,0)</f>
        <v>2.5000000000000001E-2</v>
      </c>
      <c r="V202" s="235">
        <f>VLOOKUP(tabParametros[[#Headers],[FGTS]],tabImpostosNacionais[],2,0)</f>
        <v>0.08</v>
      </c>
      <c r="W202" s="235">
        <f>VLOOKUP(tabParametros[[#Headers],[RAT Ajustado]],tabImpostosNacionais[],2,0)</f>
        <v>0.04</v>
      </c>
      <c r="X202" s="235">
        <f>VLOOKUP(tabParametros[[#Headers],[SEBRAE]],tabImpostosNacionais[],2,0)</f>
        <v>6.0000000000000001E-3</v>
      </c>
      <c r="Y202" s="235">
        <f t="shared" si="33"/>
        <v>8.3333333333333329E-2</v>
      </c>
      <c r="Z202" s="251">
        <f t="shared" si="34"/>
        <v>0.1111111111111111</v>
      </c>
      <c r="AA202" s="234">
        <f>VLOOKUP(tabParametros[[#This Row],[Comarca]],tabComarca[],5,0)</f>
        <v>6.4</v>
      </c>
      <c r="AB202" s="234">
        <f>IFERROR(VLOOKUP(tabParametros[[#This Row],[CCT DA CATEGORIA]],tabSindicatos[],6,0),0)</f>
        <v>29.15</v>
      </c>
      <c r="AC202" s="234">
        <f>IFERROR(VLOOKUP(tabParametros[[#This Row],[CCT DA CATEGORIA]],tabSindicatos[],7,0),0)</f>
        <v>0</v>
      </c>
      <c r="AD202" s="234" cm="1">
        <f t="array" ref="AD202">_xlfn.LET(
_xlpm.COMARCA, TRIM(UPPER(SUBSTITUTE(SUBSTITUTE(SUBSTITUTE(SUBSTITUTE(SUBSTITUTE(SUBSTITUTE(SUBSTITUTE(SUBSTITUTE(SUBSTITUTE(SUBSTITUTE(SUBSTITUTE(SUBSTITUTE(SUBSTITUTE(SUBSTITUTE(SUBSTITUTE(SUBSTITUTE(SUBSTITUTE(SUBSTITUTE(SUBSTITUTE(SUBSTITUTE(SUBSTITUTE(SUBSTITUTE(SUBSTITUTE(SUBSTITUTE(SUBSTITUTE(SUBSTITUTE(tabParametros[[#This Row],[Comarca]],"á","a"),"ã","a"),"â","a"),"é","e"),"ê","e"),"í","i"),"ó","o"),"õ","o"),"ô","o"),"ú","u"),"ç","c"),"Á","a"),"Ã","a"),"Â","a"),"É","e"),"Ê","e"),"Í","i"),"Ó","o"),"Õ","o"),"Ô","o"),"Ú","u"),"Ç","c"),"/MG","")," e ",", ")," ",""),".",""))),
_xlpm.MATRIZ_COMARCA, TRIM(UPPER(SUBSTITUTE(SUBSTITUTE(SUBSTITUTE(SUBSTITUTE(SUBSTITUTE(SUBSTITUTE(SUBSTITUTE(SUBSTITUTE(SUBSTITUTE(SUBSTITUTE(SUBSTITUTE(SUBSTITUTE(SUBSTITUTE(SUBSTITUTE(SUBSTITUTE(SUBSTITUTE(SUBSTITUTE(SUBSTITUTE(SUBSTITUTE(SUBSTITUTE(SUBSTITUTE(SUBSTITUTE(SUBSTITUTE(SUBSTITUTE(SUBSTITUTE(SUBSTITUTE(tabSindicatos[COMARCAS PAF],"á","a"),"ã","a"),"â","a"),"é","e"),"ê","e"),"í","i"),"ó","o"),"õ","o"),"ô","o"),"ú","u"),"ç","c"),"Á","a"),"Ã","a"),"Â","a"),"É","e"),"Ê","e"),"Í","i"),"Ó","o"),"Õ","o"),"Ô","o"),"Ú","u"),"Ç","c"),"/MG","")," e ",", ")," ",""),".",""))),
IFERROR(IF(_xlfn.XLOOKUP(tabParametros[[#This Row],[CCT DA CATEGORIA]],tabSindicatos[SINDICATOS],tabSindicatos[COMARCAS PAF])="",
VLOOKUP(tabParametros[[#This Row],[CCT DA CATEGORIA]],tabSindicatos[],8,0),
IF(ISNUMBER(SEARCH(TRIM(_xlpm.COMARCA),_xlfn.XLOOKUP(tabParametros[[#This Row],[CCT DA CATEGORIA]],tabSindicatos[SINDICATOS],_xlpm.MATRIZ_COMARCA),1)),VLOOKUP(tabParametros[[#This Row],[CCT DA CATEGORIA]],tabSindicatos[],8,0),0)
),0)
)</f>
        <v>51.86</v>
      </c>
      <c r="AE202" s="234">
        <f>IFERROR(VLOOKUP(tabParametros[[#This Row],[CCT DA CATEGORIA]],tabSindicatos[],9,0),0)</f>
        <v>0</v>
      </c>
      <c r="AF202" s="234">
        <f>IFERROR(VLOOKUP(tabParametros[[#This Row],[CCT DA CATEGORIA]],tabSindicatos[],10,0),0)</f>
        <v>0</v>
      </c>
      <c r="AG202" s="236">
        <f>VLOOKUP(tabParametros[[#Headers],[Seguro de Vida]],tabOutrosCustos[],3,0)</f>
        <v>3.36</v>
      </c>
      <c r="AH202" s="236">
        <f>IF(ISNUMBER(SEARCH("MOTORISTA",tabParametros[[#This Row],[Função]],1)),VLOOKUP("MOTORISTAS",tabDiarias[],2,0),IF(tabParametros[[#This Row],[Comarca]]="Belo Horizonte",VLOOKUP("LIMPEZA",tabDiarias[],2,0),0))</f>
        <v>0</v>
      </c>
      <c r="AI202" s="235">
        <f t="shared" si="35"/>
        <v>7.011766975308642E-3</v>
      </c>
      <c r="AJ202" s="237">
        <f>tabParametros[[#This Row],[FGTS]]*tabParametros[[#This Row],[Aviso Prévio Indenizado (API) e Reflexo do Aviso Prévio Indenizado]]</f>
        <v>5.609413580246914E-4</v>
      </c>
      <c r="AK202" s="237">
        <f>tabParametros[[#This Row],[FGTS]]*tabParametros[[#This Row],[Aviso Prévio Indenizado (API) e Reflexo do Aviso Prévio Indenizado]]*40%</f>
        <v>2.2437654320987658E-4</v>
      </c>
      <c r="AL202" s="235">
        <f t="shared" si="36"/>
        <v>3.5000000000000005E-3</v>
      </c>
      <c r="AM202" s="235">
        <f>tabParametros[[#This Row],[Aviso Prévio Trabalhado - APT]]*SUM(tabParametros[[#This Row],[INSS]:[SEBRAE]])</f>
        <v>1.3230000000000004E-3</v>
      </c>
      <c r="AN202" s="235">
        <f t="shared" si="37"/>
        <v>3.0577777777777773E-2</v>
      </c>
      <c r="AO202" s="235">
        <f t="shared" si="38"/>
        <v>8.3333333333333339E-4</v>
      </c>
      <c r="AP202" s="235">
        <f t="shared" si="39"/>
        <v>8.4444444444444437E-3</v>
      </c>
      <c r="AQ202" s="235">
        <f t="shared" si="40"/>
        <v>2.0277777777777777E-3</v>
      </c>
      <c r="AR202" s="235">
        <f t="shared" si="41"/>
        <v>1.7083333333333333E-4</v>
      </c>
      <c r="AS202" s="235">
        <f t="shared" si="42"/>
        <v>2.0833333333333335E-4</v>
      </c>
      <c r="AT202" s="235">
        <f t="shared" si="43"/>
        <v>1.2962962962962963E-3</v>
      </c>
      <c r="AU202" s="237">
        <f>SUM(tabParametros[[#This Row],[Ausência por Doença]:[Férias, Adicional de Férias e 13º  com empregada em gozo de Licença Maternidade]])*SUM(tabParametros[[#This Row],[INSS]:[SEBRAE]])</f>
        <v>4.5918250000000008E-3</v>
      </c>
      <c r="AV202" s="234">
        <f>IF(tabParametros[[#This Row],[Função]]="Porteiro - 220 h",SUM(tabParametros[[#This Row],[Salário Base]:[Adicional de Acúmulo de função]])/220*20*1.5,IF(ISNUMBER(SEARCH("12 x 36",tabParametros[[#This Row],[Função]],1)),SUM(tabParametros[[#This Row],[Salário Base]:[Adicional de Acúmulo de função]])/210*15.5*1.5,0))</f>
        <v>0</v>
      </c>
      <c r="AW202" s="234">
        <f>IF(tabParametros[[#This Row],[Vagas contratadas]]&gt;0,(SUM(tabParametros[[#This Row],[Salário Base]:[Adicional de Acúmulo de função]])*30%+SUM(tabParametros[[#This Row],[Vale - Alimentação]:[Seguro de Vida]]))/tabParametros[[#This Row],[Vagas contratadas]]*tabParametros[[#This Row],[Vagas suspensas]],0)</f>
        <v>0</v>
      </c>
      <c r="AX202" s="234">
        <f>SUMIF(tabUniformes[Cargo],tabParametros[[#This Row],[Função]],tabUniformes[Valor unit. Mensal])</f>
        <v>62.806666666666665</v>
      </c>
      <c r="AY202" s="281">
        <f>IF(ISNUMBER(SEARCH("AUXILIAR DE LIMPEZA - 75 H",tabParametros[[#This Row],[Função]],1)),
SUMIF(tabLimpGeral[TIPO],"Material",tabLimpGeral[VALOR UNITÁRIO P/ HORA (R$)])*75,
IF(ISNUMBER(SEARCH("AUXILIAR DE LIMPEZA - 110 H",tabParametros[[#This Row],[Função]],1)),
SUMIF(tabLimpGeral[TIPO],"Material",tabLimpGeral[VALOR UNITÁRIO P/ HORA (R$)])*110,
IF(ISNUMBER(SEARCH("AUXILIAR DE LIMPEZA - 150 H",tabParametros[[#This Row],[Função]],1)),
SUMIF(tabLimpGeral[TIPO],"Material",tabLimpGeral[VALOR UNITÁRIO P/ HORA (R$)])*150,
IF(ISNUMBER(SEARCH("AUXILIAR DE LIMPEZA - 220 H",tabParametros[[#This Row],[Função]],1)),
SUMIF(tabLimpGeral[TIPO],"Material",tabLimpGeral[VALOR UNITÁRIO P/ HORA (R$)])*220,
IF(ISNUMBER(SEARCH("AUXILIAR DE LIMPEZA - 12 x 36",tabParametros[[#This Row],[Função]],1)),
SUMIF(tabLimpGeral[TIPO],"Material",tabLimpGeral[VALOR UNITÁRIO P/ HORA (R$)])*220,
IF(ISNUMBER(SEARCH("Limpador de vidros - 220 h",tabParametros[[#This Row],[Função]],1)),
SUMIF(tabVidros[TIPO],"Material",tabVidros[VALOR UNITÁRIO P/ POSTO (R$)]),
0))))))</f>
        <v>12.108481690426325</v>
      </c>
      <c r="AZ202" s="281">
        <f>IF(ISNUMBER(SEARCH("AUXILIAR DE LIMPEZA - 75 H",tabParametros[[#This Row],[Função]],1)),
SUMIF(tabLimpGeral[TIPO],"Equipamento",tabLimpGeral[VALOR UNITÁRIO P/ HORA (R$)])*75,
IF(ISNUMBER(SEARCH("AUXILIAR DE LIMPEZA - 110 H",tabParametros[[#This Row],[Função]],1)),
SUMIF(tabLimpGeral[TIPO],"Equipamento",tabLimpGeral[VALOR UNITÁRIO P/ HORA (R$)])*110,
IF(ISNUMBER(SEARCH("AUXILIAR DE LIMPEZA - 150 H",tabParametros[[#This Row],[Função]],1)),
SUMIF(tabLimpGeral[TIPO],"Equipamento",tabLimpGeral[VALOR UNITÁRIO P/ HORA (R$)])*150,
IF(ISNUMBER(SEARCH("AUXILIAR DE LIMPEZA - 220 H",tabParametros[[#This Row],[Função]],1)),
SUMIF(tabLimpGeral[TIPO],"Equipamento",tabLimpGeral[VALOR UNITÁRIO P/ HORA (R$)])*220,
IF(ISNUMBER(SEARCH("AUXILIAR DE LIMPEZA - 12 x 36",tabParametros[[#This Row],[Função]],1)),
SUMIF(tabLimpGeral[TIPO],"Equipamento",tabLimpGeral[VALOR UNITÁRIO P/ HORA (R$)])*220,
IF(ISNUMBER(SEARCH("Limpador de vidros - 220 h",tabParametros[[#This Row],[Função]],1)),
SUMIF(tabVidros[TIPO],"Equipamento",tabVidros[VALOR UNITÁRIO P/ POSTO (R$)]),
0))))))</f>
        <v>21.998657016417809</v>
      </c>
      <c r="BA202" s="281">
        <f>IF(ISNUMBER(SEARCH("AUXILIAR DE LIMPEZA - 75 H",tabParametros[[#This Row],[Função]],1)),
SUMIF(tabLimpGeral[TIPO],"Produto",tabLimpGeral[VALOR UNITÁRIO P/ HORA (R$)])*75,
IF(ISNUMBER(SEARCH("AUXILIAR DE LIMPEZA - 110 H",tabParametros[[#This Row],[Função]],1)),
SUMIF(tabLimpGeral[TIPO],"Produto",tabLimpGeral[VALOR UNITÁRIO P/ HORA (R$)])*110,
IF(ISNUMBER(SEARCH("AUXILIAR DE LIMPEZA - 150 H",tabParametros[[#This Row],[Função]],1)),
SUMIF(tabLimpGeral[TIPO],"Produto",tabLimpGeral[VALOR UNITÁRIO P/ HORA (R$)])*150,
IF(ISNUMBER(SEARCH("AUXILIAR DE LIMPEZA - 220 H",tabParametros[[#This Row],[Função]],1)),
SUMIF(tabLimpGeral[TIPO],"Produto",tabLimpGeral[VALOR UNITÁRIO P/ HORA (R$)])*220,
IF(ISNUMBER(SEARCH("AUXILIAR DE LIMPEZA - 12 x 36",tabParametros[[#This Row],[Função]],1)),
SUMIF(tabLimpGeral[TIPO],"Produto",tabLimpGeral[VALOR UNITÁRIO P/ HORA (R$)])*220,
IF(ISNUMBER(SEARCH("Limpador de vidros - 220 h",tabParametros[[#This Row],[Função]],1)),
SUMIF(tabVidros[TIPO],"Produto",tabVidros[VALOR UNITÁRIO P/ POSTO (R$)]),
0))))))</f>
        <v>235.31984072022155</v>
      </c>
      <c r="BB202" s="281">
        <v>0</v>
      </c>
      <c r="BC202" s="236">
        <f>VLOOKUP(tabParametros[[#Headers],[Custos Indiretos]],tabOutrosCustos[],3,0)</f>
        <v>189.64880140242613</v>
      </c>
      <c r="BD202" s="236">
        <f>VLOOKUP(tabParametros[[#Headers],[Lucro]],tabOutrosCustos[],3,0)</f>
        <v>159.30499317803796</v>
      </c>
      <c r="BE202" s="235">
        <f>VLOOKUP(tabParametros[[#Headers],[COFINS]],tabImpostosNacionais[],2,0)</f>
        <v>7.5999999999999998E-2</v>
      </c>
      <c r="BF202" s="235">
        <f>VLOOKUP(tabParametros[[#Headers],[PIS]],tabImpostosNacionais[],2,0)</f>
        <v>1.6500000000000001E-2</v>
      </c>
      <c r="BG202" s="235">
        <f>VLOOKUP(tabParametros[[#This Row],[Comarca]],tabComarca[],4,0)</f>
        <v>0.03</v>
      </c>
      <c r="BH202" s="238">
        <f>IFERROR(VLOOKUP(tabParametros[[#This Row],[CCT DA CATEGORIA]],tabSindicatos[],11,0),"")</f>
        <v>45658</v>
      </c>
      <c r="BI202" s="289" t="str">
        <f>IFERROR(VLOOKUP(tabParametros[[#This Row],[CCT DA CATEGORIA]],tabSindicatos[],12,0),"")</f>
        <v>-</v>
      </c>
      <c r="BJ202" s="293" t="str">
        <f>IFERROR(VLOOKUP(tabParametros[[#This Row],[CCT DA CATEGORIA]],tabSindicatos[],13,0),"")</f>
        <v>-</v>
      </c>
    </row>
    <row r="203" spans="1:62" x14ac:dyDescent="0.25">
      <c r="A203" s="233" t="s">
        <v>1538</v>
      </c>
      <c r="B203" s="198" t="s">
        <v>184</v>
      </c>
      <c r="C203" s="198" t="s">
        <v>1247</v>
      </c>
      <c r="D203" s="198" t="str">
        <f>VLOOKUP(tabParametros[[#This Row],[Código do Posto]],tabPostos[],4,0)</f>
        <v>Fethemg Interior</v>
      </c>
      <c r="E203" s="289" t="str">
        <f>VLOOKUP(tabParametros[[#This Row],[Código do Posto]],tabPostos[],5,0)</f>
        <v>Limpeza</v>
      </c>
      <c r="F203" s="289" t="str">
        <f>VLOOKUP(tabParametros[[#This Row],[Código do Posto]],tabPostos[],6,0)</f>
        <v>PGJ</v>
      </c>
      <c r="G203" s="289">
        <f>VLOOKUP(tabParametros[[#This Row],[Código do Posto]],tabPostos[],7,0)</f>
        <v>1</v>
      </c>
      <c r="H203" s="289">
        <f>VLOOKUP(tabParametros[[#This Row],[Código do Posto]],tabPostos[],8,0)</f>
        <v>0</v>
      </c>
      <c r="I203" s="234">
        <f>VLOOKUP(tabParametros[[#This Row],[Código do Posto]],tabPostos[],9,0)</f>
        <v>544.17999999999995</v>
      </c>
      <c r="J203" s="234">
        <f>IF(ISNUMBER(SEARCH("Eletricista",tabParametros[[#This Row],[Função]],1)),0.3*tabParametros[[#This Row],[Salário Base]],0)</f>
        <v>0</v>
      </c>
      <c r="K203" s="234">
        <f>IF(OR(ISNUMBER(SEARCH("Bombeiro Hidraulico",tabParametros[[#This Row],[Função]],1)),ISNUMBER(SEARCH("Jardineiro",tabParametros[[#This Row],[Função]],1)),ISNUMBER(SEARCH("Lavador de Veiculos",tabParametros[[#This Row],[Função]],1)),ISNUMBER(SEARCH("Marceneiro",tabParametros[[#This Row],[Função]],1)),ISNUMBER(SEARCH("Pintor",tabParametros[[#This Row],[Função]],1))),0.2*'BASE GERAL'!$R$4,0)</f>
        <v>0</v>
      </c>
      <c r="L203" s="234">
        <f>IF(AND(ISNUMBER(SEARCH("Noturno",tabParametros[[#This Row],[Função]],1)),tabParametros[[#This Row],[Comarca]]&lt;&gt;"Juiz de Fora"),tabParametros[[#This Row],[Salário Base]]/210*0.39*7*15.5,IF(ISNUMBER(SEARCH("Noturno",tabParametros[[#This Row],[Função]],1)),tabParametros[[#This Row],[Salário Base]]/210*0.2*8*15.5,0))</f>
        <v>0</v>
      </c>
      <c r="M203" s="234">
        <f>IF(ISNUMBER(SEARCH("Motorista II",tabParametros[[#This Row],[Função]],1)),0.25*tabParametros[[#This Row],[Salário Base]],0)</f>
        <v>0</v>
      </c>
      <c r="N203" s="250">
        <v>0</v>
      </c>
      <c r="O203" s="234">
        <f>IF(ISNUMBER(SEARCH("TECNOLOGIA DA INFORMACAO",tabParametros[[#This Row],[Função]],1)),0.0201*tabParametros[[#This Row],[Salário Base]],0)</f>
        <v>0</v>
      </c>
      <c r="P203" s="250" cm="1">
        <f t="array" ref="P203">_xlfn.IFS(
ISNUMBER(SEARCH("Auxiliar de Limpeza - 75 h",tabParametros[[#This Row],[Função]],1)),tabParametros[[#This Row],[Salário Base]]/75*0.75*30*0.12,
ISNUMBER(SEARCH("Auxiliar de Limpeza - 110 h",tabParametros[[#This Row],[Função]],1)),tabParametros[[#This Row],[Salário Base]]/110*1*30*0.12,
ISNUMBER(SEARCH("Auxiliar de Limpeza - 150 h",tabParametros[[#This Row],[Função]],1)),tabParametros[[#This Row],[Salário Base]]/150*1.5*30*0.12,
ISNUMBER(SEARCH("Auxiliar de Limpeza - 220 h",tabParametros[[#This Row],[Função]],1)),tabParametros[[#This Row],[Salário Base]]/220*2*30*0.12,
ISNUMBER(SEARCH("Auxiliar de Limpeza - 12 x 36",tabParametros[[#This Row],[Função]],1)),tabParametros[[#This Row],[Salário Base]]/220*2*30*0.12,
ISNUMBER(SEARCH("Auxiliar de Limpeza - 55 h",tabParametros[[#This Row],[Função]],1))=FALSE,0)</f>
        <v>19.590479999999999</v>
      </c>
      <c r="Q203" s="235">
        <f>VLOOKUP(tabParametros[[#Headers],[INSS]],tabImpostosNacionais[],2,0)</f>
        <v>0.2</v>
      </c>
      <c r="R203" s="235">
        <f>VLOOKUP(tabParametros[[#Headers],[SESI OU SESC]],tabImpostosNacionais[],2,0)</f>
        <v>1.4999999999999999E-2</v>
      </c>
      <c r="S203" s="235">
        <f>VLOOKUP(tabParametros[[#Headers],[SENAI OU SENAC]],tabImpostosNacionais[],2,0)</f>
        <v>0.01</v>
      </c>
      <c r="T203" s="235">
        <f>VLOOKUP(tabParametros[[#Headers],[INCRA]],tabImpostosNacionais[],2,0)</f>
        <v>2E-3</v>
      </c>
      <c r="U203" s="235">
        <f>VLOOKUP(tabParametros[[#Headers],[Salário Educação]],tabImpostosNacionais[],2,0)</f>
        <v>2.5000000000000001E-2</v>
      </c>
      <c r="V203" s="235">
        <f>VLOOKUP(tabParametros[[#Headers],[FGTS]],tabImpostosNacionais[],2,0)</f>
        <v>0.08</v>
      </c>
      <c r="W203" s="235">
        <f>VLOOKUP(tabParametros[[#Headers],[RAT Ajustado]],tabImpostosNacionais[],2,0)</f>
        <v>0.04</v>
      </c>
      <c r="X203" s="235">
        <f>VLOOKUP(tabParametros[[#Headers],[SEBRAE]],tabImpostosNacionais[],2,0)</f>
        <v>6.0000000000000001E-3</v>
      </c>
      <c r="Y203" s="235">
        <f t="shared" si="33"/>
        <v>8.3333333333333329E-2</v>
      </c>
      <c r="Z203" s="251">
        <f t="shared" si="34"/>
        <v>0.1111111111111111</v>
      </c>
      <c r="AA203" s="234">
        <f>VLOOKUP(tabParametros[[#This Row],[Comarca]],tabComarca[],5,0)</f>
        <v>6.4</v>
      </c>
      <c r="AB203" s="234">
        <f>IFERROR(VLOOKUP(tabParametros[[#This Row],[CCT DA CATEGORIA]],tabSindicatos[],6,0),0)</f>
        <v>29.15</v>
      </c>
      <c r="AC203" s="234">
        <f>IFERROR(VLOOKUP(tabParametros[[#This Row],[CCT DA CATEGORIA]],tabSindicatos[],7,0),0)</f>
        <v>0</v>
      </c>
      <c r="AD203" s="234" cm="1">
        <f t="array" ref="AD203">_xlfn.LET(
_xlpm.COMARCA, TRIM(UPPER(SUBSTITUTE(SUBSTITUTE(SUBSTITUTE(SUBSTITUTE(SUBSTITUTE(SUBSTITUTE(SUBSTITUTE(SUBSTITUTE(SUBSTITUTE(SUBSTITUTE(SUBSTITUTE(SUBSTITUTE(SUBSTITUTE(SUBSTITUTE(SUBSTITUTE(SUBSTITUTE(SUBSTITUTE(SUBSTITUTE(SUBSTITUTE(SUBSTITUTE(SUBSTITUTE(SUBSTITUTE(SUBSTITUTE(SUBSTITUTE(SUBSTITUTE(SUBSTITUTE(tabParametros[[#This Row],[Comarca]],"á","a"),"ã","a"),"â","a"),"é","e"),"ê","e"),"í","i"),"ó","o"),"õ","o"),"ô","o"),"ú","u"),"ç","c"),"Á","a"),"Ã","a"),"Â","a"),"É","e"),"Ê","e"),"Í","i"),"Ó","o"),"Õ","o"),"Ô","o"),"Ú","u"),"Ç","c"),"/MG","")," e ",", ")," ",""),".",""))),
_xlpm.MATRIZ_COMARCA, TRIM(UPPER(SUBSTITUTE(SUBSTITUTE(SUBSTITUTE(SUBSTITUTE(SUBSTITUTE(SUBSTITUTE(SUBSTITUTE(SUBSTITUTE(SUBSTITUTE(SUBSTITUTE(SUBSTITUTE(SUBSTITUTE(SUBSTITUTE(SUBSTITUTE(SUBSTITUTE(SUBSTITUTE(SUBSTITUTE(SUBSTITUTE(SUBSTITUTE(SUBSTITUTE(SUBSTITUTE(SUBSTITUTE(SUBSTITUTE(SUBSTITUTE(SUBSTITUTE(SUBSTITUTE(tabSindicatos[COMARCAS PAF],"á","a"),"ã","a"),"â","a"),"é","e"),"ê","e"),"í","i"),"ó","o"),"õ","o"),"ô","o"),"ú","u"),"ç","c"),"Á","a"),"Ã","a"),"Â","a"),"É","e"),"Ê","e"),"Í","i"),"Ó","o"),"Õ","o"),"Ô","o"),"Ú","u"),"Ç","c"),"/MG","")," e ",", ")," ",""),".",""))),
IFERROR(IF(_xlfn.XLOOKUP(tabParametros[[#This Row],[CCT DA CATEGORIA]],tabSindicatos[SINDICATOS],tabSindicatos[COMARCAS PAF])="",
VLOOKUP(tabParametros[[#This Row],[CCT DA CATEGORIA]],tabSindicatos[],8,0),
IF(ISNUMBER(SEARCH(TRIM(_xlpm.COMARCA),_xlfn.XLOOKUP(tabParametros[[#This Row],[CCT DA CATEGORIA]],tabSindicatos[SINDICATOS],_xlpm.MATRIZ_COMARCA),1)),VLOOKUP(tabParametros[[#This Row],[CCT DA CATEGORIA]],tabSindicatos[],8,0),0)
),0)
)</f>
        <v>0</v>
      </c>
      <c r="AE203" s="234">
        <f>IFERROR(VLOOKUP(tabParametros[[#This Row],[CCT DA CATEGORIA]],tabSindicatos[],9,0),0)</f>
        <v>15.07</v>
      </c>
      <c r="AF203" s="234">
        <f>IFERROR(VLOOKUP(tabParametros[[#This Row],[CCT DA CATEGORIA]],tabSindicatos[],10,0),0)</f>
        <v>0</v>
      </c>
      <c r="AG203" s="236">
        <f>VLOOKUP(tabParametros[[#Headers],[Seguro de Vida]],tabOutrosCustos[],3,0)</f>
        <v>3.36</v>
      </c>
      <c r="AH203" s="236">
        <f>IF(ISNUMBER(SEARCH("MOTORISTA",tabParametros[[#This Row],[Função]],1)),VLOOKUP("MOTORISTAS",tabDiarias[],2,0),IF(tabParametros[[#This Row],[Comarca]]="Belo Horizonte",VLOOKUP("LIMPEZA",tabDiarias[],2,0),0))</f>
        <v>0</v>
      </c>
      <c r="AI203" s="235">
        <f t="shared" si="35"/>
        <v>7.011766975308642E-3</v>
      </c>
      <c r="AJ203" s="237">
        <f>tabParametros[[#This Row],[FGTS]]*tabParametros[[#This Row],[Aviso Prévio Indenizado (API) e Reflexo do Aviso Prévio Indenizado]]</f>
        <v>5.609413580246914E-4</v>
      </c>
      <c r="AK203" s="237">
        <f>tabParametros[[#This Row],[FGTS]]*tabParametros[[#This Row],[Aviso Prévio Indenizado (API) e Reflexo do Aviso Prévio Indenizado]]*40%</f>
        <v>2.2437654320987658E-4</v>
      </c>
      <c r="AL203" s="235">
        <f t="shared" si="36"/>
        <v>3.5000000000000005E-3</v>
      </c>
      <c r="AM203" s="235">
        <f>tabParametros[[#This Row],[Aviso Prévio Trabalhado - APT]]*SUM(tabParametros[[#This Row],[INSS]:[SEBRAE]])</f>
        <v>1.3230000000000004E-3</v>
      </c>
      <c r="AN203" s="235">
        <f t="shared" si="37"/>
        <v>3.0577777777777773E-2</v>
      </c>
      <c r="AO203" s="235">
        <f t="shared" si="38"/>
        <v>8.3333333333333339E-4</v>
      </c>
      <c r="AP203" s="235">
        <f t="shared" si="39"/>
        <v>8.4444444444444437E-3</v>
      </c>
      <c r="AQ203" s="235">
        <f t="shared" si="40"/>
        <v>2.0277777777777777E-3</v>
      </c>
      <c r="AR203" s="235">
        <f t="shared" si="41"/>
        <v>1.7083333333333333E-4</v>
      </c>
      <c r="AS203" s="235">
        <f t="shared" si="42"/>
        <v>2.0833333333333335E-4</v>
      </c>
      <c r="AT203" s="235">
        <f t="shared" si="43"/>
        <v>1.2962962962962963E-3</v>
      </c>
      <c r="AU203" s="237">
        <f>SUM(tabParametros[[#This Row],[Ausência por Doença]:[Férias, Adicional de Férias e 13º  com empregada em gozo de Licença Maternidade]])*SUM(tabParametros[[#This Row],[INSS]:[SEBRAE]])</f>
        <v>4.5918250000000008E-3</v>
      </c>
      <c r="AV203" s="234">
        <f>IF(tabParametros[[#This Row],[Função]]="Porteiro - 220 h",SUM(tabParametros[[#This Row],[Salário Base]:[Adicional de Acúmulo de função]])/220*20*1.5,IF(ISNUMBER(SEARCH("12 x 36",tabParametros[[#This Row],[Função]],1)),SUM(tabParametros[[#This Row],[Salário Base]:[Adicional de Acúmulo de função]])/210*15.5*1.5,0))</f>
        <v>0</v>
      </c>
      <c r="AW203" s="234">
        <f>IF(tabParametros[[#This Row],[Vagas contratadas]]&gt;0,(SUM(tabParametros[[#This Row],[Salário Base]:[Adicional de Acúmulo de função]])*30%+SUM(tabParametros[[#This Row],[Vale - Alimentação]:[Seguro de Vida]]))/tabParametros[[#This Row],[Vagas contratadas]]*tabParametros[[#This Row],[Vagas suspensas]],0)</f>
        <v>0</v>
      </c>
      <c r="AX203" s="234">
        <f>SUMIF(tabUniformes[Cargo],tabParametros[[#This Row],[Função]],tabUniformes[Valor unit. Mensal])</f>
        <v>62.806666666666665</v>
      </c>
      <c r="AY203" s="281">
        <f>IF(ISNUMBER(SEARCH("AUXILIAR DE LIMPEZA - 75 H",tabParametros[[#This Row],[Função]],1)),
SUMIF(tabLimpGeral[TIPO],"Material",tabLimpGeral[VALOR UNITÁRIO P/ HORA (R$)])*75,
IF(ISNUMBER(SEARCH("AUXILIAR DE LIMPEZA - 110 H",tabParametros[[#This Row],[Função]],1)),
SUMIF(tabLimpGeral[TIPO],"Material",tabLimpGeral[VALOR UNITÁRIO P/ HORA (R$)])*110,
IF(ISNUMBER(SEARCH("AUXILIAR DE LIMPEZA - 150 H",tabParametros[[#This Row],[Função]],1)),
SUMIF(tabLimpGeral[TIPO],"Material",tabLimpGeral[VALOR UNITÁRIO P/ HORA (R$)])*150,
IF(ISNUMBER(SEARCH("AUXILIAR DE LIMPEZA - 220 H",tabParametros[[#This Row],[Função]],1)),
SUMIF(tabLimpGeral[TIPO],"Material",tabLimpGeral[VALOR UNITÁRIO P/ HORA (R$)])*220,
IF(ISNUMBER(SEARCH("AUXILIAR DE LIMPEZA - 12 x 36",tabParametros[[#This Row],[Função]],1)),
SUMIF(tabLimpGeral[TIPO],"Material",tabLimpGeral[VALOR UNITÁRIO P/ HORA (R$)])*220,
IF(ISNUMBER(SEARCH("Limpador de vidros - 220 h",tabParametros[[#This Row],[Função]],1)),
SUMIF(tabVidros[TIPO],"Material",tabVidros[VALOR UNITÁRIO P/ POSTO (R$)]),
0))))))</f>
        <v>12.108481690426325</v>
      </c>
      <c r="AZ203" s="281">
        <f>IF(ISNUMBER(SEARCH("AUXILIAR DE LIMPEZA - 75 H",tabParametros[[#This Row],[Função]],1)),
SUMIF(tabLimpGeral[TIPO],"Equipamento",tabLimpGeral[VALOR UNITÁRIO P/ HORA (R$)])*75,
IF(ISNUMBER(SEARCH("AUXILIAR DE LIMPEZA - 110 H",tabParametros[[#This Row],[Função]],1)),
SUMIF(tabLimpGeral[TIPO],"Equipamento",tabLimpGeral[VALOR UNITÁRIO P/ HORA (R$)])*110,
IF(ISNUMBER(SEARCH("AUXILIAR DE LIMPEZA - 150 H",tabParametros[[#This Row],[Função]],1)),
SUMIF(tabLimpGeral[TIPO],"Equipamento",tabLimpGeral[VALOR UNITÁRIO P/ HORA (R$)])*150,
IF(ISNUMBER(SEARCH("AUXILIAR DE LIMPEZA - 220 H",tabParametros[[#This Row],[Função]],1)),
SUMIF(tabLimpGeral[TIPO],"Equipamento",tabLimpGeral[VALOR UNITÁRIO P/ HORA (R$)])*220,
IF(ISNUMBER(SEARCH("AUXILIAR DE LIMPEZA - 12 x 36",tabParametros[[#This Row],[Função]],1)),
SUMIF(tabLimpGeral[TIPO],"Equipamento",tabLimpGeral[VALOR UNITÁRIO P/ HORA (R$)])*220,
IF(ISNUMBER(SEARCH("Limpador de vidros - 220 h",tabParametros[[#This Row],[Função]],1)),
SUMIF(tabVidros[TIPO],"Equipamento",tabVidros[VALOR UNITÁRIO P/ POSTO (R$)]),
0))))))</f>
        <v>21.998657016417809</v>
      </c>
      <c r="BA203" s="281">
        <f>IF(ISNUMBER(SEARCH("AUXILIAR DE LIMPEZA - 75 H",tabParametros[[#This Row],[Função]],1)),
SUMIF(tabLimpGeral[TIPO],"Produto",tabLimpGeral[VALOR UNITÁRIO P/ HORA (R$)])*75,
IF(ISNUMBER(SEARCH("AUXILIAR DE LIMPEZA - 110 H",tabParametros[[#This Row],[Função]],1)),
SUMIF(tabLimpGeral[TIPO],"Produto",tabLimpGeral[VALOR UNITÁRIO P/ HORA (R$)])*110,
IF(ISNUMBER(SEARCH("AUXILIAR DE LIMPEZA - 150 H",tabParametros[[#This Row],[Função]],1)),
SUMIF(tabLimpGeral[TIPO],"Produto",tabLimpGeral[VALOR UNITÁRIO P/ HORA (R$)])*150,
IF(ISNUMBER(SEARCH("AUXILIAR DE LIMPEZA - 220 H",tabParametros[[#This Row],[Função]],1)),
SUMIF(tabLimpGeral[TIPO],"Produto",tabLimpGeral[VALOR UNITÁRIO P/ HORA (R$)])*220,
IF(ISNUMBER(SEARCH("AUXILIAR DE LIMPEZA - 12 x 36",tabParametros[[#This Row],[Função]],1)),
SUMIF(tabLimpGeral[TIPO],"Produto",tabLimpGeral[VALOR UNITÁRIO P/ HORA (R$)])*220,
IF(ISNUMBER(SEARCH("Limpador de vidros - 220 h",tabParametros[[#This Row],[Função]],1)),
SUMIF(tabVidros[TIPO],"Produto",tabVidros[VALOR UNITÁRIO P/ POSTO (R$)]),
0))))))</f>
        <v>235.31984072022155</v>
      </c>
      <c r="BB203" s="281">
        <v>0</v>
      </c>
      <c r="BC203" s="236">
        <f>VLOOKUP(tabParametros[[#Headers],[Custos Indiretos]],tabOutrosCustos[],3,0)</f>
        <v>189.64880140242613</v>
      </c>
      <c r="BD203" s="236">
        <f>VLOOKUP(tabParametros[[#Headers],[Lucro]],tabOutrosCustos[],3,0)</f>
        <v>159.30499317803796</v>
      </c>
      <c r="BE203" s="235">
        <f>VLOOKUP(tabParametros[[#Headers],[COFINS]],tabImpostosNacionais[],2,0)</f>
        <v>7.5999999999999998E-2</v>
      </c>
      <c r="BF203" s="235">
        <f>VLOOKUP(tabParametros[[#Headers],[PIS]],tabImpostosNacionais[],2,0)</f>
        <v>1.6500000000000001E-2</v>
      </c>
      <c r="BG203" s="235">
        <f>VLOOKUP(tabParametros[[#This Row],[Comarca]],tabComarca[],4,0)</f>
        <v>0.05</v>
      </c>
      <c r="BH203" s="238">
        <f>IFERROR(VLOOKUP(tabParametros[[#This Row],[CCT DA CATEGORIA]],tabSindicatos[],11,0),"")</f>
        <v>45658</v>
      </c>
      <c r="BI203" s="289" t="str">
        <f>IFERROR(VLOOKUP(tabParametros[[#This Row],[CCT DA CATEGORIA]],tabSindicatos[],12,0),"")</f>
        <v>-</v>
      </c>
      <c r="BJ203" s="293" t="str">
        <f>IFERROR(VLOOKUP(tabParametros[[#This Row],[CCT DA CATEGORIA]],tabSindicatos[],13,0),"")</f>
        <v>-</v>
      </c>
    </row>
    <row r="204" spans="1:62" x14ac:dyDescent="0.25">
      <c r="A204" s="233" t="s">
        <v>1539</v>
      </c>
      <c r="B204" s="198" t="s">
        <v>185</v>
      </c>
      <c r="C204" s="198" t="s">
        <v>1244</v>
      </c>
      <c r="D204" s="198" t="str">
        <f>VLOOKUP(tabParametros[[#This Row],[Código do Posto]],tabPostos[],4,0)</f>
        <v>Sind - Asseio</v>
      </c>
      <c r="E204" s="289" t="str">
        <f>VLOOKUP(tabParametros[[#This Row],[Código do Posto]],tabPostos[],5,0)</f>
        <v>Limpeza</v>
      </c>
      <c r="F204" s="289" t="str">
        <f>VLOOKUP(tabParametros[[#This Row],[Código do Posto]],tabPostos[],6,0)</f>
        <v>PGJ</v>
      </c>
      <c r="G204" s="289">
        <f>VLOOKUP(tabParametros[[#This Row],[Código do Posto]],tabPostos[],7,0)</f>
        <v>1</v>
      </c>
      <c r="H204" s="289">
        <f>VLOOKUP(tabParametros[[#This Row],[Código do Posto]],tabPostos[],8,0)</f>
        <v>0</v>
      </c>
      <c r="I204" s="234">
        <f>VLOOKUP(tabParametros[[#This Row],[Código do Posto]],tabPostos[],9,0)</f>
        <v>824.56</v>
      </c>
      <c r="J204" s="234">
        <f>IF(ISNUMBER(SEARCH("Eletricista",tabParametros[[#This Row],[Função]],1)),0.3*tabParametros[[#This Row],[Salário Base]],0)</f>
        <v>0</v>
      </c>
      <c r="K204" s="234">
        <f>IF(OR(ISNUMBER(SEARCH("Bombeiro Hidraulico",tabParametros[[#This Row],[Função]],1)),ISNUMBER(SEARCH("Jardineiro",tabParametros[[#This Row],[Função]],1)),ISNUMBER(SEARCH("Lavador de Veiculos",tabParametros[[#This Row],[Função]],1)),ISNUMBER(SEARCH("Marceneiro",tabParametros[[#This Row],[Função]],1)),ISNUMBER(SEARCH("Pintor",tabParametros[[#This Row],[Função]],1))),0.2*'BASE GERAL'!$R$4,0)</f>
        <v>0</v>
      </c>
      <c r="L204" s="234">
        <f>IF(AND(ISNUMBER(SEARCH("Noturno",tabParametros[[#This Row],[Função]],1)),tabParametros[[#This Row],[Comarca]]&lt;&gt;"Juiz de Fora"),tabParametros[[#This Row],[Salário Base]]/210*0.39*7*15.5,IF(ISNUMBER(SEARCH("Noturno",tabParametros[[#This Row],[Função]],1)),tabParametros[[#This Row],[Salário Base]]/210*0.2*8*15.5,0))</f>
        <v>0</v>
      </c>
      <c r="M204" s="234">
        <f>IF(ISNUMBER(SEARCH("Motorista II",tabParametros[[#This Row],[Função]],1)),0.25*tabParametros[[#This Row],[Salário Base]],0)</f>
        <v>0</v>
      </c>
      <c r="N204" s="250">
        <v>0</v>
      </c>
      <c r="O204" s="234">
        <f>IF(ISNUMBER(SEARCH("TECNOLOGIA DA INFORMACAO",tabParametros[[#This Row],[Função]],1)),0.0201*tabParametros[[#This Row],[Salário Base]],0)</f>
        <v>0</v>
      </c>
      <c r="P204" s="250" cm="1">
        <f t="array" ref="P204">_xlfn.IFS(
ISNUMBER(SEARCH("Auxiliar de Limpeza - 75 h",tabParametros[[#This Row],[Função]],1)),tabParametros[[#This Row],[Salário Base]]/75*0.75*30*0.12,
ISNUMBER(SEARCH("Auxiliar de Limpeza - 110 h",tabParametros[[#This Row],[Função]],1)),tabParametros[[#This Row],[Salário Base]]/110*1*30*0.12,
ISNUMBER(SEARCH("Auxiliar de Limpeza - 150 h",tabParametros[[#This Row],[Função]],1)),tabParametros[[#This Row],[Salário Base]]/150*1.5*30*0.12,
ISNUMBER(SEARCH("Auxiliar de Limpeza - 220 h",tabParametros[[#This Row],[Função]],1)),tabParametros[[#This Row],[Salário Base]]/220*2*30*0.12,
ISNUMBER(SEARCH("Auxiliar de Limpeza - 12 x 36",tabParametros[[#This Row],[Função]],1)),tabParametros[[#This Row],[Salário Base]]/220*2*30*0.12,
ISNUMBER(SEARCH("Auxiliar de Limpeza - 55 h",tabParametros[[#This Row],[Função]],1))=FALSE,0)</f>
        <v>26.985599999999998</v>
      </c>
      <c r="Q204" s="235">
        <f>VLOOKUP(tabParametros[[#Headers],[INSS]],tabImpostosNacionais[],2,0)</f>
        <v>0.2</v>
      </c>
      <c r="R204" s="235">
        <f>VLOOKUP(tabParametros[[#Headers],[SESI OU SESC]],tabImpostosNacionais[],2,0)</f>
        <v>1.4999999999999999E-2</v>
      </c>
      <c r="S204" s="235">
        <f>VLOOKUP(tabParametros[[#Headers],[SENAI OU SENAC]],tabImpostosNacionais[],2,0)</f>
        <v>0.01</v>
      </c>
      <c r="T204" s="235">
        <f>VLOOKUP(tabParametros[[#Headers],[INCRA]],tabImpostosNacionais[],2,0)</f>
        <v>2E-3</v>
      </c>
      <c r="U204" s="235">
        <f>VLOOKUP(tabParametros[[#Headers],[Salário Educação]],tabImpostosNacionais[],2,0)</f>
        <v>2.5000000000000001E-2</v>
      </c>
      <c r="V204" s="235">
        <f>VLOOKUP(tabParametros[[#Headers],[FGTS]],tabImpostosNacionais[],2,0)</f>
        <v>0.08</v>
      </c>
      <c r="W204" s="235">
        <f>VLOOKUP(tabParametros[[#Headers],[RAT Ajustado]],tabImpostosNacionais[],2,0)</f>
        <v>0.04</v>
      </c>
      <c r="X204" s="235">
        <f>VLOOKUP(tabParametros[[#Headers],[SEBRAE]],tabImpostosNacionais[],2,0)</f>
        <v>6.0000000000000001E-3</v>
      </c>
      <c r="Y204" s="235">
        <f t="shared" si="33"/>
        <v>8.3333333333333329E-2</v>
      </c>
      <c r="Z204" s="251">
        <f t="shared" si="34"/>
        <v>0.1111111111111111</v>
      </c>
      <c r="AA204" s="234">
        <f>VLOOKUP(tabParametros[[#This Row],[Comarca]],tabComarca[],5,0)</f>
        <v>6.4</v>
      </c>
      <c r="AB204" s="234">
        <f>IFERROR(VLOOKUP(tabParametros[[#This Row],[CCT DA CATEGORIA]],tabSindicatos[],6,0),0)</f>
        <v>29.15</v>
      </c>
      <c r="AC204" s="234">
        <f>IFERROR(VLOOKUP(tabParametros[[#This Row],[CCT DA CATEGORIA]],tabSindicatos[],7,0),0)</f>
        <v>0</v>
      </c>
      <c r="AD204" s="234" cm="1">
        <f t="array" ref="AD204">_xlfn.LET(
_xlpm.COMARCA, TRIM(UPPER(SUBSTITUTE(SUBSTITUTE(SUBSTITUTE(SUBSTITUTE(SUBSTITUTE(SUBSTITUTE(SUBSTITUTE(SUBSTITUTE(SUBSTITUTE(SUBSTITUTE(SUBSTITUTE(SUBSTITUTE(SUBSTITUTE(SUBSTITUTE(SUBSTITUTE(SUBSTITUTE(SUBSTITUTE(SUBSTITUTE(SUBSTITUTE(SUBSTITUTE(SUBSTITUTE(SUBSTITUTE(SUBSTITUTE(SUBSTITUTE(SUBSTITUTE(SUBSTITUTE(tabParametros[[#This Row],[Comarca]],"á","a"),"ã","a"),"â","a"),"é","e"),"ê","e"),"í","i"),"ó","o"),"õ","o"),"ô","o"),"ú","u"),"ç","c"),"Á","a"),"Ã","a"),"Â","a"),"É","e"),"Ê","e"),"Í","i"),"Ó","o"),"Õ","o"),"Ô","o"),"Ú","u"),"Ç","c"),"/MG","")," e ",", ")," ",""),".",""))),
_xlpm.MATRIZ_COMARCA, TRIM(UPPER(SUBSTITUTE(SUBSTITUTE(SUBSTITUTE(SUBSTITUTE(SUBSTITUTE(SUBSTITUTE(SUBSTITUTE(SUBSTITUTE(SUBSTITUTE(SUBSTITUTE(SUBSTITUTE(SUBSTITUTE(SUBSTITUTE(SUBSTITUTE(SUBSTITUTE(SUBSTITUTE(SUBSTITUTE(SUBSTITUTE(SUBSTITUTE(SUBSTITUTE(SUBSTITUTE(SUBSTITUTE(SUBSTITUTE(SUBSTITUTE(SUBSTITUTE(SUBSTITUTE(tabSindicatos[COMARCAS PAF],"á","a"),"ã","a"),"â","a"),"é","e"),"ê","e"),"í","i"),"ó","o"),"õ","o"),"ô","o"),"ú","u"),"ç","c"),"Á","a"),"Ã","a"),"Â","a"),"É","e"),"Ê","e"),"Í","i"),"Ó","o"),"Õ","o"),"Ô","o"),"Ú","u"),"Ç","c"),"/MG","")," e ",", ")," ",""),".",""))),
IFERROR(IF(_xlfn.XLOOKUP(tabParametros[[#This Row],[CCT DA CATEGORIA]],tabSindicatos[SINDICATOS],tabSindicatos[COMARCAS PAF])="",
VLOOKUP(tabParametros[[#This Row],[CCT DA CATEGORIA]],tabSindicatos[],8,0),
IF(ISNUMBER(SEARCH(TRIM(_xlpm.COMARCA),_xlfn.XLOOKUP(tabParametros[[#This Row],[CCT DA CATEGORIA]],tabSindicatos[SINDICATOS],_xlpm.MATRIZ_COMARCA),1)),VLOOKUP(tabParametros[[#This Row],[CCT DA CATEGORIA]],tabSindicatos[],8,0),0)
),0)
)</f>
        <v>77.25</v>
      </c>
      <c r="AE204" s="234">
        <f>IFERROR(VLOOKUP(tabParametros[[#This Row],[CCT DA CATEGORIA]],tabSindicatos[],9,0),0)</f>
        <v>0</v>
      </c>
      <c r="AF204" s="234">
        <f>IFERROR(VLOOKUP(tabParametros[[#This Row],[CCT DA CATEGORIA]],tabSindicatos[],10,0),0)</f>
        <v>0</v>
      </c>
      <c r="AG204" s="236">
        <f>VLOOKUP(tabParametros[[#Headers],[Seguro de Vida]],tabOutrosCustos[],3,0)</f>
        <v>3.36</v>
      </c>
      <c r="AH204" s="236">
        <f>IF(ISNUMBER(SEARCH("MOTORISTA",tabParametros[[#This Row],[Função]],1)),VLOOKUP("MOTORISTAS",tabDiarias[],2,0),IF(tabParametros[[#This Row],[Comarca]]="Belo Horizonte",VLOOKUP("LIMPEZA",tabDiarias[],2,0),0))</f>
        <v>0</v>
      </c>
      <c r="AI204" s="235">
        <f t="shared" si="35"/>
        <v>7.011766975308642E-3</v>
      </c>
      <c r="AJ204" s="237">
        <f>tabParametros[[#This Row],[FGTS]]*tabParametros[[#This Row],[Aviso Prévio Indenizado (API) e Reflexo do Aviso Prévio Indenizado]]</f>
        <v>5.609413580246914E-4</v>
      </c>
      <c r="AK204" s="237">
        <f>tabParametros[[#This Row],[FGTS]]*tabParametros[[#This Row],[Aviso Prévio Indenizado (API) e Reflexo do Aviso Prévio Indenizado]]*40%</f>
        <v>2.2437654320987658E-4</v>
      </c>
      <c r="AL204" s="235">
        <f t="shared" si="36"/>
        <v>3.5000000000000005E-3</v>
      </c>
      <c r="AM204" s="235">
        <f>tabParametros[[#This Row],[Aviso Prévio Trabalhado - APT]]*SUM(tabParametros[[#This Row],[INSS]:[SEBRAE]])</f>
        <v>1.3230000000000004E-3</v>
      </c>
      <c r="AN204" s="235">
        <f t="shared" si="37"/>
        <v>3.0577777777777773E-2</v>
      </c>
      <c r="AO204" s="235">
        <f t="shared" si="38"/>
        <v>8.3333333333333339E-4</v>
      </c>
      <c r="AP204" s="235">
        <f t="shared" si="39"/>
        <v>8.4444444444444437E-3</v>
      </c>
      <c r="AQ204" s="235">
        <f t="shared" si="40"/>
        <v>2.0277777777777777E-3</v>
      </c>
      <c r="AR204" s="235">
        <f t="shared" si="41"/>
        <v>1.7083333333333333E-4</v>
      </c>
      <c r="AS204" s="235">
        <f t="shared" si="42"/>
        <v>2.0833333333333335E-4</v>
      </c>
      <c r="AT204" s="235">
        <f t="shared" si="43"/>
        <v>1.2962962962962963E-3</v>
      </c>
      <c r="AU204" s="237">
        <f>SUM(tabParametros[[#This Row],[Ausência por Doença]:[Férias, Adicional de Férias e 13º  com empregada em gozo de Licença Maternidade]])*SUM(tabParametros[[#This Row],[INSS]:[SEBRAE]])</f>
        <v>4.5918250000000008E-3</v>
      </c>
      <c r="AV204" s="234">
        <f>IF(tabParametros[[#This Row],[Função]]="Porteiro - 220 h",SUM(tabParametros[[#This Row],[Salário Base]:[Adicional de Acúmulo de função]])/220*20*1.5,IF(ISNUMBER(SEARCH("12 x 36",tabParametros[[#This Row],[Função]],1)),SUM(tabParametros[[#This Row],[Salário Base]:[Adicional de Acúmulo de função]])/210*15.5*1.5,0))</f>
        <v>0</v>
      </c>
      <c r="AW204" s="234">
        <f>IF(tabParametros[[#This Row],[Vagas contratadas]]&gt;0,(SUM(tabParametros[[#This Row],[Salário Base]:[Adicional de Acúmulo de função]])*30%+SUM(tabParametros[[#This Row],[Vale - Alimentação]:[Seguro de Vida]]))/tabParametros[[#This Row],[Vagas contratadas]]*tabParametros[[#This Row],[Vagas suspensas]],0)</f>
        <v>0</v>
      </c>
      <c r="AX204" s="234">
        <f>SUMIF(tabUniformes[Cargo],tabParametros[[#This Row],[Função]],tabUniformes[Valor unit. Mensal])</f>
        <v>62.806666666666665</v>
      </c>
      <c r="AY204" s="281">
        <f>IF(ISNUMBER(SEARCH("AUXILIAR DE LIMPEZA - 75 H",tabParametros[[#This Row],[Função]],1)),
SUMIF(tabLimpGeral[TIPO],"Material",tabLimpGeral[VALOR UNITÁRIO P/ HORA (R$)])*75,
IF(ISNUMBER(SEARCH("AUXILIAR DE LIMPEZA - 110 H",tabParametros[[#This Row],[Função]],1)),
SUMIF(tabLimpGeral[TIPO],"Material",tabLimpGeral[VALOR UNITÁRIO P/ HORA (R$)])*110,
IF(ISNUMBER(SEARCH("AUXILIAR DE LIMPEZA - 150 H",tabParametros[[#This Row],[Função]],1)),
SUMIF(tabLimpGeral[TIPO],"Material",tabLimpGeral[VALOR UNITÁRIO P/ HORA (R$)])*150,
IF(ISNUMBER(SEARCH("AUXILIAR DE LIMPEZA - 220 H",tabParametros[[#This Row],[Função]],1)),
SUMIF(tabLimpGeral[TIPO],"Material",tabLimpGeral[VALOR UNITÁRIO P/ HORA (R$)])*220,
IF(ISNUMBER(SEARCH("AUXILIAR DE LIMPEZA - 12 x 36",tabParametros[[#This Row],[Função]],1)),
SUMIF(tabLimpGeral[TIPO],"Material",tabLimpGeral[VALOR UNITÁRIO P/ HORA (R$)])*220,
IF(ISNUMBER(SEARCH("Limpador de vidros - 220 h",tabParametros[[#This Row],[Função]],1)),
SUMIF(tabVidros[TIPO],"Material",tabVidros[VALOR UNITÁRIO P/ POSTO (R$)]),
0))))))</f>
        <v>17.759106479291944</v>
      </c>
      <c r="AZ204" s="281">
        <f>IF(ISNUMBER(SEARCH("AUXILIAR DE LIMPEZA - 75 H",tabParametros[[#This Row],[Função]],1)),
SUMIF(tabLimpGeral[TIPO],"Equipamento",tabLimpGeral[VALOR UNITÁRIO P/ HORA (R$)])*75,
IF(ISNUMBER(SEARCH("AUXILIAR DE LIMPEZA - 110 H",tabParametros[[#This Row],[Função]],1)),
SUMIF(tabLimpGeral[TIPO],"Equipamento",tabLimpGeral[VALOR UNITÁRIO P/ HORA (R$)])*110,
IF(ISNUMBER(SEARCH("AUXILIAR DE LIMPEZA - 150 H",tabParametros[[#This Row],[Função]],1)),
SUMIF(tabLimpGeral[TIPO],"Equipamento",tabLimpGeral[VALOR UNITÁRIO P/ HORA (R$)])*150,
IF(ISNUMBER(SEARCH("AUXILIAR DE LIMPEZA - 220 H",tabParametros[[#This Row],[Função]],1)),
SUMIF(tabLimpGeral[TIPO],"Equipamento",tabLimpGeral[VALOR UNITÁRIO P/ HORA (R$)])*220,
IF(ISNUMBER(SEARCH("AUXILIAR DE LIMPEZA - 12 x 36",tabParametros[[#This Row],[Função]],1)),
SUMIF(tabLimpGeral[TIPO],"Equipamento",tabLimpGeral[VALOR UNITÁRIO P/ HORA (R$)])*220,
IF(ISNUMBER(SEARCH("Limpador de vidros - 220 h",tabParametros[[#This Row],[Função]],1)),
SUMIF(tabVidros[TIPO],"Equipamento",tabVidros[VALOR UNITÁRIO P/ POSTO (R$)]),
0))))))</f>
        <v>32.264696957412788</v>
      </c>
      <c r="BA204" s="281">
        <f>IF(ISNUMBER(SEARCH("AUXILIAR DE LIMPEZA - 75 H",tabParametros[[#This Row],[Função]],1)),
SUMIF(tabLimpGeral[TIPO],"Produto",tabLimpGeral[VALOR UNITÁRIO P/ HORA (R$)])*75,
IF(ISNUMBER(SEARCH("AUXILIAR DE LIMPEZA - 110 H",tabParametros[[#This Row],[Função]],1)),
SUMIF(tabLimpGeral[TIPO],"Produto",tabLimpGeral[VALOR UNITÁRIO P/ HORA (R$)])*110,
IF(ISNUMBER(SEARCH("AUXILIAR DE LIMPEZA - 150 H",tabParametros[[#This Row],[Função]],1)),
SUMIF(tabLimpGeral[TIPO],"Produto",tabLimpGeral[VALOR UNITÁRIO P/ HORA (R$)])*150,
IF(ISNUMBER(SEARCH("AUXILIAR DE LIMPEZA - 220 H",tabParametros[[#This Row],[Função]],1)),
SUMIF(tabLimpGeral[TIPO],"Produto",tabLimpGeral[VALOR UNITÁRIO P/ HORA (R$)])*220,
IF(ISNUMBER(SEARCH("AUXILIAR DE LIMPEZA - 12 x 36",tabParametros[[#This Row],[Função]],1)),
SUMIF(tabLimpGeral[TIPO],"Produto",tabLimpGeral[VALOR UNITÁRIO P/ HORA (R$)])*220,
IF(ISNUMBER(SEARCH("Limpador de vidros - 220 h",tabParametros[[#This Row],[Função]],1)),
SUMIF(tabVidros[TIPO],"Produto",tabVidros[VALOR UNITÁRIO P/ POSTO (R$)]),
0))))))</f>
        <v>345.13576638965827</v>
      </c>
      <c r="BB204" s="281">
        <v>0</v>
      </c>
      <c r="BC204" s="236">
        <f>VLOOKUP(tabParametros[[#Headers],[Custos Indiretos]],tabOutrosCustos[],3,0)</f>
        <v>189.64880140242613</v>
      </c>
      <c r="BD204" s="236">
        <f>VLOOKUP(tabParametros[[#Headers],[Lucro]],tabOutrosCustos[],3,0)</f>
        <v>159.30499317803796</v>
      </c>
      <c r="BE204" s="235">
        <f>VLOOKUP(tabParametros[[#Headers],[COFINS]],tabImpostosNacionais[],2,0)</f>
        <v>7.5999999999999998E-2</v>
      </c>
      <c r="BF204" s="235">
        <f>VLOOKUP(tabParametros[[#Headers],[PIS]],tabImpostosNacionais[],2,0)</f>
        <v>1.6500000000000001E-2</v>
      </c>
      <c r="BG204" s="235">
        <f>VLOOKUP(tabParametros[[#This Row],[Comarca]],tabComarca[],4,0)</f>
        <v>0.05</v>
      </c>
      <c r="BH204" s="238">
        <f>IFERROR(VLOOKUP(tabParametros[[#This Row],[CCT DA CATEGORIA]],tabSindicatos[],11,0),"")</f>
        <v>45658</v>
      </c>
      <c r="BI204" s="289" t="str">
        <f>IFERROR(VLOOKUP(tabParametros[[#This Row],[CCT DA CATEGORIA]],tabSindicatos[],12,0),"")</f>
        <v>-</v>
      </c>
      <c r="BJ204" s="293" t="str">
        <f>IFERROR(VLOOKUP(tabParametros[[#This Row],[CCT DA CATEGORIA]],tabSindicatos[],13,0),"")</f>
        <v>-</v>
      </c>
    </row>
    <row r="205" spans="1:62" x14ac:dyDescent="0.25">
      <c r="A205" s="233" t="s">
        <v>1540</v>
      </c>
      <c r="B205" s="198" t="s">
        <v>185</v>
      </c>
      <c r="C205" s="198" t="s">
        <v>1245</v>
      </c>
      <c r="D205" s="198" t="str">
        <f>VLOOKUP(tabParametros[[#This Row],[Código do Posto]],tabPostos[],4,0)</f>
        <v>Sind - Asseio</v>
      </c>
      <c r="E205" s="289" t="str">
        <f>VLOOKUP(tabParametros[[#This Row],[Código do Posto]],tabPostos[],5,0)</f>
        <v>Limpeza</v>
      </c>
      <c r="F205" s="289" t="str">
        <f>VLOOKUP(tabParametros[[#This Row],[Código do Posto]],tabPostos[],6,0)</f>
        <v>PGJ</v>
      </c>
      <c r="G205" s="289">
        <f>VLOOKUP(tabParametros[[#This Row],[Código do Posto]],tabPostos[],7,0)</f>
        <v>3</v>
      </c>
      <c r="H205" s="289">
        <f>VLOOKUP(tabParametros[[#This Row],[Código do Posto]],tabPostos[],8,0)</f>
        <v>0</v>
      </c>
      <c r="I205" s="234">
        <f>VLOOKUP(tabParametros[[#This Row],[Código do Posto]],tabPostos[],9,0)</f>
        <v>1649.12</v>
      </c>
      <c r="J205" s="234">
        <f>IF(ISNUMBER(SEARCH("Eletricista",tabParametros[[#This Row],[Função]],1)),0.3*tabParametros[[#This Row],[Salário Base]],0)</f>
        <v>0</v>
      </c>
      <c r="K205" s="234">
        <f>IF(OR(ISNUMBER(SEARCH("Bombeiro Hidraulico",tabParametros[[#This Row],[Função]],1)),ISNUMBER(SEARCH("Jardineiro",tabParametros[[#This Row],[Função]],1)),ISNUMBER(SEARCH("Lavador de Veiculos",tabParametros[[#This Row],[Função]],1)),ISNUMBER(SEARCH("Marceneiro",tabParametros[[#This Row],[Função]],1)),ISNUMBER(SEARCH("Pintor",tabParametros[[#This Row],[Função]],1))),0.2*'BASE GERAL'!$R$4,0)</f>
        <v>0</v>
      </c>
      <c r="L205" s="234">
        <f>IF(AND(ISNUMBER(SEARCH("Noturno",tabParametros[[#This Row],[Função]],1)),tabParametros[[#This Row],[Comarca]]&lt;&gt;"Juiz de Fora"),tabParametros[[#This Row],[Salário Base]]/210*0.39*7*15.5,IF(ISNUMBER(SEARCH("Noturno",tabParametros[[#This Row],[Função]],1)),tabParametros[[#This Row],[Salário Base]]/210*0.2*8*15.5,0))</f>
        <v>0</v>
      </c>
      <c r="M205" s="234">
        <f>IF(ISNUMBER(SEARCH("Motorista II",tabParametros[[#This Row],[Função]],1)),0.25*tabParametros[[#This Row],[Salário Base]],0)</f>
        <v>0</v>
      </c>
      <c r="N205" s="250">
        <v>0</v>
      </c>
      <c r="O205" s="234">
        <f>IF(ISNUMBER(SEARCH("TECNOLOGIA DA INFORMACAO",tabParametros[[#This Row],[Função]],1)),0.0201*tabParametros[[#This Row],[Salário Base]],0)</f>
        <v>0</v>
      </c>
      <c r="P205" s="250" cm="1">
        <f t="array" ref="P205">_xlfn.IFS(
ISNUMBER(SEARCH("Auxiliar de Limpeza - 75 h",tabParametros[[#This Row],[Função]],1)),tabParametros[[#This Row],[Salário Base]]/75*0.75*30*0.12,
ISNUMBER(SEARCH("Auxiliar de Limpeza - 110 h",tabParametros[[#This Row],[Função]],1)),tabParametros[[#This Row],[Salário Base]]/110*1*30*0.12,
ISNUMBER(SEARCH("Auxiliar de Limpeza - 150 h",tabParametros[[#This Row],[Função]],1)),tabParametros[[#This Row],[Salário Base]]/150*1.5*30*0.12,
ISNUMBER(SEARCH("Auxiliar de Limpeza - 220 h",tabParametros[[#This Row],[Função]],1)),tabParametros[[#This Row],[Salário Base]]/220*2*30*0.12,
ISNUMBER(SEARCH("Auxiliar de Limpeza - 12 x 36",tabParametros[[#This Row],[Função]],1)),tabParametros[[#This Row],[Salário Base]]/220*2*30*0.12,
ISNUMBER(SEARCH("Auxiliar de Limpeza - 55 h",tabParametros[[#This Row],[Função]],1))=FALSE,0)</f>
        <v>53.971199999999996</v>
      </c>
      <c r="Q205" s="235">
        <f>VLOOKUP(tabParametros[[#Headers],[INSS]],tabImpostosNacionais[],2,0)</f>
        <v>0.2</v>
      </c>
      <c r="R205" s="235">
        <f>VLOOKUP(tabParametros[[#Headers],[SESI OU SESC]],tabImpostosNacionais[],2,0)</f>
        <v>1.4999999999999999E-2</v>
      </c>
      <c r="S205" s="235">
        <f>VLOOKUP(tabParametros[[#Headers],[SENAI OU SENAC]],tabImpostosNacionais[],2,0)</f>
        <v>0.01</v>
      </c>
      <c r="T205" s="235">
        <f>VLOOKUP(tabParametros[[#Headers],[INCRA]],tabImpostosNacionais[],2,0)</f>
        <v>2E-3</v>
      </c>
      <c r="U205" s="235">
        <f>VLOOKUP(tabParametros[[#Headers],[Salário Educação]],tabImpostosNacionais[],2,0)</f>
        <v>2.5000000000000001E-2</v>
      </c>
      <c r="V205" s="235">
        <f>VLOOKUP(tabParametros[[#Headers],[FGTS]],tabImpostosNacionais[],2,0)</f>
        <v>0.08</v>
      </c>
      <c r="W205" s="235">
        <f>VLOOKUP(tabParametros[[#Headers],[RAT Ajustado]],tabImpostosNacionais[],2,0)</f>
        <v>0.04</v>
      </c>
      <c r="X205" s="235">
        <f>VLOOKUP(tabParametros[[#Headers],[SEBRAE]],tabImpostosNacionais[],2,0)</f>
        <v>6.0000000000000001E-3</v>
      </c>
      <c r="Y205" s="235">
        <f t="shared" si="33"/>
        <v>8.3333333333333329E-2</v>
      </c>
      <c r="Z205" s="251">
        <f t="shared" si="34"/>
        <v>0.1111111111111111</v>
      </c>
      <c r="AA205" s="234">
        <f>VLOOKUP(tabParametros[[#This Row],[Comarca]],tabComarca[],5,0)</f>
        <v>6.4</v>
      </c>
      <c r="AB205" s="234">
        <f>IFERROR(VLOOKUP(tabParametros[[#This Row],[CCT DA CATEGORIA]],tabSindicatos[],6,0),0)</f>
        <v>29.15</v>
      </c>
      <c r="AC205" s="234">
        <f>IFERROR(VLOOKUP(tabParametros[[#This Row],[CCT DA CATEGORIA]],tabSindicatos[],7,0),0)</f>
        <v>0</v>
      </c>
      <c r="AD205" s="234" cm="1">
        <f t="array" ref="AD205">_xlfn.LET(
_xlpm.COMARCA, TRIM(UPPER(SUBSTITUTE(SUBSTITUTE(SUBSTITUTE(SUBSTITUTE(SUBSTITUTE(SUBSTITUTE(SUBSTITUTE(SUBSTITUTE(SUBSTITUTE(SUBSTITUTE(SUBSTITUTE(SUBSTITUTE(SUBSTITUTE(SUBSTITUTE(SUBSTITUTE(SUBSTITUTE(SUBSTITUTE(SUBSTITUTE(SUBSTITUTE(SUBSTITUTE(SUBSTITUTE(SUBSTITUTE(SUBSTITUTE(SUBSTITUTE(SUBSTITUTE(SUBSTITUTE(tabParametros[[#This Row],[Comarca]],"á","a"),"ã","a"),"â","a"),"é","e"),"ê","e"),"í","i"),"ó","o"),"õ","o"),"ô","o"),"ú","u"),"ç","c"),"Á","a"),"Ã","a"),"Â","a"),"É","e"),"Ê","e"),"Í","i"),"Ó","o"),"Õ","o"),"Ô","o"),"Ú","u"),"Ç","c"),"/MG","")," e ",", ")," ",""),".",""))),
_xlpm.MATRIZ_COMARCA, TRIM(UPPER(SUBSTITUTE(SUBSTITUTE(SUBSTITUTE(SUBSTITUTE(SUBSTITUTE(SUBSTITUTE(SUBSTITUTE(SUBSTITUTE(SUBSTITUTE(SUBSTITUTE(SUBSTITUTE(SUBSTITUTE(SUBSTITUTE(SUBSTITUTE(SUBSTITUTE(SUBSTITUTE(SUBSTITUTE(SUBSTITUTE(SUBSTITUTE(SUBSTITUTE(SUBSTITUTE(SUBSTITUTE(SUBSTITUTE(SUBSTITUTE(SUBSTITUTE(SUBSTITUTE(tabSindicatos[COMARCAS PAF],"á","a"),"ã","a"),"â","a"),"é","e"),"ê","e"),"í","i"),"ó","o"),"õ","o"),"ô","o"),"ú","u"),"ç","c"),"Á","a"),"Ã","a"),"Â","a"),"É","e"),"Ê","e"),"Í","i"),"Ó","o"),"Õ","o"),"Ô","o"),"Ú","u"),"Ç","c"),"/MG","")," e ",", ")," ",""),".",""))),
IFERROR(IF(_xlfn.XLOOKUP(tabParametros[[#This Row],[CCT DA CATEGORIA]],tabSindicatos[SINDICATOS],tabSindicatos[COMARCAS PAF])="",
VLOOKUP(tabParametros[[#This Row],[CCT DA CATEGORIA]],tabSindicatos[],8,0),
IF(ISNUMBER(SEARCH(TRIM(_xlpm.COMARCA),_xlfn.XLOOKUP(tabParametros[[#This Row],[CCT DA CATEGORIA]],tabSindicatos[SINDICATOS],_xlpm.MATRIZ_COMARCA),1)),VLOOKUP(tabParametros[[#This Row],[CCT DA CATEGORIA]],tabSindicatos[],8,0),0)
),0)
)</f>
        <v>77.25</v>
      </c>
      <c r="AE205" s="234">
        <f>IFERROR(VLOOKUP(tabParametros[[#This Row],[CCT DA CATEGORIA]],tabSindicatos[],9,0),0)</f>
        <v>0</v>
      </c>
      <c r="AF205" s="234">
        <f>IFERROR(VLOOKUP(tabParametros[[#This Row],[CCT DA CATEGORIA]],tabSindicatos[],10,0),0)</f>
        <v>0</v>
      </c>
      <c r="AG205" s="236">
        <f>VLOOKUP(tabParametros[[#Headers],[Seguro de Vida]],tabOutrosCustos[],3,0)</f>
        <v>3.36</v>
      </c>
      <c r="AH205" s="236">
        <f>IF(ISNUMBER(SEARCH("MOTORISTA",tabParametros[[#This Row],[Função]],1)),VLOOKUP("MOTORISTAS",tabDiarias[],2,0),IF(tabParametros[[#This Row],[Comarca]]="Belo Horizonte",VLOOKUP("LIMPEZA",tabDiarias[],2,0),0))</f>
        <v>0</v>
      </c>
      <c r="AI205" s="235">
        <f t="shared" si="35"/>
        <v>7.011766975308642E-3</v>
      </c>
      <c r="AJ205" s="237">
        <f>tabParametros[[#This Row],[FGTS]]*tabParametros[[#This Row],[Aviso Prévio Indenizado (API) e Reflexo do Aviso Prévio Indenizado]]</f>
        <v>5.609413580246914E-4</v>
      </c>
      <c r="AK205" s="237">
        <f>tabParametros[[#This Row],[FGTS]]*tabParametros[[#This Row],[Aviso Prévio Indenizado (API) e Reflexo do Aviso Prévio Indenizado]]*40%</f>
        <v>2.2437654320987658E-4</v>
      </c>
      <c r="AL205" s="235">
        <f t="shared" si="36"/>
        <v>3.5000000000000005E-3</v>
      </c>
      <c r="AM205" s="235">
        <f>tabParametros[[#This Row],[Aviso Prévio Trabalhado - APT]]*SUM(tabParametros[[#This Row],[INSS]:[SEBRAE]])</f>
        <v>1.3230000000000004E-3</v>
      </c>
      <c r="AN205" s="235">
        <f t="shared" si="37"/>
        <v>3.0577777777777773E-2</v>
      </c>
      <c r="AO205" s="235">
        <f t="shared" si="38"/>
        <v>8.3333333333333339E-4</v>
      </c>
      <c r="AP205" s="235">
        <f t="shared" si="39"/>
        <v>8.4444444444444437E-3</v>
      </c>
      <c r="AQ205" s="235">
        <f t="shared" si="40"/>
        <v>2.0277777777777777E-3</v>
      </c>
      <c r="AR205" s="235">
        <f t="shared" si="41"/>
        <v>1.7083333333333333E-4</v>
      </c>
      <c r="AS205" s="235">
        <f t="shared" si="42"/>
        <v>2.0833333333333335E-4</v>
      </c>
      <c r="AT205" s="235">
        <f t="shared" si="43"/>
        <v>1.2962962962962963E-3</v>
      </c>
      <c r="AU205" s="237">
        <f>SUM(tabParametros[[#This Row],[Ausência por Doença]:[Férias, Adicional de Férias e 13º  com empregada em gozo de Licença Maternidade]])*SUM(tabParametros[[#This Row],[INSS]:[SEBRAE]])</f>
        <v>4.5918250000000008E-3</v>
      </c>
      <c r="AV205" s="234">
        <f>IF(tabParametros[[#This Row],[Função]]="Porteiro - 220 h",SUM(tabParametros[[#This Row],[Salário Base]:[Adicional de Acúmulo de função]])/220*20*1.5,IF(ISNUMBER(SEARCH("12 x 36",tabParametros[[#This Row],[Função]],1)),SUM(tabParametros[[#This Row],[Salário Base]:[Adicional de Acúmulo de função]])/210*15.5*1.5,0))</f>
        <v>0</v>
      </c>
      <c r="AW205" s="234">
        <f>IF(tabParametros[[#This Row],[Vagas contratadas]]&gt;0,(SUM(tabParametros[[#This Row],[Salário Base]:[Adicional de Acúmulo de função]])*30%+SUM(tabParametros[[#This Row],[Vale - Alimentação]:[Seguro de Vida]]))/tabParametros[[#This Row],[Vagas contratadas]]*tabParametros[[#This Row],[Vagas suspensas]],0)</f>
        <v>0</v>
      </c>
      <c r="AX205" s="234">
        <f>SUMIF(tabUniformes[Cargo],tabParametros[[#This Row],[Função]],tabUniformes[Valor unit. Mensal])</f>
        <v>100.80916666666666</v>
      </c>
      <c r="AY205" s="281">
        <f>IF(ISNUMBER(SEARCH("AUXILIAR DE LIMPEZA - 75 H",tabParametros[[#This Row],[Função]],1)),
SUMIF(tabLimpGeral[TIPO],"Material",tabLimpGeral[VALOR UNITÁRIO P/ HORA (R$)])*75,
IF(ISNUMBER(SEARCH("AUXILIAR DE LIMPEZA - 110 H",tabParametros[[#This Row],[Função]],1)),
SUMIF(tabLimpGeral[TIPO],"Material",tabLimpGeral[VALOR UNITÁRIO P/ HORA (R$)])*110,
IF(ISNUMBER(SEARCH("AUXILIAR DE LIMPEZA - 150 H",tabParametros[[#This Row],[Função]],1)),
SUMIF(tabLimpGeral[TIPO],"Material",tabLimpGeral[VALOR UNITÁRIO P/ HORA (R$)])*150,
IF(ISNUMBER(SEARCH("AUXILIAR DE LIMPEZA - 220 H",tabParametros[[#This Row],[Função]],1)),
SUMIF(tabLimpGeral[TIPO],"Material",tabLimpGeral[VALOR UNITÁRIO P/ HORA (R$)])*220,
IF(ISNUMBER(SEARCH("AUXILIAR DE LIMPEZA - 12 x 36",tabParametros[[#This Row],[Função]],1)),
SUMIF(tabLimpGeral[TIPO],"Material",tabLimpGeral[VALOR UNITÁRIO P/ HORA (R$)])*220,
IF(ISNUMBER(SEARCH("Limpador de vidros - 220 h",tabParametros[[#This Row],[Função]],1)),
SUMIF(tabVidros[TIPO],"Material",tabVidros[VALOR UNITÁRIO P/ POSTO (R$)]),
0))))))</f>
        <v>35.518212958583888</v>
      </c>
      <c r="AZ205" s="281">
        <f>IF(ISNUMBER(SEARCH("AUXILIAR DE LIMPEZA - 75 H",tabParametros[[#This Row],[Função]],1)),
SUMIF(tabLimpGeral[TIPO],"Equipamento",tabLimpGeral[VALOR UNITÁRIO P/ HORA (R$)])*75,
IF(ISNUMBER(SEARCH("AUXILIAR DE LIMPEZA - 110 H",tabParametros[[#This Row],[Função]],1)),
SUMIF(tabLimpGeral[TIPO],"Equipamento",tabLimpGeral[VALOR UNITÁRIO P/ HORA (R$)])*110,
IF(ISNUMBER(SEARCH("AUXILIAR DE LIMPEZA - 150 H",tabParametros[[#This Row],[Função]],1)),
SUMIF(tabLimpGeral[TIPO],"Equipamento",tabLimpGeral[VALOR UNITÁRIO P/ HORA (R$)])*150,
IF(ISNUMBER(SEARCH("AUXILIAR DE LIMPEZA - 220 H",tabParametros[[#This Row],[Função]],1)),
SUMIF(tabLimpGeral[TIPO],"Equipamento",tabLimpGeral[VALOR UNITÁRIO P/ HORA (R$)])*220,
IF(ISNUMBER(SEARCH("AUXILIAR DE LIMPEZA - 12 x 36",tabParametros[[#This Row],[Função]],1)),
SUMIF(tabLimpGeral[TIPO],"Equipamento",tabLimpGeral[VALOR UNITÁRIO P/ HORA (R$)])*220,
IF(ISNUMBER(SEARCH("Limpador de vidros - 220 h",tabParametros[[#This Row],[Função]],1)),
SUMIF(tabVidros[TIPO],"Equipamento",tabVidros[VALOR UNITÁRIO P/ POSTO (R$)]),
0))))))</f>
        <v>64.529393914825576</v>
      </c>
      <c r="BA205" s="281">
        <f>IF(ISNUMBER(SEARCH("AUXILIAR DE LIMPEZA - 75 H",tabParametros[[#This Row],[Função]],1)),
SUMIF(tabLimpGeral[TIPO],"Produto",tabLimpGeral[VALOR UNITÁRIO P/ HORA (R$)])*75,
IF(ISNUMBER(SEARCH("AUXILIAR DE LIMPEZA - 110 H",tabParametros[[#This Row],[Função]],1)),
SUMIF(tabLimpGeral[TIPO],"Produto",tabLimpGeral[VALOR UNITÁRIO P/ HORA (R$)])*110,
IF(ISNUMBER(SEARCH("AUXILIAR DE LIMPEZA - 150 H",tabParametros[[#This Row],[Função]],1)),
SUMIF(tabLimpGeral[TIPO],"Produto",tabLimpGeral[VALOR UNITÁRIO P/ HORA (R$)])*150,
IF(ISNUMBER(SEARCH("AUXILIAR DE LIMPEZA - 220 H",tabParametros[[#This Row],[Função]],1)),
SUMIF(tabLimpGeral[TIPO],"Produto",tabLimpGeral[VALOR UNITÁRIO P/ HORA (R$)])*220,
IF(ISNUMBER(SEARCH("AUXILIAR DE LIMPEZA - 12 x 36",tabParametros[[#This Row],[Função]],1)),
SUMIF(tabLimpGeral[TIPO],"Produto",tabLimpGeral[VALOR UNITÁRIO P/ HORA (R$)])*220,
IF(ISNUMBER(SEARCH("Limpador de vidros - 220 h",tabParametros[[#This Row],[Função]],1)),
SUMIF(tabVidros[TIPO],"Produto",tabVidros[VALOR UNITÁRIO P/ POSTO (R$)]),
0))))))</f>
        <v>690.27153277931654</v>
      </c>
      <c r="BB205" s="281">
        <v>0</v>
      </c>
      <c r="BC205" s="236">
        <f>VLOOKUP(tabParametros[[#Headers],[Custos Indiretos]],tabOutrosCustos[],3,0)</f>
        <v>189.64880140242613</v>
      </c>
      <c r="BD205" s="236">
        <f>VLOOKUP(tabParametros[[#Headers],[Lucro]],tabOutrosCustos[],3,0)</f>
        <v>159.30499317803796</v>
      </c>
      <c r="BE205" s="235">
        <f>VLOOKUP(tabParametros[[#Headers],[COFINS]],tabImpostosNacionais[],2,0)</f>
        <v>7.5999999999999998E-2</v>
      </c>
      <c r="BF205" s="235">
        <f>VLOOKUP(tabParametros[[#Headers],[PIS]],tabImpostosNacionais[],2,0)</f>
        <v>1.6500000000000001E-2</v>
      </c>
      <c r="BG205" s="235">
        <f>VLOOKUP(tabParametros[[#This Row],[Comarca]],tabComarca[],4,0)</f>
        <v>0.05</v>
      </c>
      <c r="BH205" s="238">
        <f>IFERROR(VLOOKUP(tabParametros[[#This Row],[CCT DA CATEGORIA]],tabSindicatos[],11,0),"")</f>
        <v>45658</v>
      </c>
      <c r="BI205" s="289" t="str">
        <f>IFERROR(VLOOKUP(tabParametros[[#This Row],[CCT DA CATEGORIA]],tabSindicatos[],12,0),"")</f>
        <v>-</v>
      </c>
      <c r="BJ205" s="293" t="str">
        <f>IFERROR(VLOOKUP(tabParametros[[#This Row],[CCT DA CATEGORIA]],tabSindicatos[],13,0),"")</f>
        <v>-</v>
      </c>
    </row>
    <row r="206" spans="1:62" x14ac:dyDescent="0.25">
      <c r="A206" s="233" t="s">
        <v>1541</v>
      </c>
      <c r="B206" s="198" t="s">
        <v>186</v>
      </c>
      <c r="C206" s="198" t="s">
        <v>1247</v>
      </c>
      <c r="D206" s="198" t="str">
        <f>VLOOKUP(tabParametros[[#This Row],[Código do Posto]],tabPostos[],4,0)</f>
        <v>Regiao de Ouro Preto</v>
      </c>
      <c r="E206" s="289" t="str">
        <f>VLOOKUP(tabParametros[[#This Row],[Código do Posto]],tabPostos[],5,0)</f>
        <v>Limpeza</v>
      </c>
      <c r="F206" s="289" t="str">
        <f>VLOOKUP(tabParametros[[#This Row],[Código do Posto]],tabPostos[],6,0)</f>
        <v>PGJ</v>
      </c>
      <c r="G206" s="289">
        <f>VLOOKUP(tabParametros[[#This Row],[Código do Posto]],tabPostos[],7,0)</f>
        <v>1</v>
      </c>
      <c r="H206" s="289">
        <f>VLOOKUP(tabParametros[[#This Row],[Código do Posto]],tabPostos[],8,0)</f>
        <v>0</v>
      </c>
      <c r="I206" s="234">
        <f>VLOOKUP(tabParametros[[#This Row],[Código do Posto]],tabPostos[],9,0)</f>
        <v>544.17999999999995</v>
      </c>
      <c r="J206" s="234">
        <f>IF(ISNUMBER(SEARCH("Eletricista",tabParametros[[#This Row],[Função]],1)),0.3*tabParametros[[#This Row],[Salário Base]],0)</f>
        <v>0</v>
      </c>
      <c r="K206" s="234">
        <f>IF(OR(ISNUMBER(SEARCH("Bombeiro Hidraulico",tabParametros[[#This Row],[Função]],1)),ISNUMBER(SEARCH("Jardineiro",tabParametros[[#This Row],[Função]],1)),ISNUMBER(SEARCH("Lavador de Veiculos",tabParametros[[#This Row],[Função]],1)),ISNUMBER(SEARCH("Marceneiro",tabParametros[[#This Row],[Função]],1)),ISNUMBER(SEARCH("Pintor",tabParametros[[#This Row],[Função]],1))),0.2*'BASE GERAL'!$R$4,0)</f>
        <v>0</v>
      </c>
      <c r="L206" s="234">
        <f>IF(AND(ISNUMBER(SEARCH("Noturno",tabParametros[[#This Row],[Função]],1)),tabParametros[[#This Row],[Comarca]]&lt;&gt;"Juiz de Fora"),tabParametros[[#This Row],[Salário Base]]/210*0.39*7*15.5,IF(ISNUMBER(SEARCH("Noturno",tabParametros[[#This Row],[Função]],1)),tabParametros[[#This Row],[Salário Base]]/210*0.2*8*15.5,0))</f>
        <v>0</v>
      </c>
      <c r="M206" s="234">
        <f>IF(ISNUMBER(SEARCH("Motorista II",tabParametros[[#This Row],[Função]],1)),0.25*tabParametros[[#This Row],[Salário Base]],0)</f>
        <v>0</v>
      </c>
      <c r="N206" s="250">
        <v>0</v>
      </c>
      <c r="O206" s="234">
        <f>IF(ISNUMBER(SEARCH("TECNOLOGIA DA INFORMACAO",tabParametros[[#This Row],[Função]],1)),0.0201*tabParametros[[#This Row],[Salário Base]],0)</f>
        <v>0</v>
      </c>
      <c r="P206" s="250" cm="1">
        <f t="array" ref="P206">_xlfn.IFS(
ISNUMBER(SEARCH("Auxiliar de Limpeza - 75 h",tabParametros[[#This Row],[Função]],1)),tabParametros[[#This Row],[Salário Base]]/75*0.75*30*0.12,
ISNUMBER(SEARCH("Auxiliar de Limpeza - 110 h",tabParametros[[#This Row],[Função]],1)),tabParametros[[#This Row],[Salário Base]]/110*1*30*0.12,
ISNUMBER(SEARCH("Auxiliar de Limpeza - 150 h",tabParametros[[#This Row],[Função]],1)),tabParametros[[#This Row],[Salário Base]]/150*1.5*30*0.12,
ISNUMBER(SEARCH("Auxiliar de Limpeza - 220 h",tabParametros[[#This Row],[Função]],1)),tabParametros[[#This Row],[Salário Base]]/220*2*30*0.12,
ISNUMBER(SEARCH("Auxiliar de Limpeza - 12 x 36",tabParametros[[#This Row],[Função]],1)),tabParametros[[#This Row],[Salário Base]]/220*2*30*0.12,
ISNUMBER(SEARCH("Auxiliar de Limpeza - 55 h",tabParametros[[#This Row],[Função]],1))=FALSE,0)</f>
        <v>19.590479999999999</v>
      </c>
      <c r="Q206" s="235">
        <f>VLOOKUP(tabParametros[[#Headers],[INSS]],tabImpostosNacionais[],2,0)</f>
        <v>0.2</v>
      </c>
      <c r="R206" s="235">
        <f>VLOOKUP(tabParametros[[#Headers],[SESI OU SESC]],tabImpostosNacionais[],2,0)</f>
        <v>1.4999999999999999E-2</v>
      </c>
      <c r="S206" s="235">
        <f>VLOOKUP(tabParametros[[#Headers],[SENAI OU SENAC]],tabImpostosNacionais[],2,0)</f>
        <v>0.01</v>
      </c>
      <c r="T206" s="235">
        <f>VLOOKUP(tabParametros[[#Headers],[INCRA]],tabImpostosNacionais[],2,0)</f>
        <v>2E-3</v>
      </c>
      <c r="U206" s="235">
        <f>VLOOKUP(tabParametros[[#Headers],[Salário Educação]],tabImpostosNacionais[],2,0)</f>
        <v>2.5000000000000001E-2</v>
      </c>
      <c r="V206" s="235">
        <f>VLOOKUP(tabParametros[[#Headers],[FGTS]],tabImpostosNacionais[],2,0)</f>
        <v>0.08</v>
      </c>
      <c r="W206" s="235">
        <f>VLOOKUP(tabParametros[[#Headers],[RAT Ajustado]],tabImpostosNacionais[],2,0)</f>
        <v>0.04</v>
      </c>
      <c r="X206" s="235">
        <f>VLOOKUP(tabParametros[[#Headers],[SEBRAE]],tabImpostosNacionais[],2,0)</f>
        <v>6.0000000000000001E-3</v>
      </c>
      <c r="Y206" s="235">
        <f t="shared" si="33"/>
        <v>8.3333333333333329E-2</v>
      </c>
      <c r="Z206" s="251">
        <f t="shared" si="34"/>
        <v>0.1111111111111111</v>
      </c>
      <c r="AA206" s="234">
        <f>VLOOKUP(tabParametros[[#This Row],[Comarca]],tabComarca[],5,0)</f>
        <v>6.4</v>
      </c>
      <c r="AB206" s="234">
        <f>IFERROR(VLOOKUP(tabParametros[[#This Row],[CCT DA CATEGORIA]],tabSindicatos[],6,0),0)</f>
        <v>29.15</v>
      </c>
      <c r="AC206" s="234">
        <f>IFERROR(VLOOKUP(tabParametros[[#This Row],[CCT DA CATEGORIA]],tabSindicatos[],7,0),0)</f>
        <v>0</v>
      </c>
      <c r="AD206" s="234" cm="1">
        <f t="array" ref="AD206">_xlfn.LET(
_xlpm.COMARCA, TRIM(UPPER(SUBSTITUTE(SUBSTITUTE(SUBSTITUTE(SUBSTITUTE(SUBSTITUTE(SUBSTITUTE(SUBSTITUTE(SUBSTITUTE(SUBSTITUTE(SUBSTITUTE(SUBSTITUTE(SUBSTITUTE(SUBSTITUTE(SUBSTITUTE(SUBSTITUTE(SUBSTITUTE(SUBSTITUTE(SUBSTITUTE(SUBSTITUTE(SUBSTITUTE(SUBSTITUTE(SUBSTITUTE(SUBSTITUTE(SUBSTITUTE(SUBSTITUTE(SUBSTITUTE(tabParametros[[#This Row],[Comarca]],"á","a"),"ã","a"),"â","a"),"é","e"),"ê","e"),"í","i"),"ó","o"),"õ","o"),"ô","o"),"ú","u"),"ç","c"),"Á","a"),"Ã","a"),"Â","a"),"É","e"),"Ê","e"),"Í","i"),"Ó","o"),"Õ","o"),"Ô","o"),"Ú","u"),"Ç","c"),"/MG","")," e ",", ")," ",""),".",""))),
_xlpm.MATRIZ_COMARCA, TRIM(UPPER(SUBSTITUTE(SUBSTITUTE(SUBSTITUTE(SUBSTITUTE(SUBSTITUTE(SUBSTITUTE(SUBSTITUTE(SUBSTITUTE(SUBSTITUTE(SUBSTITUTE(SUBSTITUTE(SUBSTITUTE(SUBSTITUTE(SUBSTITUTE(SUBSTITUTE(SUBSTITUTE(SUBSTITUTE(SUBSTITUTE(SUBSTITUTE(SUBSTITUTE(SUBSTITUTE(SUBSTITUTE(SUBSTITUTE(SUBSTITUTE(SUBSTITUTE(SUBSTITUTE(tabSindicatos[COMARCAS PAF],"á","a"),"ã","a"),"â","a"),"é","e"),"ê","e"),"í","i"),"ó","o"),"õ","o"),"ô","o"),"ú","u"),"ç","c"),"Á","a"),"Ã","a"),"Â","a"),"É","e"),"Ê","e"),"Í","i"),"Ó","o"),"Õ","o"),"Ô","o"),"Ú","u"),"Ç","c"),"/MG","")," e ",", ")," ",""),".",""))),
IFERROR(IF(_xlfn.XLOOKUP(tabParametros[[#This Row],[CCT DA CATEGORIA]],tabSindicatos[SINDICATOS],tabSindicatos[COMARCAS PAF])="",
VLOOKUP(tabParametros[[#This Row],[CCT DA CATEGORIA]],tabSindicatos[],8,0),
IF(ISNUMBER(SEARCH(TRIM(_xlpm.COMARCA),_xlfn.XLOOKUP(tabParametros[[#This Row],[CCT DA CATEGORIA]],tabSindicatos[SINDICATOS],_xlpm.MATRIZ_COMARCA),1)),VLOOKUP(tabParametros[[#This Row],[CCT DA CATEGORIA]],tabSindicatos[],8,0),0)
),0)
)</f>
        <v>0</v>
      </c>
      <c r="AE206" s="234">
        <f>IFERROR(VLOOKUP(tabParametros[[#This Row],[CCT DA CATEGORIA]],tabSindicatos[],9,0),0)</f>
        <v>0</v>
      </c>
      <c r="AF206" s="234">
        <f>IFERROR(VLOOKUP(tabParametros[[#This Row],[CCT DA CATEGORIA]],tabSindicatos[],10,0),0)</f>
        <v>0</v>
      </c>
      <c r="AG206" s="236">
        <f>VLOOKUP(tabParametros[[#Headers],[Seguro de Vida]],tabOutrosCustos[],3,0)</f>
        <v>3.36</v>
      </c>
      <c r="AH206" s="236">
        <f>IF(ISNUMBER(SEARCH("MOTORISTA",tabParametros[[#This Row],[Função]],1)),VLOOKUP("MOTORISTAS",tabDiarias[],2,0),IF(tabParametros[[#This Row],[Comarca]]="Belo Horizonte",VLOOKUP("LIMPEZA",tabDiarias[],2,0),0))</f>
        <v>0</v>
      </c>
      <c r="AI206" s="235">
        <f t="shared" si="35"/>
        <v>7.011766975308642E-3</v>
      </c>
      <c r="AJ206" s="237">
        <f>tabParametros[[#This Row],[FGTS]]*tabParametros[[#This Row],[Aviso Prévio Indenizado (API) e Reflexo do Aviso Prévio Indenizado]]</f>
        <v>5.609413580246914E-4</v>
      </c>
      <c r="AK206" s="237">
        <f>tabParametros[[#This Row],[FGTS]]*tabParametros[[#This Row],[Aviso Prévio Indenizado (API) e Reflexo do Aviso Prévio Indenizado]]*40%</f>
        <v>2.2437654320987658E-4</v>
      </c>
      <c r="AL206" s="235">
        <f t="shared" si="36"/>
        <v>3.5000000000000005E-3</v>
      </c>
      <c r="AM206" s="235">
        <f>tabParametros[[#This Row],[Aviso Prévio Trabalhado - APT]]*SUM(tabParametros[[#This Row],[INSS]:[SEBRAE]])</f>
        <v>1.3230000000000004E-3</v>
      </c>
      <c r="AN206" s="235">
        <f t="shared" si="37"/>
        <v>3.0577777777777773E-2</v>
      </c>
      <c r="AO206" s="235">
        <f t="shared" si="38"/>
        <v>8.3333333333333339E-4</v>
      </c>
      <c r="AP206" s="235">
        <f t="shared" si="39"/>
        <v>8.4444444444444437E-3</v>
      </c>
      <c r="AQ206" s="235">
        <f t="shared" si="40"/>
        <v>2.0277777777777777E-3</v>
      </c>
      <c r="AR206" s="235">
        <f t="shared" si="41"/>
        <v>1.7083333333333333E-4</v>
      </c>
      <c r="AS206" s="235">
        <f t="shared" si="42"/>
        <v>2.0833333333333335E-4</v>
      </c>
      <c r="AT206" s="235">
        <f t="shared" si="43"/>
        <v>1.2962962962962963E-3</v>
      </c>
      <c r="AU206" s="237">
        <f>SUM(tabParametros[[#This Row],[Ausência por Doença]:[Férias, Adicional de Férias e 13º  com empregada em gozo de Licença Maternidade]])*SUM(tabParametros[[#This Row],[INSS]:[SEBRAE]])</f>
        <v>4.5918250000000008E-3</v>
      </c>
      <c r="AV206" s="234">
        <f>IF(tabParametros[[#This Row],[Função]]="Porteiro - 220 h",SUM(tabParametros[[#This Row],[Salário Base]:[Adicional de Acúmulo de função]])/220*20*1.5,IF(ISNUMBER(SEARCH("12 x 36",tabParametros[[#This Row],[Função]],1)),SUM(tabParametros[[#This Row],[Salário Base]:[Adicional de Acúmulo de função]])/210*15.5*1.5,0))</f>
        <v>0</v>
      </c>
      <c r="AW206" s="234">
        <f>IF(tabParametros[[#This Row],[Vagas contratadas]]&gt;0,(SUM(tabParametros[[#This Row],[Salário Base]:[Adicional de Acúmulo de função]])*30%+SUM(tabParametros[[#This Row],[Vale - Alimentação]:[Seguro de Vida]]))/tabParametros[[#This Row],[Vagas contratadas]]*tabParametros[[#This Row],[Vagas suspensas]],0)</f>
        <v>0</v>
      </c>
      <c r="AX206" s="234">
        <f>SUMIF(tabUniformes[Cargo],tabParametros[[#This Row],[Função]],tabUniformes[Valor unit. Mensal])</f>
        <v>62.806666666666665</v>
      </c>
      <c r="AY206" s="281">
        <f>IF(ISNUMBER(SEARCH("AUXILIAR DE LIMPEZA - 75 H",tabParametros[[#This Row],[Função]],1)),
SUMIF(tabLimpGeral[TIPO],"Material",tabLimpGeral[VALOR UNITÁRIO P/ HORA (R$)])*75,
IF(ISNUMBER(SEARCH("AUXILIAR DE LIMPEZA - 110 H",tabParametros[[#This Row],[Função]],1)),
SUMIF(tabLimpGeral[TIPO],"Material",tabLimpGeral[VALOR UNITÁRIO P/ HORA (R$)])*110,
IF(ISNUMBER(SEARCH("AUXILIAR DE LIMPEZA - 150 H",tabParametros[[#This Row],[Função]],1)),
SUMIF(tabLimpGeral[TIPO],"Material",tabLimpGeral[VALOR UNITÁRIO P/ HORA (R$)])*150,
IF(ISNUMBER(SEARCH("AUXILIAR DE LIMPEZA - 220 H",tabParametros[[#This Row],[Função]],1)),
SUMIF(tabLimpGeral[TIPO],"Material",tabLimpGeral[VALOR UNITÁRIO P/ HORA (R$)])*220,
IF(ISNUMBER(SEARCH("AUXILIAR DE LIMPEZA - 12 x 36",tabParametros[[#This Row],[Função]],1)),
SUMIF(tabLimpGeral[TIPO],"Material",tabLimpGeral[VALOR UNITÁRIO P/ HORA (R$)])*220,
IF(ISNUMBER(SEARCH("Limpador de vidros - 220 h",tabParametros[[#This Row],[Função]],1)),
SUMIF(tabVidros[TIPO],"Material",tabVidros[VALOR UNITÁRIO P/ POSTO (R$)]),
0))))))</f>
        <v>12.108481690426325</v>
      </c>
      <c r="AZ206" s="281">
        <f>IF(ISNUMBER(SEARCH("AUXILIAR DE LIMPEZA - 75 H",tabParametros[[#This Row],[Função]],1)),
SUMIF(tabLimpGeral[TIPO],"Equipamento",tabLimpGeral[VALOR UNITÁRIO P/ HORA (R$)])*75,
IF(ISNUMBER(SEARCH("AUXILIAR DE LIMPEZA - 110 H",tabParametros[[#This Row],[Função]],1)),
SUMIF(tabLimpGeral[TIPO],"Equipamento",tabLimpGeral[VALOR UNITÁRIO P/ HORA (R$)])*110,
IF(ISNUMBER(SEARCH("AUXILIAR DE LIMPEZA - 150 H",tabParametros[[#This Row],[Função]],1)),
SUMIF(tabLimpGeral[TIPO],"Equipamento",tabLimpGeral[VALOR UNITÁRIO P/ HORA (R$)])*150,
IF(ISNUMBER(SEARCH("AUXILIAR DE LIMPEZA - 220 H",tabParametros[[#This Row],[Função]],1)),
SUMIF(tabLimpGeral[TIPO],"Equipamento",tabLimpGeral[VALOR UNITÁRIO P/ HORA (R$)])*220,
IF(ISNUMBER(SEARCH("AUXILIAR DE LIMPEZA - 12 x 36",tabParametros[[#This Row],[Função]],1)),
SUMIF(tabLimpGeral[TIPO],"Equipamento",tabLimpGeral[VALOR UNITÁRIO P/ HORA (R$)])*220,
IF(ISNUMBER(SEARCH("Limpador de vidros - 220 h",tabParametros[[#This Row],[Função]],1)),
SUMIF(tabVidros[TIPO],"Equipamento",tabVidros[VALOR UNITÁRIO P/ POSTO (R$)]),
0))))))</f>
        <v>21.998657016417809</v>
      </c>
      <c r="BA206" s="281">
        <f>IF(ISNUMBER(SEARCH("AUXILIAR DE LIMPEZA - 75 H",tabParametros[[#This Row],[Função]],1)),
SUMIF(tabLimpGeral[TIPO],"Produto",tabLimpGeral[VALOR UNITÁRIO P/ HORA (R$)])*75,
IF(ISNUMBER(SEARCH("AUXILIAR DE LIMPEZA - 110 H",tabParametros[[#This Row],[Função]],1)),
SUMIF(tabLimpGeral[TIPO],"Produto",tabLimpGeral[VALOR UNITÁRIO P/ HORA (R$)])*110,
IF(ISNUMBER(SEARCH("AUXILIAR DE LIMPEZA - 150 H",tabParametros[[#This Row],[Função]],1)),
SUMIF(tabLimpGeral[TIPO],"Produto",tabLimpGeral[VALOR UNITÁRIO P/ HORA (R$)])*150,
IF(ISNUMBER(SEARCH("AUXILIAR DE LIMPEZA - 220 H",tabParametros[[#This Row],[Função]],1)),
SUMIF(tabLimpGeral[TIPO],"Produto",tabLimpGeral[VALOR UNITÁRIO P/ HORA (R$)])*220,
IF(ISNUMBER(SEARCH("AUXILIAR DE LIMPEZA - 12 x 36",tabParametros[[#This Row],[Função]],1)),
SUMIF(tabLimpGeral[TIPO],"Produto",tabLimpGeral[VALOR UNITÁRIO P/ HORA (R$)])*220,
IF(ISNUMBER(SEARCH("Limpador de vidros - 220 h",tabParametros[[#This Row],[Função]],1)),
SUMIF(tabVidros[TIPO],"Produto",tabVidros[VALOR UNITÁRIO P/ POSTO (R$)]),
0))))))</f>
        <v>235.31984072022155</v>
      </c>
      <c r="BB206" s="281">
        <v>0</v>
      </c>
      <c r="BC206" s="236">
        <f>VLOOKUP(tabParametros[[#Headers],[Custos Indiretos]],tabOutrosCustos[],3,0)</f>
        <v>189.64880140242613</v>
      </c>
      <c r="BD206" s="236">
        <f>VLOOKUP(tabParametros[[#Headers],[Lucro]],tabOutrosCustos[],3,0)</f>
        <v>159.30499317803796</v>
      </c>
      <c r="BE206" s="235">
        <f>VLOOKUP(tabParametros[[#Headers],[COFINS]],tabImpostosNacionais[],2,0)</f>
        <v>7.5999999999999998E-2</v>
      </c>
      <c r="BF206" s="235">
        <f>VLOOKUP(tabParametros[[#Headers],[PIS]],tabImpostosNacionais[],2,0)</f>
        <v>1.6500000000000001E-2</v>
      </c>
      <c r="BG206" s="235">
        <f>VLOOKUP(tabParametros[[#This Row],[Comarca]],tabComarca[],4,0)</f>
        <v>0.05</v>
      </c>
      <c r="BH206" s="238">
        <f>IFERROR(VLOOKUP(tabParametros[[#This Row],[CCT DA CATEGORIA]],tabSindicatos[],11,0),"")</f>
        <v>45658</v>
      </c>
      <c r="BI206" s="289" t="str">
        <f>IFERROR(VLOOKUP(tabParametros[[#This Row],[CCT DA CATEGORIA]],tabSindicatos[],12,0),"")</f>
        <v>-</v>
      </c>
      <c r="BJ206" s="293" t="str">
        <f>IFERROR(VLOOKUP(tabParametros[[#This Row],[CCT DA CATEGORIA]],tabSindicatos[],13,0),"")</f>
        <v>-</v>
      </c>
    </row>
    <row r="207" spans="1:62" x14ac:dyDescent="0.25">
      <c r="A207" s="233" t="s">
        <v>1542</v>
      </c>
      <c r="B207" s="198" t="s">
        <v>187</v>
      </c>
      <c r="C207" s="198" t="s">
        <v>1244</v>
      </c>
      <c r="D207" s="198" t="str">
        <f>VLOOKUP(tabParametros[[#This Row],[Código do Posto]],tabPostos[],4,0)</f>
        <v>Alto Paranaiba</v>
      </c>
      <c r="E207" s="289" t="str">
        <f>VLOOKUP(tabParametros[[#This Row],[Código do Posto]],tabPostos[],5,0)</f>
        <v>Limpeza</v>
      </c>
      <c r="F207" s="289" t="str">
        <f>VLOOKUP(tabParametros[[#This Row],[Código do Posto]],tabPostos[],6,0)</f>
        <v>PGJ</v>
      </c>
      <c r="G207" s="289">
        <f>VLOOKUP(tabParametros[[#This Row],[Código do Posto]],tabPostos[],7,0)</f>
        <v>1</v>
      </c>
      <c r="H207" s="289">
        <f>VLOOKUP(tabParametros[[#This Row],[Código do Posto]],tabPostos[],8,0)</f>
        <v>0</v>
      </c>
      <c r="I207" s="234">
        <f>VLOOKUP(tabParametros[[#This Row],[Código do Posto]],tabPostos[],9,0)</f>
        <v>798.14</v>
      </c>
      <c r="J207" s="234">
        <f>IF(ISNUMBER(SEARCH("Eletricista",tabParametros[[#This Row],[Função]],1)),0.3*tabParametros[[#This Row],[Salário Base]],0)</f>
        <v>0</v>
      </c>
      <c r="K207" s="234">
        <f>IF(OR(ISNUMBER(SEARCH("Bombeiro Hidraulico",tabParametros[[#This Row],[Função]],1)),ISNUMBER(SEARCH("Jardineiro",tabParametros[[#This Row],[Função]],1)),ISNUMBER(SEARCH("Lavador de Veiculos",tabParametros[[#This Row],[Função]],1)),ISNUMBER(SEARCH("Marceneiro",tabParametros[[#This Row],[Função]],1)),ISNUMBER(SEARCH("Pintor",tabParametros[[#This Row],[Função]],1))),0.2*'BASE GERAL'!$R$4,0)</f>
        <v>0</v>
      </c>
      <c r="L207" s="234">
        <f>IF(AND(ISNUMBER(SEARCH("Noturno",tabParametros[[#This Row],[Função]],1)),tabParametros[[#This Row],[Comarca]]&lt;&gt;"Juiz de Fora"),tabParametros[[#This Row],[Salário Base]]/210*0.39*7*15.5,IF(ISNUMBER(SEARCH("Noturno",tabParametros[[#This Row],[Função]],1)),tabParametros[[#This Row],[Salário Base]]/210*0.2*8*15.5,0))</f>
        <v>0</v>
      </c>
      <c r="M207" s="234">
        <f>IF(ISNUMBER(SEARCH("Motorista II",tabParametros[[#This Row],[Função]],1)),0.25*tabParametros[[#This Row],[Salário Base]],0)</f>
        <v>0</v>
      </c>
      <c r="N207" s="250">
        <v>0</v>
      </c>
      <c r="O207" s="234">
        <f>IF(ISNUMBER(SEARCH("TECNOLOGIA DA INFORMACAO",tabParametros[[#This Row],[Função]],1)),0.0201*tabParametros[[#This Row],[Salário Base]],0)</f>
        <v>0</v>
      </c>
      <c r="P207" s="250" cm="1">
        <f t="array" ref="P207">_xlfn.IFS(
ISNUMBER(SEARCH("Auxiliar de Limpeza - 75 h",tabParametros[[#This Row],[Função]],1)),tabParametros[[#This Row],[Salário Base]]/75*0.75*30*0.12,
ISNUMBER(SEARCH("Auxiliar de Limpeza - 110 h",tabParametros[[#This Row],[Função]],1)),tabParametros[[#This Row],[Salário Base]]/110*1*30*0.12,
ISNUMBER(SEARCH("Auxiliar de Limpeza - 150 h",tabParametros[[#This Row],[Função]],1)),tabParametros[[#This Row],[Salário Base]]/150*1.5*30*0.12,
ISNUMBER(SEARCH("Auxiliar de Limpeza - 220 h",tabParametros[[#This Row],[Função]],1)),tabParametros[[#This Row],[Salário Base]]/220*2*30*0.12,
ISNUMBER(SEARCH("Auxiliar de Limpeza - 12 x 36",tabParametros[[#This Row],[Função]],1)),tabParametros[[#This Row],[Salário Base]]/220*2*30*0.12,
ISNUMBER(SEARCH("Auxiliar de Limpeza - 55 h",tabParametros[[#This Row],[Função]],1))=FALSE,0)</f>
        <v>26.120945454545453</v>
      </c>
      <c r="Q207" s="235">
        <f>VLOOKUP(tabParametros[[#Headers],[INSS]],tabImpostosNacionais[],2,0)</f>
        <v>0.2</v>
      </c>
      <c r="R207" s="235">
        <f>VLOOKUP(tabParametros[[#Headers],[SESI OU SESC]],tabImpostosNacionais[],2,0)</f>
        <v>1.4999999999999999E-2</v>
      </c>
      <c r="S207" s="235">
        <f>VLOOKUP(tabParametros[[#Headers],[SENAI OU SENAC]],tabImpostosNacionais[],2,0)</f>
        <v>0.01</v>
      </c>
      <c r="T207" s="235">
        <f>VLOOKUP(tabParametros[[#Headers],[INCRA]],tabImpostosNacionais[],2,0)</f>
        <v>2E-3</v>
      </c>
      <c r="U207" s="235">
        <f>VLOOKUP(tabParametros[[#Headers],[Salário Educação]],tabImpostosNacionais[],2,0)</f>
        <v>2.5000000000000001E-2</v>
      </c>
      <c r="V207" s="235">
        <f>VLOOKUP(tabParametros[[#Headers],[FGTS]],tabImpostosNacionais[],2,0)</f>
        <v>0.08</v>
      </c>
      <c r="W207" s="235">
        <f>VLOOKUP(tabParametros[[#Headers],[RAT Ajustado]],tabImpostosNacionais[],2,0)</f>
        <v>0.04</v>
      </c>
      <c r="X207" s="235">
        <f>VLOOKUP(tabParametros[[#Headers],[SEBRAE]],tabImpostosNacionais[],2,0)</f>
        <v>6.0000000000000001E-3</v>
      </c>
      <c r="Y207" s="235">
        <f t="shared" si="33"/>
        <v>8.3333333333333329E-2</v>
      </c>
      <c r="Z207" s="251">
        <f t="shared" si="34"/>
        <v>0.1111111111111111</v>
      </c>
      <c r="AA207" s="234">
        <f>VLOOKUP(tabParametros[[#This Row],[Comarca]],tabComarca[],5,0)</f>
        <v>6.4</v>
      </c>
      <c r="AB207" s="234">
        <f>IFERROR(VLOOKUP(tabParametros[[#This Row],[CCT DA CATEGORIA]],tabSindicatos[],6,0),0)</f>
        <v>0</v>
      </c>
      <c r="AC207" s="234">
        <f>IFERROR(VLOOKUP(tabParametros[[#This Row],[CCT DA CATEGORIA]],tabSindicatos[],7,0),0)</f>
        <v>387.79</v>
      </c>
      <c r="AD207" s="234" cm="1">
        <f t="array" ref="AD207">_xlfn.LET(
_xlpm.COMARCA, TRIM(UPPER(SUBSTITUTE(SUBSTITUTE(SUBSTITUTE(SUBSTITUTE(SUBSTITUTE(SUBSTITUTE(SUBSTITUTE(SUBSTITUTE(SUBSTITUTE(SUBSTITUTE(SUBSTITUTE(SUBSTITUTE(SUBSTITUTE(SUBSTITUTE(SUBSTITUTE(SUBSTITUTE(SUBSTITUTE(SUBSTITUTE(SUBSTITUTE(SUBSTITUTE(SUBSTITUTE(SUBSTITUTE(SUBSTITUTE(SUBSTITUTE(SUBSTITUTE(SUBSTITUTE(tabParametros[[#This Row],[Comarca]],"á","a"),"ã","a"),"â","a"),"é","e"),"ê","e"),"í","i"),"ó","o"),"õ","o"),"ô","o"),"ú","u"),"ç","c"),"Á","a"),"Ã","a"),"Â","a"),"É","e"),"Ê","e"),"Í","i"),"Ó","o"),"Õ","o"),"Ô","o"),"Ú","u"),"Ç","c"),"/MG","")," e ",", ")," ",""),".",""))),
_xlpm.MATRIZ_COMARCA, TRIM(UPPER(SUBSTITUTE(SUBSTITUTE(SUBSTITUTE(SUBSTITUTE(SUBSTITUTE(SUBSTITUTE(SUBSTITUTE(SUBSTITUTE(SUBSTITUTE(SUBSTITUTE(SUBSTITUTE(SUBSTITUTE(SUBSTITUTE(SUBSTITUTE(SUBSTITUTE(SUBSTITUTE(SUBSTITUTE(SUBSTITUTE(SUBSTITUTE(SUBSTITUTE(SUBSTITUTE(SUBSTITUTE(SUBSTITUTE(SUBSTITUTE(SUBSTITUTE(SUBSTITUTE(tabSindicatos[COMARCAS PAF],"á","a"),"ã","a"),"â","a"),"é","e"),"ê","e"),"í","i"),"ó","o"),"õ","o"),"ô","o"),"ú","u"),"ç","c"),"Á","a"),"Ã","a"),"Â","a"),"É","e"),"Ê","e"),"Í","i"),"Ó","o"),"Õ","o"),"Ô","o"),"Ú","u"),"Ç","c"),"/MG","")," e ",", ")," ",""),".",""))),
IFERROR(IF(_xlfn.XLOOKUP(tabParametros[[#This Row],[CCT DA CATEGORIA]],tabSindicatos[SINDICATOS],tabSindicatos[COMARCAS PAF])="",
VLOOKUP(tabParametros[[#This Row],[CCT DA CATEGORIA]],tabSindicatos[],8,0),
IF(ISNUMBER(SEARCH(TRIM(_xlpm.COMARCA),_xlfn.XLOOKUP(tabParametros[[#This Row],[CCT DA CATEGORIA]],tabSindicatos[SINDICATOS],_xlpm.MATRIZ_COMARCA),1)),VLOOKUP(tabParametros[[#This Row],[CCT DA CATEGORIA]],tabSindicatos[],8,0),0)
),0)
)</f>
        <v>42.97</v>
      </c>
      <c r="AE207" s="234">
        <f>IFERROR(VLOOKUP(tabParametros[[#This Row],[CCT DA CATEGORIA]],tabSindicatos[],9,0),0)</f>
        <v>0</v>
      </c>
      <c r="AF207" s="234">
        <f>IFERROR(VLOOKUP(tabParametros[[#This Row],[CCT DA CATEGORIA]],tabSindicatos[],10,0),0)</f>
        <v>0</v>
      </c>
      <c r="AG207" s="236">
        <f>VLOOKUP(tabParametros[[#Headers],[Seguro de Vida]],tabOutrosCustos[],3,0)</f>
        <v>3.36</v>
      </c>
      <c r="AH207" s="236">
        <f>IF(ISNUMBER(SEARCH("MOTORISTA",tabParametros[[#This Row],[Função]],1)),VLOOKUP("MOTORISTAS",tabDiarias[],2,0),IF(tabParametros[[#This Row],[Comarca]]="Belo Horizonte",VLOOKUP("LIMPEZA",tabDiarias[],2,0),0))</f>
        <v>0</v>
      </c>
      <c r="AI207" s="235">
        <f t="shared" si="35"/>
        <v>7.011766975308642E-3</v>
      </c>
      <c r="AJ207" s="237">
        <f>tabParametros[[#This Row],[FGTS]]*tabParametros[[#This Row],[Aviso Prévio Indenizado (API) e Reflexo do Aviso Prévio Indenizado]]</f>
        <v>5.609413580246914E-4</v>
      </c>
      <c r="AK207" s="237">
        <f>tabParametros[[#This Row],[FGTS]]*tabParametros[[#This Row],[Aviso Prévio Indenizado (API) e Reflexo do Aviso Prévio Indenizado]]*40%</f>
        <v>2.2437654320987658E-4</v>
      </c>
      <c r="AL207" s="235">
        <f t="shared" si="36"/>
        <v>3.5000000000000005E-3</v>
      </c>
      <c r="AM207" s="235">
        <f>tabParametros[[#This Row],[Aviso Prévio Trabalhado - APT]]*SUM(tabParametros[[#This Row],[INSS]:[SEBRAE]])</f>
        <v>1.3230000000000004E-3</v>
      </c>
      <c r="AN207" s="235">
        <f t="shared" si="37"/>
        <v>3.0577777777777773E-2</v>
      </c>
      <c r="AO207" s="235">
        <f t="shared" si="38"/>
        <v>8.3333333333333339E-4</v>
      </c>
      <c r="AP207" s="235">
        <f t="shared" si="39"/>
        <v>8.4444444444444437E-3</v>
      </c>
      <c r="AQ207" s="235">
        <f t="shared" si="40"/>
        <v>2.0277777777777777E-3</v>
      </c>
      <c r="AR207" s="235">
        <f t="shared" si="41"/>
        <v>1.7083333333333333E-4</v>
      </c>
      <c r="AS207" s="235">
        <f t="shared" si="42"/>
        <v>2.0833333333333335E-4</v>
      </c>
      <c r="AT207" s="235">
        <f t="shared" si="43"/>
        <v>1.2962962962962963E-3</v>
      </c>
      <c r="AU207" s="237">
        <f>SUM(tabParametros[[#This Row],[Ausência por Doença]:[Férias, Adicional de Férias e 13º  com empregada em gozo de Licença Maternidade]])*SUM(tabParametros[[#This Row],[INSS]:[SEBRAE]])</f>
        <v>4.5918250000000008E-3</v>
      </c>
      <c r="AV207" s="234">
        <f>IF(tabParametros[[#This Row],[Função]]="Porteiro - 220 h",SUM(tabParametros[[#This Row],[Salário Base]:[Adicional de Acúmulo de função]])/220*20*1.5,IF(ISNUMBER(SEARCH("12 x 36",tabParametros[[#This Row],[Função]],1)),SUM(tabParametros[[#This Row],[Salário Base]:[Adicional de Acúmulo de função]])/210*15.5*1.5,0))</f>
        <v>0</v>
      </c>
      <c r="AW207" s="234">
        <f>IF(tabParametros[[#This Row],[Vagas contratadas]]&gt;0,(SUM(tabParametros[[#This Row],[Salário Base]:[Adicional de Acúmulo de função]])*30%+SUM(tabParametros[[#This Row],[Vale - Alimentação]:[Seguro de Vida]]))/tabParametros[[#This Row],[Vagas contratadas]]*tabParametros[[#This Row],[Vagas suspensas]],0)</f>
        <v>0</v>
      </c>
      <c r="AX207" s="234">
        <f>SUMIF(tabUniformes[Cargo],tabParametros[[#This Row],[Função]],tabUniformes[Valor unit. Mensal])</f>
        <v>62.806666666666665</v>
      </c>
      <c r="AY207" s="281">
        <f>IF(ISNUMBER(SEARCH("AUXILIAR DE LIMPEZA - 75 H",tabParametros[[#This Row],[Função]],1)),
SUMIF(tabLimpGeral[TIPO],"Material",tabLimpGeral[VALOR UNITÁRIO P/ HORA (R$)])*75,
IF(ISNUMBER(SEARCH("AUXILIAR DE LIMPEZA - 110 H",tabParametros[[#This Row],[Função]],1)),
SUMIF(tabLimpGeral[TIPO],"Material",tabLimpGeral[VALOR UNITÁRIO P/ HORA (R$)])*110,
IF(ISNUMBER(SEARCH("AUXILIAR DE LIMPEZA - 150 H",tabParametros[[#This Row],[Função]],1)),
SUMIF(tabLimpGeral[TIPO],"Material",tabLimpGeral[VALOR UNITÁRIO P/ HORA (R$)])*150,
IF(ISNUMBER(SEARCH("AUXILIAR DE LIMPEZA - 220 H",tabParametros[[#This Row],[Função]],1)),
SUMIF(tabLimpGeral[TIPO],"Material",tabLimpGeral[VALOR UNITÁRIO P/ HORA (R$)])*220,
IF(ISNUMBER(SEARCH("AUXILIAR DE LIMPEZA - 12 x 36",tabParametros[[#This Row],[Função]],1)),
SUMIF(tabLimpGeral[TIPO],"Material",tabLimpGeral[VALOR UNITÁRIO P/ HORA (R$)])*220,
IF(ISNUMBER(SEARCH("Limpador de vidros - 220 h",tabParametros[[#This Row],[Função]],1)),
SUMIF(tabVidros[TIPO],"Material",tabVidros[VALOR UNITÁRIO P/ POSTO (R$)]),
0))))))</f>
        <v>17.759106479291944</v>
      </c>
      <c r="AZ207" s="281">
        <f>IF(ISNUMBER(SEARCH("AUXILIAR DE LIMPEZA - 75 H",tabParametros[[#This Row],[Função]],1)),
SUMIF(tabLimpGeral[TIPO],"Equipamento",tabLimpGeral[VALOR UNITÁRIO P/ HORA (R$)])*75,
IF(ISNUMBER(SEARCH("AUXILIAR DE LIMPEZA - 110 H",tabParametros[[#This Row],[Função]],1)),
SUMIF(tabLimpGeral[TIPO],"Equipamento",tabLimpGeral[VALOR UNITÁRIO P/ HORA (R$)])*110,
IF(ISNUMBER(SEARCH("AUXILIAR DE LIMPEZA - 150 H",tabParametros[[#This Row],[Função]],1)),
SUMIF(tabLimpGeral[TIPO],"Equipamento",tabLimpGeral[VALOR UNITÁRIO P/ HORA (R$)])*150,
IF(ISNUMBER(SEARCH("AUXILIAR DE LIMPEZA - 220 H",tabParametros[[#This Row],[Função]],1)),
SUMIF(tabLimpGeral[TIPO],"Equipamento",tabLimpGeral[VALOR UNITÁRIO P/ HORA (R$)])*220,
IF(ISNUMBER(SEARCH("AUXILIAR DE LIMPEZA - 12 x 36",tabParametros[[#This Row],[Função]],1)),
SUMIF(tabLimpGeral[TIPO],"Equipamento",tabLimpGeral[VALOR UNITÁRIO P/ HORA (R$)])*220,
IF(ISNUMBER(SEARCH("Limpador de vidros - 220 h",tabParametros[[#This Row],[Função]],1)),
SUMIF(tabVidros[TIPO],"Equipamento",tabVidros[VALOR UNITÁRIO P/ POSTO (R$)]),
0))))))</f>
        <v>32.264696957412788</v>
      </c>
      <c r="BA207" s="281">
        <f>IF(ISNUMBER(SEARCH("AUXILIAR DE LIMPEZA - 75 H",tabParametros[[#This Row],[Função]],1)),
SUMIF(tabLimpGeral[TIPO],"Produto",tabLimpGeral[VALOR UNITÁRIO P/ HORA (R$)])*75,
IF(ISNUMBER(SEARCH("AUXILIAR DE LIMPEZA - 110 H",tabParametros[[#This Row],[Função]],1)),
SUMIF(tabLimpGeral[TIPO],"Produto",tabLimpGeral[VALOR UNITÁRIO P/ HORA (R$)])*110,
IF(ISNUMBER(SEARCH("AUXILIAR DE LIMPEZA - 150 H",tabParametros[[#This Row],[Função]],1)),
SUMIF(tabLimpGeral[TIPO],"Produto",tabLimpGeral[VALOR UNITÁRIO P/ HORA (R$)])*150,
IF(ISNUMBER(SEARCH("AUXILIAR DE LIMPEZA - 220 H",tabParametros[[#This Row],[Função]],1)),
SUMIF(tabLimpGeral[TIPO],"Produto",tabLimpGeral[VALOR UNITÁRIO P/ HORA (R$)])*220,
IF(ISNUMBER(SEARCH("AUXILIAR DE LIMPEZA - 12 x 36",tabParametros[[#This Row],[Função]],1)),
SUMIF(tabLimpGeral[TIPO],"Produto",tabLimpGeral[VALOR UNITÁRIO P/ HORA (R$)])*220,
IF(ISNUMBER(SEARCH("Limpador de vidros - 220 h",tabParametros[[#This Row],[Função]],1)),
SUMIF(tabVidros[TIPO],"Produto",tabVidros[VALOR UNITÁRIO P/ POSTO (R$)]),
0))))))</f>
        <v>345.13576638965827</v>
      </c>
      <c r="BB207" s="281">
        <v>0</v>
      </c>
      <c r="BC207" s="236">
        <f>VLOOKUP(tabParametros[[#Headers],[Custos Indiretos]],tabOutrosCustos[],3,0)</f>
        <v>189.64880140242613</v>
      </c>
      <c r="BD207" s="236">
        <f>VLOOKUP(tabParametros[[#Headers],[Lucro]],tabOutrosCustos[],3,0)</f>
        <v>159.30499317803796</v>
      </c>
      <c r="BE207" s="235">
        <f>VLOOKUP(tabParametros[[#Headers],[COFINS]],tabImpostosNacionais[],2,0)</f>
        <v>7.5999999999999998E-2</v>
      </c>
      <c r="BF207" s="235">
        <f>VLOOKUP(tabParametros[[#Headers],[PIS]],tabImpostosNacionais[],2,0)</f>
        <v>1.6500000000000001E-2</v>
      </c>
      <c r="BG207" s="235">
        <f>VLOOKUP(tabParametros[[#This Row],[Comarca]],tabComarca[],4,0)</f>
        <v>0.03</v>
      </c>
      <c r="BH207" s="238">
        <f>IFERROR(VLOOKUP(tabParametros[[#This Row],[CCT DA CATEGORIA]],tabSindicatos[],11,0),"")</f>
        <v>45658</v>
      </c>
      <c r="BI207" s="289" t="str">
        <f>IFERROR(VLOOKUP(tabParametros[[#This Row],[CCT DA CATEGORIA]],tabSindicatos[],12,0),"")</f>
        <v>-</v>
      </c>
      <c r="BJ207" s="293" t="str">
        <f>IFERROR(VLOOKUP(tabParametros[[#This Row],[CCT DA CATEGORIA]],tabSindicatos[],13,0),"")</f>
        <v>-</v>
      </c>
    </row>
    <row r="208" spans="1:62" x14ac:dyDescent="0.25">
      <c r="A208" s="233" t="s">
        <v>1543</v>
      </c>
      <c r="B208" s="198" t="s">
        <v>188</v>
      </c>
      <c r="C208" s="198" t="s">
        <v>1247</v>
      </c>
      <c r="D208" s="198" t="str">
        <f>VLOOKUP(tabParametros[[#This Row],[Código do Posto]],tabPostos[],4,0)</f>
        <v>Regiao de Juiz de Fora</v>
      </c>
      <c r="E208" s="289" t="str">
        <f>VLOOKUP(tabParametros[[#This Row],[Código do Posto]],tabPostos[],5,0)</f>
        <v>Limpeza</v>
      </c>
      <c r="F208" s="289" t="str">
        <f>VLOOKUP(tabParametros[[#This Row],[Código do Posto]],tabPostos[],6,0)</f>
        <v>PGJ</v>
      </c>
      <c r="G208" s="289">
        <f>VLOOKUP(tabParametros[[#This Row],[Código do Posto]],tabPostos[],7,0)</f>
        <v>1</v>
      </c>
      <c r="H208" s="289">
        <f>VLOOKUP(tabParametros[[#This Row],[Código do Posto]],tabPostos[],8,0)</f>
        <v>0</v>
      </c>
      <c r="I208" s="234">
        <f>VLOOKUP(tabParametros[[#This Row],[Código do Posto]],tabPostos[],9,0)</f>
        <v>544.17999999999995</v>
      </c>
      <c r="J208" s="234">
        <f>IF(ISNUMBER(SEARCH("Eletricista",tabParametros[[#This Row],[Função]],1)),0.3*tabParametros[[#This Row],[Salário Base]],0)</f>
        <v>0</v>
      </c>
      <c r="K208" s="234">
        <f>IF(OR(ISNUMBER(SEARCH("Bombeiro Hidraulico",tabParametros[[#This Row],[Função]],1)),ISNUMBER(SEARCH("Jardineiro",tabParametros[[#This Row],[Função]],1)),ISNUMBER(SEARCH("Lavador de Veiculos",tabParametros[[#This Row],[Função]],1)),ISNUMBER(SEARCH("Marceneiro",tabParametros[[#This Row],[Função]],1)),ISNUMBER(SEARCH("Pintor",tabParametros[[#This Row],[Função]],1))),0.2*'BASE GERAL'!$R$4,0)</f>
        <v>0</v>
      </c>
      <c r="L208" s="234">
        <f>IF(AND(ISNUMBER(SEARCH("Noturno",tabParametros[[#This Row],[Função]],1)),tabParametros[[#This Row],[Comarca]]&lt;&gt;"Juiz de Fora"),tabParametros[[#This Row],[Salário Base]]/210*0.39*7*15.5,IF(ISNUMBER(SEARCH("Noturno",tabParametros[[#This Row],[Função]],1)),tabParametros[[#This Row],[Salário Base]]/210*0.2*8*15.5,0))</f>
        <v>0</v>
      </c>
      <c r="M208" s="234">
        <f>IF(ISNUMBER(SEARCH("Motorista II",tabParametros[[#This Row],[Função]],1)),0.25*tabParametros[[#This Row],[Salário Base]],0)</f>
        <v>0</v>
      </c>
      <c r="N208" s="250">
        <v>0</v>
      </c>
      <c r="O208" s="234">
        <f>IF(ISNUMBER(SEARCH("TECNOLOGIA DA INFORMACAO",tabParametros[[#This Row],[Função]],1)),0.0201*tabParametros[[#This Row],[Salário Base]],0)</f>
        <v>0</v>
      </c>
      <c r="P208" s="250" cm="1">
        <f t="array" ref="P208">_xlfn.IFS(
ISNUMBER(SEARCH("Auxiliar de Limpeza - 75 h",tabParametros[[#This Row],[Função]],1)),tabParametros[[#This Row],[Salário Base]]/75*0.75*30*0.12,
ISNUMBER(SEARCH("Auxiliar de Limpeza - 110 h",tabParametros[[#This Row],[Função]],1)),tabParametros[[#This Row],[Salário Base]]/110*1*30*0.12,
ISNUMBER(SEARCH("Auxiliar de Limpeza - 150 h",tabParametros[[#This Row],[Função]],1)),tabParametros[[#This Row],[Salário Base]]/150*1.5*30*0.12,
ISNUMBER(SEARCH("Auxiliar de Limpeza - 220 h",tabParametros[[#This Row],[Função]],1)),tabParametros[[#This Row],[Salário Base]]/220*2*30*0.12,
ISNUMBER(SEARCH("Auxiliar de Limpeza - 12 x 36",tabParametros[[#This Row],[Função]],1)),tabParametros[[#This Row],[Salário Base]]/220*2*30*0.12,
ISNUMBER(SEARCH("Auxiliar de Limpeza - 55 h",tabParametros[[#This Row],[Função]],1))=FALSE,0)</f>
        <v>19.590479999999999</v>
      </c>
      <c r="Q208" s="235">
        <f>VLOOKUP(tabParametros[[#Headers],[INSS]],tabImpostosNacionais[],2,0)</f>
        <v>0.2</v>
      </c>
      <c r="R208" s="235">
        <f>VLOOKUP(tabParametros[[#Headers],[SESI OU SESC]],tabImpostosNacionais[],2,0)</f>
        <v>1.4999999999999999E-2</v>
      </c>
      <c r="S208" s="235">
        <f>VLOOKUP(tabParametros[[#Headers],[SENAI OU SENAC]],tabImpostosNacionais[],2,0)</f>
        <v>0.01</v>
      </c>
      <c r="T208" s="235">
        <f>VLOOKUP(tabParametros[[#Headers],[INCRA]],tabImpostosNacionais[],2,0)</f>
        <v>2E-3</v>
      </c>
      <c r="U208" s="235">
        <f>VLOOKUP(tabParametros[[#Headers],[Salário Educação]],tabImpostosNacionais[],2,0)</f>
        <v>2.5000000000000001E-2</v>
      </c>
      <c r="V208" s="235">
        <f>VLOOKUP(tabParametros[[#Headers],[FGTS]],tabImpostosNacionais[],2,0)</f>
        <v>0.08</v>
      </c>
      <c r="W208" s="235">
        <f>VLOOKUP(tabParametros[[#Headers],[RAT Ajustado]],tabImpostosNacionais[],2,0)</f>
        <v>0.04</v>
      </c>
      <c r="X208" s="235">
        <f>VLOOKUP(tabParametros[[#Headers],[SEBRAE]],tabImpostosNacionais[],2,0)</f>
        <v>6.0000000000000001E-3</v>
      </c>
      <c r="Y208" s="235">
        <f t="shared" si="33"/>
        <v>8.3333333333333329E-2</v>
      </c>
      <c r="Z208" s="251">
        <f t="shared" si="34"/>
        <v>0.1111111111111111</v>
      </c>
      <c r="AA208" s="234">
        <f>VLOOKUP(tabParametros[[#This Row],[Comarca]],tabComarca[],5,0)</f>
        <v>6.4</v>
      </c>
      <c r="AB208" s="234">
        <f>IFERROR(VLOOKUP(tabParametros[[#This Row],[CCT DA CATEGORIA]],tabSindicatos[],6,0),0)</f>
        <v>29.15</v>
      </c>
      <c r="AC208" s="234">
        <f>IFERROR(VLOOKUP(tabParametros[[#This Row],[CCT DA CATEGORIA]],tabSindicatos[],7,0),0)</f>
        <v>0</v>
      </c>
      <c r="AD208" s="234" cm="1">
        <f t="array" ref="AD208">_xlfn.LET(
_xlpm.COMARCA, TRIM(UPPER(SUBSTITUTE(SUBSTITUTE(SUBSTITUTE(SUBSTITUTE(SUBSTITUTE(SUBSTITUTE(SUBSTITUTE(SUBSTITUTE(SUBSTITUTE(SUBSTITUTE(SUBSTITUTE(SUBSTITUTE(SUBSTITUTE(SUBSTITUTE(SUBSTITUTE(SUBSTITUTE(SUBSTITUTE(SUBSTITUTE(SUBSTITUTE(SUBSTITUTE(SUBSTITUTE(SUBSTITUTE(SUBSTITUTE(SUBSTITUTE(SUBSTITUTE(SUBSTITUTE(tabParametros[[#This Row],[Comarca]],"á","a"),"ã","a"),"â","a"),"é","e"),"ê","e"),"í","i"),"ó","o"),"õ","o"),"ô","o"),"ú","u"),"ç","c"),"Á","a"),"Ã","a"),"Â","a"),"É","e"),"Ê","e"),"Í","i"),"Ó","o"),"Õ","o"),"Ô","o"),"Ú","u"),"Ç","c"),"/MG","")," e ",", ")," ",""),".",""))),
_xlpm.MATRIZ_COMARCA, TRIM(UPPER(SUBSTITUTE(SUBSTITUTE(SUBSTITUTE(SUBSTITUTE(SUBSTITUTE(SUBSTITUTE(SUBSTITUTE(SUBSTITUTE(SUBSTITUTE(SUBSTITUTE(SUBSTITUTE(SUBSTITUTE(SUBSTITUTE(SUBSTITUTE(SUBSTITUTE(SUBSTITUTE(SUBSTITUTE(SUBSTITUTE(SUBSTITUTE(SUBSTITUTE(SUBSTITUTE(SUBSTITUTE(SUBSTITUTE(SUBSTITUTE(SUBSTITUTE(SUBSTITUTE(tabSindicatos[COMARCAS PAF],"á","a"),"ã","a"),"â","a"),"é","e"),"ê","e"),"í","i"),"ó","o"),"õ","o"),"ô","o"),"ú","u"),"ç","c"),"Á","a"),"Ã","a"),"Â","a"),"É","e"),"Ê","e"),"Í","i"),"Ó","o"),"Õ","o"),"Ô","o"),"Ú","u"),"Ç","c"),"/MG","")," e ",", ")," ",""),".",""))),
IFERROR(IF(_xlfn.XLOOKUP(tabParametros[[#This Row],[CCT DA CATEGORIA]],tabSindicatos[SINDICATOS],tabSindicatos[COMARCAS PAF])="",
VLOOKUP(tabParametros[[#This Row],[CCT DA CATEGORIA]],tabSindicatos[],8,0),
IF(ISNUMBER(SEARCH(TRIM(_xlpm.COMARCA),_xlfn.XLOOKUP(tabParametros[[#This Row],[CCT DA CATEGORIA]],tabSindicatos[SINDICATOS],_xlpm.MATRIZ_COMARCA),1)),VLOOKUP(tabParametros[[#This Row],[CCT DA CATEGORIA]],tabSindicatos[],8,0),0)
),0)
)</f>
        <v>51.88</v>
      </c>
      <c r="AE208" s="234">
        <f>IFERROR(VLOOKUP(tabParametros[[#This Row],[CCT DA CATEGORIA]],tabSindicatos[],9,0),0)</f>
        <v>0</v>
      </c>
      <c r="AF208" s="234">
        <f>IFERROR(VLOOKUP(tabParametros[[#This Row],[CCT DA CATEGORIA]],tabSindicatos[],10,0),0)</f>
        <v>0</v>
      </c>
      <c r="AG208" s="236">
        <f>VLOOKUP(tabParametros[[#Headers],[Seguro de Vida]],tabOutrosCustos[],3,0)</f>
        <v>3.36</v>
      </c>
      <c r="AH208" s="236">
        <f>IF(ISNUMBER(SEARCH("MOTORISTA",tabParametros[[#This Row],[Função]],1)),VLOOKUP("MOTORISTAS",tabDiarias[],2,0),IF(tabParametros[[#This Row],[Comarca]]="Belo Horizonte",VLOOKUP("LIMPEZA",tabDiarias[],2,0),0))</f>
        <v>0</v>
      </c>
      <c r="AI208" s="235">
        <f t="shared" si="35"/>
        <v>7.011766975308642E-3</v>
      </c>
      <c r="AJ208" s="237">
        <f>tabParametros[[#This Row],[FGTS]]*tabParametros[[#This Row],[Aviso Prévio Indenizado (API) e Reflexo do Aviso Prévio Indenizado]]</f>
        <v>5.609413580246914E-4</v>
      </c>
      <c r="AK208" s="237">
        <f>tabParametros[[#This Row],[FGTS]]*tabParametros[[#This Row],[Aviso Prévio Indenizado (API) e Reflexo do Aviso Prévio Indenizado]]*40%</f>
        <v>2.2437654320987658E-4</v>
      </c>
      <c r="AL208" s="235">
        <f t="shared" si="36"/>
        <v>3.5000000000000005E-3</v>
      </c>
      <c r="AM208" s="235">
        <f>tabParametros[[#This Row],[Aviso Prévio Trabalhado - APT]]*SUM(tabParametros[[#This Row],[INSS]:[SEBRAE]])</f>
        <v>1.3230000000000004E-3</v>
      </c>
      <c r="AN208" s="235">
        <f t="shared" si="37"/>
        <v>3.0577777777777773E-2</v>
      </c>
      <c r="AO208" s="235">
        <f t="shared" si="38"/>
        <v>8.3333333333333339E-4</v>
      </c>
      <c r="AP208" s="235">
        <f t="shared" si="39"/>
        <v>8.4444444444444437E-3</v>
      </c>
      <c r="AQ208" s="235">
        <f t="shared" si="40"/>
        <v>2.0277777777777777E-3</v>
      </c>
      <c r="AR208" s="235">
        <f t="shared" si="41"/>
        <v>1.7083333333333333E-4</v>
      </c>
      <c r="AS208" s="235">
        <f t="shared" si="42"/>
        <v>2.0833333333333335E-4</v>
      </c>
      <c r="AT208" s="235">
        <f t="shared" si="43"/>
        <v>1.2962962962962963E-3</v>
      </c>
      <c r="AU208" s="237">
        <f>SUM(tabParametros[[#This Row],[Ausência por Doença]:[Férias, Adicional de Férias e 13º  com empregada em gozo de Licença Maternidade]])*SUM(tabParametros[[#This Row],[INSS]:[SEBRAE]])</f>
        <v>4.5918250000000008E-3</v>
      </c>
      <c r="AV208" s="234">
        <f>IF(tabParametros[[#This Row],[Função]]="Porteiro - 220 h",SUM(tabParametros[[#This Row],[Salário Base]:[Adicional de Acúmulo de função]])/220*20*1.5,IF(ISNUMBER(SEARCH("12 x 36",tabParametros[[#This Row],[Função]],1)),SUM(tabParametros[[#This Row],[Salário Base]:[Adicional de Acúmulo de função]])/210*15.5*1.5,0))</f>
        <v>0</v>
      </c>
      <c r="AW208" s="234">
        <f>IF(tabParametros[[#This Row],[Vagas contratadas]]&gt;0,(SUM(tabParametros[[#This Row],[Salário Base]:[Adicional de Acúmulo de função]])*30%+SUM(tabParametros[[#This Row],[Vale - Alimentação]:[Seguro de Vida]]))/tabParametros[[#This Row],[Vagas contratadas]]*tabParametros[[#This Row],[Vagas suspensas]],0)</f>
        <v>0</v>
      </c>
      <c r="AX208" s="234">
        <f>SUMIF(tabUniformes[Cargo],tabParametros[[#This Row],[Função]],tabUniformes[Valor unit. Mensal])</f>
        <v>62.806666666666665</v>
      </c>
      <c r="AY208" s="281">
        <f>IF(ISNUMBER(SEARCH("AUXILIAR DE LIMPEZA - 75 H",tabParametros[[#This Row],[Função]],1)),
SUMIF(tabLimpGeral[TIPO],"Material",tabLimpGeral[VALOR UNITÁRIO P/ HORA (R$)])*75,
IF(ISNUMBER(SEARCH("AUXILIAR DE LIMPEZA - 110 H",tabParametros[[#This Row],[Função]],1)),
SUMIF(tabLimpGeral[TIPO],"Material",tabLimpGeral[VALOR UNITÁRIO P/ HORA (R$)])*110,
IF(ISNUMBER(SEARCH("AUXILIAR DE LIMPEZA - 150 H",tabParametros[[#This Row],[Função]],1)),
SUMIF(tabLimpGeral[TIPO],"Material",tabLimpGeral[VALOR UNITÁRIO P/ HORA (R$)])*150,
IF(ISNUMBER(SEARCH("AUXILIAR DE LIMPEZA - 220 H",tabParametros[[#This Row],[Função]],1)),
SUMIF(tabLimpGeral[TIPO],"Material",tabLimpGeral[VALOR UNITÁRIO P/ HORA (R$)])*220,
IF(ISNUMBER(SEARCH("AUXILIAR DE LIMPEZA - 12 x 36",tabParametros[[#This Row],[Função]],1)),
SUMIF(tabLimpGeral[TIPO],"Material",tabLimpGeral[VALOR UNITÁRIO P/ HORA (R$)])*220,
IF(ISNUMBER(SEARCH("Limpador de vidros - 220 h",tabParametros[[#This Row],[Função]],1)),
SUMIF(tabVidros[TIPO],"Material",tabVidros[VALOR UNITÁRIO P/ POSTO (R$)]),
0))))))</f>
        <v>12.108481690426325</v>
      </c>
      <c r="AZ208" s="281">
        <f>IF(ISNUMBER(SEARCH("AUXILIAR DE LIMPEZA - 75 H",tabParametros[[#This Row],[Função]],1)),
SUMIF(tabLimpGeral[TIPO],"Equipamento",tabLimpGeral[VALOR UNITÁRIO P/ HORA (R$)])*75,
IF(ISNUMBER(SEARCH("AUXILIAR DE LIMPEZA - 110 H",tabParametros[[#This Row],[Função]],1)),
SUMIF(tabLimpGeral[TIPO],"Equipamento",tabLimpGeral[VALOR UNITÁRIO P/ HORA (R$)])*110,
IF(ISNUMBER(SEARCH("AUXILIAR DE LIMPEZA - 150 H",tabParametros[[#This Row],[Função]],1)),
SUMIF(tabLimpGeral[TIPO],"Equipamento",tabLimpGeral[VALOR UNITÁRIO P/ HORA (R$)])*150,
IF(ISNUMBER(SEARCH("AUXILIAR DE LIMPEZA - 220 H",tabParametros[[#This Row],[Função]],1)),
SUMIF(tabLimpGeral[TIPO],"Equipamento",tabLimpGeral[VALOR UNITÁRIO P/ HORA (R$)])*220,
IF(ISNUMBER(SEARCH("AUXILIAR DE LIMPEZA - 12 x 36",tabParametros[[#This Row],[Função]],1)),
SUMIF(tabLimpGeral[TIPO],"Equipamento",tabLimpGeral[VALOR UNITÁRIO P/ HORA (R$)])*220,
IF(ISNUMBER(SEARCH("Limpador de vidros - 220 h",tabParametros[[#This Row],[Função]],1)),
SUMIF(tabVidros[TIPO],"Equipamento",tabVidros[VALOR UNITÁRIO P/ POSTO (R$)]),
0))))))</f>
        <v>21.998657016417809</v>
      </c>
      <c r="BA208" s="281">
        <f>IF(ISNUMBER(SEARCH("AUXILIAR DE LIMPEZA - 75 H",tabParametros[[#This Row],[Função]],1)),
SUMIF(tabLimpGeral[TIPO],"Produto",tabLimpGeral[VALOR UNITÁRIO P/ HORA (R$)])*75,
IF(ISNUMBER(SEARCH("AUXILIAR DE LIMPEZA - 110 H",tabParametros[[#This Row],[Função]],1)),
SUMIF(tabLimpGeral[TIPO],"Produto",tabLimpGeral[VALOR UNITÁRIO P/ HORA (R$)])*110,
IF(ISNUMBER(SEARCH("AUXILIAR DE LIMPEZA - 150 H",tabParametros[[#This Row],[Função]],1)),
SUMIF(tabLimpGeral[TIPO],"Produto",tabLimpGeral[VALOR UNITÁRIO P/ HORA (R$)])*150,
IF(ISNUMBER(SEARCH("AUXILIAR DE LIMPEZA - 220 H",tabParametros[[#This Row],[Função]],1)),
SUMIF(tabLimpGeral[TIPO],"Produto",tabLimpGeral[VALOR UNITÁRIO P/ HORA (R$)])*220,
IF(ISNUMBER(SEARCH("AUXILIAR DE LIMPEZA - 12 x 36",tabParametros[[#This Row],[Função]],1)),
SUMIF(tabLimpGeral[TIPO],"Produto",tabLimpGeral[VALOR UNITÁRIO P/ HORA (R$)])*220,
IF(ISNUMBER(SEARCH("Limpador de vidros - 220 h",tabParametros[[#This Row],[Função]],1)),
SUMIF(tabVidros[TIPO],"Produto",tabVidros[VALOR UNITÁRIO P/ POSTO (R$)]),
0))))))</f>
        <v>235.31984072022155</v>
      </c>
      <c r="BB208" s="281">
        <v>0</v>
      </c>
      <c r="BC208" s="236">
        <f>VLOOKUP(tabParametros[[#Headers],[Custos Indiretos]],tabOutrosCustos[],3,0)</f>
        <v>189.64880140242613</v>
      </c>
      <c r="BD208" s="236">
        <f>VLOOKUP(tabParametros[[#Headers],[Lucro]],tabOutrosCustos[],3,0)</f>
        <v>159.30499317803796</v>
      </c>
      <c r="BE208" s="235">
        <f>VLOOKUP(tabParametros[[#Headers],[COFINS]],tabImpostosNacionais[],2,0)</f>
        <v>7.5999999999999998E-2</v>
      </c>
      <c r="BF208" s="235">
        <f>VLOOKUP(tabParametros[[#Headers],[PIS]],tabImpostosNacionais[],2,0)</f>
        <v>1.6500000000000001E-2</v>
      </c>
      <c r="BG208" s="235">
        <f>VLOOKUP(tabParametros[[#This Row],[Comarca]],tabComarca[],4,0)</f>
        <v>0.03</v>
      </c>
      <c r="BH208" s="238">
        <f>IFERROR(VLOOKUP(tabParametros[[#This Row],[CCT DA CATEGORIA]],tabSindicatos[],11,0),"")</f>
        <v>45658</v>
      </c>
      <c r="BI208" s="289" t="str">
        <f>IFERROR(VLOOKUP(tabParametros[[#This Row],[CCT DA CATEGORIA]],tabSindicatos[],12,0),"")</f>
        <v>-</v>
      </c>
      <c r="BJ208" s="293" t="str">
        <f>IFERROR(VLOOKUP(tabParametros[[#This Row],[CCT DA CATEGORIA]],tabSindicatos[],13,0),"")</f>
        <v>-</v>
      </c>
    </row>
    <row r="209" spans="1:62" x14ac:dyDescent="0.25">
      <c r="A209" s="233" t="s">
        <v>1544</v>
      </c>
      <c r="B209" s="198" t="s">
        <v>189</v>
      </c>
      <c r="C209" s="198" t="s">
        <v>1244</v>
      </c>
      <c r="D209" s="198" t="str">
        <f>VLOOKUP(tabParametros[[#This Row],[Código do Posto]],tabPostos[],4,0)</f>
        <v>Fethemg Interior</v>
      </c>
      <c r="E209" s="289" t="str">
        <f>VLOOKUP(tabParametros[[#This Row],[Código do Posto]],tabPostos[],5,0)</f>
        <v>Limpeza</v>
      </c>
      <c r="F209" s="289" t="str">
        <f>VLOOKUP(tabParametros[[#This Row],[Código do Posto]],tabPostos[],6,0)</f>
        <v>PGJ</v>
      </c>
      <c r="G209" s="289">
        <f>VLOOKUP(tabParametros[[#This Row],[Código do Posto]],tabPostos[],7,0)</f>
        <v>1</v>
      </c>
      <c r="H209" s="289">
        <f>VLOOKUP(tabParametros[[#This Row],[Código do Posto]],tabPostos[],8,0)</f>
        <v>0</v>
      </c>
      <c r="I209" s="234">
        <f>VLOOKUP(tabParametros[[#This Row],[Código do Posto]],tabPostos[],9,0)</f>
        <v>798.14</v>
      </c>
      <c r="J209" s="234">
        <f>IF(ISNUMBER(SEARCH("Eletricista",tabParametros[[#This Row],[Função]],1)),0.3*tabParametros[[#This Row],[Salário Base]],0)</f>
        <v>0</v>
      </c>
      <c r="K209" s="234">
        <f>IF(OR(ISNUMBER(SEARCH("Bombeiro Hidraulico",tabParametros[[#This Row],[Função]],1)),ISNUMBER(SEARCH("Jardineiro",tabParametros[[#This Row],[Função]],1)),ISNUMBER(SEARCH("Lavador de Veiculos",tabParametros[[#This Row],[Função]],1)),ISNUMBER(SEARCH("Marceneiro",tabParametros[[#This Row],[Função]],1)),ISNUMBER(SEARCH("Pintor",tabParametros[[#This Row],[Função]],1))),0.2*'BASE GERAL'!$R$4,0)</f>
        <v>0</v>
      </c>
      <c r="L209" s="234">
        <f>IF(AND(ISNUMBER(SEARCH("Noturno",tabParametros[[#This Row],[Função]],1)),tabParametros[[#This Row],[Comarca]]&lt;&gt;"Juiz de Fora"),tabParametros[[#This Row],[Salário Base]]/210*0.39*7*15.5,IF(ISNUMBER(SEARCH("Noturno",tabParametros[[#This Row],[Função]],1)),tabParametros[[#This Row],[Salário Base]]/210*0.2*8*15.5,0))</f>
        <v>0</v>
      </c>
      <c r="M209" s="234">
        <f>IF(ISNUMBER(SEARCH("Motorista II",tabParametros[[#This Row],[Função]],1)),0.25*tabParametros[[#This Row],[Salário Base]],0)</f>
        <v>0</v>
      </c>
      <c r="N209" s="250">
        <v>0</v>
      </c>
      <c r="O209" s="234">
        <f>IF(ISNUMBER(SEARCH("TECNOLOGIA DA INFORMACAO",tabParametros[[#This Row],[Função]],1)),0.0201*tabParametros[[#This Row],[Salário Base]],0)</f>
        <v>0</v>
      </c>
      <c r="P209" s="250" cm="1">
        <f t="array" ref="P209">_xlfn.IFS(
ISNUMBER(SEARCH("Auxiliar de Limpeza - 75 h",tabParametros[[#This Row],[Função]],1)),tabParametros[[#This Row],[Salário Base]]/75*0.75*30*0.12,
ISNUMBER(SEARCH("Auxiliar de Limpeza - 110 h",tabParametros[[#This Row],[Função]],1)),tabParametros[[#This Row],[Salário Base]]/110*1*30*0.12,
ISNUMBER(SEARCH("Auxiliar de Limpeza - 150 h",tabParametros[[#This Row],[Função]],1)),tabParametros[[#This Row],[Salário Base]]/150*1.5*30*0.12,
ISNUMBER(SEARCH("Auxiliar de Limpeza - 220 h",tabParametros[[#This Row],[Função]],1)),tabParametros[[#This Row],[Salário Base]]/220*2*30*0.12,
ISNUMBER(SEARCH("Auxiliar de Limpeza - 12 x 36",tabParametros[[#This Row],[Função]],1)),tabParametros[[#This Row],[Salário Base]]/220*2*30*0.12,
ISNUMBER(SEARCH("Auxiliar de Limpeza - 55 h",tabParametros[[#This Row],[Função]],1))=FALSE,0)</f>
        <v>26.120945454545453</v>
      </c>
      <c r="Q209" s="235">
        <f>VLOOKUP(tabParametros[[#Headers],[INSS]],tabImpostosNacionais[],2,0)</f>
        <v>0.2</v>
      </c>
      <c r="R209" s="235">
        <f>VLOOKUP(tabParametros[[#Headers],[SESI OU SESC]],tabImpostosNacionais[],2,0)</f>
        <v>1.4999999999999999E-2</v>
      </c>
      <c r="S209" s="235">
        <f>VLOOKUP(tabParametros[[#Headers],[SENAI OU SENAC]],tabImpostosNacionais[],2,0)</f>
        <v>0.01</v>
      </c>
      <c r="T209" s="235">
        <f>VLOOKUP(tabParametros[[#Headers],[INCRA]],tabImpostosNacionais[],2,0)</f>
        <v>2E-3</v>
      </c>
      <c r="U209" s="235">
        <f>VLOOKUP(tabParametros[[#Headers],[Salário Educação]],tabImpostosNacionais[],2,0)</f>
        <v>2.5000000000000001E-2</v>
      </c>
      <c r="V209" s="235">
        <f>VLOOKUP(tabParametros[[#Headers],[FGTS]],tabImpostosNacionais[],2,0)</f>
        <v>0.08</v>
      </c>
      <c r="W209" s="235">
        <f>VLOOKUP(tabParametros[[#Headers],[RAT Ajustado]],tabImpostosNacionais[],2,0)</f>
        <v>0.04</v>
      </c>
      <c r="X209" s="235">
        <f>VLOOKUP(tabParametros[[#Headers],[SEBRAE]],tabImpostosNacionais[],2,0)</f>
        <v>6.0000000000000001E-3</v>
      </c>
      <c r="Y209" s="235">
        <f t="shared" si="33"/>
        <v>8.3333333333333329E-2</v>
      </c>
      <c r="Z209" s="251">
        <f t="shared" si="34"/>
        <v>0.1111111111111111</v>
      </c>
      <c r="AA209" s="234">
        <f>VLOOKUP(tabParametros[[#This Row],[Comarca]],tabComarca[],5,0)</f>
        <v>6.4</v>
      </c>
      <c r="AB209" s="234">
        <f>IFERROR(VLOOKUP(tabParametros[[#This Row],[CCT DA CATEGORIA]],tabSindicatos[],6,0),0)</f>
        <v>29.15</v>
      </c>
      <c r="AC209" s="234">
        <f>IFERROR(VLOOKUP(tabParametros[[#This Row],[CCT DA CATEGORIA]],tabSindicatos[],7,0),0)</f>
        <v>0</v>
      </c>
      <c r="AD209" s="234" cm="1">
        <f t="array" ref="AD209">_xlfn.LET(
_xlpm.COMARCA, TRIM(UPPER(SUBSTITUTE(SUBSTITUTE(SUBSTITUTE(SUBSTITUTE(SUBSTITUTE(SUBSTITUTE(SUBSTITUTE(SUBSTITUTE(SUBSTITUTE(SUBSTITUTE(SUBSTITUTE(SUBSTITUTE(SUBSTITUTE(SUBSTITUTE(SUBSTITUTE(SUBSTITUTE(SUBSTITUTE(SUBSTITUTE(SUBSTITUTE(SUBSTITUTE(SUBSTITUTE(SUBSTITUTE(SUBSTITUTE(SUBSTITUTE(SUBSTITUTE(SUBSTITUTE(tabParametros[[#This Row],[Comarca]],"á","a"),"ã","a"),"â","a"),"é","e"),"ê","e"),"í","i"),"ó","o"),"õ","o"),"ô","o"),"ú","u"),"ç","c"),"Á","a"),"Ã","a"),"Â","a"),"É","e"),"Ê","e"),"Í","i"),"Ó","o"),"Õ","o"),"Ô","o"),"Ú","u"),"Ç","c"),"/MG","")," e ",", ")," ",""),".",""))),
_xlpm.MATRIZ_COMARCA, TRIM(UPPER(SUBSTITUTE(SUBSTITUTE(SUBSTITUTE(SUBSTITUTE(SUBSTITUTE(SUBSTITUTE(SUBSTITUTE(SUBSTITUTE(SUBSTITUTE(SUBSTITUTE(SUBSTITUTE(SUBSTITUTE(SUBSTITUTE(SUBSTITUTE(SUBSTITUTE(SUBSTITUTE(SUBSTITUTE(SUBSTITUTE(SUBSTITUTE(SUBSTITUTE(SUBSTITUTE(SUBSTITUTE(SUBSTITUTE(SUBSTITUTE(SUBSTITUTE(SUBSTITUTE(tabSindicatos[COMARCAS PAF],"á","a"),"ã","a"),"â","a"),"é","e"),"ê","e"),"í","i"),"ó","o"),"õ","o"),"ô","o"),"ú","u"),"ç","c"),"Á","a"),"Ã","a"),"Â","a"),"É","e"),"Ê","e"),"Í","i"),"Ó","o"),"Õ","o"),"Ô","o"),"Ú","u"),"Ç","c"),"/MG","")," e ",", ")," ",""),".",""))),
IFERROR(IF(_xlfn.XLOOKUP(tabParametros[[#This Row],[CCT DA CATEGORIA]],tabSindicatos[SINDICATOS],tabSindicatos[COMARCAS PAF])="",
VLOOKUP(tabParametros[[#This Row],[CCT DA CATEGORIA]],tabSindicatos[],8,0),
IF(ISNUMBER(SEARCH(TRIM(_xlpm.COMARCA),_xlfn.XLOOKUP(tabParametros[[#This Row],[CCT DA CATEGORIA]],tabSindicatos[SINDICATOS],_xlpm.MATRIZ_COMARCA),1)),VLOOKUP(tabParametros[[#This Row],[CCT DA CATEGORIA]],tabSindicatos[],8,0),0)
),0)
)</f>
        <v>0</v>
      </c>
      <c r="AE209" s="234">
        <f>IFERROR(VLOOKUP(tabParametros[[#This Row],[CCT DA CATEGORIA]],tabSindicatos[],9,0),0)</f>
        <v>15.07</v>
      </c>
      <c r="AF209" s="234">
        <f>IFERROR(VLOOKUP(tabParametros[[#This Row],[CCT DA CATEGORIA]],tabSindicatos[],10,0),0)</f>
        <v>0</v>
      </c>
      <c r="AG209" s="236">
        <f>VLOOKUP(tabParametros[[#Headers],[Seguro de Vida]],tabOutrosCustos[],3,0)</f>
        <v>3.36</v>
      </c>
      <c r="AH209" s="236">
        <f>IF(ISNUMBER(SEARCH("MOTORISTA",tabParametros[[#This Row],[Função]],1)),VLOOKUP("MOTORISTAS",tabDiarias[],2,0),IF(tabParametros[[#This Row],[Comarca]]="Belo Horizonte",VLOOKUP("LIMPEZA",tabDiarias[],2,0),0))</f>
        <v>0</v>
      </c>
      <c r="AI209" s="235">
        <f t="shared" si="35"/>
        <v>7.011766975308642E-3</v>
      </c>
      <c r="AJ209" s="237">
        <f>tabParametros[[#This Row],[FGTS]]*tabParametros[[#This Row],[Aviso Prévio Indenizado (API) e Reflexo do Aviso Prévio Indenizado]]</f>
        <v>5.609413580246914E-4</v>
      </c>
      <c r="AK209" s="237">
        <f>tabParametros[[#This Row],[FGTS]]*tabParametros[[#This Row],[Aviso Prévio Indenizado (API) e Reflexo do Aviso Prévio Indenizado]]*40%</f>
        <v>2.2437654320987658E-4</v>
      </c>
      <c r="AL209" s="235">
        <f t="shared" si="36"/>
        <v>3.5000000000000005E-3</v>
      </c>
      <c r="AM209" s="235">
        <f>tabParametros[[#This Row],[Aviso Prévio Trabalhado - APT]]*SUM(tabParametros[[#This Row],[INSS]:[SEBRAE]])</f>
        <v>1.3230000000000004E-3</v>
      </c>
      <c r="AN209" s="235">
        <f t="shared" si="37"/>
        <v>3.0577777777777773E-2</v>
      </c>
      <c r="AO209" s="235">
        <f t="shared" si="38"/>
        <v>8.3333333333333339E-4</v>
      </c>
      <c r="AP209" s="235">
        <f t="shared" si="39"/>
        <v>8.4444444444444437E-3</v>
      </c>
      <c r="AQ209" s="235">
        <f t="shared" si="40"/>
        <v>2.0277777777777777E-3</v>
      </c>
      <c r="AR209" s="235">
        <f t="shared" si="41"/>
        <v>1.7083333333333333E-4</v>
      </c>
      <c r="AS209" s="235">
        <f t="shared" si="42"/>
        <v>2.0833333333333335E-4</v>
      </c>
      <c r="AT209" s="235">
        <f t="shared" si="43"/>
        <v>1.2962962962962963E-3</v>
      </c>
      <c r="AU209" s="237">
        <f>SUM(tabParametros[[#This Row],[Ausência por Doença]:[Férias, Adicional de Férias e 13º  com empregada em gozo de Licença Maternidade]])*SUM(tabParametros[[#This Row],[INSS]:[SEBRAE]])</f>
        <v>4.5918250000000008E-3</v>
      </c>
      <c r="AV209" s="234">
        <f>IF(tabParametros[[#This Row],[Função]]="Porteiro - 220 h",SUM(tabParametros[[#This Row],[Salário Base]:[Adicional de Acúmulo de função]])/220*20*1.5,IF(ISNUMBER(SEARCH("12 x 36",tabParametros[[#This Row],[Função]],1)),SUM(tabParametros[[#This Row],[Salário Base]:[Adicional de Acúmulo de função]])/210*15.5*1.5,0))</f>
        <v>0</v>
      </c>
      <c r="AW209" s="234">
        <f>IF(tabParametros[[#This Row],[Vagas contratadas]]&gt;0,(SUM(tabParametros[[#This Row],[Salário Base]:[Adicional de Acúmulo de função]])*30%+SUM(tabParametros[[#This Row],[Vale - Alimentação]:[Seguro de Vida]]))/tabParametros[[#This Row],[Vagas contratadas]]*tabParametros[[#This Row],[Vagas suspensas]],0)</f>
        <v>0</v>
      </c>
      <c r="AX209" s="234">
        <f>SUMIF(tabUniformes[Cargo],tabParametros[[#This Row],[Função]],tabUniformes[Valor unit. Mensal])</f>
        <v>62.806666666666665</v>
      </c>
      <c r="AY209" s="281">
        <f>IF(ISNUMBER(SEARCH("AUXILIAR DE LIMPEZA - 75 H",tabParametros[[#This Row],[Função]],1)),
SUMIF(tabLimpGeral[TIPO],"Material",tabLimpGeral[VALOR UNITÁRIO P/ HORA (R$)])*75,
IF(ISNUMBER(SEARCH("AUXILIAR DE LIMPEZA - 110 H",tabParametros[[#This Row],[Função]],1)),
SUMIF(tabLimpGeral[TIPO],"Material",tabLimpGeral[VALOR UNITÁRIO P/ HORA (R$)])*110,
IF(ISNUMBER(SEARCH("AUXILIAR DE LIMPEZA - 150 H",tabParametros[[#This Row],[Função]],1)),
SUMIF(tabLimpGeral[TIPO],"Material",tabLimpGeral[VALOR UNITÁRIO P/ HORA (R$)])*150,
IF(ISNUMBER(SEARCH("AUXILIAR DE LIMPEZA - 220 H",tabParametros[[#This Row],[Função]],1)),
SUMIF(tabLimpGeral[TIPO],"Material",tabLimpGeral[VALOR UNITÁRIO P/ HORA (R$)])*220,
IF(ISNUMBER(SEARCH("AUXILIAR DE LIMPEZA - 12 x 36",tabParametros[[#This Row],[Função]],1)),
SUMIF(tabLimpGeral[TIPO],"Material",tabLimpGeral[VALOR UNITÁRIO P/ HORA (R$)])*220,
IF(ISNUMBER(SEARCH("Limpador de vidros - 220 h",tabParametros[[#This Row],[Função]],1)),
SUMIF(tabVidros[TIPO],"Material",tabVidros[VALOR UNITÁRIO P/ POSTO (R$)]),
0))))))</f>
        <v>17.759106479291944</v>
      </c>
      <c r="AZ209" s="281">
        <f>IF(ISNUMBER(SEARCH("AUXILIAR DE LIMPEZA - 75 H",tabParametros[[#This Row],[Função]],1)),
SUMIF(tabLimpGeral[TIPO],"Equipamento",tabLimpGeral[VALOR UNITÁRIO P/ HORA (R$)])*75,
IF(ISNUMBER(SEARCH("AUXILIAR DE LIMPEZA - 110 H",tabParametros[[#This Row],[Função]],1)),
SUMIF(tabLimpGeral[TIPO],"Equipamento",tabLimpGeral[VALOR UNITÁRIO P/ HORA (R$)])*110,
IF(ISNUMBER(SEARCH("AUXILIAR DE LIMPEZA - 150 H",tabParametros[[#This Row],[Função]],1)),
SUMIF(tabLimpGeral[TIPO],"Equipamento",tabLimpGeral[VALOR UNITÁRIO P/ HORA (R$)])*150,
IF(ISNUMBER(SEARCH("AUXILIAR DE LIMPEZA - 220 H",tabParametros[[#This Row],[Função]],1)),
SUMIF(tabLimpGeral[TIPO],"Equipamento",tabLimpGeral[VALOR UNITÁRIO P/ HORA (R$)])*220,
IF(ISNUMBER(SEARCH("AUXILIAR DE LIMPEZA - 12 x 36",tabParametros[[#This Row],[Função]],1)),
SUMIF(tabLimpGeral[TIPO],"Equipamento",tabLimpGeral[VALOR UNITÁRIO P/ HORA (R$)])*220,
IF(ISNUMBER(SEARCH("Limpador de vidros - 220 h",tabParametros[[#This Row],[Função]],1)),
SUMIF(tabVidros[TIPO],"Equipamento",tabVidros[VALOR UNITÁRIO P/ POSTO (R$)]),
0))))))</f>
        <v>32.264696957412788</v>
      </c>
      <c r="BA209" s="281">
        <f>IF(ISNUMBER(SEARCH("AUXILIAR DE LIMPEZA - 75 H",tabParametros[[#This Row],[Função]],1)),
SUMIF(tabLimpGeral[TIPO],"Produto",tabLimpGeral[VALOR UNITÁRIO P/ HORA (R$)])*75,
IF(ISNUMBER(SEARCH("AUXILIAR DE LIMPEZA - 110 H",tabParametros[[#This Row],[Função]],1)),
SUMIF(tabLimpGeral[TIPO],"Produto",tabLimpGeral[VALOR UNITÁRIO P/ HORA (R$)])*110,
IF(ISNUMBER(SEARCH("AUXILIAR DE LIMPEZA - 150 H",tabParametros[[#This Row],[Função]],1)),
SUMIF(tabLimpGeral[TIPO],"Produto",tabLimpGeral[VALOR UNITÁRIO P/ HORA (R$)])*150,
IF(ISNUMBER(SEARCH("AUXILIAR DE LIMPEZA - 220 H",tabParametros[[#This Row],[Função]],1)),
SUMIF(tabLimpGeral[TIPO],"Produto",tabLimpGeral[VALOR UNITÁRIO P/ HORA (R$)])*220,
IF(ISNUMBER(SEARCH("AUXILIAR DE LIMPEZA - 12 x 36",tabParametros[[#This Row],[Função]],1)),
SUMIF(tabLimpGeral[TIPO],"Produto",tabLimpGeral[VALOR UNITÁRIO P/ HORA (R$)])*220,
IF(ISNUMBER(SEARCH("Limpador de vidros - 220 h",tabParametros[[#This Row],[Função]],1)),
SUMIF(tabVidros[TIPO],"Produto",tabVidros[VALOR UNITÁRIO P/ POSTO (R$)]),
0))))))</f>
        <v>345.13576638965827</v>
      </c>
      <c r="BB209" s="281">
        <v>0</v>
      </c>
      <c r="BC209" s="236">
        <f>VLOOKUP(tabParametros[[#Headers],[Custos Indiretos]],tabOutrosCustos[],3,0)</f>
        <v>189.64880140242613</v>
      </c>
      <c r="BD209" s="236">
        <f>VLOOKUP(tabParametros[[#Headers],[Lucro]],tabOutrosCustos[],3,0)</f>
        <v>159.30499317803796</v>
      </c>
      <c r="BE209" s="235">
        <f>VLOOKUP(tabParametros[[#Headers],[COFINS]],tabImpostosNacionais[],2,0)</f>
        <v>7.5999999999999998E-2</v>
      </c>
      <c r="BF209" s="235">
        <f>VLOOKUP(tabParametros[[#Headers],[PIS]],tabImpostosNacionais[],2,0)</f>
        <v>1.6500000000000001E-2</v>
      </c>
      <c r="BG209" s="235">
        <f>VLOOKUP(tabParametros[[#This Row],[Comarca]],tabComarca[],4,0)</f>
        <v>0.05</v>
      </c>
      <c r="BH209" s="238">
        <f>IFERROR(VLOOKUP(tabParametros[[#This Row],[CCT DA CATEGORIA]],tabSindicatos[],11,0),"")</f>
        <v>45658</v>
      </c>
      <c r="BI209" s="289" t="str">
        <f>IFERROR(VLOOKUP(tabParametros[[#This Row],[CCT DA CATEGORIA]],tabSindicatos[],12,0),"")</f>
        <v>-</v>
      </c>
      <c r="BJ209" s="293" t="str">
        <f>IFERROR(VLOOKUP(tabParametros[[#This Row],[CCT DA CATEGORIA]],tabSindicatos[],13,0),"")</f>
        <v>-</v>
      </c>
    </row>
    <row r="210" spans="1:62" x14ac:dyDescent="0.25">
      <c r="A210" s="233" t="s">
        <v>1545</v>
      </c>
      <c r="B210" s="198" t="s">
        <v>190</v>
      </c>
      <c r="C210" s="198" t="s">
        <v>1246</v>
      </c>
      <c r="D210" s="198" t="str">
        <f>VLOOKUP(tabParametros[[#This Row],[Código do Posto]],tabPostos[],4,0)</f>
        <v>Sind - Asseio</v>
      </c>
      <c r="E210" s="289" t="str">
        <f>VLOOKUP(tabParametros[[#This Row],[Código do Posto]],tabPostos[],5,0)</f>
        <v>Limpeza</v>
      </c>
      <c r="F210" s="289" t="str">
        <f>VLOOKUP(tabParametros[[#This Row],[Código do Posto]],tabPostos[],6,0)</f>
        <v>PGJ</v>
      </c>
      <c r="G210" s="289">
        <f>VLOOKUP(tabParametros[[#This Row],[Código do Posto]],tabPostos[],7,0)</f>
        <v>1</v>
      </c>
      <c r="H210" s="289">
        <f>VLOOKUP(tabParametros[[#This Row],[Código do Posto]],tabPostos[],8,0)</f>
        <v>0</v>
      </c>
      <c r="I210" s="234">
        <f>VLOOKUP(tabParametros[[#This Row],[Código do Posto]],tabPostos[],9,0)</f>
        <v>1124.3900000000001</v>
      </c>
      <c r="J210" s="234">
        <f>IF(ISNUMBER(SEARCH("Eletricista",tabParametros[[#This Row],[Função]],1)),0.3*tabParametros[[#This Row],[Salário Base]],0)</f>
        <v>0</v>
      </c>
      <c r="K210" s="234">
        <f>IF(OR(ISNUMBER(SEARCH("Bombeiro Hidraulico",tabParametros[[#This Row],[Função]],1)),ISNUMBER(SEARCH("Jardineiro",tabParametros[[#This Row],[Função]],1)),ISNUMBER(SEARCH("Lavador de Veiculos",tabParametros[[#This Row],[Função]],1)),ISNUMBER(SEARCH("Marceneiro",tabParametros[[#This Row],[Função]],1)),ISNUMBER(SEARCH("Pintor",tabParametros[[#This Row],[Função]],1))),0.2*'BASE GERAL'!$R$4,0)</f>
        <v>0</v>
      </c>
      <c r="L210" s="234">
        <f>IF(AND(ISNUMBER(SEARCH("Noturno",tabParametros[[#This Row],[Função]],1)),tabParametros[[#This Row],[Comarca]]&lt;&gt;"Juiz de Fora"),tabParametros[[#This Row],[Salário Base]]/210*0.39*7*15.5,IF(ISNUMBER(SEARCH("Noturno",tabParametros[[#This Row],[Função]],1)),tabParametros[[#This Row],[Salário Base]]/210*0.2*8*15.5,0))</f>
        <v>0</v>
      </c>
      <c r="M210" s="234">
        <f>IF(ISNUMBER(SEARCH("Motorista II",tabParametros[[#This Row],[Função]],1)),0.25*tabParametros[[#This Row],[Salário Base]],0)</f>
        <v>0</v>
      </c>
      <c r="N210" s="250">
        <v>0</v>
      </c>
      <c r="O210" s="234">
        <f>IF(ISNUMBER(SEARCH("TECNOLOGIA DA INFORMACAO",tabParametros[[#This Row],[Função]],1)),0.0201*tabParametros[[#This Row],[Salário Base]],0)</f>
        <v>0</v>
      </c>
      <c r="P210" s="250" cm="1">
        <f t="array" ref="P210">_xlfn.IFS(
ISNUMBER(SEARCH("Auxiliar de Limpeza - 75 h",tabParametros[[#This Row],[Função]],1)),tabParametros[[#This Row],[Salário Base]]/75*0.75*30*0.12,
ISNUMBER(SEARCH("Auxiliar de Limpeza - 110 h",tabParametros[[#This Row],[Função]],1)),tabParametros[[#This Row],[Salário Base]]/110*1*30*0.12,
ISNUMBER(SEARCH("Auxiliar de Limpeza - 150 h",tabParametros[[#This Row],[Função]],1)),tabParametros[[#This Row],[Salário Base]]/150*1.5*30*0.12,
ISNUMBER(SEARCH("Auxiliar de Limpeza - 220 h",tabParametros[[#This Row],[Função]],1)),tabParametros[[#This Row],[Salário Base]]/220*2*30*0.12,
ISNUMBER(SEARCH("Auxiliar de Limpeza - 12 x 36",tabParametros[[#This Row],[Função]],1)),tabParametros[[#This Row],[Salário Base]]/220*2*30*0.12,
ISNUMBER(SEARCH("Auxiliar de Limpeza - 55 h",tabParametros[[#This Row],[Função]],1))=FALSE,0)</f>
        <v>40.478040000000007</v>
      </c>
      <c r="Q210" s="235">
        <f>VLOOKUP(tabParametros[[#Headers],[INSS]],tabImpostosNacionais[],2,0)</f>
        <v>0.2</v>
      </c>
      <c r="R210" s="235">
        <f>VLOOKUP(tabParametros[[#Headers],[SESI OU SESC]],tabImpostosNacionais[],2,0)</f>
        <v>1.4999999999999999E-2</v>
      </c>
      <c r="S210" s="235">
        <f>VLOOKUP(tabParametros[[#Headers],[SENAI OU SENAC]],tabImpostosNacionais[],2,0)</f>
        <v>0.01</v>
      </c>
      <c r="T210" s="235">
        <f>VLOOKUP(tabParametros[[#Headers],[INCRA]],tabImpostosNacionais[],2,0)</f>
        <v>2E-3</v>
      </c>
      <c r="U210" s="235">
        <f>VLOOKUP(tabParametros[[#Headers],[Salário Educação]],tabImpostosNacionais[],2,0)</f>
        <v>2.5000000000000001E-2</v>
      </c>
      <c r="V210" s="235">
        <f>VLOOKUP(tabParametros[[#Headers],[FGTS]],tabImpostosNacionais[],2,0)</f>
        <v>0.08</v>
      </c>
      <c r="W210" s="235">
        <f>VLOOKUP(tabParametros[[#Headers],[RAT Ajustado]],tabImpostosNacionais[],2,0)</f>
        <v>0.04</v>
      </c>
      <c r="X210" s="235">
        <f>VLOOKUP(tabParametros[[#Headers],[SEBRAE]],tabImpostosNacionais[],2,0)</f>
        <v>6.0000000000000001E-3</v>
      </c>
      <c r="Y210" s="235">
        <f t="shared" si="33"/>
        <v>8.3333333333333329E-2</v>
      </c>
      <c r="Z210" s="251">
        <f t="shared" si="34"/>
        <v>0.1111111111111111</v>
      </c>
      <c r="AA210" s="234">
        <f>VLOOKUP(tabParametros[[#This Row],[Comarca]],tabComarca[],5,0)</f>
        <v>6.4</v>
      </c>
      <c r="AB210" s="234">
        <f>IFERROR(VLOOKUP(tabParametros[[#This Row],[CCT DA CATEGORIA]],tabSindicatos[],6,0),0)</f>
        <v>29.15</v>
      </c>
      <c r="AC210" s="234">
        <f>IFERROR(VLOOKUP(tabParametros[[#This Row],[CCT DA CATEGORIA]],tabSindicatos[],7,0),0)</f>
        <v>0</v>
      </c>
      <c r="AD210" s="234" cm="1">
        <f t="array" ref="AD210">_xlfn.LET(
_xlpm.COMARCA, TRIM(UPPER(SUBSTITUTE(SUBSTITUTE(SUBSTITUTE(SUBSTITUTE(SUBSTITUTE(SUBSTITUTE(SUBSTITUTE(SUBSTITUTE(SUBSTITUTE(SUBSTITUTE(SUBSTITUTE(SUBSTITUTE(SUBSTITUTE(SUBSTITUTE(SUBSTITUTE(SUBSTITUTE(SUBSTITUTE(SUBSTITUTE(SUBSTITUTE(SUBSTITUTE(SUBSTITUTE(SUBSTITUTE(SUBSTITUTE(SUBSTITUTE(SUBSTITUTE(SUBSTITUTE(tabParametros[[#This Row],[Comarca]],"á","a"),"ã","a"),"â","a"),"é","e"),"ê","e"),"í","i"),"ó","o"),"õ","o"),"ô","o"),"ú","u"),"ç","c"),"Á","a"),"Ã","a"),"Â","a"),"É","e"),"Ê","e"),"Í","i"),"Ó","o"),"Õ","o"),"Ô","o"),"Ú","u"),"Ç","c"),"/MG","")," e ",", ")," ",""),".",""))),
_xlpm.MATRIZ_COMARCA, TRIM(UPPER(SUBSTITUTE(SUBSTITUTE(SUBSTITUTE(SUBSTITUTE(SUBSTITUTE(SUBSTITUTE(SUBSTITUTE(SUBSTITUTE(SUBSTITUTE(SUBSTITUTE(SUBSTITUTE(SUBSTITUTE(SUBSTITUTE(SUBSTITUTE(SUBSTITUTE(SUBSTITUTE(SUBSTITUTE(SUBSTITUTE(SUBSTITUTE(SUBSTITUTE(SUBSTITUTE(SUBSTITUTE(SUBSTITUTE(SUBSTITUTE(SUBSTITUTE(SUBSTITUTE(tabSindicatos[COMARCAS PAF],"á","a"),"ã","a"),"â","a"),"é","e"),"ê","e"),"í","i"),"ó","o"),"õ","o"),"ô","o"),"ú","u"),"ç","c"),"Á","a"),"Ã","a"),"Â","a"),"É","e"),"Ê","e"),"Í","i"),"Ó","o"),"Õ","o"),"Ô","o"),"Ú","u"),"Ç","c"),"/MG","")," e ",", ")," ",""),".",""))),
IFERROR(IF(_xlfn.XLOOKUP(tabParametros[[#This Row],[CCT DA CATEGORIA]],tabSindicatos[SINDICATOS],tabSindicatos[COMARCAS PAF])="",
VLOOKUP(tabParametros[[#This Row],[CCT DA CATEGORIA]],tabSindicatos[],8,0),
IF(ISNUMBER(SEARCH(TRIM(_xlpm.COMARCA),_xlfn.XLOOKUP(tabParametros[[#This Row],[CCT DA CATEGORIA]],tabSindicatos[SINDICATOS],_xlpm.MATRIZ_COMARCA),1)),VLOOKUP(tabParametros[[#This Row],[CCT DA CATEGORIA]],tabSindicatos[],8,0),0)
),0)
)</f>
        <v>77.25</v>
      </c>
      <c r="AE210" s="234">
        <f>IFERROR(VLOOKUP(tabParametros[[#This Row],[CCT DA CATEGORIA]],tabSindicatos[],9,0),0)</f>
        <v>0</v>
      </c>
      <c r="AF210" s="234">
        <f>IFERROR(VLOOKUP(tabParametros[[#This Row],[CCT DA CATEGORIA]],tabSindicatos[],10,0),0)</f>
        <v>0</v>
      </c>
      <c r="AG210" s="236">
        <f>VLOOKUP(tabParametros[[#Headers],[Seguro de Vida]],tabOutrosCustos[],3,0)</f>
        <v>3.36</v>
      </c>
      <c r="AH210" s="236">
        <f>IF(ISNUMBER(SEARCH("MOTORISTA",tabParametros[[#This Row],[Função]],1)),VLOOKUP("MOTORISTAS",tabDiarias[],2,0),IF(tabParametros[[#This Row],[Comarca]]="Belo Horizonte",VLOOKUP("LIMPEZA",tabDiarias[],2,0),0))</f>
        <v>0</v>
      </c>
      <c r="AI210" s="235">
        <f t="shared" si="35"/>
        <v>7.011766975308642E-3</v>
      </c>
      <c r="AJ210" s="237">
        <f>tabParametros[[#This Row],[FGTS]]*tabParametros[[#This Row],[Aviso Prévio Indenizado (API) e Reflexo do Aviso Prévio Indenizado]]</f>
        <v>5.609413580246914E-4</v>
      </c>
      <c r="AK210" s="237">
        <f>tabParametros[[#This Row],[FGTS]]*tabParametros[[#This Row],[Aviso Prévio Indenizado (API) e Reflexo do Aviso Prévio Indenizado]]*40%</f>
        <v>2.2437654320987658E-4</v>
      </c>
      <c r="AL210" s="235">
        <f t="shared" si="36"/>
        <v>3.5000000000000005E-3</v>
      </c>
      <c r="AM210" s="235">
        <f>tabParametros[[#This Row],[Aviso Prévio Trabalhado - APT]]*SUM(tabParametros[[#This Row],[INSS]:[SEBRAE]])</f>
        <v>1.3230000000000004E-3</v>
      </c>
      <c r="AN210" s="235">
        <f t="shared" si="37"/>
        <v>3.0577777777777773E-2</v>
      </c>
      <c r="AO210" s="235">
        <f t="shared" si="38"/>
        <v>8.3333333333333339E-4</v>
      </c>
      <c r="AP210" s="235">
        <f t="shared" si="39"/>
        <v>8.4444444444444437E-3</v>
      </c>
      <c r="AQ210" s="235">
        <f t="shared" si="40"/>
        <v>2.0277777777777777E-3</v>
      </c>
      <c r="AR210" s="235">
        <f t="shared" si="41"/>
        <v>1.7083333333333333E-4</v>
      </c>
      <c r="AS210" s="235">
        <f t="shared" si="42"/>
        <v>2.0833333333333335E-4</v>
      </c>
      <c r="AT210" s="235">
        <f t="shared" si="43"/>
        <v>1.2962962962962963E-3</v>
      </c>
      <c r="AU210" s="237">
        <f>SUM(tabParametros[[#This Row],[Ausência por Doença]:[Férias, Adicional de Férias e 13º  com empregada em gozo de Licença Maternidade]])*SUM(tabParametros[[#This Row],[INSS]:[SEBRAE]])</f>
        <v>4.5918250000000008E-3</v>
      </c>
      <c r="AV210" s="234">
        <f>IF(tabParametros[[#This Row],[Função]]="Porteiro - 220 h",SUM(tabParametros[[#This Row],[Salário Base]:[Adicional de Acúmulo de função]])/220*20*1.5,IF(ISNUMBER(SEARCH("12 x 36",tabParametros[[#This Row],[Função]],1)),SUM(tabParametros[[#This Row],[Salário Base]:[Adicional de Acúmulo de função]])/210*15.5*1.5,0))</f>
        <v>0</v>
      </c>
      <c r="AW210" s="234">
        <f>IF(tabParametros[[#This Row],[Vagas contratadas]]&gt;0,(SUM(tabParametros[[#This Row],[Salário Base]:[Adicional de Acúmulo de função]])*30%+SUM(tabParametros[[#This Row],[Vale - Alimentação]:[Seguro de Vida]]))/tabParametros[[#This Row],[Vagas contratadas]]*tabParametros[[#This Row],[Vagas suspensas]],0)</f>
        <v>0</v>
      </c>
      <c r="AX210" s="234">
        <f>SUMIF(tabUniformes[Cargo],tabParametros[[#This Row],[Função]],tabUniformes[Valor unit. Mensal])</f>
        <v>100.80916666666666</v>
      </c>
      <c r="AY210" s="281">
        <f>IF(ISNUMBER(SEARCH("AUXILIAR DE LIMPEZA - 75 H",tabParametros[[#This Row],[Função]],1)),
SUMIF(tabLimpGeral[TIPO],"Material",tabLimpGeral[VALOR UNITÁRIO P/ HORA (R$)])*75,
IF(ISNUMBER(SEARCH("AUXILIAR DE LIMPEZA - 110 H",tabParametros[[#This Row],[Função]],1)),
SUMIF(tabLimpGeral[TIPO],"Material",tabLimpGeral[VALOR UNITÁRIO P/ HORA (R$)])*110,
IF(ISNUMBER(SEARCH("AUXILIAR DE LIMPEZA - 150 H",tabParametros[[#This Row],[Função]],1)),
SUMIF(tabLimpGeral[TIPO],"Material",tabLimpGeral[VALOR UNITÁRIO P/ HORA (R$)])*150,
IF(ISNUMBER(SEARCH("AUXILIAR DE LIMPEZA - 220 H",tabParametros[[#This Row],[Função]],1)),
SUMIF(tabLimpGeral[TIPO],"Material",tabLimpGeral[VALOR UNITÁRIO P/ HORA (R$)])*220,
IF(ISNUMBER(SEARCH("AUXILIAR DE LIMPEZA - 12 x 36",tabParametros[[#This Row],[Função]],1)),
SUMIF(tabLimpGeral[TIPO],"Material",tabLimpGeral[VALOR UNITÁRIO P/ HORA (R$)])*220,
IF(ISNUMBER(SEARCH("Limpador de vidros - 220 h",tabParametros[[#This Row],[Função]],1)),
SUMIF(tabVidros[TIPO],"Material",tabVidros[VALOR UNITÁRIO P/ POSTO (R$)]),
0))))))</f>
        <v>24.216963380852651</v>
      </c>
      <c r="AZ210" s="281">
        <f>IF(ISNUMBER(SEARCH("AUXILIAR DE LIMPEZA - 75 H",tabParametros[[#This Row],[Função]],1)),
SUMIF(tabLimpGeral[TIPO],"Equipamento",tabLimpGeral[VALOR UNITÁRIO P/ HORA (R$)])*75,
IF(ISNUMBER(SEARCH("AUXILIAR DE LIMPEZA - 110 H",tabParametros[[#This Row],[Função]],1)),
SUMIF(tabLimpGeral[TIPO],"Equipamento",tabLimpGeral[VALOR UNITÁRIO P/ HORA (R$)])*110,
IF(ISNUMBER(SEARCH("AUXILIAR DE LIMPEZA - 150 H",tabParametros[[#This Row],[Função]],1)),
SUMIF(tabLimpGeral[TIPO],"Equipamento",tabLimpGeral[VALOR UNITÁRIO P/ HORA (R$)])*150,
IF(ISNUMBER(SEARCH("AUXILIAR DE LIMPEZA - 220 H",tabParametros[[#This Row],[Função]],1)),
SUMIF(tabLimpGeral[TIPO],"Equipamento",tabLimpGeral[VALOR UNITÁRIO P/ HORA (R$)])*220,
IF(ISNUMBER(SEARCH("AUXILIAR DE LIMPEZA - 12 x 36",tabParametros[[#This Row],[Função]],1)),
SUMIF(tabLimpGeral[TIPO],"Equipamento",tabLimpGeral[VALOR UNITÁRIO P/ HORA (R$)])*220,
IF(ISNUMBER(SEARCH("Limpador de vidros - 220 h",tabParametros[[#This Row],[Função]],1)),
SUMIF(tabVidros[TIPO],"Equipamento",tabVidros[VALOR UNITÁRIO P/ POSTO (R$)]),
0))))))</f>
        <v>43.997314032835618</v>
      </c>
      <c r="BA210" s="281">
        <f>IF(ISNUMBER(SEARCH("AUXILIAR DE LIMPEZA - 75 H",tabParametros[[#This Row],[Função]],1)),
SUMIF(tabLimpGeral[TIPO],"Produto",tabLimpGeral[VALOR UNITÁRIO P/ HORA (R$)])*75,
IF(ISNUMBER(SEARCH("AUXILIAR DE LIMPEZA - 110 H",tabParametros[[#This Row],[Função]],1)),
SUMIF(tabLimpGeral[TIPO],"Produto",tabLimpGeral[VALOR UNITÁRIO P/ HORA (R$)])*110,
IF(ISNUMBER(SEARCH("AUXILIAR DE LIMPEZA - 150 H",tabParametros[[#This Row],[Função]],1)),
SUMIF(tabLimpGeral[TIPO],"Produto",tabLimpGeral[VALOR UNITÁRIO P/ HORA (R$)])*150,
IF(ISNUMBER(SEARCH("AUXILIAR DE LIMPEZA - 220 H",tabParametros[[#This Row],[Função]],1)),
SUMIF(tabLimpGeral[TIPO],"Produto",tabLimpGeral[VALOR UNITÁRIO P/ HORA (R$)])*220,
IF(ISNUMBER(SEARCH("AUXILIAR DE LIMPEZA - 12 x 36",tabParametros[[#This Row],[Função]],1)),
SUMIF(tabLimpGeral[TIPO],"Produto",tabLimpGeral[VALOR UNITÁRIO P/ HORA (R$)])*220,
IF(ISNUMBER(SEARCH("Limpador de vidros - 220 h",tabParametros[[#This Row],[Função]],1)),
SUMIF(tabVidros[TIPO],"Produto",tabVidros[VALOR UNITÁRIO P/ POSTO (R$)]),
0))))))</f>
        <v>470.6396814404431</v>
      </c>
      <c r="BB210" s="281">
        <v>0</v>
      </c>
      <c r="BC210" s="236">
        <f>VLOOKUP(tabParametros[[#Headers],[Custos Indiretos]],tabOutrosCustos[],3,0)</f>
        <v>189.64880140242613</v>
      </c>
      <c r="BD210" s="236">
        <f>VLOOKUP(tabParametros[[#Headers],[Lucro]],tabOutrosCustos[],3,0)</f>
        <v>159.30499317803796</v>
      </c>
      <c r="BE210" s="235">
        <f>VLOOKUP(tabParametros[[#Headers],[COFINS]],tabImpostosNacionais[],2,0)</f>
        <v>7.5999999999999998E-2</v>
      </c>
      <c r="BF210" s="235">
        <f>VLOOKUP(tabParametros[[#Headers],[PIS]],tabImpostosNacionais[],2,0)</f>
        <v>1.6500000000000001E-2</v>
      </c>
      <c r="BG210" s="235">
        <f>VLOOKUP(tabParametros[[#This Row],[Comarca]],tabComarca[],4,0)</f>
        <v>0.02</v>
      </c>
      <c r="BH210" s="238">
        <f>IFERROR(VLOOKUP(tabParametros[[#This Row],[CCT DA CATEGORIA]],tabSindicatos[],11,0),"")</f>
        <v>45658</v>
      </c>
      <c r="BI210" s="289" t="str">
        <f>IFERROR(VLOOKUP(tabParametros[[#This Row],[CCT DA CATEGORIA]],tabSindicatos[],12,0),"")</f>
        <v>-</v>
      </c>
      <c r="BJ210" s="293" t="str">
        <f>IFERROR(VLOOKUP(tabParametros[[#This Row],[CCT DA CATEGORIA]],tabSindicatos[],13,0),"")</f>
        <v>-</v>
      </c>
    </row>
    <row r="211" spans="1:62" x14ac:dyDescent="0.25">
      <c r="A211" s="233" t="s">
        <v>1546</v>
      </c>
      <c r="B211" s="198" t="s">
        <v>191</v>
      </c>
      <c r="C211" s="198" t="s">
        <v>1247</v>
      </c>
      <c r="D211" s="198" t="str">
        <f>VLOOKUP(tabParametros[[#This Row],[Código do Posto]],tabPostos[],4,0)</f>
        <v>Fethemg Interior</v>
      </c>
      <c r="E211" s="289" t="str">
        <f>VLOOKUP(tabParametros[[#This Row],[Código do Posto]],tabPostos[],5,0)</f>
        <v>Limpeza</v>
      </c>
      <c r="F211" s="289" t="str">
        <f>VLOOKUP(tabParametros[[#This Row],[Código do Posto]],tabPostos[],6,0)</f>
        <v>PGJ</v>
      </c>
      <c r="G211" s="289">
        <f>VLOOKUP(tabParametros[[#This Row],[Código do Posto]],tabPostos[],7,0)</f>
        <v>1</v>
      </c>
      <c r="H211" s="289">
        <f>VLOOKUP(tabParametros[[#This Row],[Código do Posto]],tabPostos[],8,0)</f>
        <v>0</v>
      </c>
      <c r="I211" s="234">
        <f>VLOOKUP(tabParametros[[#This Row],[Código do Posto]],tabPostos[],9,0)</f>
        <v>544.17999999999995</v>
      </c>
      <c r="J211" s="234">
        <f>IF(ISNUMBER(SEARCH("Eletricista",tabParametros[[#This Row],[Função]],1)),0.3*tabParametros[[#This Row],[Salário Base]],0)</f>
        <v>0</v>
      </c>
      <c r="K211" s="234">
        <f>IF(OR(ISNUMBER(SEARCH("Bombeiro Hidraulico",tabParametros[[#This Row],[Função]],1)),ISNUMBER(SEARCH("Jardineiro",tabParametros[[#This Row],[Função]],1)),ISNUMBER(SEARCH("Lavador de Veiculos",tabParametros[[#This Row],[Função]],1)),ISNUMBER(SEARCH("Marceneiro",tabParametros[[#This Row],[Função]],1)),ISNUMBER(SEARCH("Pintor",tabParametros[[#This Row],[Função]],1))),0.2*'BASE GERAL'!$R$4,0)</f>
        <v>0</v>
      </c>
      <c r="L211" s="234">
        <f>IF(AND(ISNUMBER(SEARCH("Noturno",tabParametros[[#This Row],[Função]],1)),tabParametros[[#This Row],[Comarca]]&lt;&gt;"Juiz de Fora"),tabParametros[[#This Row],[Salário Base]]/210*0.39*7*15.5,IF(ISNUMBER(SEARCH("Noturno",tabParametros[[#This Row],[Função]],1)),tabParametros[[#This Row],[Salário Base]]/210*0.2*8*15.5,0))</f>
        <v>0</v>
      </c>
      <c r="M211" s="234">
        <f>IF(ISNUMBER(SEARCH("Motorista II",tabParametros[[#This Row],[Função]],1)),0.25*tabParametros[[#This Row],[Salário Base]],0)</f>
        <v>0</v>
      </c>
      <c r="N211" s="250">
        <v>0</v>
      </c>
      <c r="O211" s="234">
        <f>IF(ISNUMBER(SEARCH("TECNOLOGIA DA INFORMACAO",tabParametros[[#This Row],[Função]],1)),0.0201*tabParametros[[#This Row],[Salário Base]],0)</f>
        <v>0</v>
      </c>
      <c r="P211" s="250" cm="1">
        <f t="array" ref="P211">_xlfn.IFS(
ISNUMBER(SEARCH("Auxiliar de Limpeza - 75 h",tabParametros[[#This Row],[Função]],1)),tabParametros[[#This Row],[Salário Base]]/75*0.75*30*0.12,
ISNUMBER(SEARCH("Auxiliar de Limpeza - 110 h",tabParametros[[#This Row],[Função]],1)),tabParametros[[#This Row],[Salário Base]]/110*1*30*0.12,
ISNUMBER(SEARCH("Auxiliar de Limpeza - 150 h",tabParametros[[#This Row],[Função]],1)),tabParametros[[#This Row],[Salário Base]]/150*1.5*30*0.12,
ISNUMBER(SEARCH("Auxiliar de Limpeza - 220 h",tabParametros[[#This Row],[Função]],1)),tabParametros[[#This Row],[Salário Base]]/220*2*30*0.12,
ISNUMBER(SEARCH("Auxiliar de Limpeza - 12 x 36",tabParametros[[#This Row],[Função]],1)),tabParametros[[#This Row],[Salário Base]]/220*2*30*0.12,
ISNUMBER(SEARCH("Auxiliar de Limpeza - 55 h",tabParametros[[#This Row],[Função]],1))=FALSE,0)</f>
        <v>19.590479999999999</v>
      </c>
      <c r="Q211" s="235">
        <f>VLOOKUP(tabParametros[[#Headers],[INSS]],tabImpostosNacionais[],2,0)</f>
        <v>0.2</v>
      </c>
      <c r="R211" s="235">
        <f>VLOOKUP(tabParametros[[#Headers],[SESI OU SESC]],tabImpostosNacionais[],2,0)</f>
        <v>1.4999999999999999E-2</v>
      </c>
      <c r="S211" s="235">
        <f>VLOOKUP(tabParametros[[#Headers],[SENAI OU SENAC]],tabImpostosNacionais[],2,0)</f>
        <v>0.01</v>
      </c>
      <c r="T211" s="235">
        <f>VLOOKUP(tabParametros[[#Headers],[INCRA]],tabImpostosNacionais[],2,0)</f>
        <v>2E-3</v>
      </c>
      <c r="U211" s="235">
        <f>VLOOKUP(tabParametros[[#Headers],[Salário Educação]],tabImpostosNacionais[],2,0)</f>
        <v>2.5000000000000001E-2</v>
      </c>
      <c r="V211" s="235">
        <f>VLOOKUP(tabParametros[[#Headers],[FGTS]],tabImpostosNacionais[],2,0)</f>
        <v>0.08</v>
      </c>
      <c r="W211" s="235">
        <f>VLOOKUP(tabParametros[[#Headers],[RAT Ajustado]],tabImpostosNacionais[],2,0)</f>
        <v>0.04</v>
      </c>
      <c r="X211" s="235">
        <f>VLOOKUP(tabParametros[[#Headers],[SEBRAE]],tabImpostosNacionais[],2,0)</f>
        <v>6.0000000000000001E-3</v>
      </c>
      <c r="Y211" s="235">
        <f t="shared" si="33"/>
        <v>8.3333333333333329E-2</v>
      </c>
      <c r="Z211" s="251">
        <f t="shared" si="34"/>
        <v>0.1111111111111111</v>
      </c>
      <c r="AA211" s="234">
        <f>VLOOKUP(tabParametros[[#This Row],[Comarca]],tabComarca[],5,0)</f>
        <v>6.4</v>
      </c>
      <c r="AB211" s="234">
        <f>IFERROR(VLOOKUP(tabParametros[[#This Row],[CCT DA CATEGORIA]],tabSindicatos[],6,0),0)</f>
        <v>29.15</v>
      </c>
      <c r="AC211" s="234">
        <f>IFERROR(VLOOKUP(tabParametros[[#This Row],[CCT DA CATEGORIA]],tabSindicatos[],7,0),0)</f>
        <v>0</v>
      </c>
      <c r="AD211" s="234" cm="1">
        <f t="array" ref="AD211">_xlfn.LET(
_xlpm.COMARCA, TRIM(UPPER(SUBSTITUTE(SUBSTITUTE(SUBSTITUTE(SUBSTITUTE(SUBSTITUTE(SUBSTITUTE(SUBSTITUTE(SUBSTITUTE(SUBSTITUTE(SUBSTITUTE(SUBSTITUTE(SUBSTITUTE(SUBSTITUTE(SUBSTITUTE(SUBSTITUTE(SUBSTITUTE(SUBSTITUTE(SUBSTITUTE(SUBSTITUTE(SUBSTITUTE(SUBSTITUTE(SUBSTITUTE(SUBSTITUTE(SUBSTITUTE(SUBSTITUTE(SUBSTITUTE(tabParametros[[#This Row],[Comarca]],"á","a"),"ã","a"),"â","a"),"é","e"),"ê","e"),"í","i"),"ó","o"),"õ","o"),"ô","o"),"ú","u"),"ç","c"),"Á","a"),"Ã","a"),"Â","a"),"É","e"),"Ê","e"),"Í","i"),"Ó","o"),"Õ","o"),"Ô","o"),"Ú","u"),"Ç","c"),"/MG","")," e ",", ")," ",""),".",""))),
_xlpm.MATRIZ_COMARCA, TRIM(UPPER(SUBSTITUTE(SUBSTITUTE(SUBSTITUTE(SUBSTITUTE(SUBSTITUTE(SUBSTITUTE(SUBSTITUTE(SUBSTITUTE(SUBSTITUTE(SUBSTITUTE(SUBSTITUTE(SUBSTITUTE(SUBSTITUTE(SUBSTITUTE(SUBSTITUTE(SUBSTITUTE(SUBSTITUTE(SUBSTITUTE(SUBSTITUTE(SUBSTITUTE(SUBSTITUTE(SUBSTITUTE(SUBSTITUTE(SUBSTITUTE(SUBSTITUTE(SUBSTITUTE(tabSindicatos[COMARCAS PAF],"á","a"),"ã","a"),"â","a"),"é","e"),"ê","e"),"í","i"),"ó","o"),"õ","o"),"ô","o"),"ú","u"),"ç","c"),"Á","a"),"Ã","a"),"Â","a"),"É","e"),"Ê","e"),"Í","i"),"Ó","o"),"Õ","o"),"Ô","o"),"Ú","u"),"Ç","c"),"/MG","")," e ",", ")," ",""),".",""))),
IFERROR(IF(_xlfn.XLOOKUP(tabParametros[[#This Row],[CCT DA CATEGORIA]],tabSindicatos[SINDICATOS],tabSindicatos[COMARCAS PAF])="",
VLOOKUP(tabParametros[[#This Row],[CCT DA CATEGORIA]],tabSindicatos[],8,0),
IF(ISNUMBER(SEARCH(TRIM(_xlpm.COMARCA),_xlfn.XLOOKUP(tabParametros[[#This Row],[CCT DA CATEGORIA]],tabSindicatos[SINDICATOS],_xlpm.MATRIZ_COMARCA),1)),VLOOKUP(tabParametros[[#This Row],[CCT DA CATEGORIA]],tabSindicatos[],8,0),0)
),0)
)</f>
        <v>0</v>
      </c>
      <c r="AE211" s="234">
        <f>IFERROR(VLOOKUP(tabParametros[[#This Row],[CCT DA CATEGORIA]],tabSindicatos[],9,0),0)</f>
        <v>15.07</v>
      </c>
      <c r="AF211" s="234">
        <f>IFERROR(VLOOKUP(tabParametros[[#This Row],[CCT DA CATEGORIA]],tabSindicatos[],10,0),0)</f>
        <v>0</v>
      </c>
      <c r="AG211" s="236">
        <f>VLOOKUP(tabParametros[[#Headers],[Seguro de Vida]],tabOutrosCustos[],3,0)</f>
        <v>3.36</v>
      </c>
      <c r="AH211" s="236">
        <f>IF(ISNUMBER(SEARCH("MOTORISTA",tabParametros[[#This Row],[Função]],1)),VLOOKUP("MOTORISTAS",tabDiarias[],2,0),IF(tabParametros[[#This Row],[Comarca]]="Belo Horizonte",VLOOKUP("LIMPEZA",tabDiarias[],2,0),0))</f>
        <v>0</v>
      </c>
      <c r="AI211" s="235">
        <f t="shared" si="35"/>
        <v>7.011766975308642E-3</v>
      </c>
      <c r="AJ211" s="237">
        <f>tabParametros[[#This Row],[FGTS]]*tabParametros[[#This Row],[Aviso Prévio Indenizado (API) e Reflexo do Aviso Prévio Indenizado]]</f>
        <v>5.609413580246914E-4</v>
      </c>
      <c r="AK211" s="237">
        <f>tabParametros[[#This Row],[FGTS]]*tabParametros[[#This Row],[Aviso Prévio Indenizado (API) e Reflexo do Aviso Prévio Indenizado]]*40%</f>
        <v>2.2437654320987658E-4</v>
      </c>
      <c r="AL211" s="235">
        <f t="shared" si="36"/>
        <v>3.5000000000000005E-3</v>
      </c>
      <c r="AM211" s="235">
        <f>tabParametros[[#This Row],[Aviso Prévio Trabalhado - APT]]*SUM(tabParametros[[#This Row],[INSS]:[SEBRAE]])</f>
        <v>1.3230000000000004E-3</v>
      </c>
      <c r="AN211" s="235">
        <f t="shared" si="37"/>
        <v>3.0577777777777773E-2</v>
      </c>
      <c r="AO211" s="235">
        <f t="shared" si="38"/>
        <v>8.3333333333333339E-4</v>
      </c>
      <c r="AP211" s="235">
        <f t="shared" si="39"/>
        <v>8.4444444444444437E-3</v>
      </c>
      <c r="AQ211" s="235">
        <f t="shared" si="40"/>
        <v>2.0277777777777777E-3</v>
      </c>
      <c r="AR211" s="235">
        <f t="shared" si="41"/>
        <v>1.7083333333333333E-4</v>
      </c>
      <c r="AS211" s="235">
        <f t="shared" si="42"/>
        <v>2.0833333333333335E-4</v>
      </c>
      <c r="AT211" s="235">
        <f t="shared" si="43"/>
        <v>1.2962962962962963E-3</v>
      </c>
      <c r="AU211" s="237">
        <f>SUM(tabParametros[[#This Row],[Ausência por Doença]:[Férias, Adicional de Férias e 13º  com empregada em gozo de Licença Maternidade]])*SUM(tabParametros[[#This Row],[INSS]:[SEBRAE]])</f>
        <v>4.5918250000000008E-3</v>
      </c>
      <c r="AV211" s="234">
        <f>IF(tabParametros[[#This Row],[Função]]="Porteiro - 220 h",SUM(tabParametros[[#This Row],[Salário Base]:[Adicional de Acúmulo de função]])/220*20*1.5,IF(ISNUMBER(SEARCH("12 x 36",tabParametros[[#This Row],[Função]],1)),SUM(tabParametros[[#This Row],[Salário Base]:[Adicional de Acúmulo de função]])/210*15.5*1.5,0))</f>
        <v>0</v>
      </c>
      <c r="AW211" s="234">
        <f>IF(tabParametros[[#This Row],[Vagas contratadas]]&gt;0,(SUM(tabParametros[[#This Row],[Salário Base]:[Adicional de Acúmulo de função]])*30%+SUM(tabParametros[[#This Row],[Vale - Alimentação]:[Seguro de Vida]]))/tabParametros[[#This Row],[Vagas contratadas]]*tabParametros[[#This Row],[Vagas suspensas]],0)</f>
        <v>0</v>
      </c>
      <c r="AX211" s="234">
        <f>SUMIF(tabUniformes[Cargo],tabParametros[[#This Row],[Função]],tabUniformes[Valor unit. Mensal])</f>
        <v>62.806666666666665</v>
      </c>
      <c r="AY211" s="281">
        <f>IF(ISNUMBER(SEARCH("AUXILIAR DE LIMPEZA - 75 H",tabParametros[[#This Row],[Função]],1)),
SUMIF(tabLimpGeral[TIPO],"Material",tabLimpGeral[VALOR UNITÁRIO P/ HORA (R$)])*75,
IF(ISNUMBER(SEARCH("AUXILIAR DE LIMPEZA - 110 H",tabParametros[[#This Row],[Função]],1)),
SUMIF(tabLimpGeral[TIPO],"Material",tabLimpGeral[VALOR UNITÁRIO P/ HORA (R$)])*110,
IF(ISNUMBER(SEARCH("AUXILIAR DE LIMPEZA - 150 H",tabParametros[[#This Row],[Função]],1)),
SUMIF(tabLimpGeral[TIPO],"Material",tabLimpGeral[VALOR UNITÁRIO P/ HORA (R$)])*150,
IF(ISNUMBER(SEARCH("AUXILIAR DE LIMPEZA - 220 H",tabParametros[[#This Row],[Função]],1)),
SUMIF(tabLimpGeral[TIPO],"Material",tabLimpGeral[VALOR UNITÁRIO P/ HORA (R$)])*220,
IF(ISNUMBER(SEARCH("AUXILIAR DE LIMPEZA - 12 x 36",tabParametros[[#This Row],[Função]],1)),
SUMIF(tabLimpGeral[TIPO],"Material",tabLimpGeral[VALOR UNITÁRIO P/ HORA (R$)])*220,
IF(ISNUMBER(SEARCH("Limpador de vidros - 220 h",tabParametros[[#This Row],[Função]],1)),
SUMIF(tabVidros[TIPO],"Material",tabVidros[VALOR UNITÁRIO P/ POSTO (R$)]),
0))))))</f>
        <v>12.108481690426325</v>
      </c>
      <c r="AZ211" s="281">
        <f>IF(ISNUMBER(SEARCH("AUXILIAR DE LIMPEZA - 75 H",tabParametros[[#This Row],[Função]],1)),
SUMIF(tabLimpGeral[TIPO],"Equipamento",tabLimpGeral[VALOR UNITÁRIO P/ HORA (R$)])*75,
IF(ISNUMBER(SEARCH("AUXILIAR DE LIMPEZA - 110 H",tabParametros[[#This Row],[Função]],1)),
SUMIF(tabLimpGeral[TIPO],"Equipamento",tabLimpGeral[VALOR UNITÁRIO P/ HORA (R$)])*110,
IF(ISNUMBER(SEARCH("AUXILIAR DE LIMPEZA - 150 H",tabParametros[[#This Row],[Função]],1)),
SUMIF(tabLimpGeral[TIPO],"Equipamento",tabLimpGeral[VALOR UNITÁRIO P/ HORA (R$)])*150,
IF(ISNUMBER(SEARCH("AUXILIAR DE LIMPEZA - 220 H",tabParametros[[#This Row],[Função]],1)),
SUMIF(tabLimpGeral[TIPO],"Equipamento",tabLimpGeral[VALOR UNITÁRIO P/ HORA (R$)])*220,
IF(ISNUMBER(SEARCH("AUXILIAR DE LIMPEZA - 12 x 36",tabParametros[[#This Row],[Função]],1)),
SUMIF(tabLimpGeral[TIPO],"Equipamento",tabLimpGeral[VALOR UNITÁRIO P/ HORA (R$)])*220,
IF(ISNUMBER(SEARCH("Limpador de vidros - 220 h",tabParametros[[#This Row],[Função]],1)),
SUMIF(tabVidros[TIPO],"Equipamento",tabVidros[VALOR UNITÁRIO P/ POSTO (R$)]),
0))))))</f>
        <v>21.998657016417809</v>
      </c>
      <c r="BA211" s="281">
        <f>IF(ISNUMBER(SEARCH("AUXILIAR DE LIMPEZA - 75 H",tabParametros[[#This Row],[Função]],1)),
SUMIF(tabLimpGeral[TIPO],"Produto",tabLimpGeral[VALOR UNITÁRIO P/ HORA (R$)])*75,
IF(ISNUMBER(SEARCH("AUXILIAR DE LIMPEZA - 110 H",tabParametros[[#This Row],[Função]],1)),
SUMIF(tabLimpGeral[TIPO],"Produto",tabLimpGeral[VALOR UNITÁRIO P/ HORA (R$)])*110,
IF(ISNUMBER(SEARCH("AUXILIAR DE LIMPEZA - 150 H",tabParametros[[#This Row],[Função]],1)),
SUMIF(tabLimpGeral[TIPO],"Produto",tabLimpGeral[VALOR UNITÁRIO P/ HORA (R$)])*150,
IF(ISNUMBER(SEARCH("AUXILIAR DE LIMPEZA - 220 H",tabParametros[[#This Row],[Função]],1)),
SUMIF(tabLimpGeral[TIPO],"Produto",tabLimpGeral[VALOR UNITÁRIO P/ HORA (R$)])*220,
IF(ISNUMBER(SEARCH("AUXILIAR DE LIMPEZA - 12 x 36",tabParametros[[#This Row],[Função]],1)),
SUMIF(tabLimpGeral[TIPO],"Produto",tabLimpGeral[VALOR UNITÁRIO P/ HORA (R$)])*220,
IF(ISNUMBER(SEARCH("Limpador de vidros - 220 h",tabParametros[[#This Row],[Função]],1)),
SUMIF(tabVidros[TIPO],"Produto",tabVidros[VALOR UNITÁRIO P/ POSTO (R$)]),
0))))))</f>
        <v>235.31984072022155</v>
      </c>
      <c r="BB211" s="281">
        <v>0</v>
      </c>
      <c r="BC211" s="236">
        <f>VLOOKUP(tabParametros[[#Headers],[Custos Indiretos]],tabOutrosCustos[],3,0)</f>
        <v>189.64880140242613</v>
      </c>
      <c r="BD211" s="236">
        <f>VLOOKUP(tabParametros[[#Headers],[Lucro]],tabOutrosCustos[],3,0)</f>
        <v>159.30499317803796</v>
      </c>
      <c r="BE211" s="235">
        <f>VLOOKUP(tabParametros[[#Headers],[COFINS]],tabImpostosNacionais[],2,0)</f>
        <v>7.5999999999999998E-2</v>
      </c>
      <c r="BF211" s="235">
        <f>VLOOKUP(tabParametros[[#Headers],[PIS]],tabImpostosNacionais[],2,0)</f>
        <v>1.6500000000000001E-2</v>
      </c>
      <c r="BG211" s="235">
        <f>VLOOKUP(tabParametros[[#This Row],[Comarca]],tabComarca[],4,0)</f>
        <v>0.05</v>
      </c>
      <c r="BH211" s="238">
        <f>IFERROR(VLOOKUP(tabParametros[[#This Row],[CCT DA CATEGORIA]],tabSindicatos[],11,0),"")</f>
        <v>45658</v>
      </c>
      <c r="BI211" s="289" t="str">
        <f>IFERROR(VLOOKUP(tabParametros[[#This Row],[CCT DA CATEGORIA]],tabSindicatos[],12,0),"")</f>
        <v>-</v>
      </c>
      <c r="BJ211" s="293" t="str">
        <f>IFERROR(VLOOKUP(tabParametros[[#This Row],[CCT DA CATEGORIA]],tabSindicatos[],13,0),"")</f>
        <v>-</v>
      </c>
    </row>
    <row r="212" spans="1:62" x14ac:dyDescent="0.25">
      <c r="A212" s="233" t="s">
        <v>1547</v>
      </c>
      <c r="B212" s="198" t="s">
        <v>192</v>
      </c>
      <c r="C212" s="198" t="s">
        <v>1244</v>
      </c>
      <c r="D212" s="198" t="str">
        <f>VLOOKUP(tabParametros[[#This Row],[Código do Posto]],tabPostos[],4,0)</f>
        <v>Regiao Uberaba</v>
      </c>
      <c r="E212" s="289" t="str">
        <f>VLOOKUP(tabParametros[[#This Row],[Código do Posto]],tabPostos[],5,0)</f>
        <v>Limpeza</v>
      </c>
      <c r="F212" s="289" t="str">
        <f>VLOOKUP(tabParametros[[#This Row],[Código do Posto]],tabPostos[],6,0)</f>
        <v>PGJ</v>
      </c>
      <c r="G212" s="289">
        <f>VLOOKUP(tabParametros[[#This Row],[Código do Posto]],tabPostos[],7,0)</f>
        <v>1</v>
      </c>
      <c r="H212" s="289">
        <f>VLOOKUP(tabParametros[[#This Row],[Código do Posto]],tabPostos[],8,0)</f>
        <v>0</v>
      </c>
      <c r="I212" s="234">
        <f>VLOOKUP(tabParametros[[#This Row],[Código do Posto]],tabPostos[],9,0)</f>
        <v>798.14</v>
      </c>
      <c r="J212" s="234">
        <f>IF(ISNUMBER(SEARCH("Eletricista",tabParametros[[#This Row],[Função]],1)),0.3*tabParametros[[#This Row],[Salário Base]],0)</f>
        <v>0</v>
      </c>
      <c r="K212" s="234">
        <f>IF(OR(ISNUMBER(SEARCH("Bombeiro Hidraulico",tabParametros[[#This Row],[Função]],1)),ISNUMBER(SEARCH("Jardineiro",tabParametros[[#This Row],[Função]],1)),ISNUMBER(SEARCH("Lavador de Veiculos",tabParametros[[#This Row],[Função]],1)),ISNUMBER(SEARCH("Marceneiro",tabParametros[[#This Row],[Função]],1)),ISNUMBER(SEARCH("Pintor",tabParametros[[#This Row],[Função]],1))),0.2*'BASE GERAL'!$R$4,0)</f>
        <v>0</v>
      </c>
      <c r="L212" s="234">
        <f>IF(AND(ISNUMBER(SEARCH("Noturno",tabParametros[[#This Row],[Função]],1)),tabParametros[[#This Row],[Comarca]]&lt;&gt;"Juiz de Fora"),tabParametros[[#This Row],[Salário Base]]/210*0.39*7*15.5,IF(ISNUMBER(SEARCH("Noturno",tabParametros[[#This Row],[Função]],1)),tabParametros[[#This Row],[Salário Base]]/210*0.2*8*15.5,0))</f>
        <v>0</v>
      </c>
      <c r="M212" s="234">
        <f>IF(ISNUMBER(SEARCH("Motorista II",tabParametros[[#This Row],[Função]],1)),0.25*tabParametros[[#This Row],[Salário Base]],0)</f>
        <v>0</v>
      </c>
      <c r="N212" s="250">
        <v>0</v>
      </c>
      <c r="O212" s="234">
        <f>IF(ISNUMBER(SEARCH("TECNOLOGIA DA INFORMACAO",tabParametros[[#This Row],[Função]],1)),0.0201*tabParametros[[#This Row],[Salário Base]],0)</f>
        <v>0</v>
      </c>
      <c r="P212" s="250" cm="1">
        <f t="array" ref="P212">_xlfn.IFS(
ISNUMBER(SEARCH("Auxiliar de Limpeza - 75 h",tabParametros[[#This Row],[Função]],1)),tabParametros[[#This Row],[Salário Base]]/75*0.75*30*0.12,
ISNUMBER(SEARCH("Auxiliar de Limpeza - 110 h",tabParametros[[#This Row],[Função]],1)),tabParametros[[#This Row],[Salário Base]]/110*1*30*0.12,
ISNUMBER(SEARCH("Auxiliar de Limpeza - 150 h",tabParametros[[#This Row],[Função]],1)),tabParametros[[#This Row],[Salário Base]]/150*1.5*30*0.12,
ISNUMBER(SEARCH("Auxiliar de Limpeza - 220 h",tabParametros[[#This Row],[Função]],1)),tabParametros[[#This Row],[Salário Base]]/220*2*30*0.12,
ISNUMBER(SEARCH("Auxiliar de Limpeza - 12 x 36",tabParametros[[#This Row],[Função]],1)),tabParametros[[#This Row],[Salário Base]]/220*2*30*0.12,
ISNUMBER(SEARCH("Auxiliar de Limpeza - 55 h",tabParametros[[#This Row],[Função]],1))=FALSE,0)</f>
        <v>26.120945454545453</v>
      </c>
      <c r="Q212" s="235">
        <f>VLOOKUP(tabParametros[[#Headers],[INSS]],tabImpostosNacionais[],2,0)</f>
        <v>0.2</v>
      </c>
      <c r="R212" s="235">
        <f>VLOOKUP(tabParametros[[#Headers],[SESI OU SESC]],tabImpostosNacionais[],2,0)</f>
        <v>1.4999999999999999E-2</v>
      </c>
      <c r="S212" s="235">
        <f>VLOOKUP(tabParametros[[#Headers],[SENAI OU SENAC]],tabImpostosNacionais[],2,0)</f>
        <v>0.01</v>
      </c>
      <c r="T212" s="235">
        <f>VLOOKUP(tabParametros[[#Headers],[INCRA]],tabImpostosNacionais[],2,0)</f>
        <v>2E-3</v>
      </c>
      <c r="U212" s="235">
        <f>VLOOKUP(tabParametros[[#Headers],[Salário Educação]],tabImpostosNacionais[],2,0)</f>
        <v>2.5000000000000001E-2</v>
      </c>
      <c r="V212" s="235">
        <f>VLOOKUP(tabParametros[[#Headers],[FGTS]],tabImpostosNacionais[],2,0)</f>
        <v>0.08</v>
      </c>
      <c r="W212" s="235">
        <f>VLOOKUP(tabParametros[[#Headers],[RAT Ajustado]],tabImpostosNacionais[],2,0)</f>
        <v>0.04</v>
      </c>
      <c r="X212" s="235">
        <f>VLOOKUP(tabParametros[[#Headers],[SEBRAE]],tabImpostosNacionais[],2,0)</f>
        <v>6.0000000000000001E-3</v>
      </c>
      <c r="Y212" s="235">
        <f t="shared" si="33"/>
        <v>8.3333333333333329E-2</v>
      </c>
      <c r="Z212" s="251">
        <f t="shared" si="34"/>
        <v>0.1111111111111111</v>
      </c>
      <c r="AA212" s="234">
        <f>VLOOKUP(tabParametros[[#This Row],[Comarca]],tabComarca[],5,0)</f>
        <v>6.4</v>
      </c>
      <c r="AB212" s="234">
        <f>IFERROR(VLOOKUP(tabParametros[[#This Row],[CCT DA CATEGORIA]],tabSindicatos[],6,0),0)</f>
        <v>29.15</v>
      </c>
      <c r="AC212" s="234">
        <f>IFERROR(VLOOKUP(tabParametros[[#This Row],[CCT DA CATEGORIA]],tabSindicatos[],7,0),0)</f>
        <v>0</v>
      </c>
      <c r="AD212" s="234" cm="1">
        <f t="array" ref="AD212">_xlfn.LET(
_xlpm.COMARCA, TRIM(UPPER(SUBSTITUTE(SUBSTITUTE(SUBSTITUTE(SUBSTITUTE(SUBSTITUTE(SUBSTITUTE(SUBSTITUTE(SUBSTITUTE(SUBSTITUTE(SUBSTITUTE(SUBSTITUTE(SUBSTITUTE(SUBSTITUTE(SUBSTITUTE(SUBSTITUTE(SUBSTITUTE(SUBSTITUTE(SUBSTITUTE(SUBSTITUTE(SUBSTITUTE(SUBSTITUTE(SUBSTITUTE(SUBSTITUTE(SUBSTITUTE(SUBSTITUTE(SUBSTITUTE(tabParametros[[#This Row],[Comarca]],"á","a"),"ã","a"),"â","a"),"é","e"),"ê","e"),"í","i"),"ó","o"),"õ","o"),"ô","o"),"ú","u"),"ç","c"),"Á","a"),"Ã","a"),"Â","a"),"É","e"),"Ê","e"),"Í","i"),"Ó","o"),"Õ","o"),"Ô","o"),"Ú","u"),"Ç","c"),"/MG","")," e ",", ")," ",""),".",""))),
_xlpm.MATRIZ_COMARCA, TRIM(UPPER(SUBSTITUTE(SUBSTITUTE(SUBSTITUTE(SUBSTITUTE(SUBSTITUTE(SUBSTITUTE(SUBSTITUTE(SUBSTITUTE(SUBSTITUTE(SUBSTITUTE(SUBSTITUTE(SUBSTITUTE(SUBSTITUTE(SUBSTITUTE(SUBSTITUTE(SUBSTITUTE(SUBSTITUTE(SUBSTITUTE(SUBSTITUTE(SUBSTITUTE(SUBSTITUTE(SUBSTITUTE(SUBSTITUTE(SUBSTITUTE(SUBSTITUTE(SUBSTITUTE(tabSindicatos[COMARCAS PAF],"á","a"),"ã","a"),"â","a"),"é","e"),"ê","e"),"í","i"),"ó","o"),"õ","o"),"ô","o"),"ú","u"),"ç","c"),"Á","a"),"Ã","a"),"Â","a"),"É","e"),"Ê","e"),"Í","i"),"Ó","o"),"Õ","o"),"Ô","o"),"Ú","u"),"Ç","c"),"/MG","")," e ",", ")," ",""),".",""))),
IFERROR(IF(_xlfn.XLOOKUP(tabParametros[[#This Row],[CCT DA CATEGORIA]],tabSindicatos[SINDICATOS],tabSindicatos[COMARCAS PAF])="",
VLOOKUP(tabParametros[[#This Row],[CCT DA CATEGORIA]],tabSindicatos[],8,0),
IF(ISNUMBER(SEARCH(TRIM(_xlpm.COMARCA),_xlfn.XLOOKUP(tabParametros[[#This Row],[CCT DA CATEGORIA]],tabSindicatos[SINDICATOS],_xlpm.MATRIZ_COMARCA),1)),VLOOKUP(tabParametros[[#This Row],[CCT DA CATEGORIA]],tabSindicatos[],8,0),0)
),0)
)</f>
        <v>0</v>
      </c>
      <c r="AE212" s="234">
        <f>IFERROR(VLOOKUP(tabParametros[[#This Row],[CCT DA CATEGORIA]],tabSindicatos[],9,0),0)</f>
        <v>0</v>
      </c>
      <c r="AF212" s="234">
        <f>IFERROR(VLOOKUP(tabParametros[[#This Row],[CCT DA CATEGORIA]],tabSindicatos[],10,0),0)</f>
        <v>0</v>
      </c>
      <c r="AG212" s="236">
        <f>VLOOKUP(tabParametros[[#Headers],[Seguro de Vida]],tabOutrosCustos[],3,0)</f>
        <v>3.36</v>
      </c>
      <c r="AH212" s="236">
        <f>IF(ISNUMBER(SEARCH("MOTORISTA",tabParametros[[#This Row],[Função]],1)),VLOOKUP("MOTORISTAS",tabDiarias[],2,0),IF(tabParametros[[#This Row],[Comarca]]="Belo Horizonte",VLOOKUP("LIMPEZA",tabDiarias[],2,0),0))</f>
        <v>0</v>
      </c>
      <c r="AI212" s="235">
        <f t="shared" si="35"/>
        <v>7.011766975308642E-3</v>
      </c>
      <c r="AJ212" s="237">
        <f>tabParametros[[#This Row],[FGTS]]*tabParametros[[#This Row],[Aviso Prévio Indenizado (API) e Reflexo do Aviso Prévio Indenizado]]</f>
        <v>5.609413580246914E-4</v>
      </c>
      <c r="AK212" s="237">
        <f>tabParametros[[#This Row],[FGTS]]*tabParametros[[#This Row],[Aviso Prévio Indenizado (API) e Reflexo do Aviso Prévio Indenizado]]*40%</f>
        <v>2.2437654320987658E-4</v>
      </c>
      <c r="AL212" s="235">
        <f t="shared" si="36"/>
        <v>3.5000000000000005E-3</v>
      </c>
      <c r="AM212" s="235">
        <f>tabParametros[[#This Row],[Aviso Prévio Trabalhado - APT]]*SUM(tabParametros[[#This Row],[INSS]:[SEBRAE]])</f>
        <v>1.3230000000000004E-3</v>
      </c>
      <c r="AN212" s="235">
        <f t="shared" si="37"/>
        <v>3.0577777777777773E-2</v>
      </c>
      <c r="AO212" s="235">
        <f t="shared" si="38"/>
        <v>8.3333333333333339E-4</v>
      </c>
      <c r="AP212" s="235">
        <f t="shared" si="39"/>
        <v>8.4444444444444437E-3</v>
      </c>
      <c r="AQ212" s="235">
        <f t="shared" si="40"/>
        <v>2.0277777777777777E-3</v>
      </c>
      <c r="AR212" s="235">
        <f t="shared" si="41"/>
        <v>1.7083333333333333E-4</v>
      </c>
      <c r="AS212" s="235">
        <f t="shared" si="42"/>
        <v>2.0833333333333335E-4</v>
      </c>
      <c r="AT212" s="235">
        <f t="shared" si="43"/>
        <v>1.2962962962962963E-3</v>
      </c>
      <c r="AU212" s="237">
        <f>SUM(tabParametros[[#This Row],[Ausência por Doença]:[Férias, Adicional de Férias e 13º  com empregada em gozo de Licença Maternidade]])*SUM(tabParametros[[#This Row],[INSS]:[SEBRAE]])</f>
        <v>4.5918250000000008E-3</v>
      </c>
      <c r="AV212" s="234">
        <f>IF(tabParametros[[#This Row],[Função]]="Porteiro - 220 h",SUM(tabParametros[[#This Row],[Salário Base]:[Adicional de Acúmulo de função]])/220*20*1.5,IF(ISNUMBER(SEARCH("12 x 36",tabParametros[[#This Row],[Função]],1)),SUM(tabParametros[[#This Row],[Salário Base]:[Adicional de Acúmulo de função]])/210*15.5*1.5,0))</f>
        <v>0</v>
      </c>
      <c r="AW212" s="234">
        <f>IF(tabParametros[[#This Row],[Vagas contratadas]]&gt;0,(SUM(tabParametros[[#This Row],[Salário Base]:[Adicional de Acúmulo de função]])*30%+SUM(tabParametros[[#This Row],[Vale - Alimentação]:[Seguro de Vida]]))/tabParametros[[#This Row],[Vagas contratadas]]*tabParametros[[#This Row],[Vagas suspensas]],0)</f>
        <v>0</v>
      </c>
      <c r="AX212" s="234">
        <f>SUMIF(tabUniformes[Cargo],tabParametros[[#This Row],[Função]],tabUniformes[Valor unit. Mensal])</f>
        <v>62.806666666666665</v>
      </c>
      <c r="AY212" s="281">
        <f>IF(ISNUMBER(SEARCH("AUXILIAR DE LIMPEZA - 75 H",tabParametros[[#This Row],[Função]],1)),
SUMIF(tabLimpGeral[TIPO],"Material",tabLimpGeral[VALOR UNITÁRIO P/ HORA (R$)])*75,
IF(ISNUMBER(SEARCH("AUXILIAR DE LIMPEZA - 110 H",tabParametros[[#This Row],[Função]],1)),
SUMIF(tabLimpGeral[TIPO],"Material",tabLimpGeral[VALOR UNITÁRIO P/ HORA (R$)])*110,
IF(ISNUMBER(SEARCH("AUXILIAR DE LIMPEZA - 150 H",tabParametros[[#This Row],[Função]],1)),
SUMIF(tabLimpGeral[TIPO],"Material",tabLimpGeral[VALOR UNITÁRIO P/ HORA (R$)])*150,
IF(ISNUMBER(SEARCH("AUXILIAR DE LIMPEZA - 220 H",tabParametros[[#This Row],[Função]],1)),
SUMIF(tabLimpGeral[TIPO],"Material",tabLimpGeral[VALOR UNITÁRIO P/ HORA (R$)])*220,
IF(ISNUMBER(SEARCH("AUXILIAR DE LIMPEZA - 12 x 36",tabParametros[[#This Row],[Função]],1)),
SUMIF(tabLimpGeral[TIPO],"Material",tabLimpGeral[VALOR UNITÁRIO P/ HORA (R$)])*220,
IF(ISNUMBER(SEARCH("Limpador de vidros - 220 h",tabParametros[[#This Row],[Função]],1)),
SUMIF(tabVidros[TIPO],"Material",tabVidros[VALOR UNITÁRIO P/ POSTO (R$)]),
0))))))</f>
        <v>17.759106479291944</v>
      </c>
      <c r="AZ212" s="281">
        <f>IF(ISNUMBER(SEARCH("AUXILIAR DE LIMPEZA - 75 H",tabParametros[[#This Row],[Função]],1)),
SUMIF(tabLimpGeral[TIPO],"Equipamento",tabLimpGeral[VALOR UNITÁRIO P/ HORA (R$)])*75,
IF(ISNUMBER(SEARCH("AUXILIAR DE LIMPEZA - 110 H",tabParametros[[#This Row],[Função]],1)),
SUMIF(tabLimpGeral[TIPO],"Equipamento",tabLimpGeral[VALOR UNITÁRIO P/ HORA (R$)])*110,
IF(ISNUMBER(SEARCH("AUXILIAR DE LIMPEZA - 150 H",tabParametros[[#This Row],[Função]],1)),
SUMIF(tabLimpGeral[TIPO],"Equipamento",tabLimpGeral[VALOR UNITÁRIO P/ HORA (R$)])*150,
IF(ISNUMBER(SEARCH("AUXILIAR DE LIMPEZA - 220 H",tabParametros[[#This Row],[Função]],1)),
SUMIF(tabLimpGeral[TIPO],"Equipamento",tabLimpGeral[VALOR UNITÁRIO P/ HORA (R$)])*220,
IF(ISNUMBER(SEARCH("AUXILIAR DE LIMPEZA - 12 x 36",tabParametros[[#This Row],[Função]],1)),
SUMIF(tabLimpGeral[TIPO],"Equipamento",tabLimpGeral[VALOR UNITÁRIO P/ HORA (R$)])*220,
IF(ISNUMBER(SEARCH("Limpador de vidros - 220 h",tabParametros[[#This Row],[Função]],1)),
SUMIF(tabVidros[TIPO],"Equipamento",tabVidros[VALOR UNITÁRIO P/ POSTO (R$)]),
0))))))</f>
        <v>32.264696957412788</v>
      </c>
      <c r="BA212" s="281">
        <f>IF(ISNUMBER(SEARCH("AUXILIAR DE LIMPEZA - 75 H",tabParametros[[#This Row],[Função]],1)),
SUMIF(tabLimpGeral[TIPO],"Produto",tabLimpGeral[VALOR UNITÁRIO P/ HORA (R$)])*75,
IF(ISNUMBER(SEARCH("AUXILIAR DE LIMPEZA - 110 H",tabParametros[[#This Row],[Função]],1)),
SUMIF(tabLimpGeral[TIPO],"Produto",tabLimpGeral[VALOR UNITÁRIO P/ HORA (R$)])*110,
IF(ISNUMBER(SEARCH("AUXILIAR DE LIMPEZA - 150 H",tabParametros[[#This Row],[Função]],1)),
SUMIF(tabLimpGeral[TIPO],"Produto",tabLimpGeral[VALOR UNITÁRIO P/ HORA (R$)])*150,
IF(ISNUMBER(SEARCH("AUXILIAR DE LIMPEZA - 220 H",tabParametros[[#This Row],[Função]],1)),
SUMIF(tabLimpGeral[TIPO],"Produto",tabLimpGeral[VALOR UNITÁRIO P/ HORA (R$)])*220,
IF(ISNUMBER(SEARCH("AUXILIAR DE LIMPEZA - 12 x 36",tabParametros[[#This Row],[Função]],1)),
SUMIF(tabLimpGeral[TIPO],"Produto",tabLimpGeral[VALOR UNITÁRIO P/ HORA (R$)])*220,
IF(ISNUMBER(SEARCH("Limpador de vidros - 220 h",tabParametros[[#This Row],[Função]],1)),
SUMIF(tabVidros[TIPO],"Produto",tabVidros[VALOR UNITÁRIO P/ POSTO (R$)]),
0))))))</f>
        <v>345.13576638965827</v>
      </c>
      <c r="BB212" s="281">
        <v>0</v>
      </c>
      <c r="BC212" s="236">
        <f>VLOOKUP(tabParametros[[#Headers],[Custos Indiretos]],tabOutrosCustos[],3,0)</f>
        <v>189.64880140242613</v>
      </c>
      <c r="BD212" s="236">
        <f>VLOOKUP(tabParametros[[#Headers],[Lucro]],tabOutrosCustos[],3,0)</f>
        <v>159.30499317803796</v>
      </c>
      <c r="BE212" s="235">
        <f>VLOOKUP(tabParametros[[#Headers],[COFINS]],tabImpostosNacionais[],2,0)</f>
        <v>7.5999999999999998E-2</v>
      </c>
      <c r="BF212" s="235">
        <f>VLOOKUP(tabParametros[[#Headers],[PIS]],tabImpostosNacionais[],2,0)</f>
        <v>1.6500000000000001E-2</v>
      </c>
      <c r="BG212" s="235">
        <f>VLOOKUP(tabParametros[[#This Row],[Comarca]],tabComarca[],4,0)</f>
        <v>0.03</v>
      </c>
      <c r="BH212" s="238">
        <f>IFERROR(VLOOKUP(tabParametros[[#This Row],[CCT DA CATEGORIA]],tabSindicatos[],11,0),"")</f>
        <v>45658</v>
      </c>
      <c r="BI212" s="289" t="str">
        <f>IFERROR(VLOOKUP(tabParametros[[#This Row],[CCT DA CATEGORIA]],tabSindicatos[],12,0),"")</f>
        <v>-</v>
      </c>
      <c r="BJ212" s="293" t="str">
        <f>IFERROR(VLOOKUP(tabParametros[[#This Row],[CCT DA CATEGORIA]],tabSindicatos[],13,0),"")</f>
        <v>-</v>
      </c>
    </row>
    <row r="213" spans="1:62" x14ac:dyDescent="0.25">
      <c r="A213" s="233" t="s">
        <v>1548</v>
      </c>
      <c r="B213" s="198" t="s">
        <v>193</v>
      </c>
      <c r="C213" s="198" t="s">
        <v>1247</v>
      </c>
      <c r="D213" s="198" t="str">
        <f>VLOOKUP(tabParametros[[#This Row],[Código do Posto]],tabPostos[],4,0)</f>
        <v>Sethac Norte de Minas</v>
      </c>
      <c r="E213" s="289" t="str">
        <f>VLOOKUP(tabParametros[[#This Row],[Código do Posto]],tabPostos[],5,0)</f>
        <v>Limpeza</v>
      </c>
      <c r="F213" s="289" t="str">
        <f>VLOOKUP(tabParametros[[#This Row],[Código do Posto]],tabPostos[],6,0)</f>
        <v>PGJ</v>
      </c>
      <c r="G213" s="289">
        <f>VLOOKUP(tabParametros[[#This Row],[Código do Posto]],tabPostos[],7,0)</f>
        <v>1</v>
      </c>
      <c r="H213" s="289">
        <f>VLOOKUP(tabParametros[[#This Row],[Código do Posto]],tabPostos[],8,0)</f>
        <v>0</v>
      </c>
      <c r="I213" s="234">
        <f>VLOOKUP(tabParametros[[#This Row],[Código do Posto]],tabPostos[],9,0)</f>
        <v>544.17999999999995</v>
      </c>
      <c r="J213" s="234">
        <f>IF(ISNUMBER(SEARCH("Eletricista",tabParametros[[#This Row],[Função]],1)),0.3*tabParametros[[#This Row],[Salário Base]],0)</f>
        <v>0</v>
      </c>
      <c r="K213" s="234">
        <f>IF(OR(ISNUMBER(SEARCH("Bombeiro Hidraulico",tabParametros[[#This Row],[Função]],1)),ISNUMBER(SEARCH("Jardineiro",tabParametros[[#This Row],[Função]],1)),ISNUMBER(SEARCH("Lavador de Veiculos",tabParametros[[#This Row],[Função]],1)),ISNUMBER(SEARCH("Marceneiro",tabParametros[[#This Row],[Função]],1)),ISNUMBER(SEARCH("Pintor",tabParametros[[#This Row],[Função]],1))),0.2*'BASE GERAL'!$R$4,0)</f>
        <v>0</v>
      </c>
      <c r="L213" s="234">
        <f>IF(AND(ISNUMBER(SEARCH("Noturno",tabParametros[[#This Row],[Função]],1)),tabParametros[[#This Row],[Comarca]]&lt;&gt;"Juiz de Fora"),tabParametros[[#This Row],[Salário Base]]/210*0.39*7*15.5,IF(ISNUMBER(SEARCH("Noturno",tabParametros[[#This Row],[Função]],1)),tabParametros[[#This Row],[Salário Base]]/210*0.2*8*15.5,0))</f>
        <v>0</v>
      </c>
      <c r="M213" s="234">
        <f>IF(ISNUMBER(SEARCH("Motorista II",tabParametros[[#This Row],[Função]],1)),0.25*tabParametros[[#This Row],[Salário Base]],0)</f>
        <v>0</v>
      </c>
      <c r="N213" s="250">
        <v>0</v>
      </c>
      <c r="O213" s="234">
        <f>IF(ISNUMBER(SEARCH("TECNOLOGIA DA INFORMACAO",tabParametros[[#This Row],[Função]],1)),0.0201*tabParametros[[#This Row],[Salário Base]],0)</f>
        <v>0</v>
      </c>
      <c r="P213" s="250" cm="1">
        <f t="array" ref="P213">_xlfn.IFS(
ISNUMBER(SEARCH("Auxiliar de Limpeza - 75 h",tabParametros[[#This Row],[Função]],1)),tabParametros[[#This Row],[Salário Base]]/75*0.75*30*0.12,
ISNUMBER(SEARCH("Auxiliar de Limpeza - 110 h",tabParametros[[#This Row],[Função]],1)),tabParametros[[#This Row],[Salário Base]]/110*1*30*0.12,
ISNUMBER(SEARCH("Auxiliar de Limpeza - 150 h",tabParametros[[#This Row],[Função]],1)),tabParametros[[#This Row],[Salário Base]]/150*1.5*30*0.12,
ISNUMBER(SEARCH("Auxiliar de Limpeza - 220 h",tabParametros[[#This Row],[Função]],1)),tabParametros[[#This Row],[Salário Base]]/220*2*30*0.12,
ISNUMBER(SEARCH("Auxiliar de Limpeza - 12 x 36",tabParametros[[#This Row],[Função]],1)),tabParametros[[#This Row],[Salário Base]]/220*2*30*0.12,
ISNUMBER(SEARCH("Auxiliar de Limpeza - 55 h",tabParametros[[#This Row],[Função]],1))=FALSE,0)</f>
        <v>19.590479999999999</v>
      </c>
      <c r="Q213" s="235">
        <f>VLOOKUP(tabParametros[[#Headers],[INSS]],tabImpostosNacionais[],2,0)</f>
        <v>0.2</v>
      </c>
      <c r="R213" s="235">
        <f>VLOOKUP(tabParametros[[#Headers],[SESI OU SESC]],tabImpostosNacionais[],2,0)</f>
        <v>1.4999999999999999E-2</v>
      </c>
      <c r="S213" s="235">
        <f>VLOOKUP(tabParametros[[#Headers],[SENAI OU SENAC]],tabImpostosNacionais[],2,0)</f>
        <v>0.01</v>
      </c>
      <c r="T213" s="235">
        <f>VLOOKUP(tabParametros[[#Headers],[INCRA]],tabImpostosNacionais[],2,0)</f>
        <v>2E-3</v>
      </c>
      <c r="U213" s="235">
        <f>VLOOKUP(tabParametros[[#Headers],[Salário Educação]],tabImpostosNacionais[],2,0)</f>
        <v>2.5000000000000001E-2</v>
      </c>
      <c r="V213" s="235">
        <f>VLOOKUP(tabParametros[[#Headers],[FGTS]],tabImpostosNacionais[],2,0)</f>
        <v>0.08</v>
      </c>
      <c r="W213" s="235">
        <f>VLOOKUP(tabParametros[[#Headers],[RAT Ajustado]],tabImpostosNacionais[],2,0)</f>
        <v>0.04</v>
      </c>
      <c r="X213" s="235">
        <f>VLOOKUP(tabParametros[[#Headers],[SEBRAE]],tabImpostosNacionais[],2,0)</f>
        <v>6.0000000000000001E-3</v>
      </c>
      <c r="Y213" s="235">
        <f t="shared" si="33"/>
        <v>8.3333333333333329E-2</v>
      </c>
      <c r="Z213" s="251">
        <f t="shared" si="34"/>
        <v>0.1111111111111111</v>
      </c>
      <c r="AA213" s="234">
        <f>VLOOKUP(tabParametros[[#This Row],[Comarca]],tabComarca[],5,0)</f>
        <v>6.4</v>
      </c>
      <c r="AB213" s="234">
        <f>IFERROR(VLOOKUP(tabParametros[[#This Row],[CCT DA CATEGORIA]],tabSindicatos[],6,0),0)</f>
        <v>29.15</v>
      </c>
      <c r="AC213" s="234">
        <f>IFERROR(VLOOKUP(tabParametros[[#This Row],[CCT DA CATEGORIA]],tabSindicatos[],7,0),0)</f>
        <v>0</v>
      </c>
      <c r="AD213" s="234" cm="1">
        <f t="array" ref="AD213">_xlfn.LET(
_xlpm.COMARCA, TRIM(UPPER(SUBSTITUTE(SUBSTITUTE(SUBSTITUTE(SUBSTITUTE(SUBSTITUTE(SUBSTITUTE(SUBSTITUTE(SUBSTITUTE(SUBSTITUTE(SUBSTITUTE(SUBSTITUTE(SUBSTITUTE(SUBSTITUTE(SUBSTITUTE(SUBSTITUTE(SUBSTITUTE(SUBSTITUTE(SUBSTITUTE(SUBSTITUTE(SUBSTITUTE(SUBSTITUTE(SUBSTITUTE(SUBSTITUTE(SUBSTITUTE(SUBSTITUTE(SUBSTITUTE(tabParametros[[#This Row],[Comarca]],"á","a"),"ã","a"),"â","a"),"é","e"),"ê","e"),"í","i"),"ó","o"),"õ","o"),"ô","o"),"ú","u"),"ç","c"),"Á","a"),"Ã","a"),"Â","a"),"É","e"),"Ê","e"),"Í","i"),"Ó","o"),"Õ","o"),"Ô","o"),"Ú","u"),"Ç","c"),"/MG","")," e ",", ")," ",""),".",""))),
_xlpm.MATRIZ_COMARCA, TRIM(UPPER(SUBSTITUTE(SUBSTITUTE(SUBSTITUTE(SUBSTITUTE(SUBSTITUTE(SUBSTITUTE(SUBSTITUTE(SUBSTITUTE(SUBSTITUTE(SUBSTITUTE(SUBSTITUTE(SUBSTITUTE(SUBSTITUTE(SUBSTITUTE(SUBSTITUTE(SUBSTITUTE(SUBSTITUTE(SUBSTITUTE(SUBSTITUTE(SUBSTITUTE(SUBSTITUTE(SUBSTITUTE(SUBSTITUTE(SUBSTITUTE(SUBSTITUTE(SUBSTITUTE(tabSindicatos[COMARCAS PAF],"á","a"),"ã","a"),"â","a"),"é","e"),"ê","e"),"í","i"),"ó","o"),"õ","o"),"ô","o"),"ú","u"),"ç","c"),"Á","a"),"Ã","a"),"Â","a"),"É","e"),"Ê","e"),"Í","i"),"Ó","o"),"Õ","o"),"Ô","o"),"Ú","u"),"Ç","c"),"/MG","")," e ",", ")," ",""),".",""))),
IFERROR(IF(_xlfn.XLOOKUP(tabParametros[[#This Row],[CCT DA CATEGORIA]],tabSindicatos[SINDICATOS],tabSindicatos[COMARCAS PAF])="",
VLOOKUP(tabParametros[[#This Row],[CCT DA CATEGORIA]],tabSindicatos[],8,0),
IF(ISNUMBER(SEARCH(TRIM(_xlpm.COMARCA),_xlfn.XLOOKUP(tabParametros[[#This Row],[CCT DA CATEGORIA]],tabSindicatos[SINDICATOS],_xlpm.MATRIZ_COMARCA),1)),VLOOKUP(tabParametros[[#This Row],[CCT DA CATEGORIA]],tabSindicatos[],8,0),0)
),0)
)</f>
        <v>51.86</v>
      </c>
      <c r="AE213" s="234">
        <f>IFERROR(VLOOKUP(tabParametros[[#This Row],[CCT DA CATEGORIA]],tabSindicatos[],9,0),0)</f>
        <v>0</v>
      </c>
      <c r="AF213" s="234">
        <f>IFERROR(VLOOKUP(tabParametros[[#This Row],[CCT DA CATEGORIA]],tabSindicatos[],10,0),0)</f>
        <v>0</v>
      </c>
      <c r="AG213" s="236">
        <f>VLOOKUP(tabParametros[[#Headers],[Seguro de Vida]],tabOutrosCustos[],3,0)</f>
        <v>3.36</v>
      </c>
      <c r="AH213" s="236">
        <f>IF(ISNUMBER(SEARCH("MOTORISTA",tabParametros[[#This Row],[Função]],1)),VLOOKUP("MOTORISTAS",tabDiarias[],2,0),IF(tabParametros[[#This Row],[Comarca]]="Belo Horizonte",VLOOKUP("LIMPEZA",tabDiarias[],2,0),0))</f>
        <v>0</v>
      </c>
      <c r="AI213" s="235">
        <f t="shared" si="35"/>
        <v>7.011766975308642E-3</v>
      </c>
      <c r="AJ213" s="237">
        <f>tabParametros[[#This Row],[FGTS]]*tabParametros[[#This Row],[Aviso Prévio Indenizado (API) e Reflexo do Aviso Prévio Indenizado]]</f>
        <v>5.609413580246914E-4</v>
      </c>
      <c r="AK213" s="237">
        <f>tabParametros[[#This Row],[FGTS]]*tabParametros[[#This Row],[Aviso Prévio Indenizado (API) e Reflexo do Aviso Prévio Indenizado]]*40%</f>
        <v>2.2437654320987658E-4</v>
      </c>
      <c r="AL213" s="235">
        <f t="shared" si="36"/>
        <v>3.5000000000000005E-3</v>
      </c>
      <c r="AM213" s="235">
        <f>tabParametros[[#This Row],[Aviso Prévio Trabalhado - APT]]*SUM(tabParametros[[#This Row],[INSS]:[SEBRAE]])</f>
        <v>1.3230000000000004E-3</v>
      </c>
      <c r="AN213" s="235">
        <f t="shared" si="37"/>
        <v>3.0577777777777773E-2</v>
      </c>
      <c r="AO213" s="235">
        <f t="shared" si="38"/>
        <v>8.3333333333333339E-4</v>
      </c>
      <c r="AP213" s="235">
        <f t="shared" si="39"/>
        <v>8.4444444444444437E-3</v>
      </c>
      <c r="AQ213" s="235">
        <f t="shared" si="40"/>
        <v>2.0277777777777777E-3</v>
      </c>
      <c r="AR213" s="235">
        <f t="shared" si="41"/>
        <v>1.7083333333333333E-4</v>
      </c>
      <c r="AS213" s="235">
        <f t="shared" si="42"/>
        <v>2.0833333333333335E-4</v>
      </c>
      <c r="AT213" s="235">
        <f t="shared" si="43"/>
        <v>1.2962962962962963E-3</v>
      </c>
      <c r="AU213" s="237">
        <f>SUM(tabParametros[[#This Row],[Ausência por Doença]:[Férias, Adicional de Férias e 13º  com empregada em gozo de Licença Maternidade]])*SUM(tabParametros[[#This Row],[INSS]:[SEBRAE]])</f>
        <v>4.5918250000000008E-3</v>
      </c>
      <c r="AV213" s="234">
        <f>IF(tabParametros[[#This Row],[Função]]="Porteiro - 220 h",SUM(tabParametros[[#This Row],[Salário Base]:[Adicional de Acúmulo de função]])/220*20*1.5,IF(ISNUMBER(SEARCH("12 x 36",tabParametros[[#This Row],[Função]],1)),SUM(tabParametros[[#This Row],[Salário Base]:[Adicional de Acúmulo de função]])/210*15.5*1.5,0))</f>
        <v>0</v>
      </c>
      <c r="AW213" s="234">
        <f>IF(tabParametros[[#This Row],[Vagas contratadas]]&gt;0,(SUM(tabParametros[[#This Row],[Salário Base]:[Adicional de Acúmulo de função]])*30%+SUM(tabParametros[[#This Row],[Vale - Alimentação]:[Seguro de Vida]]))/tabParametros[[#This Row],[Vagas contratadas]]*tabParametros[[#This Row],[Vagas suspensas]],0)</f>
        <v>0</v>
      </c>
      <c r="AX213" s="234">
        <f>SUMIF(tabUniformes[Cargo],tabParametros[[#This Row],[Função]],tabUniformes[Valor unit. Mensal])</f>
        <v>62.806666666666665</v>
      </c>
      <c r="AY213" s="281">
        <f>IF(ISNUMBER(SEARCH("AUXILIAR DE LIMPEZA - 75 H",tabParametros[[#This Row],[Função]],1)),
SUMIF(tabLimpGeral[TIPO],"Material",tabLimpGeral[VALOR UNITÁRIO P/ HORA (R$)])*75,
IF(ISNUMBER(SEARCH("AUXILIAR DE LIMPEZA - 110 H",tabParametros[[#This Row],[Função]],1)),
SUMIF(tabLimpGeral[TIPO],"Material",tabLimpGeral[VALOR UNITÁRIO P/ HORA (R$)])*110,
IF(ISNUMBER(SEARCH("AUXILIAR DE LIMPEZA - 150 H",tabParametros[[#This Row],[Função]],1)),
SUMIF(tabLimpGeral[TIPO],"Material",tabLimpGeral[VALOR UNITÁRIO P/ HORA (R$)])*150,
IF(ISNUMBER(SEARCH("AUXILIAR DE LIMPEZA - 220 H",tabParametros[[#This Row],[Função]],1)),
SUMIF(tabLimpGeral[TIPO],"Material",tabLimpGeral[VALOR UNITÁRIO P/ HORA (R$)])*220,
IF(ISNUMBER(SEARCH("AUXILIAR DE LIMPEZA - 12 x 36",tabParametros[[#This Row],[Função]],1)),
SUMIF(tabLimpGeral[TIPO],"Material",tabLimpGeral[VALOR UNITÁRIO P/ HORA (R$)])*220,
IF(ISNUMBER(SEARCH("Limpador de vidros - 220 h",tabParametros[[#This Row],[Função]],1)),
SUMIF(tabVidros[TIPO],"Material",tabVidros[VALOR UNITÁRIO P/ POSTO (R$)]),
0))))))</f>
        <v>12.108481690426325</v>
      </c>
      <c r="AZ213" s="281">
        <f>IF(ISNUMBER(SEARCH("AUXILIAR DE LIMPEZA - 75 H",tabParametros[[#This Row],[Função]],1)),
SUMIF(tabLimpGeral[TIPO],"Equipamento",tabLimpGeral[VALOR UNITÁRIO P/ HORA (R$)])*75,
IF(ISNUMBER(SEARCH("AUXILIAR DE LIMPEZA - 110 H",tabParametros[[#This Row],[Função]],1)),
SUMIF(tabLimpGeral[TIPO],"Equipamento",tabLimpGeral[VALOR UNITÁRIO P/ HORA (R$)])*110,
IF(ISNUMBER(SEARCH("AUXILIAR DE LIMPEZA - 150 H",tabParametros[[#This Row],[Função]],1)),
SUMIF(tabLimpGeral[TIPO],"Equipamento",tabLimpGeral[VALOR UNITÁRIO P/ HORA (R$)])*150,
IF(ISNUMBER(SEARCH("AUXILIAR DE LIMPEZA - 220 H",tabParametros[[#This Row],[Função]],1)),
SUMIF(tabLimpGeral[TIPO],"Equipamento",tabLimpGeral[VALOR UNITÁRIO P/ HORA (R$)])*220,
IF(ISNUMBER(SEARCH("AUXILIAR DE LIMPEZA - 12 x 36",tabParametros[[#This Row],[Função]],1)),
SUMIF(tabLimpGeral[TIPO],"Equipamento",tabLimpGeral[VALOR UNITÁRIO P/ HORA (R$)])*220,
IF(ISNUMBER(SEARCH("Limpador de vidros - 220 h",tabParametros[[#This Row],[Função]],1)),
SUMIF(tabVidros[TIPO],"Equipamento",tabVidros[VALOR UNITÁRIO P/ POSTO (R$)]),
0))))))</f>
        <v>21.998657016417809</v>
      </c>
      <c r="BA213" s="281">
        <f>IF(ISNUMBER(SEARCH("AUXILIAR DE LIMPEZA - 75 H",tabParametros[[#This Row],[Função]],1)),
SUMIF(tabLimpGeral[TIPO],"Produto",tabLimpGeral[VALOR UNITÁRIO P/ HORA (R$)])*75,
IF(ISNUMBER(SEARCH("AUXILIAR DE LIMPEZA - 110 H",tabParametros[[#This Row],[Função]],1)),
SUMIF(tabLimpGeral[TIPO],"Produto",tabLimpGeral[VALOR UNITÁRIO P/ HORA (R$)])*110,
IF(ISNUMBER(SEARCH("AUXILIAR DE LIMPEZA - 150 H",tabParametros[[#This Row],[Função]],1)),
SUMIF(tabLimpGeral[TIPO],"Produto",tabLimpGeral[VALOR UNITÁRIO P/ HORA (R$)])*150,
IF(ISNUMBER(SEARCH("AUXILIAR DE LIMPEZA - 220 H",tabParametros[[#This Row],[Função]],1)),
SUMIF(tabLimpGeral[TIPO],"Produto",tabLimpGeral[VALOR UNITÁRIO P/ HORA (R$)])*220,
IF(ISNUMBER(SEARCH("AUXILIAR DE LIMPEZA - 12 x 36",tabParametros[[#This Row],[Função]],1)),
SUMIF(tabLimpGeral[TIPO],"Produto",tabLimpGeral[VALOR UNITÁRIO P/ HORA (R$)])*220,
IF(ISNUMBER(SEARCH("Limpador de vidros - 220 h",tabParametros[[#This Row],[Função]],1)),
SUMIF(tabVidros[TIPO],"Produto",tabVidros[VALOR UNITÁRIO P/ POSTO (R$)]),
0))))))</f>
        <v>235.31984072022155</v>
      </c>
      <c r="BB213" s="281">
        <v>0</v>
      </c>
      <c r="BC213" s="236">
        <f>VLOOKUP(tabParametros[[#Headers],[Custos Indiretos]],tabOutrosCustos[],3,0)</f>
        <v>189.64880140242613</v>
      </c>
      <c r="BD213" s="236">
        <f>VLOOKUP(tabParametros[[#Headers],[Lucro]],tabOutrosCustos[],3,0)</f>
        <v>159.30499317803796</v>
      </c>
      <c r="BE213" s="235">
        <f>VLOOKUP(tabParametros[[#Headers],[COFINS]],tabImpostosNacionais[],2,0)</f>
        <v>7.5999999999999998E-2</v>
      </c>
      <c r="BF213" s="235">
        <f>VLOOKUP(tabParametros[[#Headers],[PIS]],tabImpostosNacionais[],2,0)</f>
        <v>1.6500000000000001E-2</v>
      </c>
      <c r="BG213" s="235">
        <f>VLOOKUP(tabParametros[[#This Row],[Comarca]],tabComarca[],4,0)</f>
        <v>0.03</v>
      </c>
      <c r="BH213" s="238">
        <f>IFERROR(VLOOKUP(tabParametros[[#This Row],[CCT DA CATEGORIA]],tabSindicatos[],11,0),"")</f>
        <v>45658</v>
      </c>
      <c r="BI213" s="289" t="str">
        <f>IFERROR(VLOOKUP(tabParametros[[#This Row],[CCT DA CATEGORIA]],tabSindicatos[],12,0),"")</f>
        <v>-</v>
      </c>
      <c r="BJ213" s="293" t="str">
        <f>IFERROR(VLOOKUP(tabParametros[[#This Row],[CCT DA CATEGORIA]],tabSindicatos[],13,0),"")</f>
        <v>-</v>
      </c>
    </row>
    <row r="214" spans="1:62" x14ac:dyDescent="0.25">
      <c r="A214" s="233" t="s">
        <v>1549</v>
      </c>
      <c r="B214" s="198" t="s">
        <v>194</v>
      </c>
      <c r="C214" s="198" t="s">
        <v>1244</v>
      </c>
      <c r="D214" s="198" t="str">
        <f>VLOOKUP(tabParametros[[#This Row],[Código do Posto]],tabPostos[],4,0)</f>
        <v>Regiao de Joao Monlevade</v>
      </c>
      <c r="E214" s="289" t="str">
        <f>VLOOKUP(tabParametros[[#This Row],[Código do Posto]],tabPostos[],5,0)</f>
        <v>Limpeza</v>
      </c>
      <c r="F214" s="289" t="str">
        <f>VLOOKUP(tabParametros[[#This Row],[Código do Posto]],tabPostos[],6,0)</f>
        <v>PGJ</v>
      </c>
      <c r="G214" s="289">
        <f>VLOOKUP(tabParametros[[#This Row],[Código do Posto]],tabPostos[],7,0)</f>
        <v>1</v>
      </c>
      <c r="H214" s="289">
        <f>VLOOKUP(tabParametros[[#This Row],[Código do Posto]],tabPostos[],8,0)</f>
        <v>0</v>
      </c>
      <c r="I214" s="234">
        <f>VLOOKUP(tabParametros[[#This Row],[Código do Posto]],tabPostos[],9,0)</f>
        <v>798.14</v>
      </c>
      <c r="J214" s="234">
        <f>IF(ISNUMBER(SEARCH("Eletricista",tabParametros[[#This Row],[Função]],1)),0.3*tabParametros[[#This Row],[Salário Base]],0)</f>
        <v>0</v>
      </c>
      <c r="K214" s="234">
        <f>IF(OR(ISNUMBER(SEARCH("Bombeiro Hidraulico",tabParametros[[#This Row],[Função]],1)),ISNUMBER(SEARCH("Jardineiro",tabParametros[[#This Row],[Função]],1)),ISNUMBER(SEARCH("Lavador de Veiculos",tabParametros[[#This Row],[Função]],1)),ISNUMBER(SEARCH("Marceneiro",tabParametros[[#This Row],[Função]],1)),ISNUMBER(SEARCH("Pintor",tabParametros[[#This Row],[Função]],1))),0.2*'BASE GERAL'!$R$4,0)</f>
        <v>0</v>
      </c>
      <c r="L214" s="234">
        <f>IF(AND(ISNUMBER(SEARCH("Noturno",tabParametros[[#This Row],[Função]],1)),tabParametros[[#This Row],[Comarca]]&lt;&gt;"Juiz de Fora"),tabParametros[[#This Row],[Salário Base]]/210*0.39*7*15.5,IF(ISNUMBER(SEARCH("Noturno",tabParametros[[#This Row],[Função]],1)),tabParametros[[#This Row],[Salário Base]]/210*0.2*8*15.5,0))</f>
        <v>0</v>
      </c>
      <c r="M214" s="234">
        <f>IF(ISNUMBER(SEARCH("Motorista II",tabParametros[[#This Row],[Função]],1)),0.25*tabParametros[[#This Row],[Salário Base]],0)</f>
        <v>0</v>
      </c>
      <c r="N214" s="250">
        <v>0</v>
      </c>
      <c r="O214" s="234">
        <f>IF(ISNUMBER(SEARCH("TECNOLOGIA DA INFORMACAO",tabParametros[[#This Row],[Função]],1)),0.0201*tabParametros[[#This Row],[Salário Base]],0)</f>
        <v>0</v>
      </c>
      <c r="P214" s="250" cm="1">
        <f t="array" ref="P214">_xlfn.IFS(
ISNUMBER(SEARCH("Auxiliar de Limpeza - 75 h",tabParametros[[#This Row],[Função]],1)),tabParametros[[#This Row],[Salário Base]]/75*0.75*30*0.12,
ISNUMBER(SEARCH("Auxiliar de Limpeza - 110 h",tabParametros[[#This Row],[Função]],1)),tabParametros[[#This Row],[Salário Base]]/110*1*30*0.12,
ISNUMBER(SEARCH("Auxiliar de Limpeza - 150 h",tabParametros[[#This Row],[Função]],1)),tabParametros[[#This Row],[Salário Base]]/150*1.5*30*0.12,
ISNUMBER(SEARCH("Auxiliar de Limpeza - 220 h",tabParametros[[#This Row],[Função]],1)),tabParametros[[#This Row],[Salário Base]]/220*2*30*0.12,
ISNUMBER(SEARCH("Auxiliar de Limpeza - 12 x 36",tabParametros[[#This Row],[Função]],1)),tabParametros[[#This Row],[Salário Base]]/220*2*30*0.12,
ISNUMBER(SEARCH("Auxiliar de Limpeza - 55 h",tabParametros[[#This Row],[Função]],1))=FALSE,0)</f>
        <v>26.120945454545453</v>
      </c>
      <c r="Q214" s="235">
        <f>VLOOKUP(tabParametros[[#Headers],[INSS]],tabImpostosNacionais[],2,0)</f>
        <v>0.2</v>
      </c>
      <c r="R214" s="235">
        <f>VLOOKUP(tabParametros[[#Headers],[SESI OU SESC]],tabImpostosNacionais[],2,0)</f>
        <v>1.4999999999999999E-2</v>
      </c>
      <c r="S214" s="235">
        <f>VLOOKUP(tabParametros[[#Headers],[SENAI OU SENAC]],tabImpostosNacionais[],2,0)</f>
        <v>0.01</v>
      </c>
      <c r="T214" s="235">
        <f>VLOOKUP(tabParametros[[#Headers],[INCRA]],tabImpostosNacionais[],2,0)</f>
        <v>2E-3</v>
      </c>
      <c r="U214" s="235">
        <f>VLOOKUP(tabParametros[[#Headers],[Salário Educação]],tabImpostosNacionais[],2,0)</f>
        <v>2.5000000000000001E-2</v>
      </c>
      <c r="V214" s="235">
        <f>VLOOKUP(tabParametros[[#Headers],[FGTS]],tabImpostosNacionais[],2,0)</f>
        <v>0.08</v>
      </c>
      <c r="W214" s="235">
        <f>VLOOKUP(tabParametros[[#Headers],[RAT Ajustado]],tabImpostosNacionais[],2,0)</f>
        <v>0.04</v>
      </c>
      <c r="X214" s="235">
        <f>VLOOKUP(tabParametros[[#Headers],[SEBRAE]],tabImpostosNacionais[],2,0)</f>
        <v>6.0000000000000001E-3</v>
      </c>
      <c r="Y214" s="235">
        <f t="shared" si="33"/>
        <v>8.3333333333333329E-2</v>
      </c>
      <c r="Z214" s="251">
        <f t="shared" si="34"/>
        <v>0.1111111111111111</v>
      </c>
      <c r="AA214" s="234">
        <f>VLOOKUP(tabParametros[[#This Row],[Comarca]],tabComarca[],5,0)</f>
        <v>6.4</v>
      </c>
      <c r="AB214" s="234">
        <f>IFERROR(VLOOKUP(tabParametros[[#This Row],[CCT DA CATEGORIA]],tabSindicatos[],6,0),0)</f>
        <v>29.15</v>
      </c>
      <c r="AC214" s="234">
        <f>IFERROR(VLOOKUP(tabParametros[[#This Row],[CCT DA CATEGORIA]],tabSindicatos[],7,0),0)</f>
        <v>0</v>
      </c>
      <c r="AD214" s="234" cm="1">
        <f t="array" ref="AD214">_xlfn.LET(
_xlpm.COMARCA, TRIM(UPPER(SUBSTITUTE(SUBSTITUTE(SUBSTITUTE(SUBSTITUTE(SUBSTITUTE(SUBSTITUTE(SUBSTITUTE(SUBSTITUTE(SUBSTITUTE(SUBSTITUTE(SUBSTITUTE(SUBSTITUTE(SUBSTITUTE(SUBSTITUTE(SUBSTITUTE(SUBSTITUTE(SUBSTITUTE(SUBSTITUTE(SUBSTITUTE(SUBSTITUTE(SUBSTITUTE(SUBSTITUTE(SUBSTITUTE(SUBSTITUTE(SUBSTITUTE(SUBSTITUTE(tabParametros[[#This Row],[Comarca]],"á","a"),"ã","a"),"â","a"),"é","e"),"ê","e"),"í","i"),"ó","o"),"õ","o"),"ô","o"),"ú","u"),"ç","c"),"Á","a"),"Ã","a"),"Â","a"),"É","e"),"Ê","e"),"Í","i"),"Ó","o"),"Õ","o"),"Ô","o"),"Ú","u"),"Ç","c"),"/MG","")," e ",", ")," ",""),".",""))),
_xlpm.MATRIZ_COMARCA, TRIM(UPPER(SUBSTITUTE(SUBSTITUTE(SUBSTITUTE(SUBSTITUTE(SUBSTITUTE(SUBSTITUTE(SUBSTITUTE(SUBSTITUTE(SUBSTITUTE(SUBSTITUTE(SUBSTITUTE(SUBSTITUTE(SUBSTITUTE(SUBSTITUTE(SUBSTITUTE(SUBSTITUTE(SUBSTITUTE(SUBSTITUTE(SUBSTITUTE(SUBSTITUTE(SUBSTITUTE(SUBSTITUTE(SUBSTITUTE(SUBSTITUTE(SUBSTITUTE(SUBSTITUTE(tabSindicatos[COMARCAS PAF],"á","a"),"ã","a"),"â","a"),"é","e"),"ê","e"),"í","i"),"ó","o"),"õ","o"),"ô","o"),"ú","u"),"ç","c"),"Á","a"),"Ã","a"),"Â","a"),"É","e"),"Ê","e"),"Í","i"),"Ó","o"),"Õ","o"),"Ô","o"),"Ú","u"),"Ç","c"),"/MG","")," e ",", ")," ",""),".",""))),
IFERROR(IF(_xlfn.XLOOKUP(tabParametros[[#This Row],[CCT DA CATEGORIA]],tabSindicatos[SINDICATOS],tabSindicatos[COMARCAS PAF])="",
VLOOKUP(tabParametros[[#This Row],[CCT DA CATEGORIA]],tabSindicatos[],8,0),
IF(ISNUMBER(SEARCH(TRIM(_xlpm.COMARCA),_xlfn.XLOOKUP(tabParametros[[#This Row],[CCT DA CATEGORIA]],tabSindicatos[SINDICATOS],_xlpm.MATRIZ_COMARCA),1)),VLOOKUP(tabParametros[[#This Row],[CCT DA CATEGORIA]],tabSindicatos[],8,0),0)
),0)
)</f>
        <v>50.74</v>
      </c>
      <c r="AE214" s="234">
        <f>IFERROR(VLOOKUP(tabParametros[[#This Row],[CCT DA CATEGORIA]],tabSindicatos[],9,0),0)</f>
        <v>0</v>
      </c>
      <c r="AF214" s="234">
        <f>IFERROR(VLOOKUP(tabParametros[[#This Row],[CCT DA CATEGORIA]],tabSindicatos[],10,0),0)</f>
        <v>0</v>
      </c>
      <c r="AG214" s="236">
        <f>VLOOKUP(tabParametros[[#Headers],[Seguro de Vida]],tabOutrosCustos[],3,0)</f>
        <v>3.36</v>
      </c>
      <c r="AH214" s="236">
        <f>IF(ISNUMBER(SEARCH("MOTORISTA",tabParametros[[#This Row],[Função]],1)),VLOOKUP("MOTORISTAS",tabDiarias[],2,0),IF(tabParametros[[#This Row],[Comarca]]="Belo Horizonte",VLOOKUP("LIMPEZA",tabDiarias[],2,0),0))</f>
        <v>0</v>
      </c>
      <c r="AI214" s="235">
        <f t="shared" si="35"/>
        <v>7.011766975308642E-3</v>
      </c>
      <c r="AJ214" s="237">
        <f>tabParametros[[#This Row],[FGTS]]*tabParametros[[#This Row],[Aviso Prévio Indenizado (API) e Reflexo do Aviso Prévio Indenizado]]</f>
        <v>5.609413580246914E-4</v>
      </c>
      <c r="AK214" s="237">
        <f>tabParametros[[#This Row],[FGTS]]*tabParametros[[#This Row],[Aviso Prévio Indenizado (API) e Reflexo do Aviso Prévio Indenizado]]*40%</f>
        <v>2.2437654320987658E-4</v>
      </c>
      <c r="AL214" s="235">
        <f t="shared" si="36"/>
        <v>3.5000000000000005E-3</v>
      </c>
      <c r="AM214" s="235">
        <f>tabParametros[[#This Row],[Aviso Prévio Trabalhado - APT]]*SUM(tabParametros[[#This Row],[INSS]:[SEBRAE]])</f>
        <v>1.3230000000000004E-3</v>
      </c>
      <c r="AN214" s="235">
        <f t="shared" si="37"/>
        <v>3.0577777777777773E-2</v>
      </c>
      <c r="AO214" s="235">
        <f t="shared" si="38"/>
        <v>8.3333333333333339E-4</v>
      </c>
      <c r="AP214" s="235">
        <f t="shared" si="39"/>
        <v>8.4444444444444437E-3</v>
      </c>
      <c r="AQ214" s="235">
        <f t="shared" si="40"/>
        <v>2.0277777777777777E-3</v>
      </c>
      <c r="AR214" s="235">
        <f t="shared" si="41"/>
        <v>1.7083333333333333E-4</v>
      </c>
      <c r="AS214" s="235">
        <f t="shared" si="42"/>
        <v>2.0833333333333335E-4</v>
      </c>
      <c r="AT214" s="235">
        <f t="shared" si="43"/>
        <v>1.2962962962962963E-3</v>
      </c>
      <c r="AU214" s="237">
        <f>SUM(tabParametros[[#This Row],[Ausência por Doença]:[Férias, Adicional de Férias e 13º  com empregada em gozo de Licença Maternidade]])*SUM(tabParametros[[#This Row],[INSS]:[SEBRAE]])</f>
        <v>4.5918250000000008E-3</v>
      </c>
      <c r="AV214" s="234">
        <f>IF(tabParametros[[#This Row],[Função]]="Porteiro - 220 h",SUM(tabParametros[[#This Row],[Salário Base]:[Adicional de Acúmulo de função]])/220*20*1.5,IF(ISNUMBER(SEARCH("12 x 36",tabParametros[[#This Row],[Função]],1)),SUM(tabParametros[[#This Row],[Salário Base]:[Adicional de Acúmulo de função]])/210*15.5*1.5,0))</f>
        <v>0</v>
      </c>
      <c r="AW214" s="234">
        <f>IF(tabParametros[[#This Row],[Vagas contratadas]]&gt;0,(SUM(tabParametros[[#This Row],[Salário Base]:[Adicional de Acúmulo de função]])*30%+SUM(tabParametros[[#This Row],[Vale - Alimentação]:[Seguro de Vida]]))/tabParametros[[#This Row],[Vagas contratadas]]*tabParametros[[#This Row],[Vagas suspensas]],0)</f>
        <v>0</v>
      </c>
      <c r="AX214" s="234">
        <f>SUMIF(tabUniformes[Cargo],tabParametros[[#This Row],[Função]],tabUniformes[Valor unit. Mensal])</f>
        <v>62.806666666666665</v>
      </c>
      <c r="AY214" s="281">
        <f>IF(ISNUMBER(SEARCH("AUXILIAR DE LIMPEZA - 75 H",tabParametros[[#This Row],[Função]],1)),
SUMIF(tabLimpGeral[TIPO],"Material",tabLimpGeral[VALOR UNITÁRIO P/ HORA (R$)])*75,
IF(ISNUMBER(SEARCH("AUXILIAR DE LIMPEZA - 110 H",tabParametros[[#This Row],[Função]],1)),
SUMIF(tabLimpGeral[TIPO],"Material",tabLimpGeral[VALOR UNITÁRIO P/ HORA (R$)])*110,
IF(ISNUMBER(SEARCH("AUXILIAR DE LIMPEZA - 150 H",tabParametros[[#This Row],[Função]],1)),
SUMIF(tabLimpGeral[TIPO],"Material",tabLimpGeral[VALOR UNITÁRIO P/ HORA (R$)])*150,
IF(ISNUMBER(SEARCH("AUXILIAR DE LIMPEZA - 220 H",tabParametros[[#This Row],[Função]],1)),
SUMIF(tabLimpGeral[TIPO],"Material",tabLimpGeral[VALOR UNITÁRIO P/ HORA (R$)])*220,
IF(ISNUMBER(SEARCH("AUXILIAR DE LIMPEZA - 12 x 36",tabParametros[[#This Row],[Função]],1)),
SUMIF(tabLimpGeral[TIPO],"Material",tabLimpGeral[VALOR UNITÁRIO P/ HORA (R$)])*220,
IF(ISNUMBER(SEARCH("Limpador de vidros - 220 h",tabParametros[[#This Row],[Função]],1)),
SUMIF(tabVidros[TIPO],"Material",tabVidros[VALOR UNITÁRIO P/ POSTO (R$)]),
0))))))</f>
        <v>17.759106479291944</v>
      </c>
      <c r="AZ214" s="281">
        <f>IF(ISNUMBER(SEARCH("AUXILIAR DE LIMPEZA - 75 H",tabParametros[[#This Row],[Função]],1)),
SUMIF(tabLimpGeral[TIPO],"Equipamento",tabLimpGeral[VALOR UNITÁRIO P/ HORA (R$)])*75,
IF(ISNUMBER(SEARCH("AUXILIAR DE LIMPEZA - 110 H",tabParametros[[#This Row],[Função]],1)),
SUMIF(tabLimpGeral[TIPO],"Equipamento",tabLimpGeral[VALOR UNITÁRIO P/ HORA (R$)])*110,
IF(ISNUMBER(SEARCH("AUXILIAR DE LIMPEZA - 150 H",tabParametros[[#This Row],[Função]],1)),
SUMIF(tabLimpGeral[TIPO],"Equipamento",tabLimpGeral[VALOR UNITÁRIO P/ HORA (R$)])*150,
IF(ISNUMBER(SEARCH("AUXILIAR DE LIMPEZA - 220 H",tabParametros[[#This Row],[Função]],1)),
SUMIF(tabLimpGeral[TIPO],"Equipamento",tabLimpGeral[VALOR UNITÁRIO P/ HORA (R$)])*220,
IF(ISNUMBER(SEARCH("AUXILIAR DE LIMPEZA - 12 x 36",tabParametros[[#This Row],[Função]],1)),
SUMIF(tabLimpGeral[TIPO],"Equipamento",tabLimpGeral[VALOR UNITÁRIO P/ HORA (R$)])*220,
IF(ISNUMBER(SEARCH("Limpador de vidros - 220 h",tabParametros[[#This Row],[Função]],1)),
SUMIF(tabVidros[TIPO],"Equipamento",tabVidros[VALOR UNITÁRIO P/ POSTO (R$)]),
0))))))</f>
        <v>32.264696957412788</v>
      </c>
      <c r="BA214" s="281">
        <f>IF(ISNUMBER(SEARCH("AUXILIAR DE LIMPEZA - 75 H",tabParametros[[#This Row],[Função]],1)),
SUMIF(tabLimpGeral[TIPO],"Produto",tabLimpGeral[VALOR UNITÁRIO P/ HORA (R$)])*75,
IF(ISNUMBER(SEARCH("AUXILIAR DE LIMPEZA - 110 H",tabParametros[[#This Row],[Função]],1)),
SUMIF(tabLimpGeral[TIPO],"Produto",tabLimpGeral[VALOR UNITÁRIO P/ HORA (R$)])*110,
IF(ISNUMBER(SEARCH("AUXILIAR DE LIMPEZA - 150 H",tabParametros[[#This Row],[Função]],1)),
SUMIF(tabLimpGeral[TIPO],"Produto",tabLimpGeral[VALOR UNITÁRIO P/ HORA (R$)])*150,
IF(ISNUMBER(SEARCH("AUXILIAR DE LIMPEZA - 220 H",tabParametros[[#This Row],[Função]],1)),
SUMIF(tabLimpGeral[TIPO],"Produto",tabLimpGeral[VALOR UNITÁRIO P/ HORA (R$)])*220,
IF(ISNUMBER(SEARCH("AUXILIAR DE LIMPEZA - 12 x 36",tabParametros[[#This Row],[Função]],1)),
SUMIF(tabLimpGeral[TIPO],"Produto",tabLimpGeral[VALOR UNITÁRIO P/ HORA (R$)])*220,
IF(ISNUMBER(SEARCH("Limpador de vidros - 220 h",tabParametros[[#This Row],[Função]],1)),
SUMIF(tabVidros[TIPO],"Produto",tabVidros[VALOR UNITÁRIO P/ POSTO (R$)]),
0))))))</f>
        <v>345.13576638965827</v>
      </c>
      <c r="BB214" s="281">
        <v>0</v>
      </c>
      <c r="BC214" s="236">
        <f>VLOOKUP(tabParametros[[#Headers],[Custos Indiretos]],tabOutrosCustos[],3,0)</f>
        <v>189.64880140242613</v>
      </c>
      <c r="BD214" s="236">
        <f>VLOOKUP(tabParametros[[#Headers],[Lucro]],tabOutrosCustos[],3,0)</f>
        <v>159.30499317803796</v>
      </c>
      <c r="BE214" s="235">
        <f>VLOOKUP(tabParametros[[#Headers],[COFINS]],tabImpostosNacionais[],2,0)</f>
        <v>7.5999999999999998E-2</v>
      </c>
      <c r="BF214" s="235">
        <f>VLOOKUP(tabParametros[[#Headers],[PIS]],tabImpostosNacionais[],2,0)</f>
        <v>1.6500000000000001E-2</v>
      </c>
      <c r="BG214" s="235">
        <f>VLOOKUP(tabParametros[[#This Row],[Comarca]],tabComarca[],4,0)</f>
        <v>0.03</v>
      </c>
      <c r="BH214" s="238">
        <f>IFERROR(VLOOKUP(tabParametros[[#This Row],[CCT DA CATEGORIA]],tabSindicatos[],11,0),"")</f>
        <v>45658</v>
      </c>
      <c r="BI214" s="289" t="str">
        <f>IFERROR(VLOOKUP(tabParametros[[#This Row],[CCT DA CATEGORIA]],tabSindicatos[],12,0),"")</f>
        <v>-</v>
      </c>
      <c r="BJ214" s="293" t="str">
        <f>IFERROR(VLOOKUP(tabParametros[[#This Row],[CCT DA CATEGORIA]],tabSindicatos[],13,0),"")</f>
        <v>-</v>
      </c>
    </row>
    <row r="215" spans="1:62" x14ac:dyDescent="0.25">
      <c r="A215" s="233" t="s">
        <v>1550</v>
      </c>
      <c r="B215" s="198" t="s">
        <v>195</v>
      </c>
      <c r="C215" s="198" t="s">
        <v>1245</v>
      </c>
      <c r="D215" s="198" t="str">
        <f>VLOOKUP(tabParametros[[#This Row],[Código do Posto]],tabPostos[],4,0)</f>
        <v>Sind - Asseio</v>
      </c>
      <c r="E215" s="289" t="str">
        <f>VLOOKUP(tabParametros[[#This Row],[Código do Posto]],tabPostos[],5,0)</f>
        <v>Limpeza</v>
      </c>
      <c r="F215" s="289" t="str">
        <f>VLOOKUP(tabParametros[[#This Row],[Código do Posto]],tabPostos[],6,0)</f>
        <v>PGJ</v>
      </c>
      <c r="G215" s="289">
        <f>VLOOKUP(tabParametros[[#This Row],[Código do Posto]],tabPostos[],7,0)</f>
        <v>2</v>
      </c>
      <c r="H215" s="289">
        <f>VLOOKUP(tabParametros[[#This Row],[Código do Posto]],tabPostos[],8,0)</f>
        <v>0</v>
      </c>
      <c r="I215" s="234">
        <f>VLOOKUP(tabParametros[[#This Row],[Código do Posto]],tabPostos[],9,0)</f>
        <v>1649.12</v>
      </c>
      <c r="J215" s="234">
        <f>IF(ISNUMBER(SEARCH("Eletricista",tabParametros[[#This Row],[Função]],1)),0.3*tabParametros[[#This Row],[Salário Base]],0)</f>
        <v>0</v>
      </c>
      <c r="K215" s="234">
        <f>IF(OR(ISNUMBER(SEARCH("Bombeiro Hidraulico",tabParametros[[#This Row],[Função]],1)),ISNUMBER(SEARCH("Jardineiro",tabParametros[[#This Row],[Função]],1)),ISNUMBER(SEARCH("Lavador de Veiculos",tabParametros[[#This Row],[Função]],1)),ISNUMBER(SEARCH("Marceneiro",tabParametros[[#This Row],[Função]],1)),ISNUMBER(SEARCH("Pintor",tabParametros[[#This Row],[Função]],1))),0.2*'BASE GERAL'!$R$4,0)</f>
        <v>0</v>
      </c>
      <c r="L215" s="234">
        <f>IF(AND(ISNUMBER(SEARCH("Noturno",tabParametros[[#This Row],[Função]],1)),tabParametros[[#This Row],[Comarca]]&lt;&gt;"Juiz de Fora"),tabParametros[[#This Row],[Salário Base]]/210*0.39*7*15.5,IF(ISNUMBER(SEARCH("Noturno",tabParametros[[#This Row],[Função]],1)),tabParametros[[#This Row],[Salário Base]]/210*0.2*8*15.5,0))</f>
        <v>0</v>
      </c>
      <c r="M215" s="234">
        <f>IF(ISNUMBER(SEARCH("Motorista II",tabParametros[[#This Row],[Função]],1)),0.25*tabParametros[[#This Row],[Salário Base]],0)</f>
        <v>0</v>
      </c>
      <c r="N215" s="250">
        <v>0</v>
      </c>
      <c r="O215" s="234">
        <f>IF(ISNUMBER(SEARCH("TECNOLOGIA DA INFORMACAO",tabParametros[[#This Row],[Função]],1)),0.0201*tabParametros[[#This Row],[Salário Base]],0)</f>
        <v>0</v>
      </c>
      <c r="P215" s="250" cm="1">
        <f t="array" ref="P215">_xlfn.IFS(
ISNUMBER(SEARCH("Auxiliar de Limpeza - 75 h",tabParametros[[#This Row],[Função]],1)),tabParametros[[#This Row],[Salário Base]]/75*0.75*30*0.12,
ISNUMBER(SEARCH("Auxiliar de Limpeza - 110 h",tabParametros[[#This Row],[Função]],1)),tabParametros[[#This Row],[Salário Base]]/110*1*30*0.12,
ISNUMBER(SEARCH("Auxiliar de Limpeza - 150 h",tabParametros[[#This Row],[Função]],1)),tabParametros[[#This Row],[Salário Base]]/150*1.5*30*0.12,
ISNUMBER(SEARCH("Auxiliar de Limpeza - 220 h",tabParametros[[#This Row],[Função]],1)),tabParametros[[#This Row],[Salário Base]]/220*2*30*0.12,
ISNUMBER(SEARCH("Auxiliar de Limpeza - 12 x 36",tabParametros[[#This Row],[Função]],1)),tabParametros[[#This Row],[Salário Base]]/220*2*30*0.12,
ISNUMBER(SEARCH("Auxiliar de Limpeza - 55 h",tabParametros[[#This Row],[Função]],1))=FALSE,0)</f>
        <v>53.971199999999996</v>
      </c>
      <c r="Q215" s="235">
        <f>VLOOKUP(tabParametros[[#Headers],[INSS]],tabImpostosNacionais[],2,0)</f>
        <v>0.2</v>
      </c>
      <c r="R215" s="235">
        <f>VLOOKUP(tabParametros[[#Headers],[SESI OU SESC]],tabImpostosNacionais[],2,0)</f>
        <v>1.4999999999999999E-2</v>
      </c>
      <c r="S215" s="235">
        <f>VLOOKUP(tabParametros[[#Headers],[SENAI OU SENAC]],tabImpostosNacionais[],2,0)</f>
        <v>0.01</v>
      </c>
      <c r="T215" s="235">
        <f>VLOOKUP(tabParametros[[#Headers],[INCRA]],tabImpostosNacionais[],2,0)</f>
        <v>2E-3</v>
      </c>
      <c r="U215" s="235">
        <f>VLOOKUP(tabParametros[[#Headers],[Salário Educação]],tabImpostosNacionais[],2,0)</f>
        <v>2.5000000000000001E-2</v>
      </c>
      <c r="V215" s="235">
        <f>VLOOKUP(tabParametros[[#Headers],[FGTS]],tabImpostosNacionais[],2,0)</f>
        <v>0.08</v>
      </c>
      <c r="W215" s="235">
        <f>VLOOKUP(tabParametros[[#Headers],[RAT Ajustado]],tabImpostosNacionais[],2,0)</f>
        <v>0.04</v>
      </c>
      <c r="X215" s="235">
        <f>VLOOKUP(tabParametros[[#Headers],[SEBRAE]],tabImpostosNacionais[],2,0)</f>
        <v>6.0000000000000001E-3</v>
      </c>
      <c r="Y215" s="235">
        <f t="shared" si="33"/>
        <v>8.3333333333333329E-2</v>
      </c>
      <c r="Z215" s="251">
        <f t="shared" si="34"/>
        <v>0.1111111111111111</v>
      </c>
      <c r="AA215" s="234">
        <f>VLOOKUP(tabParametros[[#This Row],[Comarca]],tabComarca[],5,0)</f>
        <v>6.4</v>
      </c>
      <c r="AB215" s="234">
        <f>IFERROR(VLOOKUP(tabParametros[[#This Row],[CCT DA CATEGORIA]],tabSindicatos[],6,0),0)</f>
        <v>29.15</v>
      </c>
      <c r="AC215" s="234">
        <f>IFERROR(VLOOKUP(tabParametros[[#This Row],[CCT DA CATEGORIA]],tabSindicatos[],7,0),0)</f>
        <v>0</v>
      </c>
      <c r="AD215" s="234" cm="1">
        <f t="array" ref="AD215">_xlfn.LET(
_xlpm.COMARCA, TRIM(UPPER(SUBSTITUTE(SUBSTITUTE(SUBSTITUTE(SUBSTITUTE(SUBSTITUTE(SUBSTITUTE(SUBSTITUTE(SUBSTITUTE(SUBSTITUTE(SUBSTITUTE(SUBSTITUTE(SUBSTITUTE(SUBSTITUTE(SUBSTITUTE(SUBSTITUTE(SUBSTITUTE(SUBSTITUTE(SUBSTITUTE(SUBSTITUTE(SUBSTITUTE(SUBSTITUTE(SUBSTITUTE(SUBSTITUTE(SUBSTITUTE(SUBSTITUTE(SUBSTITUTE(tabParametros[[#This Row],[Comarca]],"á","a"),"ã","a"),"â","a"),"é","e"),"ê","e"),"í","i"),"ó","o"),"õ","o"),"ô","o"),"ú","u"),"ç","c"),"Á","a"),"Ã","a"),"Â","a"),"É","e"),"Ê","e"),"Í","i"),"Ó","o"),"Õ","o"),"Ô","o"),"Ú","u"),"Ç","c"),"/MG","")," e ",", ")," ",""),".",""))),
_xlpm.MATRIZ_COMARCA, TRIM(UPPER(SUBSTITUTE(SUBSTITUTE(SUBSTITUTE(SUBSTITUTE(SUBSTITUTE(SUBSTITUTE(SUBSTITUTE(SUBSTITUTE(SUBSTITUTE(SUBSTITUTE(SUBSTITUTE(SUBSTITUTE(SUBSTITUTE(SUBSTITUTE(SUBSTITUTE(SUBSTITUTE(SUBSTITUTE(SUBSTITUTE(SUBSTITUTE(SUBSTITUTE(SUBSTITUTE(SUBSTITUTE(SUBSTITUTE(SUBSTITUTE(SUBSTITUTE(SUBSTITUTE(tabSindicatos[COMARCAS PAF],"á","a"),"ã","a"),"â","a"),"é","e"),"ê","e"),"í","i"),"ó","o"),"õ","o"),"ô","o"),"ú","u"),"ç","c"),"Á","a"),"Ã","a"),"Â","a"),"É","e"),"Ê","e"),"Í","i"),"Ó","o"),"Õ","o"),"Ô","o"),"Ú","u"),"Ç","c"),"/MG","")," e ",", ")," ",""),".",""))),
IFERROR(IF(_xlfn.XLOOKUP(tabParametros[[#This Row],[CCT DA CATEGORIA]],tabSindicatos[SINDICATOS],tabSindicatos[COMARCAS PAF])="",
VLOOKUP(tabParametros[[#This Row],[CCT DA CATEGORIA]],tabSindicatos[],8,0),
IF(ISNUMBER(SEARCH(TRIM(_xlpm.COMARCA),_xlfn.XLOOKUP(tabParametros[[#This Row],[CCT DA CATEGORIA]],tabSindicatos[SINDICATOS],_xlpm.MATRIZ_COMARCA),1)),VLOOKUP(tabParametros[[#This Row],[CCT DA CATEGORIA]],tabSindicatos[],8,0),0)
),0)
)</f>
        <v>77.25</v>
      </c>
      <c r="AE215" s="234">
        <f>IFERROR(VLOOKUP(tabParametros[[#This Row],[CCT DA CATEGORIA]],tabSindicatos[],9,0),0)</f>
        <v>0</v>
      </c>
      <c r="AF215" s="234">
        <f>IFERROR(VLOOKUP(tabParametros[[#This Row],[CCT DA CATEGORIA]],tabSindicatos[],10,0),0)</f>
        <v>0</v>
      </c>
      <c r="AG215" s="236">
        <f>VLOOKUP(tabParametros[[#Headers],[Seguro de Vida]],tabOutrosCustos[],3,0)</f>
        <v>3.36</v>
      </c>
      <c r="AH215" s="236">
        <f>IF(ISNUMBER(SEARCH("MOTORISTA",tabParametros[[#This Row],[Função]],1)),VLOOKUP("MOTORISTAS",tabDiarias[],2,0),IF(tabParametros[[#This Row],[Comarca]]="Belo Horizonte",VLOOKUP("LIMPEZA",tabDiarias[],2,0),0))</f>
        <v>0</v>
      </c>
      <c r="AI215" s="235">
        <f t="shared" si="35"/>
        <v>7.011766975308642E-3</v>
      </c>
      <c r="AJ215" s="237">
        <f>tabParametros[[#This Row],[FGTS]]*tabParametros[[#This Row],[Aviso Prévio Indenizado (API) e Reflexo do Aviso Prévio Indenizado]]</f>
        <v>5.609413580246914E-4</v>
      </c>
      <c r="AK215" s="237">
        <f>tabParametros[[#This Row],[FGTS]]*tabParametros[[#This Row],[Aviso Prévio Indenizado (API) e Reflexo do Aviso Prévio Indenizado]]*40%</f>
        <v>2.2437654320987658E-4</v>
      </c>
      <c r="AL215" s="235">
        <f t="shared" si="36"/>
        <v>3.5000000000000005E-3</v>
      </c>
      <c r="AM215" s="235">
        <f>tabParametros[[#This Row],[Aviso Prévio Trabalhado - APT]]*SUM(tabParametros[[#This Row],[INSS]:[SEBRAE]])</f>
        <v>1.3230000000000004E-3</v>
      </c>
      <c r="AN215" s="235">
        <f t="shared" si="37"/>
        <v>3.0577777777777773E-2</v>
      </c>
      <c r="AO215" s="235">
        <f t="shared" si="38"/>
        <v>8.3333333333333339E-4</v>
      </c>
      <c r="AP215" s="235">
        <f t="shared" si="39"/>
        <v>8.4444444444444437E-3</v>
      </c>
      <c r="AQ215" s="235">
        <f t="shared" si="40"/>
        <v>2.0277777777777777E-3</v>
      </c>
      <c r="AR215" s="235">
        <f t="shared" si="41"/>
        <v>1.7083333333333333E-4</v>
      </c>
      <c r="AS215" s="235">
        <f t="shared" si="42"/>
        <v>2.0833333333333335E-4</v>
      </c>
      <c r="AT215" s="235">
        <f t="shared" si="43"/>
        <v>1.2962962962962963E-3</v>
      </c>
      <c r="AU215" s="237">
        <f>SUM(tabParametros[[#This Row],[Ausência por Doença]:[Férias, Adicional de Férias e 13º  com empregada em gozo de Licença Maternidade]])*SUM(tabParametros[[#This Row],[INSS]:[SEBRAE]])</f>
        <v>4.5918250000000008E-3</v>
      </c>
      <c r="AV215" s="234">
        <f>IF(tabParametros[[#This Row],[Função]]="Porteiro - 220 h",SUM(tabParametros[[#This Row],[Salário Base]:[Adicional de Acúmulo de função]])/220*20*1.5,IF(ISNUMBER(SEARCH("12 x 36",tabParametros[[#This Row],[Função]],1)),SUM(tabParametros[[#This Row],[Salário Base]:[Adicional de Acúmulo de função]])/210*15.5*1.5,0))</f>
        <v>0</v>
      </c>
      <c r="AW215" s="234">
        <f>IF(tabParametros[[#This Row],[Vagas contratadas]]&gt;0,(SUM(tabParametros[[#This Row],[Salário Base]:[Adicional de Acúmulo de função]])*30%+SUM(tabParametros[[#This Row],[Vale - Alimentação]:[Seguro de Vida]]))/tabParametros[[#This Row],[Vagas contratadas]]*tabParametros[[#This Row],[Vagas suspensas]],0)</f>
        <v>0</v>
      </c>
      <c r="AX215" s="234">
        <f>SUMIF(tabUniformes[Cargo],tabParametros[[#This Row],[Função]],tabUniformes[Valor unit. Mensal])</f>
        <v>100.80916666666666</v>
      </c>
      <c r="AY215" s="281">
        <f>IF(ISNUMBER(SEARCH("AUXILIAR DE LIMPEZA - 75 H",tabParametros[[#This Row],[Função]],1)),
SUMIF(tabLimpGeral[TIPO],"Material",tabLimpGeral[VALOR UNITÁRIO P/ HORA (R$)])*75,
IF(ISNUMBER(SEARCH("AUXILIAR DE LIMPEZA - 110 H",tabParametros[[#This Row],[Função]],1)),
SUMIF(tabLimpGeral[TIPO],"Material",tabLimpGeral[VALOR UNITÁRIO P/ HORA (R$)])*110,
IF(ISNUMBER(SEARCH("AUXILIAR DE LIMPEZA - 150 H",tabParametros[[#This Row],[Função]],1)),
SUMIF(tabLimpGeral[TIPO],"Material",tabLimpGeral[VALOR UNITÁRIO P/ HORA (R$)])*150,
IF(ISNUMBER(SEARCH("AUXILIAR DE LIMPEZA - 220 H",tabParametros[[#This Row],[Função]],1)),
SUMIF(tabLimpGeral[TIPO],"Material",tabLimpGeral[VALOR UNITÁRIO P/ HORA (R$)])*220,
IF(ISNUMBER(SEARCH("AUXILIAR DE LIMPEZA - 12 x 36",tabParametros[[#This Row],[Função]],1)),
SUMIF(tabLimpGeral[TIPO],"Material",tabLimpGeral[VALOR UNITÁRIO P/ HORA (R$)])*220,
IF(ISNUMBER(SEARCH("Limpador de vidros - 220 h",tabParametros[[#This Row],[Função]],1)),
SUMIF(tabVidros[TIPO],"Material",tabVidros[VALOR UNITÁRIO P/ POSTO (R$)]),
0))))))</f>
        <v>35.518212958583888</v>
      </c>
      <c r="AZ215" s="281">
        <f>IF(ISNUMBER(SEARCH("AUXILIAR DE LIMPEZA - 75 H",tabParametros[[#This Row],[Função]],1)),
SUMIF(tabLimpGeral[TIPO],"Equipamento",tabLimpGeral[VALOR UNITÁRIO P/ HORA (R$)])*75,
IF(ISNUMBER(SEARCH("AUXILIAR DE LIMPEZA - 110 H",tabParametros[[#This Row],[Função]],1)),
SUMIF(tabLimpGeral[TIPO],"Equipamento",tabLimpGeral[VALOR UNITÁRIO P/ HORA (R$)])*110,
IF(ISNUMBER(SEARCH("AUXILIAR DE LIMPEZA - 150 H",tabParametros[[#This Row],[Função]],1)),
SUMIF(tabLimpGeral[TIPO],"Equipamento",tabLimpGeral[VALOR UNITÁRIO P/ HORA (R$)])*150,
IF(ISNUMBER(SEARCH("AUXILIAR DE LIMPEZA - 220 H",tabParametros[[#This Row],[Função]],1)),
SUMIF(tabLimpGeral[TIPO],"Equipamento",tabLimpGeral[VALOR UNITÁRIO P/ HORA (R$)])*220,
IF(ISNUMBER(SEARCH("AUXILIAR DE LIMPEZA - 12 x 36",tabParametros[[#This Row],[Função]],1)),
SUMIF(tabLimpGeral[TIPO],"Equipamento",tabLimpGeral[VALOR UNITÁRIO P/ HORA (R$)])*220,
IF(ISNUMBER(SEARCH("Limpador de vidros - 220 h",tabParametros[[#This Row],[Função]],1)),
SUMIF(tabVidros[TIPO],"Equipamento",tabVidros[VALOR UNITÁRIO P/ POSTO (R$)]),
0))))))</f>
        <v>64.529393914825576</v>
      </c>
      <c r="BA215" s="281">
        <f>IF(ISNUMBER(SEARCH("AUXILIAR DE LIMPEZA - 75 H",tabParametros[[#This Row],[Função]],1)),
SUMIF(tabLimpGeral[TIPO],"Produto",tabLimpGeral[VALOR UNITÁRIO P/ HORA (R$)])*75,
IF(ISNUMBER(SEARCH("AUXILIAR DE LIMPEZA - 110 H",tabParametros[[#This Row],[Função]],1)),
SUMIF(tabLimpGeral[TIPO],"Produto",tabLimpGeral[VALOR UNITÁRIO P/ HORA (R$)])*110,
IF(ISNUMBER(SEARCH("AUXILIAR DE LIMPEZA - 150 H",tabParametros[[#This Row],[Função]],1)),
SUMIF(tabLimpGeral[TIPO],"Produto",tabLimpGeral[VALOR UNITÁRIO P/ HORA (R$)])*150,
IF(ISNUMBER(SEARCH("AUXILIAR DE LIMPEZA - 220 H",tabParametros[[#This Row],[Função]],1)),
SUMIF(tabLimpGeral[TIPO],"Produto",tabLimpGeral[VALOR UNITÁRIO P/ HORA (R$)])*220,
IF(ISNUMBER(SEARCH("AUXILIAR DE LIMPEZA - 12 x 36",tabParametros[[#This Row],[Função]],1)),
SUMIF(tabLimpGeral[TIPO],"Produto",tabLimpGeral[VALOR UNITÁRIO P/ HORA (R$)])*220,
IF(ISNUMBER(SEARCH("Limpador de vidros - 220 h",tabParametros[[#This Row],[Função]],1)),
SUMIF(tabVidros[TIPO],"Produto",tabVidros[VALOR UNITÁRIO P/ POSTO (R$)]),
0))))))</f>
        <v>690.27153277931654</v>
      </c>
      <c r="BB215" s="281">
        <v>0</v>
      </c>
      <c r="BC215" s="236">
        <f>VLOOKUP(tabParametros[[#Headers],[Custos Indiretos]],tabOutrosCustos[],3,0)</f>
        <v>189.64880140242613</v>
      </c>
      <c r="BD215" s="236">
        <f>VLOOKUP(tabParametros[[#Headers],[Lucro]],tabOutrosCustos[],3,0)</f>
        <v>159.30499317803796</v>
      </c>
      <c r="BE215" s="235">
        <f>VLOOKUP(tabParametros[[#Headers],[COFINS]],tabImpostosNacionais[],2,0)</f>
        <v>7.5999999999999998E-2</v>
      </c>
      <c r="BF215" s="235">
        <f>VLOOKUP(tabParametros[[#Headers],[PIS]],tabImpostosNacionais[],2,0)</f>
        <v>1.6500000000000001E-2</v>
      </c>
      <c r="BG215" s="235">
        <f>VLOOKUP(tabParametros[[#This Row],[Comarca]],tabComarca[],4,0)</f>
        <v>0.05</v>
      </c>
      <c r="BH215" s="238">
        <f>IFERROR(VLOOKUP(tabParametros[[#This Row],[CCT DA CATEGORIA]],tabSindicatos[],11,0),"")</f>
        <v>45658</v>
      </c>
      <c r="BI215" s="289" t="str">
        <f>IFERROR(VLOOKUP(tabParametros[[#This Row],[CCT DA CATEGORIA]],tabSindicatos[],12,0),"")</f>
        <v>-</v>
      </c>
      <c r="BJ215" s="293" t="str">
        <f>IFERROR(VLOOKUP(tabParametros[[#This Row],[CCT DA CATEGORIA]],tabSindicatos[],13,0),"")</f>
        <v>-</v>
      </c>
    </row>
    <row r="216" spans="1:62" x14ac:dyDescent="0.25">
      <c r="A216" s="233" t="s">
        <v>1551</v>
      </c>
      <c r="B216" s="198" t="s">
        <v>196</v>
      </c>
      <c r="C216" s="198" t="s">
        <v>1244</v>
      </c>
      <c r="D216" s="198" t="str">
        <f>VLOOKUP(tabParametros[[#This Row],[Código do Posto]],tabPostos[],4,0)</f>
        <v>Fethemg Interior</v>
      </c>
      <c r="E216" s="289" t="str">
        <f>VLOOKUP(tabParametros[[#This Row],[Código do Posto]],tabPostos[],5,0)</f>
        <v>Limpeza</v>
      </c>
      <c r="F216" s="289" t="str">
        <f>VLOOKUP(tabParametros[[#This Row],[Código do Posto]],tabPostos[],6,0)</f>
        <v>PGJ</v>
      </c>
      <c r="G216" s="289">
        <f>VLOOKUP(tabParametros[[#This Row],[Código do Posto]],tabPostos[],7,0)</f>
        <v>1</v>
      </c>
      <c r="H216" s="289">
        <f>VLOOKUP(tabParametros[[#This Row],[Código do Posto]],tabPostos[],8,0)</f>
        <v>0</v>
      </c>
      <c r="I216" s="234">
        <f>VLOOKUP(tabParametros[[#This Row],[Código do Posto]],tabPostos[],9,0)</f>
        <v>798.14</v>
      </c>
      <c r="J216" s="234">
        <f>IF(ISNUMBER(SEARCH("Eletricista",tabParametros[[#This Row],[Função]],1)),0.3*tabParametros[[#This Row],[Salário Base]],0)</f>
        <v>0</v>
      </c>
      <c r="K216" s="234">
        <f>IF(OR(ISNUMBER(SEARCH("Bombeiro Hidraulico",tabParametros[[#This Row],[Função]],1)),ISNUMBER(SEARCH("Jardineiro",tabParametros[[#This Row],[Função]],1)),ISNUMBER(SEARCH("Lavador de Veiculos",tabParametros[[#This Row],[Função]],1)),ISNUMBER(SEARCH("Marceneiro",tabParametros[[#This Row],[Função]],1)),ISNUMBER(SEARCH("Pintor",tabParametros[[#This Row],[Função]],1))),0.2*'BASE GERAL'!$R$4,0)</f>
        <v>0</v>
      </c>
      <c r="L216" s="234">
        <f>IF(AND(ISNUMBER(SEARCH("Noturno",tabParametros[[#This Row],[Função]],1)),tabParametros[[#This Row],[Comarca]]&lt;&gt;"Juiz de Fora"),tabParametros[[#This Row],[Salário Base]]/210*0.39*7*15.5,IF(ISNUMBER(SEARCH("Noturno",tabParametros[[#This Row],[Função]],1)),tabParametros[[#This Row],[Salário Base]]/210*0.2*8*15.5,0))</f>
        <v>0</v>
      </c>
      <c r="M216" s="234">
        <f>IF(ISNUMBER(SEARCH("Motorista II",tabParametros[[#This Row],[Função]],1)),0.25*tabParametros[[#This Row],[Salário Base]],0)</f>
        <v>0</v>
      </c>
      <c r="N216" s="250">
        <v>0</v>
      </c>
      <c r="O216" s="234">
        <f>IF(ISNUMBER(SEARCH("TECNOLOGIA DA INFORMACAO",tabParametros[[#This Row],[Função]],1)),0.0201*tabParametros[[#This Row],[Salário Base]],0)</f>
        <v>0</v>
      </c>
      <c r="P216" s="250" cm="1">
        <f t="array" ref="P216">_xlfn.IFS(
ISNUMBER(SEARCH("Auxiliar de Limpeza - 75 h",tabParametros[[#This Row],[Função]],1)),tabParametros[[#This Row],[Salário Base]]/75*0.75*30*0.12,
ISNUMBER(SEARCH("Auxiliar de Limpeza - 110 h",tabParametros[[#This Row],[Função]],1)),tabParametros[[#This Row],[Salário Base]]/110*1*30*0.12,
ISNUMBER(SEARCH("Auxiliar de Limpeza - 150 h",tabParametros[[#This Row],[Função]],1)),tabParametros[[#This Row],[Salário Base]]/150*1.5*30*0.12,
ISNUMBER(SEARCH("Auxiliar de Limpeza - 220 h",tabParametros[[#This Row],[Função]],1)),tabParametros[[#This Row],[Salário Base]]/220*2*30*0.12,
ISNUMBER(SEARCH("Auxiliar de Limpeza - 12 x 36",tabParametros[[#This Row],[Função]],1)),tabParametros[[#This Row],[Salário Base]]/220*2*30*0.12,
ISNUMBER(SEARCH("Auxiliar de Limpeza - 55 h",tabParametros[[#This Row],[Função]],1))=FALSE,0)</f>
        <v>26.120945454545453</v>
      </c>
      <c r="Q216" s="235">
        <f>VLOOKUP(tabParametros[[#Headers],[INSS]],tabImpostosNacionais[],2,0)</f>
        <v>0.2</v>
      </c>
      <c r="R216" s="235">
        <f>VLOOKUP(tabParametros[[#Headers],[SESI OU SESC]],tabImpostosNacionais[],2,0)</f>
        <v>1.4999999999999999E-2</v>
      </c>
      <c r="S216" s="235">
        <f>VLOOKUP(tabParametros[[#Headers],[SENAI OU SENAC]],tabImpostosNacionais[],2,0)</f>
        <v>0.01</v>
      </c>
      <c r="T216" s="235">
        <f>VLOOKUP(tabParametros[[#Headers],[INCRA]],tabImpostosNacionais[],2,0)</f>
        <v>2E-3</v>
      </c>
      <c r="U216" s="235">
        <f>VLOOKUP(tabParametros[[#Headers],[Salário Educação]],tabImpostosNacionais[],2,0)</f>
        <v>2.5000000000000001E-2</v>
      </c>
      <c r="V216" s="235">
        <f>VLOOKUP(tabParametros[[#Headers],[FGTS]],tabImpostosNacionais[],2,0)</f>
        <v>0.08</v>
      </c>
      <c r="W216" s="235">
        <f>VLOOKUP(tabParametros[[#Headers],[RAT Ajustado]],tabImpostosNacionais[],2,0)</f>
        <v>0.04</v>
      </c>
      <c r="X216" s="235">
        <f>VLOOKUP(tabParametros[[#Headers],[SEBRAE]],tabImpostosNacionais[],2,0)</f>
        <v>6.0000000000000001E-3</v>
      </c>
      <c r="Y216" s="235">
        <f t="shared" si="33"/>
        <v>8.3333333333333329E-2</v>
      </c>
      <c r="Z216" s="251">
        <f t="shared" si="34"/>
        <v>0.1111111111111111</v>
      </c>
      <c r="AA216" s="234">
        <f>VLOOKUP(tabParametros[[#This Row],[Comarca]],tabComarca[],5,0)</f>
        <v>6.4</v>
      </c>
      <c r="AB216" s="234">
        <f>IFERROR(VLOOKUP(tabParametros[[#This Row],[CCT DA CATEGORIA]],tabSindicatos[],6,0),0)</f>
        <v>29.15</v>
      </c>
      <c r="AC216" s="234">
        <f>IFERROR(VLOOKUP(tabParametros[[#This Row],[CCT DA CATEGORIA]],tabSindicatos[],7,0),0)</f>
        <v>0</v>
      </c>
      <c r="AD216" s="234" cm="1">
        <f t="array" ref="AD216">_xlfn.LET(
_xlpm.COMARCA, TRIM(UPPER(SUBSTITUTE(SUBSTITUTE(SUBSTITUTE(SUBSTITUTE(SUBSTITUTE(SUBSTITUTE(SUBSTITUTE(SUBSTITUTE(SUBSTITUTE(SUBSTITUTE(SUBSTITUTE(SUBSTITUTE(SUBSTITUTE(SUBSTITUTE(SUBSTITUTE(SUBSTITUTE(SUBSTITUTE(SUBSTITUTE(SUBSTITUTE(SUBSTITUTE(SUBSTITUTE(SUBSTITUTE(SUBSTITUTE(SUBSTITUTE(SUBSTITUTE(SUBSTITUTE(tabParametros[[#This Row],[Comarca]],"á","a"),"ã","a"),"â","a"),"é","e"),"ê","e"),"í","i"),"ó","o"),"õ","o"),"ô","o"),"ú","u"),"ç","c"),"Á","a"),"Ã","a"),"Â","a"),"É","e"),"Ê","e"),"Í","i"),"Ó","o"),"Õ","o"),"Ô","o"),"Ú","u"),"Ç","c"),"/MG","")," e ",", ")," ",""),".",""))),
_xlpm.MATRIZ_COMARCA, TRIM(UPPER(SUBSTITUTE(SUBSTITUTE(SUBSTITUTE(SUBSTITUTE(SUBSTITUTE(SUBSTITUTE(SUBSTITUTE(SUBSTITUTE(SUBSTITUTE(SUBSTITUTE(SUBSTITUTE(SUBSTITUTE(SUBSTITUTE(SUBSTITUTE(SUBSTITUTE(SUBSTITUTE(SUBSTITUTE(SUBSTITUTE(SUBSTITUTE(SUBSTITUTE(SUBSTITUTE(SUBSTITUTE(SUBSTITUTE(SUBSTITUTE(SUBSTITUTE(SUBSTITUTE(tabSindicatos[COMARCAS PAF],"á","a"),"ã","a"),"â","a"),"é","e"),"ê","e"),"í","i"),"ó","o"),"õ","o"),"ô","o"),"ú","u"),"ç","c"),"Á","a"),"Ã","a"),"Â","a"),"É","e"),"Ê","e"),"Í","i"),"Ó","o"),"Õ","o"),"Ô","o"),"Ú","u"),"Ç","c"),"/MG","")," e ",", ")," ",""),".",""))),
IFERROR(IF(_xlfn.XLOOKUP(tabParametros[[#This Row],[CCT DA CATEGORIA]],tabSindicatos[SINDICATOS],tabSindicatos[COMARCAS PAF])="",
VLOOKUP(tabParametros[[#This Row],[CCT DA CATEGORIA]],tabSindicatos[],8,0),
IF(ISNUMBER(SEARCH(TRIM(_xlpm.COMARCA),_xlfn.XLOOKUP(tabParametros[[#This Row],[CCT DA CATEGORIA]],tabSindicatos[SINDICATOS],_xlpm.MATRIZ_COMARCA),1)),VLOOKUP(tabParametros[[#This Row],[CCT DA CATEGORIA]],tabSindicatos[],8,0),0)
),0)
)</f>
        <v>0</v>
      </c>
      <c r="AE216" s="234">
        <f>IFERROR(VLOOKUP(tabParametros[[#This Row],[CCT DA CATEGORIA]],tabSindicatos[],9,0),0)</f>
        <v>15.07</v>
      </c>
      <c r="AF216" s="234">
        <f>IFERROR(VLOOKUP(tabParametros[[#This Row],[CCT DA CATEGORIA]],tabSindicatos[],10,0),0)</f>
        <v>0</v>
      </c>
      <c r="AG216" s="236">
        <f>VLOOKUP(tabParametros[[#Headers],[Seguro de Vida]],tabOutrosCustos[],3,0)</f>
        <v>3.36</v>
      </c>
      <c r="AH216" s="236">
        <f>IF(ISNUMBER(SEARCH("MOTORISTA",tabParametros[[#This Row],[Função]],1)),VLOOKUP("MOTORISTAS",tabDiarias[],2,0),IF(tabParametros[[#This Row],[Comarca]]="Belo Horizonte",VLOOKUP("LIMPEZA",tabDiarias[],2,0),0))</f>
        <v>0</v>
      </c>
      <c r="AI216" s="235">
        <f t="shared" si="35"/>
        <v>7.011766975308642E-3</v>
      </c>
      <c r="AJ216" s="237">
        <f>tabParametros[[#This Row],[FGTS]]*tabParametros[[#This Row],[Aviso Prévio Indenizado (API) e Reflexo do Aviso Prévio Indenizado]]</f>
        <v>5.609413580246914E-4</v>
      </c>
      <c r="AK216" s="237">
        <f>tabParametros[[#This Row],[FGTS]]*tabParametros[[#This Row],[Aviso Prévio Indenizado (API) e Reflexo do Aviso Prévio Indenizado]]*40%</f>
        <v>2.2437654320987658E-4</v>
      </c>
      <c r="AL216" s="235">
        <f t="shared" si="36"/>
        <v>3.5000000000000005E-3</v>
      </c>
      <c r="AM216" s="235">
        <f>tabParametros[[#This Row],[Aviso Prévio Trabalhado - APT]]*SUM(tabParametros[[#This Row],[INSS]:[SEBRAE]])</f>
        <v>1.3230000000000004E-3</v>
      </c>
      <c r="AN216" s="235">
        <f t="shared" si="37"/>
        <v>3.0577777777777773E-2</v>
      </c>
      <c r="AO216" s="235">
        <f t="shared" si="38"/>
        <v>8.3333333333333339E-4</v>
      </c>
      <c r="AP216" s="235">
        <f t="shared" si="39"/>
        <v>8.4444444444444437E-3</v>
      </c>
      <c r="AQ216" s="235">
        <f t="shared" si="40"/>
        <v>2.0277777777777777E-3</v>
      </c>
      <c r="AR216" s="235">
        <f t="shared" si="41"/>
        <v>1.7083333333333333E-4</v>
      </c>
      <c r="AS216" s="235">
        <f t="shared" si="42"/>
        <v>2.0833333333333335E-4</v>
      </c>
      <c r="AT216" s="235">
        <f t="shared" si="43"/>
        <v>1.2962962962962963E-3</v>
      </c>
      <c r="AU216" s="237">
        <f>SUM(tabParametros[[#This Row],[Ausência por Doença]:[Férias, Adicional de Férias e 13º  com empregada em gozo de Licença Maternidade]])*SUM(tabParametros[[#This Row],[INSS]:[SEBRAE]])</f>
        <v>4.5918250000000008E-3</v>
      </c>
      <c r="AV216" s="234">
        <f>IF(tabParametros[[#This Row],[Função]]="Porteiro - 220 h",SUM(tabParametros[[#This Row],[Salário Base]:[Adicional de Acúmulo de função]])/220*20*1.5,IF(ISNUMBER(SEARCH("12 x 36",tabParametros[[#This Row],[Função]],1)),SUM(tabParametros[[#This Row],[Salário Base]:[Adicional de Acúmulo de função]])/210*15.5*1.5,0))</f>
        <v>0</v>
      </c>
      <c r="AW216" s="234">
        <f>IF(tabParametros[[#This Row],[Vagas contratadas]]&gt;0,(SUM(tabParametros[[#This Row],[Salário Base]:[Adicional de Acúmulo de função]])*30%+SUM(tabParametros[[#This Row],[Vale - Alimentação]:[Seguro de Vida]]))/tabParametros[[#This Row],[Vagas contratadas]]*tabParametros[[#This Row],[Vagas suspensas]],0)</f>
        <v>0</v>
      </c>
      <c r="AX216" s="234">
        <f>SUMIF(tabUniformes[Cargo],tabParametros[[#This Row],[Função]],tabUniformes[Valor unit. Mensal])</f>
        <v>62.806666666666665</v>
      </c>
      <c r="AY216" s="281">
        <f>IF(ISNUMBER(SEARCH("AUXILIAR DE LIMPEZA - 75 H",tabParametros[[#This Row],[Função]],1)),
SUMIF(tabLimpGeral[TIPO],"Material",tabLimpGeral[VALOR UNITÁRIO P/ HORA (R$)])*75,
IF(ISNUMBER(SEARCH("AUXILIAR DE LIMPEZA - 110 H",tabParametros[[#This Row],[Função]],1)),
SUMIF(tabLimpGeral[TIPO],"Material",tabLimpGeral[VALOR UNITÁRIO P/ HORA (R$)])*110,
IF(ISNUMBER(SEARCH("AUXILIAR DE LIMPEZA - 150 H",tabParametros[[#This Row],[Função]],1)),
SUMIF(tabLimpGeral[TIPO],"Material",tabLimpGeral[VALOR UNITÁRIO P/ HORA (R$)])*150,
IF(ISNUMBER(SEARCH("AUXILIAR DE LIMPEZA - 220 H",tabParametros[[#This Row],[Função]],1)),
SUMIF(tabLimpGeral[TIPO],"Material",tabLimpGeral[VALOR UNITÁRIO P/ HORA (R$)])*220,
IF(ISNUMBER(SEARCH("AUXILIAR DE LIMPEZA - 12 x 36",tabParametros[[#This Row],[Função]],1)),
SUMIF(tabLimpGeral[TIPO],"Material",tabLimpGeral[VALOR UNITÁRIO P/ HORA (R$)])*220,
IF(ISNUMBER(SEARCH("Limpador de vidros - 220 h",tabParametros[[#This Row],[Função]],1)),
SUMIF(tabVidros[TIPO],"Material",tabVidros[VALOR UNITÁRIO P/ POSTO (R$)]),
0))))))</f>
        <v>17.759106479291944</v>
      </c>
      <c r="AZ216" s="281">
        <f>IF(ISNUMBER(SEARCH("AUXILIAR DE LIMPEZA - 75 H",tabParametros[[#This Row],[Função]],1)),
SUMIF(tabLimpGeral[TIPO],"Equipamento",tabLimpGeral[VALOR UNITÁRIO P/ HORA (R$)])*75,
IF(ISNUMBER(SEARCH("AUXILIAR DE LIMPEZA - 110 H",tabParametros[[#This Row],[Função]],1)),
SUMIF(tabLimpGeral[TIPO],"Equipamento",tabLimpGeral[VALOR UNITÁRIO P/ HORA (R$)])*110,
IF(ISNUMBER(SEARCH("AUXILIAR DE LIMPEZA - 150 H",tabParametros[[#This Row],[Função]],1)),
SUMIF(tabLimpGeral[TIPO],"Equipamento",tabLimpGeral[VALOR UNITÁRIO P/ HORA (R$)])*150,
IF(ISNUMBER(SEARCH("AUXILIAR DE LIMPEZA - 220 H",tabParametros[[#This Row],[Função]],1)),
SUMIF(tabLimpGeral[TIPO],"Equipamento",tabLimpGeral[VALOR UNITÁRIO P/ HORA (R$)])*220,
IF(ISNUMBER(SEARCH("AUXILIAR DE LIMPEZA - 12 x 36",tabParametros[[#This Row],[Função]],1)),
SUMIF(tabLimpGeral[TIPO],"Equipamento",tabLimpGeral[VALOR UNITÁRIO P/ HORA (R$)])*220,
IF(ISNUMBER(SEARCH("Limpador de vidros - 220 h",tabParametros[[#This Row],[Função]],1)),
SUMIF(tabVidros[TIPO],"Equipamento",tabVidros[VALOR UNITÁRIO P/ POSTO (R$)]),
0))))))</f>
        <v>32.264696957412788</v>
      </c>
      <c r="BA216" s="281">
        <f>IF(ISNUMBER(SEARCH("AUXILIAR DE LIMPEZA - 75 H",tabParametros[[#This Row],[Função]],1)),
SUMIF(tabLimpGeral[TIPO],"Produto",tabLimpGeral[VALOR UNITÁRIO P/ HORA (R$)])*75,
IF(ISNUMBER(SEARCH("AUXILIAR DE LIMPEZA - 110 H",tabParametros[[#This Row],[Função]],1)),
SUMIF(tabLimpGeral[TIPO],"Produto",tabLimpGeral[VALOR UNITÁRIO P/ HORA (R$)])*110,
IF(ISNUMBER(SEARCH("AUXILIAR DE LIMPEZA - 150 H",tabParametros[[#This Row],[Função]],1)),
SUMIF(tabLimpGeral[TIPO],"Produto",tabLimpGeral[VALOR UNITÁRIO P/ HORA (R$)])*150,
IF(ISNUMBER(SEARCH("AUXILIAR DE LIMPEZA - 220 H",tabParametros[[#This Row],[Função]],1)),
SUMIF(tabLimpGeral[TIPO],"Produto",tabLimpGeral[VALOR UNITÁRIO P/ HORA (R$)])*220,
IF(ISNUMBER(SEARCH("AUXILIAR DE LIMPEZA - 12 x 36",tabParametros[[#This Row],[Função]],1)),
SUMIF(tabLimpGeral[TIPO],"Produto",tabLimpGeral[VALOR UNITÁRIO P/ HORA (R$)])*220,
IF(ISNUMBER(SEARCH("Limpador de vidros - 220 h",tabParametros[[#This Row],[Função]],1)),
SUMIF(tabVidros[TIPO],"Produto",tabVidros[VALOR UNITÁRIO P/ POSTO (R$)]),
0))))))</f>
        <v>345.13576638965827</v>
      </c>
      <c r="BB216" s="281">
        <v>0</v>
      </c>
      <c r="BC216" s="236">
        <f>VLOOKUP(tabParametros[[#Headers],[Custos Indiretos]],tabOutrosCustos[],3,0)</f>
        <v>189.64880140242613</v>
      </c>
      <c r="BD216" s="236">
        <f>VLOOKUP(tabParametros[[#Headers],[Lucro]],tabOutrosCustos[],3,0)</f>
        <v>159.30499317803796</v>
      </c>
      <c r="BE216" s="235">
        <f>VLOOKUP(tabParametros[[#Headers],[COFINS]],tabImpostosNacionais[],2,0)</f>
        <v>7.5999999999999998E-2</v>
      </c>
      <c r="BF216" s="235">
        <f>VLOOKUP(tabParametros[[#Headers],[PIS]],tabImpostosNacionais[],2,0)</f>
        <v>1.6500000000000001E-2</v>
      </c>
      <c r="BG216" s="235">
        <f>VLOOKUP(tabParametros[[#This Row],[Comarca]],tabComarca[],4,0)</f>
        <v>0.05</v>
      </c>
      <c r="BH216" s="238">
        <f>IFERROR(VLOOKUP(tabParametros[[#This Row],[CCT DA CATEGORIA]],tabSindicatos[],11,0),"")</f>
        <v>45658</v>
      </c>
      <c r="BI216" s="289" t="str">
        <f>IFERROR(VLOOKUP(tabParametros[[#This Row],[CCT DA CATEGORIA]],tabSindicatos[],12,0),"")</f>
        <v>-</v>
      </c>
      <c r="BJ216" s="293" t="str">
        <f>IFERROR(VLOOKUP(tabParametros[[#This Row],[CCT DA CATEGORIA]],tabSindicatos[],13,0),"")</f>
        <v>-</v>
      </c>
    </row>
    <row r="217" spans="1:62" x14ac:dyDescent="0.25">
      <c r="A217" s="233" t="s">
        <v>1552</v>
      </c>
      <c r="B217" s="198" t="s">
        <v>197</v>
      </c>
      <c r="C217" s="198" t="s">
        <v>1246</v>
      </c>
      <c r="D217" s="198" t="str">
        <f>VLOOKUP(tabParametros[[#This Row],[Código do Posto]],tabPostos[],4,0)</f>
        <v>Regiao de Sao Lourenco</v>
      </c>
      <c r="E217" s="289" t="str">
        <f>VLOOKUP(tabParametros[[#This Row],[Código do Posto]],tabPostos[],5,0)</f>
        <v>Limpeza</v>
      </c>
      <c r="F217" s="289" t="str">
        <f>VLOOKUP(tabParametros[[#This Row],[Código do Posto]],tabPostos[],6,0)</f>
        <v>PGJ</v>
      </c>
      <c r="G217" s="289">
        <f>VLOOKUP(tabParametros[[#This Row],[Código do Posto]],tabPostos[],7,0)</f>
        <v>1</v>
      </c>
      <c r="H217" s="289">
        <f>VLOOKUP(tabParametros[[#This Row],[Código do Posto]],tabPostos[],8,0)</f>
        <v>0</v>
      </c>
      <c r="I217" s="234">
        <f>VLOOKUP(tabParametros[[#This Row],[Código do Posto]],tabPostos[],9,0)</f>
        <v>1088.3699999999999</v>
      </c>
      <c r="J217" s="234">
        <f>IF(ISNUMBER(SEARCH("Eletricista",tabParametros[[#This Row],[Função]],1)),0.3*tabParametros[[#This Row],[Salário Base]],0)</f>
        <v>0</v>
      </c>
      <c r="K217" s="234">
        <f>IF(OR(ISNUMBER(SEARCH("Bombeiro Hidraulico",tabParametros[[#This Row],[Função]],1)),ISNUMBER(SEARCH("Jardineiro",tabParametros[[#This Row],[Função]],1)),ISNUMBER(SEARCH("Lavador de Veiculos",tabParametros[[#This Row],[Função]],1)),ISNUMBER(SEARCH("Marceneiro",tabParametros[[#This Row],[Função]],1)),ISNUMBER(SEARCH("Pintor",tabParametros[[#This Row],[Função]],1))),0.2*'BASE GERAL'!$R$4,0)</f>
        <v>0</v>
      </c>
      <c r="L217" s="234">
        <f>IF(AND(ISNUMBER(SEARCH("Noturno",tabParametros[[#This Row],[Função]],1)),tabParametros[[#This Row],[Comarca]]&lt;&gt;"Juiz de Fora"),tabParametros[[#This Row],[Salário Base]]/210*0.39*7*15.5,IF(ISNUMBER(SEARCH("Noturno",tabParametros[[#This Row],[Função]],1)),tabParametros[[#This Row],[Salário Base]]/210*0.2*8*15.5,0))</f>
        <v>0</v>
      </c>
      <c r="M217" s="234">
        <f>IF(ISNUMBER(SEARCH("Motorista II",tabParametros[[#This Row],[Função]],1)),0.25*tabParametros[[#This Row],[Salário Base]],0)</f>
        <v>0</v>
      </c>
      <c r="N217" s="250">
        <v>0</v>
      </c>
      <c r="O217" s="234">
        <f>IF(ISNUMBER(SEARCH("TECNOLOGIA DA INFORMACAO",tabParametros[[#This Row],[Função]],1)),0.0201*tabParametros[[#This Row],[Salário Base]],0)</f>
        <v>0</v>
      </c>
      <c r="P217" s="250" cm="1">
        <f t="array" ref="P217">_xlfn.IFS(
ISNUMBER(SEARCH("Auxiliar de Limpeza - 75 h",tabParametros[[#This Row],[Função]],1)),tabParametros[[#This Row],[Salário Base]]/75*0.75*30*0.12,
ISNUMBER(SEARCH("Auxiliar de Limpeza - 110 h",tabParametros[[#This Row],[Função]],1)),tabParametros[[#This Row],[Salário Base]]/110*1*30*0.12,
ISNUMBER(SEARCH("Auxiliar de Limpeza - 150 h",tabParametros[[#This Row],[Função]],1)),tabParametros[[#This Row],[Salário Base]]/150*1.5*30*0.12,
ISNUMBER(SEARCH("Auxiliar de Limpeza - 220 h",tabParametros[[#This Row],[Função]],1)),tabParametros[[#This Row],[Salário Base]]/220*2*30*0.12,
ISNUMBER(SEARCH("Auxiliar de Limpeza - 12 x 36",tabParametros[[#This Row],[Função]],1)),tabParametros[[#This Row],[Salário Base]]/220*2*30*0.12,
ISNUMBER(SEARCH("Auxiliar de Limpeza - 55 h",tabParametros[[#This Row],[Função]],1))=FALSE,0)</f>
        <v>39.181319999999985</v>
      </c>
      <c r="Q217" s="235">
        <f>VLOOKUP(tabParametros[[#Headers],[INSS]],tabImpostosNacionais[],2,0)</f>
        <v>0.2</v>
      </c>
      <c r="R217" s="235">
        <f>VLOOKUP(tabParametros[[#Headers],[SESI OU SESC]],tabImpostosNacionais[],2,0)</f>
        <v>1.4999999999999999E-2</v>
      </c>
      <c r="S217" s="235">
        <f>VLOOKUP(tabParametros[[#Headers],[SENAI OU SENAC]],tabImpostosNacionais[],2,0)</f>
        <v>0.01</v>
      </c>
      <c r="T217" s="235">
        <f>VLOOKUP(tabParametros[[#Headers],[INCRA]],tabImpostosNacionais[],2,0)</f>
        <v>2E-3</v>
      </c>
      <c r="U217" s="235">
        <f>VLOOKUP(tabParametros[[#Headers],[Salário Educação]],tabImpostosNacionais[],2,0)</f>
        <v>2.5000000000000001E-2</v>
      </c>
      <c r="V217" s="235">
        <f>VLOOKUP(tabParametros[[#Headers],[FGTS]],tabImpostosNacionais[],2,0)</f>
        <v>0.08</v>
      </c>
      <c r="W217" s="235">
        <f>VLOOKUP(tabParametros[[#Headers],[RAT Ajustado]],tabImpostosNacionais[],2,0)</f>
        <v>0.04</v>
      </c>
      <c r="X217" s="235">
        <f>VLOOKUP(tabParametros[[#Headers],[SEBRAE]],tabImpostosNacionais[],2,0)</f>
        <v>6.0000000000000001E-3</v>
      </c>
      <c r="Y217" s="235">
        <f t="shared" si="33"/>
        <v>8.3333333333333329E-2</v>
      </c>
      <c r="Z217" s="251">
        <f t="shared" si="34"/>
        <v>0.1111111111111111</v>
      </c>
      <c r="AA217" s="234">
        <f>VLOOKUP(tabParametros[[#This Row],[Comarca]],tabComarca[],5,0)</f>
        <v>6.4</v>
      </c>
      <c r="AB217" s="234">
        <f>IFERROR(VLOOKUP(tabParametros[[#This Row],[CCT DA CATEGORIA]],tabSindicatos[],6,0),0)</f>
        <v>29.15</v>
      </c>
      <c r="AC217" s="234">
        <f>IFERROR(VLOOKUP(tabParametros[[#This Row],[CCT DA CATEGORIA]],tabSindicatos[],7,0),0)</f>
        <v>0</v>
      </c>
      <c r="AD217" s="234" cm="1">
        <f t="array" ref="AD217">_xlfn.LET(
_xlpm.COMARCA, TRIM(UPPER(SUBSTITUTE(SUBSTITUTE(SUBSTITUTE(SUBSTITUTE(SUBSTITUTE(SUBSTITUTE(SUBSTITUTE(SUBSTITUTE(SUBSTITUTE(SUBSTITUTE(SUBSTITUTE(SUBSTITUTE(SUBSTITUTE(SUBSTITUTE(SUBSTITUTE(SUBSTITUTE(SUBSTITUTE(SUBSTITUTE(SUBSTITUTE(SUBSTITUTE(SUBSTITUTE(SUBSTITUTE(SUBSTITUTE(SUBSTITUTE(SUBSTITUTE(SUBSTITUTE(tabParametros[[#This Row],[Comarca]],"á","a"),"ã","a"),"â","a"),"é","e"),"ê","e"),"í","i"),"ó","o"),"õ","o"),"ô","o"),"ú","u"),"ç","c"),"Á","a"),"Ã","a"),"Â","a"),"É","e"),"Ê","e"),"Í","i"),"Ó","o"),"Õ","o"),"Ô","o"),"Ú","u"),"Ç","c"),"/MG","")," e ",", ")," ",""),".",""))),
_xlpm.MATRIZ_COMARCA, TRIM(UPPER(SUBSTITUTE(SUBSTITUTE(SUBSTITUTE(SUBSTITUTE(SUBSTITUTE(SUBSTITUTE(SUBSTITUTE(SUBSTITUTE(SUBSTITUTE(SUBSTITUTE(SUBSTITUTE(SUBSTITUTE(SUBSTITUTE(SUBSTITUTE(SUBSTITUTE(SUBSTITUTE(SUBSTITUTE(SUBSTITUTE(SUBSTITUTE(SUBSTITUTE(SUBSTITUTE(SUBSTITUTE(SUBSTITUTE(SUBSTITUTE(SUBSTITUTE(SUBSTITUTE(tabSindicatos[COMARCAS PAF],"á","a"),"ã","a"),"â","a"),"é","e"),"ê","e"),"í","i"),"ó","o"),"õ","o"),"ô","o"),"ú","u"),"ç","c"),"Á","a"),"Ã","a"),"Â","a"),"É","e"),"Ê","e"),"Í","i"),"Ó","o"),"Õ","o"),"Ô","o"),"Ú","u"),"Ç","c"),"/MG","")," e ",", ")," ",""),".",""))),
IFERROR(IF(_xlfn.XLOOKUP(tabParametros[[#This Row],[CCT DA CATEGORIA]],tabSindicatos[SINDICATOS],tabSindicatos[COMARCAS PAF])="",
VLOOKUP(tabParametros[[#This Row],[CCT DA CATEGORIA]],tabSindicatos[],8,0),
IF(ISNUMBER(SEARCH(TRIM(_xlpm.COMARCA),_xlfn.XLOOKUP(tabParametros[[#This Row],[CCT DA CATEGORIA]],tabSindicatos[SINDICATOS],_xlpm.MATRIZ_COMARCA),1)),VLOOKUP(tabParametros[[#This Row],[CCT DA CATEGORIA]],tabSindicatos[],8,0),0)
),0)
)</f>
        <v>0</v>
      </c>
      <c r="AE217" s="234">
        <f>IFERROR(VLOOKUP(tabParametros[[#This Row],[CCT DA CATEGORIA]],tabSindicatos[],9,0),0)</f>
        <v>0</v>
      </c>
      <c r="AF217" s="234">
        <f>IFERROR(VLOOKUP(tabParametros[[#This Row],[CCT DA CATEGORIA]],tabSindicatos[],10,0),0)</f>
        <v>0</v>
      </c>
      <c r="AG217" s="236">
        <f>VLOOKUP(tabParametros[[#Headers],[Seguro de Vida]],tabOutrosCustos[],3,0)</f>
        <v>3.36</v>
      </c>
      <c r="AH217" s="236">
        <f>IF(ISNUMBER(SEARCH("MOTORISTA",tabParametros[[#This Row],[Função]],1)),VLOOKUP("MOTORISTAS",tabDiarias[],2,0),IF(tabParametros[[#This Row],[Comarca]]="Belo Horizonte",VLOOKUP("LIMPEZA",tabDiarias[],2,0),0))</f>
        <v>0</v>
      </c>
      <c r="AI217" s="235">
        <f t="shared" si="35"/>
        <v>7.011766975308642E-3</v>
      </c>
      <c r="AJ217" s="237">
        <f>tabParametros[[#This Row],[FGTS]]*tabParametros[[#This Row],[Aviso Prévio Indenizado (API) e Reflexo do Aviso Prévio Indenizado]]</f>
        <v>5.609413580246914E-4</v>
      </c>
      <c r="AK217" s="237">
        <f>tabParametros[[#This Row],[FGTS]]*tabParametros[[#This Row],[Aviso Prévio Indenizado (API) e Reflexo do Aviso Prévio Indenizado]]*40%</f>
        <v>2.2437654320987658E-4</v>
      </c>
      <c r="AL217" s="235">
        <f t="shared" si="36"/>
        <v>3.5000000000000005E-3</v>
      </c>
      <c r="AM217" s="235">
        <f>tabParametros[[#This Row],[Aviso Prévio Trabalhado - APT]]*SUM(tabParametros[[#This Row],[INSS]:[SEBRAE]])</f>
        <v>1.3230000000000004E-3</v>
      </c>
      <c r="AN217" s="235">
        <f t="shared" si="37"/>
        <v>3.0577777777777773E-2</v>
      </c>
      <c r="AO217" s="235">
        <f t="shared" si="38"/>
        <v>8.3333333333333339E-4</v>
      </c>
      <c r="AP217" s="235">
        <f t="shared" si="39"/>
        <v>8.4444444444444437E-3</v>
      </c>
      <c r="AQ217" s="235">
        <f t="shared" si="40"/>
        <v>2.0277777777777777E-3</v>
      </c>
      <c r="AR217" s="235">
        <f t="shared" si="41"/>
        <v>1.7083333333333333E-4</v>
      </c>
      <c r="AS217" s="235">
        <f t="shared" si="42"/>
        <v>2.0833333333333335E-4</v>
      </c>
      <c r="AT217" s="235">
        <f t="shared" si="43"/>
        <v>1.2962962962962963E-3</v>
      </c>
      <c r="AU217" s="237">
        <f>SUM(tabParametros[[#This Row],[Ausência por Doença]:[Férias, Adicional de Férias e 13º  com empregada em gozo de Licença Maternidade]])*SUM(tabParametros[[#This Row],[INSS]:[SEBRAE]])</f>
        <v>4.5918250000000008E-3</v>
      </c>
      <c r="AV217" s="234">
        <f>IF(tabParametros[[#This Row],[Função]]="Porteiro - 220 h",SUM(tabParametros[[#This Row],[Salário Base]:[Adicional de Acúmulo de função]])/220*20*1.5,IF(ISNUMBER(SEARCH("12 x 36",tabParametros[[#This Row],[Função]],1)),SUM(tabParametros[[#This Row],[Salário Base]:[Adicional de Acúmulo de função]])/210*15.5*1.5,0))</f>
        <v>0</v>
      </c>
      <c r="AW217" s="234">
        <f>IF(tabParametros[[#This Row],[Vagas contratadas]]&gt;0,(SUM(tabParametros[[#This Row],[Salário Base]:[Adicional de Acúmulo de função]])*30%+SUM(tabParametros[[#This Row],[Vale - Alimentação]:[Seguro de Vida]]))/tabParametros[[#This Row],[Vagas contratadas]]*tabParametros[[#This Row],[Vagas suspensas]],0)</f>
        <v>0</v>
      </c>
      <c r="AX217" s="234">
        <f>SUMIF(tabUniformes[Cargo],tabParametros[[#This Row],[Função]],tabUniformes[Valor unit. Mensal])</f>
        <v>100.80916666666666</v>
      </c>
      <c r="AY217" s="281">
        <f>IF(ISNUMBER(SEARCH("AUXILIAR DE LIMPEZA - 75 H",tabParametros[[#This Row],[Função]],1)),
SUMIF(tabLimpGeral[TIPO],"Material",tabLimpGeral[VALOR UNITÁRIO P/ HORA (R$)])*75,
IF(ISNUMBER(SEARCH("AUXILIAR DE LIMPEZA - 110 H",tabParametros[[#This Row],[Função]],1)),
SUMIF(tabLimpGeral[TIPO],"Material",tabLimpGeral[VALOR UNITÁRIO P/ HORA (R$)])*110,
IF(ISNUMBER(SEARCH("AUXILIAR DE LIMPEZA - 150 H",tabParametros[[#This Row],[Função]],1)),
SUMIF(tabLimpGeral[TIPO],"Material",tabLimpGeral[VALOR UNITÁRIO P/ HORA (R$)])*150,
IF(ISNUMBER(SEARCH("AUXILIAR DE LIMPEZA - 220 H",tabParametros[[#This Row],[Função]],1)),
SUMIF(tabLimpGeral[TIPO],"Material",tabLimpGeral[VALOR UNITÁRIO P/ HORA (R$)])*220,
IF(ISNUMBER(SEARCH("AUXILIAR DE LIMPEZA - 12 x 36",tabParametros[[#This Row],[Função]],1)),
SUMIF(tabLimpGeral[TIPO],"Material",tabLimpGeral[VALOR UNITÁRIO P/ HORA (R$)])*220,
IF(ISNUMBER(SEARCH("Limpador de vidros - 220 h",tabParametros[[#This Row],[Função]],1)),
SUMIF(tabVidros[TIPO],"Material",tabVidros[VALOR UNITÁRIO P/ POSTO (R$)]),
0))))))</f>
        <v>24.216963380852651</v>
      </c>
      <c r="AZ217" s="281">
        <f>IF(ISNUMBER(SEARCH("AUXILIAR DE LIMPEZA - 75 H",tabParametros[[#This Row],[Função]],1)),
SUMIF(tabLimpGeral[TIPO],"Equipamento",tabLimpGeral[VALOR UNITÁRIO P/ HORA (R$)])*75,
IF(ISNUMBER(SEARCH("AUXILIAR DE LIMPEZA - 110 H",tabParametros[[#This Row],[Função]],1)),
SUMIF(tabLimpGeral[TIPO],"Equipamento",tabLimpGeral[VALOR UNITÁRIO P/ HORA (R$)])*110,
IF(ISNUMBER(SEARCH("AUXILIAR DE LIMPEZA - 150 H",tabParametros[[#This Row],[Função]],1)),
SUMIF(tabLimpGeral[TIPO],"Equipamento",tabLimpGeral[VALOR UNITÁRIO P/ HORA (R$)])*150,
IF(ISNUMBER(SEARCH("AUXILIAR DE LIMPEZA - 220 H",tabParametros[[#This Row],[Função]],1)),
SUMIF(tabLimpGeral[TIPO],"Equipamento",tabLimpGeral[VALOR UNITÁRIO P/ HORA (R$)])*220,
IF(ISNUMBER(SEARCH("AUXILIAR DE LIMPEZA - 12 x 36",tabParametros[[#This Row],[Função]],1)),
SUMIF(tabLimpGeral[TIPO],"Equipamento",tabLimpGeral[VALOR UNITÁRIO P/ HORA (R$)])*220,
IF(ISNUMBER(SEARCH("Limpador de vidros - 220 h",tabParametros[[#This Row],[Função]],1)),
SUMIF(tabVidros[TIPO],"Equipamento",tabVidros[VALOR UNITÁRIO P/ POSTO (R$)]),
0))))))</f>
        <v>43.997314032835618</v>
      </c>
      <c r="BA217" s="281">
        <f>IF(ISNUMBER(SEARCH("AUXILIAR DE LIMPEZA - 75 H",tabParametros[[#This Row],[Função]],1)),
SUMIF(tabLimpGeral[TIPO],"Produto",tabLimpGeral[VALOR UNITÁRIO P/ HORA (R$)])*75,
IF(ISNUMBER(SEARCH("AUXILIAR DE LIMPEZA - 110 H",tabParametros[[#This Row],[Função]],1)),
SUMIF(tabLimpGeral[TIPO],"Produto",tabLimpGeral[VALOR UNITÁRIO P/ HORA (R$)])*110,
IF(ISNUMBER(SEARCH("AUXILIAR DE LIMPEZA - 150 H",tabParametros[[#This Row],[Função]],1)),
SUMIF(tabLimpGeral[TIPO],"Produto",tabLimpGeral[VALOR UNITÁRIO P/ HORA (R$)])*150,
IF(ISNUMBER(SEARCH("AUXILIAR DE LIMPEZA - 220 H",tabParametros[[#This Row],[Função]],1)),
SUMIF(tabLimpGeral[TIPO],"Produto",tabLimpGeral[VALOR UNITÁRIO P/ HORA (R$)])*220,
IF(ISNUMBER(SEARCH("AUXILIAR DE LIMPEZA - 12 x 36",tabParametros[[#This Row],[Função]],1)),
SUMIF(tabLimpGeral[TIPO],"Produto",tabLimpGeral[VALOR UNITÁRIO P/ HORA (R$)])*220,
IF(ISNUMBER(SEARCH("Limpador de vidros - 220 h",tabParametros[[#This Row],[Função]],1)),
SUMIF(tabVidros[TIPO],"Produto",tabVidros[VALOR UNITÁRIO P/ POSTO (R$)]),
0))))))</f>
        <v>470.6396814404431</v>
      </c>
      <c r="BB217" s="281">
        <v>0</v>
      </c>
      <c r="BC217" s="236">
        <f>VLOOKUP(tabParametros[[#Headers],[Custos Indiretos]],tabOutrosCustos[],3,0)</f>
        <v>189.64880140242613</v>
      </c>
      <c r="BD217" s="236">
        <f>VLOOKUP(tabParametros[[#Headers],[Lucro]],tabOutrosCustos[],3,0)</f>
        <v>159.30499317803796</v>
      </c>
      <c r="BE217" s="235">
        <f>VLOOKUP(tabParametros[[#Headers],[COFINS]],tabImpostosNacionais[],2,0)</f>
        <v>7.5999999999999998E-2</v>
      </c>
      <c r="BF217" s="235">
        <f>VLOOKUP(tabParametros[[#Headers],[PIS]],tabImpostosNacionais[],2,0)</f>
        <v>1.6500000000000001E-2</v>
      </c>
      <c r="BG217" s="235">
        <f>VLOOKUP(tabParametros[[#This Row],[Comarca]],tabComarca[],4,0)</f>
        <v>0.03</v>
      </c>
      <c r="BH217" s="238">
        <f>IFERROR(VLOOKUP(tabParametros[[#This Row],[CCT DA CATEGORIA]],tabSindicatos[],11,0),"")</f>
        <v>45658</v>
      </c>
      <c r="BI217" s="289" t="str">
        <f>IFERROR(VLOOKUP(tabParametros[[#This Row],[CCT DA CATEGORIA]],tabSindicatos[],12,0),"")</f>
        <v>-</v>
      </c>
      <c r="BJ217" s="293" t="str">
        <f>IFERROR(VLOOKUP(tabParametros[[#This Row],[CCT DA CATEGORIA]],tabSindicatos[],13,0),"")</f>
        <v>-</v>
      </c>
    </row>
    <row r="218" spans="1:62" x14ac:dyDescent="0.25">
      <c r="A218" s="233" t="s">
        <v>1553</v>
      </c>
      <c r="B218" s="198" t="s">
        <v>198</v>
      </c>
      <c r="C218" s="198" t="s">
        <v>1244</v>
      </c>
      <c r="D218" s="198" t="str">
        <f>VLOOKUP(tabParametros[[#This Row],[Código do Posto]],tabPostos[],4,0)</f>
        <v>Regiao de Sao Lourenco</v>
      </c>
      <c r="E218" s="289" t="str">
        <f>VLOOKUP(tabParametros[[#This Row],[Código do Posto]],tabPostos[],5,0)</f>
        <v>Limpeza</v>
      </c>
      <c r="F218" s="289" t="str">
        <f>VLOOKUP(tabParametros[[#This Row],[Código do Posto]],tabPostos[],6,0)</f>
        <v>PGJ</v>
      </c>
      <c r="G218" s="289">
        <f>VLOOKUP(tabParametros[[#This Row],[Código do Posto]],tabPostos[],7,0)</f>
        <v>1</v>
      </c>
      <c r="H218" s="289">
        <f>VLOOKUP(tabParametros[[#This Row],[Código do Posto]],tabPostos[],8,0)</f>
        <v>0</v>
      </c>
      <c r="I218" s="234">
        <f>VLOOKUP(tabParametros[[#This Row],[Código do Posto]],tabPostos[],9,0)</f>
        <v>824.56</v>
      </c>
      <c r="J218" s="234">
        <f>IF(ISNUMBER(SEARCH("Eletricista",tabParametros[[#This Row],[Função]],1)),0.3*tabParametros[[#This Row],[Salário Base]],0)</f>
        <v>0</v>
      </c>
      <c r="K218" s="234">
        <f>IF(OR(ISNUMBER(SEARCH("Bombeiro Hidraulico",tabParametros[[#This Row],[Função]],1)),ISNUMBER(SEARCH("Jardineiro",tabParametros[[#This Row],[Função]],1)),ISNUMBER(SEARCH("Lavador de Veiculos",tabParametros[[#This Row],[Função]],1)),ISNUMBER(SEARCH("Marceneiro",tabParametros[[#This Row],[Função]],1)),ISNUMBER(SEARCH("Pintor",tabParametros[[#This Row],[Função]],1))),0.2*'BASE GERAL'!$R$4,0)</f>
        <v>0</v>
      </c>
      <c r="L218" s="234">
        <f>IF(AND(ISNUMBER(SEARCH("Noturno",tabParametros[[#This Row],[Função]],1)),tabParametros[[#This Row],[Comarca]]&lt;&gt;"Juiz de Fora"),tabParametros[[#This Row],[Salário Base]]/210*0.39*7*15.5,IF(ISNUMBER(SEARCH("Noturno",tabParametros[[#This Row],[Função]],1)),tabParametros[[#This Row],[Salário Base]]/210*0.2*8*15.5,0))</f>
        <v>0</v>
      </c>
      <c r="M218" s="234">
        <f>IF(ISNUMBER(SEARCH("Motorista II",tabParametros[[#This Row],[Função]],1)),0.25*tabParametros[[#This Row],[Salário Base]],0)</f>
        <v>0</v>
      </c>
      <c r="N218" s="250">
        <v>0</v>
      </c>
      <c r="O218" s="234">
        <f>IF(ISNUMBER(SEARCH("TECNOLOGIA DA INFORMACAO",tabParametros[[#This Row],[Função]],1)),0.0201*tabParametros[[#This Row],[Salário Base]],0)</f>
        <v>0</v>
      </c>
      <c r="P218" s="250" cm="1">
        <f t="array" ref="P218">_xlfn.IFS(
ISNUMBER(SEARCH("Auxiliar de Limpeza - 75 h",tabParametros[[#This Row],[Função]],1)),tabParametros[[#This Row],[Salário Base]]/75*0.75*30*0.12,
ISNUMBER(SEARCH("Auxiliar de Limpeza - 110 h",tabParametros[[#This Row],[Função]],1)),tabParametros[[#This Row],[Salário Base]]/110*1*30*0.12,
ISNUMBER(SEARCH("Auxiliar de Limpeza - 150 h",tabParametros[[#This Row],[Função]],1)),tabParametros[[#This Row],[Salário Base]]/150*1.5*30*0.12,
ISNUMBER(SEARCH("Auxiliar de Limpeza - 220 h",tabParametros[[#This Row],[Função]],1)),tabParametros[[#This Row],[Salário Base]]/220*2*30*0.12,
ISNUMBER(SEARCH("Auxiliar de Limpeza - 12 x 36",tabParametros[[#This Row],[Função]],1)),tabParametros[[#This Row],[Salário Base]]/220*2*30*0.12,
ISNUMBER(SEARCH("Auxiliar de Limpeza - 55 h",tabParametros[[#This Row],[Função]],1))=FALSE,0)</f>
        <v>26.985599999999998</v>
      </c>
      <c r="Q218" s="235">
        <f>VLOOKUP(tabParametros[[#Headers],[INSS]],tabImpostosNacionais[],2,0)</f>
        <v>0.2</v>
      </c>
      <c r="R218" s="235">
        <f>VLOOKUP(tabParametros[[#Headers],[SESI OU SESC]],tabImpostosNacionais[],2,0)</f>
        <v>1.4999999999999999E-2</v>
      </c>
      <c r="S218" s="235">
        <f>VLOOKUP(tabParametros[[#Headers],[SENAI OU SENAC]],tabImpostosNacionais[],2,0)</f>
        <v>0.01</v>
      </c>
      <c r="T218" s="235">
        <f>VLOOKUP(tabParametros[[#Headers],[INCRA]],tabImpostosNacionais[],2,0)</f>
        <v>2E-3</v>
      </c>
      <c r="U218" s="235">
        <f>VLOOKUP(tabParametros[[#Headers],[Salário Educação]],tabImpostosNacionais[],2,0)</f>
        <v>2.5000000000000001E-2</v>
      </c>
      <c r="V218" s="235">
        <f>VLOOKUP(tabParametros[[#Headers],[FGTS]],tabImpostosNacionais[],2,0)</f>
        <v>0.08</v>
      </c>
      <c r="W218" s="235">
        <f>VLOOKUP(tabParametros[[#Headers],[RAT Ajustado]],tabImpostosNacionais[],2,0)</f>
        <v>0.04</v>
      </c>
      <c r="X218" s="235">
        <f>VLOOKUP(tabParametros[[#Headers],[SEBRAE]],tabImpostosNacionais[],2,0)</f>
        <v>6.0000000000000001E-3</v>
      </c>
      <c r="Y218" s="235">
        <f t="shared" si="33"/>
        <v>8.3333333333333329E-2</v>
      </c>
      <c r="Z218" s="251">
        <f t="shared" si="34"/>
        <v>0.1111111111111111</v>
      </c>
      <c r="AA218" s="234">
        <f>VLOOKUP(tabParametros[[#This Row],[Comarca]],tabComarca[],5,0)</f>
        <v>6.4</v>
      </c>
      <c r="AB218" s="234">
        <f>IFERROR(VLOOKUP(tabParametros[[#This Row],[CCT DA CATEGORIA]],tabSindicatos[],6,0),0)</f>
        <v>29.15</v>
      </c>
      <c r="AC218" s="234">
        <f>IFERROR(VLOOKUP(tabParametros[[#This Row],[CCT DA CATEGORIA]],tabSindicatos[],7,0),0)</f>
        <v>0</v>
      </c>
      <c r="AD218" s="234" cm="1">
        <f t="array" ref="AD218">_xlfn.LET(
_xlpm.COMARCA, TRIM(UPPER(SUBSTITUTE(SUBSTITUTE(SUBSTITUTE(SUBSTITUTE(SUBSTITUTE(SUBSTITUTE(SUBSTITUTE(SUBSTITUTE(SUBSTITUTE(SUBSTITUTE(SUBSTITUTE(SUBSTITUTE(SUBSTITUTE(SUBSTITUTE(SUBSTITUTE(SUBSTITUTE(SUBSTITUTE(SUBSTITUTE(SUBSTITUTE(SUBSTITUTE(SUBSTITUTE(SUBSTITUTE(SUBSTITUTE(SUBSTITUTE(SUBSTITUTE(SUBSTITUTE(tabParametros[[#This Row],[Comarca]],"á","a"),"ã","a"),"â","a"),"é","e"),"ê","e"),"í","i"),"ó","o"),"õ","o"),"ô","o"),"ú","u"),"ç","c"),"Á","a"),"Ã","a"),"Â","a"),"É","e"),"Ê","e"),"Í","i"),"Ó","o"),"Õ","o"),"Ô","o"),"Ú","u"),"Ç","c"),"/MG","")," e ",", ")," ",""),".",""))),
_xlpm.MATRIZ_COMARCA, TRIM(UPPER(SUBSTITUTE(SUBSTITUTE(SUBSTITUTE(SUBSTITUTE(SUBSTITUTE(SUBSTITUTE(SUBSTITUTE(SUBSTITUTE(SUBSTITUTE(SUBSTITUTE(SUBSTITUTE(SUBSTITUTE(SUBSTITUTE(SUBSTITUTE(SUBSTITUTE(SUBSTITUTE(SUBSTITUTE(SUBSTITUTE(SUBSTITUTE(SUBSTITUTE(SUBSTITUTE(SUBSTITUTE(SUBSTITUTE(SUBSTITUTE(SUBSTITUTE(SUBSTITUTE(tabSindicatos[COMARCAS PAF],"á","a"),"ã","a"),"â","a"),"é","e"),"ê","e"),"í","i"),"ó","o"),"õ","o"),"ô","o"),"ú","u"),"ç","c"),"Á","a"),"Ã","a"),"Â","a"),"É","e"),"Ê","e"),"Í","i"),"Ó","o"),"Õ","o"),"Ô","o"),"Ú","u"),"Ç","c"),"/MG","")," e ",", ")," ",""),".",""))),
IFERROR(IF(_xlfn.XLOOKUP(tabParametros[[#This Row],[CCT DA CATEGORIA]],tabSindicatos[SINDICATOS],tabSindicatos[COMARCAS PAF])="",
VLOOKUP(tabParametros[[#This Row],[CCT DA CATEGORIA]],tabSindicatos[],8,0),
IF(ISNUMBER(SEARCH(TRIM(_xlpm.COMARCA),_xlfn.XLOOKUP(tabParametros[[#This Row],[CCT DA CATEGORIA]],tabSindicatos[SINDICATOS],_xlpm.MATRIZ_COMARCA),1)),VLOOKUP(tabParametros[[#This Row],[CCT DA CATEGORIA]],tabSindicatos[],8,0),0)
),0)
)</f>
        <v>0</v>
      </c>
      <c r="AE218" s="234">
        <f>IFERROR(VLOOKUP(tabParametros[[#This Row],[CCT DA CATEGORIA]],tabSindicatos[],9,0),0)</f>
        <v>0</v>
      </c>
      <c r="AF218" s="234">
        <f>IFERROR(VLOOKUP(tabParametros[[#This Row],[CCT DA CATEGORIA]],tabSindicatos[],10,0),0)</f>
        <v>0</v>
      </c>
      <c r="AG218" s="236">
        <f>VLOOKUP(tabParametros[[#Headers],[Seguro de Vida]],tabOutrosCustos[],3,0)</f>
        <v>3.36</v>
      </c>
      <c r="AH218" s="236">
        <f>IF(ISNUMBER(SEARCH("MOTORISTA",tabParametros[[#This Row],[Função]],1)),VLOOKUP("MOTORISTAS",tabDiarias[],2,0),IF(tabParametros[[#This Row],[Comarca]]="Belo Horizonte",VLOOKUP("LIMPEZA",tabDiarias[],2,0),0))</f>
        <v>0</v>
      </c>
      <c r="AI218" s="235">
        <f t="shared" si="35"/>
        <v>7.011766975308642E-3</v>
      </c>
      <c r="AJ218" s="237">
        <f>tabParametros[[#This Row],[FGTS]]*tabParametros[[#This Row],[Aviso Prévio Indenizado (API) e Reflexo do Aviso Prévio Indenizado]]</f>
        <v>5.609413580246914E-4</v>
      </c>
      <c r="AK218" s="237">
        <f>tabParametros[[#This Row],[FGTS]]*tabParametros[[#This Row],[Aviso Prévio Indenizado (API) e Reflexo do Aviso Prévio Indenizado]]*40%</f>
        <v>2.2437654320987658E-4</v>
      </c>
      <c r="AL218" s="235">
        <f t="shared" si="36"/>
        <v>3.5000000000000005E-3</v>
      </c>
      <c r="AM218" s="235">
        <f>tabParametros[[#This Row],[Aviso Prévio Trabalhado - APT]]*SUM(tabParametros[[#This Row],[INSS]:[SEBRAE]])</f>
        <v>1.3230000000000004E-3</v>
      </c>
      <c r="AN218" s="235">
        <f t="shared" si="37"/>
        <v>3.0577777777777773E-2</v>
      </c>
      <c r="AO218" s="235">
        <f t="shared" si="38"/>
        <v>8.3333333333333339E-4</v>
      </c>
      <c r="AP218" s="235">
        <f t="shared" si="39"/>
        <v>8.4444444444444437E-3</v>
      </c>
      <c r="AQ218" s="235">
        <f t="shared" si="40"/>
        <v>2.0277777777777777E-3</v>
      </c>
      <c r="AR218" s="235">
        <f t="shared" si="41"/>
        <v>1.7083333333333333E-4</v>
      </c>
      <c r="AS218" s="235">
        <f t="shared" si="42"/>
        <v>2.0833333333333335E-4</v>
      </c>
      <c r="AT218" s="235">
        <f t="shared" si="43"/>
        <v>1.2962962962962963E-3</v>
      </c>
      <c r="AU218" s="237">
        <f>SUM(tabParametros[[#This Row],[Ausência por Doença]:[Férias, Adicional de Férias e 13º  com empregada em gozo de Licença Maternidade]])*SUM(tabParametros[[#This Row],[INSS]:[SEBRAE]])</f>
        <v>4.5918250000000008E-3</v>
      </c>
      <c r="AV218" s="234">
        <f>IF(tabParametros[[#This Row],[Função]]="Porteiro - 220 h",SUM(tabParametros[[#This Row],[Salário Base]:[Adicional de Acúmulo de função]])/220*20*1.5,IF(ISNUMBER(SEARCH("12 x 36",tabParametros[[#This Row],[Função]],1)),SUM(tabParametros[[#This Row],[Salário Base]:[Adicional de Acúmulo de função]])/210*15.5*1.5,0))</f>
        <v>0</v>
      </c>
      <c r="AW218" s="234">
        <f>IF(tabParametros[[#This Row],[Vagas contratadas]]&gt;0,(SUM(tabParametros[[#This Row],[Salário Base]:[Adicional de Acúmulo de função]])*30%+SUM(tabParametros[[#This Row],[Vale - Alimentação]:[Seguro de Vida]]))/tabParametros[[#This Row],[Vagas contratadas]]*tabParametros[[#This Row],[Vagas suspensas]],0)</f>
        <v>0</v>
      </c>
      <c r="AX218" s="234">
        <f>SUMIF(tabUniformes[Cargo],tabParametros[[#This Row],[Função]],tabUniformes[Valor unit. Mensal])</f>
        <v>62.806666666666665</v>
      </c>
      <c r="AY218" s="281">
        <f>IF(ISNUMBER(SEARCH("AUXILIAR DE LIMPEZA - 75 H",tabParametros[[#This Row],[Função]],1)),
SUMIF(tabLimpGeral[TIPO],"Material",tabLimpGeral[VALOR UNITÁRIO P/ HORA (R$)])*75,
IF(ISNUMBER(SEARCH("AUXILIAR DE LIMPEZA - 110 H",tabParametros[[#This Row],[Função]],1)),
SUMIF(tabLimpGeral[TIPO],"Material",tabLimpGeral[VALOR UNITÁRIO P/ HORA (R$)])*110,
IF(ISNUMBER(SEARCH("AUXILIAR DE LIMPEZA - 150 H",tabParametros[[#This Row],[Função]],1)),
SUMIF(tabLimpGeral[TIPO],"Material",tabLimpGeral[VALOR UNITÁRIO P/ HORA (R$)])*150,
IF(ISNUMBER(SEARCH("AUXILIAR DE LIMPEZA - 220 H",tabParametros[[#This Row],[Função]],1)),
SUMIF(tabLimpGeral[TIPO],"Material",tabLimpGeral[VALOR UNITÁRIO P/ HORA (R$)])*220,
IF(ISNUMBER(SEARCH("AUXILIAR DE LIMPEZA - 12 x 36",tabParametros[[#This Row],[Função]],1)),
SUMIF(tabLimpGeral[TIPO],"Material",tabLimpGeral[VALOR UNITÁRIO P/ HORA (R$)])*220,
IF(ISNUMBER(SEARCH("Limpador de vidros - 220 h",tabParametros[[#This Row],[Função]],1)),
SUMIF(tabVidros[TIPO],"Material",tabVidros[VALOR UNITÁRIO P/ POSTO (R$)]),
0))))))</f>
        <v>17.759106479291944</v>
      </c>
      <c r="AZ218" s="281">
        <f>IF(ISNUMBER(SEARCH("AUXILIAR DE LIMPEZA - 75 H",tabParametros[[#This Row],[Função]],1)),
SUMIF(tabLimpGeral[TIPO],"Equipamento",tabLimpGeral[VALOR UNITÁRIO P/ HORA (R$)])*75,
IF(ISNUMBER(SEARCH("AUXILIAR DE LIMPEZA - 110 H",tabParametros[[#This Row],[Função]],1)),
SUMIF(tabLimpGeral[TIPO],"Equipamento",tabLimpGeral[VALOR UNITÁRIO P/ HORA (R$)])*110,
IF(ISNUMBER(SEARCH("AUXILIAR DE LIMPEZA - 150 H",tabParametros[[#This Row],[Função]],1)),
SUMIF(tabLimpGeral[TIPO],"Equipamento",tabLimpGeral[VALOR UNITÁRIO P/ HORA (R$)])*150,
IF(ISNUMBER(SEARCH("AUXILIAR DE LIMPEZA - 220 H",tabParametros[[#This Row],[Função]],1)),
SUMIF(tabLimpGeral[TIPO],"Equipamento",tabLimpGeral[VALOR UNITÁRIO P/ HORA (R$)])*220,
IF(ISNUMBER(SEARCH("AUXILIAR DE LIMPEZA - 12 x 36",tabParametros[[#This Row],[Função]],1)),
SUMIF(tabLimpGeral[TIPO],"Equipamento",tabLimpGeral[VALOR UNITÁRIO P/ HORA (R$)])*220,
IF(ISNUMBER(SEARCH("Limpador de vidros - 220 h",tabParametros[[#This Row],[Função]],1)),
SUMIF(tabVidros[TIPO],"Equipamento",tabVidros[VALOR UNITÁRIO P/ POSTO (R$)]),
0))))))</f>
        <v>32.264696957412788</v>
      </c>
      <c r="BA218" s="281">
        <f>IF(ISNUMBER(SEARCH("AUXILIAR DE LIMPEZA - 75 H",tabParametros[[#This Row],[Função]],1)),
SUMIF(tabLimpGeral[TIPO],"Produto",tabLimpGeral[VALOR UNITÁRIO P/ HORA (R$)])*75,
IF(ISNUMBER(SEARCH("AUXILIAR DE LIMPEZA - 110 H",tabParametros[[#This Row],[Função]],1)),
SUMIF(tabLimpGeral[TIPO],"Produto",tabLimpGeral[VALOR UNITÁRIO P/ HORA (R$)])*110,
IF(ISNUMBER(SEARCH("AUXILIAR DE LIMPEZA - 150 H",tabParametros[[#This Row],[Função]],1)),
SUMIF(tabLimpGeral[TIPO],"Produto",tabLimpGeral[VALOR UNITÁRIO P/ HORA (R$)])*150,
IF(ISNUMBER(SEARCH("AUXILIAR DE LIMPEZA - 220 H",tabParametros[[#This Row],[Função]],1)),
SUMIF(tabLimpGeral[TIPO],"Produto",tabLimpGeral[VALOR UNITÁRIO P/ HORA (R$)])*220,
IF(ISNUMBER(SEARCH("AUXILIAR DE LIMPEZA - 12 x 36",tabParametros[[#This Row],[Função]],1)),
SUMIF(tabLimpGeral[TIPO],"Produto",tabLimpGeral[VALOR UNITÁRIO P/ HORA (R$)])*220,
IF(ISNUMBER(SEARCH("Limpador de vidros - 220 h",tabParametros[[#This Row],[Função]],1)),
SUMIF(tabVidros[TIPO],"Produto",tabVidros[VALOR UNITÁRIO P/ POSTO (R$)]),
0))))))</f>
        <v>345.13576638965827</v>
      </c>
      <c r="BB218" s="281">
        <v>0</v>
      </c>
      <c r="BC218" s="236">
        <f>VLOOKUP(tabParametros[[#Headers],[Custos Indiretos]],tabOutrosCustos[],3,0)</f>
        <v>189.64880140242613</v>
      </c>
      <c r="BD218" s="236">
        <f>VLOOKUP(tabParametros[[#Headers],[Lucro]],tabOutrosCustos[],3,0)</f>
        <v>159.30499317803796</v>
      </c>
      <c r="BE218" s="235">
        <f>VLOOKUP(tabParametros[[#Headers],[COFINS]],tabImpostosNacionais[],2,0)</f>
        <v>7.5999999999999998E-2</v>
      </c>
      <c r="BF218" s="235">
        <f>VLOOKUP(tabParametros[[#Headers],[PIS]],tabImpostosNacionais[],2,0)</f>
        <v>1.6500000000000001E-2</v>
      </c>
      <c r="BG218" s="235">
        <f>VLOOKUP(tabParametros[[#This Row],[Comarca]],tabComarca[],4,0)</f>
        <v>0.03</v>
      </c>
      <c r="BH218" s="238">
        <f>IFERROR(VLOOKUP(tabParametros[[#This Row],[CCT DA CATEGORIA]],tabSindicatos[],11,0),"")</f>
        <v>45658</v>
      </c>
      <c r="BI218" s="289" t="str">
        <f>IFERROR(VLOOKUP(tabParametros[[#This Row],[CCT DA CATEGORIA]],tabSindicatos[],12,0),"")</f>
        <v>-</v>
      </c>
      <c r="BJ218" s="293" t="str">
        <f>IFERROR(VLOOKUP(tabParametros[[#This Row],[CCT DA CATEGORIA]],tabSindicatos[],13,0),"")</f>
        <v>-</v>
      </c>
    </row>
    <row r="219" spans="1:62" x14ac:dyDescent="0.25">
      <c r="A219" s="233" t="s">
        <v>1554</v>
      </c>
      <c r="B219" s="198" t="s">
        <v>199</v>
      </c>
      <c r="C219" s="198" t="s">
        <v>1247</v>
      </c>
      <c r="D219" s="198" t="str">
        <f>VLOOKUP(tabParametros[[#This Row],[Código do Posto]],tabPostos[],4,0)</f>
        <v>Alto Paranaiba</v>
      </c>
      <c r="E219" s="289" t="str">
        <f>VLOOKUP(tabParametros[[#This Row],[Código do Posto]],tabPostos[],5,0)</f>
        <v>Limpeza</v>
      </c>
      <c r="F219" s="289" t="str">
        <f>VLOOKUP(tabParametros[[#This Row],[Código do Posto]],tabPostos[],6,0)</f>
        <v>PGJ</v>
      </c>
      <c r="G219" s="289">
        <f>VLOOKUP(tabParametros[[#This Row],[Código do Posto]],tabPostos[],7,0)</f>
        <v>1</v>
      </c>
      <c r="H219" s="289">
        <f>VLOOKUP(tabParametros[[#This Row],[Código do Posto]],tabPostos[],8,0)</f>
        <v>0</v>
      </c>
      <c r="I219" s="234">
        <f>VLOOKUP(tabParametros[[#This Row],[Código do Posto]],tabPostos[],9,0)</f>
        <v>544.17999999999995</v>
      </c>
      <c r="J219" s="234">
        <f>IF(ISNUMBER(SEARCH("Eletricista",tabParametros[[#This Row],[Função]],1)),0.3*tabParametros[[#This Row],[Salário Base]],0)</f>
        <v>0</v>
      </c>
      <c r="K219" s="234">
        <f>IF(OR(ISNUMBER(SEARCH("Bombeiro Hidraulico",tabParametros[[#This Row],[Função]],1)),ISNUMBER(SEARCH("Jardineiro",tabParametros[[#This Row],[Função]],1)),ISNUMBER(SEARCH("Lavador de Veiculos",tabParametros[[#This Row],[Função]],1)),ISNUMBER(SEARCH("Marceneiro",tabParametros[[#This Row],[Função]],1)),ISNUMBER(SEARCH("Pintor",tabParametros[[#This Row],[Função]],1))),0.2*'BASE GERAL'!$R$4,0)</f>
        <v>0</v>
      </c>
      <c r="L219" s="234">
        <f>IF(AND(ISNUMBER(SEARCH("Noturno",tabParametros[[#This Row],[Função]],1)),tabParametros[[#This Row],[Comarca]]&lt;&gt;"Juiz de Fora"),tabParametros[[#This Row],[Salário Base]]/210*0.39*7*15.5,IF(ISNUMBER(SEARCH("Noturno",tabParametros[[#This Row],[Função]],1)),tabParametros[[#This Row],[Salário Base]]/210*0.2*8*15.5,0))</f>
        <v>0</v>
      </c>
      <c r="M219" s="234">
        <f>IF(ISNUMBER(SEARCH("Motorista II",tabParametros[[#This Row],[Função]],1)),0.25*tabParametros[[#This Row],[Salário Base]],0)</f>
        <v>0</v>
      </c>
      <c r="N219" s="250">
        <v>0</v>
      </c>
      <c r="O219" s="234">
        <f>IF(ISNUMBER(SEARCH("TECNOLOGIA DA INFORMACAO",tabParametros[[#This Row],[Função]],1)),0.0201*tabParametros[[#This Row],[Salário Base]],0)</f>
        <v>0</v>
      </c>
      <c r="P219" s="250" cm="1">
        <f t="array" ref="P219">_xlfn.IFS(
ISNUMBER(SEARCH("Auxiliar de Limpeza - 75 h",tabParametros[[#This Row],[Função]],1)),tabParametros[[#This Row],[Salário Base]]/75*0.75*30*0.12,
ISNUMBER(SEARCH("Auxiliar de Limpeza - 110 h",tabParametros[[#This Row],[Função]],1)),tabParametros[[#This Row],[Salário Base]]/110*1*30*0.12,
ISNUMBER(SEARCH("Auxiliar de Limpeza - 150 h",tabParametros[[#This Row],[Função]],1)),tabParametros[[#This Row],[Salário Base]]/150*1.5*30*0.12,
ISNUMBER(SEARCH("Auxiliar de Limpeza - 220 h",tabParametros[[#This Row],[Função]],1)),tabParametros[[#This Row],[Salário Base]]/220*2*30*0.12,
ISNUMBER(SEARCH("Auxiliar de Limpeza - 12 x 36",tabParametros[[#This Row],[Função]],1)),tabParametros[[#This Row],[Salário Base]]/220*2*30*0.12,
ISNUMBER(SEARCH("Auxiliar de Limpeza - 55 h",tabParametros[[#This Row],[Função]],1))=FALSE,0)</f>
        <v>19.590479999999999</v>
      </c>
      <c r="Q219" s="235">
        <f>VLOOKUP(tabParametros[[#Headers],[INSS]],tabImpostosNacionais[],2,0)</f>
        <v>0.2</v>
      </c>
      <c r="R219" s="235">
        <f>VLOOKUP(tabParametros[[#Headers],[SESI OU SESC]],tabImpostosNacionais[],2,0)</f>
        <v>1.4999999999999999E-2</v>
      </c>
      <c r="S219" s="235">
        <f>VLOOKUP(tabParametros[[#Headers],[SENAI OU SENAC]],tabImpostosNacionais[],2,0)</f>
        <v>0.01</v>
      </c>
      <c r="T219" s="235">
        <f>VLOOKUP(tabParametros[[#Headers],[INCRA]],tabImpostosNacionais[],2,0)</f>
        <v>2E-3</v>
      </c>
      <c r="U219" s="235">
        <f>VLOOKUP(tabParametros[[#Headers],[Salário Educação]],tabImpostosNacionais[],2,0)</f>
        <v>2.5000000000000001E-2</v>
      </c>
      <c r="V219" s="235">
        <f>VLOOKUP(tabParametros[[#Headers],[FGTS]],tabImpostosNacionais[],2,0)</f>
        <v>0.08</v>
      </c>
      <c r="W219" s="235">
        <f>VLOOKUP(tabParametros[[#Headers],[RAT Ajustado]],tabImpostosNacionais[],2,0)</f>
        <v>0.04</v>
      </c>
      <c r="X219" s="235">
        <f>VLOOKUP(tabParametros[[#Headers],[SEBRAE]],tabImpostosNacionais[],2,0)</f>
        <v>6.0000000000000001E-3</v>
      </c>
      <c r="Y219" s="235">
        <f t="shared" si="33"/>
        <v>8.3333333333333329E-2</v>
      </c>
      <c r="Z219" s="251">
        <f t="shared" si="34"/>
        <v>0.1111111111111111</v>
      </c>
      <c r="AA219" s="234">
        <f>VLOOKUP(tabParametros[[#This Row],[Comarca]],tabComarca[],5,0)</f>
        <v>6.4</v>
      </c>
      <c r="AB219" s="234">
        <f>IFERROR(VLOOKUP(tabParametros[[#This Row],[CCT DA CATEGORIA]],tabSindicatos[],6,0),0)</f>
        <v>0</v>
      </c>
      <c r="AC219" s="234">
        <f>IFERROR(VLOOKUP(tabParametros[[#This Row],[CCT DA CATEGORIA]],tabSindicatos[],7,0),0)</f>
        <v>387.79</v>
      </c>
      <c r="AD219" s="234" cm="1">
        <f t="array" ref="AD219">_xlfn.LET(
_xlpm.COMARCA, TRIM(UPPER(SUBSTITUTE(SUBSTITUTE(SUBSTITUTE(SUBSTITUTE(SUBSTITUTE(SUBSTITUTE(SUBSTITUTE(SUBSTITUTE(SUBSTITUTE(SUBSTITUTE(SUBSTITUTE(SUBSTITUTE(SUBSTITUTE(SUBSTITUTE(SUBSTITUTE(SUBSTITUTE(SUBSTITUTE(SUBSTITUTE(SUBSTITUTE(SUBSTITUTE(SUBSTITUTE(SUBSTITUTE(SUBSTITUTE(SUBSTITUTE(SUBSTITUTE(SUBSTITUTE(tabParametros[[#This Row],[Comarca]],"á","a"),"ã","a"),"â","a"),"é","e"),"ê","e"),"í","i"),"ó","o"),"õ","o"),"ô","o"),"ú","u"),"ç","c"),"Á","a"),"Ã","a"),"Â","a"),"É","e"),"Ê","e"),"Í","i"),"Ó","o"),"Õ","o"),"Ô","o"),"Ú","u"),"Ç","c"),"/MG","")," e ",", ")," ",""),".",""))),
_xlpm.MATRIZ_COMARCA, TRIM(UPPER(SUBSTITUTE(SUBSTITUTE(SUBSTITUTE(SUBSTITUTE(SUBSTITUTE(SUBSTITUTE(SUBSTITUTE(SUBSTITUTE(SUBSTITUTE(SUBSTITUTE(SUBSTITUTE(SUBSTITUTE(SUBSTITUTE(SUBSTITUTE(SUBSTITUTE(SUBSTITUTE(SUBSTITUTE(SUBSTITUTE(SUBSTITUTE(SUBSTITUTE(SUBSTITUTE(SUBSTITUTE(SUBSTITUTE(SUBSTITUTE(SUBSTITUTE(SUBSTITUTE(tabSindicatos[COMARCAS PAF],"á","a"),"ã","a"),"â","a"),"é","e"),"ê","e"),"í","i"),"ó","o"),"õ","o"),"ô","o"),"ú","u"),"ç","c"),"Á","a"),"Ã","a"),"Â","a"),"É","e"),"Ê","e"),"Í","i"),"Ó","o"),"Õ","o"),"Ô","o"),"Ú","u"),"Ç","c"),"/MG","")," e ",", ")," ",""),".",""))),
IFERROR(IF(_xlfn.XLOOKUP(tabParametros[[#This Row],[CCT DA CATEGORIA]],tabSindicatos[SINDICATOS],tabSindicatos[COMARCAS PAF])="",
VLOOKUP(tabParametros[[#This Row],[CCT DA CATEGORIA]],tabSindicatos[],8,0),
IF(ISNUMBER(SEARCH(TRIM(_xlpm.COMARCA),_xlfn.XLOOKUP(tabParametros[[#This Row],[CCT DA CATEGORIA]],tabSindicatos[SINDICATOS],_xlpm.MATRIZ_COMARCA),1)),VLOOKUP(tabParametros[[#This Row],[CCT DA CATEGORIA]],tabSindicatos[],8,0),0)
),0)
)</f>
        <v>42.97</v>
      </c>
      <c r="AE219" s="234">
        <f>IFERROR(VLOOKUP(tabParametros[[#This Row],[CCT DA CATEGORIA]],tabSindicatos[],9,0),0)</f>
        <v>0</v>
      </c>
      <c r="AF219" s="234">
        <f>IFERROR(VLOOKUP(tabParametros[[#This Row],[CCT DA CATEGORIA]],tabSindicatos[],10,0),0)</f>
        <v>0</v>
      </c>
      <c r="AG219" s="236">
        <f>VLOOKUP(tabParametros[[#Headers],[Seguro de Vida]],tabOutrosCustos[],3,0)</f>
        <v>3.36</v>
      </c>
      <c r="AH219" s="236">
        <f>IF(ISNUMBER(SEARCH("MOTORISTA",tabParametros[[#This Row],[Função]],1)),VLOOKUP("MOTORISTAS",tabDiarias[],2,0),IF(tabParametros[[#This Row],[Comarca]]="Belo Horizonte",VLOOKUP("LIMPEZA",tabDiarias[],2,0),0))</f>
        <v>0</v>
      </c>
      <c r="AI219" s="235">
        <f t="shared" si="35"/>
        <v>7.011766975308642E-3</v>
      </c>
      <c r="AJ219" s="237">
        <f>tabParametros[[#This Row],[FGTS]]*tabParametros[[#This Row],[Aviso Prévio Indenizado (API) e Reflexo do Aviso Prévio Indenizado]]</f>
        <v>5.609413580246914E-4</v>
      </c>
      <c r="AK219" s="237">
        <f>tabParametros[[#This Row],[FGTS]]*tabParametros[[#This Row],[Aviso Prévio Indenizado (API) e Reflexo do Aviso Prévio Indenizado]]*40%</f>
        <v>2.2437654320987658E-4</v>
      </c>
      <c r="AL219" s="235">
        <f t="shared" si="36"/>
        <v>3.5000000000000005E-3</v>
      </c>
      <c r="AM219" s="235">
        <f>tabParametros[[#This Row],[Aviso Prévio Trabalhado - APT]]*SUM(tabParametros[[#This Row],[INSS]:[SEBRAE]])</f>
        <v>1.3230000000000004E-3</v>
      </c>
      <c r="AN219" s="235">
        <f t="shared" si="37"/>
        <v>3.0577777777777773E-2</v>
      </c>
      <c r="AO219" s="235">
        <f t="shared" si="38"/>
        <v>8.3333333333333339E-4</v>
      </c>
      <c r="AP219" s="235">
        <f t="shared" si="39"/>
        <v>8.4444444444444437E-3</v>
      </c>
      <c r="AQ219" s="235">
        <f t="shared" si="40"/>
        <v>2.0277777777777777E-3</v>
      </c>
      <c r="AR219" s="235">
        <f t="shared" si="41"/>
        <v>1.7083333333333333E-4</v>
      </c>
      <c r="AS219" s="235">
        <f t="shared" si="42"/>
        <v>2.0833333333333335E-4</v>
      </c>
      <c r="AT219" s="235">
        <f t="shared" si="43"/>
        <v>1.2962962962962963E-3</v>
      </c>
      <c r="AU219" s="237">
        <f>SUM(tabParametros[[#This Row],[Ausência por Doença]:[Férias, Adicional de Férias e 13º  com empregada em gozo de Licença Maternidade]])*SUM(tabParametros[[#This Row],[INSS]:[SEBRAE]])</f>
        <v>4.5918250000000008E-3</v>
      </c>
      <c r="AV219" s="234">
        <f>IF(tabParametros[[#This Row],[Função]]="Porteiro - 220 h",SUM(tabParametros[[#This Row],[Salário Base]:[Adicional de Acúmulo de função]])/220*20*1.5,IF(ISNUMBER(SEARCH("12 x 36",tabParametros[[#This Row],[Função]],1)),SUM(tabParametros[[#This Row],[Salário Base]:[Adicional de Acúmulo de função]])/210*15.5*1.5,0))</f>
        <v>0</v>
      </c>
      <c r="AW219" s="234">
        <f>IF(tabParametros[[#This Row],[Vagas contratadas]]&gt;0,(SUM(tabParametros[[#This Row],[Salário Base]:[Adicional de Acúmulo de função]])*30%+SUM(tabParametros[[#This Row],[Vale - Alimentação]:[Seguro de Vida]]))/tabParametros[[#This Row],[Vagas contratadas]]*tabParametros[[#This Row],[Vagas suspensas]],0)</f>
        <v>0</v>
      </c>
      <c r="AX219" s="234">
        <f>SUMIF(tabUniformes[Cargo],tabParametros[[#This Row],[Função]],tabUniformes[Valor unit. Mensal])</f>
        <v>62.806666666666665</v>
      </c>
      <c r="AY219" s="281">
        <f>IF(ISNUMBER(SEARCH("AUXILIAR DE LIMPEZA - 75 H",tabParametros[[#This Row],[Função]],1)),
SUMIF(tabLimpGeral[TIPO],"Material",tabLimpGeral[VALOR UNITÁRIO P/ HORA (R$)])*75,
IF(ISNUMBER(SEARCH("AUXILIAR DE LIMPEZA - 110 H",tabParametros[[#This Row],[Função]],1)),
SUMIF(tabLimpGeral[TIPO],"Material",tabLimpGeral[VALOR UNITÁRIO P/ HORA (R$)])*110,
IF(ISNUMBER(SEARCH("AUXILIAR DE LIMPEZA - 150 H",tabParametros[[#This Row],[Função]],1)),
SUMIF(tabLimpGeral[TIPO],"Material",tabLimpGeral[VALOR UNITÁRIO P/ HORA (R$)])*150,
IF(ISNUMBER(SEARCH("AUXILIAR DE LIMPEZA - 220 H",tabParametros[[#This Row],[Função]],1)),
SUMIF(tabLimpGeral[TIPO],"Material",tabLimpGeral[VALOR UNITÁRIO P/ HORA (R$)])*220,
IF(ISNUMBER(SEARCH("AUXILIAR DE LIMPEZA - 12 x 36",tabParametros[[#This Row],[Função]],1)),
SUMIF(tabLimpGeral[TIPO],"Material",tabLimpGeral[VALOR UNITÁRIO P/ HORA (R$)])*220,
IF(ISNUMBER(SEARCH("Limpador de vidros - 220 h",tabParametros[[#This Row],[Função]],1)),
SUMIF(tabVidros[TIPO],"Material",tabVidros[VALOR UNITÁRIO P/ POSTO (R$)]),
0))))))</f>
        <v>12.108481690426325</v>
      </c>
      <c r="AZ219" s="281">
        <f>IF(ISNUMBER(SEARCH("AUXILIAR DE LIMPEZA - 75 H",tabParametros[[#This Row],[Função]],1)),
SUMIF(tabLimpGeral[TIPO],"Equipamento",tabLimpGeral[VALOR UNITÁRIO P/ HORA (R$)])*75,
IF(ISNUMBER(SEARCH("AUXILIAR DE LIMPEZA - 110 H",tabParametros[[#This Row],[Função]],1)),
SUMIF(tabLimpGeral[TIPO],"Equipamento",tabLimpGeral[VALOR UNITÁRIO P/ HORA (R$)])*110,
IF(ISNUMBER(SEARCH("AUXILIAR DE LIMPEZA - 150 H",tabParametros[[#This Row],[Função]],1)),
SUMIF(tabLimpGeral[TIPO],"Equipamento",tabLimpGeral[VALOR UNITÁRIO P/ HORA (R$)])*150,
IF(ISNUMBER(SEARCH("AUXILIAR DE LIMPEZA - 220 H",tabParametros[[#This Row],[Função]],1)),
SUMIF(tabLimpGeral[TIPO],"Equipamento",tabLimpGeral[VALOR UNITÁRIO P/ HORA (R$)])*220,
IF(ISNUMBER(SEARCH("AUXILIAR DE LIMPEZA - 12 x 36",tabParametros[[#This Row],[Função]],1)),
SUMIF(tabLimpGeral[TIPO],"Equipamento",tabLimpGeral[VALOR UNITÁRIO P/ HORA (R$)])*220,
IF(ISNUMBER(SEARCH("Limpador de vidros - 220 h",tabParametros[[#This Row],[Função]],1)),
SUMIF(tabVidros[TIPO],"Equipamento",tabVidros[VALOR UNITÁRIO P/ POSTO (R$)]),
0))))))</f>
        <v>21.998657016417809</v>
      </c>
      <c r="BA219" s="281">
        <f>IF(ISNUMBER(SEARCH("AUXILIAR DE LIMPEZA - 75 H",tabParametros[[#This Row],[Função]],1)),
SUMIF(tabLimpGeral[TIPO],"Produto",tabLimpGeral[VALOR UNITÁRIO P/ HORA (R$)])*75,
IF(ISNUMBER(SEARCH("AUXILIAR DE LIMPEZA - 110 H",tabParametros[[#This Row],[Função]],1)),
SUMIF(tabLimpGeral[TIPO],"Produto",tabLimpGeral[VALOR UNITÁRIO P/ HORA (R$)])*110,
IF(ISNUMBER(SEARCH("AUXILIAR DE LIMPEZA - 150 H",tabParametros[[#This Row],[Função]],1)),
SUMIF(tabLimpGeral[TIPO],"Produto",tabLimpGeral[VALOR UNITÁRIO P/ HORA (R$)])*150,
IF(ISNUMBER(SEARCH("AUXILIAR DE LIMPEZA - 220 H",tabParametros[[#This Row],[Função]],1)),
SUMIF(tabLimpGeral[TIPO],"Produto",tabLimpGeral[VALOR UNITÁRIO P/ HORA (R$)])*220,
IF(ISNUMBER(SEARCH("AUXILIAR DE LIMPEZA - 12 x 36",tabParametros[[#This Row],[Função]],1)),
SUMIF(tabLimpGeral[TIPO],"Produto",tabLimpGeral[VALOR UNITÁRIO P/ HORA (R$)])*220,
IF(ISNUMBER(SEARCH("Limpador de vidros - 220 h",tabParametros[[#This Row],[Função]],1)),
SUMIF(tabVidros[TIPO],"Produto",tabVidros[VALOR UNITÁRIO P/ POSTO (R$)]),
0))))))</f>
        <v>235.31984072022155</v>
      </c>
      <c r="BB219" s="281">
        <v>0</v>
      </c>
      <c r="BC219" s="236">
        <f>VLOOKUP(tabParametros[[#Headers],[Custos Indiretos]],tabOutrosCustos[],3,0)</f>
        <v>189.64880140242613</v>
      </c>
      <c r="BD219" s="236">
        <f>VLOOKUP(tabParametros[[#Headers],[Lucro]],tabOutrosCustos[],3,0)</f>
        <v>159.30499317803796</v>
      </c>
      <c r="BE219" s="235">
        <f>VLOOKUP(tabParametros[[#Headers],[COFINS]],tabImpostosNacionais[],2,0)</f>
        <v>7.5999999999999998E-2</v>
      </c>
      <c r="BF219" s="235">
        <f>VLOOKUP(tabParametros[[#Headers],[PIS]],tabImpostosNacionais[],2,0)</f>
        <v>1.6500000000000001E-2</v>
      </c>
      <c r="BG219" s="235">
        <f>VLOOKUP(tabParametros[[#This Row],[Comarca]],tabComarca[],4,0)</f>
        <v>0.03</v>
      </c>
      <c r="BH219" s="238">
        <f>IFERROR(VLOOKUP(tabParametros[[#This Row],[CCT DA CATEGORIA]],tabSindicatos[],11,0),"")</f>
        <v>45658</v>
      </c>
      <c r="BI219" s="289" t="str">
        <f>IFERROR(VLOOKUP(tabParametros[[#This Row],[CCT DA CATEGORIA]],tabSindicatos[],12,0),"")</f>
        <v>-</v>
      </c>
      <c r="BJ219" s="293" t="str">
        <f>IFERROR(VLOOKUP(tabParametros[[#This Row],[CCT DA CATEGORIA]],tabSindicatos[],13,0),"")</f>
        <v>-</v>
      </c>
    </row>
    <row r="220" spans="1:62" x14ac:dyDescent="0.25">
      <c r="A220" s="233" t="s">
        <v>1555</v>
      </c>
      <c r="B220" s="198" t="s">
        <v>200</v>
      </c>
      <c r="C220" s="198" t="s">
        <v>1245</v>
      </c>
      <c r="D220" s="198" t="str">
        <f>VLOOKUP(tabParametros[[#This Row],[Código do Posto]],tabPostos[],4,0)</f>
        <v>Regiao de Divinopolis</v>
      </c>
      <c r="E220" s="289" t="str">
        <f>VLOOKUP(tabParametros[[#This Row],[Código do Posto]],tabPostos[],5,0)</f>
        <v>Limpeza</v>
      </c>
      <c r="F220" s="289" t="str">
        <f>VLOOKUP(tabParametros[[#This Row],[Código do Posto]],tabPostos[],6,0)</f>
        <v>PGJ</v>
      </c>
      <c r="G220" s="289">
        <f>VLOOKUP(tabParametros[[#This Row],[Código do Posto]],tabPostos[],7,0)</f>
        <v>1</v>
      </c>
      <c r="H220" s="289">
        <f>VLOOKUP(tabParametros[[#This Row],[Código do Posto]],tabPostos[],8,0)</f>
        <v>0</v>
      </c>
      <c r="I220" s="234">
        <f>VLOOKUP(tabParametros[[#This Row],[Código do Posto]],tabPostos[],9,0)</f>
        <v>1596.28</v>
      </c>
      <c r="J220" s="234">
        <f>IF(ISNUMBER(SEARCH("Eletricista",tabParametros[[#This Row],[Função]],1)),0.3*tabParametros[[#This Row],[Salário Base]],0)</f>
        <v>0</v>
      </c>
      <c r="K220" s="234">
        <f>IF(OR(ISNUMBER(SEARCH("Bombeiro Hidraulico",tabParametros[[#This Row],[Função]],1)),ISNUMBER(SEARCH("Jardineiro",tabParametros[[#This Row],[Função]],1)),ISNUMBER(SEARCH("Lavador de Veiculos",tabParametros[[#This Row],[Função]],1)),ISNUMBER(SEARCH("Marceneiro",tabParametros[[#This Row],[Função]],1)),ISNUMBER(SEARCH("Pintor",tabParametros[[#This Row],[Função]],1))),0.2*'BASE GERAL'!$R$4,0)</f>
        <v>0</v>
      </c>
      <c r="L220" s="234">
        <f>IF(AND(ISNUMBER(SEARCH("Noturno",tabParametros[[#This Row],[Função]],1)),tabParametros[[#This Row],[Comarca]]&lt;&gt;"Juiz de Fora"),tabParametros[[#This Row],[Salário Base]]/210*0.39*7*15.5,IF(ISNUMBER(SEARCH("Noturno",tabParametros[[#This Row],[Função]],1)),tabParametros[[#This Row],[Salário Base]]/210*0.2*8*15.5,0))</f>
        <v>0</v>
      </c>
      <c r="M220" s="234">
        <f>IF(ISNUMBER(SEARCH("Motorista II",tabParametros[[#This Row],[Função]],1)),0.25*tabParametros[[#This Row],[Salário Base]],0)</f>
        <v>0</v>
      </c>
      <c r="N220" s="250">
        <v>0</v>
      </c>
      <c r="O220" s="234">
        <f>IF(ISNUMBER(SEARCH("TECNOLOGIA DA INFORMACAO",tabParametros[[#This Row],[Função]],1)),0.0201*tabParametros[[#This Row],[Salário Base]],0)</f>
        <v>0</v>
      </c>
      <c r="P220" s="250" cm="1">
        <f t="array" ref="P220">_xlfn.IFS(
ISNUMBER(SEARCH("Auxiliar de Limpeza - 75 h",tabParametros[[#This Row],[Função]],1)),tabParametros[[#This Row],[Salário Base]]/75*0.75*30*0.12,
ISNUMBER(SEARCH("Auxiliar de Limpeza - 110 h",tabParametros[[#This Row],[Função]],1)),tabParametros[[#This Row],[Salário Base]]/110*1*30*0.12,
ISNUMBER(SEARCH("Auxiliar de Limpeza - 150 h",tabParametros[[#This Row],[Função]],1)),tabParametros[[#This Row],[Salário Base]]/150*1.5*30*0.12,
ISNUMBER(SEARCH("Auxiliar de Limpeza - 220 h",tabParametros[[#This Row],[Função]],1)),tabParametros[[#This Row],[Salário Base]]/220*2*30*0.12,
ISNUMBER(SEARCH("Auxiliar de Limpeza - 12 x 36",tabParametros[[#This Row],[Função]],1)),tabParametros[[#This Row],[Salário Base]]/220*2*30*0.12,
ISNUMBER(SEARCH("Auxiliar de Limpeza - 55 h",tabParametros[[#This Row],[Função]],1))=FALSE,0)</f>
        <v>52.241890909090905</v>
      </c>
      <c r="Q220" s="235">
        <f>VLOOKUP(tabParametros[[#Headers],[INSS]],tabImpostosNacionais[],2,0)</f>
        <v>0.2</v>
      </c>
      <c r="R220" s="235">
        <f>VLOOKUP(tabParametros[[#Headers],[SESI OU SESC]],tabImpostosNacionais[],2,0)</f>
        <v>1.4999999999999999E-2</v>
      </c>
      <c r="S220" s="235">
        <f>VLOOKUP(tabParametros[[#Headers],[SENAI OU SENAC]],tabImpostosNacionais[],2,0)</f>
        <v>0.01</v>
      </c>
      <c r="T220" s="235">
        <f>VLOOKUP(tabParametros[[#Headers],[INCRA]],tabImpostosNacionais[],2,0)</f>
        <v>2E-3</v>
      </c>
      <c r="U220" s="235">
        <f>VLOOKUP(tabParametros[[#Headers],[Salário Educação]],tabImpostosNacionais[],2,0)</f>
        <v>2.5000000000000001E-2</v>
      </c>
      <c r="V220" s="235">
        <f>VLOOKUP(tabParametros[[#Headers],[FGTS]],tabImpostosNacionais[],2,0)</f>
        <v>0.08</v>
      </c>
      <c r="W220" s="235">
        <f>VLOOKUP(tabParametros[[#Headers],[RAT Ajustado]],tabImpostosNacionais[],2,0)</f>
        <v>0.04</v>
      </c>
      <c r="X220" s="235">
        <f>VLOOKUP(tabParametros[[#Headers],[SEBRAE]],tabImpostosNacionais[],2,0)</f>
        <v>6.0000000000000001E-3</v>
      </c>
      <c r="Y220" s="235">
        <f t="shared" si="33"/>
        <v>8.3333333333333329E-2</v>
      </c>
      <c r="Z220" s="251">
        <f t="shared" si="34"/>
        <v>0.1111111111111111</v>
      </c>
      <c r="AA220" s="234">
        <f>VLOOKUP(tabParametros[[#This Row],[Comarca]],tabComarca[],5,0)</f>
        <v>6.4</v>
      </c>
      <c r="AB220" s="234">
        <f>IFERROR(VLOOKUP(tabParametros[[#This Row],[CCT DA CATEGORIA]],tabSindicatos[],6,0),0)</f>
        <v>29.15</v>
      </c>
      <c r="AC220" s="234">
        <f>IFERROR(VLOOKUP(tabParametros[[#This Row],[CCT DA CATEGORIA]],tabSindicatos[],7,0),0)</f>
        <v>0</v>
      </c>
      <c r="AD220" s="234" cm="1">
        <f t="array" ref="AD220">_xlfn.LET(
_xlpm.COMARCA, TRIM(UPPER(SUBSTITUTE(SUBSTITUTE(SUBSTITUTE(SUBSTITUTE(SUBSTITUTE(SUBSTITUTE(SUBSTITUTE(SUBSTITUTE(SUBSTITUTE(SUBSTITUTE(SUBSTITUTE(SUBSTITUTE(SUBSTITUTE(SUBSTITUTE(SUBSTITUTE(SUBSTITUTE(SUBSTITUTE(SUBSTITUTE(SUBSTITUTE(SUBSTITUTE(SUBSTITUTE(SUBSTITUTE(SUBSTITUTE(SUBSTITUTE(SUBSTITUTE(SUBSTITUTE(tabParametros[[#This Row],[Comarca]],"á","a"),"ã","a"),"â","a"),"é","e"),"ê","e"),"í","i"),"ó","o"),"õ","o"),"ô","o"),"ú","u"),"ç","c"),"Á","a"),"Ã","a"),"Â","a"),"É","e"),"Ê","e"),"Í","i"),"Ó","o"),"Õ","o"),"Ô","o"),"Ú","u"),"Ç","c"),"/MG","")," e ",", ")," ",""),".",""))),
_xlpm.MATRIZ_COMARCA, TRIM(UPPER(SUBSTITUTE(SUBSTITUTE(SUBSTITUTE(SUBSTITUTE(SUBSTITUTE(SUBSTITUTE(SUBSTITUTE(SUBSTITUTE(SUBSTITUTE(SUBSTITUTE(SUBSTITUTE(SUBSTITUTE(SUBSTITUTE(SUBSTITUTE(SUBSTITUTE(SUBSTITUTE(SUBSTITUTE(SUBSTITUTE(SUBSTITUTE(SUBSTITUTE(SUBSTITUTE(SUBSTITUTE(SUBSTITUTE(SUBSTITUTE(SUBSTITUTE(SUBSTITUTE(tabSindicatos[COMARCAS PAF],"á","a"),"ã","a"),"â","a"),"é","e"),"ê","e"),"í","i"),"ó","o"),"õ","o"),"ô","o"),"ú","u"),"ç","c"),"Á","a"),"Ã","a"),"Â","a"),"É","e"),"Ê","e"),"Í","i"),"Ó","o"),"Õ","o"),"Ô","o"),"Ú","u"),"Ç","c"),"/MG","")," e ",", ")," ",""),".",""))),
IFERROR(IF(_xlfn.XLOOKUP(tabParametros[[#This Row],[CCT DA CATEGORIA]],tabSindicatos[SINDICATOS],tabSindicatos[COMARCAS PAF])="",
VLOOKUP(tabParametros[[#This Row],[CCT DA CATEGORIA]],tabSindicatos[],8,0),
IF(ISNUMBER(SEARCH(TRIM(_xlpm.COMARCA),_xlfn.XLOOKUP(tabParametros[[#This Row],[CCT DA CATEGORIA]],tabSindicatos[SINDICATOS],_xlpm.MATRIZ_COMARCA),1)),VLOOKUP(tabParametros[[#This Row],[CCT DA CATEGORIA]],tabSindicatos[],8,0),0)
),0)
)</f>
        <v>51.88</v>
      </c>
      <c r="AE220" s="234">
        <f>IFERROR(VLOOKUP(tabParametros[[#This Row],[CCT DA CATEGORIA]],tabSindicatos[],9,0),0)</f>
        <v>0</v>
      </c>
      <c r="AF220" s="234">
        <f>IFERROR(VLOOKUP(tabParametros[[#This Row],[CCT DA CATEGORIA]],tabSindicatos[],10,0),0)</f>
        <v>0</v>
      </c>
      <c r="AG220" s="236">
        <f>VLOOKUP(tabParametros[[#Headers],[Seguro de Vida]],tabOutrosCustos[],3,0)</f>
        <v>3.36</v>
      </c>
      <c r="AH220" s="236">
        <f>IF(ISNUMBER(SEARCH("MOTORISTA",tabParametros[[#This Row],[Função]],1)),VLOOKUP("MOTORISTAS",tabDiarias[],2,0),IF(tabParametros[[#This Row],[Comarca]]="Belo Horizonte",VLOOKUP("LIMPEZA",tabDiarias[],2,0),0))</f>
        <v>0</v>
      </c>
      <c r="AI220" s="235">
        <f t="shared" si="35"/>
        <v>7.011766975308642E-3</v>
      </c>
      <c r="AJ220" s="237">
        <f>tabParametros[[#This Row],[FGTS]]*tabParametros[[#This Row],[Aviso Prévio Indenizado (API) e Reflexo do Aviso Prévio Indenizado]]</f>
        <v>5.609413580246914E-4</v>
      </c>
      <c r="AK220" s="237">
        <f>tabParametros[[#This Row],[FGTS]]*tabParametros[[#This Row],[Aviso Prévio Indenizado (API) e Reflexo do Aviso Prévio Indenizado]]*40%</f>
        <v>2.2437654320987658E-4</v>
      </c>
      <c r="AL220" s="235">
        <f t="shared" si="36"/>
        <v>3.5000000000000005E-3</v>
      </c>
      <c r="AM220" s="235">
        <f>tabParametros[[#This Row],[Aviso Prévio Trabalhado - APT]]*SUM(tabParametros[[#This Row],[INSS]:[SEBRAE]])</f>
        <v>1.3230000000000004E-3</v>
      </c>
      <c r="AN220" s="235">
        <f t="shared" si="37"/>
        <v>3.0577777777777773E-2</v>
      </c>
      <c r="AO220" s="235">
        <f t="shared" si="38"/>
        <v>8.3333333333333339E-4</v>
      </c>
      <c r="AP220" s="235">
        <f t="shared" si="39"/>
        <v>8.4444444444444437E-3</v>
      </c>
      <c r="AQ220" s="235">
        <f t="shared" si="40"/>
        <v>2.0277777777777777E-3</v>
      </c>
      <c r="AR220" s="235">
        <f t="shared" si="41"/>
        <v>1.7083333333333333E-4</v>
      </c>
      <c r="AS220" s="235">
        <f t="shared" si="42"/>
        <v>2.0833333333333335E-4</v>
      </c>
      <c r="AT220" s="235">
        <f t="shared" si="43"/>
        <v>1.2962962962962963E-3</v>
      </c>
      <c r="AU220" s="237">
        <f>SUM(tabParametros[[#This Row],[Ausência por Doença]:[Férias, Adicional de Férias e 13º  com empregada em gozo de Licença Maternidade]])*SUM(tabParametros[[#This Row],[INSS]:[SEBRAE]])</f>
        <v>4.5918250000000008E-3</v>
      </c>
      <c r="AV220" s="234">
        <f>IF(tabParametros[[#This Row],[Função]]="Porteiro - 220 h",SUM(tabParametros[[#This Row],[Salário Base]:[Adicional de Acúmulo de função]])/220*20*1.5,IF(ISNUMBER(SEARCH("12 x 36",tabParametros[[#This Row],[Função]],1)),SUM(tabParametros[[#This Row],[Salário Base]:[Adicional de Acúmulo de função]])/210*15.5*1.5,0))</f>
        <v>0</v>
      </c>
      <c r="AW220" s="234">
        <f>IF(tabParametros[[#This Row],[Vagas contratadas]]&gt;0,(SUM(tabParametros[[#This Row],[Salário Base]:[Adicional de Acúmulo de função]])*30%+SUM(tabParametros[[#This Row],[Vale - Alimentação]:[Seguro de Vida]]))/tabParametros[[#This Row],[Vagas contratadas]]*tabParametros[[#This Row],[Vagas suspensas]],0)</f>
        <v>0</v>
      </c>
      <c r="AX220" s="234">
        <f>SUMIF(tabUniformes[Cargo],tabParametros[[#This Row],[Função]],tabUniformes[Valor unit. Mensal])</f>
        <v>100.80916666666666</v>
      </c>
      <c r="AY220" s="281">
        <f>IF(ISNUMBER(SEARCH("AUXILIAR DE LIMPEZA - 75 H",tabParametros[[#This Row],[Função]],1)),
SUMIF(tabLimpGeral[TIPO],"Material",tabLimpGeral[VALOR UNITÁRIO P/ HORA (R$)])*75,
IF(ISNUMBER(SEARCH("AUXILIAR DE LIMPEZA - 110 H",tabParametros[[#This Row],[Função]],1)),
SUMIF(tabLimpGeral[TIPO],"Material",tabLimpGeral[VALOR UNITÁRIO P/ HORA (R$)])*110,
IF(ISNUMBER(SEARCH("AUXILIAR DE LIMPEZA - 150 H",tabParametros[[#This Row],[Função]],1)),
SUMIF(tabLimpGeral[TIPO],"Material",tabLimpGeral[VALOR UNITÁRIO P/ HORA (R$)])*150,
IF(ISNUMBER(SEARCH("AUXILIAR DE LIMPEZA - 220 H",tabParametros[[#This Row],[Função]],1)),
SUMIF(tabLimpGeral[TIPO],"Material",tabLimpGeral[VALOR UNITÁRIO P/ HORA (R$)])*220,
IF(ISNUMBER(SEARCH("AUXILIAR DE LIMPEZA - 12 x 36",tabParametros[[#This Row],[Função]],1)),
SUMIF(tabLimpGeral[TIPO],"Material",tabLimpGeral[VALOR UNITÁRIO P/ HORA (R$)])*220,
IF(ISNUMBER(SEARCH("Limpador de vidros - 220 h",tabParametros[[#This Row],[Função]],1)),
SUMIF(tabVidros[TIPO],"Material",tabVidros[VALOR UNITÁRIO P/ POSTO (R$)]),
0))))))</f>
        <v>35.518212958583888</v>
      </c>
      <c r="AZ220" s="281">
        <f>IF(ISNUMBER(SEARCH("AUXILIAR DE LIMPEZA - 75 H",tabParametros[[#This Row],[Função]],1)),
SUMIF(tabLimpGeral[TIPO],"Equipamento",tabLimpGeral[VALOR UNITÁRIO P/ HORA (R$)])*75,
IF(ISNUMBER(SEARCH("AUXILIAR DE LIMPEZA - 110 H",tabParametros[[#This Row],[Função]],1)),
SUMIF(tabLimpGeral[TIPO],"Equipamento",tabLimpGeral[VALOR UNITÁRIO P/ HORA (R$)])*110,
IF(ISNUMBER(SEARCH("AUXILIAR DE LIMPEZA - 150 H",tabParametros[[#This Row],[Função]],1)),
SUMIF(tabLimpGeral[TIPO],"Equipamento",tabLimpGeral[VALOR UNITÁRIO P/ HORA (R$)])*150,
IF(ISNUMBER(SEARCH("AUXILIAR DE LIMPEZA - 220 H",tabParametros[[#This Row],[Função]],1)),
SUMIF(tabLimpGeral[TIPO],"Equipamento",tabLimpGeral[VALOR UNITÁRIO P/ HORA (R$)])*220,
IF(ISNUMBER(SEARCH("AUXILIAR DE LIMPEZA - 12 x 36",tabParametros[[#This Row],[Função]],1)),
SUMIF(tabLimpGeral[TIPO],"Equipamento",tabLimpGeral[VALOR UNITÁRIO P/ HORA (R$)])*220,
IF(ISNUMBER(SEARCH("Limpador de vidros - 220 h",tabParametros[[#This Row],[Função]],1)),
SUMIF(tabVidros[TIPO],"Equipamento",tabVidros[VALOR UNITÁRIO P/ POSTO (R$)]),
0))))))</f>
        <v>64.529393914825576</v>
      </c>
      <c r="BA220" s="281">
        <f>IF(ISNUMBER(SEARCH("AUXILIAR DE LIMPEZA - 75 H",tabParametros[[#This Row],[Função]],1)),
SUMIF(tabLimpGeral[TIPO],"Produto",tabLimpGeral[VALOR UNITÁRIO P/ HORA (R$)])*75,
IF(ISNUMBER(SEARCH("AUXILIAR DE LIMPEZA - 110 H",tabParametros[[#This Row],[Função]],1)),
SUMIF(tabLimpGeral[TIPO],"Produto",tabLimpGeral[VALOR UNITÁRIO P/ HORA (R$)])*110,
IF(ISNUMBER(SEARCH("AUXILIAR DE LIMPEZA - 150 H",tabParametros[[#This Row],[Função]],1)),
SUMIF(tabLimpGeral[TIPO],"Produto",tabLimpGeral[VALOR UNITÁRIO P/ HORA (R$)])*150,
IF(ISNUMBER(SEARCH("AUXILIAR DE LIMPEZA - 220 H",tabParametros[[#This Row],[Função]],1)),
SUMIF(tabLimpGeral[TIPO],"Produto",tabLimpGeral[VALOR UNITÁRIO P/ HORA (R$)])*220,
IF(ISNUMBER(SEARCH("AUXILIAR DE LIMPEZA - 12 x 36",tabParametros[[#This Row],[Função]],1)),
SUMIF(tabLimpGeral[TIPO],"Produto",tabLimpGeral[VALOR UNITÁRIO P/ HORA (R$)])*220,
IF(ISNUMBER(SEARCH("Limpador de vidros - 220 h",tabParametros[[#This Row],[Função]],1)),
SUMIF(tabVidros[TIPO],"Produto",tabVidros[VALOR UNITÁRIO P/ POSTO (R$)]),
0))))))</f>
        <v>690.27153277931654</v>
      </c>
      <c r="BB220" s="281">
        <v>0</v>
      </c>
      <c r="BC220" s="236">
        <f>VLOOKUP(tabParametros[[#Headers],[Custos Indiretos]],tabOutrosCustos[],3,0)</f>
        <v>189.64880140242613</v>
      </c>
      <c r="BD220" s="236">
        <f>VLOOKUP(tabParametros[[#Headers],[Lucro]],tabOutrosCustos[],3,0)</f>
        <v>159.30499317803796</v>
      </c>
      <c r="BE220" s="235">
        <f>VLOOKUP(tabParametros[[#Headers],[COFINS]],tabImpostosNacionais[],2,0)</f>
        <v>7.5999999999999998E-2</v>
      </c>
      <c r="BF220" s="235">
        <f>VLOOKUP(tabParametros[[#Headers],[PIS]],tabImpostosNacionais[],2,0)</f>
        <v>1.6500000000000001E-2</v>
      </c>
      <c r="BG220" s="235">
        <f>VLOOKUP(tabParametros[[#This Row],[Comarca]],tabComarca[],4,0)</f>
        <v>0.03</v>
      </c>
      <c r="BH220" s="238">
        <f>IFERROR(VLOOKUP(tabParametros[[#This Row],[CCT DA CATEGORIA]],tabSindicatos[],11,0),"")</f>
        <v>45658</v>
      </c>
      <c r="BI220" s="289" t="str">
        <f>IFERROR(VLOOKUP(tabParametros[[#This Row],[CCT DA CATEGORIA]],tabSindicatos[],12,0),"")</f>
        <v>-</v>
      </c>
      <c r="BJ220" s="293" t="str">
        <f>IFERROR(VLOOKUP(tabParametros[[#This Row],[CCT DA CATEGORIA]],tabSindicatos[],13,0),"")</f>
        <v>-</v>
      </c>
    </row>
    <row r="221" spans="1:62" x14ac:dyDescent="0.25">
      <c r="A221" s="233" t="s">
        <v>1556</v>
      </c>
      <c r="B221" s="198" t="s">
        <v>201</v>
      </c>
      <c r="C221" s="198" t="s">
        <v>1245</v>
      </c>
      <c r="D221" s="198" t="str">
        <f>VLOOKUP(tabParametros[[#This Row],[Código do Posto]],tabPostos[],4,0)</f>
        <v>Sethac Norte de Minas</v>
      </c>
      <c r="E221" s="289" t="str">
        <f>VLOOKUP(tabParametros[[#This Row],[Código do Posto]],tabPostos[],5,0)</f>
        <v>Limpeza</v>
      </c>
      <c r="F221" s="289" t="str">
        <f>VLOOKUP(tabParametros[[#This Row],[Código do Posto]],tabPostos[],6,0)</f>
        <v>PGJ</v>
      </c>
      <c r="G221" s="289">
        <f>VLOOKUP(tabParametros[[#This Row],[Código do Posto]],tabPostos[],7,0)</f>
        <v>1</v>
      </c>
      <c r="H221" s="289">
        <f>VLOOKUP(tabParametros[[#This Row],[Código do Posto]],tabPostos[],8,0)</f>
        <v>0</v>
      </c>
      <c r="I221" s="234">
        <f>VLOOKUP(tabParametros[[#This Row],[Código do Posto]],tabPostos[],9,0)</f>
        <v>1596.28</v>
      </c>
      <c r="J221" s="234">
        <f>IF(ISNUMBER(SEARCH("Eletricista",tabParametros[[#This Row],[Função]],1)),0.3*tabParametros[[#This Row],[Salário Base]],0)</f>
        <v>0</v>
      </c>
      <c r="K221" s="234">
        <f>IF(OR(ISNUMBER(SEARCH("Bombeiro Hidraulico",tabParametros[[#This Row],[Função]],1)),ISNUMBER(SEARCH("Jardineiro",tabParametros[[#This Row],[Função]],1)),ISNUMBER(SEARCH("Lavador de Veiculos",tabParametros[[#This Row],[Função]],1)),ISNUMBER(SEARCH("Marceneiro",tabParametros[[#This Row],[Função]],1)),ISNUMBER(SEARCH("Pintor",tabParametros[[#This Row],[Função]],1))),0.2*'BASE GERAL'!$R$4,0)</f>
        <v>0</v>
      </c>
      <c r="L221" s="234">
        <f>IF(AND(ISNUMBER(SEARCH("Noturno",tabParametros[[#This Row],[Função]],1)),tabParametros[[#This Row],[Comarca]]&lt;&gt;"Juiz de Fora"),tabParametros[[#This Row],[Salário Base]]/210*0.39*7*15.5,IF(ISNUMBER(SEARCH("Noturno",tabParametros[[#This Row],[Função]],1)),tabParametros[[#This Row],[Salário Base]]/210*0.2*8*15.5,0))</f>
        <v>0</v>
      </c>
      <c r="M221" s="234">
        <f>IF(ISNUMBER(SEARCH("Motorista II",tabParametros[[#This Row],[Função]],1)),0.25*tabParametros[[#This Row],[Salário Base]],0)</f>
        <v>0</v>
      </c>
      <c r="N221" s="250">
        <v>0</v>
      </c>
      <c r="O221" s="234">
        <f>IF(ISNUMBER(SEARCH("TECNOLOGIA DA INFORMACAO",tabParametros[[#This Row],[Função]],1)),0.0201*tabParametros[[#This Row],[Salário Base]],0)</f>
        <v>0</v>
      </c>
      <c r="P221" s="250" cm="1">
        <f t="array" ref="P221">_xlfn.IFS(
ISNUMBER(SEARCH("Auxiliar de Limpeza - 75 h",tabParametros[[#This Row],[Função]],1)),tabParametros[[#This Row],[Salário Base]]/75*0.75*30*0.12,
ISNUMBER(SEARCH("Auxiliar de Limpeza - 110 h",tabParametros[[#This Row],[Função]],1)),tabParametros[[#This Row],[Salário Base]]/110*1*30*0.12,
ISNUMBER(SEARCH("Auxiliar de Limpeza - 150 h",tabParametros[[#This Row],[Função]],1)),tabParametros[[#This Row],[Salário Base]]/150*1.5*30*0.12,
ISNUMBER(SEARCH("Auxiliar de Limpeza - 220 h",tabParametros[[#This Row],[Função]],1)),tabParametros[[#This Row],[Salário Base]]/220*2*30*0.12,
ISNUMBER(SEARCH("Auxiliar de Limpeza - 12 x 36",tabParametros[[#This Row],[Função]],1)),tabParametros[[#This Row],[Salário Base]]/220*2*30*0.12,
ISNUMBER(SEARCH("Auxiliar de Limpeza - 55 h",tabParametros[[#This Row],[Função]],1))=FALSE,0)</f>
        <v>52.241890909090905</v>
      </c>
      <c r="Q221" s="235">
        <f>VLOOKUP(tabParametros[[#Headers],[INSS]],tabImpostosNacionais[],2,0)</f>
        <v>0.2</v>
      </c>
      <c r="R221" s="235">
        <f>VLOOKUP(tabParametros[[#Headers],[SESI OU SESC]],tabImpostosNacionais[],2,0)</f>
        <v>1.4999999999999999E-2</v>
      </c>
      <c r="S221" s="235">
        <f>VLOOKUP(tabParametros[[#Headers],[SENAI OU SENAC]],tabImpostosNacionais[],2,0)</f>
        <v>0.01</v>
      </c>
      <c r="T221" s="235">
        <f>VLOOKUP(tabParametros[[#Headers],[INCRA]],tabImpostosNacionais[],2,0)</f>
        <v>2E-3</v>
      </c>
      <c r="U221" s="235">
        <f>VLOOKUP(tabParametros[[#Headers],[Salário Educação]],tabImpostosNacionais[],2,0)</f>
        <v>2.5000000000000001E-2</v>
      </c>
      <c r="V221" s="235">
        <f>VLOOKUP(tabParametros[[#Headers],[FGTS]],tabImpostosNacionais[],2,0)</f>
        <v>0.08</v>
      </c>
      <c r="W221" s="235">
        <f>VLOOKUP(tabParametros[[#Headers],[RAT Ajustado]],tabImpostosNacionais[],2,0)</f>
        <v>0.04</v>
      </c>
      <c r="X221" s="235">
        <f>VLOOKUP(tabParametros[[#Headers],[SEBRAE]],tabImpostosNacionais[],2,0)</f>
        <v>6.0000000000000001E-3</v>
      </c>
      <c r="Y221" s="235">
        <f t="shared" si="33"/>
        <v>8.3333333333333329E-2</v>
      </c>
      <c r="Z221" s="251">
        <f t="shared" si="34"/>
        <v>0.1111111111111111</v>
      </c>
      <c r="AA221" s="234">
        <f>VLOOKUP(tabParametros[[#This Row],[Comarca]],tabComarca[],5,0)</f>
        <v>6.4</v>
      </c>
      <c r="AB221" s="234">
        <f>IFERROR(VLOOKUP(tabParametros[[#This Row],[CCT DA CATEGORIA]],tabSindicatos[],6,0),0)</f>
        <v>29.15</v>
      </c>
      <c r="AC221" s="234">
        <f>IFERROR(VLOOKUP(tabParametros[[#This Row],[CCT DA CATEGORIA]],tabSindicatos[],7,0),0)</f>
        <v>0</v>
      </c>
      <c r="AD221" s="234" cm="1">
        <f t="array" ref="AD221">_xlfn.LET(
_xlpm.COMARCA, TRIM(UPPER(SUBSTITUTE(SUBSTITUTE(SUBSTITUTE(SUBSTITUTE(SUBSTITUTE(SUBSTITUTE(SUBSTITUTE(SUBSTITUTE(SUBSTITUTE(SUBSTITUTE(SUBSTITUTE(SUBSTITUTE(SUBSTITUTE(SUBSTITUTE(SUBSTITUTE(SUBSTITUTE(SUBSTITUTE(SUBSTITUTE(SUBSTITUTE(SUBSTITUTE(SUBSTITUTE(SUBSTITUTE(SUBSTITUTE(SUBSTITUTE(SUBSTITUTE(SUBSTITUTE(tabParametros[[#This Row],[Comarca]],"á","a"),"ã","a"),"â","a"),"é","e"),"ê","e"),"í","i"),"ó","o"),"õ","o"),"ô","o"),"ú","u"),"ç","c"),"Á","a"),"Ã","a"),"Â","a"),"É","e"),"Ê","e"),"Í","i"),"Ó","o"),"Õ","o"),"Ô","o"),"Ú","u"),"Ç","c"),"/MG","")," e ",", ")," ",""),".",""))),
_xlpm.MATRIZ_COMARCA, TRIM(UPPER(SUBSTITUTE(SUBSTITUTE(SUBSTITUTE(SUBSTITUTE(SUBSTITUTE(SUBSTITUTE(SUBSTITUTE(SUBSTITUTE(SUBSTITUTE(SUBSTITUTE(SUBSTITUTE(SUBSTITUTE(SUBSTITUTE(SUBSTITUTE(SUBSTITUTE(SUBSTITUTE(SUBSTITUTE(SUBSTITUTE(SUBSTITUTE(SUBSTITUTE(SUBSTITUTE(SUBSTITUTE(SUBSTITUTE(SUBSTITUTE(SUBSTITUTE(SUBSTITUTE(tabSindicatos[COMARCAS PAF],"á","a"),"ã","a"),"â","a"),"é","e"),"ê","e"),"í","i"),"ó","o"),"õ","o"),"ô","o"),"ú","u"),"ç","c"),"Á","a"),"Ã","a"),"Â","a"),"É","e"),"Ê","e"),"Í","i"),"Ó","o"),"Õ","o"),"Ô","o"),"Ú","u"),"Ç","c"),"/MG","")," e ",", ")," ",""),".",""))),
IFERROR(IF(_xlfn.XLOOKUP(tabParametros[[#This Row],[CCT DA CATEGORIA]],tabSindicatos[SINDICATOS],tabSindicatos[COMARCAS PAF])="",
VLOOKUP(tabParametros[[#This Row],[CCT DA CATEGORIA]],tabSindicatos[],8,0),
IF(ISNUMBER(SEARCH(TRIM(_xlpm.COMARCA),_xlfn.XLOOKUP(tabParametros[[#This Row],[CCT DA CATEGORIA]],tabSindicatos[SINDICATOS],_xlpm.MATRIZ_COMARCA),1)),VLOOKUP(tabParametros[[#This Row],[CCT DA CATEGORIA]],tabSindicatos[],8,0),0)
),0)
)</f>
        <v>0</v>
      </c>
      <c r="AE221" s="234">
        <f>IFERROR(VLOOKUP(tabParametros[[#This Row],[CCT DA CATEGORIA]],tabSindicatos[],9,0),0)</f>
        <v>0</v>
      </c>
      <c r="AF221" s="234">
        <f>IFERROR(VLOOKUP(tabParametros[[#This Row],[CCT DA CATEGORIA]],tabSindicatos[],10,0),0)</f>
        <v>0</v>
      </c>
      <c r="AG221" s="236">
        <f>VLOOKUP(tabParametros[[#Headers],[Seguro de Vida]],tabOutrosCustos[],3,0)</f>
        <v>3.36</v>
      </c>
      <c r="AH221" s="236">
        <f>IF(ISNUMBER(SEARCH("MOTORISTA",tabParametros[[#This Row],[Função]],1)),VLOOKUP("MOTORISTAS",tabDiarias[],2,0),IF(tabParametros[[#This Row],[Comarca]]="Belo Horizonte",VLOOKUP("LIMPEZA",tabDiarias[],2,0),0))</f>
        <v>0</v>
      </c>
      <c r="AI221" s="235">
        <f t="shared" si="35"/>
        <v>7.011766975308642E-3</v>
      </c>
      <c r="AJ221" s="237">
        <f>tabParametros[[#This Row],[FGTS]]*tabParametros[[#This Row],[Aviso Prévio Indenizado (API) e Reflexo do Aviso Prévio Indenizado]]</f>
        <v>5.609413580246914E-4</v>
      </c>
      <c r="AK221" s="237">
        <f>tabParametros[[#This Row],[FGTS]]*tabParametros[[#This Row],[Aviso Prévio Indenizado (API) e Reflexo do Aviso Prévio Indenizado]]*40%</f>
        <v>2.2437654320987658E-4</v>
      </c>
      <c r="AL221" s="235">
        <f t="shared" si="36"/>
        <v>3.5000000000000005E-3</v>
      </c>
      <c r="AM221" s="235">
        <f>tabParametros[[#This Row],[Aviso Prévio Trabalhado - APT]]*SUM(tabParametros[[#This Row],[INSS]:[SEBRAE]])</f>
        <v>1.3230000000000004E-3</v>
      </c>
      <c r="AN221" s="235">
        <f t="shared" si="37"/>
        <v>3.0577777777777773E-2</v>
      </c>
      <c r="AO221" s="235">
        <f t="shared" si="38"/>
        <v>8.3333333333333339E-4</v>
      </c>
      <c r="AP221" s="235">
        <f t="shared" si="39"/>
        <v>8.4444444444444437E-3</v>
      </c>
      <c r="AQ221" s="235">
        <f t="shared" si="40"/>
        <v>2.0277777777777777E-3</v>
      </c>
      <c r="AR221" s="235">
        <f t="shared" si="41"/>
        <v>1.7083333333333333E-4</v>
      </c>
      <c r="AS221" s="235">
        <f t="shared" si="42"/>
        <v>2.0833333333333335E-4</v>
      </c>
      <c r="AT221" s="235">
        <f t="shared" si="43"/>
        <v>1.2962962962962963E-3</v>
      </c>
      <c r="AU221" s="237">
        <f>SUM(tabParametros[[#This Row],[Ausência por Doença]:[Férias, Adicional de Férias e 13º  com empregada em gozo de Licença Maternidade]])*SUM(tabParametros[[#This Row],[INSS]:[SEBRAE]])</f>
        <v>4.5918250000000008E-3</v>
      </c>
      <c r="AV221" s="234">
        <f>IF(tabParametros[[#This Row],[Função]]="Porteiro - 220 h",SUM(tabParametros[[#This Row],[Salário Base]:[Adicional de Acúmulo de função]])/220*20*1.5,IF(ISNUMBER(SEARCH("12 x 36",tabParametros[[#This Row],[Função]],1)),SUM(tabParametros[[#This Row],[Salário Base]:[Adicional de Acúmulo de função]])/210*15.5*1.5,0))</f>
        <v>0</v>
      </c>
      <c r="AW221" s="234">
        <f>IF(tabParametros[[#This Row],[Vagas contratadas]]&gt;0,(SUM(tabParametros[[#This Row],[Salário Base]:[Adicional de Acúmulo de função]])*30%+SUM(tabParametros[[#This Row],[Vale - Alimentação]:[Seguro de Vida]]))/tabParametros[[#This Row],[Vagas contratadas]]*tabParametros[[#This Row],[Vagas suspensas]],0)</f>
        <v>0</v>
      </c>
      <c r="AX221" s="234">
        <f>SUMIF(tabUniformes[Cargo],tabParametros[[#This Row],[Função]],tabUniformes[Valor unit. Mensal])</f>
        <v>100.80916666666666</v>
      </c>
      <c r="AY221" s="281">
        <f>IF(ISNUMBER(SEARCH("AUXILIAR DE LIMPEZA - 75 H",tabParametros[[#This Row],[Função]],1)),
SUMIF(tabLimpGeral[TIPO],"Material",tabLimpGeral[VALOR UNITÁRIO P/ HORA (R$)])*75,
IF(ISNUMBER(SEARCH("AUXILIAR DE LIMPEZA - 110 H",tabParametros[[#This Row],[Função]],1)),
SUMIF(tabLimpGeral[TIPO],"Material",tabLimpGeral[VALOR UNITÁRIO P/ HORA (R$)])*110,
IF(ISNUMBER(SEARCH("AUXILIAR DE LIMPEZA - 150 H",tabParametros[[#This Row],[Função]],1)),
SUMIF(tabLimpGeral[TIPO],"Material",tabLimpGeral[VALOR UNITÁRIO P/ HORA (R$)])*150,
IF(ISNUMBER(SEARCH("AUXILIAR DE LIMPEZA - 220 H",tabParametros[[#This Row],[Função]],1)),
SUMIF(tabLimpGeral[TIPO],"Material",tabLimpGeral[VALOR UNITÁRIO P/ HORA (R$)])*220,
IF(ISNUMBER(SEARCH("AUXILIAR DE LIMPEZA - 12 x 36",tabParametros[[#This Row],[Função]],1)),
SUMIF(tabLimpGeral[TIPO],"Material",tabLimpGeral[VALOR UNITÁRIO P/ HORA (R$)])*220,
IF(ISNUMBER(SEARCH("Limpador de vidros - 220 h",tabParametros[[#This Row],[Função]],1)),
SUMIF(tabVidros[TIPO],"Material",tabVidros[VALOR UNITÁRIO P/ POSTO (R$)]),
0))))))</f>
        <v>35.518212958583888</v>
      </c>
      <c r="AZ221" s="281">
        <f>IF(ISNUMBER(SEARCH("AUXILIAR DE LIMPEZA - 75 H",tabParametros[[#This Row],[Função]],1)),
SUMIF(tabLimpGeral[TIPO],"Equipamento",tabLimpGeral[VALOR UNITÁRIO P/ HORA (R$)])*75,
IF(ISNUMBER(SEARCH("AUXILIAR DE LIMPEZA - 110 H",tabParametros[[#This Row],[Função]],1)),
SUMIF(tabLimpGeral[TIPO],"Equipamento",tabLimpGeral[VALOR UNITÁRIO P/ HORA (R$)])*110,
IF(ISNUMBER(SEARCH("AUXILIAR DE LIMPEZA - 150 H",tabParametros[[#This Row],[Função]],1)),
SUMIF(tabLimpGeral[TIPO],"Equipamento",tabLimpGeral[VALOR UNITÁRIO P/ HORA (R$)])*150,
IF(ISNUMBER(SEARCH("AUXILIAR DE LIMPEZA - 220 H",tabParametros[[#This Row],[Função]],1)),
SUMIF(tabLimpGeral[TIPO],"Equipamento",tabLimpGeral[VALOR UNITÁRIO P/ HORA (R$)])*220,
IF(ISNUMBER(SEARCH("AUXILIAR DE LIMPEZA - 12 x 36",tabParametros[[#This Row],[Função]],1)),
SUMIF(tabLimpGeral[TIPO],"Equipamento",tabLimpGeral[VALOR UNITÁRIO P/ HORA (R$)])*220,
IF(ISNUMBER(SEARCH("Limpador de vidros - 220 h",tabParametros[[#This Row],[Função]],1)),
SUMIF(tabVidros[TIPO],"Equipamento",tabVidros[VALOR UNITÁRIO P/ POSTO (R$)]),
0))))))</f>
        <v>64.529393914825576</v>
      </c>
      <c r="BA221" s="281">
        <f>IF(ISNUMBER(SEARCH("AUXILIAR DE LIMPEZA - 75 H",tabParametros[[#This Row],[Função]],1)),
SUMIF(tabLimpGeral[TIPO],"Produto",tabLimpGeral[VALOR UNITÁRIO P/ HORA (R$)])*75,
IF(ISNUMBER(SEARCH("AUXILIAR DE LIMPEZA - 110 H",tabParametros[[#This Row],[Função]],1)),
SUMIF(tabLimpGeral[TIPO],"Produto",tabLimpGeral[VALOR UNITÁRIO P/ HORA (R$)])*110,
IF(ISNUMBER(SEARCH("AUXILIAR DE LIMPEZA - 150 H",tabParametros[[#This Row],[Função]],1)),
SUMIF(tabLimpGeral[TIPO],"Produto",tabLimpGeral[VALOR UNITÁRIO P/ HORA (R$)])*150,
IF(ISNUMBER(SEARCH("AUXILIAR DE LIMPEZA - 220 H",tabParametros[[#This Row],[Função]],1)),
SUMIF(tabLimpGeral[TIPO],"Produto",tabLimpGeral[VALOR UNITÁRIO P/ HORA (R$)])*220,
IF(ISNUMBER(SEARCH("AUXILIAR DE LIMPEZA - 12 x 36",tabParametros[[#This Row],[Função]],1)),
SUMIF(tabLimpGeral[TIPO],"Produto",tabLimpGeral[VALOR UNITÁRIO P/ HORA (R$)])*220,
IF(ISNUMBER(SEARCH("Limpador de vidros - 220 h",tabParametros[[#This Row],[Função]],1)),
SUMIF(tabVidros[TIPO],"Produto",tabVidros[VALOR UNITÁRIO P/ POSTO (R$)]),
0))))))</f>
        <v>690.27153277931654</v>
      </c>
      <c r="BB221" s="281">
        <v>0</v>
      </c>
      <c r="BC221" s="236">
        <f>VLOOKUP(tabParametros[[#Headers],[Custos Indiretos]],tabOutrosCustos[],3,0)</f>
        <v>189.64880140242613</v>
      </c>
      <c r="BD221" s="236">
        <f>VLOOKUP(tabParametros[[#Headers],[Lucro]],tabOutrosCustos[],3,0)</f>
        <v>159.30499317803796</v>
      </c>
      <c r="BE221" s="235">
        <f>VLOOKUP(tabParametros[[#Headers],[COFINS]],tabImpostosNacionais[],2,0)</f>
        <v>7.5999999999999998E-2</v>
      </c>
      <c r="BF221" s="235">
        <f>VLOOKUP(tabParametros[[#Headers],[PIS]],tabImpostosNacionais[],2,0)</f>
        <v>1.6500000000000001E-2</v>
      </c>
      <c r="BG221" s="235">
        <f>VLOOKUP(tabParametros[[#This Row],[Comarca]],tabComarca[],4,0)</f>
        <v>0.02</v>
      </c>
      <c r="BH221" s="238">
        <f>IFERROR(VLOOKUP(tabParametros[[#This Row],[CCT DA CATEGORIA]],tabSindicatos[],11,0),"")</f>
        <v>45658</v>
      </c>
      <c r="BI221" s="289" t="str">
        <f>IFERROR(VLOOKUP(tabParametros[[#This Row],[CCT DA CATEGORIA]],tabSindicatos[],12,0),"")</f>
        <v>-</v>
      </c>
      <c r="BJ221" s="293" t="str">
        <f>IFERROR(VLOOKUP(tabParametros[[#This Row],[CCT DA CATEGORIA]],tabSindicatos[],13,0),"")</f>
        <v>-</v>
      </c>
    </row>
    <row r="222" spans="1:62" x14ac:dyDescent="0.25">
      <c r="A222" s="233" t="s">
        <v>1557</v>
      </c>
      <c r="B222" s="198" t="s">
        <v>202</v>
      </c>
      <c r="C222" s="198" t="s">
        <v>1247</v>
      </c>
      <c r="D222" s="198" t="str">
        <f>VLOOKUP(tabParametros[[#This Row],[Código do Posto]],tabPostos[],4,0)</f>
        <v>Regiao de Sao Lourenco</v>
      </c>
      <c r="E222" s="289" t="str">
        <f>VLOOKUP(tabParametros[[#This Row],[Código do Posto]],tabPostos[],5,0)</f>
        <v>Limpeza</v>
      </c>
      <c r="F222" s="289" t="str">
        <f>VLOOKUP(tabParametros[[#This Row],[Código do Posto]],tabPostos[],6,0)</f>
        <v>PGJ</v>
      </c>
      <c r="G222" s="289">
        <f>VLOOKUP(tabParametros[[#This Row],[Código do Posto]],tabPostos[],7,0)</f>
        <v>1</v>
      </c>
      <c r="H222" s="289">
        <f>VLOOKUP(tabParametros[[#This Row],[Código do Posto]],tabPostos[],8,0)</f>
        <v>0</v>
      </c>
      <c r="I222" s="234">
        <f>VLOOKUP(tabParametros[[#This Row],[Código do Posto]],tabPostos[],9,0)</f>
        <v>544.17999999999995</v>
      </c>
      <c r="J222" s="234">
        <f>IF(ISNUMBER(SEARCH("Eletricista",tabParametros[[#This Row],[Função]],1)),0.3*tabParametros[[#This Row],[Salário Base]],0)</f>
        <v>0</v>
      </c>
      <c r="K222" s="234">
        <f>IF(OR(ISNUMBER(SEARCH("Bombeiro Hidraulico",tabParametros[[#This Row],[Função]],1)),ISNUMBER(SEARCH("Jardineiro",tabParametros[[#This Row],[Função]],1)),ISNUMBER(SEARCH("Lavador de Veiculos",tabParametros[[#This Row],[Função]],1)),ISNUMBER(SEARCH("Marceneiro",tabParametros[[#This Row],[Função]],1)),ISNUMBER(SEARCH("Pintor",tabParametros[[#This Row],[Função]],1))),0.2*'BASE GERAL'!$R$4,0)</f>
        <v>0</v>
      </c>
      <c r="L222" s="234">
        <f>IF(AND(ISNUMBER(SEARCH("Noturno",tabParametros[[#This Row],[Função]],1)),tabParametros[[#This Row],[Comarca]]&lt;&gt;"Juiz de Fora"),tabParametros[[#This Row],[Salário Base]]/210*0.39*7*15.5,IF(ISNUMBER(SEARCH("Noturno",tabParametros[[#This Row],[Função]],1)),tabParametros[[#This Row],[Salário Base]]/210*0.2*8*15.5,0))</f>
        <v>0</v>
      </c>
      <c r="M222" s="234">
        <f>IF(ISNUMBER(SEARCH("Motorista II",tabParametros[[#This Row],[Função]],1)),0.25*tabParametros[[#This Row],[Salário Base]],0)</f>
        <v>0</v>
      </c>
      <c r="N222" s="250">
        <v>0</v>
      </c>
      <c r="O222" s="234">
        <f>IF(ISNUMBER(SEARCH("TECNOLOGIA DA INFORMACAO",tabParametros[[#This Row],[Função]],1)),0.0201*tabParametros[[#This Row],[Salário Base]],0)</f>
        <v>0</v>
      </c>
      <c r="P222" s="250" cm="1">
        <f t="array" ref="P222">_xlfn.IFS(
ISNUMBER(SEARCH("Auxiliar de Limpeza - 75 h",tabParametros[[#This Row],[Função]],1)),tabParametros[[#This Row],[Salário Base]]/75*0.75*30*0.12,
ISNUMBER(SEARCH("Auxiliar de Limpeza - 110 h",tabParametros[[#This Row],[Função]],1)),tabParametros[[#This Row],[Salário Base]]/110*1*30*0.12,
ISNUMBER(SEARCH("Auxiliar de Limpeza - 150 h",tabParametros[[#This Row],[Função]],1)),tabParametros[[#This Row],[Salário Base]]/150*1.5*30*0.12,
ISNUMBER(SEARCH("Auxiliar de Limpeza - 220 h",tabParametros[[#This Row],[Função]],1)),tabParametros[[#This Row],[Salário Base]]/220*2*30*0.12,
ISNUMBER(SEARCH("Auxiliar de Limpeza - 12 x 36",tabParametros[[#This Row],[Função]],1)),tabParametros[[#This Row],[Salário Base]]/220*2*30*0.12,
ISNUMBER(SEARCH("Auxiliar de Limpeza - 55 h",tabParametros[[#This Row],[Função]],1))=FALSE,0)</f>
        <v>19.590479999999999</v>
      </c>
      <c r="Q222" s="235">
        <f>VLOOKUP(tabParametros[[#Headers],[INSS]],tabImpostosNacionais[],2,0)</f>
        <v>0.2</v>
      </c>
      <c r="R222" s="235">
        <f>VLOOKUP(tabParametros[[#Headers],[SESI OU SESC]],tabImpostosNacionais[],2,0)</f>
        <v>1.4999999999999999E-2</v>
      </c>
      <c r="S222" s="235">
        <f>VLOOKUP(tabParametros[[#Headers],[SENAI OU SENAC]],tabImpostosNacionais[],2,0)</f>
        <v>0.01</v>
      </c>
      <c r="T222" s="235">
        <f>VLOOKUP(tabParametros[[#Headers],[INCRA]],tabImpostosNacionais[],2,0)</f>
        <v>2E-3</v>
      </c>
      <c r="U222" s="235">
        <f>VLOOKUP(tabParametros[[#Headers],[Salário Educação]],tabImpostosNacionais[],2,0)</f>
        <v>2.5000000000000001E-2</v>
      </c>
      <c r="V222" s="235">
        <f>VLOOKUP(tabParametros[[#Headers],[FGTS]],tabImpostosNacionais[],2,0)</f>
        <v>0.08</v>
      </c>
      <c r="W222" s="235">
        <f>VLOOKUP(tabParametros[[#Headers],[RAT Ajustado]],tabImpostosNacionais[],2,0)</f>
        <v>0.04</v>
      </c>
      <c r="X222" s="235">
        <f>VLOOKUP(tabParametros[[#Headers],[SEBRAE]],tabImpostosNacionais[],2,0)</f>
        <v>6.0000000000000001E-3</v>
      </c>
      <c r="Y222" s="235">
        <f t="shared" si="33"/>
        <v>8.3333333333333329E-2</v>
      </c>
      <c r="Z222" s="251">
        <f t="shared" si="34"/>
        <v>0.1111111111111111</v>
      </c>
      <c r="AA222" s="234">
        <f>VLOOKUP(tabParametros[[#This Row],[Comarca]],tabComarca[],5,0)</f>
        <v>6.4</v>
      </c>
      <c r="AB222" s="234">
        <f>IFERROR(VLOOKUP(tabParametros[[#This Row],[CCT DA CATEGORIA]],tabSindicatos[],6,0),0)</f>
        <v>29.15</v>
      </c>
      <c r="AC222" s="234">
        <f>IFERROR(VLOOKUP(tabParametros[[#This Row],[CCT DA CATEGORIA]],tabSindicatos[],7,0),0)</f>
        <v>0</v>
      </c>
      <c r="AD222" s="234" cm="1">
        <f t="array" ref="AD222">_xlfn.LET(
_xlpm.COMARCA, TRIM(UPPER(SUBSTITUTE(SUBSTITUTE(SUBSTITUTE(SUBSTITUTE(SUBSTITUTE(SUBSTITUTE(SUBSTITUTE(SUBSTITUTE(SUBSTITUTE(SUBSTITUTE(SUBSTITUTE(SUBSTITUTE(SUBSTITUTE(SUBSTITUTE(SUBSTITUTE(SUBSTITUTE(SUBSTITUTE(SUBSTITUTE(SUBSTITUTE(SUBSTITUTE(SUBSTITUTE(SUBSTITUTE(SUBSTITUTE(SUBSTITUTE(SUBSTITUTE(SUBSTITUTE(tabParametros[[#This Row],[Comarca]],"á","a"),"ã","a"),"â","a"),"é","e"),"ê","e"),"í","i"),"ó","o"),"õ","o"),"ô","o"),"ú","u"),"ç","c"),"Á","a"),"Ã","a"),"Â","a"),"É","e"),"Ê","e"),"Í","i"),"Ó","o"),"Õ","o"),"Ô","o"),"Ú","u"),"Ç","c"),"/MG","")," e ",", ")," ",""),".",""))),
_xlpm.MATRIZ_COMARCA, TRIM(UPPER(SUBSTITUTE(SUBSTITUTE(SUBSTITUTE(SUBSTITUTE(SUBSTITUTE(SUBSTITUTE(SUBSTITUTE(SUBSTITUTE(SUBSTITUTE(SUBSTITUTE(SUBSTITUTE(SUBSTITUTE(SUBSTITUTE(SUBSTITUTE(SUBSTITUTE(SUBSTITUTE(SUBSTITUTE(SUBSTITUTE(SUBSTITUTE(SUBSTITUTE(SUBSTITUTE(SUBSTITUTE(SUBSTITUTE(SUBSTITUTE(SUBSTITUTE(SUBSTITUTE(tabSindicatos[COMARCAS PAF],"á","a"),"ã","a"),"â","a"),"é","e"),"ê","e"),"í","i"),"ó","o"),"õ","o"),"ô","o"),"ú","u"),"ç","c"),"Á","a"),"Ã","a"),"Â","a"),"É","e"),"Ê","e"),"Í","i"),"Ó","o"),"Õ","o"),"Ô","o"),"Ú","u"),"Ç","c"),"/MG","")," e ",", ")," ",""),".",""))),
IFERROR(IF(_xlfn.XLOOKUP(tabParametros[[#This Row],[CCT DA CATEGORIA]],tabSindicatos[SINDICATOS],tabSindicatos[COMARCAS PAF])="",
VLOOKUP(tabParametros[[#This Row],[CCT DA CATEGORIA]],tabSindicatos[],8,0),
IF(ISNUMBER(SEARCH(TRIM(_xlpm.COMARCA),_xlfn.XLOOKUP(tabParametros[[#This Row],[CCT DA CATEGORIA]],tabSindicatos[SINDICATOS],_xlpm.MATRIZ_COMARCA),1)),VLOOKUP(tabParametros[[#This Row],[CCT DA CATEGORIA]],tabSindicatos[],8,0),0)
),0)
)</f>
        <v>0</v>
      </c>
      <c r="AE222" s="234">
        <f>IFERROR(VLOOKUP(tabParametros[[#This Row],[CCT DA CATEGORIA]],tabSindicatos[],9,0),0)</f>
        <v>0</v>
      </c>
      <c r="AF222" s="234">
        <f>IFERROR(VLOOKUP(tabParametros[[#This Row],[CCT DA CATEGORIA]],tabSindicatos[],10,0),0)</f>
        <v>0</v>
      </c>
      <c r="AG222" s="236">
        <f>VLOOKUP(tabParametros[[#Headers],[Seguro de Vida]],tabOutrosCustos[],3,0)</f>
        <v>3.36</v>
      </c>
      <c r="AH222" s="236">
        <f>IF(ISNUMBER(SEARCH("MOTORISTA",tabParametros[[#This Row],[Função]],1)),VLOOKUP("MOTORISTAS",tabDiarias[],2,0),IF(tabParametros[[#This Row],[Comarca]]="Belo Horizonte",VLOOKUP("LIMPEZA",tabDiarias[],2,0),0))</f>
        <v>0</v>
      </c>
      <c r="AI222" s="235">
        <f t="shared" si="35"/>
        <v>7.011766975308642E-3</v>
      </c>
      <c r="AJ222" s="237">
        <f>tabParametros[[#This Row],[FGTS]]*tabParametros[[#This Row],[Aviso Prévio Indenizado (API) e Reflexo do Aviso Prévio Indenizado]]</f>
        <v>5.609413580246914E-4</v>
      </c>
      <c r="AK222" s="237">
        <f>tabParametros[[#This Row],[FGTS]]*tabParametros[[#This Row],[Aviso Prévio Indenizado (API) e Reflexo do Aviso Prévio Indenizado]]*40%</f>
        <v>2.2437654320987658E-4</v>
      </c>
      <c r="AL222" s="235">
        <f t="shared" si="36"/>
        <v>3.5000000000000005E-3</v>
      </c>
      <c r="AM222" s="235">
        <f>tabParametros[[#This Row],[Aviso Prévio Trabalhado - APT]]*SUM(tabParametros[[#This Row],[INSS]:[SEBRAE]])</f>
        <v>1.3230000000000004E-3</v>
      </c>
      <c r="AN222" s="235">
        <f t="shared" si="37"/>
        <v>3.0577777777777773E-2</v>
      </c>
      <c r="AO222" s="235">
        <f t="shared" si="38"/>
        <v>8.3333333333333339E-4</v>
      </c>
      <c r="AP222" s="235">
        <f t="shared" si="39"/>
        <v>8.4444444444444437E-3</v>
      </c>
      <c r="AQ222" s="235">
        <f t="shared" si="40"/>
        <v>2.0277777777777777E-3</v>
      </c>
      <c r="AR222" s="235">
        <f t="shared" si="41"/>
        <v>1.7083333333333333E-4</v>
      </c>
      <c r="AS222" s="235">
        <f t="shared" si="42"/>
        <v>2.0833333333333335E-4</v>
      </c>
      <c r="AT222" s="235">
        <f t="shared" si="43"/>
        <v>1.2962962962962963E-3</v>
      </c>
      <c r="AU222" s="237">
        <f>SUM(tabParametros[[#This Row],[Ausência por Doença]:[Férias, Adicional de Férias e 13º  com empregada em gozo de Licença Maternidade]])*SUM(tabParametros[[#This Row],[INSS]:[SEBRAE]])</f>
        <v>4.5918250000000008E-3</v>
      </c>
      <c r="AV222" s="234">
        <f>IF(tabParametros[[#This Row],[Função]]="Porteiro - 220 h",SUM(tabParametros[[#This Row],[Salário Base]:[Adicional de Acúmulo de função]])/220*20*1.5,IF(ISNUMBER(SEARCH("12 x 36",tabParametros[[#This Row],[Função]],1)),SUM(tabParametros[[#This Row],[Salário Base]:[Adicional de Acúmulo de função]])/210*15.5*1.5,0))</f>
        <v>0</v>
      </c>
      <c r="AW222" s="234">
        <f>IF(tabParametros[[#This Row],[Vagas contratadas]]&gt;0,(SUM(tabParametros[[#This Row],[Salário Base]:[Adicional de Acúmulo de função]])*30%+SUM(tabParametros[[#This Row],[Vale - Alimentação]:[Seguro de Vida]]))/tabParametros[[#This Row],[Vagas contratadas]]*tabParametros[[#This Row],[Vagas suspensas]],0)</f>
        <v>0</v>
      </c>
      <c r="AX222" s="234">
        <f>SUMIF(tabUniformes[Cargo],tabParametros[[#This Row],[Função]],tabUniformes[Valor unit. Mensal])</f>
        <v>62.806666666666665</v>
      </c>
      <c r="AY222" s="281">
        <f>IF(ISNUMBER(SEARCH("AUXILIAR DE LIMPEZA - 75 H",tabParametros[[#This Row],[Função]],1)),
SUMIF(tabLimpGeral[TIPO],"Material",tabLimpGeral[VALOR UNITÁRIO P/ HORA (R$)])*75,
IF(ISNUMBER(SEARCH("AUXILIAR DE LIMPEZA - 110 H",tabParametros[[#This Row],[Função]],1)),
SUMIF(tabLimpGeral[TIPO],"Material",tabLimpGeral[VALOR UNITÁRIO P/ HORA (R$)])*110,
IF(ISNUMBER(SEARCH("AUXILIAR DE LIMPEZA - 150 H",tabParametros[[#This Row],[Função]],1)),
SUMIF(tabLimpGeral[TIPO],"Material",tabLimpGeral[VALOR UNITÁRIO P/ HORA (R$)])*150,
IF(ISNUMBER(SEARCH("AUXILIAR DE LIMPEZA - 220 H",tabParametros[[#This Row],[Função]],1)),
SUMIF(tabLimpGeral[TIPO],"Material",tabLimpGeral[VALOR UNITÁRIO P/ HORA (R$)])*220,
IF(ISNUMBER(SEARCH("AUXILIAR DE LIMPEZA - 12 x 36",tabParametros[[#This Row],[Função]],1)),
SUMIF(tabLimpGeral[TIPO],"Material",tabLimpGeral[VALOR UNITÁRIO P/ HORA (R$)])*220,
IF(ISNUMBER(SEARCH("Limpador de vidros - 220 h",tabParametros[[#This Row],[Função]],1)),
SUMIF(tabVidros[TIPO],"Material",tabVidros[VALOR UNITÁRIO P/ POSTO (R$)]),
0))))))</f>
        <v>12.108481690426325</v>
      </c>
      <c r="AZ222" s="281">
        <f>IF(ISNUMBER(SEARCH("AUXILIAR DE LIMPEZA - 75 H",tabParametros[[#This Row],[Função]],1)),
SUMIF(tabLimpGeral[TIPO],"Equipamento",tabLimpGeral[VALOR UNITÁRIO P/ HORA (R$)])*75,
IF(ISNUMBER(SEARCH("AUXILIAR DE LIMPEZA - 110 H",tabParametros[[#This Row],[Função]],1)),
SUMIF(tabLimpGeral[TIPO],"Equipamento",tabLimpGeral[VALOR UNITÁRIO P/ HORA (R$)])*110,
IF(ISNUMBER(SEARCH("AUXILIAR DE LIMPEZA - 150 H",tabParametros[[#This Row],[Função]],1)),
SUMIF(tabLimpGeral[TIPO],"Equipamento",tabLimpGeral[VALOR UNITÁRIO P/ HORA (R$)])*150,
IF(ISNUMBER(SEARCH("AUXILIAR DE LIMPEZA - 220 H",tabParametros[[#This Row],[Função]],1)),
SUMIF(tabLimpGeral[TIPO],"Equipamento",tabLimpGeral[VALOR UNITÁRIO P/ HORA (R$)])*220,
IF(ISNUMBER(SEARCH("AUXILIAR DE LIMPEZA - 12 x 36",tabParametros[[#This Row],[Função]],1)),
SUMIF(tabLimpGeral[TIPO],"Equipamento",tabLimpGeral[VALOR UNITÁRIO P/ HORA (R$)])*220,
IF(ISNUMBER(SEARCH("Limpador de vidros - 220 h",tabParametros[[#This Row],[Função]],1)),
SUMIF(tabVidros[TIPO],"Equipamento",tabVidros[VALOR UNITÁRIO P/ POSTO (R$)]),
0))))))</f>
        <v>21.998657016417809</v>
      </c>
      <c r="BA222" s="281">
        <f>IF(ISNUMBER(SEARCH("AUXILIAR DE LIMPEZA - 75 H",tabParametros[[#This Row],[Função]],1)),
SUMIF(tabLimpGeral[TIPO],"Produto",tabLimpGeral[VALOR UNITÁRIO P/ HORA (R$)])*75,
IF(ISNUMBER(SEARCH("AUXILIAR DE LIMPEZA - 110 H",tabParametros[[#This Row],[Função]],1)),
SUMIF(tabLimpGeral[TIPO],"Produto",tabLimpGeral[VALOR UNITÁRIO P/ HORA (R$)])*110,
IF(ISNUMBER(SEARCH("AUXILIAR DE LIMPEZA - 150 H",tabParametros[[#This Row],[Função]],1)),
SUMIF(tabLimpGeral[TIPO],"Produto",tabLimpGeral[VALOR UNITÁRIO P/ HORA (R$)])*150,
IF(ISNUMBER(SEARCH("AUXILIAR DE LIMPEZA - 220 H",tabParametros[[#This Row],[Função]],1)),
SUMIF(tabLimpGeral[TIPO],"Produto",tabLimpGeral[VALOR UNITÁRIO P/ HORA (R$)])*220,
IF(ISNUMBER(SEARCH("AUXILIAR DE LIMPEZA - 12 x 36",tabParametros[[#This Row],[Função]],1)),
SUMIF(tabLimpGeral[TIPO],"Produto",tabLimpGeral[VALOR UNITÁRIO P/ HORA (R$)])*220,
IF(ISNUMBER(SEARCH("Limpador de vidros - 220 h",tabParametros[[#This Row],[Função]],1)),
SUMIF(tabVidros[TIPO],"Produto",tabVidros[VALOR UNITÁRIO P/ POSTO (R$)]),
0))))))</f>
        <v>235.31984072022155</v>
      </c>
      <c r="BB222" s="281">
        <v>0</v>
      </c>
      <c r="BC222" s="236">
        <f>VLOOKUP(tabParametros[[#Headers],[Custos Indiretos]],tabOutrosCustos[],3,0)</f>
        <v>189.64880140242613</v>
      </c>
      <c r="BD222" s="236">
        <f>VLOOKUP(tabParametros[[#Headers],[Lucro]],tabOutrosCustos[],3,0)</f>
        <v>159.30499317803796</v>
      </c>
      <c r="BE222" s="235">
        <f>VLOOKUP(tabParametros[[#Headers],[COFINS]],tabImpostosNacionais[],2,0)</f>
        <v>7.5999999999999998E-2</v>
      </c>
      <c r="BF222" s="235">
        <f>VLOOKUP(tabParametros[[#Headers],[PIS]],tabImpostosNacionais[],2,0)</f>
        <v>1.6500000000000001E-2</v>
      </c>
      <c r="BG222" s="235">
        <f>VLOOKUP(tabParametros[[#This Row],[Comarca]],tabComarca[],4,0)</f>
        <v>0.02</v>
      </c>
      <c r="BH222" s="238">
        <f>IFERROR(VLOOKUP(tabParametros[[#This Row],[CCT DA CATEGORIA]],tabSindicatos[],11,0),"")</f>
        <v>45658</v>
      </c>
      <c r="BI222" s="289" t="str">
        <f>IFERROR(VLOOKUP(tabParametros[[#This Row],[CCT DA CATEGORIA]],tabSindicatos[],12,0),"")</f>
        <v>-</v>
      </c>
      <c r="BJ222" s="293" t="str">
        <f>IFERROR(VLOOKUP(tabParametros[[#This Row],[CCT DA CATEGORIA]],tabSindicatos[],13,0),"")</f>
        <v>-</v>
      </c>
    </row>
    <row r="223" spans="1:62" x14ac:dyDescent="0.25">
      <c r="A223" s="233" t="s">
        <v>1558</v>
      </c>
      <c r="B223" s="198" t="s">
        <v>203</v>
      </c>
      <c r="C223" s="198" t="s">
        <v>1246</v>
      </c>
      <c r="D223" s="198" t="str">
        <f>VLOOKUP(tabParametros[[#This Row],[Código do Posto]],tabPostos[],4,0)</f>
        <v>Alto Paranaiba</v>
      </c>
      <c r="E223" s="289" t="str">
        <f>VLOOKUP(tabParametros[[#This Row],[Código do Posto]],tabPostos[],5,0)</f>
        <v>Limpeza</v>
      </c>
      <c r="F223" s="289" t="str">
        <f>VLOOKUP(tabParametros[[#This Row],[Código do Posto]],tabPostos[],6,0)</f>
        <v>PGJ</v>
      </c>
      <c r="G223" s="289">
        <f>VLOOKUP(tabParametros[[#This Row],[Código do Posto]],tabPostos[],7,0)</f>
        <v>1</v>
      </c>
      <c r="H223" s="289">
        <f>VLOOKUP(tabParametros[[#This Row],[Código do Posto]],tabPostos[],8,0)</f>
        <v>0</v>
      </c>
      <c r="I223" s="234">
        <f>VLOOKUP(tabParametros[[#This Row],[Código do Posto]],tabPostos[],9,0)</f>
        <v>1088.3699999999999</v>
      </c>
      <c r="J223" s="234">
        <f>IF(ISNUMBER(SEARCH("Eletricista",tabParametros[[#This Row],[Função]],1)),0.3*tabParametros[[#This Row],[Salário Base]],0)</f>
        <v>0</v>
      </c>
      <c r="K223" s="234">
        <f>IF(OR(ISNUMBER(SEARCH("Bombeiro Hidraulico",tabParametros[[#This Row],[Função]],1)),ISNUMBER(SEARCH("Jardineiro",tabParametros[[#This Row],[Função]],1)),ISNUMBER(SEARCH("Lavador de Veiculos",tabParametros[[#This Row],[Função]],1)),ISNUMBER(SEARCH("Marceneiro",tabParametros[[#This Row],[Função]],1)),ISNUMBER(SEARCH("Pintor",tabParametros[[#This Row],[Função]],1))),0.2*'BASE GERAL'!$R$4,0)</f>
        <v>0</v>
      </c>
      <c r="L223" s="234">
        <f>IF(AND(ISNUMBER(SEARCH("Noturno",tabParametros[[#This Row],[Função]],1)),tabParametros[[#This Row],[Comarca]]&lt;&gt;"Juiz de Fora"),tabParametros[[#This Row],[Salário Base]]/210*0.39*7*15.5,IF(ISNUMBER(SEARCH("Noturno",tabParametros[[#This Row],[Função]],1)),tabParametros[[#This Row],[Salário Base]]/210*0.2*8*15.5,0))</f>
        <v>0</v>
      </c>
      <c r="M223" s="234">
        <f>IF(ISNUMBER(SEARCH("Motorista II",tabParametros[[#This Row],[Função]],1)),0.25*tabParametros[[#This Row],[Salário Base]],0)</f>
        <v>0</v>
      </c>
      <c r="N223" s="250">
        <v>0</v>
      </c>
      <c r="O223" s="234">
        <f>IF(ISNUMBER(SEARCH("TECNOLOGIA DA INFORMACAO",tabParametros[[#This Row],[Função]],1)),0.0201*tabParametros[[#This Row],[Salário Base]],0)</f>
        <v>0</v>
      </c>
      <c r="P223" s="250" cm="1">
        <f t="array" ref="P223">_xlfn.IFS(
ISNUMBER(SEARCH("Auxiliar de Limpeza - 75 h",tabParametros[[#This Row],[Função]],1)),tabParametros[[#This Row],[Salário Base]]/75*0.75*30*0.12,
ISNUMBER(SEARCH("Auxiliar de Limpeza - 110 h",tabParametros[[#This Row],[Função]],1)),tabParametros[[#This Row],[Salário Base]]/110*1*30*0.12,
ISNUMBER(SEARCH("Auxiliar de Limpeza - 150 h",tabParametros[[#This Row],[Função]],1)),tabParametros[[#This Row],[Salário Base]]/150*1.5*30*0.12,
ISNUMBER(SEARCH("Auxiliar de Limpeza - 220 h",tabParametros[[#This Row],[Função]],1)),tabParametros[[#This Row],[Salário Base]]/220*2*30*0.12,
ISNUMBER(SEARCH("Auxiliar de Limpeza - 12 x 36",tabParametros[[#This Row],[Função]],1)),tabParametros[[#This Row],[Salário Base]]/220*2*30*0.12,
ISNUMBER(SEARCH("Auxiliar de Limpeza - 55 h",tabParametros[[#This Row],[Função]],1))=FALSE,0)</f>
        <v>39.181319999999985</v>
      </c>
      <c r="Q223" s="235">
        <f>VLOOKUP(tabParametros[[#Headers],[INSS]],tabImpostosNacionais[],2,0)</f>
        <v>0.2</v>
      </c>
      <c r="R223" s="235">
        <f>VLOOKUP(tabParametros[[#Headers],[SESI OU SESC]],tabImpostosNacionais[],2,0)</f>
        <v>1.4999999999999999E-2</v>
      </c>
      <c r="S223" s="235">
        <f>VLOOKUP(tabParametros[[#Headers],[SENAI OU SENAC]],tabImpostosNacionais[],2,0)</f>
        <v>0.01</v>
      </c>
      <c r="T223" s="235">
        <f>VLOOKUP(tabParametros[[#Headers],[INCRA]],tabImpostosNacionais[],2,0)</f>
        <v>2E-3</v>
      </c>
      <c r="U223" s="235">
        <f>VLOOKUP(tabParametros[[#Headers],[Salário Educação]],tabImpostosNacionais[],2,0)</f>
        <v>2.5000000000000001E-2</v>
      </c>
      <c r="V223" s="235">
        <f>VLOOKUP(tabParametros[[#Headers],[FGTS]],tabImpostosNacionais[],2,0)</f>
        <v>0.08</v>
      </c>
      <c r="W223" s="235">
        <f>VLOOKUP(tabParametros[[#Headers],[RAT Ajustado]],tabImpostosNacionais[],2,0)</f>
        <v>0.04</v>
      </c>
      <c r="X223" s="235">
        <f>VLOOKUP(tabParametros[[#Headers],[SEBRAE]],tabImpostosNacionais[],2,0)</f>
        <v>6.0000000000000001E-3</v>
      </c>
      <c r="Y223" s="235">
        <f t="shared" si="33"/>
        <v>8.3333333333333329E-2</v>
      </c>
      <c r="Z223" s="251">
        <f t="shared" si="34"/>
        <v>0.1111111111111111</v>
      </c>
      <c r="AA223" s="234">
        <f>VLOOKUP(tabParametros[[#This Row],[Comarca]],tabComarca[],5,0)</f>
        <v>6.4</v>
      </c>
      <c r="AB223" s="234">
        <f>IFERROR(VLOOKUP(tabParametros[[#This Row],[CCT DA CATEGORIA]],tabSindicatos[],6,0),0)</f>
        <v>0</v>
      </c>
      <c r="AC223" s="234">
        <f>IFERROR(VLOOKUP(tabParametros[[#This Row],[CCT DA CATEGORIA]],tabSindicatos[],7,0),0)</f>
        <v>387.79</v>
      </c>
      <c r="AD223" s="234" cm="1">
        <f t="array" ref="AD223">_xlfn.LET(
_xlpm.COMARCA, TRIM(UPPER(SUBSTITUTE(SUBSTITUTE(SUBSTITUTE(SUBSTITUTE(SUBSTITUTE(SUBSTITUTE(SUBSTITUTE(SUBSTITUTE(SUBSTITUTE(SUBSTITUTE(SUBSTITUTE(SUBSTITUTE(SUBSTITUTE(SUBSTITUTE(SUBSTITUTE(SUBSTITUTE(SUBSTITUTE(SUBSTITUTE(SUBSTITUTE(SUBSTITUTE(SUBSTITUTE(SUBSTITUTE(SUBSTITUTE(SUBSTITUTE(SUBSTITUTE(SUBSTITUTE(tabParametros[[#This Row],[Comarca]],"á","a"),"ã","a"),"â","a"),"é","e"),"ê","e"),"í","i"),"ó","o"),"õ","o"),"ô","o"),"ú","u"),"ç","c"),"Á","a"),"Ã","a"),"Â","a"),"É","e"),"Ê","e"),"Í","i"),"Ó","o"),"Õ","o"),"Ô","o"),"Ú","u"),"Ç","c"),"/MG","")," e ",", ")," ",""),".",""))),
_xlpm.MATRIZ_COMARCA, TRIM(UPPER(SUBSTITUTE(SUBSTITUTE(SUBSTITUTE(SUBSTITUTE(SUBSTITUTE(SUBSTITUTE(SUBSTITUTE(SUBSTITUTE(SUBSTITUTE(SUBSTITUTE(SUBSTITUTE(SUBSTITUTE(SUBSTITUTE(SUBSTITUTE(SUBSTITUTE(SUBSTITUTE(SUBSTITUTE(SUBSTITUTE(SUBSTITUTE(SUBSTITUTE(SUBSTITUTE(SUBSTITUTE(SUBSTITUTE(SUBSTITUTE(SUBSTITUTE(SUBSTITUTE(tabSindicatos[COMARCAS PAF],"á","a"),"ã","a"),"â","a"),"é","e"),"ê","e"),"í","i"),"ó","o"),"õ","o"),"ô","o"),"ú","u"),"ç","c"),"Á","a"),"Ã","a"),"Â","a"),"É","e"),"Ê","e"),"Í","i"),"Ó","o"),"Õ","o"),"Ô","o"),"Ú","u"),"Ç","c"),"/MG","")," e ",", ")," ",""),".",""))),
IFERROR(IF(_xlfn.XLOOKUP(tabParametros[[#This Row],[CCT DA CATEGORIA]],tabSindicatos[SINDICATOS],tabSindicatos[COMARCAS PAF])="",
VLOOKUP(tabParametros[[#This Row],[CCT DA CATEGORIA]],tabSindicatos[],8,0),
IF(ISNUMBER(SEARCH(TRIM(_xlpm.COMARCA),_xlfn.XLOOKUP(tabParametros[[#This Row],[CCT DA CATEGORIA]],tabSindicatos[SINDICATOS],_xlpm.MATRIZ_COMARCA),1)),VLOOKUP(tabParametros[[#This Row],[CCT DA CATEGORIA]],tabSindicatos[],8,0),0)
),0)
)</f>
        <v>42.97</v>
      </c>
      <c r="AE223" s="234">
        <f>IFERROR(VLOOKUP(tabParametros[[#This Row],[CCT DA CATEGORIA]],tabSindicatos[],9,0),0)</f>
        <v>0</v>
      </c>
      <c r="AF223" s="234">
        <f>IFERROR(VLOOKUP(tabParametros[[#This Row],[CCT DA CATEGORIA]],tabSindicatos[],10,0),0)</f>
        <v>0</v>
      </c>
      <c r="AG223" s="236">
        <f>VLOOKUP(tabParametros[[#Headers],[Seguro de Vida]],tabOutrosCustos[],3,0)</f>
        <v>3.36</v>
      </c>
      <c r="AH223" s="236">
        <f>IF(ISNUMBER(SEARCH("MOTORISTA",tabParametros[[#This Row],[Função]],1)),VLOOKUP("MOTORISTAS",tabDiarias[],2,0),IF(tabParametros[[#This Row],[Comarca]]="Belo Horizonte",VLOOKUP("LIMPEZA",tabDiarias[],2,0),0))</f>
        <v>0</v>
      </c>
      <c r="AI223" s="235">
        <f t="shared" si="35"/>
        <v>7.011766975308642E-3</v>
      </c>
      <c r="AJ223" s="237">
        <f>tabParametros[[#This Row],[FGTS]]*tabParametros[[#This Row],[Aviso Prévio Indenizado (API) e Reflexo do Aviso Prévio Indenizado]]</f>
        <v>5.609413580246914E-4</v>
      </c>
      <c r="AK223" s="237">
        <f>tabParametros[[#This Row],[FGTS]]*tabParametros[[#This Row],[Aviso Prévio Indenizado (API) e Reflexo do Aviso Prévio Indenizado]]*40%</f>
        <v>2.2437654320987658E-4</v>
      </c>
      <c r="AL223" s="235">
        <f t="shared" si="36"/>
        <v>3.5000000000000005E-3</v>
      </c>
      <c r="AM223" s="235">
        <f>tabParametros[[#This Row],[Aviso Prévio Trabalhado - APT]]*SUM(tabParametros[[#This Row],[INSS]:[SEBRAE]])</f>
        <v>1.3230000000000004E-3</v>
      </c>
      <c r="AN223" s="235">
        <f t="shared" si="37"/>
        <v>3.0577777777777773E-2</v>
      </c>
      <c r="AO223" s="235">
        <f t="shared" si="38"/>
        <v>8.3333333333333339E-4</v>
      </c>
      <c r="AP223" s="235">
        <f t="shared" si="39"/>
        <v>8.4444444444444437E-3</v>
      </c>
      <c r="AQ223" s="235">
        <f t="shared" si="40"/>
        <v>2.0277777777777777E-3</v>
      </c>
      <c r="AR223" s="235">
        <f t="shared" si="41"/>
        <v>1.7083333333333333E-4</v>
      </c>
      <c r="AS223" s="235">
        <f t="shared" si="42"/>
        <v>2.0833333333333335E-4</v>
      </c>
      <c r="AT223" s="235">
        <f t="shared" si="43"/>
        <v>1.2962962962962963E-3</v>
      </c>
      <c r="AU223" s="237">
        <f>SUM(tabParametros[[#This Row],[Ausência por Doença]:[Férias, Adicional de Férias e 13º  com empregada em gozo de Licença Maternidade]])*SUM(tabParametros[[#This Row],[INSS]:[SEBRAE]])</f>
        <v>4.5918250000000008E-3</v>
      </c>
      <c r="AV223" s="234">
        <f>IF(tabParametros[[#This Row],[Função]]="Porteiro - 220 h",SUM(tabParametros[[#This Row],[Salário Base]:[Adicional de Acúmulo de função]])/220*20*1.5,IF(ISNUMBER(SEARCH("12 x 36",tabParametros[[#This Row],[Função]],1)),SUM(tabParametros[[#This Row],[Salário Base]:[Adicional de Acúmulo de função]])/210*15.5*1.5,0))</f>
        <v>0</v>
      </c>
      <c r="AW223" s="234">
        <f>IF(tabParametros[[#This Row],[Vagas contratadas]]&gt;0,(SUM(tabParametros[[#This Row],[Salário Base]:[Adicional de Acúmulo de função]])*30%+SUM(tabParametros[[#This Row],[Vale - Alimentação]:[Seguro de Vida]]))/tabParametros[[#This Row],[Vagas contratadas]]*tabParametros[[#This Row],[Vagas suspensas]],0)</f>
        <v>0</v>
      </c>
      <c r="AX223" s="234">
        <f>SUMIF(tabUniformes[Cargo],tabParametros[[#This Row],[Função]],tabUniformes[Valor unit. Mensal])</f>
        <v>100.80916666666666</v>
      </c>
      <c r="AY223" s="281">
        <f>IF(ISNUMBER(SEARCH("AUXILIAR DE LIMPEZA - 75 H",tabParametros[[#This Row],[Função]],1)),
SUMIF(tabLimpGeral[TIPO],"Material",tabLimpGeral[VALOR UNITÁRIO P/ HORA (R$)])*75,
IF(ISNUMBER(SEARCH("AUXILIAR DE LIMPEZA - 110 H",tabParametros[[#This Row],[Função]],1)),
SUMIF(tabLimpGeral[TIPO],"Material",tabLimpGeral[VALOR UNITÁRIO P/ HORA (R$)])*110,
IF(ISNUMBER(SEARCH("AUXILIAR DE LIMPEZA - 150 H",tabParametros[[#This Row],[Função]],1)),
SUMIF(tabLimpGeral[TIPO],"Material",tabLimpGeral[VALOR UNITÁRIO P/ HORA (R$)])*150,
IF(ISNUMBER(SEARCH("AUXILIAR DE LIMPEZA - 220 H",tabParametros[[#This Row],[Função]],1)),
SUMIF(tabLimpGeral[TIPO],"Material",tabLimpGeral[VALOR UNITÁRIO P/ HORA (R$)])*220,
IF(ISNUMBER(SEARCH("AUXILIAR DE LIMPEZA - 12 x 36",tabParametros[[#This Row],[Função]],1)),
SUMIF(tabLimpGeral[TIPO],"Material",tabLimpGeral[VALOR UNITÁRIO P/ HORA (R$)])*220,
IF(ISNUMBER(SEARCH("Limpador de vidros - 220 h",tabParametros[[#This Row],[Função]],1)),
SUMIF(tabVidros[TIPO],"Material",tabVidros[VALOR UNITÁRIO P/ POSTO (R$)]),
0))))))</f>
        <v>24.216963380852651</v>
      </c>
      <c r="AZ223" s="281">
        <f>IF(ISNUMBER(SEARCH("AUXILIAR DE LIMPEZA - 75 H",tabParametros[[#This Row],[Função]],1)),
SUMIF(tabLimpGeral[TIPO],"Equipamento",tabLimpGeral[VALOR UNITÁRIO P/ HORA (R$)])*75,
IF(ISNUMBER(SEARCH("AUXILIAR DE LIMPEZA - 110 H",tabParametros[[#This Row],[Função]],1)),
SUMIF(tabLimpGeral[TIPO],"Equipamento",tabLimpGeral[VALOR UNITÁRIO P/ HORA (R$)])*110,
IF(ISNUMBER(SEARCH("AUXILIAR DE LIMPEZA - 150 H",tabParametros[[#This Row],[Função]],1)),
SUMIF(tabLimpGeral[TIPO],"Equipamento",tabLimpGeral[VALOR UNITÁRIO P/ HORA (R$)])*150,
IF(ISNUMBER(SEARCH("AUXILIAR DE LIMPEZA - 220 H",tabParametros[[#This Row],[Função]],1)),
SUMIF(tabLimpGeral[TIPO],"Equipamento",tabLimpGeral[VALOR UNITÁRIO P/ HORA (R$)])*220,
IF(ISNUMBER(SEARCH("AUXILIAR DE LIMPEZA - 12 x 36",tabParametros[[#This Row],[Função]],1)),
SUMIF(tabLimpGeral[TIPO],"Equipamento",tabLimpGeral[VALOR UNITÁRIO P/ HORA (R$)])*220,
IF(ISNUMBER(SEARCH("Limpador de vidros - 220 h",tabParametros[[#This Row],[Função]],1)),
SUMIF(tabVidros[TIPO],"Equipamento",tabVidros[VALOR UNITÁRIO P/ POSTO (R$)]),
0))))))</f>
        <v>43.997314032835618</v>
      </c>
      <c r="BA223" s="281">
        <f>IF(ISNUMBER(SEARCH("AUXILIAR DE LIMPEZA - 75 H",tabParametros[[#This Row],[Função]],1)),
SUMIF(tabLimpGeral[TIPO],"Produto",tabLimpGeral[VALOR UNITÁRIO P/ HORA (R$)])*75,
IF(ISNUMBER(SEARCH("AUXILIAR DE LIMPEZA - 110 H",tabParametros[[#This Row],[Função]],1)),
SUMIF(tabLimpGeral[TIPO],"Produto",tabLimpGeral[VALOR UNITÁRIO P/ HORA (R$)])*110,
IF(ISNUMBER(SEARCH("AUXILIAR DE LIMPEZA - 150 H",tabParametros[[#This Row],[Função]],1)),
SUMIF(tabLimpGeral[TIPO],"Produto",tabLimpGeral[VALOR UNITÁRIO P/ HORA (R$)])*150,
IF(ISNUMBER(SEARCH("AUXILIAR DE LIMPEZA - 220 H",tabParametros[[#This Row],[Função]],1)),
SUMIF(tabLimpGeral[TIPO],"Produto",tabLimpGeral[VALOR UNITÁRIO P/ HORA (R$)])*220,
IF(ISNUMBER(SEARCH("AUXILIAR DE LIMPEZA - 12 x 36",tabParametros[[#This Row],[Função]],1)),
SUMIF(tabLimpGeral[TIPO],"Produto",tabLimpGeral[VALOR UNITÁRIO P/ HORA (R$)])*220,
IF(ISNUMBER(SEARCH("Limpador de vidros - 220 h",tabParametros[[#This Row],[Função]],1)),
SUMIF(tabVidros[TIPO],"Produto",tabVidros[VALOR UNITÁRIO P/ POSTO (R$)]),
0))))))</f>
        <v>470.6396814404431</v>
      </c>
      <c r="BB223" s="281">
        <v>0</v>
      </c>
      <c r="BC223" s="236">
        <f>VLOOKUP(tabParametros[[#Headers],[Custos Indiretos]],tabOutrosCustos[],3,0)</f>
        <v>189.64880140242613</v>
      </c>
      <c r="BD223" s="236">
        <f>VLOOKUP(tabParametros[[#Headers],[Lucro]],tabOutrosCustos[],3,0)</f>
        <v>159.30499317803796</v>
      </c>
      <c r="BE223" s="235">
        <f>VLOOKUP(tabParametros[[#Headers],[COFINS]],tabImpostosNacionais[],2,0)</f>
        <v>7.5999999999999998E-2</v>
      </c>
      <c r="BF223" s="235">
        <f>VLOOKUP(tabParametros[[#Headers],[PIS]],tabImpostosNacionais[],2,0)</f>
        <v>1.6500000000000001E-2</v>
      </c>
      <c r="BG223" s="235">
        <f>VLOOKUP(tabParametros[[#This Row],[Comarca]],tabComarca[],4,0)</f>
        <v>0.02</v>
      </c>
      <c r="BH223" s="238">
        <f>IFERROR(VLOOKUP(tabParametros[[#This Row],[CCT DA CATEGORIA]],tabSindicatos[],11,0),"")</f>
        <v>45658</v>
      </c>
      <c r="BI223" s="289" t="str">
        <f>IFERROR(VLOOKUP(tabParametros[[#This Row],[CCT DA CATEGORIA]],tabSindicatos[],12,0),"")</f>
        <v>-</v>
      </c>
      <c r="BJ223" s="293" t="str">
        <f>IFERROR(VLOOKUP(tabParametros[[#This Row],[CCT DA CATEGORIA]],tabSindicatos[],13,0),"")</f>
        <v>-</v>
      </c>
    </row>
    <row r="224" spans="1:62" x14ac:dyDescent="0.25">
      <c r="A224" s="233" t="s">
        <v>1559</v>
      </c>
      <c r="B224" s="198" t="s">
        <v>204</v>
      </c>
      <c r="C224" s="198" t="s">
        <v>1247</v>
      </c>
      <c r="D224" s="198" t="str">
        <f>VLOOKUP(tabParametros[[#This Row],[Código do Posto]],tabPostos[],4,0)</f>
        <v>Sethac Norte de Minas</v>
      </c>
      <c r="E224" s="289" t="str">
        <f>VLOOKUP(tabParametros[[#This Row],[Código do Posto]],tabPostos[],5,0)</f>
        <v>Limpeza</v>
      </c>
      <c r="F224" s="289" t="str">
        <f>VLOOKUP(tabParametros[[#This Row],[Código do Posto]],tabPostos[],6,0)</f>
        <v>PGJ</v>
      </c>
      <c r="G224" s="289">
        <f>VLOOKUP(tabParametros[[#This Row],[Código do Posto]],tabPostos[],7,0)</f>
        <v>1</v>
      </c>
      <c r="H224" s="289">
        <f>VLOOKUP(tabParametros[[#This Row],[Código do Posto]],tabPostos[],8,0)</f>
        <v>0</v>
      </c>
      <c r="I224" s="234">
        <f>VLOOKUP(tabParametros[[#This Row],[Código do Posto]],tabPostos[],9,0)</f>
        <v>544.17999999999995</v>
      </c>
      <c r="J224" s="234">
        <f>IF(ISNUMBER(SEARCH("Eletricista",tabParametros[[#This Row],[Função]],1)),0.3*tabParametros[[#This Row],[Salário Base]],0)</f>
        <v>0</v>
      </c>
      <c r="K224" s="234">
        <f>IF(OR(ISNUMBER(SEARCH("Bombeiro Hidraulico",tabParametros[[#This Row],[Função]],1)),ISNUMBER(SEARCH("Jardineiro",tabParametros[[#This Row],[Função]],1)),ISNUMBER(SEARCH("Lavador de Veiculos",tabParametros[[#This Row],[Função]],1)),ISNUMBER(SEARCH("Marceneiro",tabParametros[[#This Row],[Função]],1)),ISNUMBER(SEARCH("Pintor",tabParametros[[#This Row],[Função]],1))),0.2*'BASE GERAL'!$R$4,0)</f>
        <v>0</v>
      </c>
      <c r="L224" s="234">
        <f>IF(AND(ISNUMBER(SEARCH("Noturno",tabParametros[[#This Row],[Função]],1)),tabParametros[[#This Row],[Comarca]]&lt;&gt;"Juiz de Fora"),tabParametros[[#This Row],[Salário Base]]/210*0.39*7*15.5,IF(ISNUMBER(SEARCH("Noturno",tabParametros[[#This Row],[Função]],1)),tabParametros[[#This Row],[Salário Base]]/210*0.2*8*15.5,0))</f>
        <v>0</v>
      </c>
      <c r="M224" s="234">
        <f>IF(ISNUMBER(SEARCH("Motorista II",tabParametros[[#This Row],[Função]],1)),0.25*tabParametros[[#This Row],[Salário Base]],0)</f>
        <v>0</v>
      </c>
      <c r="N224" s="250">
        <v>0</v>
      </c>
      <c r="O224" s="234">
        <f>IF(ISNUMBER(SEARCH("TECNOLOGIA DA INFORMACAO",tabParametros[[#This Row],[Função]],1)),0.0201*tabParametros[[#This Row],[Salário Base]],0)</f>
        <v>0</v>
      </c>
      <c r="P224" s="250" cm="1">
        <f t="array" ref="P224">_xlfn.IFS(
ISNUMBER(SEARCH("Auxiliar de Limpeza - 75 h",tabParametros[[#This Row],[Função]],1)),tabParametros[[#This Row],[Salário Base]]/75*0.75*30*0.12,
ISNUMBER(SEARCH("Auxiliar de Limpeza - 110 h",tabParametros[[#This Row],[Função]],1)),tabParametros[[#This Row],[Salário Base]]/110*1*30*0.12,
ISNUMBER(SEARCH("Auxiliar de Limpeza - 150 h",tabParametros[[#This Row],[Função]],1)),tabParametros[[#This Row],[Salário Base]]/150*1.5*30*0.12,
ISNUMBER(SEARCH("Auxiliar de Limpeza - 220 h",tabParametros[[#This Row],[Função]],1)),tabParametros[[#This Row],[Salário Base]]/220*2*30*0.12,
ISNUMBER(SEARCH("Auxiliar de Limpeza - 12 x 36",tabParametros[[#This Row],[Função]],1)),tabParametros[[#This Row],[Salário Base]]/220*2*30*0.12,
ISNUMBER(SEARCH("Auxiliar de Limpeza - 55 h",tabParametros[[#This Row],[Função]],1))=FALSE,0)</f>
        <v>19.590479999999999</v>
      </c>
      <c r="Q224" s="235">
        <f>VLOOKUP(tabParametros[[#Headers],[INSS]],tabImpostosNacionais[],2,0)</f>
        <v>0.2</v>
      </c>
      <c r="R224" s="235">
        <f>VLOOKUP(tabParametros[[#Headers],[SESI OU SESC]],tabImpostosNacionais[],2,0)</f>
        <v>1.4999999999999999E-2</v>
      </c>
      <c r="S224" s="235">
        <f>VLOOKUP(tabParametros[[#Headers],[SENAI OU SENAC]],tabImpostosNacionais[],2,0)</f>
        <v>0.01</v>
      </c>
      <c r="T224" s="235">
        <f>VLOOKUP(tabParametros[[#Headers],[INCRA]],tabImpostosNacionais[],2,0)</f>
        <v>2E-3</v>
      </c>
      <c r="U224" s="235">
        <f>VLOOKUP(tabParametros[[#Headers],[Salário Educação]],tabImpostosNacionais[],2,0)</f>
        <v>2.5000000000000001E-2</v>
      </c>
      <c r="V224" s="235">
        <f>VLOOKUP(tabParametros[[#Headers],[FGTS]],tabImpostosNacionais[],2,0)</f>
        <v>0.08</v>
      </c>
      <c r="W224" s="235">
        <f>VLOOKUP(tabParametros[[#Headers],[RAT Ajustado]],tabImpostosNacionais[],2,0)</f>
        <v>0.04</v>
      </c>
      <c r="X224" s="235">
        <f>VLOOKUP(tabParametros[[#Headers],[SEBRAE]],tabImpostosNacionais[],2,0)</f>
        <v>6.0000000000000001E-3</v>
      </c>
      <c r="Y224" s="235">
        <f t="shared" si="33"/>
        <v>8.3333333333333329E-2</v>
      </c>
      <c r="Z224" s="251">
        <f t="shared" si="34"/>
        <v>0.1111111111111111</v>
      </c>
      <c r="AA224" s="234">
        <f>VLOOKUP(tabParametros[[#This Row],[Comarca]],tabComarca[],5,0)</f>
        <v>6.4</v>
      </c>
      <c r="AB224" s="234">
        <f>IFERROR(VLOOKUP(tabParametros[[#This Row],[CCT DA CATEGORIA]],tabSindicatos[],6,0),0)</f>
        <v>29.15</v>
      </c>
      <c r="AC224" s="234">
        <f>IFERROR(VLOOKUP(tabParametros[[#This Row],[CCT DA CATEGORIA]],tabSindicatos[],7,0),0)</f>
        <v>0</v>
      </c>
      <c r="AD224" s="234" cm="1">
        <f t="array" ref="AD224">_xlfn.LET(
_xlpm.COMARCA, TRIM(UPPER(SUBSTITUTE(SUBSTITUTE(SUBSTITUTE(SUBSTITUTE(SUBSTITUTE(SUBSTITUTE(SUBSTITUTE(SUBSTITUTE(SUBSTITUTE(SUBSTITUTE(SUBSTITUTE(SUBSTITUTE(SUBSTITUTE(SUBSTITUTE(SUBSTITUTE(SUBSTITUTE(SUBSTITUTE(SUBSTITUTE(SUBSTITUTE(SUBSTITUTE(SUBSTITUTE(SUBSTITUTE(SUBSTITUTE(SUBSTITUTE(SUBSTITUTE(SUBSTITUTE(tabParametros[[#This Row],[Comarca]],"á","a"),"ã","a"),"â","a"),"é","e"),"ê","e"),"í","i"),"ó","o"),"õ","o"),"ô","o"),"ú","u"),"ç","c"),"Á","a"),"Ã","a"),"Â","a"),"É","e"),"Ê","e"),"Í","i"),"Ó","o"),"Õ","o"),"Ô","o"),"Ú","u"),"Ç","c"),"/MG","")," e ",", ")," ",""),".",""))),
_xlpm.MATRIZ_COMARCA, TRIM(UPPER(SUBSTITUTE(SUBSTITUTE(SUBSTITUTE(SUBSTITUTE(SUBSTITUTE(SUBSTITUTE(SUBSTITUTE(SUBSTITUTE(SUBSTITUTE(SUBSTITUTE(SUBSTITUTE(SUBSTITUTE(SUBSTITUTE(SUBSTITUTE(SUBSTITUTE(SUBSTITUTE(SUBSTITUTE(SUBSTITUTE(SUBSTITUTE(SUBSTITUTE(SUBSTITUTE(SUBSTITUTE(SUBSTITUTE(SUBSTITUTE(SUBSTITUTE(SUBSTITUTE(tabSindicatos[COMARCAS PAF],"á","a"),"ã","a"),"â","a"),"é","e"),"ê","e"),"í","i"),"ó","o"),"õ","o"),"ô","o"),"ú","u"),"ç","c"),"Á","a"),"Ã","a"),"Â","a"),"É","e"),"Ê","e"),"Í","i"),"Ó","o"),"Õ","o"),"Ô","o"),"Ú","u"),"Ç","c"),"/MG","")," e ",", ")," ",""),".",""))),
IFERROR(IF(_xlfn.XLOOKUP(tabParametros[[#This Row],[CCT DA CATEGORIA]],tabSindicatos[SINDICATOS],tabSindicatos[COMARCAS PAF])="",
VLOOKUP(tabParametros[[#This Row],[CCT DA CATEGORIA]],tabSindicatos[],8,0),
IF(ISNUMBER(SEARCH(TRIM(_xlpm.COMARCA),_xlfn.XLOOKUP(tabParametros[[#This Row],[CCT DA CATEGORIA]],tabSindicatos[SINDICATOS],_xlpm.MATRIZ_COMARCA),1)),VLOOKUP(tabParametros[[#This Row],[CCT DA CATEGORIA]],tabSindicatos[],8,0),0)
),0)
)</f>
        <v>0</v>
      </c>
      <c r="AE224" s="234">
        <f>IFERROR(VLOOKUP(tabParametros[[#This Row],[CCT DA CATEGORIA]],tabSindicatos[],9,0),0)</f>
        <v>0</v>
      </c>
      <c r="AF224" s="234">
        <f>IFERROR(VLOOKUP(tabParametros[[#This Row],[CCT DA CATEGORIA]],tabSindicatos[],10,0),0)</f>
        <v>0</v>
      </c>
      <c r="AG224" s="236">
        <f>VLOOKUP(tabParametros[[#Headers],[Seguro de Vida]],tabOutrosCustos[],3,0)</f>
        <v>3.36</v>
      </c>
      <c r="AH224" s="236">
        <f>IF(ISNUMBER(SEARCH("MOTORISTA",tabParametros[[#This Row],[Função]],1)),VLOOKUP("MOTORISTAS",tabDiarias[],2,0),IF(tabParametros[[#This Row],[Comarca]]="Belo Horizonte",VLOOKUP("LIMPEZA",tabDiarias[],2,0),0))</f>
        <v>0</v>
      </c>
      <c r="AI224" s="235">
        <f t="shared" si="35"/>
        <v>7.011766975308642E-3</v>
      </c>
      <c r="AJ224" s="237">
        <f>tabParametros[[#This Row],[FGTS]]*tabParametros[[#This Row],[Aviso Prévio Indenizado (API) e Reflexo do Aviso Prévio Indenizado]]</f>
        <v>5.609413580246914E-4</v>
      </c>
      <c r="AK224" s="237">
        <f>tabParametros[[#This Row],[FGTS]]*tabParametros[[#This Row],[Aviso Prévio Indenizado (API) e Reflexo do Aviso Prévio Indenizado]]*40%</f>
        <v>2.2437654320987658E-4</v>
      </c>
      <c r="AL224" s="235">
        <f t="shared" si="36"/>
        <v>3.5000000000000005E-3</v>
      </c>
      <c r="AM224" s="235">
        <f>tabParametros[[#This Row],[Aviso Prévio Trabalhado - APT]]*SUM(tabParametros[[#This Row],[INSS]:[SEBRAE]])</f>
        <v>1.3230000000000004E-3</v>
      </c>
      <c r="AN224" s="235">
        <f t="shared" si="37"/>
        <v>3.0577777777777773E-2</v>
      </c>
      <c r="AO224" s="235">
        <f t="shared" si="38"/>
        <v>8.3333333333333339E-4</v>
      </c>
      <c r="AP224" s="235">
        <f t="shared" si="39"/>
        <v>8.4444444444444437E-3</v>
      </c>
      <c r="AQ224" s="235">
        <f t="shared" si="40"/>
        <v>2.0277777777777777E-3</v>
      </c>
      <c r="AR224" s="235">
        <f t="shared" si="41"/>
        <v>1.7083333333333333E-4</v>
      </c>
      <c r="AS224" s="235">
        <f t="shared" si="42"/>
        <v>2.0833333333333335E-4</v>
      </c>
      <c r="AT224" s="235">
        <f t="shared" si="43"/>
        <v>1.2962962962962963E-3</v>
      </c>
      <c r="AU224" s="237">
        <f>SUM(tabParametros[[#This Row],[Ausência por Doença]:[Férias, Adicional de Férias e 13º  com empregada em gozo de Licença Maternidade]])*SUM(tabParametros[[#This Row],[INSS]:[SEBRAE]])</f>
        <v>4.5918250000000008E-3</v>
      </c>
      <c r="AV224" s="234">
        <f>IF(tabParametros[[#This Row],[Função]]="Porteiro - 220 h",SUM(tabParametros[[#This Row],[Salário Base]:[Adicional de Acúmulo de função]])/220*20*1.5,IF(ISNUMBER(SEARCH("12 x 36",tabParametros[[#This Row],[Função]],1)),SUM(tabParametros[[#This Row],[Salário Base]:[Adicional de Acúmulo de função]])/210*15.5*1.5,0))</f>
        <v>0</v>
      </c>
      <c r="AW224" s="234">
        <f>IF(tabParametros[[#This Row],[Vagas contratadas]]&gt;0,(SUM(tabParametros[[#This Row],[Salário Base]:[Adicional de Acúmulo de função]])*30%+SUM(tabParametros[[#This Row],[Vale - Alimentação]:[Seguro de Vida]]))/tabParametros[[#This Row],[Vagas contratadas]]*tabParametros[[#This Row],[Vagas suspensas]],0)</f>
        <v>0</v>
      </c>
      <c r="AX224" s="234">
        <f>SUMIF(tabUniformes[Cargo],tabParametros[[#This Row],[Função]],tabUniformes[Valor unit. Mensal])</f>
        <v>62.806666666666665</v>
      </c>
      <c r="AY224" s="281">
        <f>IF(ISNUMBER(SEARCH("AUXILIAR DE LIMPEZA - 75 H",tabParametros[[#This Row],[Função]],1)),
SUMIF(tabLimpGeral[TIPO],"Material",tabLimpGeral[VALOR UNITÁRIO P/ HORA (R$)])*75,
IF(ISNUMBER(SEARCH("AUXILIAR DE LIMPEZA - 110 H",tabParametros[[#This Row],[Função]],1)),
SUMIF(tabLimpGeral[TIPO],"Material",tabLimpGeral[VALOR UNITÁRIO P/ HORA (R$)])*110,
IF(ISNUMBER(SEARCH("AUXILIAR DE LIMPEZA - 150 H",tabParametros[[#This Row],[Função]],1)),
SUMIF(tabLimpGeral[TIPO],"Material",tabLimpGeral[VALOR UNITÁRIO P/ HORA (R$)])*150,
IF(ISNUMBER(SEARCH("AUXILIAR DE LIMPEZA - 220 H",tabParametros[[#This Row],[Função]],1)),
SUMIF(tabLimpGeral[TIPO],"Material",tabLimpGeral[VALOR UNITÁRIO P/ HORA (R$)])*220,
IF(ISNUMBER(SEARCH("AUXILIAR DE LIMPEZA - 12 x 36",tabParametros[[#This Row],[Função]],1)),
SUMIF(tabLimpGeral[TIPO],"Material",tabLimpGeral[VALOR UNITÁRIO P/ HORA (R$)])*220,
IF(ISNUMBER(SEARCH("Limpador de vidros - 220 h",tabParametros[[#This Row],[Função]],1)),
SUMIF(tabVidros[TIPO],"Material",tabVidros[VALOR UNITÁRIO P/ POSTO (R$)]),
0))))))</f>
        <v>12.108481690426325</v>
      </c>
      <c r="AZ224" s="281">
        <f>IF(ISNUMBER(SEARCH("AUXILIAR DE LIMPEZA - 75 H",tabParametros[[#This Row],[Função]],1)),
SUMIF(tabLimpGeral[TIPO],"Equipamento",tabLimpGeral[VALOR UNITÁRIO P/ HORA (R$)])*75,
IF(ISNUMBER(SEARCH("AUXILIAR DE LIMPEZA - 110 H",tabParametros[[#This Row],[Função]],1)),
SUMIF(tabLimpGeral[TIPO],"Equipamento",tabLimpGeral[VALOR UNITÁRIO P/ HORA (R$)])*110,
IF(ISNUMBER(SEARCH("AUXILIAR DE LIMPEZA - 150 H",tabParametros[[#This Row],[Função]],1)),
SUMIF(tabLimpGeral[TIPO],"Equipamento",tabLimpGeral[VALOR UNITÁRIO P/ HORA (R$)])*150,
IF(ISNUMBER(SEARCH("AUXILIAR DE LIMPEZA - 220 H",tabParametros[[#This Row],[Função]],1)),
SUMIF(tabLimpGeral[TIPO],"Equipamento",tabLimpGeral[VALOR UNITÁRIO P/ HORA (R$)])*220,
IF(ISNUMBER(SEARCH("AUXILIAR DE LIMPEZA - 12 x 36",tabParametros[[#This Row],[Função]],1)),
SUMIF(tabLimpGeral[TIPO],"Equipamento",tabLimpGeral[VALOR UNITÁRIO P/ HORA (R$)])*220,
IF(ISNUMBER(SEARCH("Limpador de vidros - 220 h",tabParametros[[#This Row],[Função]],1)),
SUMIF(tabVidros[TIPO],"Equipamento",tabVidros[VALOR UNITÁRIO P/ POSTO (R$)]),
0))))))</f>
        <v>21.998657016417809</v>
      </c>
      <c r="BA224" s="281">
        <f>IF(ISNUMBER(SEARCH("AUXILIAR DE LIMPEZA - 75 H",tabParametros[[#This Row],[Função]],1)),
SUMIF(tabLimpGeral[TIPO],"Produto",tabLimpGeral[VALOR UNITÁRIO P/ HORA (R$)])*75,
IF(ISNUMBER(SEARCH("AUXILIAR DE LIMPEZA - 110 H",tabParametros[[#This Row],[Função]],1)),
SUMIF(tabLimpGeral[TIPO],"Produto",tabLimpGeral[VALOR UNITÁRIO P/ HORA (R$)])*110,
IF(ISNUMBER(SEARCH("AUXILIAR DE LIMPEZA - 150 H",tabParametros[[#This Row],[Função]],1)),
SUMIF(tabLimpGeral[TIPO],"Produto",tabLimpGeral[VALOR UNITÁRIO P/ HORA (R$)])*150,
IF(ISNUMBER(SEARCH("AUXILIAR DE LIMPEZA - 220 H",tabParametros[[#This Row],[Função]],1)),
SUMIF(tabLimpGeral[TIPO],"Produto",tabLimpGeral[VALOR UNITÁRIO P/ HORA (R$)])*220,
IF(ISNUMBER(SEARCH("AUXILIAR DE LIMPEZA - 12 x 36",tabParametros[[#This Row],[Função]],1)),
SUMIF(tabLimpGeral[TIPO],"Produto",tabLimpGeral[VALOR UNITÁRIO P/ HORA (R$)])*220,
IF(ISNUMBER(SEARCH("Limpador de vidros - 220 h",tabParametros[[#This Row],[Função]],1)),
SUMIF(tabVidros[TIPO],"Produto",tabVidros[VALOR UNITÁRIO P/ POSTO (R$)]),
0))))))</f>
        <v>235.31984072022155</v>
      </c>
      <c r="BB224" s="281">
        <v>0</v>
      </c>
      <c r="BC224" s="236">
        <f>VLOOKUP(tabParametros[[#Headers],[Custos Indiretos]],tabOutrosCustos[],3,0)</f>
        <v>189.64880140242613</v>
      </c>
      <c r="BD224" s="236">
        <f>VLOOKUP(tabParametros[[#Headers],[Lucro]],tabOutrosCustos[],3,0)</f>
        <v>159.30499317803796</v>
      </c>
      <c r="BE224" s="235">
        <f>VLOOKUP(tabParametros[[#Headers],[COFINS]],tabImpostosNacionais[],2,0)</f>
        <v>7.5999999999999998E-2</v>
      </c>
      <c r="BF224" s="235">
        <f>VLOOKUP(tabParametros[[#Headers],[PIS]],tabImpostosNacionais[],2,0)</f>
        <v>1.6500000000000001E-2</v>
      </c>
      <c r="BG224" s="235">
        <f>VLOOKUP(tabParametros[[#This Row],[Comarca]],tabComarca[],4,0)</f>
        <v>0.05</v>
      </c>
      <c r="BH224" s="238">
        <f>IFERROR(VLOOKUP(tabParametros[[#This Row],[CCT DA CATEGORIA]],tabSindicatos[],11,0),"")</f>
        <v>45658</v>
      </c>
      <c r="BI224" s="289" t="str">
        <f>IFERROR(VLOOKUP(tabParametros[[#This Row],[CCT DA CATEGORIA]],tabSindicatos[],12,0),"")</f>
        <v>-</v>
      </c>
      <c r="BJ224" s="293" t="str">
        <f>IFERROR(VLOOKUP(tabParametros[[#This Row],[CCT DA CATEGORIA]],tabSindicatos[],13,0),"")</f>
        <v>-</v>
      </c>
    </row>
    <row r="225" spans="1:62" x14ac:dyDescent="0.25">
      <c r="A225" s="233" t="s">
        <v>1560</v>
      </c>
      <c r="B225" s="198" t="s">
        <v>205</v>
      </c>
      <c r="C225" s="198" t="s">
        <v>1245</v>
      </c>
      <c r="D225" s="198" t="str">
        <f>VLOOKUP(tabParametros[[#This Row],[Código do Posto]],tabPostos[],4,0)</f>
        <v>Regiao de Juiz de Fora</v>
      </c>
      <c r="E225" s="289" t="str">
        <f>VLOOKUP(tabParametros[[#This Row],[Código do Posto]],tabPostos[],5,0)</f>
        <v>Limpeza</v>
      </c>
      <c r="F225" s="289" t="str">
        <f>VLOOKUP(tabParametros[[#This Row],[Código do Posto]],tabPostos[],6,0)</f>
        <v>PGJ</v>
      </c>
      <c r="G225" s="289">
        <f>VLOOKUP(tabParametros[[#This Row],[Código do Posto]],tabPostos[],7,0)</f>
        <v>2</v>
      </c>
      <c r="H225" s="289">
        <f>VLOOKUP(tabParametros[[#This Row],[Código do Posto]],tabPostos[],8,0)</f>
        <v>0</v>
      </c>
      <c r="I225" s="234">
        <f>VLOOKUP(tabParametros[[#This Row],[Código do Posto]],tabPostos[],9,0)</f>
        <v>1596.28</v>
      </c>
      <c r="J225" s="234">
        <f>IF(ISNUMBER(SEARCH("Eletricista",tabParametros[[#This Row],[Função]],1)),0.3*tabParametros[[#This Row],[Salário Base]],0)</f>
        <v>0</v>
      </c>
      <c r="K225" s="234">
        <f>IF(OR(ISNUMBER(SEARCH("Bombeiro Hidraulico",tabParametros[[#This Row],[Função]],1)),ISNUMBER(SEARCH("Jardineiro",tabParametros[[#This Row],[Função]],1)),ISNUMBER(SEARCH("Lavador de Veiculos",tabParametros[[#This Row],[Função]],1)),ISNUMBER(SEARCH("Marceneiro",tabParametros[[#This Row],[Função]],1)),ISNUMBER(SEARCH("Pintor",tabParametros[[#This Row],[Função]],1))),0.2*'BASE GERAL'!$R$4,0)</f>
        <v>0</v>
      </c>
      <c r="L225" s="234">
        <f>IF(AND(ISNUMBER(SEARCH("Noturno",tabParametros[[#This Row],[Função]],1)),tabParametros[[#This Row],[Comarca]]&lt;&gt;"Juiz de Fora"),tabParametros[[#This Row],[Salário Base]]/210*0.39*7*15.5,IF(ISNUMBER(SEARCH("Noturno",tabParametros[[#This Row],[Função]],1)),tabParametros[[#This Row],[Salário Base]]/210*0.2*8*15.5,0))</f>
        <v>0</v>
      </c>
      <c r="M225" s="234">
        <f>IF(ISNUMBER(SEARCH("Motorista II",tabParametros[[#This Row],[Função]],1)),0.25*tabParametros[[#This Row],[Salário Base]],0)</f>
        <v>0</v>
      </c>
      <c r="N225" s="250">
        <v>0</v>
      </c>
      <c r="O225" s="234">
        <f>IF(ISNUMBER(SEARCH("TECNOLOGIA DA INFORMACAO",tabParametros[[#This Row],[Função]],1)),0.0201*tabParametros[[#This Row],[Salário Base]],0)</f>
        <v>0</v>
      </c>
      <c r="P225" s="250" cm="1">
        <f t="array" ref="P225">_xlfn.IFS(
ISNUMBER(SEARCH("Auxiliar de Limpeza - 75 h",tabParametros[[#This Row],[Função]],1)),tabParametros[[#This Row],[Salário Base]]/75*0.75*30*0.12,
ISNUMBER(SEARCH("Auxiliar de Limpeza - 110 h",tabParametros[[#This Row],[Função]],1)),tabParametros[[#This Row],[Salário Base]]/110*1*30*0.12,
ISNUMBER(SEARCH("Auxiliar de Limpeza - 150 h",tabParametros[[#This Row],[Função]],1)),tabParametros[[#This Row],[Salário Base]]/150*1.5*30*0.12,
ISNUMBER(SEARCH("Auxiliar de Limpeza - 220 h",tabParametros[[#This Row],[Função]],1)),tabParametros[[#This Row],[Salário Base]]/220*2*30*0.12,
ISNUMBER(SEARCH("Auxiliar de Limpeza - 12 x 36",tabParametros[[#This Row],[Função]],1)),tabParametros[[#This Row],[Salário Base]]/220*2*30*0.12,
ISNUMBER(SEARCH("Auxiliar de Limpeza - 55 h",tabParametros[[#This Row],[Função]],1))=FALSE,0)</f>
        <v>52.241890909090905</v>
      </c>
      <c r="Q225" s="235">
        <f>VLOOKUP(tabParametros[[#Headers],[INSS]],tabImpostosNacionais[],2,0)</f>
        <v>0.2</v>
      </c>
      <c r="R225" s="235">
        <f>VLOOKUP(tabParametros[[#Headers],[SESI OU SESC]],tabImpostosNacionais[],2,0)</f>
        <v>1.4999999999999999E-2</v>
      </c>
      <c r="S225" s="235">
        <f>VLOOKUP(tabParametros[[#Headers],[SENAI OU SENAC]],tabImpostosNacionais[],2,0)</f>
        <v>0.01</v>
      </c>
      <c r="T225" s="235">
        <f>VLOOKUP(tabParametros[[#Headers],[INCRA]],tabImpostosNacionais[],2,0)</f>
        <v>2E-3</v>
      </c>
      <c r="U225" s="235">
        <f>VLOOKUP(tabParametros[[#Headers],[Salário Educação]],tabImpostosNacionais[],2,0)</f>
        <v>2.5000000000000001E-2</v>
      </c>
      <c r="V225" s="235">
        <f>VLOOKUP(tabParametros[[#Headers],[FGTS]],tabImpostosNacionais[],2,0)</f>
        <v>0.08</v>
      </c>
      <c r="W225" s="235">
        <f>VLOOKUP(tabParametros[[#Headers],[RAT Ajustado]],tabImpostosNacionais[],2,0)</f>
        <v>0.04</v>
      </c>
      <c r="X225" s="235">
        <f>VLOOKUP(tabParametros[[#Headers],[SEBRAE]],tabImpostosNacionais[],2,0)</f>
        <v>6.0000000000000001E-3</v>
      </c>
      <c r="Y225" s="235">
        <f t="shared" si="33"/>
        <v>8.3333333333333329E-2</v>
      </c>
      <c r="Z225" s="251">
        <f t="shared" si="34"/>
        <v>0.1111111111111111</v>
      </c>
      <c r="AA225" s="234">
        <f>VLOOKUP(tabParametros[[#This Row],[Comarca]],tabComarca[],5,0)</f>
        <v>6.4</v>
      </c>
      <c r="AB225" s="234">
        <f>IFERROR(VLOOKUP(tabParametros[[#This Row],[CCT DA CATEGORIA]],tabSindicatos[],6,0),0)</f>
        <v>29.15</v>
      </c>
      <c r="AC225" s="234">
        <f>IFERROR(VLOOKUP(tabParametros[[#This Row],[CCT DA CATEGORIA]],tabSindicatos[],7,0),0)</f>
        <v>0</v>
      </c>
      <c r="AD225" s="234" cm="1">
        <f t="array" ref="AD225">_xlfn.LET(
_xlpm.COMARCA, TRIM(UPPER(SUBSTITUTE(SUBSTITUTE(SUBSTITUTE(SUBSTITUTE(SUBSTITUTE(SUBSTITUTE(SUBSTITUTE(SUBSTITUTE(SUBSTITUTE(SUBSTITUTE(SUBSTITUTE(SUBSTITUTE(SUBSTITUTE(SUBSTITUTE(SUBSTITUTE(SUBSTITUTE(SUBSTITUTE(SUBSTITUTE(SUBSTITUTE(SUBSTITUTE(SUBSTITUTE(SUBSTITUTE(SUBSTITUTE(SUBSTITUTE(SUBSTITUTE(SUBSTITUTE(tabParametros[[#This Row],[Comarca]],"á","a"),"ã","a"),"â","a"),"é","e"),"ê","e"),"í","i"),"ó","o"),"õ","o"),"ô","o"),"ú","u"),"ç","c"),"Á","a"),"Ã","a"),"Â","a"),"É","e"),"Ê","e"),"Í","i"),"Ó","o"),"Õ","o"),"Ô","o"),"Ú","u"),"Ç","c"),"/MG","")," e ",", ")," ",""),".",""))),
_xlpm.MATRIZ_COMARCA, TRIM(UPPER(SUBSTITUTE(SUBSTITUTE(SUBSTITUTE(SUBSTITUTE(SUBSTITUTE(SUBSTITUTE(SUBSTITUTE(SUBSTITUTE(SUBSTITUTE(SUBSTITUTE(SUBSTITUTE(SUBSTITUTE(SUBSTITUTE(SUBSTITUTE(SUBSTITUTE(SUBSTITUTE(SUBSTITUTE(SUBSTITUTE(SUBSTITUTE(SUBSTITUTE(SUBSTITUTE(SUBSTITUTE(SUBSTITUTE(SUBSTITUTE(SUBSTITUTE(SUBSTITUTE(tabSindicatos[COMARCAS PAF],"á","a"),"ã","a"),"â","a"),"é","e"),"ê","e"),"í","i"),"ó","o"),"õ","o"),"ô","o"),"ú","u"),"ç","c"),"Á","a"),"Ã","a"),"Â","a"),"É","e"),"Ê","e"),"Í","i"),"Ó","o"),"Õ","o"),"Ô","o"),"Ú","u"),"Ç","c"),"/MG","")," e ",", ")," ",""),".",""))),
IFERROR(IF(_xlfn.XLOOKUP(tabParametros[[#This Row],[CCT DA CATEGORIA]],tabSindicatos[SINDICATOS],tabSindicatos[COMARCAS PAF])="",
VLOOKUP(tabParametros[[#This Row],[CCT DA CATEGORIA]],tabSindicatos[],8,0),
IF(ISNUMBER(SEARCH(TRIM(_xlpm.COMARCA),_xlfn.XLOOKUP(tabParametros[[#This Row],[CCT DA CATEGORIA]],tabSindicatos[SINDICATOS],_xlpm.MATRIZ_COMARCA),1)),VLOOKUP(tabParametros[[#This Row],[CCT DA CATEGORIA]],tabSindicatos[],8,0),0)
),0)
)</f>
        <v>51.88</v>
      </c>
      <c r="AE225" s="234">
        <f>IFERROR(VLOOKUP(tabParametros[[#This Row],[CCT DA CATEGORIA]],tabSindicatos[],9,0),0)</f>
        <v>0</v>
      </c>
      <c r="AF225" s="234">
        <f>IFERROR(VLOOKUP(tabParametros[[#This Row],[CCT DA CATEGORIA]],tabSindicatos[],10,0),0)</f>
        <v>0</v>
      </c>
      <c r="AG225" s="236">
        <f>VLOOKUP(tabParametros[[#Headers],[Seguro de Vida]],tabOutrosCustos[],3,0)</f>
        <v>3.36</v>
      </c>
      <c r="AH225" s="236">
        <f>IF(ISNUMBER(SEARCH("MOTORISTA",tabParametros[[#This Row],[Função]],1)),VLOOKUP("MOTORISTAS",tabDiarias[],2,0),IF(tabParametros[[#This Row],[Comarca]]="Belo Horizonte",VLOOKUP("LIMPEZA",tabDiarias[],2,0),0))</f>
        <v>0</v>
      </c>
      <c r="AI225" s="235">
        <f t="shared" si="35"/>
        <v>7.011766975308642E-3</v>
      </c>
      <c r="AJ225" s="237">
        <f>tabParametros[[#This Row],[FGTS]]*tabParametros[[#This Row],[Aviso Prévio Indenizado (API) e Reflexo do Aviso Prévio Indenizado]]</f>
        <v>5.609413580246914E-4</v>
      </c>
      <c r="AK225" s="237">
        <f>tabParametros[[#This Row],[FGTS]]*tabParametros[[#This Row],[Aviso Prévio Indenizado (API) e Reflexo do Aviso Prévio Indenizado]]*40%</f>
        <v>2.2437654320987658E-4</v>
      </c>
      <c r="AL225" s="235">
        <f t="shared" si="36"/>
        <v>3.5000000000000005E-3</v>
      </c>
      <c r="AM225" s="235">
        <f>tabParametros[[#This Row],[Aviso Prévio Trabalhado - APT]]*SUM(tabParametros[[#This Row],[INSS]:[SEBRAE]])</f>
        <v>1.3230000000000004E-3</v>
      </c>
      <c r="AN225" s="235">
        <f t="shared" si="37"/>
        <v>3.0577777777777773E-2</v>
      </c>
      <c r="AO225" s="235">
        <f t="shared" si="38"/>
        <v>8.3333333333333339E-4</v>
      </c>
      <c r="AP225" s="235">
        <f t="shared" si="39"/>
        <v>8.4444444444444437E-3</v>
      </c>
      <c r="AQ225" s="235">
        <f t="shared" si="40"/>
        <v>2.0277777777777777E-3</v>
      </c>
      <c r="AR225" s="235">
        <f t="shared" si="41"/>
        <v>1.7083333333333333E-4</v>
      </c>
      <c r="AS225" s="235">
        <f t="shared" si="42"/>
        <v>2.0833333333333335E-4</v>
      </c>
      <c r="AT225" s="235">
        <f t="shared" si="43"/>
        <v>1.2962962962962963E-3</v>
      </c>
      <c r="AU225" s="237">
        <f>SUM(tabParametros[[#This Row],[Ausência por Doença]:[Férias, Adicional de Férias e 13º  com empregada em gozo de Licença Maternidade]])*SUM(tabParametros[[#This Row],[INSS]:[SEBRAE]])</f>
        <v>4.5918250000000008E-3</v>
      </c>
      <c r="AV225" s="234">
        <f>IF(tabParametros[[#This Row],[Função]]="Porteiro - 220 h",SUM(tabParametros[[#This Row],[Salário Base]:[Adicional de Acúmulo de função]])/220*20*1.5,IF(ISNUMBER(SEARCH("12 x 36",tabParametros[[#This Row],[Função]],1)),SUM(tabParametros[[#This Row],[Salário Base]:[Adicional de Acúmulo de função]])/210*15.5*1.5,0))</f>
        <v>0</v>
      </c>
      <c r="AW225" s="234">
        <f>IF(tabParametros[[#This Row],[Vagas contratadas]]&gt;0,(SUM(tabParametros[[#This Row],[Salário Base]:[Adicional de Acúmulo de função]])*30%+SUM(tabParametros[[#This Row],[Vale - Alimentação]:[Seguro de Vida]]))/tabParametros[[#This Row],[Vagas contratadas]]*tabParametros[[#This Row],[Vagas suspensas]],0)</f>
        <v>0</v>
      </c>
      <c r="AX225" s="234">
        <f>SUMIF(tabUniformes[Cargo],tabParametros[[#This Row],[Função]],tabUniformes[Valor unit. Mensal])</f>
        <v>100.80916666666666</v>
      </c>
      <c r="AY225" s="281">
        <f>IF(ISNUMBER(SEARCH("AUXILIAR DE LIMPEZA - 75 H",tabParametros[[#This Row],[Função]],1)),
SUMIF(tabLimpGeral[TIPO],"Material",tabLimpGeral[VALOR UNITÁRIO P/ HORA (R$)])*75,
IF(ISNUMBER(SEARCH("AUXILIAR DE LIMPEZA - 110 H",tabParametros[[#This Row],[Função]],1)),
SUMIF(tabLimpGeral[TIPO],"Material",tabLimpGeral[VALOR UNITÁRIO P/ HORA (R$)])*110,
IF(ISNUMBER(SEARCH("AUXILIAR DE LIMPEZA - 150 H",tabParametros[[#This Row],[Função]],1)),
SUMIF(tabLimpGeral[TIPO],"Material",tabLimpGeral[VALOR UNITÁRIO P/ HORA (R$)])*150,
IF(ISNUMBER(SEARCH("AUXILIAR DE LIMPEZA - 220 H",tabParametros[[#This Row],[Função]],1)),
SUMIF(tabLimpGeral[TIPO],"Material",tabLimpGeral[VALOR UNITÁRIO P/ HORA (R$)])*220,
IF(ISNUMBER(SEARCH("AUXILIAR DE LIMPEZA - 12 x 36",tabParametros[[#This Row],[Função]],1)),
SUMIF(tabLimpGeral[TIPO],"Material",tabLimpGeral[VALOR UNITÁRIO P/ HORA (R$)])*220,
IF(ISNUMBER(SEARCH("Limpador de vidros - 220 h",tabParametros[[#This Row],[Função]],1)),
SUMIF(tabVidros[TIPO],"Material",tabVidros[VALOR UNITÁRIO P/ POSTO (R$)]),
0))))))</f>
        <v>35.518212958583888</v>
      </c>
      <c r="AZ225" s="281">
        <f>IF(ISNUMBER(SEARCH("AUXILIAR DE LIMPEZA - 75 H",tabParametros[[#This Row],[Função]],1)),
SUMIF(tabLimpGeral[TIPO],"Equipamento",tabLimpGeral[VALOR UNITÁRIO P/ HORA (R$)])*75,
IF(ISNUMBER(SEARCH("AUXILIAR DE LIMPEZA - 110 H",tabParametros[[#This Row],[Função]],1)),
SUMIF(tabLimpGeral[TIPO],"Equipamento",tabLimpGeral[VALOR UNITÁRIO P/ HORA (R$)])*110,
IF(ISNUMBER(SEARCH("AUXILIAR DE LIMPEZA - 150 H",tabParametros[[#This Row],[Função]],1)),
SUMIF(tabLimpGeral[TIPO],"Equipamento",tabLimpGeral[VALOR UNITÁRIO P/ HORA (R$)])*150,
IF(ISNUMBER(SEARCH("AUXILIAR DE LIMPEZA - 220 H",tabParametros[[#This Row],[Função]],1)),
SUMIF(tabLimpGeral[TIPO],"Equipamento",tabLimpGeral[VALOR UNITÁRIO P/ HORA (R$)])*220,
IF(ISNUMBER(SEARCH("AUXILIAR DE LIMPEZA - 12 x 36",tabParametros[[#This Row],[Função]],1)),
SUMIF(tabLimpGeral[TIPO],"Equipamento",tabLimpGeral[VALOR UNITÁRIO P/ HORA (R$)])*220,
IF(ISNUMBER(SEARCH("Limpador de vidros - 220 h",tabParametros[[#This Row],[Função]],1)),
SUMIF(tabVidros[TIPO],"Equipamento",tabVidros[VALOR UNITÁRIO P/ POSTO (R$)]),
0))))))</f>
        <v>64.529393914825576</v>
      </c>
      <c r="BA225" s="281">
        <f>IF(ISNUMBER(SEARCH("AUXILIAR DE LIMPEZA - 75 H",tabParametros[[#This Row],[Função]],1)),
SUMIF(tabLimpGeral[TIPO],"Produto",tabLimpGeral[VALOR UNITÁRIO P/ HORA (R$)])*75,
IF(ISNUMBER(SEARCH("AUXILIAR DE LIMPEZA - 110 H",tabParametros[[#This Row],[Função]],1)),
SUMIF(tabLimpGeral[TIPO],"Produto",tabLimpGeral[VALOR UNITÁRIO P/ HORA (R$)])*110,
IF(ISNUMBER(SEARCH("AUXILIAR DE LIMPEZA - 150 H",tabParametros[[#This Row],[Função]],1)),
SUMIF(tabLimpGeral[TIPO],"Produto",tabLimpGeral[VALOR UNITÁRIO P/ HORA (R$)])*150,
IF(ISNUMBER(SEARCH("AUXILIAR DE LIMPEZA - 220 H",tabParametros[[#This Row],[Função]],1)),
SUMIF(tabLimpGeral[TIPO],"Produto",tabLimpGeral[VALOR UNITÁRIO P/ HORA (R$)])*220,
IF(ISNUMBER(SEARCH("AUXILIAR DE LIMPEZA - 12 x 36",tabParametros[[#This Row],[Função]],1)),
SUMIF(tabLimpGeral[TIPO],"Produto",tabLimpGeral[VALOR UNITÁRIO P/ HORA (R$)])*220,
IF(ISNUMBER(SEARCH("Limpador de vidros - 220 h",tabParametros[[#This Row],[Função]],1)),
SUMIF(tabVidros[TIPO],"Produto",tabVidros[VALOR UNITÁRIO P/ POSTO (R$)]),
0))))))</f>
        <v>690.27153277931654</v>
      </c>
      <c r="BB225" s="281">
        <v>0</v>
      </c>
      <c r="BC225" s="236">
        <f>VLOOKUP(tabParametros[[#Headers],[Custos Indiretos]],tabOutrosCustos[],3,0)</f>
        <v>189.64880140242613</v>
      </c>
      <c r="BD225" s="236">
        <f>VLOOKUP(tabParametros[[#Headers],[Lucro]],tabOutrosCustos[],3,0)</f>
        <v>159.30499317803796</v>
      </c>
      <c r="BE225" s="235">
        <f>VLOOKUP(tabParametros[[#Headers],[COFINS]],tabImpostosNacionais[],2,0)</f>
        <v>7.5999999999999998E-2</v>
      </c>
      <c r="BF225" s="235">
        <f>VLOOKUP(tabParametros[[#Headers],[PIS]],tabImpostosNacionais[],2,0)</f>
        <v>1.6500000000000001E-2</v>
      </c>
      <c r="BG225" s="235">
        <f>VLOOKUP(tabParametros[[#This Row],[Comarca]],tabComarca[],4,0)</f>
        <v>0.05</v>
      </c>
      <c r="BH225" s="238">
        <f>IFERROR(VLOOKUP(tabParametros[[#This Row],[CCT DA CATEGORIA]],tabSindicatos[],11,0),"")</f>
        <v>45658</v>
      </c>
      <c r="BI225" s="289" t="str">
        <f>IFERROR(VLOOKUP(tabParametros[[#This Row],[CCT DA CATEGORIA]],tabSindicatos[],12,0),"")</f>
        <v>-</v>
      </c>
      <c r="BJ225" s="293" t="str">
        <f>IFERROR(VLOOKUP(tabParametros[[#This Row],[CCT DA CATEGORIA]],tabSindicatos[],13,0),"")</f>
        <v>-</v>
      </c>
    </row>
    <row r="226" spans="1:62" x14ac:dyDescent="0.25">
      <c r="A226" s="233" t="s">
        <v>1561</v>
      </c>
      <c r="B226" s="198" t="s">
        <v>206</v>
      </c>
      <c r="C226" s="198" t="s">
        <v>1247</v>
      </c>
      <c r="D226" s="198" t="str">
        <f>VLOOKUP(tabParametros[[#This Row],[Código do Posto]],tabPostos[],4,0)</f>
        <v>Regiao de Juiz de Fora</v>
      </c>
      <c r="E226" s="289" t="str">
        <f>VLOOKUP(tabParametros[[#This Row],[Código do Posto]],tabPostos[],5,0)</f>
        <v>Limpeza</v>
      </c>
      <c r="F226" s="289" t="str">
        <f>VLOOKUP(tabParametros[[#This Row],[Código do Posto]],tabPostos[],6,0)</f>
        <v>PGJ</v>
      </c>
      <c r="G226" s="289">
        <f>VLOOKUP(tabParametros[[#This Row],[Código do Posto]],tabPostos[],7,0)</f>
        <v>1</v>
      </c>
      <c r="H226" s="289">
        <f>VLOOKUP(tabParametros[[#This Row],[Código do Posto]],tabPostos[],8,0)</f>
        <v>0</v>
      </c>
      <c r="I226" s="234">
        <f>VLOOKUP(tabParametros[[#This Row],[Código do Posto]],tabPostos[],9,0)</f>
        <v>544.17999999999995</v>
      </c>
      <c r="J226" s="234">
        <f>IF(ISNUMBER(SEARCH("Eletricista",tabParametros[[#This Row],[Função]],1)),0.3*tabParametros[[#This Row],[Salário Base]],0)</f>
        <v>0</v>
      </c>
      <c r="K226" s="234">
        <f>IF(OR(ISNUMBER(SEARCH("Bombeiro Hidraulico",tabParametros[[#This Row],[Função]],1)),ISNUMBER(SEARCH("Jardineiro",tabParametros[[#This Row],[Função]],1)),ISNUMBER(SEARCH("Lavador de Veiculos",tabParametros[[#This Row],[Função]],1)),ISNUMBER(SEARCH("Marceneiro",tabParametros[[#This Row],[Função]],1)),ISNUMBER(SEARCH("Pintor",tabParametros[[#This Row],[Função]],1))),0.2*'BASE GERAL'!$R$4,0)</f>
        <v>0</v>
      </c>
      <c r="L226" s="234">
        <f>IF(AND(ISNUMBER(SEARCH("Noturno",tabParametros[[#This Row],[Função]],1)),tabParametros[[#This Row],[Comarca]]&lt;&gt;"Juiz de Fora"),tabParametros[[#This Row],[Salário Base]]/210*0.39*7*15.5,IF(ISNUMBER(SEARCH("Noturno",tabParametros[[#This Row],[Função]],1)),tabParametros[[#This Row],[Salário Base]]/210*0.2*8*15.5,0))</f>
        <v>0</v>
      </c>
      <c r="M226" s="234">
        <f>IF(ISNUMBER(SEARCH("Motorista II",tabParametros[[#This Row],[Função]],1)),0.25*tabParametros[[#This Row],[Salário Base]],0)</f>
        <v>0</v>
      </c>
      <c r="N226" s="250">
        <v>0</v>
      </c>
      <c r="O226" s="234">
        <f>IF(ISNUMBER(SEARCH("TECNOLOGIA DA INFORMACAO",tabParametros[[#This Row],[Função]],1)),0.0201*tabParametros[[#This Row],[Salário Base]],0)</f>
        <v>0</v>
      </c>
      <c r="P226" s="250" cm="1">
        <f t="array" ref="P226">_xlfn.IFS(
ISNUMBER(SEARCH("Auxiliar de Limpeza - 75 h",tabParametros[[#This Row],[Função]],1)),tabParametros[[#This Row],[Salário Base]]/75*0.75*30*0.12,
ISNUMBER(SEARCH("Auxiliar de Limpeza - 110 h",tabParametros[[#This Row],[Função]],1)),tabParametros[[#This Row],[Salário Base]]/110*1*30*0.12,
ISNUMBER(SEARCH("Auxiliar de Limpeza - 150 h",tabParametros[[#This Row],[Função]],1)),tabParametros[[#This Row],[Salário Base]]/150*1.5*30*0.12,
ISNUMBER(SEARCH("Auxiliar de Limpeza - 220 h",tabParametros[[#This Row],[Função]],1)),tabParametros[[#This Row],[Salário Base]]/220*2*30*0.12,
ISNUMBER(SEARCH("Auxiliar de Limpeza - 12 x 36",tabParametros[[#This Row],[Função]],1)),tabParametros[[#This Row],[Salário Base]]/220*2*30*0.12,
ISNUMBER(SEARCH("Auxiliar de Limpeza - 55 h",tabParametros[[#This Row],[Função]],1))=FALSE,0)</f>
        <v>19.590479999999999</v>
      </c>
      <c r="Q226" s="235">
        <f>VLOOKUP(tabParametros[[#Headers],[INSS]],tabImpostosNacionais[],2,0)</f>
        <v>0.2</v>
      </c>
      <c r="R226" s="235">
        <f>VLOOKUP(tabParametros[[#Headers],[SESI OU SESC]],tabImpostosNacionais[],2,0)</f>
        <v>1.4999999999999999E-2</v>
      </c>
      <c r="S226" s="235">
        <f>VLOOKUP(tabParametros[[#Headers],[SENAI OU SENAC]],tabImpostosNacionais[],2,0)</f>
        <v>0.01</v>
      </c>
      <c r="T226" s="235">
        <f>VLOOKUP(tabParametros[[#Headers],[INCRA]],tabImpostosNacionais[],2,0)</f>
        <v>2E-3</v>
      </c>
      <c r="U226" s="235">
        <f>VLOOKUP(tabParametros[[#Headers],[Salário Educação]],tabImpostosNacionais[],2,0)</f>
        <v>2.5000000000000001E-2</v>
      </c>
      <c r="V226" s="235">
        <f>VLOOKUP(tabParametros[[#Headers],[FGTS]],tabImpostosNacionais[],2,0)</f>
        <v>0.08</v>
      </c>
      <c r="W226" s="235">
        <f>VLOOKUP(tabParametros[[#Headers],[RAT Ajustado]],tabImpostosNacionais[],2,0)</f>
        <v>0.04</v>
      </c>
      <c r="X226" s="235">
        <f>VLOOKUP(tabParametros[[#Headers],[SEBRAE]],tabImpostosNacionais[],2,0)</f>
        <v>6.0000000000000001E-3</v>
      </c>
      <c r="Y226" s="235">
        <f t="shared" si="33"/>
        <v>8.3333333333333329E-2</v>
      </c>
      <c r="Z226" s="251">
        <f t="shared" si="34"/>
        <v>0.1111111111111111</v>
      </c>
      <c r="AA226" s="234">
        <f>VLOOKUP(tabParametros[[#This Row],[Comarca]],tabComarca[],5,0)</f>
        <v>6.4</v>
      </c>
      <c r="AB226" s="234">
        <f>IFERROR(VLOOKUP(tabParametros[[#This Row],[CCT DA CATEGORIA]],tabSindicatos[],6,0),0)</f>
        <v>29.15</v>
      </c>
      <c r="AC226" s="234">
        <f>IFERROR(VLOOKUP(tabParametros[[#This Row],[CCT DA CATEGORIA]],tabSindicatos[],7,0),0)</f>
        <v>0</v>
      </c>
      <c r="AD226" s="234" cm="1">
        <f t="array" ref="AD226">_xlfn.LET(
_xlpm.COMARCA, TRIM(UPPER(SUBSTITUTE(SUBSTITUTE(SUBSTITUTE(SUBSTITUTE(SUBSTITUTE(SUBSTITUTE(SUBSTITUTE(SUBSTITUTE(SUBSTITUTE(SUBSTITUTE(SUBSTITUTE(SUBSTITUTE(SUBSTITUTE(SUBSTITUTE(SUBSTITUTE(SUBSTITUTE(SUBSTITUTE(SUBSTITUTE(SUBSTITUTE(SUBSTITUTE(SUBSTITUTE(SUBSTITUTE(SUBSTITUTE(SUBSTITUTE(SUBSTITUTE(SUBSTITUTE(tabParametros[[#This Row],[Comarca]],"á","a"),"ã","a"),"â","a"),"é","e"),"ê","e"),"í","i"),"ó","o"),"õ","o"),"ô","o"),"ú","u"),"ç","c"),"Á","a"),"Ã","a"),"Â","a"),"É","e"),"Ê","e"),"Í","i"),"Ó","o"),"Õ","o"),"Ô","o"),"Ú","u"),"Ç","c"),"/MG","")," e ",", ")," ",""),".",""))),
_xlpm.MATRIZ_COMARCA, TRIM(UPPER(SUBSTITUTE(SUBSTITUTE(SUBSTITUTE(SUBSTITUTE(SUBSTITUTE(SUBSTITUTE(SUBSTITUTE(SUBSTITUTE(SUBSTITUTE(SUBSTITUTE(SUBSTITUTE(SUBSTITUTE(SUBSTITUTE(SUBSTITUTE(SUBSTITUTE(SUBSTITUTE(SUBSTITUTE(SUBSTITUTE(SUBSTITUTE(SUBSTITUTE(SUBSTITUTE(SUBSTITUTE(SUBSTITUTE(SUBSTITUTE(SUBSTITUTE(SUBSTITUTE(tabSindicatos[COMARCAS PAF],"á","a"),"ã","a"),"â","a"),"é","e"),"ê","e"),"í","i"),"ó","o"),"õ","o"),"ô","o"),"ú","u"),"ç","c"),"Á","a"),"Ã","a"),"Â","a"),"É","e"),"Ê","e"),"Í","i"),"Ó","o"),"Õ","o"),"Ô","o"),"Ú","u"),"Ç","c"),"/MG","")," e ",", ")," ",""),".",""))),
IFERROR(IF(_xlfn.XLOOKUP(tabParametros[[#This Row],[CCT DA CATEGORIA]],tabSindicatos[SINDICATOS],tabSindicatos[COMARCAS PAF])="",
VLOOKUP(tabParametros[[#This Row],[CCT DA CATEGORIA]],tabSindicatos[],8,0),
IF(ISNUMBER(SEARCH(TRIM(_xlpm.COMARCA),_xlfn.XLOOKUP(tabParametros[[#This Row],[CCT DA CATEGORIA]],tabSindicatos[SINDICATOS],_xlpm.MATRIZ_COMARCA),1)),VLOOKUP(tabParametros[[#This Row],[CCT DA CATEGORIA]],tabSindicatos[],8,0),0)
),0)
)</f>
        <v>51.88</v>
      </c>
      <c r="AE226" s="234">
        <f>IFERROR(VLOOKUP(tabParametros[[#This Row],[CCT DA CATEGORIA]],tabSindicatos[],9,0),0)</f>
        <v>0</v>
      </c>
      <c r="AF226" s="234">
        <f>IFERROR(VLOOKUP(tabParametros[[#This Row],[CCT DA CATEGORIA]],tabSindicatos[],10,0),0)</f>
        <v>0</v>
      </c>
      <c r="AG226" s="236">
        <f>VLOOKUP(tabParametros[[#Headers],[Seguro de Vida]],tabOutrosCustos[],3,0)</f>
        <v>3.36</v>
      </c>
      <c r="AH226" s="236">
        <f>IF(ISNUMBER(SEARCH("MOTORISTA",tabParametros[[#This Row],[Função]],1)),VLOOKUP("MOTORISTAS",tabDiarias[],2,0),IF(tabParametros[[#This Row],[Comarca]]="Belo Horizonte",VLOOKUP("LIMPEZA",tabDiarias[],2,0),0))</f>
        <v>0</v>
      </c>
      <c r="AI226" s="235">
        <f t="shared" si="35"/>
        <v>7.011766975308642E-3</v>
      </c>
      <c r="AJ226" s="237">
        <f>tabParametros[[#This Row],[FGTS]]*tabParametros[[#This Row],[Aviso Prévio Indenizado (API) e Reflexo do Aviso Prévio Indenizado]]</f>
        <v>5.609413580246914E-4</v>
      </c>
      <c r="AK226" s="237">
        <f>tabParametros[[#This Row],[FGTS]]*tabParametros[[#This Row],[Aviso Prévio Indenizado (API) e Reflexo do Aviso Prévio Indenizado]]*40%</f>
        <v>2.2437654320987658E-4</v>
      </c>
      <c r="AL226" s="235">
        <f t="shared" si="36"/>
        <v>3.5000000000000005E-3</v>
      </c>
      <c r="AM226" s="235">
        <f>tabParametros[[#This Row],[Aviso Prévio Trabalhado - APT]]*SUM(tabParametros[[#This Row],[INSS]:[SEBRAE]])</f>
        <v>1.3230000000000004E-3</v>
      </c>
      <c r="AN226" s="235">
        <f t="shared" si="37"/>
        <v>3.0577777777777773E-2</v>
      </c>
      <c r="AO226" s="235">
        <f t="shared" si="38"/>
        <v>8.3333333333333339E-4</v>
      </c>
      <c r="AP226" s="235">
        <f t="shared" si="39"/>
        <v>8.4444444444444437E-3</v>
      </c>
      <c r="AQ226" s="235">
        <f t="shared" si="40"/>
        <v>2.0277777777777777E-3</v>
      </c>
      <c r="AR226" s="235">
        <f t="shared" si="41"/>
        <v>1.7083333333333333E-4</v>
      </c>
      <c r="AS226" s="235">
        <f t="shared" si="42"/>
        <v>2.0833333333333335E-4</v>
      </c>
      <c r="AT226" s="235">
        <f t="shared" si="43"/>
        <v>1.2962962962962963E-3</v>
      </c>
      <c r="AU226" s="237">
        <f>SUM(tabParametros[[#This Row],[Ausência por Doença]:[Férias, Adicional de Férias e 13º  com empregada em gozo de Licença Maternidade]])*SUM(tabParametros[[#This Row],[INSS]:[SEBRAE]])</f>
        <v>4.5918250000000008E-3</v>
      </c>
      <c r="AV226" s="234">
        <f>IF(tabParametros[[#This Row],[Função]]="Porteiro - 220 h",SUM(tabParametros[[#This Row],[Salário Base]:[Adicional de Acúmulo de função]])/220*20*1.5,IF(ISNUMBER(SEARCH("12 x 36",tabParametros[[#This Row],[Função]],1)),SUM(tabParametros[[#This Row],[Salário Base]:[Adicional de Acúmulo de função]])/210*15.5*1.5,0))</f>
        <v>0</v>
      </c>
      <c r="AW226" s="234">
        <f>IF(tabParametros[[#This Row],[Vagas contratadas]]&gt;0,(SUM(tabParametros[[#This Row],[Salário Base]:[Adicional de Acúmulo de função]])*30%+SUM(tabParametros[[#This Row],[Vale - Alimentação]:[Seguro de Vida]]))/tabParametros[[#This Row],[Vagas contratadas]]*tabParametros[[#This Row],[Vagas suspensas]],0)</f>
        <v>0</v>
      </c>
      <c r="AX226" s="234">
        <f>SUMIF(tabUniformes[Cargo],tabParametros[[#This Row],[Função]],tabUniformes[Valor unit. Mensal])</f>
        <v>62.806666666666665</v>
      </c>
      <c r="AY226" s="281">
        <f>IF(ISNUMBER(SEARCH("AUXILIAR DE LIMPEZA - 75 H",tabParametros[[#This Row],[Função]],1)),
SUMIF(tabLimpGeral[TIPO],"Material",tabLimpGeral[VALOR UNITÁRIO P/ HORA (R$)])*75,
IF(ISNUMBER(SEARCH("AUXILIAR DE LIMPEZA - 110 H",tabParametros[[#This Row],[Função]],1)),
SUMIF(tabLimpGeral[TIPO],"Material",tabLimpGeral[VALOR UNITÁRIO P/ HORA (R$)])*110,
IF(ISNUMBER(SEARCH("AUXILIAR DE LIMPEZA - 150 H",tabParametros[[#This Row],[Função]],1)),
SUMIF(tabLimpGeral[TIPO],"Material",tabLimpGeral[VALOR UNITÁRIO P/ HORA (R$)])*150,
IF(ISNUMBER(SEARCH("AUXILIAR DE LIMPEZA - 220 H",tabParametros[[#This Row],[Função]],1)),
SUMIF(tabLimpGeral[TIPO],"Material",tabLimpGeral[VALOR UNITÁRIO P/ HORA (R$)])*220,
IF(ISNUMBER(SEARCH("AUXILIAR DE LIMPEZA - 12 x 36",tabParametros[[#This Row],[Função]],1)),
SUMIF(tabLimpGeral[TIPO],"Material",tabLimpGeral[VALOR UNITÁRIO P/ HORA (R$)])*220,
IF(ISNUMBER(SEARCH("Limpador de vidros - 220 h",tabParametros[[#This Row],[Função]],1)),
SUMIF(tabVidros[TIPO],"Material",tabVidros[VALOR UNITÁRIO P/ POSTO (R$)]),
0))))))</f>
        <v>12.108481690426325</v>
      </c>
      <c r="AZ226" s="281">
        <f>IF(ISNUMBER(SEARCH("AUXILIAR DE LIMPEZA - 75 H",tabParametros[[#This Row],[Função]],1)),
SUMIF(tabLimpGeral[TIPO],"Equipamento",tabLimpGeral[VALOR UNITÁRIO P/ HORA (R$)])*75,
IF(ISNUMBER(SEARCH("AUXILIAR DE LIMPEZA - 110 H",tabParametros[[#This Row],[Função]],1)),
SUMIF(tabLimpGeral[TIPO],"Equipamento",tabLimpGeral[VALOR UNITÁRIO P/ HORA (R$)])*110,
IF(ISNUMBER(SEARCH("AUXILIAR DE LIMPEZA - 150 H",tabParametros[[#This Row],[Função]],1)),
SUMIF(tabLimpGeral[TIPO],"Equipamento",tabLimpGeral[VALOR UNITÁRIO P/ HORA (R$)])*150,
IF(ISNUMBER(SEARCH("AUXILIAR DE LIMPEZA - 220 H",tabParametros[[#This Row],[Função]],1)),
SUMIF(tabLimpGeral[TIPO],"Equipamento",tabLimpGeral[VALOR UNITÁRIO P/ HORA (R$)])*220,
IF(ISNUMBER(SEARCH("AUXILIAR DE LIMPEZA - 12 x 36",tabParametros[[#This Row],[Função]],1)),
SUMIF(tabLimpGeral[TIPO],"Equipamento",tabLimpGeral[VALOR UNITÁRIO P/ HORA (R$)])*220,
IF(ISNUMBER(SEARCH("Limpador de vidros - 220 h",tabParametros[[#This Row],[Função]],1)),
SUMIF(tabVidros[TIPO],"Equipamento",tabVidros[VALOR UNITÁRIO P/ POSTO (R$)]),
0))))))</f>
        <v>21.998657016417809</v>
      </c>
      <c r="BA226" s="281">
        <f>IF(ISNUMBER(SEARCH("AUXILIAR DE LIMPEZA - 75 H",tabParametros[[#This Row],[Função]],1)),
SUMIF(tabLimpGeral[TIPO],"Produto",tabLimpGeral[VALOR UNITÁRIO P/ HORA (R$)])*75,
IF(ISNUMBER(SEARCH("AUXILIAR DE LIMPEZA - 110 H",tabParametros[[#This Row],[Função]],1)),
SUMIF(tabLimpGeral[TIPO],"Produto",tabLimpGeral[VALOR UNITÁRIO P/ HORA (R$)])*110,
IF(ISNUMBER(SEARCH("AUXILIAR DE LIMPEZA - 150 H",tabParametros[[#This Row],[Função]],1)),
SUMIF(tabLimpGeral[TIPO],"Produto",tabLimpGeral[VALOR UNITÁRIO P/ HORA (R$)])*150,
IF(ISNUMBER(SEARCH("AUXILIAR DE LIMPEZA - 220 H",tabParametros[[#This Row],[Função]],1)),
SUMIF(tabLimpGeral[TIPO],"Produto",tabLimpGeral[VALOR UNITÁRIO P/ HORA (R$)])*220,
IF(ISNUMBER(SEARCH("AUXILIAR DE LIMPEZA - 12 x 36",tabParametros[[#This Row],[Função]],1)),
SUMIF(tabLimpGeral[TIPO],"Produto",tabLimpGeral[VALOR UNITÁRIO P/ HORA (R$)])*220,
IF(ISNUMBER(SEARCH("Limpador de vidros - 220 h",tabParametros[[#This Row],[Função]],1)),
SUMIF(tabVidros[TIPO],"Produto",tabVidros[VALOR UNITÁRIO P/ POSTO (R$)]),
0))))))</f>
        <v>235.31984072022155</v>
      </c>
      <c r="BB226" s="281">
        <v>0</v>
      </c>
      <c r="BC226" s="236">
        <f>VLOOKUP(tabParametros[[#Headers],[Custos Indiretos]],tabOutrosCustos[],3,0)</f>
        <v>189.64880140242613</v>
      </c>
      <c r="BD226" s="236">
        <f>VLOOKUP(tabParametros[[#Headers],[Lucro]],tabOutrosCustos[],3,0)</f>
        <v>159.30499317803796</v>
      </c>
      <c r="BE226" s="235">
        <f>VLOOKUP(tabParametros[[#Headers],[COFINS]],tabImpostosNacionais[],2,0)</f>
        <v>7.5999999999999998E-2</v>
      </c>
      <c r="BF226" s="235">
        <f>VLOOKUP(tabParametros[[#Headers],[PIS]],tabImpostosNacionais[],2,0)</f>
        <v>1.6500000000000001E-2</v>
      </c>
      <c r="BG226" s="235">
        <f>VLOOKUP(tabParametros[[#This Row],[Comarca]],tabComarca[],4,0)</f>
        <v>0.03</v>
      </c>
      <c r="BH226" s="238">
        <f>IFERROR(VLOOKUP(tabParametros[[#This Row],[CCT DA CATEGORIA]],tabSindicatos[],11,0),"")</f>
        <v>45658</v>
      </c>
      <c r="BI226" s="289" t="str">
        <f>IFERROR(VLOOKUP(tabParametros[[#This Row],[CCT DA CATEGORIA]],tabSindicatos[],12,0),"")</f>
        <v>-</v>
      </c>
      <c r="BJ226" s="293" t="str">
        <f>IFERROR(VLOOKUP(tabParametros[[#This Row],[CCT DA CATEGORIA]],tabSindicatos[],13,0),"")</f>
        <v>-</v>
      </c>
    </row>
    <row r="227" spans="1:62" x14ac:dyDescent="0.25">
      <c r="A227" s="233" t="s">
        <v>1562</v>
      </c>
      <c r="B227" s="198" t="s">
        <v>207</v>
      </c>
      <c r="C227" s="198" t="s">
        <v>1245</v>
      </c>
      <c r="D227" s="198" t="str">
        <f>VLOOKUP(tabParametros[[#This Row],[Código do Posto]],tabPostos[],4,0)</f>
        <v>Sao Lourenco</v>
      </c>
      <c r="E227" s="289" t="str">
        <f>VLOOKUP(tabParametros[[#This Row],[Código do Posto]],tabPostos[],5,0)</f>
        <v>Limpeza</v>
      </c>
      <c r="F227" s="289" t="str">
        <f>VLOOKUP(tabParametros[[#This Row],[Código do Posto]],tabPostos[],6,0)</f>
        <v>PGJ</v>
      </c>
      <c r="G227" s="289">
        <f>VLOOKUP(tabParametros[[#This Row],[Código do Posto]],tabPostos[],7,0)</f>
        <v>2</v>
      </c>
      <c r="H227" s="289">
        <f>VLOOKUP(tabParametros[[#This Row],[Código do Posto]],tabPostos[],8,0)</f>
        <v>0</v>
      </c>
      <c r="I227" s="234">
        <f>VLOOKUP(tabParametros[[#This Row],[Código do Posto]],tabPostos[],9,0)</f>
        <v>1649.12</v>
      </c>
      <c r="J227" s="234">
        <f>IF(ISNUMBER(SEARCH("Eletricista",tabParametros[[#This Row],[Função]],1)),0.3*tabParametros[[#This Row],[Salário Base]],0)</f>
        <v>0</v>
      </c>
      <c r="K227" s="234">
        <f>IF(OR(ISNUMBER(SEARCH("Bombeiro Hidraulico",tabParametros[[#This Row],[Função]],1)),ISNUMBER(SEARCH("Jardineiro",tabParametros[[#This Row],[Função]],1)),ISNUMBER(SEARCH("Lavador de Veiculos",tabParametros[[#This Row],[Função]],1)),ISNUMBER(SEARCH("Marceneiro",tabParametros[[#This Row],[Função]],1)),ISNUMBER(SEARCH("Pintor",tabParametros[[#This Row],[Função]],1))),0.2*'BASE GERAL'!$R$4,0)</f>
        <v>0</v>
      </c>
      <c r="L227" s="234">
        <f>IF(AND(ISNUMBER(SEARCH("Noturno",tabParametros[[#This Row],[Função]],1)),tabParametros[[#This Row],[Comarca]]&lt;&gt;"Juiz de Fora"),tabParametros[[#This Row],[Salário Base]]/210*0.39*7*15.5,IF(ISNUMBER(SEARCH("Noturno",tabParametros[[#This Row],[Função]],1)),tabParametros[[#This Row],[Salário Base]]/210*0.2*8*15.5,0))</f>
        <v>0</v>
      </c>
      <c r="M227" s="234">
        <f>IF(ISNUMBER(SEARCH("Motorista II",tabParametros[[#This Row],[Função]],1)),0.25*tabParametros[[#This Row],[Salário Base]],0)</f>
        <v>0</v>
      </c>
      <c r="N227" s="250">
        <v>0</v>
      </c>
      <c r="O227" s="234">
        <f>IF(ISNUMBER(SEARCH("TECNOLOGIA DA INFORMACAO",tabParametros[[#This Row],[Função]],1)),0.0201*tabParametros[[#This Row],[Salário Base]],0)</f>
        <v>0</v>
      </c>
      <c r="P227" s="250" cm="1">
        <f t="array" ref="P227">_xlfn.IFS(
ISNUMBER(SEARCH("Auxiliar de Limpeza - 75 h",tabParametros[[#This Row],[Função]],1)),tabParametros[[#This Row],[Salário Base]]/75*0.75*30*0.12,
ISNUMBER(SEARCH("Auxiliar de Limpeza - 110 h",tabParametros[[#This Row],[Função]],1)),tabParametros[[#This Row],[Salário Base]]/110*1*30*0.12,
ISNUMBER(SEARCH("Auxiliar de Limpeza - 150 h",tabParametros[[#This Row],[Função]],1)),tabParametros[[#This Row],[Salário Base]]/150*1.5*30*0.12,
ISNUMBER(SEARCH("Auxiliar de Limpeza - 220 h",tabParametros[[#This Row],[Função]],1)),tabParametros[[#This Row],[Salário Base]]/220*2*30*0.12,
ISNUMBER(SEARCH("Auxiliar de Limpeza - 12 x 36",tabParametros[[#This Row],[Função]],1)),tabParametros[[#This Row],[Salário Base]]/220*2*30*0.12,
ISNUMBER(SEARCH("Auxiliar de Limpeza - 55 h",tabParametros[[#This Row],[Função]],1))=FALSE,0)</f>
        <v>53.971199999999996</v>
      </c>
      <c r="Q227" s="235">
        <f>VLOOKUP(tabParametros[[#Headers],[INSS]],tabImpostosNacionais[],2,0)</f>
        <v>0.2</v>
      </c>
      <c r="R227" s="235">
        <f>VLOOKUP(tabParametros[[#Headers],[SESI OU SESC]],tabImpostosNacionais[],2,0)</f>
        <v>1.4999999999999999E-2</v>
      </c>
      <c r="S227" s="235">
        <f>VLOOKUP(tabParametros[[#Headers],[SENAI OU SENAC]],tabImpostosNacionais[],2,0)</f>
        <v>0.01</v>
      </c>
      <c r="T227" s="235">
        <f>VLOOKUP(tabParametros[[#Headers],[INCRA]],tabImpostosNacionais[],2,0)</f>
        <v>2E-3</v>
      </c>
      <c r="U227" s="235">
        <f>VLOOKUP(tabParametros[[#Headers],[Salário Educação]],tabImpostosNacionais[],2,0)</f>
        <v>2.5000000000000001E-2</v>
      </c>
      <c r="V227" s="235">
        <f>VLOOKUP(tabParametros[[#Headers],[FGTS]],tabImpostosNacionais[],2,0)</f>
        <v>0.08</v>
      </c>
      <c r="W227" s="235">
        <f>VLOOKUP(tabParametros[[#Headers],[RAT Ajustado]],tabImpostosNacionais[],2,0)</f>
        <v>0.04</v>
      </c>
      <c r="X227" s="235">
        <f>VLOOKUP(tabParametros[[#Headers],[SEBRAE]],tabImpostosNacionais[],2,0)</f>
        <v>6.0000000000000001E-3</v>
      </c>
      <c r="Y227" s="235">
        <f t="shared" si="33"/>
        <v>8.3333333333333329E-2</v>
      </c>
      <c r="Z227" s="251">
        <f t="shared" si="34"/>
        <v>0.1111111111111111</v>
      </c>
      <c r="AA227" s="234">
        <f>VLOOKUP(tabParametros[[#This Row],[Comarca]],tabComarca[],5,0)</f>
        <v>6.4</v>
      </c>
      <c r="AB227" s="234">
        <f>IFERROR(VLOOKUP(tabParametros[[#This Row],[CCT DA CATEGORIA]],tabSindicatos[],6,0),0)</f>
        <v>29.15</v>
      </c>
      <c r="AC227" s="234">
        <f>IFERROR(VLOOKUP(tabParametros[[#This Row],[CCT DA CATEGORIA]],tabSindicatos[],7,0),0)</f>
        <v>0</v>
      </c>
      <c r="AD227" s="234" cm="1">
        <f t="array" ref="AD227">_xlfn.LET(
_xlpm.COMARCA, TRIM(UPPER(SUBSTITUTE(SUBSTITUTE(SUBSTITUTE(SUBSTITUTE(SUBSTITUTE(SUBSTITUTE(SUBSTITUTE(SUBSTITUTE(SUBSTITUTE(SUBSTITUTE(SUBSTITUTE(SUBSTITUTE(SUBSTITUTE(SUBSTITUTE(SUBSTITUTE(SUBSTITUTE(SUBSTITUTE(SUBSTITUTE(SUBSTITUTE(SUBSTITUTE(SUBSTITUTE(SUBSTITUTE(SUBSTITUTE(SUBSTITUTE(SUBSTITUTE(SUBSTITUTE(tabParametros[[#This Row],[Comarca]],"á","a"),"ã","a"),"â","a"),"é","e"),"ê","e"),"í","i"),"ó","o"),"õ","o"),"ô","o"),"ú","u"),"ç","c"),"Á","a"),"Ã","a"),"Â","a"),"É","e"),"Ê","e"),"Í","i"),"Ó","o"),"Õ","o"),"Ô","o"),"Ú","u"),"Ç","c"),"/MG","")," e ",", ")," ",""),".",""))),
_xlpm.MATRIZ_COMARCA, TRIM(UPPER(SUBSTITUTE(SUBSTITUTE(SUBSTITUTE(SUBSTITUTE(SUBSTITUTE(SUBSTITUTE(SUBSTITUTE(SUBSTITUTE(SUBSTITUTE(SUBSTITUTE(SUBSTITUTE(SUBSTITUTE(SUBSTITUTE(SUBSTITUTE(SUBSTITUTE(SUBSTITUTE(SUBSTITUTE(SUBSTITUTE(SUBSTITUTE(SUBSTITUTE(SUBSTITUTE(SUBSTITUTE(SUBSTITUTE(SUBSTITUTE(SUBSTITUTE(SUBSTITUTE(tabSindicatos[COMARCAS PAF],"á","a"),"ã","a"),"â","a"),"é","e"),"ê","e"),"í","i"),"ó","o"),"õ","o"),"ô","o"),"ú","u"),"ç","c"),"Á","a"),"Ã","a"),"Â","a"),"É","e"),"Ê","e"),"Í","i"),"Ó","o"),"Õ","o"),"Ô","o"),"Ú","u"),"Ç","c"),"/MG","")," e ",", ")," ",""),".",""))),
IFERROR(IF(_xlfn.XLOOKUP(tabParametros[[#This Row],[CCT DA CATEGORIA]],tabSindicatos[SINDICATOS],tabSindicatos[COMARCAS PAF])="",
VLOOKUP(tabParametros[[#This Row],[CCT DA CATEGORIA]],tabSindicatos[],8,0),
IF(ISNUMBER(SEARCH(TRIM(_xlpm.COMARCA),_xlfn.XLOOKUP(tabParametros[[#This Row],[CCT DA CATEGORIA]],tabSindicatos[SINDICATOS],_xlpm.MATRIZ_COMARCA),1)),VLOOKUP(tabParametros[[#This Row],[CCT DA CATEGORIA]],tabSindicatos[],8,0),0)
),0)
)</f>
        <v>53.27</v>
      </c>
      <c r="AE227" s="234">
        <f>IFERROR(VLOOKUP(tabParametros[[#This Row],[CCT DA CATEGORIA]],tabSindicatos[],9,0),0)</f>
        <v>0</v>
      </c>
      <c r="AF227" s="234">
        <f>IFERROR(VLOOKUP(tabParametros[[#This Row],[CCT DA CATEGORIA]],tabSindicatos[],10,0),0)</f>
        <v>0</v>
      </c>
      <c r="AG227" s="236">
        <f>VLOOKUP(tabParametros[[#Headers],[Seguro de Vida]],tabOutrosCustos[],3,0)</f>
        <v>3.36</v>
      </c>
      <c r="AH227" s="236">
        <f>IF(ISNUMBER(SEARCH("MOTORISTA",tabParametros[[#This Row],[Função]],1)),VLOOKUP("MOTORISTAS",tabDiarias[],2,0),IF(tabParametros[[#This Row],[Comarca]]="Belo Horizonte",VLOOKUP("LIMPEZA",tabDiarias[],2,0),0))</f>
        <v>0</v>
      </c>
      <c r="AI227" s="235">
        <f t="shared" si="35"/>
        <v>7.011766975308642E-3</v>
      </c>
      <c r="AJ227" s="237">
        <f>tabParametros[[#This Row],[FGTS]]*tabParametros[[#This Row],[Aviso Prévio Indenizado (API) e Reflexo do Aviso Prévio Indenizado]]</f>
        <v>5.609413580246914E-4</v>
      </c>
      <c r="AK227" s="237">
        <f>tabParametros[[#This Row],[FGTS]]*tabParametros[[#This Row],[Aviso Prévio Indenizado (API) e Reflexo do Aviso Prévio Indenizado]]*40%</f>
        <v>2.2437654320987658E-4</v>
      </c>
      <c r="AL227" s="235">
        <f t="shared" si="36"/>
        <v>3.5000000000000005E-3</v>
      </c>
      <c r="AM227" s="235">
        <f>tabParametros[[#This Row],[Aviso Prévio Trabalhado - APT]]*SUM(tabParametros[[#This Row],[INSS]:[SEBRAE]])</f>
        <v>1.3230000000000004E-3</v>
      </c>
      <c r="AN227" s="235">
        <f t="shared" si="37"/>
        <v>3.0577777777777773E-2</v>
      </c>
      <c r="AO227" s="235">
        <f t="shared" si="38"/>
        <v>8.3333333333333339E-4</v>
      </c>
      <c r="AP227" s="235">
        <f t="shared" si="39"/>
        <v>8.4444444444444437E-3</v>
      </c>
      <c r="AQ227" s="235">
        <f t="shared" si="40"/>
        <v>2.0277777777777777E-3</v>
      </c>
      <c r="AR227" s="235">
        <f t="shared" si="41"/>
        <v>1.7083333333333333E-4</v>
      </c>
      <c r="AS227" s="235">
        <f t="shared" si="42"/>
        <v>2.0833333333333335E-4</v>
      </c>
      <c r="AT227" s="235">
        <f t="shared" si="43"/>
        <v>1.2962962962962963E-3</v>
      </c>
      <c r="AU227" s="237">
        <f>SUM(tabParametros[[#This Row],[Ausência por Doença]:[Férias, Adicional de Férias e 13º  com empregada em gozo de Licença Maternidade]])*SUM(tabParametros[[#This Row],[INSS]:[SEBRAE]])</f>
        <v>4.5918250000000008E-3</v>
      </c>
      <c r="AV227" s="234">
        <f>IF(tabParametros[[#This Row],[Função]]="Porteiro - 220 h",SUM(tabParametros[[#This Row],[Salário Base]:[Adicional de Acúmulo de função]])/220*20*1.5,IF(ISNUMBER(SEARCH("12 x 36",tabParametros[[#This Row],[Função]],1)),SUM(tabParametros[[#This Row],[Salário Base]:[Adicional de Acúmulo de função]])/210*15.5*1.5,0))</f>
        <v>0</v>
      </c>
      <c r="AW227" s="234">
        <f>IF(tabParametros[[#This Row],[Vagas contratadas]]&gt;0,(SUM(tabParametros[[#This Row],[Salário Base]:[Adicional de Acúmulo de função]])*30%+SUM(tabParametros[[#This Row],[Vale - Alimentação]:[Seguro de Vida]]))/tabParametros[[#This Row],[Vagas contratadas]]*tabParametros[[#This Row],[Vagas suspensas]],0)</f>
        <v>0</v>
      </c>
      <c r="AX227" s="234">
        <f>SUMIF(tabUniformes[Cargo],tabParametros[[#This Row],[Função]],tabUniformes[Valor unit. Mensal])</f>
        <v>100.80916666666666</v>
      </c>
      <c r="AY227" s="281">
        <f>IF(ISNUMBER(SEARCH("AUXILIAR DE LIMPEZA - 75 H",tabParametros[[#This Row],[Função]],1)),
SUMIF(tabLimpGeral[TIPO],"Material",tabLimpGeral[VALOR UNITÁRIO P/ HORA (R$)])*75,
IF(ISNUMBER(SEARCH("AUXILIAR DE LIMPEZA - 110 H",tabParametros[[#This Row],[Função]],1)),
SUMIF(tabLimpGeral[TIPO],"Material",tabLimpGeral[VALOR UNITÁRIO P/ HORA (R$)])*110,
IF(ISNUMBER(SEARCH("AUXILIAR DE LIMPEZA - 150 H",tabParametros[[#This Row],[Função]],1)),
SUMIF(tabLimpGeral[TIPO],"Material",tabLimpGeral[VALOR UNITÁRIO P/ HORA (R$)])*150,
IF(ISNUMBER(SEARCH("AUXILIAR DE LIMPEZA - 220 H",tabParametros[[#This Row],[Função]],1)),
SUMIF(tabLimpGeral[TIPO],"Material",tabLimpGeral[VALOR UNITÁRIO P/ HORA (R$)])*220,
IF(ISNUMBER(SEARCH("AUXILIAR DE LIMPEZA - 12 x 36",tabParametros[[#This Row],[Função]],1)),
SUMIF(tabLimpGeral[TIPO],"Material",tabLimpGeral[VALOR UNITÁRIO P/ HORA (R$)])*220,
IF(ISNUMBER(SEARCH("Limpador de vidros - 220 h",tabParametros[[#This Row],[Função]],1)),
SUMIF(tabVidros[TIPO],"Material",tabVidros[VALOR UNITÁRIO P/ POSTO (R$)]),
0))))))</f>
        <v>35.518212958583888</v>
      </c>
      <c r="AZ227" s="281">
        <f>IF(ISNUMBER(SEARCH("AUXILIAR DE LIMPEZA - 75 H",tabParametros[[#This Row],[Função]],1)),
SUMIF(tabLimpGeral[TIPO],"Equipamento",tabLimpGeral[VALOR UNITÁRIO P/ HORA (R$)])*75,
IF(ISNUMBER(SEARCH("AUXILIAR DE LIMPEZA - 110 H",tabParametros[[#This Row],[Função]],1)),
SUMIF(tabLimpGeral[TIPO],"Equipamento",tabLimpGeral[VALOR UNITÁRIO P/ HORA (R$)])*110,
IF(ISNUMBER(SEARCH("AUXILIAR DE LIMPEZA - 150 H",tabParametros[[#This Row],[Função]],1)),
SUMIF(tabLimpGeral[TIPO],"Equipamento",tabLimpGeral[VALOR UNITÁRIO P/ HORA (R$)])*150,
IF(ISNUMBER(SEARCH("AUXILIAR DE LIMPEZA - 220 H",tabParametros[[#This Row],[Função]],1)),
SUMIF(tabLimpGeral[TIPO],"Equipamento",tabLimpGeral[VALOR UNITÁRIO P/ HORA (R$)])*220,
IF(ISNUMBER(SEARCH("AUXILIAR DE LIMPEZA - 12 x 36",tabParametros[[#This Row],[Função]],1)),
SUMIF(tabLimpGeral[TIPO],"Equipamento",tabLimpGeral[VALOR UNITÁRIO P/ HORA (R$)])*220,
IF(ISNUMBER(SEARCH("Limpador de vidros - 220 h",tabParametros[[#This Row],[Função]],1)),
SUMIF(tabVidros[TIPO],"Equipamento",tabVidros[VALOR UNITÁRIO P/ POSTO (R$)]),
0))))))</f>
        <v>64.529393914825576</v>
      </c>
      <c r="BA227" s="281">
        <f>IF(ISNUMBER(SEARCH("AUXILIAR DE LIMPEZA - 75 H",tabParametros[[#This Row],[Função]],1)),
SUMIF(tabLimpGeral[TIPO],"Produto",tabLimpGeral[VALOR UNITÁRIO P/ HORA (R$)])*75,
IF(ISNUMBER(SEARCH("AUXILIAR DE LIMPEZA - 110 H",tabParametros[[#This Row],[Função]],1)),
SUMIF(tabLimpGeral[TIPO],"Produto",tabLimpGeral[VALOR UNITÁRIO P/ HORA (R$)])*110,
IF(ISNUMBER(SEARCH("AUXILIAR DE LIMPEZA - 150 H",tabParametros[[#This Row],[Função]],1)),
SUMIF(tabLimpGeral[TIPO],"Produto",tabLimpGeral[VALOR UNITÁRIO P/ HORA (R$)])*150,
IF(ISNUMBER(SEARCH("AUXILIAR DE LIMPEZA - 220 H",tabParametros[[#This Row],[Função]],1)),
SUMIF(tabLimpGeral[TIPO],"Produto",tabLimpGeral[VALOR UNITÁRIO P/ HORA (R$)])*220,
IF(ISNUMBER(SEARCH("AUXILIAR DE LIMPEZA - 12 x 36",tabParametros[[#This Row],[Função]],1)),
SUMIF(tabLimpGeral[TIPO],"Produto",tabLimpGeral[VALOR UNITÁRIO P/ HORA (R$)])*220,
IF(ISNUMBER(SEARCH("Limpador de vidros - 220 h",tabParametros[[#This Row],[Função]],1)),
SUMIF(tabVidros[TIPO],"Produto",tabVidros[VALOR UNITÁRIO P/ POSTO (R$)]),
0))))))</f>
        <v>690.27153277931654</v>
      </c>
      <c r="BB227" s="281">
        <v>0</v>
      </c>
      <c r="BC227" s="236">
        <f>VLOOKUP(tabParametros[[#Headers],[Custos Indiretos]],tabOutrosCustos[],3,0)</f>
        <v>189.64880140242613</v>
      </c>
      <c r="BD227" s="236">
        <f>VLOOKUP(tabParametros[[#Headers],[Lucro]],tabOutrosCustos[],3,0)</f>
        <v>159.30499317803796</v>
      </c>
      <c r="BE227" s="235">
        <f>VLOOKUP(tabParametros[[#Headers],[COFINS]],tabImpostosNacionais[],2,0)</f>
        <v>7.5999999999999998E-2</v>
      </c>
      <c r="BF227" s="235">
        <f>VLOOKUP(tabParametros[[#Headers],[PIS]],tabImpostosNacionais[],2,0)</f>
        <v>1.6500000000000001E-2</v>
      </c>
      <c r="BG227" s="235">
        <f>VLOOKUP(tabParametros[[#This Row],[Comarca]],tabComarca[],4,0)</f>
        <v>0.03</v>
      </c>
      <c r="BH227" s="238">
        <f>IFERROR(VLOOKUP(tabParametros[[#This Row],[CCT DA CATEGORIA]],tabSindicatos[],11,0),"")</f>
        <v>45658</v>
      </c>
      <c r="BI227" s="289" t="str">
        <f>IFERROR(VLOOKUP(tabParametros[[#This Row],[CCT DA CATEGORIA]],tabSindicatos[],12,0),"")</f>
        <v>-</v>
      </c>
      <c r="BJ227" s="293" t="str">
        <f>IFERROR(VLOOKUP(tabParametros[[#This Row],[CCT DA CATEGORIA]],tabSindicatos[],13,0),"")</f>
        <v>-</v>
      </c>
    </row>
    <row r="228" spans="1:62" x14ac:dyDescent="0.25">
      <c r="A228" s="233" t="s">
        <v>1563</v>
      </c>
      <c r="B228" s="198" t="s">
        <v>208</v>
      </c>
      <c r="C228" s="198" t="s">
        <v>1244</v>
      </c>
      <c r="D228" s="198" t="str">
        <f>VLOOKUP(tabParametros[[#This Row],[Código do Posto]],tabPostos[],4,0)</f>
        <v>Sethac Norte de Minas</v>
      </c>
      <c r="E228" s="289" t="str">
        <f>VLOOKUP(tabParametros[[#This Row],[Código do Posto]],tabPostos[],5,0)</f>
        <v>Limpeza</v>
      </c>
      <c r="F228" s="289" t="str">
        <f>VLOOKUP(tabParametros[[#This Row],[Código do Posto]],tabPostos[],6,0)</f>
        <v>PGJ</v>
      </c>
      <c r="G228" s="289">
        <f>VLOOKUP(tabParametros[[#This Row],[Código do Posto]],tabPostos[],7,0)</f>
        <v>1</v>
      </c>
      <c r="H228" s="289">
        <f>VLOOKUP(tabParametros[[#This Row],[Código do Posto]],tabPostos[],8,0)</f>
        <v>0</v>
      </c>
      <c r="I228" s="234">
        <f>VLOOKUP(tabParametros[[#This Row],[Código do Posto]],tabPostos[],9,0)</f>
        <v>798.14</v>
      </c>
      <c r="J228" s="234">
        <f>IF(ISNUMBER(SEARCH("Eletricista",tabParametros[[#This Row],[Função]],1)),0.3*tabParametros[[#This Row],[Salário Base]],0)</f>
        <v>0</v>
      </c>
      <c r="K228" s="234">
        <f>IF(OR(ISNUMBER(SEARCH("Bombeiro Hidraulico",tabParametros[[#This Row],[Função]],1)),ISNUMBER(SEARCH("Jardineiro",tabParametros[[#This Row],[Função]],1)),ISNUMBER(SEARCH("Lavador de Veiculos",tabParametros[[#This Row],[Função]],1)),ISNUMBER(SEARCH("Marceneiro",tabParametros[[#This Row],[Função]],1)),ISNUMBER(SEARCH("Pintor",tabParametros[[#This Row],[Função]],1))),0.2*'BASE GERAL'!$R$4,0)</f>
        <v>0</v>
      </c>
      <c r="L228" s="234">
        <f>IF(AND(ISNUMBER(SEARCH("Noturno",tabParametros[[#This Row],[Função]],1)),tabParametros[[#This Row],[Comarca]]&lt;&gt;"Juiz de Fora"),tabParametros[[#This Row],[Salário Base]]/210*0.39*7*15.5,IF(ISNUMBER(SEARCH("Noturno",tabParametros[[#This Row],[Função]],1)),tabParametros[[#This Row],[Salário Base]]/210*0.2*8*15.5,0))</f>
        <v>0</v>
      </c>
      <c r="M228" s="234">
        <f>IF(ISNUMBER(SEARCH("Motorista II",tabParametros[[#This Row],[Função]],1)),0.25*tabParametros[[#This Row],[Salário Base]],0)</f>
        <v>0</v>
      </c>
      <c r="N228" s="250">
        <v>0</v>
      </c>
      <c r="O228" s="234">
        <f>IF(ISNUMBER(SEARCH("TECNOLOGIA DA INFORMACAO",tabParametros[[#This Row],[Função]],1)),0.0201*tabParametros[[#This Row],[Salário Base]],0)</f>
        <v>0</v>
      </c>
      <c r="P228" s="250" cm="1">
        <f t="array" ref="P228">_xlfn.IFS(
ISNUMBER(SEARCH("Auxiliar de Limpeza - 75 h",tabParametros[[#This Row],[Função]],1)),tabParametros[[#This Row],[Salário Base]]/75*0.75*30*0.12,
ISNUMBER(SEARCH("Auxiliar de Limpeza - 110 h",tabParametros[[#This Row],[Função]],1)),tabParametros[[#This Row],[Salário Base]]/110*1*30*0.12,
ISNUMBER(SEARCH("Auxiliar de Limpeza - 150 h",tabParametros[[#This Row],[Função]],1)),tabParametros[[#This Row],[Salário Base]]/150*1.5*30*0.12,
ISNUMBER(SEARCH("Auxiliar de Limpeza - 220 h",tabParametros[[#This Row],[Função]],1)),tabParametros[[#This Row],[Salário Base]]/220*2*30*0.12,
ISNUMBER(SEARCH("Auxiliar de Limpeza - 12 x 36",tabParametros[[#This Row],[Função]],1)),tabParametros[[#This Row],[Salário Base]]/220*2*30*0.12,
ISNUMBER(SEARCH("Auxiliar de Limpeza - 55 h",tabParametros[[#This Row],[Função]],1))=FALSE,0)</f>
        <v>26.120945454545453</v>
      </c>
      <c r="Q228" s="235">
        <f>VLOOKUP(tabParametros[[#Headers],[INSS]],tabImpostosNacionais[],2,0)</f>
        <v>0.2</v>
      </c>
      <c r="R228" s="235">
        <f>VLOOKUP(tabParametros[[#Headers],[SESI OU SESC]],tabImpostosNacionais[],2,0)</f>
        <v>1.4999999999999999E-2</v>
      </c>
      <c r="S228" s="235">
        <f>VLOOKUP(tabParametros[[#Headers],[SENAI OU SENAC]],tabImpostosNacionais[],2,0)</f>
        <v>0.01</v>
      </c>
      <c r="T228" s="235">
        <f>VLOOKUP(tabParametros[[#Headers],[INCRA]],tabImpostosNacionais[],2,0)</f>
        <v>2E-3</v>
      </c>
      <c r="U228" s="235">
        <f>VLOOKUP(tabParametros[[#Headers],[Salário Educação]],tabImpostosNacionais[],2,0)</f>
        <v>2.5000000000000001E-2</v>
      </c>
      <c r="V228" s="235">
        <f>VLOOKUP(tabParametros[[#Headers],[FGTS]],tabImpostosNacionais[],2,0)</f>
        <v>0.08</v>
      </c>
      <c r="W228" s="235">
        <f>VLOOKUP(tabParametros[[#Headers],[RAT Ajustado]],tabImpostosNacionais[],2,0)</f>
        <v>0.04</v>
      </c>
      <c r="X228" s="235">
        <f>VLOOKUP(tabParametros[[#Headers],[SEBRAE]],tabImpostosNacionais[],2,0)</f>
        <v>6.0000000000000001E-3</v>
      </c>
      <c r="Y228" s="235">
        <f t="shared" si="33"/>
        <v>8.3333333333333329E-2</v>
      </c>
      <c r="Z228" s="251">
        <f t="shared" si="34"/>
        <v>0.1111111111111111</v>
      </c>
      <c r="AA228" s="234">
        <f>VLOOKUP(tabParametros[[#This Row],[Comarca]],tabComarca[],5,0)</f>
        <v>6.4</v>
      </c>
      <c r="AB228" s="234">
        <f>IFERROR(VLOOKUP(tabParametros[[#This Row],[CCT DA CATEGORIA]],tabSindicatos[],6,0),0)</f>
        <v>29.15</v>
      </c>
      <c r="AC228" s="234">
        <f>IFERROR(VLOOKUP(tabParametros[[#This Row],[CCT DA CATEGORIA]],tabSindicatos[],7,0),0)</f>
        <v>0</v>
      </c>
      <c r="AD228" s="234" cm="1">
        <f t="array" ref="AD228">_xlfn.LET(
_xlpm.COMARCA, TRIM(UPPER(SUBSTITUTE(SUBSTITUTE(SUBSTITUTE(SUBSTITUTE(SUBSTITUTE(SUBSTITUTE(SUBSTITUTE(SUBSTITUTE(SUBSTITUTE(SUBSTITUTE(SUBSTITUTE(SUBSTITUTE(SUBSTITUTE(SUBSTITUTE(SUBSTITUTE(SUBSTITUTE(SUBSTITUTE(SUBSTITUTE(SUBSTITUTE(SUBSTITUTE(SUBSTITUTE(SUBSTITUTE(SUBSTITUTE(SUBSTITUTE(SUBSTITUTE(SUBSTITUTE(tabParametros[[#This Row],[Comarca]],"á","a"),"ã","a"),"â","a"),"é","e"),"ê","e"),"í","i"),"ó","o"),"õ","o"),"ô","o"),"ú","u"),"ç","c"),"Á","a"),"Ã","a"),"Â","a"),"É","e"),"Ê","e"),"Í","i"),"Ó","o"),"Õ","o"),"Ô","o"),"Ú","u"),"Ç","c"),"/MG","")," e ",", ")," ",""),".",""))),
_xlpm.MATRIZ_COMARCA, TRIM(UPPER(SUBSTITUTE(SUBSTITUTE(SUBSTITUTE(SUBSTITUTE(SUBSTITUTE(SUBSTITUTE(SUBSTITUTE(SUBSTITUTE(SUBSTITUTE(SUBSTITUTE(SUBSTITUTE(SUBSTITUTE(SUBSTITUTE(SUBSTITUTE(SUBSTITUTE(SUBSTITUTE(SUBSTITUTE(SUBSTITUTE(SUBSTITUTE(SUBSTITUTE(SUBSTITUTE(SUBSTITUTE(SUBSTITUTE(SUBSTITUTE(SUBSTITUTE(SUBSTITUTE(tabSindicatos[COMARCAS PAF],"á","a"),"ã","a"),"â","a"),"é","e"),"ê","e"),"í","i"),"ó","o"),"õ","o"),"ô","o"),"ú","u"),"ç","c"),"Á","a"),"Ã","a"),"Â","a"),"É","e"),"Ê","e"),"Í","i"),"Ó","o"),"Õ","o"),"Ô","o"),"Ú","u"),"Ç","c"),"/MG","")," e ",", ")," ",""),".",""))),
IFERROR(IF(_xlfn.XLOOKUP(tabParametros[[#This Row],[CCT DA CATEGORIA]],tabSindicatos[SINDICATOS],tabSindicatos[COMARCAS PAF])="",
VLOOKUP(tabParametros[[#This Row],[CCT DA CATEGORIA]],tabSindicatos[],8,0),
IF(ISNUMBER(SEARCH(TRIM(_xlpm.COMARCA),_xlfn.XLOOKUP(tabParametros[[#This Row],[CCT DA CATEGORIA]],tabSindicatos[SINDICATOS],_xlpm.MATRIZ_COMARCA),1)),VLOOKUP(tabParametros[[#This Row],[CCT DA CATEGORIA]],tabSindicatos[],8,0),0)
),0)
)</f>
        <v>0</v>
      </c>
      <c r="AE228" s="234">
        <f>IFERROR(VLOOKUP(tabParametros[[#This Row],[CCT DA CATEGORIA]],tabSindicatos[],9,0),0)</f>
        <v>0</v>
      </c>
      <c r="AF228" s="234">
        <f>IFERROR(VLOOKUP(tabParametros[[#This Row],[CCT DA CATEGORIA]],tabSindicatos[],10,0),0)</f>
        <v>0</v>
      </c>
      <c r="AG228" s="236">
        <f>VLOOKUP(tabParametros[[#Headers],[Seguro de Vida]],tabOutrosCustos[],3,0)</f>
        <v>3.36</v>
      </c>
      <c r="AH228" s="236">
        <f>IF(ISNUMBER(SEARCH("MOTORISTA",tabParametros[[#This Row],[Função]],1)),VLOOKUP("MOTORISTAS",tabDiarias[],2,0),IF(tabParametros[[#This Row],[Comarca]]="Belo Horizonte",VLOOKUP("LIMPEZA",tabDiarias[],2,0),0))</f>
        <v>0</v>
      </c>
      <c r="AI228" s="235">
        <f t="shared" si="35"/>
        <v>7.011766975308642E-3</v>
      </c>
      <c r="AJ228" s="237">
        <f>tabParametros[[#This Row],[FGTS]]*tabParametros[[#This Row],[Aviso Prévio Indenizado (API) e Reflexo do Aviso Prévio Indenizado]]</f>
        <v>5.609413580246914E-4</v>
      </c>
      <c r="AK228" s="237">
        <f>tabParametros[[#This Row],[FGTS]]*tabParametros[[#This Row],[Aviso Prévio Indenizado (API) e Reflexo do Aviso Prévio Indenizado]]*40%</f>
        <v>2.2437654320987658E-4</v>
      </c>
      <c r="AL228" s="235">
        <f t="shared" si="36"/>
        <v>3.5000000000000005E-3</v>
      </c>
      <c r="AM228" s="235">
        <f>tabParametros[[#This Row],[Aviso Prévio Trabalhado - APT]]*SUM(tabParametros[[#This Row],[INSS]:[SEBRAE]])</f>
        <v>1.3230000000000004E-3</v>
      </c>
      <c r="AN228" s="235">
        <f t="shared" si="37"/>
        <v>3.0577777777777773E-2</v>
      </c>
      <c r="AO228" s="235">
        <f t="shared" si="38"/>
        <v>8.3333333333333339E-4</v>
      </c>
      <c r="AP228" s="235">
        <f t="shared" si="39"/>
        <v>8.4444444444444437E-3</v>
      </c>
      <c r="AQ228" s="235">
        <f t="shared" si="40"/>
        <v>2.0277777777777777E-3</v>
      </c>
      <c r="AR228" s="235">
        <f t="shared" si="41"/>
        <v>1.7083333333333333E-4</v>
      </c>
      <c r="AS228" s="235">
        <f t="shared" si="42"/>
        <v>2.0833333333333335E-4</v>
      </c>
      <c r="AT228" s="235">
        <f t="shared" si="43"/>
        <v>1.2962962962962963E-3</v>
      </c>
      <c r="AU228" s="237">
        <f>SUM(tabParametros[[#This Row],[Ausência por Doença]:[Férias, Adicional de Férias e 13º  com empregada em gozo de Licença Maternidade]])*SUM(tabParametros[[#This Row],[INSS]:[SEBRAE]])</f>
        <v>4.5918250000000008E-3</v>
      </c>
      <c r="AV228" s="234">
        <f>IF(tabParametros[[#This Row],[Função]]="Porteiro - 220 h",SUM(tabParametros[[#This Row],[Salário Base]:[Adicional de Acúmulo de função]])/220*20*1.5,IF(ISNUMBER(SEARCH("12 x 36",tabParametros[[#This Row],[Função]],1)),SUM(tabParametros[[#This Row],[Salário Base]:[Adicional de Acúmulo de função]])/210*15.5*1.5,0))</f>
        <v>0</v>
      </c>
      <c r="AW228" s="234">
        <f>IF(tabParametros[[#This Row],[Vagas contratadas]]&gt;0,(SUM(tabParametros[[#This Row],[Salário Base]:[Adicional de Acúmulo de função]])*30%+SUM(tabParametros[[#This Row],[Vale - Alimentação]:[Seguro de Vida]]))/tabParametros[[#This Row],[Vagas contratadas]]*tabParametros[[#This Row],[Vagas suspensas]],0)</f>
        <v>0</v>
      </c>
      <c r="AX228" s="234">
        <f>SUMIF(tabUniformes[Cargo],tabParametros[[#This Row],[Função]],tabUniformes[Valor unit. Mensal])</f>
        <v>62.806666666666665</v>
      </c>
      <c r="AY228" s="281">
        <f>IF(ISNUMBER(SEARCH("AUXILIAR DE LIMPEZA - 75 H",tabParametros[[#This Row],[Função]],1)),
SUMIF(tabLimpGeral[TIPO],"Material",tabLimpGeral[VALOR UNITÁRIO P/ HORA (R$)])*75,
IF(ISNUMBER(SEARCH("AUXILIAR DE LIMPEZA - 110 H",tabParametros[[#This Row],[Função]],1)),
SUMIF(tabLimpGeral[TIPO],"Material",tabLimpGeral[VALOR UNITÁRIO P/ HORA (R$)])*110,
IF(ISNUMBER(SEARCH("AUXILIAR DE LIMPEZA - 150 H",tabParametros[[#This Row],[Função]],1)),
SUMIF(tabLimpGeral[TIPO],"Material",tabLimpGeral[VALOR UNITÁRIO P/ HORA (R$)])*150,
IF(ISNUMBER(SEARCH("AUXILIAR DE LIMPEZA - 220 H",tabParametros[[#This Row],[Função]],1)),
SUMIF(tabLimpGeral[TIPO],"Material",tabLimpGeral[VALOR UNITÁRIO P/ HORA (R$)])*220,
IF(ISNUMBER(SEARCH("AUXILIAR DE LIMPEZA - 12 x 36",tabParametros[[#This Row],[Função]],1)),
SUMIF(tabLimpGeral[TIPO],"Material",tabLimpGeral[VALOR UNITÁRIO P/ HORA (R$)])*220,
IF(ISNUMBER(SEARCH("Limpador de vidros - 220 h",tabParametros[[#This Row],[Função]],1)),
SUMIF(tabVidros[TIPO],"Material",tabVidros[VALOR UNITÁRIO P/ POSTO (R$)]),
0))))))</f>
        <v>17.759106479291944</v>
      </c>
      <c r="AZ228" s="281">
        <f>IF(ISNUMBER(SEARCH("AUXILIAR DE LIMPEZA - 75 H",tabParametros[[#This Row],[Função]],1)),
SUMIF(tabLimpGeral[TIPO],"Equipamento",tabLimpGeral[VALOR UNITÁRIO P/ HORA (R$)])*75,
IF(ISNUMBER(SEARCH("AUXILIAR DE LIMPEZA - 110 H",tabParametros[[#This Row],[Função]],1)),
SUMIF(tabLimpGeral[TIPO],"Equipamento",tabLimpGeral[VALOR UNITÁRIO P/ HORA (R$)])*110,
IF(ISNUMBER(SEARCH("AUXILIAR DE LIMPEZA - 150 H",tabParametros[[#This Row],[Função]],1)),
SUMIF(tabLimpGeral[TIPO],"Equipamento",tabLimpGeral[VALOR UNITÁRIO P/ HORA (R$)])*150,
IF(ISNUMBER(SEARCH("AUXILIAR DE LIMPEZA - 220 H",tabParametros[[#This Row],[Função]],1)),
SUMIF(tabLimpGeral[TIPO],"Equipamento",tabLimpGeral[VALOR UNITÁRIO P/ HORA (R$)])*220,
IF(ISNUMBER(SEARCH("AUXILIAR DE LIMPEZA - 12 x 36",tabParametros[[#This Row],[Função]],1)),
SUMIF(tabLimpGeral[TIPO],"Equipamento",tabLimpGeral[VALOR UNITÁRIO P/ HORA (R$)])*220,
IF(ISNUMBER(SEARCH("Limpador de vidros - 220 h",tabParametros[[#This Row],[Função]],1)),
SUMIF(tabVidros[TIPO],"Equipamento",tabVidros[VALOR UNITÁRIO P/ POSTO (R$)]),
0))))))</f>
        <v>32.264696957412788</v>
      </c>
      <c r="BA228" s="281">
        <f>IF(ISNUMBER(SEARCH("AUXILIAR DE LIMPEZA - 75 H",tabParametros[[#This Row],[Função]],1)),
SUMIF(tabLimpGeral[TIPO],"Produto",tabLimpGeral[VALOR UNITÁRIO P/ HORA (R$)])*75,
IF(ISNUMBER(SEARCH("AUXILIAR DE LIMPEZA - 110 H",tabParametros[[#This Row],[Função]],1)),
SUMIF(tabLimpGeral[TIPO],"Produto",tabLimpGeral[VALOR UNITÁRIO P/ HORA (R$)])*110,
IF(ISNUMBER(SEARCH("AUXILIAR DE LIMPEZA - 150 H",tabParametros[[#This Row],[Função]],1)),
SUMIF(tabLimpGeral[TIPO],"Produto",tabLimpGeral[VALOR UNITÁRIO P/ HORA (R$)])*150,
IF(ISNUMBER(SEARCH("AUXILIAR DE LIMPEZA - 220 H",tabParametros[[#This Row],[Função]],1)),
SUMIF(tabLimpGeral[TIPO],"Produto",tabLimpGeral[VALOR UNITÁRIO P/ HORA (R$)])*220,
IF(ISNUMBER(SEARCH("AUXILIAR DE LIMPEZA - 12 x 36",tabParametros[[#This Row],[Função]],1)),
SUMIF(tabLimpGeral[TIPO],"Produto",tabLimpGeral[VALOR UNITÁRIO P/ HORA (R$)])*220,
IF(ISNUMBER(SEARCH("Limpador de vidros - 220 h",tabParametros[[#This Row],[Função]],1)),
SUMIF(tabVidros[TIPO],"Produto",tabVidros[VALOR UNITÁRIO P/ POSTO (R$)]),
0))))))</f>
        <v>345.13576638965827</v>
      </c>
      <c r="BB228" s="281">
        <v>0</v>
      </c>
      <c r="BC228" s="236">
        <f>VLOOKUP(tabParametros[[#Headers],[Custos Indiretos]],tabOutrosCustos[],3,0)</f>
        <v>189.64880140242613</v>
      </c>
      <c r="BD228" s="236">
        <f>VLOOKUP(tabParametros[[#Headers],[Lucro]],tabOutrosCustos[],3,0)</f>
        <v>159.30499317803796</v>
      </c>
      <c r="BE228" s="235">
        <f>VLOOKUP(tabParametros[[#Headers],[COFINS]],tabImpostosNacionais[],2,0)</f>
        <v>7.5999999999999998E-2</v>
      </c>
      <c r="BF228" s="235">
        <f>VLOOKUP(tabParametros[[#Headers],[PIS]],tabImpostosNacionais[],2,0)</f>
        <v>1.6500000000000001E-2</v>
      </c>
      <c r="BG228" s="235">
        <f>VLOOKUP(tabParametros[[#This Row],[Comarca]],tabComarca[],4,0)</f>
        <v>0.03</v>
      </c>
      <c r="BH228" s="238">
        <f>IFERROR(VLOOKUP(tabParametros[[#This Row],[CCT DA CATEGORIA]],tabSindicatos[],11,0),"")</f>
        <v>45658</v>
      </c>
      <c r="BI228" s="289" t="str">
        <f>IFERROR(VLOOKUP(tabParametros[[#This Row],[CCT DA CATEGORIA]],tabSindicatos[],12,0),"")</f>
        <v>-</v>
      </c>
      <c r="BJ228" s="293" t="str">
        <f>IFERROR(VLOOKUP(tabParametros[[#This Row],[CCT DA CATEGORIA]],tabSindicatos[],13,0),"")</f>
        <v>-</v>
      </c>
    </row>
    <row r="229" spans="1:62" x14ac:dyDescent="0.25">
      <c r="A229" s="233" t="s">
        <v>1564</v>
      </c>
      <c r="B229" s="198" t="s">
        <v>208</v>
      </c>
      <c r="C229" s="198" t="s">
        <v>1245</v>
      </c>
      <c r="D229" s="198" t="str">
        <f>VLOOKUP(tabParametros[[#This Row],[Código do Posto]],tabPostos[],4,0)</f>
        <v>Sethac Norte de Minas</v>
      </c>
      <c r="E229" s="289" t="str">
        <f>VLOOKUP(tabParametros[[#This Row],[Código do Posto]],tabPostos[],5,0)</f>
        <v>Limpeza</v>
      </c>
      <c r="F229" s="289" t="str">
        <f>VLOOKUP(tabParametros[[#This Row],[Código do Posto]],tabPostos[],6,0)</f>
        <v>PGJ</v>
      </c>
      <c r="G229" s="289">
        <f>VLOOKUP(tabParametros[[#This Row],[Código do Posto]],tabPostos[],7,0)</f>
        <v>1</v>
      </c>
      <c r="H229" s="289">
        <f>VLOOKUP(tabParametros[[#This Row],[Código do Posto]],tabPostos[],8,0)</f>
        <v>0</v>
      </c>
      <c r="I229" s="234">
        <f>VLOOKUP(tabParametros[[#This Row],[Código do Posto]],tabPostos[],9,0)</f>
        <v>1596.28</v>
      </c>
      <c r="J229" s="234">
        <f>IF(ISNUMBER(SEARCH("Eletricista",tabParametros[[#This Row],[Função]],1)),0.3*tabParametros[[#This Row],[Salário Base]],0)</f>
        <v>0</v>
      </c>
      <c r="K229" s="234">
        <f>IF(OR(ISNUMBER(SEARCH("Bombeiro Hidraulico",tabParametros[[#This Row],[Função]],1)),ISNUMBER(SEARCH("Jardineiro",tabParametros[[#This Row],[Função]],1)),ISNUMBER(SEARCH("Lavador de Veiculos",tabParametros[[#This Row],[Função]],1)),ISNUMBER(SEARCH("Marceneiro",tabParametros[[#This Row],[Função]],1)),ISNUMBER(SEARCH("Pintor",tabParametros[[#This Row],[Função]],1))),0.2*'BASE GERAL'!$R$4,0)</f>
        <v>0</v>
      </c>
      <c r="L229" s="234">
        <f>IF(AND(ISNUMBER(SEARCH("Noturno",tabParametros[[#This Row],[Função]],1)),tabParametros[[#This Row],[Comarca]]&lt;&gt;"Juiz de Fora"),tabParametros[[#This Row],[Salário Base]]/210*0.39*7*15.5,IF(ISNUMBER(SEARCH("Noturno",tabParametros[[#This Row],[Função]],1)),tabParametros[[#This Row],[Salário Base]]/210*0.2*8*15.5,0))</f>
        <v>0</v>
      </c>
      <c r="M229" s="234">
        <f>IF(ISNUMBER(SEARCH("Motorista II",tabParametros[[#This Row],[Função]],1)),0.25*tabParametros[[#This Row],[Salário Base]],0)</f>
        <v>0</v>
      </c>
      <c r="N229" s="250">
        <v>0</v>
      </c>
      <c r="O229" s="234">
        <f>IF(ISNUMBER(SEARCH("TECNOLOGIA DA INFORMACAO",tabParametros[[#This Row],[Função]],1)),0.0201*tabParametros[[#This Row],[Salário Base]],0)</f>
        <v>0</v>
      </c>
      <c r="P229" s="250" cm="1">
        <f t="array" ref="P229">_xlfn.IFS(
ISNUMBER(SEARCH("Auxiliar de Limpeza - 75 h",tabParametros[[#This Row],[Função]],1)),tabParametros[[#This Row],[Salário Base]]/75*0.75*30*0.12,
ISNUMBER(SEARCH("Auxiliar de Limpeza - 110 h",tabParametros[[#This Row],[Função]],1)),tabParametros[[#This Row],[Salário Base]]/110*1*30*0.12,
ISNUMBER(SEARCH("Auxiliar de Limpeza - 150 h",tabParametros[[#This Row],[Função]],1)),tabParametros[[#This Row],[Salário Base]]/150*1.5*30*0.12,
ISNUMBER(SEARCH("Auxiliar de Limpeza - 220 h",tabParametros[[#This Row],[Função]],1)),tabParametros[[#This Row],[Salário Base]]/220*2*30*0.12,
ISNUMBER(SEARCH("Auxiliar de Limpeza - 12 x 36",tabParametros[[#This Row],[Função]],1)),tabParametros[[#This Row],[Salário Base]]/220*2*30*0.12,
ISNUMBER(SEARCH("Auxiliar de Limpeza - 55 h",tabParametros[[#This Row],[Função]],1))=FALSE,0)</f>
        <v>52.241890909090905</v>
      </c>
      <c r="Q229" s="235">
        <f>VLOOKUP(tabParametros[[#Headers],[INSS]],tabImpostosNacionais[],2,0)</f>
        <v>0.2</v>
      </c>
      <c r="R229" s="235">
        <f>VLOOKUP(tabParametros[[#Headers],[SESI OU SESC]],tabImpostosNacionais[],2,0)</f>
        <v>1.4999999999999999E-2</v>
      </c>
      <c r="S229" s="235">
        <f>VLOOKUP(tabParametros[[#Headers],[SENAI OU SENAC]],tabImpostosNacionais[],2,0)</f>
        <v>0.01</v>
      </c>
      <c r="T229" s="235">
        <f>VLOOKUP(tabParametros[[#Headers],[INCRA]],tabImpostosNacionais[],2,0)</f>
        <v>2E-3</v>
      </c>
      <c r="U229" s="235">
        <f>VLOOKUP(tabParametros[[#Headers],[Salário Educação]],tabImpostosNacionais[],2,0)</f>
        <v>2.5000000000000001E-2</v>
      </c>
      <c r="V229" s="235">
        <f>VLOOKUP(tabParametros[[#Headers],[FGTS]],tabImpostosNacionais[],2,0)</f>
        <v>0.08</v>
      </c>
      <c r="W229" s="235">
        <f>VLOOKUP(tabParametros[[#Headers],[RAT Ajustado]],tabImpostosNacionais[],2,0)</f>
        <v>0.04</v>
      </c>
      <c r="X229" s="235">
        <f>VLOOKUP(tabParametros[[#Headers],[SEBRAE]],tabImpostosNacionais[],2,0)</f>
        <v>6.0000000000000001E-3</v>
      </c>
      <c r="Y229" s="235">
        <f t="shared" si="33"/>
        <v>8.3333333333333329E-2</v>
      </c>
      <c r="Z229" s="251">
        <f t="shared" si="34"/>
        <v>0.1111111111111111</v>
      </c>
      <c r="AA229" s="234">
        <f>VLOOKUP(tabParametros[[#This Row],[Comarca]],tabComarca[],5,0)</f>
        <v>6.4</v>
      </c>
      <c r="AB229" s="234">
        <f>IFERROR(VLOOKUP(tabParametros[[#This Row],[CCT DA CATEGORIA]],tabSindicatos[],6,0),0)</f>
        <v>29.15</v>
      </c>
      <c r="AC229" s="234">
        <f>IFERROR(VLOOKUP(tabParametros[[#This Row],[CCT DA CATEGORIA]],tabSindicatos[],7,0),0)</f>
        <v>0</v>
      </c>
      <c r="AD229" s="234" cm="1">
        <f t="array" ref="AD229">_xlfn.LET(
_xlpm.COMARCA, TRIM(UPPER(SUBSTITUTE(SUBSTITUTE(SUBSTITUTE(SUBSTITUTE(SUBSTITUTE(SUBSTITUTE(SUBSTITUTE(SUBSTITUTE(SUBSTITUTE(SUBSTITUTE(SUBSTITUTE(SUBSTITUTE(SUBSTITUTE(SUBSTITUTE(SUBSTITUTE(SUBSTITUTE(SUBSTITUTE(SUBSTITUTE(SUBSTITUTE(SUBSTITUTE(SUBSTITUTE(SUBSTITUTE(SUBSTITUTE(SUBSTITUTE(SUBSTITUTE(SUBSTITUTE(tabParametros[[#This Row],[Comarca]],"á","a"),"ã","a"),"â","a"),"é","e"),"ê","e"),"í","i"),"ó","o"),"õ","o"),"ô","o"),"ú","u"),"ç","c"),"Á","a"),"Ã","a"),"Â","a"),"É","e"),"Ê","e"),"Í","i"),"Ó","o"),"Õ","o"),"Ô","o"),"Ú","u"),"Ç","c"),"/MG","")," e ",", ")," ",""),".",""))),
_xlpm.MATRIZ_COMARCA, TRIM(UPPER(SUBSTITUTE(SUBSTITUTE(SUBSTITUTE(SUBSTITUTE(SUBSTITUTE(SUBSTITUTE(SUBSTITUTE(SUBSTITUTE(SUBSTITUTE(SUBSTITUTE(SUBSTITUTE(SUBSTITUTE(SUBSTITUTE(SUBSTITUTE(SUBSTITUTE(SUBSTITUTE(SUBSTITUTE(SUBSTITUTE(SUBSTITUTE(SUBSTITUTE(SUBSTITUTE(SUBSTITUTE(SUBSTITUTE(SUBSTITUTE(SUBSTITUTE(SUBSTITUTE(tabSindicatos[COMARCAS PAF],"á","a"),"ã","a"),"â","a"),"é","e"),"ê","e"),"í","i"),"ó","o"),"õ","o"),"ô","o"),"ú","u"),"ç","c"),"Á","a"),"Ã","a"),"Â","a"),"É","e"),"Ê","e"),"Í","i"),"Ó","o"),"Õ","o"),"Ô","o"),"Ú","u"),"Ç","c"),"/MG","")," e ",", ")," ",""),".",""))),
IFERROR(IF(_xlfn.XLOOKUP(tabParametros[[#This Row],[CCT DA CATEGORIA]],tabSindicatos[SINDICATOS],tabSindicatos[COMARCAS PAF])="",
VLOOKUP(tabParametros[[#This Row],[CCT DA CATEGORIA]],tabSindicatos[],8,0),
IF(ISNUMBER(SEARCH(TRIM(_xlpm.COMARCA),_xlfn.XLOOKUP(tabParametros[[#This Row],[CCT DA CATEGORIA]],tabSindicatos[SINDICATOS],_xlpm.MATRIZ_COMARCA),1)),VLOOKUP(tabParametros[[#This Row],[CCT DA CATEGORIA]],tabSindicatos[],8,0),0)
),0)
)</f>
        <v>0</v>
      </c>
      <c r="AE229" s="234">
        <f>IFERROR(VLOOKUP(tabParametros[[#This Row],[CCT DA CATEGORIA]],tabSindicatos[],9,0),0)</f>
        <v>0</v>
      </c>
      <c r="AF229" s="234">
        <f>IFERROR(VLOOKUP(tabParametros[[#This Row],[CCT DA CATEGORIA]],tabSindicatos[],10,0),0)</f>
        <v>0</v>
      </c>
      <c r="AG229" s="236">
        <f>VLOOKUP(tabParametros[[#Headers],[Seguro de Vida]],tabOutrosCustos[],3,0)</f>
        <v>3.36</v>
      </c>
      <c r="AH229" s="236">
        <f>IF(ISNUMBER(SEARCH("MOTORISTA",tabParametros[[#This Row],[Função]],1)),VLOOKUP("MOTORISTAS",tabDiarias[],2,0),IF(tabParametros[[#This Row],[Comarca]]="Belo Horizonte",VLOOKUP("LIMPEZA",tabDiarias[],2,0),0))</f>
        <v>0</v>
      </c>
      <c r="AI229" s="235">
        <f t="shared" si="35"/>
        <v>7.011766975308642E-3</v>
      </c>
      <c r="AJ229" s="237">
        <f>tabParametros[[#This Row],[FGTS]]*tabParametros[[#This Row],[Aviso Prévio Indenizado (API) e Reflexo do Aviso Prévio Indenizado]]</f>
        <v>5.609413580246914E-4</v>
      </c>
      <c r="AK229" s="237">
        <f>tabParametros[[#This Row],[FGTS]]*tabParametros[[#This Row],[Aviso Prévio Indenizado (API) e Reflexo do Aviso Prévio Indenizado]]*40%</f>
        <v>2.2437654320987658E-4</v>
      </c>
      <c r="AL229" s="235">
        <f t="shared" si="36"/>
        <v>3.5000000000000005E-3</v>
      </c>
      <c r="AM229" s="235">
        <f>tabParametros[[#This Row],[Aviso Prévio Trabalhado - APT]]*SUM(tabParametros[[#This Row],[INSS]:[SEBRAE]])</f>
        <v>1.3230000000000004E-3</v>
      </c>
      <c r="AN229" s="235">
        <f t="shared" si="37"/>
        <v>3.0577777777777773E-2</v>
      </c>
      <c r="AO229" s="235">
        <f t="shared" si="38"/>
        <v>8.3333333333333339E-4</v>
      </c>
      <c r="AP229" s="235">
        <f t="shared" si="39"/>
        <v>8.4444444444444437E-3</v>
      </c>
      <c r="AQ229" s="235">
        <f t="shared" si="40"/>
        <v>2.0277777777777777E-3</v>
      </c>
      <c r="AR229" s="235">
        <f t="shared" si="41"/>
        <v>1.7083333333333333E-4</v>
      </c>
      <c r="AS229" s="235">
        <f t="shared" si="42"/>
        <v>2.0833333333333335E-4</v>
      </c>
      <c r="AT229" s="235">
        <f t="shared" si="43"/>
        <v>1.2962962962962963E-3</v>
      </c>
      <c r="AU229" s="237">
        <f>SUM(tabParametros[[#This Row],[Ausência por Doença]:[Férias, Adicional de Férias e 13º  com empregada em gozo de Licença Maternidade]])*SUM(tabParametros[[#This Row],[INSS]:[SEBRAE]])</f>
        <v>4.5918250000000008E-3</v>
      </c>
      <c r="AV229" s="234">
        <f>IF(tabParametros[[#This Row],[Função]]="Porteiro - 220 h",SUM(tabParametros[[#This Row],[Salário Base]:[Adicional de Acúmulo de função]])/220*20*1.5,IF(ISNUMBER(SEARCH("12 x 36",tabParametros[[#This Row],[Função]],1)),SUM(tabParametros[[#This Row],[Salário Base]:[Adicional de Acúmulo de função]])/210*15.5*1.5,0))</f>
        <v>0</v>
      </c>
      <c r="AW229" s="234">
        <f>IF(tabParametros[[#This Row],[Vagas contratadas]]&gt;0,(SUM(tabParametros[[#This Row],[Salário Base]:[Adicional de Acúmulo de função]])*30%+SUM(tabParametros[[#This Row],[Vale - Alimentação]:[Seguro de Vida]]))/tabParametros[[#This Row],[Vagas contratadas]]*tabParametros[[#This Row],[Vagas suspensas]],0)</f>
        <v>0</v>
      </c>
      <c r="AX229" s="234">
        <f>SUMIF(tabUniformes[Cargo],tabParametros[[#This Row],[Função]],tabUniformes[Valor unit. Mensal])</f>
        <v>100.80916666666666</v>
      </c>
      <c r="AY229" s="281">
        <f>IF(ISNUMBER(SEARCH("AUXILIAR DE LIMPEZA - 75 H",tabParametros[[#This Row],[Função]],1)),
SUMIF(tabLimpGeral[TIPO],"Material",tabLimpGeral[VALOR UNITÁRIO P/ HORA (R$)])*75,
IF(ISNUMBER(SEARCH("AUXILIAR DE LIMPEZA - 110 H",tabParametros[[#This Row],[Função]],1)),
SUMIF(tabLimpGeral[TIPO],"Material",tabLimpGeral[VALOR UNITÁRIO P/ HORA (R$)])*110,
IF(ISNUMBER(SEARCH("AUXILIAR DE LIMPEZA - 150 H",tabParametros[[#This Row],[Função]],1)),
SUMIF(tabLimpGeral[TIPO],"Material",tabLimpGeral[VALOR UNITÁRIO P/ HORA (R$)])*150,
IF(ISNUMBER(SEARCH("AUXILIAR DE LIMPEZA - 220 H",tabParametros[[#This Row],[Função]],1)),
SUMIF(tabLimpGeral[TIPO],"Material",tabLimpGeral[VALOR UNITÁRIO P/ HORA (R$)])*220,
IF(ISNUMBER(SEARCH("AUXILIAR DE LIMPEZA - 12 x 36",tabParametros[[#This Row],[Função]],1)),
SUMIF(tabLimpGeral[TIPO],"Material",tabLimpGeral[VALOR UNITÁRIO P/ HORA (R$)])*220,
IF(ISNUMBER(SEARCH("Limpador de vidros - 220 h",tabParametros[[#This Row],[Função]],1)),
SUMIF(tabVidros[TIPO],"Material",tabVidros[VALOR UNITÁRIO P/ POSTO (R$)]),
0))))))</f>
        <v>35.518212958583888</v>
      </c>
      <c r="AZ229" s="281">
        <f>IF(ISNUMBER(SEARCH("AUXILIAR DE LIMPEZA - 75 H",tabParametros[[#This Row],[Função]],1)),
SUMIF(tabLimpGeral[TIPO],"Equipamento",tabLimpGeral[VALOR UNITÁRIO P/ HORA (R$)])*75,
IF(ISNUMBER(SEARCH("AUXILIAR DE LIMPEZA - 110 H",tabParametros[[#This Row],[Função]],1)),
SUMIF(tabLimpGeral[TIPO],"Equipamento",tabLimpGeral[VALOR UNITÁRIO P/ HORA (R$)])*110,
IF(ISNUMBER(SEARCH("AUXILIAR DE LIMPEZA - 150 H",tabParametros[[#This Row],[Função]],1)),
SUMIF(tabLimpGeral[TIPO],"Equipamento",tabLimpGeral[VALOR UNITÁRIO P/ HORA (R$)])*150,
IF(ISNUMBER(SEARCH("AUXILIAR DE LIMPEZA - 220 H",tabParametros[[#This Row],[Função]],1)),
SUMIF(tabLimpGeral[TIPO],"Equipamento",tabLimpGeral[VALOR UNITÁRIO P/ HORA (R$)])*220,
IF(ISNUMBER(SEARCH("AUXILIAR DE LIMPEZA - 12 x 36",tabParametros[[#This Row],[Função]],1)),
SUMIF(tabLimpGeral[TIPO],"Equipamento",tabLimpGeral[VALOR UNITÁRIO P/ HORA (R$)])*220,
IF(ISNUMBER(SEARCH("Limpador de vidros - 220 h",tabParametros[[#This Row],[Função]],1)),
SUMIF(tabVidros[TIPO],"Equipamento",tabVidros[VALOR UNITÁRIO P/ POSTO (R$)]),
0))))))</f>
        <v>64.529393914825576</v>
      </c>
      <c r="BA229" s="281">
        <f>IF(ISNUMBER(SEARCH("AUXILIAR DE LIMPEZA - 75 H",tabParametros[[#This Row],[Função]],1)),
SUMIF(tabLimpGeral[TIPO],"Produto",tabLimpGeral[VALOR UNITÁRIO P/ HORA (R$)])*75,
IF(ISNUMBER(SEARCH("AUXILIAR DE LIMPEZA - 110 H",tabParametros[[#This Row],[Função]],1)),
SUMIF(tabLimpGeral[TIPO],"Produto",tabLimpGeral[VALOR UNITÁRIO P/ HORA (R$)])*110,
IF(ISNUMBER(SEARCH("AUXILIAR DE LIMPEZA - 150 H",tabParametros[[#This Row],[Função]],1)),
SUMIF(tabLimpGeral[TIPO],"Produto",tabLimpGeral[VALOR UNITÁRIO P/ HORA (R$)])*150,
IF(ISNUMBER(SEARCH("AUXILIAR DE LIMPEZA - 220 H",tabParametros[[#This Row],[Função]],1)),
SUMIF(tabLimpGeral[TIPO],"Produto",tabLimpGeral[VALOR UNITÁRIO P/ HORA (R$)])*220,
IF(ISNUMBER(SEARCH("AUXILIAR DE LIMPEZA - 12 x 36",tabParametros[[#This Row],[Função]],1)),
SUMIF(tabLimpGeral[TIPO],"Produto",tabLimpGeral[VALOR UNITÁRIO P/ HORA (R$)])*220,
IF(ISNUMBER(SEARCH("Limpador de vidros - 220 h",tabParametros[[#This Row],[Função]],1)),
SUMIF(tabVidros[TIPO],"Produto",tabVidros[VALOR UNITÁRIO P/ POSTO (R$)]),
0))))))</f>
        <v>690.27153277931654</v>
      </c>
      <c r="BB229" s="281">
        <v>0</v>
      </c>
      <c r="BC229" s="236">
        <f>VLOOKUP(tabParametros[[#Headers],[Custos Indiretos]],tabOutrosCustos[],3,0)</f>
        <v>189.64880140242613</v>
      </c>
      <c r="BD229" s="236">
        <f>VLOOKUP(tabParametros[[#Headers],[Lucro]],tabOutrosCustos[],3,0)</f>
        <v>159.30499317803796</v>
      </c>
      <c r="BE229" s="235">
        <f>VLOOKUP(tabParametros[[#Headers],[COFINS]],tabImpostosNacionais[],2,0)</f>
        <v>7.5999999999999998E-2</v>
      </c>
      <c r="BF229" s="235">
        <f>VLOOKUP(tabParametros[[#Headers],[PIS]],tabImpostosNacionais[],2,0)</f>
        <v>1.6500000000000001E-2</v>
      </c>
      <c r="BG229" s="235">
        <f>VLOOKUP(tabParametros[[#This Row],[Comarca]],tabComarca[],4,0)</f>
        <v>0.03</v>
      </c>
      <c r="BH229" s="238">
        <f>IFERROR(VLOOKUP(tabParametros[[#This Row],[CCT DA CATEGORIA]],tabSindicatos[],11,0),"")</f>
        <v>45658</v>
      </c>
      <c r="BI229" s="289" t="str">
        <f>IFERROR(VLOOKUP(tabParametros[[#This Row],[CCT DA CATEGORIA]],tabSindicatos[],12,0),"")</f>
        <v>-</v>
      </c>
      <c r="BJ229" s="293" t="str">
        <f>IFERROR(VLOOKUP(tabParametros[[#This Row],[CCT DA CATEGORIA]],tabSindicatos[],13,0),"")</f>
        <v>-</v>
      </c>
    </row>
    <row r="230" spans="1:62" x14ac:dyDescent="0.25">
      <c r="A230" s="233" t="s">
        <v>1565</v>
      </c>
      <c r="B230" s="198" t="s">
        <v>209</v>
      </c>
      <c r="C230" s="198" t="s">
        <v>1245</v>
      </c>
      <c r="D230" s="198" t="str">
        <f>VLOOKUP(tabParametros[[#This Row],[Código do Posto]],tabPostos[],4,0)</f>
        <v>Regiao de Sao Lourenco</v>
      </c>
      <c r="E230" s="289" t="str">
        <f>VLOOKUP(tabParametros[[#This Row],[Código do Posto]],tabPostos[],5,0)</f>
        <v>Limpeza</v>
      </c>
      <c r="F230" s="289" t="str">
        <f>VLOOKUP(tabParametros[[#This Row],[Código do Posto]],tabPostos[],6,0)</f>
        <v>PGJ</v>
      </c>
      <c r="G230" s="289">
        <f>VLOOKUP(tabParametros[[#This Row],[Código do Posto]],tabPostos[],7,0)</f>
        <v>3</v>
      </c>
      <c r="H230" s="289">
        <f>VLOOKUP(tabParametros[[#This Row],[Código do Posto]],tabPostos[],8,0)</f>
        <v>0</v>
      </c>
      <c r="I230" s="234">
        <f>VLOOKUP(tabParametros[[#This Row],[Código do Posto]],tabPostos[],9,0)</f>
        <v>1596.28</v>
      </c>
      <c r="J230" s="234">
        <f>IF(ISNUMBER(SEARCH("Eletricista",tabParametros[[#This Row],[Função]],1)),0.3*tabParametros[[#This Row],[Salário Base]],0)</f>
        <v>0</v>
      </c>
      <c r="K230" s="234">
        <f>IF(OR(ISNUMBER(SEARCH("Bombeiro Hidraulico",tabParametros[[#This Row],[Função]],1)),ISNUMBER(SEARCH("Jardineiro",tabParametros[[#This Row],[Função]],1)),ISNUMBER(SEARCH("Lavador de Veiculos",tabParametros[[#This Row],[Função]],1)),ISNUMBER(SEARCH("Marceneiro",tabParametros[[#This Row],[Função]],1)),ISNUMBER(SEARCH("Pintor",tabParametros[[#This Row],[Função]],1))),0.2*'BASE GERAL'!$R$4,0)</f>
        <v>0</v>
      </c>
      <c r="L230" s="234">
        <f>IF(AND(ISNUMBER(SEARCH("Noturno",tabParametros[[#This Row],[Função]],1)),tabParametros[[#This Row],[Comarca]]&lt;&gt;"Juiz de Fora"),tabParametros[[#This Row],[Salário Base]]/210*0.39*7*15.5,IF(ISNUMBER(SEARCH("Noturno",tabParametros[[#This Row],[Função]],1)),tabParametros[[#This Row],[Salário Base]]/210*0.2*8*15.5,0))</f>
        <v>0</v>
      </c>
      <c r="M230" s="234">
        <f>IF(ISNUMBER(SEARCH("Motorista II",tabParametros[[#This Row],[Função]],1)),0.25*tabParametros[[#This Row],[Salário Base]],0)</f>
        <v>0</v>
      </c>
      <c r="N230" s="250">
        <v>0</v>
      </c>
      <c r="O230" s="234">
        <f>IF(ISNUMBER(SEARCH("TECNOLOGIA DA INFORMACAO",tabParametros[[#This Row],[Função]],1)),0.0201*tabParametros[[#This Row],[Salário Base]],0)</f>
        <v>0</v>
      </c>
      <c r="P230" s="250" cm="1">
        <f t="array" ref="P230">_xlfn.IFS(
ISNUMBER(SEARCH("Auxiliar de Limpeza - 75 h",tabParametros[[#This Row],[Função]],1)),tabParametros[[#This Row],[Salário Base]]/75*0.75*30*0.12,
ISNUMBER(SEARCH("Auxiliar de Limpeza - 110 h",tabParametros[[#This Row],[Função]],1)),tabParametros[[#This Row],[Salário Base]]/110*1*30*0.12,
ISNUMBER(SEARCH("Auxiliar de Limpeza - 150 h",tabParametros[[#This Row],[Função]],1)),tabParametros[[#This Row],[Salário Base]]/150*1.5*30*0.12,
ISNUMBER(SEARCH("Auxiliar de Limpeza - 220 h",tabParametros[[#This Row],[Função]],1)),tabParametros[[#This Row],[Salário Base]]/220*2*30*0.12,
ISNUMBER(SEARCH("Auxiliar de Limpeza - 12 x 36",tabParametros[[#This Row],[Função]],1)),tabParametros[[#This Row],[Salário Base]]/220*2*30*0.12,
ISNUMBER(SEARCH("Auxiliar de Limpeza - 55 h",tabParametros[[#This Row],[Função]],1))=FALSE,0)</f>
        <v>52.241890909090905</v>
      </c>
      <c r="Q230" s="235">
        <f>VLOOKUP(tabParametros[[#Headers],[INSS]],tabImpostosNacionais[],2,0)</f>
        <v>0.2</v>
      </c>
      <c r="R230" s="235">
        <f>VLOOKUP(tabParametros[[#Headers],[SESI OU SESC]],tabImpostosNacionais[],2,0)</f>
        <v>1.4999999999999999E-2</v>
      </c>
      <c r="S230" s="235">
        <f>VLOOKUP(tabParametros[[#Headers],[SENAI OU SENAC]],tabImpostosNacionais[],2,0)</f>
        <v>0.01</v>
      </c>
      <c r="T230" s="235">
        <f>VLOOKUP(tabParametros[[#Headers],[INCRA]],tabImpostosNacionais[],2,0)</f>
        <v>2E-3</v>
      </c>
      <c r="U230" s="235">
        <f>VLOOKUP(tabParametros[[#Headers],[Salário Educação]],tabImpostosNacionais[],2,0)</f>
        <v>2.5000000000000001E-2</v>
      </c>
      <c r="V230" s="235">
        <f>VLOOKUP(tabParametros[[#Headers],[FGTS]],tabImpostosNacionais[],2,0)</f>
        <v>0.08</v>
      </c>
      <c r="W230" s="235">
        <f>VLOOKUP(tabParametros[[#Headers],[RAT Ajustado]],tabImpostosNacionais[],2,0)</f>
        <v>0.04</v>
      </c>
      <c r="X230" s="235">
        <f>VLOOKUP(tabParametros[[#Headers],[SEBRAE]],tabImpostosNacionais[],2,0)</f>
        <v>6.0000000000000001E-3</v>
      </c>
      <c r="Y230" s="235">
        <f t="shared" si="33"/>
        <v>8.3333333333333329E-2</v>
      </c>
      <c r="Z230" s="251">
        <f t="shared" si="34"/>
        <v>0.1111111111111111</v>
      </c>
      <c r="AA230" s="234">
        <f>VLOOKUP(tabParametros[[#This Row],[Comarca]],tabComarca[],5,0)</f>
        <v>6.4</v>
      </c>
      <c r="AB230" s="234">
        <f>IFERROR(VLOOKUP(tabParametros[[#This Row],[CCT DA CATEGORIA]],tabSindicatos[],6,0),0)</f>
        <v>29.15</v>
      </c>
      <c r="AC230" s="234">
        <f>IFERROR(VLOOKUP(tabParametros[[#This Row],[CCT DA CATEGORIA]],tabSindicatos[],7,0),0)</f>
        <v>0</v>
      </c>
      <c r="AD230" s="234" cm="1">
        <f t="array" ref="AD230">_xlfn.LET(
_xlpm.COMARCA, TRIM(UPPER(SUBSTITUTE(SUBSTITUTE(SUBSTITUTE(SUBSTITUTE(SUBSTITUTE(SUBSTITUTE(SUBSTITUTE(SUBSTITUTE(SUBSTITUTE(SUBSTITUTE(SUBSTITUTE(SUBSTITUTE(SUBSTITUTE(SUBSTITUTE(SUBSTITUTE(SUBSTITUTE(SUBSTITUTE(SUBSTITUTE(SUBSTITUTE(SUBSTITUTE(SUBSTITUTE(SUBSTITUTE(SUBSTITUTE(SUBSTITUTE(SUBSTITUTE(SUBSTITUTE(tabParametros[[#This Row],[Comarca]],"á","a"),"ã","a"),"â","a"),"é","e"),"ê","e"),"í","i"),"ó","o"),"õ","o"),"ô","o"),"ú","u"),"ç","c"),"Á","a"),"Ã","a"),"Â","a"),"É","e"),"Ê","e"),"Í","i"),"Ó","o"),"Õ","o"),"Ô","o"),"Ú","u"),"Ç","c"),"/MG","")," e ",", ")," ",""),".",""))),
_xlpm.MATRIZ_COMARCA, TRIM(UPPER(SUBSTITUTE(SUBSTITUTE(SUBSTITUTE(SUBSTITUTE(SUBSTITUTE(SUBSTITUTE(SUBSTITUTE(SUBSTITUTE(SUBSTITUTE(SUBSTITUTE(SUBSTITUTE(SUBSTITUTE(SUBSTITUTE(SUBSTITUTE(SUBSTITUTE(SUBSTITUTE(SUBSTITUTE(SUBSTITUTE(SUBSTITUTE(SUBSTITUTE(SUBSTITUTE(SUBSTITUTE(SUBSTITUTE(SUBSTITUTE(SUBSTITUTE(SUBSTITUTE(tabSindicatos[COMARCAS PAF],"á","a"),"ã","a"),"â","a"),"é","e"),"ê","e"),"í","i"),"ó","o"),"õ","o"),"ô","o"),"ú","u"),"ç","c"),"Á","a"),"Ã","a"),"Â","a"),"É","e"),"Ê","e"),"Í","i"),"Ó","o"),"Õ","o"),"Ô","o"),"Ú","u"),"Ç","c"),"/MG","")," e ",", ")," ",""),".",""))),
IFERROR(IF(_xlfn.XLOOKUP(tabParametros[[#This Row],[CCT DA CATEGORIA]],tabSindicatos[SINDICATOS],tabSindicatos[COMARCAS PAF])="",
VLOOKUP(tabParametros[[#This Row],[CCT DA CATEGORIA]],tabSindicatos[],8,0),
IF(ISNUMBER(SEARCH(TRIM(_xlpm.COMARCA),_xlfn.XLOOKUP(tabParametros[[#This Row],[CCT DA CATEGORIA]],tabSindicatos[SINDICATOS],_xlpm.MATRIZ_COMARCA),1)),VLOOKUP(tabParametros[[#This Row],[CCT DA CATEGORIA]],tabSindicatos[],8,0),0)
),0)
)</f>
        <v>0</v>
      </c>
      <c r="AE230" s="234">
        <f>IFERROR(VLOOKUP(tabParametros[[#This Row],[CCT DA CATEGORIA]],tabSindicatos[],9,0),0)</f>
        <v>0</v>
      </c>
      <c r="AF230" s="234">
        <f>IFERROR(VLOOKUP(tabParametros[[#This Row],[CCT DA CATEGORIA]],tabSindicatos[],10,0),0)</f>
        <v>0</v>
      </c>
      <c r="AG230" s="236">
        <f>VLOOKUP(tabParametros[[#Headers],[Seguro de Vida]],tabOutrosCustos[],3,0)</f>
        <v>3.36</v>
      </c>
      <c r="AH230" s="236">
        <f>IF(ISNUMBER(SEARCH("MOTORISTA",tabParametros[[#This Row],[Função]],1)),VLOOKUP("MOTORISTAS",tabDiarias[],2,0),IF(tabParametros[[#This Row],[Comarca]]="Belo Horizonte",VLOOKUP("LIMPEZA",tabDiarias[],2,0),0))</f>
        <v>0</v>
      </c>
      <c r="AI230" s="235">
        <f t="shared" si="35"/>
        <v>7.011766975308642E-3</v>
      </c>
      <c r="AJ230" s="237">
        <f>tabParametros[[#This Row],[FGTS]]*tabParametros[[#This Row],[Aviso Prévio Indenizado (API) e Reflexo do Aviso Prévio Indenizado]]</f>
        <v>5.609413580246914E-4</v>
      </c>
      <c r="AK230" s="237">
        <f>tabParametros[[#This Row],[FGTS]]*tabParametros[[#This Row],[Aviso Prévio Indenizado (API) e Reflexo do Aviso Prévio Indenizado]]*40%</f>
        <v>2.2437654320987658E-4</v>
      </c>
      <c r="AL230" s="235">
        <f t="shared" si="36"/>
        <v>3.5000000000000005E-3</v>
      </c>
      <c r="AM230" s="235">
        <f>tabParametros[[#This Row],[Aviso Prévio Trabalhado - APT]]*SUM(tabParametros[[#This Row],[INSS]:[SEBRAE]])</f>
        <v>1.3230000000000004E-3</v>
      </c>
      <c r="AN230" s="235">
        <f t="shared" si="37"/>
        <v>3.0577777777777773E-2</v>
      </c>
      <c r="AO230" s="235">
        <f t="shared" si="38"/>
        <v>8.3333333333333339E-4</v>
      </c>
      <c r="AP230" s="235">
        <f t="shared" si="39"/>
        <v>8.4444444444444437E-3</v>
      </c>
      <c r="AQ230" s="235">
        <f t="shared" si="40"/>
        <v>2.0277777777777777E-3</v>
      </c>
      <c r="AR230" s="235">
        <f t="shared" si="41"/>
        <v>1.7083333333333333E-4</v>
      </c>
      <c r="AS230" s="235">
        <f t="shared" si="42"/>
        <v>2.0833333333333335E-4</v>
      </c>
      <c r="AT230" s="235">
        <f t="shared" si="43"/>
        <v>1.2962962962962963E-3</v>
      </c>
      <c r="AU230" s="237">
        <f>SUM(tabParametros[[#This Row],[Ausência por Doença]:[Férias, Adicional de Férias e 13º  com empregada em gozo de Licença Maternidade]])*SUM(tabParametros[[#This Row],[INSS]:[SEBRAE]])</f>
        <v>4.5918250000000008E-3</v>
      </c>
      <c r="AV230" s="234">
        <f>IF(tabParametros[[#This Row],[Função]]="Porteiro - 220 h",SUM(tabParametros[[#This Row],[Salário Base]:[Adicional de Acúmulo de função]])/220*20*1.5,IF(ISNUMBER(SEARCH("12 x 36",tabParametros[[#This Row],[Função]],1)),SUM(tabParametros[[#This Row],[Salário Base]:[Adicional de Acúmulo de função]])/210*15.5*1.5,0))</f>
        <v>0</v>
      </c>
      <c r="AW230" s="234">
        <f>IF(tabParametros[[#This Row],[Vagas contratadas]]&gt;0,(SUM(tabParametros[[#This Row],[Salário Base]:[Adicional de Acúmulo de função]])*30%+SUM(tabParametros[[#This Row],[Vale - Alimentação]:[Seguro de Vida]]))/tabParametros[[#This Row],[Vagas contratadas]]*tabParametros[[#This Row],[Vagas suspensas]],0)</f>
        <v>0</v>
      </c>
      <c r="AX230" s="234">
        <f>SUMIF(tabUniformes[Cargo],tabParametros[[#This Row],[Função]],tabUniformes[Valor unit. Mensal])</f>
        <v>100.80916666666666</v>
      </c>
      <c r="AY230" s="281">
        <f>IF(ISNUMBER(SEARCH("AUXILIAR DE LIMPEZA - 75 H",tabParametros[[#This Row],[Função]],1)),
SUMIF(tabLimpGeral[TIPO],"Material",tabLimpGeral[VALOR UNITÁRIO P/ HORA (R$)])*75,
IF(ISNUMBER(SEARCH("AUXILIAR DE LIMPEZA - 110 H",tabParametros[[#This Row],[Função]],1)),
SUMIF(tabLimpGeral[TIPO],"Material",tabLimpGeral[VALOR UNITÁRIO P/ HORA (R$)])*110,
IF(ISNUMBER(SEARCH("AUXILIAR DE LIMPEZA - 150 H",tabParametros[[#This Row],[Função]],1)),
SUMIF(tabLimpGeral[TIPO],"Material",tabLimpGeral[VALOR UNITÁRIO P/ HORA (R$)])*150,
IF(ISNUMBER(SEARCH("AUXILIAR DE LIMPEZA - 220 H",tabParametros[[#This Row],[Função]],1)),
SUMIF(tabLimpGeral[TIPO],"Material",tabLimpGeral[VALOR UNITÁRIO P/ HORA (R$)])*220,
IF(ISNUMBER(SEARCH("AUXILIAR DE LIMPEZA - 12 x 36",tabParametros[[#This Row],[Função]],1)),
SUMIF(tabLimpGeral[TIPO],"Material",tabLimpGeral[VALOR UNITÁRIO P/ HORA (R$)])*220,
IF(ISNUMBER(SEARCH("Limpador de vidros - 220 h",tabParametros[[#This Row],[Função]],1)),
SUMIF(tabVidros[TIPO],"Material",tabVidros[VALOR UNITÁRIO P/ POSTO (R$)]),
0))))))</f>
        <v>35.518212958583888</v>
      </c>
      <c r="AZ230" s="281">
        <f>IF(ISNUMBER(SEARCH("AUXILIAR DE LIMPEZA - 75 H",tabParametros[[#This Row],[Função]],1)),
SUMIF(tabLimpGeral[TIPO],"Equipamento",tabLimpGeral[VALOR UNITÁRIO P/ HORA (R$)])*75,
IF(ISNUMBER(SEARCH("AUXILIAR DE LIMPEZA - 110 H",tabParametros[[#This Row],[Função]],1)),
SUMIF(tabLimpGeral[TIPO],"Equipamento",tabLimpGeral[VALOR UNITÁRIO P/ HORA (R$)])*110,
IF(ISNUMBER(SEARCH("AUXILIAR DE LIMPEZA - 150 H",tabParametros[[#This Row],[Função]],1)),
SUMIF(tabLimpGeral[TIPO],"Equipamento",tabLimpGeral[VALOR UNITÁRIO P/ HORA (R$)])*150,
IF(ISNUMBER(SEARCH("AUXILIAR DE LIMPEZA - 220 H",tabParametros[[#This Row],[Função]],1)),
SUMIF(tabLimpGeral[TIPO],"Equipamento",tabLimpGeral[VALOR UNITÁRIO P/ HORA (R$)])*220,
IF(ISNUMBER(SEARCH("AUXILIAR DE LIMPEZA - 12 x 36",tabParametros[[#This Row],[Função]],1)),
SUMIF(tabLimpGeral[TIPO],"Equipamento",tabLimpGeral[VALOR UNITÁRIO P/ HORA (R$)])*220,
IF(ISNUMBER(SEARCH("Limpador de vidros - 220 h",tabParametros[[#This Row],[Função]],1)),
SUMIF(tabVidros[TIPO],"Equipamento",tabVidros[VALOR UNITÁRIO P/ POSTO (R$)]),
0))))))</f>
        <v>64.529393914825576</v>
      </c>
      <c r="BA230" s="281">
        <f>IF(ISNUMBER(SEARCH("AUXILIAR DE LIMPEZA - 75 H",tabParametros[[#This Row],[Função]],1)),
SUMIF(tabLimpGeral[TIPO],"Produto",tabLimpGeral[VALOR UNITÁRIO P/ HORA (R$)])*75,
IF(ISNUMBER(SEARCH("AUXILIAR DE LIMPEZA - 110 H",tabParametros[[#This Row],[Função]],1)),
SUMIF(tabLimpGeral[TIPO],"Produto",tabLimpGeral[VALOR UNITÁRIO P/ HORA (R$)])*110,
IF(ISNUMBER(SEARCH("AUXILIAR DE LIMPEZA - 150 H",tabParametros[[#This Row],[Função]],1)),
SUMIF(tabLimpGeral[TIPO],"Produto",tabLimpGeral[VALOR UNITÁRIO P/ HORA (R$)])*150,
IF(ISNUMBER(SEARCH("AUXILIAR DE LIMPEZA - 220 H",tabParametros[[#This Row],[Função]],1)),
SUMIF(tabLimpGeral[TIPO],"Produto",tabLimpGeral[VALOR UNITÁRIO P/ HORA (R$)])*220,
IF(ISNUMBER(SEARCH("AUXILIAR DE LIMPEZA - 12 x 36",tabParametros[[#This Row],[Função]],1)),
SUMIF(tabLimpGeral[TIPO],"Produto",tabLimpGeral[VALOR UNITÁRIO P/ HORA (R$)])*220,
IF(ISNUMBER(SEARCH("Limpador de vidros - 220 h",tabParametros[[#This Row],[Função]],1)),
SUMIF(tabVidros[TIPO],"Produto",tabVidros[VALOR UNITÁRIO P/ POSTO (R$)]),
0))))))</f>
        <v>690.27153277931654</v>
      </c>
      <c r="BB230" s="281">
        <v>0</v>
      </c>
      <c r="BC230" s="236">
        <f>VLOOKUP(tabParametros[[#Headers],[Custos Indiretos]],tabOutrosCustos[],3,0)</f>
        <v>189.64880140242613</v>
      </c>
      <c r="BD230" s="236">
        <f>VLOOKUP(tabParametros[[#Headers],[Lucro]],tabOutrosCustos[],3,0)</f>
        <v>159.30499317803796</v>
      </c>
      <c r="BE230" s="235">
        <f>VLOOKUP(tabParametros[[#Headers],[COFINS]],tabImpostosNacionais[],2,0)</f>
        <v>7.5999999999999998E-2</v>
      </c>
      <c r="BF230" s="235">
        <f>VLOOKUP(tabParametros[[#Headers],[PIS]],tabImpostosNacionais[],2,0)</f>
        <v>1.6500000000000001E-2</v>
      </c>
      <c r="BG230" s="235">
        <f>VLOOKUP(tabParametros[[#This Row],[Comarca]],tabComarca[],4,0)</f>
        <v>0.03</v>
      </c>
      <c r="BH230" s="238">
        <f>IFERROR(VLOOKUP(tabParametros[[#This Row],[CCT DA CATEGORIA]],tabSindicatos[],11,0),"")</f>
        <v>45658</v>
      </c>
      <c r="BI230" s="289" t="str">
        <f>IFERROR(VLOOKUP(tabParametros[[#This Row],[CCT DA CATEGORIA]],tabSindicatos[],12,0),"")</f>
        <v>-</v>
      </c>
      <c r="BJ230" s="293" t="str">
        <f>IFERROR(VLOOKUP(tabParametros[[#This Row],[CCT DA CATEGORIA]],tabSindicatos[],13,0),"")</f>
        <v>-</v>
      </c>
    </row>
    <row r="231" spans="1:62" x14ac:dyDescent="0.25">
      <c r="A231" s="233" t="s">
        <v>1566</v>
      </c>
      <c r="B231" s="198" t="s">
        <v>210</v>
      </c>
      <c r="C231" s="198" t="s">
        <v>1244</v>
      </c>
      <c r="D231" s="198" t="str">
        <f>VLOOKUP(tabParametros[[#This Row],[Código do Posto]],tabPostos[],4,0)</f>
        <v>Curvelo</v>
      </c>
      <c r="E231" s="289" t="str">
        <f>VLOOKUP(tabParametros[[#This Row],[Código do Posto]],tabPostos[],5,0)</f>
        <v>Limpeza</v>
      </c>
      <c r="F231" s="289" t="str">
        <f>VLOOKUP(tabParametros[[#This Row],[Código do Posto]],tabPostos[],6,0)</f>
        <v>PGJ</v>
      </c>
      <c r="G231" s="289">
        <f>VLOOKUP(tabParametros[[#This Row],[Código do Posto]],tabPostos[],7,0)</f>
        <v>1</v>
      </c>
      <c r="H231" s="289">
        <f>VLOOKUP(tabParametros[[#This Row],[Código do Posto]],tabPostos[],8,0)</f>
        <v>0</v>
      </c>
      <c r="I231" s="234">
        <f>VLOOKUP(tabParametros[[#This Row],[Código do Posto]],tabPostos[],9,0)</f>
        <v>798.14</v>
      </c>
      <c r="J231" s="234">
        <f>IF(ISNUMBER(SEARCH("Eletricista",tabParametros[[#This Row],[Função]],1)),0.3*tabParametros[[#This Row],[Salário Base]],0)</f>
        <v>0</v>
      </c>
      <c r="K231" s="234">
        <f>IF(OR(ISNUMBER(SEARCH("Bombeiro Hidraulico",tabParametros[[#This Row],[Função]],1)),ISNUMBER(SEARCH("Jardineiro",tabParametros[[#This Row],[Função]],1)),ISNUMBER(SEARCH("Lavador de Veiculos",tabParametros[[#This Row],[Função]],1)),ISNUMBER(SEARCH("Marceneiro",tabParametros[[#This Row],[Função]],1)),ISNUMBER(SEARCH("Pintor",tabParametros[[#This Row],[Função]],1))),0.2*'BASE GERAL'!$R$4,0)</f>
        <v>0</v>
      </c>
      <c r="L231" s="234">
        <f>IF(AND(ISNUMBER(SEARCH("Noturno",tabParametros[[#This Row],[Função]],1)),tabParametros[[#This Row],[Comarca]]&lt;&gt;"Juiz de Fora"),tabParametros[[#This Row],[Salário Base]]/210*0.39*7*15.5,IF(ISNUMBER(SEARCH("Noturno",tabParametros[[#This Row],[Função]],1)),tabParametros[[#This Row],[Salário Base]]/210*0.2*8*15.5,0))</f>
        <v>0</v>
      </c>
      <c r="M231" s="234">
        <f>IF(ISNUMBER(SEARCH("Motorista II",tabParametros[[#This Row],[Função]],1)),0.25*tabParametros[[#This Row],[Salário Base]],0)</f>
        <v>0</v>
      </c>
      <c r="N231" s="250">
        <v>0</v>
      </c>
      <c r="O231" s="234">
        <f>IF(ISNUMBER(SEARCH("TECNOLOGIA DA INFORMACAO",tabParametros[[#This Row],[Função]],1)),0.0201*tabParametros[[#This Row],[Salário Base]],0)</f>
        <v>0</v>
      </c>
      <c r="P231" s="250" cm="1">
        <f t="array" ref="P231">_xlfn.IFS(
ISNUMBER(SEARCH("Auxiliar de Limpeza - 75 h",tabParametros[[#This Row],[Função]],1)),tabParametros[[#This Row],[Salário Base]]/75*0.75*30*0.12,
ISNUMBER(SEARCH("Auxiliar de Limpeza - 110 h",tabParametros[[#This Row],[Função]],1)),tabParametros[[#This Row],[Salário Base]]/110*1*30*0.12,
ISNUMBER(SEARCH("Auxiliar de Limpeza - 150 h",tabParametros[[#This Row],[Função]],1)),tabParametros[[#This Row],[Salário Base]]/150*1.5*30*0.12,
ISNUMBER(SEARCH("Auxiliar de Limpeza - 220 h",tabParametros[[#This Row],[Função]],1)),tabParametros[[#This Row],[Salário Base]]/220*2*30*0.12,
ISNUMBER(SEARCH("Auxiliar de Limpeza - 12 x 36",tabParametros[[#This Row],[Função]],1)),tabParametros[[#This Row],[Salário Base]]/220*2*30*0.12,
ISNUMBER(SEARCH("Auxiliar de Limpeza - 55 h",tabParametros[[#This Row],[Função]],1))=FALSE,0)</f>
        <v>26.120945454545453</v>
      </c>
      <c r="Q231" s="235">
        <f>VLOOKUP(tabParametros[[#Headers],[INSS]],tabImpostosNacionais[],2,0)</f>
        <v>0.2</v>
      </c>
      <c r="R231" s="235">
        <f>VLOOKUP(tabParametros[[#Headers],[SESI OU SESC]],tabImpostosNacionais[],2,0)</f>
        <v>1.4999999999999999E-2</v>
      </c>
      <c r="S231" s="235">
        <f>VLOOKUP(tabParametros[[#Headers],[SENAI OU SENAC]],tabImpostosNacionais[],2,0)</f>
        <v>0.01</v>
      </c>
      <c r="T231" s="235">
        <f>VLOOKUP(tabParametros[[#Headers],[INCRA]],tabImpostosNacionais[],2,0)</f>
        <v>2E-3</v>
      </c>
      <c r="U231" s="235">
        <f>VLOOKUP(tabParametros[[#Headers],[Salário Educação]],tabImpostosNacionais[],2,0)</f>
        <v>2.5000000000000001E-2</v>
      </c>
      <c r="V231" s="235">
        <f>VLOOKUP(tabParametros[[#Headers],[FGTS]],tabImpostosNacionais[],2,0)</f>
        <v>0.08</v>
      </c>
      <c r="W231" s="235">
        <f>VLOOKUP(tabParametros[[#Headers],[RAT Ajustado]],tabImpostosNacionais[],2,0)</f>
        <v>0.04</v>
      </c>
      <c r="X231" s="235">
        <f>VLOOKUP(tabParametros[[#Headers],[SEBRAE]],tabImpostosNacionais[],2,0)</f>
        <v>6.0000000000000001E-3</v>
      </c>
      <c r="Y231" s="235">
        <f t="shared" si="33"/>
        <v>8.3333333333333329E-2</v>
      </c>
      <c r="Z231" s="251">
        <f t="shared" si="34"/>
        <v>0.1111111111111111</v>
      </c>
      <c r="AA231" s="234">
        <f>VLOOKUP(tabParametros[[#This Row],[Comarca]],tabComarca[],5,0)</f>
        <v>6.4</v>
      </c>
      <c r="AB231" s="234">
        <f>IFERROR(VLOOKUP(tabParametros[[#This Row],[CCT DA CATEGORIA]],tabSindicatos[],6,0),0)</f>
        <v>29.15</v>
      </c>
      <c r="AC231" s="234">
        <f>IFERROR(VLOOKUP(tabParametros[[#This Row],[CCT DA CATEGORIA]],tabSindicatos[],7,0),0)</f>
        <v>0</v>
      </c>
      <c r="AD231" s="234" cm="1">
        <f t="array" ref="AD231">_xlfn.LET(
_xlpm.COMARCA, TRIM(UPPER(SUBSTITUTE(SUBSTITUTE(SUBSTITUTE(SUBSTITUTE(SUBSTITUTE(SUBSTITUTE(SUBSTITUTE(SUBSTITUTE(SUBSTITUTE(SUBSTITUTE(SUBSTITUTE(SUBSTITUTE(SUBSTITUTE(SUBSTITUTE(SUBSTITUTE(SUBSTITUTE(SUBSTITUTE(SUBSTITUTE(SUBSTITUTE(SUBSTITUTE(SUBSTITUTE(SUBSTITUTE(SUBSTITUTE(SUBSTITUTE(SUBSTITUTE(SUBSTITUTE(tabParametros[[#This Row],[Comarca]],"á","a"),"ã","a"),"â","a"),"é","e"),"ê","e"),"í","i"),"ó","o"),"õ","o"),"ô","o"),"ú","u"),"ç","c"),"Á","a"),"Ã","a"),"Â","a"),"É","e"),"Ê","e"),"Í","i"),"Ó","o"),"Õ","o"),"Ô","o"),"Ú","u"),"Ç","c"),"/MG","")," e ",", ")," ",""),".",""))),
_xlpm.MATRIZ_COMARCA, TRIM(UPPER(SUBSTITUTE(SUBSTITUTE(SUBSTITUTE(SUBSTITUTE(SUBSTITUTE(SUBSTITUTE(SUBSTITUTE(SUBSTITUTE(SUBSTITUTE(SUBSTITUTE(SUBSTITUTE(SUBSTITUTE(SUBSTITUTE(SUBSTITUTE(SUBSTITUTE(SUBSTITUTE(SUBSTITUTE(SUBSTITUTE(SUBSTITUTE(SUBSTITUTE(SUBSTITUTE(SUBSTITUTE(SUBSTITUTE(SUBSTITUTE(SUBSTITUTE(SUBSTITUTE(tabSindicatos[COMARCAS PAF],"á","a"),"ã","a"),"â","a"),"é","e"),"ê","e"),"í","i"),"ó","o"),"õ","o"),"ô","o"),"ú","u"),"ç","c"),"Á","a"),"Ã","a"),"Â","a"),"É","e"),"Ê","e"),"Í","i"),"Ó","o"),"Õ","o"),"Ô","o"),"Ú","u"),"Ç","c"),"/MG","")," e ",", ")," ",""),".",""))),
IFERROR(IF(_xlfn.XLOOKUP(tabParametros[[#This Row],[CCT DA CATEGORIA]],tabSindicatos[SINDICATOS],tabSindicatos[COMARCAS PAF])="",
VLOOKUP(tabParametros[[#This Row],[CCT DA CATEGORIA]],tabSindicatos[],8,0),
IF(ISNUMBER(SEARCH(TRIM(_xlpm.COMARCA),_xlfn.XLOOKUP(tabParametros[[#This Row],[CCT DA CATEGORIA]],tabSindicatos[SINDICATOS],_xlpm.MATRIZ_COMARCA),1)),VLOOKUP(tabParametros[[#This Row],[CCT DA CATEGORIA]],tabSindicatos[],8,0),0)
),0)
)</f>
        <v>51.74</v>
      </c>
      <c r="AE231" s="234">
        <f>IFERROR(VLOOKUP(tabParametros[[#This Row],[CCT DA CATEGORIA]],tabSindicatos[],9,0),0)</f>
        <v>0</v>
      </c>
      <c r="AF231" s="234">
        <f>IFERROR(VLOOKUP(tabParametros[[#This Row],[CCT DA CATEGORIA]],tabSindicatos[],10,0),0)</f>
        <v>0</v>
      </c>
      <c r="AG231" s="236">
        <f>VLOOKUP(tabParametros[[#Headers],[Seguro de Vida]],tabOutrosCustos[],3,0)</f>
        <v>3.36</v>
      </c>
      <c r="AH231" s="236">
        <f>IF(ISNUMBER(SEARCH("MOTORISTA",tabParametros[[#This Row],[Função]],1)),VLOOKUP("MOTORISTAS",tabDiarias[],2,0),IF(tabParametros[[#This Row],[Comarca]]="Belo Horizonte",VLOOKUP("LIMPEZA",tabDiarias[],2,0),0))</f>
        <v>0</v>
      </c>
      <c r="AI231" s="235">
        <f t="shared" si="35"/>
        <v>7.011766975308642E-3</v>
      </c>
      <c r="AJ231" s="237">
        <f>tabParametros[[#This Row],[FGTS]]*tabParametros[[#This Row],[Aviso Prévio Indenizado (API) e Reflexo do Aviso Prévio Indenizado]]</f>
        <v>5.609413580246914E-4</v>
      </c>
      <c r="AK231" s="237">
        <f>tabParametros[[#This Row],[FGTS]]*tabParametros[[#This Row],[Aviso Prévio Indenizado (API) e Reflexo do Aviso Prévio Indenizado]]*40%</f>
        <v>2.2437654320987658E-4</v>
      </c>
      <c r="AL231" s="235">
        <f t="shared" si="36"/>
        <v>3.5000000000000005E-3</v>
      </c>
      <c r="AM231" s="235">
        <f>tabParametros[[#This Row],[Aviso Prévio Trabalhado - APT]]*SUM(tabParametros[[#This Row],[INSS]:[SEBRAE]])</f>
        <v>1.3230000000000004E-3</v>
      </c>
      <c r="AN231" s="235">
        <f t="shared" si="37"/>
        <v>3.0577777777777773E-2</v>
      </c>
      <c r="AO231" s="235">
        <f t="shared" si="38"/>
        <v>8.3333333333333339E-4</v>
      </c>
      <c r="AP231" s="235">
        <f t="shared" si="39"/>
        <v>8.4444444444444437E-3</v>
      </c>
      <c r="AQ231" s="235">
        <f t="shared" si="40"/>
        <v>2.0277777777777777E-3</v>
      </c>
      <c r="AR231" s="235">
        <f t="shared" si="41"/>
        <v>1.7083333333333333E-4</v>
      </c>
      <c r="AS231" s="235">
        <f t="shared" si="42"/>
        <v>2.0833333333333335E-4</v>
      </c>
      <c r="AT231" s="235">
        <f t="shared" si="43"/>
        <v>1.2962962962962963E-3</v>
      </c>
      <c r="AU231" s="237">
        <f>SUM(tabParametros[[#This Row],[Ausência por Doença]:[Férias, Adicional de Férias e 13º  com empregada em gozo de Licença Maternidade]])*SUM(tabParametros[[#This Row],[INSS]:[SEBRAE]])</f>
        <v>4.5918250000000008E-3</v>
      </c>
      <c r="AV231" s="234">
        <f>IF(tabParametros[[#This Row],[Função]]="Porteiro - 220 h",SUM(tabParametros[[#This Row],[Salário Base]:[Adicional de Acúmulo de função]])/220*20*1.5,IF(ISNUMBER(SEARCH("12 x 36",tabParametros[[#This Row],[Função]],1)),SUM(tabParametros[[#This Row],[Salário Base]:[Adicional de Acúmulo de função]])/210*15.5*1.5,0))</f>
        <v>0</v>
      </c>
      <c r="AW231" s="234">
        <f>IF(tabParametros[[#This Row],[Vagas contratadas]]&gt;0,(SUM(tabParametros[[#This Row],[Salário Base]:[Adicional de Acúmulo de função]])*30%+SUM(tabParametros[[#This Row],[Vale - Alimentação]:[Seguro de Vida]]))/tabParametros[[#This Row],[Vagas contratadas]]*tabParametros[[#This Row],[Vagas suspensas]],0)</f>
        <v>0</v>
      </c>
      <c r="AX231" s="234">
        <f>SUMIF(tabUniformes[Cargo],tabParametros[[#This Row],[Função]],tabUniformes[Valor unit. Mensal])</f>
        <v>62.806666666666665</v>
      </c>
      <c r="AY231" s="281">
        <f>IF(ISNUMBER(SEARCH("AUXILIAR DE LIMPEZA - 75 H",tabParametros[[#This Row],[Função]],1)),
SUMIF(tabLimpGeral[TIPO],"Material",tabLimpGeral[VALOR UNITÁRIO P/ HORA (R$)])*75,
IF(ISNUMBER(SEARCH("AUXILIAR DE LIMPEZA - 110 H",tabParametros[[#This Row],[Função]],1)),
SUMIF(tabLimpGeral[TIPO],"Material",tabLimpGeral[VALOR UNITÁRIO P/ HORA (R$)])*110,
IF(ISNUMBER(SEARCH("AUXILIAR DE LIMPEZA - 150 H",tabParametros[[#This Row],[Função]],1)),
SUMIF(tabLimpGeral[TIPO],"Material",tabLimpGeral[VALOR UNITÁRIO P/ HORA (R$)])*150,
IF(ISNUMBER(SEARCH("AUXILIAR DE LIMPEZA - 220 H",tabParametros[[#This Row],[Função]],1)),
SUMIF(tabLimpGeral[TIPO],"Material",tabLimpGeral[VALOR UNITÁRIO P/ HORA (R$)])*220,
IF(ISNUMBER(SEARCH("AUXILIAR DE LIMPEZA - 12 x 36",tabParametros[[#This Row],[Função]],1)),
SUMIF(tabLimpGeral[TIPO],"Material",tabLimpGeral[VALOR UNITÁRIO P/ HORA (R$)])*220,
IF(ISNUMBER(SEARCH("Limpador de vidros - 220 h",tabParametros[[#This Row],[Função]],1)),
SUMIF(tabVidros[TIPO],"Material",tabVidros[VALOR UNITÁRIO P/ POSTO (R$)]),
0))))))</f>
        <v>17.759106479291944</v>
      </c>
      <c r="AZ231" s="281">
        <f>IF(ISNUMBER(SEARCH("AUXILIAR DE LIMPEZA - 75 H",tabParametros[[#This Row],[Função]],1)),
SUMIF(tabLimpGeral[TIPO],"Equipamento",tabLimpGeral[VALOR UNITÁRIO P/ HORA (R$)])*75,
IF(ISNUMBER(SEARCH("AUXILIAR DE LIMPEZA - 110 H",tabParametros[[#This Row],[Função]],1)),
SUMIF(tabLimpGeral[TIPO],"Equipamento",tabLimpGeral[VALOR UNITÁRIO P/ HORA (R$)])*110,
IF(ISNUMBER(SEARCH("AUXILIAR DE LIMPEZA - 150 H",tabParametros[[#This Row],[Função]],1)),
SUMIF(tabLimpGeral[TIPO],"Equipamento",tabLimpGeral[VALOR UNITÁRIO P/ HORA (R$)])*150,
IF(ISNUMBER(SEARCH("AUXILIAR DE LIMPEZA - 220 H",tabParametros[[#This Row],[Função]],1)),
SUMIF(tabLimpGeral[TIPO],"Equipamento",tabLimpGeral[VALOR UNITÁRIO P/ HORA (R$)])*220,
IF(ISNUMBER(SEARCH("AUXILIAR DE LIMPEZA - 12 x 36",tabParametros[[#This Row],[Função]],1)),
SUMIF(tabLimpGeral[TIPO],"Equipamento",tabLimpGeral[VALOR UNITÁRIO P/ HORA (R$)])*220,
IF(ISNUMBER(SEARCH("Limpador de vidros - 220 h",tabParametros[[#This Row],[Função]],1)),
SUMIF(tabVidros[TIPO],"Equipamento",tabVidros[VALOR UNITÁRIO P/ POSTO (R$)]),
0))))))</f>
        <v>32.264696957412788</v>
      </c>
      <c r="BA231" s="281">
        <f>IF(ISNUMBER(SEARCH("AUXILIAR DE LIMPEZA - 75 H",tabParametros[[#This Row],[Função]],1)),
SUMIF(tabLimpGeral[TIPO],"Produto",tabLimpGeral[VALOR UNITÁRIO P/ HORA (R$)])*75,
IF(ISNUMBER(SEARCH("AUXILIAR DE LIMPEZA - 110 H",tabParametros[[#This Row],[Função]],1)),
SUMIF(tabLimpGeral[TIPO],"Produto",tabLimpGeral[VALOR UNITÁRIO P/ HORA (R$)])*110,
IF(ISNUMBER(SEARCH("AUXILIAR DE LIMPEZA - 150 H",tabParametros[[#This Row],[Função]],1)),
SUMIF(tabLimpGeral[TIPO],"Produto",tabLimpGeral[VALOR UNITÁRIO P/ HORA (R$)])*150,
IF(ISNUMBER(SEARCH("AUXILIAR DE LIMPEZA - 220 H",tabParametros[[#This Row],[Função]],1)),
SUMIF(tabLimpGeral[TIPO],"Produto",tabLimpGeral[VALOR UNITÁRIO P/ HORA (R$)])*220,
IF(ISNUMBER(SEARCH("AUXILIAR DE LIMPEZA - 12 x 36",tabParametros[[#This Row],[Função]],1)),
SUMIF(tabLimpGeral[TIPO],"Produto",tabLimpGeral[VALOR UNITÁRIO P/ HORA (R$)])*220,
IF(ISNUMBER(SEARCH("Limpador de vidros - 220 h",tabParametros[[#This Row],[Função]],1)),
SUMIF(tabVidros[TIPO],"Produto",tabVidros[VALOR UNITÁRIO P/ POSTO (R$)]),
0))))))</f>
        <v>345.13576638965827</v>
      </c>
      <c r="BB231" s="281">
        <v>0</v>
      </c>
      <c r="BC231" s="236">
        <f>VLOOKUP(tabParametros[[#Headers],[Custos Indiretos]],tabOutrosCustos[],3,0)</f>
        <v>189.64880140242613</v>
      </c>
      <c r="BD231" s="236">
        <f>VLOOKUP(tabParametros[[#Headers],[Lucro]],tabOutrosCustos[],3,0)</f>
        <v>159.30499317803796</v>
      </c>
      <c r="BE231" s="235">
        <f>VLOOKUP(tabParametros[[#Headers],[COFINS]],tabImpostosNacionais[],2,0)</f>
        <v>7.5999999999999998E-2</v>
      </c>
      <c r="BF231" s="235">
        <f>VLOOKUP(tabParametros[[#Headers],[PIS]],tabImpostosNacionais[],2,0)</f>
        <v>1.6500000000000001E-2</v>
      </c>
      <c r="BG231" s="235">
        <f>VLOOKUP(tabParametros[[#This Row],[Comarca]],tabComarca[],4,0)</f>
        <v>0.03</v>
      </c>
      <c r="BH231" s="238">
        <f>IFERROR(VLOOKUP(tabParametros[[#This Row],[CCT DA CATEGORIA]],tabSindicatos[],11,0),"")</f>
        <v>45658</v>
      </c>
      <c r="BI231" s="289" t="str">
        <f>IFERROR(VLOOKUP(tabParametros[[#This Row],[CCT DA CATEGORIA]],tabSindicatos[],12,0),"")</f>
        <v>-</v>
      </c>
      <c r="BJ231" s="293" t="str">
        <f>IFERROR(VLOOKUP(tabParametros[[#This Row],[CCT DA CATEGORIA]],tabSindicatos[],13,0),"")</f>
        <v>-</v>
      </c>
    </row>
    <row r="232" spans="1:62" x14ac:dyDescent="0.25">
      <c r="A232" s="233" t="s">
        <v>1567</v>
      </c>
      <c r="B232" s="198" t="s">
        <v>211</v>
      </c>
      <c r="C232" s="198" t="s">
        <v>1245</v>
      </c>
      <c r="D232" s="198" t="str">
        <f>VLOOKUP(tabParametros[[#This Row],[Código do Posto]],tabPostos[],4,0)</f>
        <v>Sete Lagoas</v>
      </c>
      <c r="E232" s="289" t="str">
        <f>VLOOKUP(tabParametros[[#This Row],[Código do Posto]],tabPostos[],5,0)</f>
        <v>Limpeza</v>
      </c>
      <c r="F232" s="289" t="str">
        <f>VLOOKUP(tabParametros[[#This Row],[Código do Posto]],tabPostos[],6,0)</f>
        <v>PGJ</v>
      </c>
      <c r="G232" s="289">
        <f>VLOOKUP(tabParametros[[#This Row],[Código do Posto]],tabPostos[],7,0)</f>
        <v>2</v>
      </c>
      <c r="H232" s="289">
        <f>VLOOKUP(tabParametros[[#This Row],[Código do Posto]],tabPostos[],8,0)</f>
        <v>0</v>
      </c>
      <c r="I232" s="234">
        <f>VLOOKUP(tabParametros[[#This Row],[Código do Posto]],tabPostos[],9,0)</f>
        <v>1649.12</v>
      </c>
      <c r="J232" s="234">
        <f>IF(ISNUMBER(SEARCH("Eletricista",tabParametros[[#This Row],[Função]],1)),0.3*tabParametros[[#This Row],[Salário Base]],0)</f>
        <v>0</v>
      </c>
      <c r="K232" s="234">
        <f>IF(OR(ISNUMBER(SEARCH("Bombeiro Hidraulico",tabParametros[[#This Row],[Função]],1)),ISNUMBER(SEARCH("Jardineiro",tabParametros[[#This Row],[Função]],1)),ISNUMBER(SEARCH("Lavador de Veiculos",tabParametros[[#This Row],[Função]],1)),ISNUMBER(SEARCH("Marceneiro",tabParametros[[#This Row],[Função]],1)),ISNUMBER(SEARCH("Pintor",tabParametros[[#This Row],[Função]],1))),0.2*'BASE GERAL'!$R$4,0)</f>
        <v>0</v>
      </c>
      <c r="L232" s="234">
        <f>IF(AND(ISNUMBER(SEARCH("Noturno",tabParametros[[#This Row],[Função]],1)),tabParametros[[#This Row],[Comarca]]&lt;&gt;"Juiz de Fora"),tabParametros[[#This Row],[Salário Base]]/210*0.39*7*15.5,IF(ISNUMBER(SEARCH("Noturno",tabParametros[[#This Row],[Função]],1)),tabParametros[[#This Row],[Salário Base]]/210*0.2*8*15.5,0))</f>
        <v>0</v>
      </c>
      <c r="M232" s="234">
        <f>IF(ISNUMBER(SEARCH("Motorista II",tabParametros[[#This Row],[Função]],1)),0.25*tabParametros[[#This Row],[Salário Base]],0)</f>
        <v>0</v>
      </c>
      <c r="N232" s="250">
        <v>0</v>
      </c>
      <c r="O232" s="234">
        <f>IF(ISNUMBER(SEARCH("TECNOLOGIA DA INFORMACAO",tabParametros[[#This Row],[Função]],1)),0.0201*tabParametros[[#This Row],[Salário Base]],0)</f>
        <v>0</v>
      </c>
      <c r="P232" s="250" cm="1">
        <f t="array" ref="P232">_xlfn.IFS(
ISNUMBER(SEARCH("Auxiliar de Limpeza - 75 h",tabParametros[[#This Row],[Função]],1)),tabParametros[[#This Row],[Salário Base]]/75*0.75*30*0.12,
ISNUMBER(SEARCH("Auxiliar de Limpeza - 110 h",tabParametros[[#This Row],[Função]],1)),tabParametros[[#This Row],[Salário Base]]/110*1*30*0.12,
ISNUMBER(SEARCH("Auxiliar de Limpeza - 150 h",tabParametros[[#This Row],[Função]],1)),tabParametros[[#This Row],[Salário Base]]/150*1.5*30*0.12,
ISNUMBER(SEARCH("Auxiliar de Limpeza - 220 h",tabParametros[[#This Row],[Função]],1)),tabParametros[[#This Row],[Salário Base]]/220*2*30*0.12,
ISNUMBER(SEARCH("Auxiliar de Limpeza - 12 x 36",tabParametros[[#This Row],[Função]],1)),tabParametros[[#This Row],[Salário Base]]/220*2*30*0.12,
ISNUMBER(SEARCH("Auxiliar de Limpeza - 55 h",tabParametros[[#This Row],[Função]],1))=FALSE,0)</f>
        <v>53.971199999999996</v>
      </c>
      <c r="Q232" s="235">
        <f>VLOOKUP(tabParametros[[#Headers],[INSS]],tabImpostosNacionais[],2,0)</f>
        <v>0.2</v>
      </c>
      <c r="R232" s="235">
        <f>VLOOKUP(tabParametros[[#Headers],[SESI OU SESC]],tabImpostosNacionais[],2,0)</f>
        <v>1.4999999999999999E-2</v>
      </c>
      <c r="S232" s="235">
        <f>VLOOKUP(tabParametros[[#Headers],[SENAI OU SENAC]],tabImpostosNacionais[],2,0)</f>
        <v>0.01</v>
      </c>
      <c r="T232" s="235">
        <f>VLOOKUP(tabParametros[[#Headers],[INCRA]],tabImpostosNacionais[],2,0)</f>
        <v>2E-3</v>
      </c>
      <c r="U232" s="235">
        <f>VLOOKUP(tabParametros[[#Headers],[Salário Educação]],tabImpostosNacionais[],2,0)</f>
        <v>2.5000000000000001E-2</v>
      </c>
      <c r="V232" s="235">
        <f>VLOOKUP(tabParametros[[#Headers],[FGTS]],tabImpostosNacionais[],2,0)</f>
        <v>0.08</v>
      </c>
      <c r="W232" s="235">
        <f>VLOOKUP(tabParametros[[#Headers],[RAT Ajustado]],tabImpostosNacionais[],2,0)</f>
        <v>0.04</v>
      </c>
      <c r="X232" s="235">
        <f>VLOOKUP(tabParametros[[#Headers],[SEBRAE]],tabImpostosNacionais[],2,0)</f>
        <v>6.0000000000000001E-3</v>
      </c>
      <c r="Y232" s="235">
        <f t="shared" si="33"/>
        <v>8.3333333333333329E-2</v>
      </c>
      <c r="Z232" s="251">
        <f t="shared" si="34"/>
        <v>0.1111111111111111</v>
      </c>
      <c r="AA232" s="234">
        <f>VLOOKUP(tabParametros[[#This Row],[Comarca]],tabComarca[],5,0)</f>
        <v>6.4</v>
      </c>
      <c r="AB232" s="234">
        <f>IFERROR(VLOOKUP(tabParametros[[#This Row],[CCT DA CATEGORIA]],tabSindicatos[],6,0),0)</f>
        <v>29.15</v>
      </c>
      <c r="AC232" s="234">
        <f>IFERROR(VLOOKUP(tabParametros[[#This Row],[CCT DA CATEGORIA]],tabSindicatos[],7,0),0)</f>
        <v>0</v>
      </c>
      <c r="AD232" s="234" cm="1">
        <f t="array" ref="AD232">_xlfn.LET(
_xlpm.COMARCA, TRIM(UPPER(SUBSTITUTE(SUBSTITUTE(SUBSTITUTE(SUBSTITUTE(SUBSTITUTE(SUBSTITUTE(SUBSTITUTE(SUBSTITUTE(SUBSTITUTE(SUBSTITUTE(SUBSTITUTE(SUBSTITUTE(SUBSTITUTE(SUBSTITUTE(SUBSTITUTE(SUBSTITUTE(SUBSTITUTE(SUBSTITUTE(SUBSTITUTE(SUBSTITUTE(SUBSTITUTE(SUBSTITUTE(SUBSTITUTE(SUBSTITUTE(SUBSTITUTE(SUBSTITUTE(tabParametros[[#This Row],[Comarca]],"á","a"),"ã","a"),"â","a"),"é","e"),"ê","e"),"í","i"),"ó","o"),"õ","o"),"ô","o"),"ú","u"),"ç","c"),"Á","a"),"Ã","a"),"Â","a"),"É","e"),"Ê","e"),"Í","i"),"Ó","o"),"Õ","o"),"Ô","o"),"Ú","u"),"Ç","c"),"/MG","")," e ",", ")," ",""),".",""))),
_xlpm.MATRIZ_COMARCA, TRIM(UPPER(SUBSTITUTE(SUBSTITUTE(SUBSTITUTE(SUBSTITUTE(SUBSTITUTE(SUBSTITUTE(SUBSTITUTE(SUBSTITUTE(SUBSTITUTE(SUBSTITUTE(SUBSTITUTE(SUBSTITUTE(SUBSTITUTE(SUBSTITUTE(SUBSTITUTE(SUBSTITUTE(SUBSTITUTE(SUBSTITUTE(SUBSTITUTE(SUBSTITUTE(SUBSTITUTE(SUBSTITUTE(SUBSTITUTE(SUBSTITUTE(SUBSTITUTE(SUBSTITUTE(tabSindicatos[COMARCAS PAF],"á","a"),"ã","a"),"â","a"),"é","e"),"ê","e"),"í","i"),"ó","o"),"õ","o"),"ô","o"),"ú","u"),"ç","c"),"Á","a"),"Ã","a"),"Â","a"),"É","e"),"Ê","e"),"Í","i"),"Ó","o"),"Õ","o"),"Ô","o"),"Ú","u"),"Ç","c"),"/MG","")," e ",", ")," ",""),".",""))),
IFERROR(IF(_xlfn.XLOOKUP(tabParametros[[#This Row],[CCT DA CATEGORIA]],tabSindicatos[SINDICATOS],tabSindicatos[COMARCAS PAF])="",
VLOOKUP(tabParametros[[#This Row],[CCT DA CATEGORIA]],tabSindicatos[],8,0),
IF(ISNUMBER(SEARCH(TRIM(_xlpm.COMARCA),_xlfn.XLOOKUP(tabParametros[[#This Row],[CCT DA CATEGORIA]],tabSindicatos[SINDICATOS],_xlpm.MATRIZ_COMARCA),1)),VLOOKUP(tabParametros[[#This Row],[CCT DA CATEGORIA]],tabSindicatos[],8,0),0)
),0)
)</f>
        <v>51.86</v>
      </c>
      <c r="AE232" s="234">
        <f>IFERROR(VLOOKUP(tabParametros[[#This Row],[CCT DA CATEGORIA]],tabSindicatos[],9,0),0)</f>
        <v>0</v>
      </c>
      <c r="AF232" s="234">
        <f>IFERROR(VLOOKUP(tabParametros[[#This Row],[CCT DA CATEGORIA]],tabSindicatos[],10,0),0)</f>
        <v>0</v>
      </c>
      <c r="AG232" s="236">
        <f>VLOOKUP(tabParametros[[#Headers],[Seguro de Vida]],tabOutrosCustos[],3,0)</f>
        <v>3.36</v>
      </c>
      <c r="AH232" s="236">
        <f>IF(ISNUMBER(SEARCH("MOTORISTA",tabParametros[[#This Row],[Função]],1)),VLOOKUP("MOTORISTAS",tabDiarias[],2,0),IF(tabParametros[[#This Row],[Comarca]]="Belo Horizonte",VLOOKUP("LIMPEZA",tabDiarias[],2,0),0))</f>
        <v>0</v>
      </c>
      <c r="AI232" s="235">
        <f t="shared" si="35"/>
        <v>7.011766975308642E-3</v>
      </c>
      <c r="AJ232" s="237">
        <f>tabParametros[[#This Row],[FGTS]]*tabParametros[[#This Row],[Aviso Prévio Indenizado (API) e Reflexo do Aviso Prévio Indenizado]]</f>
        <v>5.609413580246914E-4</v>
      </c>
      <c r="AK232" s="237">
        <f>tabParametros[[#This Row],[FGTS]]*tabParametros[[#This Row],[Aviso Prévio Indenizado (API) e Reflexo do Aviso Prévio Indenizado]]*40%</f>
        <v>2.2437654320987658E-4</v>
      </c>
      <c r="AL232" s="235">
        <f t="shared" si="36"/>
        <v>3.5000000000000005E-3</v>
      </c>
      <c r="AM232" s="235">
        <f>tabParametros[[#This Row],[Aviso Prévio Trabalhado - APT]]*SUM(tabParametros[[#This Row],[INSS]:[SEBRAE]])</f>
        <v>1.3230000000000004E-3</v>
      </c>
      <c r="AN232" s="235">
        <f t="shared" si="37"/>
        <v>3.0577777777777773E-2</v>
      </c>
      <c r="AO232" s="235">
        <f t="shared" si="38"/>
        <v>8.3333333333333339E-4</v>
      </c>
      <c r="AP232" s="235">
        <f t="shared" si="39"/>
        <v>8.4444444444444437E-3</v>
      </c>
      <c r="AQ232" s="235">
        <f t="shared" si="40"/>
        <v>2.0277777777777777E-3</v>
      </c>
      <c r="AR232" s="235">
        <f t="shared" si="41"/>
        <v>1.7083333333333333E-4</v>
      </c>
      <c r="AS232" s="235">
        <f t="shared" si="42"/>
        <v>2.0833333333333335E-4</v>
      </c>
      <c r="AT232" s="235">
        <f t="shared" si="43"/>
        <v>1.2962962962962963E-3</v>
      </c>
      <c r="AU232" s="237">
        <f>SUM(tabParametros[[#This Row],[Ausência por Doença]:[Férias, Adicional de Férias e 13º  com empregada em gozo de Licença Maternidade]])*SUM(tabParametros[[#This Row],[INSS]:[SEBRAE]])</f>
        <v>4.5918250000000008E-3</v>
      </c>
      <c r="AV232" s="234">
        <f>IF(tabParametros[[#This Row],[Função]]="Porteiro - 220 h",SUM(tabParametros[[#This Row],[Salário Base]:[Adicional de Acúmulo de função]])/220*20*1.5,IF(ISNUMBER(SEARCH("12 x 36",tabParametros[[#This Row],[Função]],1)),SUM(tabParametros[[#This Row],[Salário Base]:[Adicional de Acúmulo de função]])/210*15.5*1.5,0))</f>
        <v>0</v>
      </c>
      <c r="AW232" s="234">
        <f>IF(tabParametros[[#This Row],[Vagas contratadas]]&gt;0,(SUM(tabParametros[[#This Row],[Salário Base]:[Adicional de Acúmulo de função]])*30%+SUM(tabParametros[[#This Row],[Vale - Alimentação]:[Seguro de Vida]]))/tabParametros[[#This Row],[Vagas contratadas]]*tabParametros[[#This Row],[Vagas suspensas]],0)</f>
        <v>0</v>
      </c>
      <c r="AX232" s="234">
        <f>SUMIF(tabUniformes[Cargo],tabParametros[[#This Row],[Função]],tabUniformes[Valor unit. Mensal])</f>
        <v>100.80916666666666</v>
      </c>
      <c r="AY232" s="281">
        <f>IF(ISNUMBER(SEARCH("AUXILIAR DE LIMPEZA - 75 H",tabParametros[[#This Row],[Função]],1)),
SUMIF(tabLimpGeral[TIPO],"Material",tabLimpGeral[VALOR UNITÁRIO P/ HORA (R$)])*75,
IF(ISNUMBER(SEARCH("AUXILIAR DE LIMPEZA - 110 H",tabParametros[[#This Row],[Função]],1)),
SUMIF(tabLimpGeral[TIPO],"Material",tabLimpGeral[VALOR UNITÁRIO P/ HORA (R$)])*110,
IF(ISNUMBER(SEARCH("AUXILIAR DE LIMPEZA - 150 H",tabParametros[[#This Row],[Função]],1)),
SUMIF(tabLimpGeral[TIPO],"Material",tabLimpGeral[VALOR UNITÁRIO P/ HORA (R$)])*150,
IF(ISNUMBER(SEARCH("AUXILIAR DE LIMPEZA - 220 H",tabParametros[[#This Row],[Função]],1)),
SUMIF(tabLimpGeral[TIPO],"Material",tabLimpGeral[VALOR UNITÁRIO P/ HORA (R$)])*220,
IF(ISNUMBER(SEARCH("AUXILIAR DE LIMPEZA - 12 x 36",tabParametros[[#This Row],[Função]],1)),
SUMIF(tabLimpGeral[TIPO],"Material",tabLimpGeral[VALOR UNITÁRIO P/ HORA (R$)])*220,
IF(ISNUMBER(SEARCH("Limpador de vidros - 220 h",tabParametros[[#This Row],[Função]],1)),
SUMIF(tabVidros[TIPO],"Material",tabVidros[VALOR UNITÁRIO P/ POSTO (R$)]),
0))))))</f>
        <v>35.518212958583888</v>
      </c>
      <c r="AZ232" s="281">
        <f>IF(ISNUMBER(SEARCH("AUXILIAR DE LIMPEZA - 75 H",tabParametros[[#This Row],[Função]],1)),
SUMIF(tabLimpGeral[TIPO],"Equipamento",tabLimpGeral[VALOR UNITÁRIO P/ HORA (R$)])*75,
IF(ISNUMBER(SEARCH("AUXILIAR DE LIMPEZA - 110 H",tabParametros[[#This Row],[Função]],1)),
SUMIF(tabLimpGeral[TIPO],"Equipamento",tabLimpGeral[VALOR UNITÁRIO P/ HORA (R$)])*110,
IF(ISNUMBER(SEARCH("AUXILIAR DE LIMPEZA - 150 H",tabParametros[[#This Row],[Função]],1)),
SUMIF(tabLimpGeral[TIPO],"Equipamento",tabLimpGeral[VALOR UNITÁRIO P/ HORA (R$)])*150,
IF(ISNUMBER(SEARCH("AUXILIAR DE LIMPEZA - 220 H",tabParametros[[#This Row],[Função]],1)),
SUMIF(tabLimpGeral[TIPO],"Equipamento",tabLimpGeral[VALOR UNITÁRIO P/ HORA (R$)])*220,
IF(ISNUMBER(SEARCH("AUXILIAR DE LIMPEZA - 12 x 36",tabParametros[[#This Row],[Função]],1)),
SUMIF(tabLimpGeral[TIPO],"Equipamento",tabLimpGeral[VALOR UNITÁRIO P/ HORA (R$)])*220,
IF(ISNUMBER(SEARCH("Limpador de vidros - 220 h",tabParametros[[#This Row],[Função]],1)),
SUMIF(tabVidros[TIPO],"Equipamento",tabVidros[VALOR UNITÁRIO P/ POSTO (R$)]),
0))))))</f>
        <v>64.529393914825576</v>
      </c>
      <c r="BA232" s="281">
        <f>IF(ISNUMBER(SEARCH("AUXILIAR DE LIMPEZA - 75 H",tabParametros[[#This Row],[Função]],1)),
SUMIF(tabLimpGeral[TIPO],"Produto",tabLimpGeral[VALOR UNITÁRIO P/ HORA (R$)])*75,
IF(ISNUMBER(SEARCH("AUXILIAR DE LIMPEZA - 110 H",tabParametros[[#This Row],[Função]],1)),
SUMIF(tabLimpGeral[TIPO],"Produto",tabLimpGeral[VALOR UNITÁRIO P/ HORA (R$)])*110,
IF(ISNUMBER(SEARCH("AUXILIAR DE LIMPEZA - 150 H",tabParametros[[#This Row],[Função]],1)),
SUMIF(tabLimpGeral[TIPO],"Produto",tabLimpGeral[VALOR UNITÁRIO P/ HORA (R$)])*150,
IF(ISNUMBER(SEARCH("AUXILIAR DE LIMPEZA - 220 H",tabParametros[[#This Row],[Função]],1)),
SUMIF(tabLimpGeral[TIPO],"Produto",tabLimpGeral[VALOR UNITÁRIO P/ HORA (R$)])*220,
IF(ISNUMBER(SEARCH("AUXILIAR DE LIMPEZA - 12 x 36",tabParametros[[#This Row],[Função]],1)),
SUMIF(tabLimpGeral[TIPO],"Produto",tabLimpGeral[VALOR UNITÁRIO P/ HORA (R$)])*220,
IF(ISNUMBER(SEARCH("Limpador de vidros - 220 h",tabParametros[[#This Row],[Função]],1)),
SUMIF(tabVidros[TIPO],"Produto",tabVidros[VALOR UNITÁRIO P/ POSTO (R$)]),
0))))))</f>
        <v>690.27153277931654</v>
      </c>
      <c r="BB232" s="281">
        <v>0</v>
      </c>
      <c r="BC232" s="236">
        <f>VLOOKUP(tabParametros[[#Headers],[Custos Indiretos]],tabOutrosCustos[],3,0)</f>
        <v>189.64880140242613</v>
      </c>
      <c r="BD232" s="236">
        <f>VLOOKUP(tabParametros[[#Headers],[Lucro]],tabOutrosCustos[],3,0)</f>
        <v>159.30499317803796</v>
      </c>
      <c r="BE232" s="235">
        <f>VLOOKUP(tabParametros[[#Headers],[COFINS]],tabImpostosNacionais[],2,0)</f>
        <v>7.5999999999999998E-2</v>
      </c>
      <c r="BF232" s="235">
        <f>VLOOKUP(tabParametros[[#Headers],[PIS]],tabImpostosNacionais[],2,0)</f>
        <v>1.6500000000000001E-2</v>
      </c>
      <c r="BG232" s="235">
        <f>VLOOKUP(tabParametros[[#This Row],[Comarca]],tabComarca[],4,0)</f>
        <v>0.03</v>
      </c>
      <c r="BH232" s="238">
        <f>IFERROR(VLOOKUP(tabParametros[[#This Row],[CCT DA CATEGORIA]],tabSindicatos[],11,0),"")</f>
        <v>45658</v>
      </c>
      <c r="BI232" s="289" t="str">
        <f>IFERROR(VLOOKUP(tabParametros[[#This Row],[CCT DA CATEGORIA]],tabSindicatos[],12,0),"")</f>
        <v>-</v>
      </c>
      <c r="BJ232" s="293" t="str">
        <f>IFERROR(VLOOKUP(tabParametros[[#This Row],[CCT DA CATEGORIA]],tabSindicatos[],13,0),"")</f>
        <v>-</v>
      </c>
    </row>
    <row r="233" spans="1:62" x14ac:dyDescent="0.25">
      <c r="A233" s="233" t="s">
        <v>1568</v>
      </c>
      <c r="B233" s="198" t="s">
        <v>212</v>
      </c>
      <c r="C233" s="198" t="s">
        <v>1244</v>
      </c>
      <c r="D233" s="198" t="str">
        <f>VLOOKUP(tabParametros[[#This Row],[Código do Posto]],tabPostos[],4,0)</f>
        <v>Sethac Norte de Minas</v>
      </c>
      <c r="E233" s="289" t="str">
        <f>VLOOKUP(tabParametros[[#This Row],[Código do Posto]],tabPostos[],5,0)</f>
        <v>Limpeza</v>
      </c>
      <c r="F233" s="289" t="str">
        <f>VLOOKUP(tabParametros[[#This Row],[Código do Posto]],tabPostos[],6,0)</f>
        <v>PGJ</v>
      </c>
      <c r="G233" s="289">
        <f>VLOOKUP(tabParametros[[#This Row],[Código do Posto]],tabPostos[],7,0)</f>
        <v>1</v>
      </c>
      <c r="H233" s="289">
        <f>VLOOKUP(tabParametros[[#This Row],[Código do Posto]],tabPostos[],8,0)</f>
        <v>0</v>
      </c>
      <c r="I233" s="234">
        <f>VLOOKUP(tabParametros[[#This Row],[Código do Posto]],tabPostos[],9,0)</f>
        <v>798.14</v>
      </c>
      <c r="J233" s="234">
        <f>IF(ISNUMBER(SEARCH("Eletricista",tabParametros[[#This Row],[Função]],1)),0.3*tabParametros[[#This Row],[Salário Base]],0)</f>
        <v>0</v>
      </c>
      <c r="K233" s="234">
        <f>IF(OR(ISNUMBER(SEARCH("Bombeiro Hidraulico",tabParametros[[#This Row],[Função]],1)),ISNUMBER(SEARCH("Jardineiro",tabParametros[[#This Row],[Função]],1)),ISNUMBER(SEARCH("Lavador de Veiculos",tabParametros[[#This Row],[Função]],1)),ISNUMBER(SEARCH("Marceneiro",tabParametros[[#This Row],[Função]],1)),ISNUMBER(SEARCH("Pintor",tabParametros[[#This Row],[Função]],1))),0.2*'BASE GERAL'!$R$4,0)</f>
        <v>0</v>
      </c>
      <c r="L233" s="234">
        <f>IF(AND(ISNUMBER(SEARCH("Noturno",tabParametros[[#This Row],[Função]],1)),tabParametros[[#This Row],[Comarca]]&lt;&gt;"Juiz de Fora"),tabParametros[[#This Row],[Salário Base]]/210*0.39*7*15.5,IF(ISNUMBER(SEARCH("Noturno",tabParametros[[#This Row],[Função]],1)),tabParametros[[#This Row],[Salário Base]]/210*0.2*8*15.5,0))</f>
        <v>0</v>
      </c>
      <c r="M233" s="234">
        <f>IF(ISNUMBER(SEARCH("Motorista II",tabParametros[[#This Row],[Função]],1)),0.25*tabParametros[[#This Row],[Salário Base]],0)</f>
        <v>0</v>
      </c>
      <c r="N233" s="250">
        <v>0</v>
      </c>
      <c r="O233" s="234">
        <f>IF(ISNUMBER(SEARCH("TECNOLOGIA DA INFORMACAO",tabParametros[[#This Row],[Função]],1)),0.0201*tabParametros[[#This Row],[Salário Base]],0)</f>
        <v>0</v>
      </c>
      <c r="P233" s="250" cm="1">
        <f t="array" ref="P233">_xlfn.IFS(
ISNUMBER(SEARCH("Auxiliar de Limpeza - 75 h",tabParametros[[#This Row],[Função]],1)),tabParametros[[#This Row],[Salário Base]]/75*0.75*30*0.12,
ISNUMBER(SEARCH("Auxiliar de Limpeza - 110 h",tabParametros[[#This Row],[Função]],1)),tabParametros[[#This Row],[Salário Base]]/110*1*30*0.12,
ISNUMBER(SEARCH("Auxiliar de Limpeza - 150 h",tabParametros[[#This Row],[Função]],1)),tabParametros[[#This Row],[Salário Base]]/150*1.5*30*0.12,
ISNUMBER(SEARCH("Auxiliar de Limpeza - 220 h",tabParametros[[#This Row],[Função]],1)),tabParametros[[#This Row],[Salário Base]]/220*2*30*0.12,
ISNUMBER(SEARCH("Auxiliar de Limpeza - 12 x 36",tabParametros[[#This Row],[Função]],1)),tabParametros[[#This Row],[Salário Base]]/220*2*30*0.12,
ISNUMBER(SEARCH("Auxiliar de Limpeza - 55 h",tabParametros[[#This Row],[Função]],1))=FALSE,0)</f>
        <v>26.120945454545453</v>
      </c>
      <c r="Q233" s="235">
        <f>VLOOKUP(tabParametros[[#Headers],[INSS]],tabImpostosNacionais[],2,0)</f>
        <v>0.2</v>
      </c>
      <c r="R233" s="235">
        <f>VLOOKUP(tabParametros[[#Headers],[SESI OU SESC]],tabImpostosNacionais[],2,0)</f>
        <v>1.4999999999999999E-2</v>
      </c>
      <c r="S233" s="235">
        <f>VLOOKUP(tabParametros[[#Headers],[SENAI OU SENAC]],tabImpostosNacionais[],2,0)</f>
        <v>0.01</v>
      </c>
      <c r="T233" s="235">
        <f>VLOOKUP(tabParametros[[#Headers],[INCRA]],tabImpostosNacionais[],2,0)</f>
        <v>2E-3</v>
      </c>
      <c r="U233" s="235">
        <f>VLOOKUP(tabParametros[[#Headers],[Salário Educação]],tabImpostosNacionais[],2,0)</f>
        <v>2.5000000000000001E-2</v>
      </c>
      <c r="V233" s="235">
        <f>VLOOKUP(tabParametros[[#Headers],[FGTS]],tabImpostosNacionais[],2,0)</f>
        <v>0.08</v>
      </c>
      <c r="W233" s="235">
        <f>VLOOKUP(tabParametros[[#Headers],[RAT Ajustado]],tabImpostosNacionais[],2,0)</f>
        <v>0.04</v>
      </c>
      <c r="X233" s="235">
        <f>VLOOKUP(tabParametros[[#Headers],[SEBRAE]],tabImpostosNacionais[],2,0)</f>
        <v>6.0000000000000001E-3</v>
      </c>
      <c r="Y233" s="235">
        <f t="shared" si="33"/>
        <v>8.3333333333333329E-2</v>
      </c>
      <c r="Z233" s="251">
        <f t="shared" si="34"/>
        <v>0.1111111111111111</v>
      </c>
      <c r="AA233" s="234">
        <f>VLOOKUP(tabParametros[[#This Row],[Comarca]],tabComarca[],5,0)</f>
        <v>6.4</v>
      </c>
      <c r="AB233" s="234">
        <f>IFERROR(VLOOKUP(tabParametros[[#This Row],[CCT DA CATEGORIA]],tabSindicatos[],6,0),0)</f>
        <v>29.15</v>
      </c>
      <c r="AC233" s="234">
        <f>IFERROR(VLOOKUP(tabParametros[[#This Row],[CCT DA CATEGORIA]],tabSindicatos[],7,0),0)</f>
        <v>0</v>
      </c>
      <c r="AD233" s="234" cm="1">
        <f t="array" ref="AD233">_xlfn.LET(
_xlpm.COMARCA, TRIM(UPPER(SUBSTITUTE(SUBSTITUTE(SUBSTITUTE(SUBSTITUTE(SUBSTITUTE(SUBSTITUTE(SUBSTITUTE(SUBSTITUTE(SUBSTITUTE(SUBSTITUTE(SUBSTITUTE(SUBSTITUTE(SUBSTITUTE(SUBSTITUTE(SUBSTITUTE(SUBSTITUTE(SUBSTITUTE(SUBSTITUTE(SUBSTITUTE(SUBSTITUTE(SUBSTITUTE(SUBSTITUTE(SUBSTITUTE(SUBSTITUTE(SUBSTITUTE(SUBSTITUTE(tabParametros[[#This Row],[Comarca]],"á","a"),"ã","a"),"â","a"),"é","e"),"ê","e"),"í","i"),"ó","o"),"õ","o"),"ô","o"),"ú","u"),"ç","c"),"Á","a"),"Ã","a"),"Â","a"),"É","e"),"Ê","e"),"Í","i"),"Ó","o"),"Õ","o"),"Ô","o"),"Ú","u"),"Ç","c"),"/MG","")," e ",", ")," ",""),".",""))),
_xlpm.MATRIZ_COMARCA, TRIM(UPPER(SUBSTITUTE(SUBSTITUTE(SUBSTITUTE(SUBSTITUTE(SUBSTITUTE(SUBSTITUTE(SUBSTITUTE(SUBSTITUTE(SUBSTITUTE(SUBSTITUTE(SUBSTITUTE(SUBSTITUTE(SUBSTITUTE(SUBSTITUTE(SUBSTITUTE(SUBSTITUTE(SUBSTITUTE(SUBSTITUTE(SUBSTITUTE(SUBSTITUTE(SUBSTITUTE(SUBSTITUTE(SUBSTITUTE(SUBSTITUTE(SUBSTITUTE(SUBSTITUTE(tabSindicatos[COMARCAS PAF],"á","a"),"ã","a"),"â","a"),"é","e"),"ê","e"),"í","i"),"ó","o"),"õ","o"),"ô","o"),"ú","u"),"ç","c"),"Á","a"),"Ã","a"),"Â","a"),"É","e"),"Ê","e"),"Í","i"),"Ó","o"),"Õ","o"),"Ô","o"),"Ú","u"),"Ç","c"),"/MG","")," e ",", ")," ",""),".",""))),
IFERROR(IF(_xlfn.XLOOKUP(tabParametros[[#This Row],[CCT DA CATEGORIA]],tabSindicatos[SINDICATOS],tabSindicatos[COMARCAS PAF])="",
VLOOKUP(tabParametros[[#This Row],[CCT DA CATEGORIA]],tabSindicatos[],8,0),
IF(ISNUMBER(SEARCH(TRIM(_xlpm.COMARCA),_xlfn.XLOOKUP(tabParametros[[#This Row],[CCT DA CATEGORIA]],tabSindicatos[SINDICATOS],_xlpm.MATRIZ_COMARCA),1)),VLOOKUP(tabParametros[[#This Row],[CCT DA CATEGORIA]],tabSindicatos[],8,0),0)
),0)
)</f>
        <v>0</v>
      </c>
      <c r="AE233" s="234">
        <f>IFERROR(VLOOKUP(tabParametros[[#This Row],[CCT DA CATEGORIA]],tabSindicatos[],9,0),0)</f>
        <v>0</v>
      </c>
      <c r="AF233" s="234">
        <f>IFERROR(VLOOKUP(tabParametros[[#This Row],[CCT DA CATEGORIA]],tabSindicatos[],10,0),0)</f>
        <v>0</v>
      </c>
      <c r="AG233" s="236">
        <f>VLOOKUP(tabParametros[[#Headers],[Seguro de Vida]],tabOutrosCustos[],3,0)</f>
        <v>3.36</v>
      </c>
      <c r="AH233" s="236">
        <f>IF(ISNUMBER(SEARCH("MOTORISTA",tabParametros[[#This Row],[Função]],1)),VLOOKUP("MOTORISTAS",tabDiarias[],2,0),IF(tabParametros[[#This Row],[Comarca]]="Belo Horizonte",VLOOKUP("LIMPEZA",tabDiarias[],2,0),0))</f>
        <v>0</v>
      </c>
      <c r="AI233" s="235">
        <f t="shared" si="35"/>
        <v>7.011766975308642E-3</v>
      </c>
      <c r="AJ233" s="237">
        <f>tabParametros[[#This Row],[FGTS]]*tabParametros[[#This Row],[Aviso Prévio Indenizado (API) e Reflexo do Aviso Prévio Indenizado]]</f>
        <v>5.609413580246914E-4</v>
      </c>
      <c r="AK233" s="237">
        <f>tabParametros[[#This Row],[FGTS]]*tabParametros[[#This Row],[Aviso Prévio Indenizado (API) e Reflexo do Aviso Prévio Indenizado]]*40%</f>
        <v>2.2437654320987658E-4</v>
      </c>
      <c r="AL233" s="235">
        <f t="shared" si="36"/>
        <v>3.5000000000000005E-3</v>
      </c>
      <c r="AM233" s="235">
        <f>tabParametros[[#This Row],[Aviso Prévio Trabalhado - APT]]*SUM(tabParametros[[#This Row],[INSS]:[SEBRAE]])</f>
        <v>1.3230000000000004E-3</v>
      </c>
      <c r="AN233" s="235">
        <f t="shared" si="37"/>
        <v>3.0577777777777773E-2</v>
      </c>
      <c r="AO233" s="235">
        <f t="shared" si="38"/>
        <v>8.3333333333333339E-4</v>
      </c>
      <c r="AP233" s="235">
        <f t="shared" si="39"/>
        <v>8.4444444444444437E-3</v>
      </c>
      <c r="AQ233" s="235">
        <f t="shared" si="40"/>
        <v>2.0277777777777777E-3</v>
      </c>
      <c r="AR233" s="235">
        <f t="shared" si="41"/>
        <v>1.7083333333333333E-4</v>
      </c>
      <c r="AS233" s="235">
        <f t="shared" si="42"/>
        <v>2.0833333333333335E-4</v>
      </c>
      <c r="AT233" s="235">
        <f t="shared" si="43"/>
        <v>1.2962962962962963E-3</v>
      </c>
      <c r="AU233" s="237">
        <f>SUM(tabParametros[[#This Row],[Ausência por Doença]:[Férias, Adicional de Férias e 13º  com empregada em gozo de Licença Maternidade]])*SUM(tabParametros[[#This Row],[INSS]:[SEBRAE]])</f>
        <v>4.5918250000000008E-3</v>
      </c>
      <c r="AV233" s="234">
        <f>IF(tabParametros[[#This Row],[Função]]="Porteiro - 220 h",SUM(tabParametros[[#This Row],[Salário Base]:[Adicional de Acúmulo de função]])/220*20*1.5,IF(ISNUMBER(SEARCH("12 x 36",tabParametros[[#This Row],[Função]],1)),SUM(tabParametros[[#This Row],[Salário Base]:[Adicional de Acúmulo de função]])/210*15.5*1.5,0))</f>
        <v>0</v>
      </c>
      <c r="AW233" s="234">
        <f>IF(tabParametros[[#This Row],[Vagas contratadas]]&gt;0,(SUM(tabParametros[[#This Row],[Salário Base]:[Adicional de Acúmulo de função]])*30%+SUM(tabParametros[[#This Row],[Vale - Alimentação]:[Seguro de Vida]]))/tabParametros[[#This Row],[Vagas contratadas]]*tabParametros[[#This Row],[Vagas suspensas]],0)</f>
        <v>0</v>
      </c>
      <c r="AX233" s="234">
        <f>SUMIF(tabUniformes[Cargo],tabParametros[[#This Row],[Função]],tabUniformes[Valor unit. Mensal])</f>
        <v>62.806666666666665</v>
      </c>
      <c r="AY233" s="281">
        <f>IF(ISNUMBER(SEARCH("AUXILIAR DE LIMPEZA - 75 H",tabParametros[[#This Row],[Função]],1)),
SUMIF(tabLimpGeral[TIPO],"Material",tabLimpGeral[VALOR UNITÁRIO P/ HORA (R$)])*75,
IF(ISNUMBER(SEARCH("AUXILIAR DE LIMPEZA - 110 H",tabParametros[[#This Row],[Função]],1)),
SUMIF(tabLimpGeral[TIPO],"Material",tabLimpGeral[VALOR UNITÁRIO P/ HORA (R$)])*110,
IF(ISNUMBER(SEARCH("AUXILIAR DE LIMPEZA - 150 H",tabParametros[[#This Row],[Função]],1)),
SUMIF(tabLimpGeral[TIPO],"Material",tabLimpGeral[VALOR UNITÁRIO P/ HORA (R$)])*150,
IF(ISNUMBER(SEARCH("AUXILIAR DE LIMPEZA - 220 H",tabParametros[[#This Row],[Função]],1)),
SUMIF(tabLimpGeral[TIPO],"Material",tabLimpGeral[VALOR UNITÁRIO P/ HORA (R$)])*220,
IF(ISNUMBER(SEARCH("AUXILIAR DE LIMPEZA - 12 x 36",tabParametros[[#This Row],[Função]],1)),
SUMIF(tabLimpGeral[TIPO],"Material",tabLimpGeral[VALOR UNITÁRIO P/ HORA (R$)])*220,
IF(ISNUMBER(SEARCH("Limpador de vidros - 220 h",tabParametros[[#This Row],[Função]],1)),
SUMIF(tabVidros[TIPO],"Material",tabVidros[VALOR UNITÁRIO P/ POSTO (R$)]),
0))))))</f>
        <v>17.759106479291944</v>
      </c>
      <c r="AZ233" s="281">
        <f>IF(ISNUMBER(SEARCH("AUXILIAR DE LIMPEZA - 75 H",tabParametros[[#This Row],[Função]],1)),
SUMIF(tabLimpGeral[TIPO],"Equipamento",tabLimpGeral[VALOR UNITÁRIO P/ HORA (R$)])*75,
IF(ISNUMBER(SEARCH("AUXILIAR DE LIMPEZA - 110 H",tabParametros[[#This Row],[Função]],1)),
SUMIF(tabLimpGeral[TIPO],"Equipamento",tabLimpGeral[VALOR UNITÁRIO P/ HORA (R$)])*110,
IF(ISNUMBER(SEARCH("AUXILIAR DE LIMPEZA - 150 H",tabParametros[[#This Row],[Função]],1)),
SUMIF(tabLimpGeral[TIPO],"Equipamento",tabLimpGeral[VALOR UNITÁRIO P/ HORA (R$)])*150,
IF(ISNUMBER(SEARCH("AUXILIAR DE LIMPEZA - 220 H",tabParametros[[#This Row],[Função]],1)),
SUMIF(tabLimpGeral[TIPO],"Equipamento",tabLimpGeral[VALOR UNITÁRIO P/ HORA (R$)])*220,
IF(ISNUMBER(SEARCH("AUXILIAR DE LIMPEZA - 12 x 36",tabParametros[[#This Row],[Função]],1)),
SUMIF(tabLimpGeral[TIPO],"Equipamento",tabLimpGeral[VALOR UNITÁRIO P/ HORA (R$)])*220,
IF(ISNUMBER(SEARCH("Limpador de vidros - 220 h",tabParametros[[#This Row],[Função]],1)),
SUMIF(tabVidros[TIPO],"Equipamento",tabVidros[VALOR UNITÁRIO P/ POSTO (R$)]),
0))))))</f>
        <v>32.264696957412788</v>
      </c>
      <c r="BA233" s="281">
        <f>IF(ISNUMBER(SEARCH("AUXILIAR DE LIMPEZA - 75 H",tabParametros[[#This Row],[Função]],1)),
SUMIF(tabLimpGeral[TIPO],"Produto",tabLimpGeral[VALOR UNITÁRIO P/ HORA (R$)])*75,
IF(ISNUMBER(SEARCH("AUXILIAR DE LIMPEZA - 110 H",tabParametros[[#This Row],[Função]],1)),
SUMIF(tabLimpGeral[TIPO],"Produto",tabLimpGeral[VALOR UNITÁRIO P/ HORA (R$)])*110,
IF(ISNUMBER(SEARCH("AUXILIAR DE LIMPEZA - 150 H",tabParametros[[#This Row],[Função]],1)),
SUMIF(tabLimpGeral[TIPO],"Produto",tabLimpGeral[VALOR UNITÁRIO P/ HORA (R$)])*150,
IF(ISNUMBER(SEARCH("AUXILIAR DE LIMPEZA - 220 H",tabParametros[[#This Row],[Função]],1)),
SUMIF(tabLimpGeral[TIPO],"Produto",tabLimpGeral[VALOR UNITÁRIO P/ HORA (R$)])*220,
IF(ISNUMBER(SEARCH("AUXILIAR DE LIMPEZA - 12 x 36",tabParametros[[#This Row],[Função]],1)),
SUMIF(tabLimpGeral[TIPO],"Produto",tabLimpGeral[VALOR UNITÁRIO P/ HORA (R$)])*220,
IF(ISNUMBER(SEARCH("Limpador de vidros - 220 h",tabParametros[[#This Row],[Função]],1)),
SUMIF(tabVidros[TIPO],"Produto",tabVidros[VALOR UNITÁRIO P/ POSTO (R$)]),
0))))))</f>
        <v>345.13576638965827</v>
      </c>
      <c r="BB233" s="281">
        <v>0</v>
      </c>
      <c r="BC233" s="236">
        <f>VLOOKUP(tabParametros[[#Headers],[Custos Indiretos]],tabOutrosCustos[],3,0)</f>
        <v>189.64880140242613</v>
      </c>
      <c r="BD233" s="236">
        <f>VLOOKUP(tabParametros[[#Headers],[Lucro]],tabOutrosCustos[],3,0)</f>
        <v>159.30499317803796</v>
      </c>
      <c r="BE233" s="235">
        <f>VLOOKUP(tabParametros[[#Headers],[COFINS]],tabImpostosNacionais[],2,0)</f>
        <v>7.5999999999999998E-2</v>
      </c>
      <c r="BF233" s="235">
        <f>VLOOKUP(tabParametros[[#Headers],[PIS]],tabImpostosNacionais[],2,0)</f>
        <v>1.6500000000000001E-2</v>
      </c>
      <c r="BG233" s="235">
        <f>VLOOKUP(tabParametros[[#This Row],[Comarca]],tabComarca[],4,0)</f>
        <v>0.03</v>
      </c>
      <c r="BH233" s="238">
        <f>IFERROR(VLOOKUP(tabParametros[[#This Row],[CCT DA CATEGORIA]],tabSindicatos[],11,0),"")</f>
        <v>45658</v>
      </c>
      <c r="BI233" s="289" t="str">
        <f>IFERROR(VLOOKUP(tabParametros[[#This Row],[CCT DA CATEGORIA]],tabSindicatos[],12,0),"")</f>
        <v>-</v>
      </c>
      <c r="BJ233" s="293" t="str">
        <f>IFERROR(VLOOKUP(tabParametros[[#This Row],[CCT DA CATEGORIA]],tabSindicatos[],13,0),"")</f>
        <v>-</v>
      </c>
    </row>
    <row r="234" spans="1:62" x14ac:dyDescent="0.25">
      <c r="A234" s="233" t="s">
        <v>1569</v>
      </c>
      <c r="B234" s="198" t="s">
        <v>213</v>
      </c>
      <c r="C234" s="198" t="s">
        <v>1245</v>
      </c>
      <c r="D234" s="198" t="str">
        <f>VLOOKUP(tabParametros[[#This Row],[Código do Posto]],tabPostos[],4,0)</f>
        <v>Teofilo Otoni</v>
      </c>
      <c r="E234" s="289" t="str">
        <f>VLOOKUP(tabParametros[[#This Row],[Código do Posto]],tabPostos[],5,0)</f>
        <v>Limpeza</v>
      </c>
      <c r="F234" s="289" t="str">
        <f>VLOOKUP(tabParametros[[#This Row],[Código do Posto]],tabPostos[],6,0)</f>
        <v>PGJ</v>
      </c>
      <c r="G234" s="289">
        <f>VLOOKUP(tabParametros[[#This Row],[Código do Posto]],tabPostos[],7,0)</f>
        <v>3</v>
      </c>
      <c r="H234" s="289">
        <f>VLOOKUP(tabParametros[[#This Row],[Código do Posto]],tabPostos[],8,0)</f>
        <v>0</v>
      </c>
      <c r="I234" s="234">
        <f>VLOOKUP(tabParametros[[#This Row],[Código do Posto]],tabPostos[],9,0)</f>
        <v>1649.12</v>
      </c>
      <c r="J234" s="234">
        <f>IF(ISNUMBER(SEARCH("Eletricista",tabParametros[[#This Row],[Função]],1)),0.3*tabParametros[[#This Row],[Salário Base]],0)</f>
        <v>0</v>
      </c>
      <c r="K234" s="234">
        <f>IF(OR(ISNUMBER(SEARCH("Bombeiro Hidraulico",tabParametros[[#This Row],[Função]],1)),ISNUMBER(SEARCH("Jardineiro",tabParametros[[#This Row],[Função]],1)),ISNUMBER(SEARCH("Lavador de Veiculos",tabParametros[[#This Row],[Função]],1)),ISNUMBER(SEARCH("Marceneiro",tabParametros[[#This Row],[Função]],1)),ISNUMBER(SEARCH("Pintor",tabParametros[[#This Row],[Função]],1))),0.2*'BASE GERAL'!$R$4,0)</f>
        <v>0</v>
      </c>
      <c r="L234" s="234">
        <f>IF(AND(ISNUMBER(SEARCH("Noturno",tabParametros[[#This Row],[Função]],1)),tabParametros[[#This Row],[Comarca]]&lt;&gt;"Juiz de Fora"),tabParametros[[#This Row],[Salário Base]]/210*0.39*7*15.5,IF(ISNUMBER(SEARCH("Noturno",tabParametros[[#This Row],[Função]],1)),tabParametros[[#This Row],[Salário Base]]/210*0.2*8*15.5,0))</f>
        <v>0</v>
      </c>
      <c r="M234" s="234">
        <f>IF(ISNUMBER(SEARCH("Motorista II",tabParametros[[#This Row],[Função]],1)),0.25*tabParametros[[#This Row],[Salário Base]],0)</f>
        <v>0</v>
      </c>
      <c r="N234" s="250">
        <v>0</v>
      </c>
      <c r="O234" s="234">
        <f>IF(ISNUMBER(SEARCH("TECNOLOGIA DA INFORMACAO",tabParametros[[#This Row],[Função]],1)),0.0201*tabParametros[[#This Row],[Salário Base]],0)</f>
        <v>0</v>
      </c>
      <c r="P234" s="250" cm="1">
        <f t="array" ref="P234">_xlfn.IFS(
ISNUMBER(SEARCH("Auxiliar de Limpeza - 75 h",tabParametros[[#This Row],[Função]],1)),tabParametros[[#This Row],[Salário Base]]/75*0.75*30*0.12,
ISNUMBER(SEARCH("Auxiliar de Limpeza - 110 h",tabParametros[[#This Row],[Função]],1)),tabParametros[[#This Row],[Salário Base]]/110*1*30*0.12,
ISNUMBER(SEARCH("Auxiliar de Limpeza - 150 h",tabParametros[[#This Row],[Função]],1)),tabParametros[[#This Row],[Salário Base]]/150*1.5*30*0.12,
ISNUMBER(SEARCH("Auxiliar de Limpeza - 220 h",tabParametros[[#This Row],[Função]],1)),tabParametros[[#This Row],[Salário Base]]/220*2*30*0.12,
ISNUMBER(SEARCH("Auxiliar de Limpeza - 12 x 36",tabParametros[[#This Row],[Função]],1)),tabParametros[[#This Row],[Salário Base]]/220*2*30*0.12,
ISNUMBER(SEARCH("Auxiliar de Limpeza - 55 h",tabParametros[[#This Row],[Função]],1))=FALSE,0)</f>
        <v>53.971199999999996</v>
      </c>
      <c r="Q234" s="235">
        <f>VLOOKUP(tabParametros[[#Headers],[INSS]],tabImpostosNacionais[],2,0)</f>
        <v>0.2</v>
      </c>
      <c r="R234" s="235">
        <f>VLOOKUP(tabParametros[[#Headers],[SESI OU SESC]],tabImpostosNacionais[],2,0)</f>
        <v>1.4999999999999999E-2</v>
      </c>
      <c r="S234" s="235">
        <f>VLOOKUP(tabParametros[[#Headers],[SENAI OU SENAC]],tabImpostosNacionais[],2,0)</f>
        <v>0.01</v>
      </c>
      <c r="T234" s="235">
        <f>VLOOKUP(tabParametros[[#Headers],[INCRA]],tabImpostosNacionais[],2,0)</f>
        <v>2E-3</v>
      </c>
      <c r="U234" s="235">
        <f>VLOOKUP(tabParametros[[#Headers],[Salário Educação]],tabImpostosNacionais[],2,0)</f>
        <v>2.5000000000000001E-2</v>
      </c>
      <c r="V234" s="235">
        <f>VLOOKUP(tabParametros[[#Headers],[FGTS]],tabImpostosNacionais[],2,0)</f>
        <v>0.08</v>
      </c>
      <c r="W234" s="235">
        <f>VLOOKUP(tabParametros[[#Headers],[RAT Ajustado]],tabImpostosNacionais[],2,0)</f>
        <v>0.04</v>
      </c>
      <c r="X234" s="235">
        <f>VLOOKUP(tabParametros[[#Headers],[SEBRAE]],tabImpostosNacionais[],2,0)</f>
        <v>6.0000000000000001E-3</v>
      </c>
      <c r="Y234" s="235">
        <f t="shared" si="33"/>
        <v>8.3333333333333329E-2</v>
      </c>
      <c r="Z234" s="251">
        <f t="shared" si="34"/>
        <v>0.1111111111111111</v>
      </c>
      <c r="AA234" s="234">
        <f>VLOOKUP(tabParametros[[#This Row],[Comarca]],tabComarca[],5,0)</f>
        <v>6.4</v>
      </c>
      <c r="AB234" s="234">
        <f>IFERROR(VLOOKUP(tabParametros[[#This Row],[CCT DA CATEGORIA]],tabSindicatos[],6,0),0)</f>
        <v>29.15</v>
      </c>
      <c r="AC234" s="234">
        <f>IFERROR(VLOOKUP(tabParametros[[#This Row],[CCT DA CATEGORIA]],tabSindicatos[],7,0),0)</f>
        <v>0</v>
      </c>
      <c r="AD234" s="234" cm="1">
        <f t="array" ref="AD234">_xlfn.LET(
_xlpm.COMARCA, TRIM(UPPER(SUBSTITUTE(SUBSTITUTE(SUBSTITUTE(SUBSTITUTE(SUBSTITUTE(SUBSTITUTE(SUBSTITUTE(SUBSTITUTE(SUBSTITUTE(SUBSTITUTE(SUBSTITUTE(SUBSTITUTE(SUBSTITUTE(SUBSTITUTE(SUBSTITUTE(SUBSTITUTE(SUBSTITUTE(SUBSTITUTE(SUBSTITUTE(SUBSTITUTE(SUBSTITUTE(SUBSTITUTE(SUBSTITUTE(SUBSTITUTE(SUBSTITUTE(SUBSTITUTE(tabParametros[[#This Row],[Comarca]],"á","a"),"ã","a"),"â","a"),"é","e"),"ê","e"),"í","i"),"ó","o"),"õ","o"),"ô","o"),"ú","u"),"ç","c"),"Á","a"),"Ã","a"),"Â","a"),"É","e"),"Ê","e"),"Í","i"),"Ó","o"),"Õ","o"),"Ô","o"),"Ú","u"),"Ç","c"),"/MG","")," e ",", ")," ",""),".",""))),
_xlpm.MATRIZ_COMARCA, TRIM(UPPER(SUBSTITUTE(SUBSTITUTE(SUBSTITUTE(SUBSTITUTE(SUBSTITUTE(SUBSTITUTE(SUBSTITUTE(SUBSTITUTE(SUBSTITUTE(SUBSTITUTE(SUBSTITUTE(SUBSTITUTE(SUBSTITUTE(SUBSTITUTE(SUBSTITUTE(SUBSTITUTE(SUBSTITUTE(SUBSTITUTE(SUBSTITUTE(SUBSTITUTE(SUBSTITUTE(SUBSTITUTE(SUBSTITUTE(SUBSTITUTE(SUBSTITUTE(SUBSTITUTE(tabSindicatos[COMARCAS PAF],"á","a"),"ã","a"),"â","a"),"é","e"),"ê","e"),"í","i"),"ó","o"),"õ","o"),"ô","o"),"ú","u"),"ç","c"),"Á","a"),"Ã","a"),"Â","a"),"É","e"),"Ê","e"),"Í","i"),"Ó","o"),"Õ","o"),"Ô","o"),"Ú","u"),"Ç","c"),"/MG","")," e ",", ")," ",""),".",""))),
IFERROR(IF(_xlfn.XLOOKUP(tabParametros[[#This Row],[CCT DA CATEGORIA]],tabSindicatos[SINDICATOS],tabSindicatos[COMARCAS PAF])="",
VLOOKUP(tabParametros[[#This Row],[CCT DA CATEGORIA]],tabSindicatos[],8,0),
IF(ISNUMBER(SEARCH(TRIM(_xlpm.COMARCA),_xlfn.XLOOKUP(tabParametros[[#This Row],[CCT DA CATEGORIA]],tabSindicatos[SINDICATOS],_xlpm.MATRIZ_COMARCA),1)),VLOOKUP(tabParametros[[#This Row],[CCT DA CATEGORIA]],tabSindicatos[],8,0),0)
),0)
)</f>
        <v>0</v>
      </c>
      <c r="AE234" s="234">
        <f>IFERROR(VLOOKUP(tabParametros[[#This Row],[CCT DA CATEGORIA]],tabSindicatos[],9,0),0)</f>
        <v>15.07</v>
      </c>
      <c r="AF234" s="234">
        <f>IFERROR(VLOOKUP(tabParametros[[#This Row],[CCT DA CATEGORIA]],tabSindicatos[],10,0),0)</f>
        <v>0</v>
      </c>
      <c r="AG234" s="236">
        <f>VLOOKUP(tabParametros[[#Headers],[Seguro de Vida]],tabOutrosCustos[],3,0)</f>
        <v>3.36</v>
      </c>
      <c r="AH234" s="236">
        <f>IF(ISNUMBER(SEARCH("MOTORISTA",tabParametros[[#This Row],[Função]],1)),VLOOKUP("MOTORISTAS",tabDiarias[],2,0),IF(tabParametros[[#This Row],[Comarca]]="Belo Horizonte",VLOOKUP("LIMPEZA",tabDiarias[],2,0),0))</f>
        <v>0</v>
      </c>
      <c r="AI234" s="235">
        <f t="shared" si="35"/>
        <v>7.011766975308642E-3</v>
      </c>
      <c r="AJ234" s="237">
        <f>tabParametros[[#This Row],[FGTS]]*tabParametros[[#This Row],[Aviso Prévio Indenizado (API) e Reflexo do Aviso Prévio Indenizado]]</f>
        <v>5.609413580246914E-4</v>
      </c>
      <c r="AK234" s="237">
        <f>tabParametros[[#This Row],[FGTS]]*tabParametros[[#This Row],[Aviso Prévio Indenizado (API) e Reflexo do Aviso Prévio Indenizado]]*40%</f>
        <v>2.2437654320987658E-4</v>
      </c>
      <c r="AL234" s="235">
        <f t="shared" si="36"/>
        <v>3.5000000000000005E-3</v>
      </c>
      <c r="AM234" s="235">
        <f>tabParametros[[#This Row],[Aviso Prévio Trabalhado - APT]]*SUM(tabParametros[[#This Row],[INSS]:[SEBRAE]])</f>
        <v>1.3230000000000004E-3</v>
      </c>
      <c r="AN234" s="235">
        <f t="shared" si="37"/>
        <v>3.0577777777777773E-2</v>
      </c>
      <c r="AO234" s="235">
        <f t="shared" si="38"/>
        <v>8.3333333333333339E-4</v>
      </c>
      <c r="AP234" s="235">
        <f t="shared" si="39"/>
        <v>8.4444444444444437E-3</v>
      </c>
      <c r="AQ234" s="235">
        <f t="shared" si="40"/>
        <v>2.0277777777777777E-3</v>
      </c>
      <c r="AR234" s="235">
        <f t="shared" si="41"/>
        <v>1.7083333333333333E-4</v>
      </c>
      <c r="AS234" s="235">
        <f t="shared" si="42"/>
        <v>2.0833333333333335E-4</v>
      </c>
      <c r="AT234" s="235">
        <f t="shared" si="43"/>
        <v>1.2962962962962963E-3</v>
      </c>
      <c r="AU234" s="237">
        <f>SUM(tabParametros[[#This Row],[Ausência por Doença]:[Férias, Adicional de Férias e 13º  com empregada em gozo de Licença Maternidade]])*SUM(tabParametros[[#This Row],[INSS]:[SEBRAE]])</f>
        <v>4.5918250000000008E-3</v>
      </c>
      <c r="AV234" s="234">
        <f>IF(tabParametros[[#This Row],[Função]]="Porteiro - 220 h",SUM(tabParametros[[#This Row],[Salário Base]:[Adicional de Acúmulo de função]])/220*20*1.5,IF(ISNUMBER(SEARCH("12 x 36",tabParametros[[#This Row],[Função]],1)),SUM(tabParametros[[#This Row],[Salário Base]:[Adicional de Acúmulo de função]])/210*15.5*1.5,0))</f>
        <v>0</v>
      </c>
      <c r="AW234" s="234">
        <f>IF(tabParametros[[#This Row],[Vagas contratadas]]&gt;0,(SUM(tabParametros[[#This Row],[Salário Base]:[Adicional de Acúmulo de função]])*30%+SUM(tabParametros[[#This Row],[Vale - Alimentação]:[Seguro de Vida]]))/tabParametros[[#This Row],[Vagas contratadas]]*tabParametros[[#This Row],[Vagas suspensas]],0)</f>
        <v>0</v>
      </c>
      <c r="AX234" s="234">
        <f>SUMIF(tabUniformes[Cargo],tabParametros[[#This Row],[Função]],tabUniformes[Valor unit. Mensal])</f>
        <v>100.80916666666666</v>
      </c>
      <c r="AY234" s="281">
        <f>IF(ISNUMBER(SEARCH("AUXILIAR DE LIMPEZA - 75 H",tabParametros[[#This Row],[Função]],1)),
SUMIF(tabLimpGeral[TIPO],"Material",tabLimpGeral[VALOR UNITÁRIO P/ HORA (R$)])*75,
IF(ISNUMBER(SEARCH("AUXILIAR DE LIMPEZA - 110 H",tabParametros[[#This Row],[Função]],1)),
SUMIF(tabLimpGeral[TIPO],"Material",tabLimpGeral[VALOR UNITÁRIO P/ HORA (R$)])*110,
IF(ISNUMBER(SEARCH("AUXILIAR DE LIMPEZA - 150 H",tabParametros[[#This Row],[Função]],1)),
SUMIF(tabLimpGeral[TIPO],"Material",tabLimpGeral[VALOR UNITÁRIO P/ HORA (R$)])*150,
IF(ISNUMBER(SEARCH("AUXILIAR DE LIMPEZA - 220 H",tabParametros[[#This Row],[Função]],1)),
SUMIF(tabLimpGeral[TIPO],"Material",tabLimpGeral[VALOR UNITÁRIO P/ HORA (R$)])*220,
IF(ISNUMBER(SEARCH("AUXILIAR DE LIMPEZA - 12 x 36",tabParametros[[#This Row],[Função]],1)),
SUMIF(tabLimpGeral[TIPO],"Material",tabLimpGeral[VALOR UNITÁRIO P/ HORA (R$)])*220,
IF(ISNUMBER(SEARCH("Limpador de vidros - 220 h",tabParametros[[#This Row],[Função]],1)),
SUMIF(tabVidros[TIPO],"Material",tabVidros[VALOR UNITÁRIO P/ POSTO (R$)]),
0))))))</f>
        <v>35.518212958583888</v>
      </c>
      <c r="AZ234" s="281">
        <f>IF(ISNUMBER(SEARCH("AUXILIAR DE LIMPEZA - 75 H",tabParametros[[#This Row],[Função]],1)),
SUMIF(tabLimpGeral[TIPO],"Equipamento",tabLimpGeral[VALOR UNITÁRIO P/ HORA (R$)])*75,
IF(ISNUMBER(SEARCH("AUXILIAR DE LIMPEZA - 110 H",tabParametros[[#This Row],[Função]],1)),
SUMIF(tabLimpGeral[TIPO],"Equipamento",tabLimpGeral[VALOR UNITÁRIO P/ HORA (R$)])*110,
IF(ISNUMBER(SEARCH("AUXILIAR DE LIMPEZA - 150 H",tabParametros[[#This Row],[Função]],1)),
SUMIF(tabLimpGeral[TIPO],"Equipamento",tabLimpGeral[VALOR UNITÁRIO P/ HORA (R$)])*150,
IF(ISNUMBER(SEARCH("AUXILIAR DE LIMPEZA - 220 H",tabParametros[[#This Row],[Função]],1)),
SUMIF(tabLimpGeral[TIPO],"Equipamento",tabLimpGeral[VALOR UNITÁRIO P/ HORA (R$)])*220,
IF(ISNUMBER(SEARCH("AUXILIAR DE LIMPEZA - 12 x 36",tabParametros[[#This Row],[Função]],1)),
SUMIF(tabLimpGeral[TIPO],"Equipamento",tabLimpGeral[VALOR UNITÁRIO P/ HORA (R$)])*220,
IF(ISNUMBER(SEARCH("Limpador de vidros - 220 h",tabParametros[[#This Row],[Função]],1)),
SUMIF(tabVidros[TIPO],"Equipamento",tabVidros[VALOR UNITÁRIO P/ POSTO (R$)]),
0))))))</f>
        <v>64.529393914825576</v>
      </c>
      <c r="BA234" s="281">
        <f>IF(ISNUMBER(SEARCH("AUXILIAR DE LIMPEZA - 75 H",tabParametros[[#This Row],[Função]],1)),
SUMIF(tabLimpGeral[TIPO],"Produto",tabLimpGeral[VALOR UNITÁRIO P/ HORA (R$)])*75,
IF(ISNUMBER(SEARCH("AUXILIAR DE LIMPEZA - 110 H",tabParametros[[#This Row],[Função]],1)),
SUMIF(tabLimpGeral[TIPO],"Produto",tabLimpGeral[VALOR UNITÁRIO P/ HORA (R$)])*110,
IF(ISNUMBER(SEARCH("AUXILIAR DE LIMPEZA - 150 H",tabParametros[[#This Row],[Função]],1)),
SUMIF(tabLimpGeral[TIPO],"Produto",tabLimpGeral[VALOR UNITÁRIO P/ HORA (R$)])*150,
IF(ISNUMBER(SEARCH("AUXILIAR DE LIMPEZA - 220 H",tabParametros[[#This Row],[Função]],1)),
SUMIF(tabLimpGeral[TIPO],"Produto",tabLimpGeral[VALOR UNITÁRIO P/ HORA (R$)])*220,
IF(ISNUMBER(SEARCH("AUXILIAR DE LIMPEZA - 12 x 36",tabParametros[[#This Row],[Função]],1)),
SUMIF(tabLimpGeral[TIPO],"Produto",tabLimpGeral[VALOR UNITÁRIO P/ HORA (R$)])*220,
IF(ISNUMBER(SEARCH("Limpador de vidros - 220 h",tabParametros[[#This Row],[Função]],1)),
SUMIF(tabVidros[TIPO],"Produto",tabVidros[VALOR UNITÁRIO P/ POSTO (R$)]),
0))))))</f>
        <v>690.27153277931654</v>
      </c>
      <c r="BB234" s="281">
        <v>0</v>
      </c>
      <c r="BC234" s="236">
        <f>VLOOKUP(tabParametros[[#Headers],[Custos Indiretos]],tabOutrosCustos[],3,0)</f>
        <v>189.64880140242613</v>
      </c>
      <c r="BD234" s="236">
        <f>VLOOKUP(tabParametros[[#Headers],[Lucro]],tabOutrosCustos[],3,0)</f>
        <v>159.30499317803796</v>
      </c>
      <c r="BE234" s="235">
        <f>VLOOKUP(tabParametros[[#Headers],[COFINS]],tabImpostosNacionais[],2,0)</f>
        <v>7.5999999999999998E-2</v>
      </c>
      <c r="BF234" s="235">
        <f>VLOOKUP(tabParametros[[#Headers],[PIS]],tabImpostosNacionais[],2,0)</f>
        <v>1.6500000000000001E-2</v>
      </c>
      <c r="BG234" s="235">
        <f>VLOOKUP(tabParametros[[#This Row],[Comarca]],tabComarca[],4,0)</f>
        <v>0.03</v>
      </c>
      <c r="BH234" s="238">
        <f>IFERROR(VLOOKUP(tabParametros[[#This Row],[CCT DA CATEGORIA]],tabSindicatos[],11,0),"")</f>
        <v>45658</v>
      </c>
      <c r="BI234" s="289" t="str">
        <f>IFERROR(VLOOKUP(tabParametros[[#This Row],[CCT DA CATEGORIA]],tabSindicatos[],12,0),"")</f>
        <v>-</v>
      </c>
      <c r="BJ234" s="293" t="str">
        <f>IFERROR(VLOOKUP(tabParametros[[#This Row],[CCT DA CATEGORIA]],tabSindicatos[],13,0),"")</f>
        <v>-</v>
      </c>
    </row>
    <row r="235" spans="1:62" x14ac:dyDescent="0.25">
      <c r="A235" s="233" t="s">
        <v>1570</v>
      </c>
      <c r="B235" s="198" t="s">
        <v>214</v>
      </c>
      <c r="C235" s="198" t="s">
        <v>1245</v>
      </c>
      <c r="D235" s="198" t="str">
        <f>VLOOKUP(tabParametros[[#This Row],[Código do Posto]],tabPostos[],4,0)</f>
        <v>Seethur</v>
      </c>
      <c r="E235" s="289" t="str">
        <f>VLOOKUP(tabParametros[[#This Row],[Código do Posto]],tabPostos[],5,0)</f>
        <v>Limpeza</v>
      </c>
      <c r="F235" s="289" t="str">
        <f>VLOOKUP(tabParametros[[#This Row],[Código do Posto]],tabPostos[],6,0)</f>
        <v>PGJ</v>
      </c>
      <c r="G235" s="289">
        <f>VLOOKUP(tabParametros[[#This Row],[Código do Posto]],tabPostos[],7,0)</f>
        <v>2</v>
      </c>
      <c r="H235" s="289">
        <f>VLOOKUP(tabParametros[[#This Row],[Código do Posto]],tabPostos[],8,0)</f>
        <v>0</v>
      </c>
      <c r="I235" s="234">
        <f>VLOOKUP(tabParametros[[#This Row],[Código do Posto]],tabPostos[],9,0)</f>
        <v>1596.28</v>
      </c>
      <c r="J235" s="234">
        <f>IF(ISNUMBER(SEARCH("Eletricista",tabParametros[[#This Row],[Função]],1)),0.3*tabParametros[[#This Row],[Salário Base]],0)</f>
        <v>0</v>
      </c>
      <c r="K235" s="234">
        <f>IF(OR(ISNUMBER(SEARCH("Bombeiro Hidraulico",tabParametros[[#This Row],[Função]],1)),ISNUMBER(SEARCH("Jardineiro",tabParametros[[#This Row],[Função]],1)),ISNUMBER(SEARCH("Lavador de Veiculos",tabParametros[[#This Row],[Função]],1)),ISNUMBER(SEARCH("Marceneiro",tabParametros[[#This Row],[Função]],1)),ISNUMBER(SEARCH("Pintor",tabParametros[[#This Row],[Função]],1))),0.2*'BASE GERAL'!$R$4,0)</f>
        <v>0</v>
      </c>
      <c r="L235" s="234">
        <f>IF(AND(ISNUMBER(SEARCH("Noturno",tabParametros[[#This Row],[Função]],1)),tabParametros[[#This Row],[Comarca]]&lt;&gt;"Juiz de Fora"),tabParametros[[#This Row],[Salário Base]]/210*0.39*7*15.5,IF(ISNUMBER(SEARCH("Noturno",tabParametros[[#This Row],[Função]],1)),tabParametros[[#This Row],[Salário Base]]/210*0.2*8*15.5,0))</f>
        <v>0</v>
      </c>
      <c r="M235" s="234">
        <f>IF(ISNUMBER(SEARCH("Motorista II",tabParametros[[#This Row],[Função]],1)),0.25*tabParametros[[#This Row],[Salário Base]],0)</f>
        <v>0</v>
      </c>
      <c r="N235" s="250">
        <v>0</v>
      </c>
      <c r="O235" s="234">
        <f>IF(ISNUMBER(SEARCH("TECNOLOGIA DA INFORMACAO",tabParametros[[#This Row],[Função]],1)),0.0201*tabParametros[[#This Row],[Salário Base]],0)</f>
        <v>0</v>
      </c>
      <c r="P235" s="250" cm="1">
        <f t="array" ref="P235">_xlfn.IFS(
ISNUMBER(SEARCH("Auxiliar de Limpeza - 75 h",tabParametros[[#This Row],[Função]],1)),tabParametros[[#This Row],[Salário Base]]/75*0.75*30*0.12,
ISNUMBER(SEARCH("Auxiliar de Limpeza - 110 h",tabParametros[[#This Row],[Função]],1)),tabParametros[[#This Row],[Salário Base]]/110*1*30*0.12,
ISNUMBER(SEARCH("Auxiliar de Limpeza - 150 h",tabParametros[[#This Row],[Função]],1)),tabParametros[[#This Row],[Salário Base]]/150*1.5*30*0.12,
ISNUMBER(SEARCH("Auxiliar de Limpeza - 220 h",tabParametros[[#This Row],[Função]],1)),tabParametros[[#This Row],[Salário Base]]/220*2*30*0.12,
ISNUMBER(SEARCH("Auxiliar de Limpeza - 12 x 36",tabParametros[[#This Row],[Função]],1)),tabParametros[[#This Row],[Salário Base]]/220*2*30*0.12,
ISNUMBER(SEARCH("Auxiliar de Limpeza - 55 h",tabParametros[[#This Row],[Função]],1))=FALSE,0)</f>
        <v>52.241890909090905</v>
      </c>
      <c r="Q235" s="235">
        <f>VLOOKUP(tabParametros[[#Headers],[INSS]],tabImpostosNacionais[],2,0)</f>
        <v>0.2</v>
      </c>
      <c r="R235" s="235">
        <f>VLOOKUP(tabParametros[[#Headers],[SESI OU SESC]],tabImpostosNacionais[],2,0)</f>
        <v>1.4999999999999999E-2</v>
      </c>
      <c r="S235" s="235">
        <f>VLOOKUP(tabParametros[[#Headers],[SENAI OU SENAC]],tabImpostosNacionais[],2,0)</f>
        <v>0.01</v>
      </c>
      <c r="T235" s="235">
        <f>VLOOKUP(tabParametros[[#Headers],[INCRA]],tabImpostosNacionais[],2,0)</f>
        <v>2E-3</v>
      </c>
      <c r="U235" s="235">
        <f>VLOOKUP(tabParametros[[#Headers],[Salário Educação]],tabImpostosNacionais[],2,0)</f>
        <v>2.5000000000000001E-2</v>
      </c>
      <c r="V235" s="235">
        <f>VLOOKUP(tabParametros[[#Headers],[FGTS]],tabImpostosNacionais[],2,0)</f>
        <v>0.08</v>
      </c>
      <c r="W235" s="235">
        <f>VLOOKUP(tabParametros[[#Headers],[RAT Ajustado]],tabImpostosNacionais[],2,0)</f>
        <v>0.04</v>
      </c>
      <c r="X235" s="235">
        <f>VLOOKUP(tabParametros[[#Headers],[SEBRAE]],tabImpostosNacionais[],2,0)</f>
        <v>6.0000000000000001E-3</v>
      </c>
      <c r="Y235" s="235">
        <f t="shared" si="33"/>
        <v>8.3333333333333329E-2</v>
      </c>
      <c r="Z235" s="251">
        <f t="shared" si="34"/>
        <v>0.1111111111111111</v>
      </c>
      <c r="AA235" s="234">
        <f>VLOOKUP(tabParametros[[#This Row],[Comarca]],tabComarca[],5,0)</f>
        <v>6.4</v>
      </c>
      <c r="AB235" s="234">
        <f>IFERROR(VLOOKUP(tabParametros[[#This Row],[CCT DA CATEGORIA]],tabSindicatos[],6,0),0)</f>
        <v>29.15</v>
      </c>
      <c r="AC235" s="234">
        <f>IFERROR(VLOOKUP(tabParametros[[#This Row],[CCT DA CATEGORIA]],tabSindicatos[],7,0),0)</f>
        <v>0</v>
      </c>
      <c r="AD235" s="234" cm="1">
        <f t="array" ref="AD235">_xlfn.LET(
_xlpm.COMARCA, TRIM(UPPER(SUBSTITUTE(SUBSTITUTE(SUBSTITUTE(SUBSTITUTE(SUBSTITUTE(SUBSTITUTE(SUBSTITUTE(SUBSTITUTE(SUBSTITUTE(SUBSTITUTE(SUBSTITUTE(SUBSTITUTE(SUBSTITUTE(SUBSTITUTE(SUBSTITUTE(SUBSTITUTE(SUBSTITUTE(SUBSTITUTE(SUBSTITUTE(SUBSTITUTE(SUBSTITUTE(SUBSTITUTE(SUBSTITUTE(SUBSTITUTE(SUBSTITUTE(SUBSTITUTE(tabParametros[[#This Row],[Comarca]],"á","a"),"ã","a"),"â","a"),"é","e"),"ê","e"),"í","i"),"ó","o"),"õ","o"),"ô","o"),"ú","u"),"ç","c"),"Á","a"),"Ã","a"),"Â","a"),"É","e"),"Ê","e"),"Í","i"),"Ó","o"),"Õ","o"),"Ô","o"),"Ú","u"),"Ç","c"),"/MG","")," e ",", ")," ",""),".",""))),
_xlpm.MATRIZ_COMARCA, TRIM(UPPER(SUBSTITUTE(SUBSTITUTE(SUBSTITUTE(SUBSTITUTE(SUBSTITUTE(SUBSTITUTE(SUBSTITUTE(SUBSTITUTE(SUBSTITUTE(SUBSTITUTE(SUBSTITUTE(SUBSTITUTE(SUBSTITUTE(SUBSTITUTE(SUBSTITUTE(SUBSTITUTE(SUBSTITUTE(SUBSTITUTE(SUBSTITUTE(SUBSTITUTE(SUBSTITUTE(SUBSTITUTE(SUBSTITUTE(SUBSTITUTE(SUBSTITUTE(SUBSTITUTE(tabSindicatos[COMARCAS PAF],"á","a"),"ã","a"),"â","a"),"é","e"),"ê","e"),"í","i"),"ó","o"),"õ","o"),"ô","o"),"ú","u"),"ç","c"),"Á","a"),"Ã","a"),"Â","a"),"É","e"),"Ê","e"),"Í","i"),"Ó","o"),"Õ","o"),"Ô","o"),"Ú","u"),"Ç","c"),"/MG","")," e ",", ")," ",""),".",""))),
IFERROR(IF(_xlfn.XLOOKUP(tabParametros[[#This Row],[CCT DA CATEGORIA]],tabSindicatos[SINDICATOS],tabSindicatos[COMARCAS PAF])="",
VLOOKUP(tabParametros[[#This Row],[CCT DA CATEGORIA]],tabSindicatos[],8,0),
IF(ISNUMBER(SEARCH(TRIM(_xlpm.COMARCA),_xlfn.XLOOKUP(tabParametros[[#This Row],[CCT DA CATEGORIA]],tabSindicatos[SINDICATOS],_xlpm.MATRIZ_COMARCA),1)),VLOOKUP(tabParametros[[#This Row],[CCT DA CATEGORIA]],tabSindicatos[],8,0),0)
),0)
)</f>
        <v>51.86</v>
      </c>
      <c r="AE235" s="234">
        <f>IFERROR(VLOOKUP(tabParametros[[#This Row],[CCT DA CATEGORIA]],tabSindicatos[],9,0),0)</f>
        <v>0</v>
      </c>
      <c r="AF235" s="234">
        <f>IFERROR(VLOOKUP(tabParametros[[#This Row],[CCT DA CATEGORIA]],tabSindicatos[],10,0),0)</f>
        <v>0</v>
      </c>
      <c r="AG235" s="236">
        <f>VLOOKUP(tabParametros[[#Headers],[Seguro de Vida]],tabOutrosCustos[],3,0)</f>
        <v>3.36</v>
      </c>
      <c r="AH235" s="236">
        <f>IF(ISNUMBER(SEARCH("MOTORISTA",tabParametros[[#This Row],[Função]],1)),VLOOKUP("MOTORISTAS",tabDiarias[],2,0),IF(tabParametros[[#This Row],[Comarca]]="Belo Horizonte",VLOOKUP("LIMPEZA",tabDiarias[],2,0),0))</f>
        <v>0</v>
      </c>
      <c r="AI235" s="235">
        <f t="shared" si="35"/>
        <v>7.011766975308642E-3</v>
      </c>
      <c r="AJ235" s="237">
        <f>tabParametros[[#This Row],[FGTS]]*tabParametros[[#This Row],[Aviso Prévio Indenizado (API) e Reflexo do Aviso Prévio Indenizado]]</f>
        <v>5.609413580246914E-4</v>
      </c>
      <c r="AK235" s="237">
        <f>tabParametros[[#This Row],[FGTS]]*tabParametros[[#This Row],[Aviso Prévio Indenizado (API) e Reflexo do Aviso Prévio Indenizado]]*40%</f>
        <v>2.2437654320987658E-4</v>
      </c>
      <c r="AL235" s="235">
        <f t="shared" si="36"/>
        <v>3.5000000000000005E-3</v>
      </c>
      <c r="AM235" s="235">
        <f>tabParametros[[#This Row],[Aviso Prévio Trabalhado - APT]]*SUM(tabParametros[[#This Row],[INSS]:[SEBRAE]])</f>
        <v>1.3230000000000004E-3</v>
      </c>
      <c r="AN235" s="235">
        <f t="shared" si="37"/>
        <v>3.0577777777777773E-2</v>
      </c>
      <c r="AO235" s="235">
        <f t="shared" si="38"/>
        <v>8.3333333333333339E-4</v>
      </c>
      <c r="AP235" s="235">
        <f t="shared" si="39"/>
        <v>8.4444444444444437E-3</v>
      </c>
      <c r="AQ235" s="235">
        <f t="shared" si="40"/>
        <v>2.0277777777777777E-3</v>
      </c>
      <c r="AR235" s="235">
        <f t="shared" si="41"/>
        <v>1.7083333333333333E-4</v>
      </c>
      <c r="AS235" s="235">
        <f t="shared" si="42"/>
        <v>2.0833333333333335E-4</v>
      </c>
      <c r="AT235" s="235">
        <f t="shared" si="43"/>
        <v>1.2962962962962963E-3</v>
      </c>
      <c r="AU235" s="237">
        <f>SUM(tabParametros[[#This Row],[Ausência por Doença]:[Férias, Adicional de Férias e 13º  com empregada em gozo de Licença Maternidade]])*SUM(tabParametros[[#This Row],[INSS]:[SEBRAE]])</f>
        <v>4.5918250000000008E-3</v>
      </c>
      <c r="AV235" s="234">
        <f>IF(tabParametros[[#This Row],[Função]]="Porteiro - 220 h",SUM(tabParametros[[#This Row],[Salário Base]:[Adicional de Acúmulo de função]])/220*20*1.5,IF(ISNUMBER(SEARCH("12 x 36",tabParametros[[#This Row],[Função]],1)),SUM(tabParametros[[#This Row],[Salário Base]:[Adicional de Acúmulo de função]])/210*15.5*1.5,0))</f>
        <v>0</v>
      </c>
      <c r="AW235" s="234">
        <f>IF(tabParametros[[#This Row],[Vagas contratadas]]&gt;0,(SUM(tabParametros[[#This Row],[Salário Base]:[Adicional de Acúmulo de função]])*30%+SUM(tabParametros[[#This Row],[Vale - Alimentação]:[Seguro de Vida]]))/tabParametros[[#This Row],[Vagas contratadas]]*tabParametros[[#This Row],[Vagas suspensas]],0)</f>
        <v>0</v>
      </c>
      <c r="AX235" s="234">
        <f>SUMIF(tabUniformes[Cargo],tabParametros[[#This Row],[Função]],tabUniformes[Valor unit. Mensal])</f>
        <v>100.80916666666666</v>
      </c>
      <c r="AY235" s="281">
        <f>IF(ISNUMBER(SEARCH("AUXILIAR DE LIMPEZA - 75 H",tabParametros[[#This Row],[Função]],1)),
SUMIF(tabLimpGeral[TIPO],"Material",tabLimpGeral[VALOR UNITÁRIO P/ HORA (R$)])*75,
IF(ISNUMBER(SEARCH("AUXILIAR DE LIMPEZA - 110 H",tabParametros[[#This Row],[Função]],1)),
SUMIF(tabLimpGeral[TIPO],"Material",tabLimpGeral[VALOR UNITÁRIO P/ HORA (R$)])*110,
IF(ISNUMBER(SEARCH("AUXILIAR DE LIMPEZA - 150 H",tabParametros[[#This Row],[Função]],1)),
SUMIF(tabLimpGeral[TIPO],"Material",tabLimpGeral[VALOR UNITÁRIO P/ HORA (R$)])*150,
IF(ISNUMBER(SEARCH("AUXILIAR DE LIMPEZA - 220 H",tabParametros[[#This Row],[Função]],1)),
SUMIF(tabLimpGeral[TIPO],"Material",tabLimpGeral[VALOR UNITÁRIO P/ HORA (R$)])*220,
IF(ISNUMBER(SEARCH("AUXILIAR DE LIMPEZA - 12 x 36",tabParametros[[#This Row],[Função]],1)),
SUMIF(tabLimpGeral[TIPO],"Material",tabLimpGeral[VALOR UNITÁRIO P/ HORA (R$)])*220,
IF(ISNUMBER(SEARCH("Limpador de vidros - 220 h",tabParametros[[#This Row],[Função]],1)),
SUMIF(tabVidros[TIPO],"Material",tabVidros[VALOR UNITÁRIO P/ POSTO (R$)]),
0))))))</f>
        <v>35.518212958583888</v>
      </c>
      <c r="AZ235" s="281">
        <f>IF(ISNUMBER(SEARCH("AUXILIAR DE LIMPEZA - 75 H",tabParametros[[#This Row],[Função]],1)),
SUMIF(tabLimpGeral[TIPO],"Equipamento",tabLimpGeral[VALOR UNITÁRIO P/ HORA (R$)])*75,
IF(ISNUMBER(SEARCH("AUXILIAR DE LIMPEZA - 110 H",tabParametros[[#This Row],[Função]],1)),
SUMIF(tabLimpGeral[TIPO],"Equipamento",tabLimpGeral[VALOR UNITÁRIO P/ HORA (R$)])*110,
IF(ISNUMBER(SEARCH("AUXILIAR DE LIMPEZA - 150 H",tabParametros[[#This Row],[Função]],1)),
SUMIF(tabLimpGeral[TIPO],"Equipamento",tabLimpGeral[VALOR UNITÁRIO P/ HORA (R$)])*150,
IF(ISNUMBER(SEARCH("AUXILIAR DE LIMPEZA - 220 H",tabParametros[[#This Row],[Função]],1)),
SUMIF(tabLimpGeral[TIPO],"Equipamento",tabLimpGeral[VALOR UNITÁRIO P/ HORA (R$)])*220,
IF(ISNUMBER(SEARCH("AUXILIAR DE LIMPEZA - 12 x 36",tabParametros[[#This Row],[Função]],1)),
SUMIF(tabLimpGeral[TIPO],"Equipamento",tabLimpGeral[VALOR UNITÁRIO P/ HORA (R$)])*220,
IF(ISNUMBER(SEARCH("Limpador de vidros - 220 h",tabParametros[[#This Row],[Função]],1)),
SUMIF(tabVidros[TIPO],"Equipamento",tabVidros[VALOR UNITÁRIO P/ POSTO (R$)]),
0))))))</f>
        <v>64.529393914825576</v>
      </c>
      <c r="BA235" s="281">
        <f>IF(ISNUMBER(SEARCH("AUXILIAR DE LIMPEZA - 75 H",tabParametros[[#This Row],[Função]],1)),
SUMIF(tabLimpGeral[TIPO],"Produto",tabLimpGeral[VALOR UNITÁRIO P/ HORA (R$)])*75,
IF(ISNUMBER(SEARCH("AUXILIAR DE LIMPEZA - 110 H",tabParametros[[#This Row],[Função]],1)),
SUMIF(tabLimpGeral[TIPO],"Produto",tabLimpGeral[VALOR UNITÁRIO P/ HORA (R$)])*110,
IF(ISNUMBER(SEARCH("AUXILIAR DE LIMPEZA - 150 H",tabParametros[[#This Row],[Função]],1)),
SUMIF(tabLimpGeral[TIPO],"Produto",tabLimpGeral[VALOR UNITÁRIO P/ HORA (R$)])*150,
IF(ISNUMBER(SEARCH("AUXILIAR DE LIMPEZA - 220 H",tabParametros[[#This Row],[Função]],1)),
SUMIF(tabLimpGeral[TIPO],"Produto",tabLimpGeral[VALOR UNITÁRIO P/ HORA (R$)])*220,
IF(ISNUMBER(SEARCH("AUXILIAR DE LIMPEZA - 12 x 36",tabParametros[[#This Row],[Função]],1)),
SUMIF(tabLimpGeral[TIPO],"Produto",tabLimpGeral[VALOR UNITÁRIO P/ HORA (R$)])*220,
IF(ISNUMBER(SEARCH("Limpador de vidros - 220 h",tabParametros[[#This Row],[Função]],1)),
SUMIF(tabVidros[TIPO],"Produto",tabVidros[VALOR UNITÁRIO P/ POSTO (R$)]),
0))))))</f>
        <v>690.27153277931654</v>
      </c>
      <c r="BB235" s="281">
        <v>0</v>
      </c>
      <c r="BC235" s="236">
        <f>VLOOKUP(tabParametros[[#Headers],[Custos Indiretos]],tabOutrosCustos[],3,0)</f>
        <v>189.64880140242613</v>
      </c>
      <c r="BD235" s="236">
        <f>VLOOKUP(tabParametros[[#Headers],[Lucro]],tabOutrosCustos[],3,0)</f>
        <v>159.30499317803796</v>
      </c>
      <c r="BE235" s="235">
        <f>VLOOKUP(tabParametros[[#Headers],[COFINS]],tabImpostosNacionais[],2,0)</f>
        <v>7.5999999999999998E-2</v>
      </c>
      <c r="BF235" s="235">
        <f>VLOOKUP(tabParametros[[#Headers],[PIS]],tabImpostosNacionais[],2,0)</f>
        <v>1.6500000000000001E-2</v>
      </c>
      <c r="BG235" s="235">
        <f>VLOOKUP(tabParametros[[#This Row],[Comarca]],tabComarca[],4,0)</f>
        <v>0.03</v>
      </c>
      <c r="BH235" s="238">
        <f>IFERROR(VLOOKUP(tabParametros[[#This Row],[CCT DA CATEGORIA]],tabSindicatos[],11,0),"")</f>
        <v>45658</v>
      </c>
      <c r="BI235" s="289" t="str">
        <f>IFERROR(VLOOKUP(tabParametros[[#This Row],[CCT DA CATEGORIA]],tabSindicatos[],12,0),"")</f>
        <v>-</v>
      </c>
      <c r="BJ235" s="293" t="str">
        <f>IFERROR(VLOOKUP(tabParametros[[#This Row],[CCT DA CATEGORIA]],tabSindicatos[],13,0),"")</f>
        <v>-</v>
      </c>
    </row>
    <row r="236" spans="1:62" x14ac:dyDescent="0.25">
      <c r="A236" s="233" t="s">
        <v>1571</v>
      </c>
      <c r="B236" s="198" t="s">
        <v>215</v>
      </c>
      <c r="C236" s="198" t="s">
        <v>1247</v>
      </c>
      <c r="D236" s="198" t="str">
        <f>VLOOKUP(tabParametros[[#This Row],[Código do Posto]],tabPostos[],4,0)</f>
        <v>Regiao de Juiz de Fora</v>
      </c>
      <c r="E236" s="289" t="str">
        <f>VLOOKUP(tabParametros[[#This Row],[Código do Posto]],tabPostos[],5,0)</f>
        <v>Limpeza</v>
      </c>
      <c r="F236" s="289" t="str">
        <f>VLOOKUP(tabParametros[[#This Row],[Código do Posto]],tabPostos[],6,0)</f>
        <v>PGJ</v>
      </c>
      <c r="G236" s="289">
        <f>VLOOKUP(tabParametros[[#This Row],[Código do Posto]],tabPostos[],7,0)</f>
        <v>1</v>
      </c>
      <c r="H236" s="289">
        <f>VLOOKUP(tabParametros[[#This Row],[Código do Posto]],tabPostos[],8,0)</f>
        <v>0</v>
      </c>
      <c r="I236" s="234">
        <f>VLOOKUP(tabParametros[[#This Row],[Código do Posto]],tabPostos[],9,0)</f>
        <v>544.17999999999995</v>
      </c>
      <c r="J236" s="234">
        <f>IF(ISNUMBER(SEARCH("Eletricista",tabParametros[[#This Row],[Função]],1)),0.3*tabParametros[[#This Row],[Salário Base]],0)</f>
        <v>0</v>
      </c>
      <c r="K236" s="234">
        <f>IF(OR(ISNUMBER(SEARCH("Bombeiro Hidraulico",tabParametros[[#This Row],[Função]],1)),ISNUMBER(SEARCH("Jardineiro",tabParametros[[#This Row],[Função]],1)),ISNUMBER(SEARCH("Lavador de Veiculos",tabParametros[[#This Row],[Função]],1)),ISNUMBER(SEARCH("Marceneiro",tabParametros[[#This Row],[Função]],1)),ISNUMBER(SEARCH("Pintor",tabParametros[[#This Row],[Função]],1))),0.2*'BASE GERAL'!$R$4,0)</f>
        <v>0</v>
      </c>
      <c r="L236" s="234">
        <f>IF(AND(ISNUMBER(SEARCH("Noturno",tabParametros[[#This Row],[Função]],1)),tabParametros[[#This Row],[Comarca]]&lt;&gt;"Juiz de Fora"),tabParametros[[#This Row],[Salário Base]]/210*0.39*7*15.5,IF(ISNUMBER(SEARCH("Noturno",tabParametros[[#This Row],[Função]],1)),tabParametros[[#This Row],[Salário Base]]/210*0.2*8*15.5,0))</f>
        <v>0</v>
      </c>
      <c r="M236" s="234">
        <f>IF(ISNUMBER(SEARCH("Motorista II",tabParametros[[#This Row],[Função]],1)),0.25*tabParametros[[#This Row],[Salário Base]],0)</f>
        <v>0</v>
      </c>
      <c r="N236" s="250">
        <v>0</v>
      </c>
      <c r="O236" s="234">
        <f>IF(ISNUMBER(SEARCH("TECNOLOGIA DA INFORMACAO",tabParametros[[#This Row],[Função]],1)),0.0201*tabParametros[[#This Row],[Salário Base]],0)</f>
        <v>0</v>
      </c>
      <c r="P236" s="250" cm="1">
        <f t="array" ref="P236">_xlfn.IFS(
ISNUMBER(SEARCH("Auxiliar de Limpeza - 75 h",tabParametros[[#This Row],[Função]],1)),tabParametros[[#This Row],[Salário Base]]/75*0.75*30*0.12,
ISNUMBER(SEARCH("Auxiliar de Limpeza - 110 h",tabParametros[[#This Row],[Função]],1)),tabParametros[[#This Row],[Salário Base]]/110*1*30*0.12,
ISNUMBER(SEARCH("Auxiliar de Limpeza - 150 h",tabParametros[[#This Row],[Função]],1)),tabParametros[[#This Row],[Salário Base]]/150*1.5*30*0.12,
ISNUMBER(SEARCH("Auxiliar de Limpeza - 220 h",tabParametros[[#This Row],[Função]],1)),tabParametros[[#This Row],[Salário Base]]/220*2*30*0.12,
ISNUMBER(SEARCH("Auxiliar de Limpeza - 12 x 36",tabParametros[[#This Row],[Função]],1)),tabParametros[[#This Row],[Salário Base]]/220*2*30*0.12,
ISNUMBER(SEARCH("Auxiliar de Limpeza - 55 h",tabParametros[[#This Row],[Função]],1))=FALSE,0)</f>
        <v>19.590479999999999</v>
      </c>
      <c r="Q236" s="235">
        <f>VLOOKUP(tabParametros[[#Headers],[INSS]],tabImpostosNacionais[],2,0)</f>
        <v>0.2</v>
      </c>
      <c r="R236" s="235">
        <f>VLOOKUP(tabParametros[[#Headers],[SESI OU SESC]],tabImpostosNacionais[],2,0)</f>
        <v>1.4999999999999999E-2</v>
      </c>
      <c r="S236" s="235">
        <f>VLOOKUP(tabParametros[[#Headers],[SENAI OU SENAC]],tabImpostosNacionais[],2,0)</f>
        <v>0.01</v>
      </c>
      <c r="T236" s="235">
        <f>VLOOKUP(tabParametros[[#Headers],[INCRA]],tabImpostosNacionais[],2,0)</f>
        <v>2E-3</v>
      </c>
      <c r="U236" s="235">
        <f>VLOOKUP(tabParametros[[#Headers],[Salário Educação]],tabImpostosNacionais[],2,0)</f>
        <v>2.5000000000000001E-2</v>
      </c>
      <c r="V236" s="235">
        <f>VLOOKUP(tabParametros[[#Headers],[FGTS]],tabImpostosNacionais[],2,0)</f>
        <v>0.08</v>
      </c>
      <c r="W236" s="235">
        <f>VLOOKUP(tabParametros[[#Headers],[RAT Ajustado]],tabImpostosNacionais[],2,0)</f>
        <v>0.04</v>
      </c>
      <c r="X236" s="235">
        <f>VLOOKUP(tabParametros[[#Headers],[SEBRAE]],tabImpostosNacionais[],2,0)</f>
        <v>6.0000000000000001E-3</v>
      </c>
      <c r="Y236" s="235">
        <f t="shared" si="33"/>
        <v>8.3333333333333329E-2</v>
      </c>
      <c r="Z236" s="251">
        <f t="shared" si="34"/>
        <v>0.1111111111111111</v>
      </c>
      <c r="AA236" s="234">
        <f>VLOOKUP(tabParametros[[#This Row],[Comarca]],tabComarca[],5,0)</f>
        <v>6.4</v>
      </c>
      <c r="AB236" s="234">
        <f>IFERROR(VLOOKUP(tabParametros[[#This Row],[CCT DA CATEGORIA]],tabSindicatos[],6,0),0)</f>
        <v>29.15</v>
      </c>
      <c r="AC236" s="234">
        <f>IFERROR(VLOOKUP(tabParametros[[#This Row],[CCT DA CATEGORIA]],tabSindicatos[],7,0),0)</f>
        <v>0</v>
      </c>
      <c r="AD236" s="234" cm="1">
        <f t="array" ref="AD236">_xlfn.LET(
_xlpm.COMARCA, TRIM(UPPER(SUBSTITUTE(SUBSTITUTE(SUBSTITUTE(SUBSTITUTE(SUBSTITUTE(SUBSTITUTE(SUBSTITUTE(SUBSTITUTE(SUBSTITUTE(SUBSTITUTE(SUBSTITUTE(SUBSTITUTE(SUBSTITUTE(SUBSTITUTE(SUBSTITUTE(SUBSTITUTE(SUBSTITUTE(SUBSTITUTE(SUBSTITUTE(SUBSTITUTE(SUBSTITUTE(SUBSTITUTE(SUBSTITUTE(SUBSTITUTE(SUBSTITUTE(SUBSTITUTE(tabParametros[[#This Row],[Comarca]],"á","a"),"ã","a"),"â","a"),"é","e"),"ê","e"),"í","i"),"ó","o"),"õ","o"),"ô","o"),"ú","u"),"ç","c"),"Á","a"),"Ã","a"),"Â","a"),"É","e"),"Ê","e"),"Í","i"),"Ó","o"),"Õ","o"),"Ô","o"),"Ú","u"),"Ç","c"),"/MG","")," e ",", ")," ",""),".",""))),
_xlpm.MATRIZ_COMARCA, TRIM(UPPER(SUBSTITUTE(SUBSTITUTE(SUBSTITUTE(SUBSTITUTE(SUBSTITUTE(SUBSTITUTE(SUBSTITUTE(SUBSTITUTE(SUBSTITUTE(SUBSTITUTE(SUBSTITUTE(SUBSTITUTE(SUBSTITUTE(SUBSTITUTE(SUBSTITUTE(SUBSTITUTE(SUBSTITUTE(SUBSTITUTE(SUBSTITUTE(SUBSTITUTE(SUBSTITUTE(SUBSTITUTE(SUBSTITUTE(SUBSTITUTE(SUBSTITUTE(SUBSTITUTE(tabSindicatos[COMARCAS PAF],"á","a"),"ã","a"),"â","a"),"é","e"),"ê","e"),"í","i"),"ó","o"),"õ","o"),"ô","o"),"ú","u"),"ç","c"),"Á","a"),"Ã","a"),"Â","a"),"É","e"),"Ê","e"),"Í","i"),"Ó","o"),"Õ","o"),"Ô","o"),"Ú","u"),"Ç","c"),"/MG","")," e ",", ")," ",""),".",""))),
IFERROR(IF(_xlfn.XLOOKUP(tabParametros[[#This Row],[CCT DA CATEGORIA]],tabSindicatos[SINDICATOS],tabSindicatos[COMARCAS PAF])="",
VLOOKUP(tabParametros[[#This Row],[CCT DA CATEGORIA]],tabSindicatos[],8,0),
IF(ISNUMBER(SEARCH(TRIM(_xlpm.COMARCA),_xlfn.XLOOKUP(tabParametros[[#This Row],[CCT DA CATEGORIA]],tabSindicatos[SINDICATOS],_xlpm.MATRIZ_COMARCA),1)),VLOOKUP(tabParametros[[#This Row],[CCT DA CATEGORIA]],tabSindicatos[],8,0),0)
),0)
)</f>
        <v>51.88</v>
      </c>
      <c r="AE236" s="234">
        <f>IFERROR(VLOOKUP(tabParametros[[#This Row],[CCT DA CATEGORIA]],tabSindicatos[],9,0),0)</f>
        <v>0</v>
      </c>
      <c r="AF236" s="234">
        <f>IFERROR(VLOOKUP(tabParametros[[#This Row],[CCT DA CATEGORIA]],tabSindicatos[],10,0),0)</f>
        <v>0</v>
      </c>
      <c r="AG236" s="236">
        <f>VLOOKUP(tabParametros[[#Headers],[Seguro de Vida]],tabOutrosCustos[],3,0)</f>
        <v>3.36</v>
      </c>
      <c r="AH236" s="236">
        <f>IF(ISNUMBER(SEARCH("MOTORISTA",tabParametros[[#This Row],[Função]],1)),VLOOKUP("MOTORISTAS",tabDiarias[],2,0),IF(tabParametros[[#This Row],[Comarca]]="Belo Horizonte",VLOOKUP("LIMPEZA",tabDiarias[],2,0),0))</f>
        <v>0</v>
      </c>
      <c r="AI236" s="235">
        <f t="shared" si="35"/>
        <v>7.011766975308642E-3</v>
      </c>
      <c r="AJ236" s="237">
        <f>tabParametros[[#This Row],[FGTS]]*tabParametros[[#This Row],[Aviso Prévio Indenizado (API) e Reflexo do Aviso Prévio Indenizado]]</f>
        <v>5.609413580246914E-4</v>
      </c>
      <c r="AK236" s="237">
        <f>tabParametros[[#This Row],[FGTS]]*tabParametros[[#This Row],[Aviso Prévio Indenizado (API) e Reflexo do Aviso Prévio Indenizado]]*40%</f>
        <v>2.2437654320987658E-4</v>
      </c>
      <c r="AL236" s="235">
        <f t="shared" si="36"/>
        <v>3.5000000000000005E-3</v>
      </c>
      <c r="AM236" s="235">
        <f>tabParametros[[#This Row],[Aviso Prévio Trabalhado - APT]]*SUM(tabParametros[[#This Row],[INSS]:[SEBRAE]])</f>
        <v>1.3230000000000004E-3</v>
      </c>
      <c r="AN236" s="235">
        <f t="shared" si="37"/>
        <v>3.0577777777777773E-2</v>
      </c>
      <c r="AO236" s="235">
        <f t="shared" si="38"/>
        <v>8.3333333333333339E-4</v>
      </c>
      <c r="AP236" s="235">
        <f t="shared" si="39"/>
        <v>8.4444444444444437E-3</v>
      </c>
      <c r="AQ236" s="235">
        <f t="shared" si="40"/>
        <v>2.0277777777777777E-3</v>
      </c>
      <c r="AR236" s="235">
        <f t="shared" si="41"/>
        <v>1.7083333333333333E-4</v>
      </c>
      <c r="AS236" s="235">
        <f t="shared" si="42"/>
        <v>2.0833333333333335E-4</v>
      </c>
      <c r="AT236" s="235">
        <f t="shared" si="43"/>
        <v>1.2962962962962963E-3</v>
      </c>
      <c r="AU236" s="237">
        <f>SUM(tabParametros[[#This Row],[Ausência por Doença]:[Férias, Adicional de Férias e 13º  com empregada em gozo de Licença Maternidade]])*SUM(tabParametros[[#This Row],[INSS]:[SEBRAE]])</f>
        <v>4.5918250000000008E-3</v>
      </c>
      <c r="AV236" s="234">
        <f>IF(tabParametros[[#This Row],[Função]]="Porteiro - 220 h",SUM(tabParametros[[#This Row],[Salário Base]:[Adicional de Acúmulo de função]])/220*20*1.5,IF(ISNUMBER(SEARCH("12 x 36",tabParametros[[#This Row],[Função]],1)),SUM(tabParametros[[#This Row],[Salário Base]:[Adicional de Acúmulo de função]])/210*15.5*1.5,0))</f>
        <v>0</v>
      </c>
      <c r="AW236" s="234">
        <f>IF(tabParametros[[#This Row],[Vagas contratadas]]&gt;0,(SUM(tabParametros[[#This Row],[Salário Base]:[Adicional de Acúmulo de função]])*30%+SUM(tabParametros[[#This Row],[Vale - Alimentação]:[Seguro de Vida]]))/tabParametros[[#This Row],[Vagas contratadas]]*tabParametros[[#This Row],[Vagas suspensas]],0)</f>
        <v>0</v>
      </c>
      <c r="AX236" s="234">
        <f>SUMIF(tabUniformes[Cargo],tabParametros[[#This Row],[Função]],tabUniformes[Valor unit. Mensal])</f>
        <v>62.806666666666665</v>
      </c>
      <c r="AY236" s="281">
        <f>IF(ISNUMBER(SEARCH("AUXILIAR DE LIMPEZA - 75 H",tabParametros[[#This Row],[Função]],1)),
SUMIF(tabLimpGeral[TIPO],"Material",tabLimpGeral[VALOR UNITÁRIO P/ HORA (R$)])*75,
IF(ISNUMBER(SEARCH("AUXILIAR DE LIMPEZA - 110 H",tabParametros[[#This Row],[Função]],1)),
SUMIF(tabLimpGeral[TIPO],"Material",tabLimpGeral[VALOR UNITÁRIO P/ HORA (R$)])*110,
IF(ISNUMBER(SEARCH("AUXILIAR DE LIMPEZA - 150 H",tabParametros[[#This Row],[Função]],1)),
SUMIF(tabLimpGeral[TIPO],"Material",tabLimpGeral[VALOR UNITÁRIO P/ HORA (R$)])*150,
IF(ISNUMBER(SEARCH("AUXILIAR DE LIMPEZA - 220 H",tabParametros[[#This Row],[Função]],1)),
SUMIF(tabLimpGeral[TIPO],"Material",tabLimpGeral[VALOR UNITÁRIO P/ HORA (R$)])*220,
IF(ISNUMBER(SEARCH("AUXILIAR DE LIMPEZA - 12 x 36",tabParametros[[#This Row],[Função]],1)),
SUMIF(tabLimpGeral[TIPO],"Material",tabLimpGeral[VALOR UNITÁRIO P/ HORA (R$)])*220,
IF(ISNUMBER(SEARCH("Limpador de vidros - 220 h",tabParametros[[#This Row],[Função]],1)),
SUMIF(tabVidros[TIPO],"Material",tabVidros[VALOR UNITÁRIO P/ POSTO (R$)]),
0))))))</f>
        <v>12.108481690426325</v>
      </c>
      <c r="AZ236" s="281">
        <f>IF(ISNUMBER(SEARCH("AUXILIAR DE LIMPEZA - 75 H",tabParametros[[#This Row],[Função]],1)),
SUMIF(tabLimpGeral[TIPO],"Equipamento",tabLimpGeral[VALOR UNITÁRIO P/ HORA (R$)])*75,
IF(ISNUMBER(SEARCH("AUXILIAR DE LIMPEZA - 110 H",tabParametros[[#This Row],[Função]],1)),
SUMIF(tabLimpGeral[TIPO],"Equipamento",tabLimpGeral[VALOR UNITÁRIO P/ HORA (R$)])*110,
IF(ISNUMBER(SEARCH("AUXILIAR DE LIMPEZA - 150 H",tabParametros[[#This Row],[Função]],1)),
SUMIF(tabLimpGeral[TIPO],"Equipamento",tabLimpGeral[VALOR UNITÁRIO P/ HORA (R$)])*150,
IF(ISNUMBER(SEARCH("AUXILIAR DE LIMPEZA - 220 H",tabParametros[[#This Row],[Função]],1)),
SUMIF(tabLimpGeral[TIPO],"Equipamento",tabLimpGeral[VALOR UNITÁRIO P/ HORA (R$)])*220,
IF(ISNUMBER(SEARCH("AUXILIAR DE LIMPEZA - 12 x 36",tabParametros[[#This Row],[Função]],1)),
SUMIF(tabLimpGeral[TIPO],"Equipamento",tabLimpGeral[VALOR UNITÁRIO P/ HORA (R$)])*220,
IF(ISNUMBER(SEARCH("Limpador de vidros - 220 h",tabParametros[[#This Row],[Função]],1)),
SUMIF(tabVidros[TIPO],"Equipamento",tabVidros[VALOR UNITÁRIO P/ POSTO (R$)]),
0))))))</f>
        <v>21.998657016417809</v>
      </c>
      <c r="BA236" s="281">
        <f>IF(ISNUMBER(SEARCH("AUXILIAR DE LIMPEZA - 75 H",tabParametros[[#This Row],[Função]],1)),
SUMIF(tabLimpGeral[TIPO],"Produto",tabLimpGeral[VALOR UNITÁRIO P/ HORA (R$)])*75,
IF(ISNUMBER(SEARCH("AUXILIAR DE LIMPEZA - 110 H",tabParametros[[#This Row],[Função]],1)),
SUMIF(tabLimpGeral[TIPO],"Produto",tabLimpGeral[VALOR UNITÁRIO P/ HORA (R$)])*110,
IF(ISNUMBER(SEARCH("AUXILIAR DE LIMPEZA - 150 H",tabParametros[[#This Row],[Função]],1)),
SUMIF(tabLimpGeral[TIPO],"Produto",tabLimpGeral[VALOR UNITÁRIO P/ HORA (R$)])*150,
IF(ISNUMBER(SEARCH("AUXILIAR DE LIMPEZA - 220 H",tabParametros[[#This Row],[Função]],1)),
SUMIF(tabLimpGeral[TIPO],"Produto",tabLimpGeral[VALOR UNITÁRIO P/ HORA (R$)])*220,
IF(ISNUMBER(SEARCH("AUXILIAR DE LIMPEZA - 12 x 36",tabParametros[[#This Row],[Função]],1)),
SUMIF(tabLimpGeral[TIPO],"Produto",tabLimpGeral[VALOR UNITÁRIO P/ HORA (R$)])*220,
IF(ISNUMBER(SEARCH("Limpador de vidros - 220 h",tabParametros[[#This Row],[Função]],1)),
SUMIF(tabVidros[TIPO],"Produto",tabVidros[VALOR UNITÁRIO P/ POSTO (R$)]),
0))))))</f>
        <v>235.31984072022155</v>
      </c>
      <c r="BB236" s="281">
        <v>0</v>
      </c>
      <c r="BC236" s="236">
        <f>VLOOKUP(tabParametros[[#Headers],[Custos Indiretos]],tabOutrosCustos[],3,0)</f>
        <v>189.64880140242613</v>
      </c>
      <c r="BD236" s="236">
        <f>VLOOKUP(tabParametros[[#Headers],[Lucro]],tabOutrosCustos[],3,0)</f>
        <v>159.30499317803796</v>
      </c>
      <c r="BE236" s="235">
        <f>VLOOKUP(tabParametros[[#Headers],[COFINS]],tabImpostosNacionais[],2,0)</f>
        <v>7.5999999999999998E-2</v>
      </c>
      <c r="BF236" s="235">
        <f>VLOOKUP(tabParametros[[#Headers],[PIS]],tabImpostosNacionais[],2,0)</f>
        <v>1.6500000000000001E-2</v>
      </c>
      <c r="BG236" s="235">
        <f>VLOOKUP(tabParametros[[#This Row],[Comarca]],tabComarca[],4,0)</f>
        <v>0.03</v>
      </c>
      <c r="BH236" s="238">
        <f>IFERROR(VLOOKUP(tabParametros[[#This Row],[CCT DA CATEGORIA]],tabSindicatos[],11,0),"")</f>
        <v>45658</v>
      </c>
      <c r="BI236" s="289" t="str">
        <f>IFERROR(VLOOKUP(tabParametros[[#This Row],[CCT DA CATEGORIA]],tabSindicatos[],12,0),"")</f>
        <v>-</v>
      </c>
      <c r="BJ236" s="293" t="str">
        <f>IFERROR(VLOOKUP(tabParametros[[#This Row],[CCT DA CATEGORIA]],tabSindicatos[],13,0),"")</f>
        <v>-</v>
      </c>
    </row>
    <row r="237" spans="1:62" x14ac:dyDescent="0.25">
      <c r="A237" s="233" t="s">
        <v>1572</v>
      </c>
      <c r="B237" s="198" t="s">
        <v>216</v>
      </c>
      <c r="C237" s="198" t="s">
        <v>1244</v>
      </c>
      <c r="D237" s="198" t="str">
        <f>VLOOKUP(tabParametros[[#This Row],[Código do Posto]],tabPostos[],4,0)</f>
        <v>Regiao de Sao Lourenco</v>
      </c>
      <c r="E237" s="289" t="str">
        <f>VLOOKUP(tabParametros[[#This Row],[Código do Posto]],tabPostos[],5,0)</f>
        <v>Limpeza</v>
      </c>
      <c r="F237" s="289" t="str">
        <f>VLOOKUP(tabParametros[[#This Row],[Código do Posto]],tabPostos[],6,0)</f>
        <v>PGJ</v>
      </c>
      <c r="G237" s="289">
        <f>VLOOKUP(tabParametros[[#This Row],[Código do Posto]],tabPostos[],7,0)</f>
        <v>1</v>
      </c>
      <c r="H237" s="289">
        <f>VLOOKUP(tabParametros[[#This Row],[Código do Posto]],tabPostos[],8,0)</f>
        <v>0</v>
      </c>
      <c r="I237" s="234">
        <f>VLOOKUP(tabParametros[[#This Row],[Código do Posto]],tabPostos[],9,0)</f>
        <v>824.56</v>
      </c>
      <c r="J237" s="234">
        <f>IF(ISNUMBER(SEARCH("Eletricista",tabParametros[[#This Row],[Função]],1)),0.3*tabParametros[[#This Row],[Salário Base]],0)</f>
        <v>0</v>
      </c>
      <c r="K237" s="234">
        <f>IF(OR(ISNUMBER(SEARCH("Bombeiro Hidraulico",tabParametros[[#This Row],[Função]],1)),ISNUMBER(SEARCH("Jardineiro",tabParametros[[#This Row],[Função]],1)),ISNUMBER(SEARCH("Lavador de Veiculos",tabParametros[[#This Row],[Função]],1)),ISNUMBER(SEARCH("Marceneiro",tabParametros[[#This Row],[Função]],1)),ISNUMBER(SEARCH("Pintor",tabParametros[[#This Row],[Função]],1))),0.2*'BASE GERAL'!$R$4,0)</f>
        <v>0</v>
      </c>
      <c r="L237" s="234">
        <f>IF(AND(ISNUMBER(SEARCH("Noturno",tabParametros[[#This Row],[Função]],1)),tabParametros[[#This Row],[Comarca]]&lt;&gt;"Juiz de Fora"),tabParametros[[#This Row],[Salário Base]]/210*0.39*7*15.5,IF(ISNUMBER(SEARCH("Noturno",tabParametros[[#This Row],[Função]],1)),tabParametros[[#This Row],[Salário Base]]/210*0.2*8*15.5,0))</f>
        <v>0</v>
      </c>
      <c r="M237" s="234">
        <f>IF(ISNUMBER(SEARCH("Motorista II",tabParametros[[#This Row],[Função]],1)),0.25*tabParametros[[#This Row],[Salário Base]],0)</f>
        <v>0</v>
      </c>
      <c r="N237" s="250">
        <v>0</v>
      </c>
      <c r="O237" s="234">
        <f>IF(ISNUMBER(SEARCH("TECNOLOGIA DA INFORMACAO",tabParametros[[#This Row],[Função]],1)),0.0201*tabParametros[[#This Row],[Salário Base]],0)</f>
        <v>0</v>
      </c>
      <c r="P237" s="250" cm="1">
        <f t="array" ref="P237">_xlfn.IFS(
ISNUMBER(SEARCH("Auxiliar de Limpeza - 75 h",tabParametros[[#This Row],[Função]],1)),tabParametros[[#This Row],[Salário Base]]/75*0.75*30*0.12,
ISNUMBER(SEARCH("Auxiliar de Limpeza - 110 h",tabParametros[[#This Row],[Função]],1)),tabParametros[[#This Row],[Salário Base]]/110*1*30*0.12,
ISNUMBER(SEARCH("Auxiliar de Limpeza - 150 h",tabParametros[[#This Row],[Função]],1)),tabParametros[[#This Row],[Salário Base]]/150*1.5*30*0.12,
ISNUMBER(SEARCH("Auxiliar de Limpeza - 220 h",tabParametros[[#This Row],[Função]],1)),tabParametros[[#This Row],[Salário Base]]/220*2*30*0.12,
ISNUMBER(SEARCH("Auxiliar de Limpeza - 12 x 36",tabParametros[[#This Row],[Função]],1)),tabParametros[[#This Row],[Salário Base]]/220*2*30*0.12,
ISNUMBER(SEARCH("Auxiliar de Limpeza - 55 h",tabParametros[[#This Row],[Função]],1))=FALSE,0)</f>
        <v>26.985599999999998</v>
      </c>
      <c r="Q237" s="235">
        <f>VLOOKUP(tabParametros[[#Headers],[INSS]],tabImpostosNacionais[],2,0)</f>
        <v>0.2</v>
      </c>
      <c r="R237" s="235">
        <f>VLOOKUP(tabParametros[[#Headers],[SESI OU SESC]],tabImpostosNacionais[],2,0)</f>
        <v>1.4999999999999999E-2</v>
      </c>
      <c r="S237" s="235">
        <f>VLOOKUP(tabParametros[[#Headers],[SENAI OU SENAC]],tabImpostosNacionais[],2,0)</f>
        <v>0.01</v>
      </c>
      <c r="T237" s="235">
        <f>VLOOKUP(tabParametros[[#Headers],[INCRA]],tabImpostosNacionais[],2,0)</f>
        <v>2E-3</v>
      </c>
      <c r="U237" s="235">
        <f>VLOOKUP(tabParametros[[#Headers],[Salário Educação]],tabImpostosNacionais[],2,0)</f>
        <v>2.5000000000000001E-2</v>
      </c>
      <c r="V237" s="235">
        <f>VLOOKUP(tabParametros[[#Headers],[FGTS]],tabImpostosNacionais[],2,0)</f>
        <v>0.08</v>
      </c>
      <c r="W237" s="235">
        <f>VLOOKUP(tabParametros[[#Headers],[RAT Ajustado]],tabImpostosNacionais[],2,0)</f>
        <v>0.04</v>
      </c>
      <c r="X237" s="235">
        <f>VLOOKUP(tabParametros[[#Headers],[SEBRAE]],tabImpostosNacionais[],2,0)</f>
        <v>6.0000000000000001E-3</v>
      </c>
      <c r="Y237" s="235">
        <f t="shared" si="33"/>
        <v>8.3333333333333329E-2</v>
      </c>
      <c r="Z237" s="251">
        <f t="shared" si="34"/>
        <v>0.1111111111111111</v>
      </c>
      <c r="AA237" s="234">
        <f>VLOOKUP(tabParametros[[#This Row],[Comarca]],tabComarca[],5,0)</f>
        <v>6.4</v>
      </c>
      <c r="AB237" s="234">
        <f>IFERROR(VLOOKUP(tabParametros[[#This Row],[CCT DA CATEGORIA]],tabSindicatos[],6,0),0)</f>
        <v>29.15</v>
      </c>
      <c r="AC237" s="234">
        <f>IFERROR(VLOOKUP(tabParametros[[#This Row],[CCT DA CATEGORIA]],tabSindicatos[],7,0),0)</f>
        <v>0</v>
      </c>
      <c r="AD237" s="234" cm="1">
        <f t="array" ref="AD237">_xlfn.LET(
_xlpm.COMARCA, TRIM(UPPER(SUBSTITUTE(SUBSTITUTE(SUBSTITUTE(SUBSTITUTE(SUBSTITUTE(SUBSTITUTE(SUBSTITUTE(SUBSTITUTE(SUBSTITUTE(SUBSTITUTE(SUBSTITUTE(SUBSTITUTE(SUBSTITUTE(SUBSTITUTE(SUBSTITUTE(SUBSTITUTE(SUBSTITUTE(SUBSTITUTE(SUBSTITUTE(SUBSTITUTE(SUBSTITUTE(SUBSTITUTE(SUBSTITUTE(SUBSTITUTE(SUBSTITUTE(SUBSTITUTE(tabParametros[[#This Row],[Comarca]],"á","a"),"ã","a"),"â","a"),"é","e"),"ê","e"),"í","i"),"ó","o"),"õ","o"),"ô","o"),"ú","u"),"ç","c"),"Á","a"),"Ã","a"),"Â","a"),"É","e"),"Ê","e"),"Í","i"),"Ó","o"),"Õ","o"),"Ô","o"),"Ú","u"),"Ç","c"),"/MG","")," e ",", ")," ",""),".",""))),
_xlpm.MATRIZ_COMARCA, TRIM(UPPER(SUBSTITUTE(SUBSTITUTE(SUBSTITUTE(SUBSTITUTE(SUBSTITUTE(SUBSTITUTE(SUBSTITUTE(SUBSTITUTE(SUBSTITUTE(SUBSTITUTE(SUBSTITUTE(SUBSTITUTE(SUBSTITUTE(SUBSTITUTE(SUBSTITUTE(SUBSTITUTE(SUBSTITUTE(SUBSTITUTE(SUBSTITUTE(SUBSTITUTE(SUBSTITUTE(SUBSTITUTE(SUBSTITUTE(SUBSTITUTE(SUBSTITUTE(SUBSTITUTE(tabSindicatos[COMARCAS PAF],"á","a"),"ã","a"),"â","a"),"é","e"),"ê","e"),"í","i"),"ó","o"),"õ","o"),"ô","o"),"ú","u"),"ç","c"),"Á","a"),"Ã","a"),"Â","a"),"É","e"),"Ê","e"),"Í","i"),"Ó","o"),"Õ","o"),"Ô","o"),"Ú","u"),"Ç","c"),"/MG","")," e ",", ")," ",""),".",""))),
IFERROR(IF(_xlfn.XLOOKUP(tabParametros[[#This Row],[CCT DA CATEGORIA]],tabSindicatos[SINDICATOS],tabSindicatos[COMARCAS PAF])="",
VLOOKUP(tabParametros[[#This Row],[CCT DA CATEGORIA]],tabSindicatos[],8,0),
IF(ISNUMBER(SEARCH(TRIM(_xlpm.COMARCA),_xlfn.XLOOKUP(tabParametros[[#This Row],[CCT DA CATEGORIA]],tabSindicatos[SINDICATOS],_xlpm.MATRIZ_COMARCA),1)),VLOOKUP(tabParametros[[#This Row],[CCT DA CATEGORIA]],tabSindicatos[],8,0),0)
),0)
)</f>
        <v>53.27</v>
      </c>
      <c r="AE237" s="234">
        <f>IFERROR(VLOOKUP(tabParametros[[#This Row],[CCT DA CATEGORIA]],tabSindicatos[],9,0),0)</f>
        <v>0</v>
      </c>
      <c r="AF237" s="234">
        <f>IFERROR(VLOOKUP(tabParametros[[#This Row],[CCT DA CATEGORIA]],tabSindicatos[],10,0),0)</f>
        <v>0</v>
      </c>
      <c r="AG237" s="236">
        <f>VLOOKUP(tabParametros[[#Headers],[Seguro de Vida]],tabOutrosCustos[],3,0)</f>
        <v>3.36</v>
      </c>
      <c r="AH237" s="236">
        <f>IF(ISNUMBER(SEARCH("MOTORISTA",tabParametros[[#This Row],[Função]],1)),VLOOKUP("MOTORISTAS",tabDiarias[],2,0),IF(tabParametros[[#This Row],[Comarca]]="Belo Horizonte",VLOOKUP("LIMPEZA",tabDiarias[],2,0),0))</f>
        <v>0</v>
      </c>
      <c r="AI237" s="235">
        <f t="shared" si="35"/>
        <v>7.011766975308642E-3</v>
      </c>
      <c r="AJ237" s="237">
        <f>tabParametros[[#This Row],[FGTS]]*tabParametros[[#This Row],[Aviso Prévio Indenizado (API) e Reflexo do Aviso Prévio Indenizado]]</f>
        <v>5.609413580246914E-4</v>
      </c>
      <c r="AK237" s="237">
        <f>tabParametros[[#This Row],[FGTS]]*tabParametros[[#This Row],[Aviso Prévio Indenizado (API) e Reflexo do Aviso Prévio Indenizado]]*40%</f>
        <v>2.2437654320987658E-4</v>
      </c>
      <c r="AL237" s="235">
        <f t="shared" si="36"/>
        <v>3.5000000000000005E-3</v>
      </c>
      <c r="AM237" s="235">
        <f>tabParametros[[#This Row],[Aviso Prévio Trabalhado - APT]]*SUM(tabParametros[[#This Row],[INSS]:[SEBRAE]])</f>
        <v>1.3230000000000004E-3</v>
      </c>
      <c r="AN237" s="235">
        <f t="shared" si="37"/>
        <v>3.0577777777777773E-2</v>
      </c>
      <c r="AO237" s="235">
        <f t="shared" si="38"/>
        <v>8.3333333333333339E-4</v>
      </c>
      <c r="AP237" s="235">
        <f t="shared" si="39"/>
        <v>8.4444444444444437E-3</v>
      </c>
      <c r="AQ237" s="235">
        <f t="shared" si="40"/>
        <v>2.0277777777777777E-3</v>
      </c>
      <c r="AR237" s="235">
        <f t="shared" si="41"/>
        <v>1.7083333333333333E-4</v>
      </c>
      <c r="AS237" s="235">
        <f t="shared" si="42"/>
        <v>2.0833333333333335E-4</v>
      </c>
      <c r="AT237" s="235">
        <f t="shared" si="43"/>
        <v>1.2962962962962963E-3</v>
      </c>
      <c r="AU237" s="237">
        <f>SUM(tabParametros[[#This Row],[Ausência por Doença]:[Férias, Adicional de Férias e 13º  com empregada em gozo de Licença Maternidade]])*SUM(tabParametros[[#This Row],[INSS]:[SEBRAE]])</f>
        <v>4.5918250000000008E-3</v>
      </c>
      <c r="AV237" s="234">
        <f>IF(tabParametros[[#This Row],[Função]]="Porteiro - 220 h",SUM(tabParametros[[#This Row],[Salário Base]:[Adicional de Acúmulo de função]])/220*20*1.5,IF(ISNUMBER(SEARCH("12 x 36",tabParametros[[#This Row],[Função]],1)),SUM(tabParametros[[#This Row],[Salário Base]:[Adicional de Acúmulo de função]])/210*15.5*1.5,0))</f>
        <v>0</v>
      </c>
      <c r="AW237" s="234">
        <f>IF(tabParametros[[#This Row],[Vagas contratadas]]&gt;0,(SUM(tabParametros[[#This Row],[Salário Base]:[Adicional de Acúmulo de função]])*30%+SUM(tabParametros[[#This Row],[Vale - Alimentação]:[Seguro de Vida]]))/tabParametros[[#This Row],[Vagas contratadas]]*tabParametros[[#This Row],[Vagas suspensas]],0)</f>
        <v>0</v>
      </c>
      <c r="AX237" s="234">
        <f>SUMIF(tabUniformes[Cargo],tabParametros[[#This Row],[Função]],tabUniformes[Valor unit. Mensal])</f>
        <v>62.806666666666665</v>
      </c>
      <c r="AY237" s="281">
        <f>IF(ISNUMBER(SEARCH("AUXILIAR DE LIMPEZA - 75 H",tabParametros[[#This Row],[Função]],1)),
SUMIF(tabLimpGeral[TIPO],"Material",tabLimpGeral[VALOR UNITÁRIO P/ HORA (R$)])*75,
IF(ISNUMBER(SEARCH("AUXILIAR DE LIMPEZA - 110 H",tabParametros[[#This Row],[Função]],1)),
SUMIF(tabLimpGeral[TIPO],"Material",tabLimpGeral[VALOR UNITÁRIO P/ HORA (R$)])*110,
IF(ISNUMBER(SEARCH("AUXILIAR DE LIMPEZA - 150 H",tabParametros[[#This Row],[Função]],1)),
SUMIF(tabLimpGeral[TIPO],"Material",tabLimpGeral[VALOR UNITÁRIO P/ HORA (R$)])*150,
IF(ISNUMBER(SEARCH("AUXILIAR DE LIMPEZA - 220 H",tabParametros[[#This Row],[Função]],1)),
SUMIF(tabLimpGeral[TIPO],"Material",tabLimpGeral[VALOR UNITÁRIO P/ HORA (R$)])*220,
IF(ISNUMBER(SEARCH("AUXILIAR DE LIMPEZA - 12 x 36",tabParametros[[#This Row],[Função]],1)),
SUMIF(tabLimpGeral[TIPO],"Material",tabLimpGeral[VALOR UNITÁRIO P/ HORA (R$)])*220,
IF(ISNUMBER(SEARCH("Limpador de vidros - 220 h",tabParametros[[#This Row],[Função]],1)),
SUMIF(tabVidros[TIPO],"Material",tabVidros[VALOR UNITÁRIO P/ POSTO (R$)]),
0))))))</f>
        <v>17.759106479291944</v>
      </c>
      <c r="AZ237" s="281">
        <f>IF(ISNUMBER(SEARCH("AUXILIAR DE LIMPEZA - 75 H",tabParametros[[#This Row],[Função]],1)),
SUMIF(tabLimpGeral[TIPO],"Equipamento",tabLimpGeral[VALOR UNITÁRIO P/ HORA (R$)])*75,
IF(ISNUMBER(SEARCH("AUXILIAR DE LIMPEZA - 110 H",tabParametros[[#This Row],[Função]],1)),
SUMIF(tabLimpGeral[TIPO],"Equipamento",tabLimpGeral[VALOR UNITÁRIO P/ HORA (R$)])*110,
IF(ISNUMBER(SEARCH("AUXILIAR DE LIMPEZA - 150 H",tabParametros[[#This Row],[Função]],1)),
SUMIF(tabLimpGeral[TIPO],"Equipamento",tabLimpGeral[VALOR UNITÁRIO P/ HORA (R$)])*150,
IF(ISNUMBER(SEARCH("AUXILIAR DE LIMPEZA - 220 H",tabParametros[[#This Row],[Função]],1)),
SUMIF(tabLimpGeral[TIPO],"Equipamento",tabLimpGeral[VALOR UNITÁRIO P/ HORA (R$)])*220,
IF(ISNUMBER(SEARCH("AUXILIAR DE LIMPEZA - 12 x 36",tabParametros[[#This Row],[Função]],1)),
SUMIF(tabLimpGeral[TIPO],"Equipamento",tabLimpGeral[VALOR UNITÁRIO P/ HORA (R$)])*220,
IF(ISNUMBER(SEARCH("Limpador de vidros - 220 h",tabParametros[[#This Row],[Função]],1)),
SUMIF(tabVidros[TIPO],"Equipamento",tabVidros[VALOR UNITÁRIO P/ POSTO (R$)]),
0))))))</f>
        <v>32.264696957412788</v>
      </c>
      <c r="BA237" s="281">
        <f>IF(ISNUMBER(SEARCH("AUXILIAR DE LIMPEZA - 75 H",tabParametros[[#This Row],[Função]],1)),
SUMIF(tabLimpGeral[TIPO],"Produto",tabLimpGeral[VALOR UNITÁRIO P/ HORA (R$)])*75,
IF(ISNUMBER(SEARCH("AUXILIAR DE LIMPEZA - 110 H",tabParametros[[#This Row],[Função]],1)),
SUMIF(tabLimpGeral[TIPO],"Produto",tabLimpGeral[VALOR UNITÁRIO P/ HORA (R$)])*110,
IF(ISNUMBER(SEARCH("AUXILIAR DE LIMPEZA - 150 H",tabParametros[[#This Row],[Função]],1)),
SUMIF(tabLimpGeral[TIPO],"Produto",tabLimpGeral[VALOR UNITÁRIO P/ HORA (R$)])*150,
IF(ISNUMBER(SEARCH("AUXILIAR DE LIMPEZA - 220 H",tabParametros[[#This Row],[Função]],1)),
SUMIF(tabLimpGeral[TIPO],"Produto",tabLimpGeral[VALOR UNITÁRIO P/ HORA (R$)])*220,
IF(ISNUMBER(SEARCH("AUXILIAR DE LIMPEZA - 12 x 36",tabParametros[[#This Row],[Função]],1)),
SUMIF(tabLimpGeral[TIPO],"Produto",tabLimpGeral[VALOR UNITÁRIO P/ HORA (R$)])*220,
IF(ISNUMBER(SEARCH("Limpador de vidros - 220 h",tabParametros[[#This Row],[Função]],1)),
SUMIF(tabVidros[TIPO],"Produto",tabVidros[VALOR UNITÁRIO P/ POSTO (R$)]),
0))))))</f>
        <v>345.13576638965827</v>
      </c>
      <c r="BB237" s="281">
        <v>0</v>
      </c>
      <c r="BC237" s="236">
        <f>VLOOKUP(tabParametros[[#Headers],[Custos Indiretos]],tabOutrosCustos[],3,0)</f>
        <v>189.64880140242613</v>
      </c>
      <c r="BD237" s="236">
        <f>VLOOKUP(tabParametros[[#Headers],[Lucro]],tabOutrosCustos[],3,0)</f>
        <v>159.30499317803796</v>
      </c>
      <c r="BE237" s="235">
        <f>VLOOKUP(tabParametros[[#Headers],[COFINS]],tabImpostosNacionais[],2,0)</f>
        <v>7.5999999999999998E-2</v>
      </c>
      <c r="BF237" s="235">
        <f>VLOOKUP(tabParametros[[#Headers],[PIS]],tabImpostosNacionais[],2,0)</f>
        <v>1.6500000000000001E-2</v>
      </c>
      <c r="BG237" s="235">
        <f>VLOOKUP(tabParametros[[#This Row],[Comarca]],tabComarca[],4,0)</f>
        <v>0.03</v>
      </c>
      <c r="BH237" s="238">
        <f>IFERROR(VLOOKUP(tabParametros[[#This Row],[CCT DA CATEGORIA]],tabSindicatos[],11,0),"")</f>
        <v>45658</v>
      </c>
      <c r="BI237" s="289" t="str">
        <f>IFERROR(VLOOKUP(tabParametros[[#This Row],[CCT DA CATEGORIA]],tabSindicatos[],12,0),"")</f>
        <v>-</v>
      </c>
      <c r="BJ237" s="293" t="str">
        <f>IFERROR(VLOOKUP(tabParametros[[#This Row],[CCT DA CATEGORIA]],tabSindicatos[],13,0),"")</f>
        <v>-</v>
      </c>
    </row>
    <row r="238" spans="1:62" x14ac:dyDescent="0.25">
      <c r="A238" s="233" t="s">
        <v>1573</v>
      </c>
      <c r="B238" s="198" t="s">
        <v>216</v>
      </c>
      <c r="C238" s="198" t="s">
        <v>1245</v>
      </c>
      <c r="D238" s="198" t="str">
        <f>VLOOKUP(tabParametros[[#This Row],[Código do Posto]],tabPostos[],4,0)</f>
        <v>Regiao de Sao Lourenco</v>
      </c>
      <c r="E238" s="289" t="str">
        <f>VLOOKUP(tabParametros[[#This Row],[Código do Posto]],tabPostos[],5,0)</f>
        <v>Limpeza</v>
      </c>
      <c r="F238" s="289" t="str">
        <f>VLOOKUP(tabParametros[[#This Row],[Código do Posto]],tabPostos[],6,0)</f>
        <v>PGJ</v>
      </c>
      <c r="G238" s="289">
        <f>VLOOKUP(tabParametros[[#This Row],[Código do Posto]],tabPostos[],7,0)</f>
        <v>1</v>
      </c>
      <c r="H238" s="289">
        <f>VLOOKUP(tabParametros[[#This Row],[Código do Posto]],tabPostos[],8,0)</f>
        <v>0</v>
      </c>
      <c r="I238" s="234">
        <f>VLOOKUP(tabParametros[[#This Row],[Código do Posto]],tabPostos[],9,0)</f>
        <v>1596.28</v>
      </c>
      <c r="J238" s="234">
        <f>IF(ISNUMBER(SEARCH("Eletricista",tabParametros[[#This Row],[Função]],1)),0.3*tabParametros[[#This Row],[Salário Base]],0)</f>
        <v>0</v>
      </c>
      <c r="K238" s="234">
        <f>IF(OR(ISNUMBER(SEARCH("Bombeiro Hidraulico",tabParametros[[#This Row],[Função]],1)),ISNUMBER(SEARCH("Jardineiro",tabParametros[[#This Row],[Função]],1)),ISNUMBER(SEARCH("Lavador de Veiculos",tabParametros[[#This Row],[Função]],1)),ISNUMBER(SEARCH("Marceneiro",tabParametros[[#This Row],[Função]],1)),ISNUMBER(SEARCH("Pintor",tabParametros[[#This Row],[Função]],1))),0.2*'BASE GERAL'!$R$4,0)</f>
        <v>0</v>
      </c>
      <c r="L238" s="234">
        <f>IF(AND(ISNUMBER(SEARCH("Noturno",tabParametros[[#This Row],[Função]],1)),tabParametros[[#This Row],[Comarca]]&lt;&gt;"Juiz de Fora"),tabParametros[[#This Row],[Salário Base]]/210*0.39*7*15.5,IF(ISNUMBER(SEARCH("Noturno",tabParametros[[#This Row],[Função]],1)),tabParametros[[#This Row],[Salário Base]]/210*0.2*8*15.5,0))</f>
        <v>0</v>
      </c>
      <c r="M238" s="234">
        <f>IF(ISNUMBER(SEARCH("Motorista II",tabParametros[[#This Row],[Função]],1)),0.25*tabParametros[[#This Row],[Salário Base]],0)</f>
        <v>0</v>
      </c>
      <c r="N238" s="250">
        <v>0</v>
      </c>
      <c r="O238" s="234">
        <f>IF(ISNUMBER(SEARCH("TECNOLOGIA DA INFORMACAO",tabParametros[[#This Row],[Função]],1)),0.0201*tabParametros[[#This Row],[Salário Base]],0)</f>
        <v>0</v>
      </c>
      <c r="P238" s="250" cm="1">
        <f t="array" ref="P238">_xlfn.IFS(
ISNUMBER(SEARCH("Auxiliar de Limpeza - 75 h",tabParametros[[#This Row],[Função]],1)),tabParametros[[#This Row],[Salário Base]]/75*0.75*30*0.12,
ISNUMBER(SEARCH("Auxiliar de Limpeza - 110 h",tabParametros[[#This Row],[Função]],1)),tabParametros[[#This Row],[Salário Base]]/110*1*30*0.12,
ISNUMBER(SEARCH("Auxiliar de Limpeza - 150 h",tabParametros[[#This Row],[Função]],1)),tabParametros[[#This Row],[Salário Base]]/150*1.5*30*0.12,
ISNUMBER(SEARCH("Auxiliar de Limpeza - 220 h",tabParametros[[#This Row],[Função]],1)),tabParametros[[#This Row],[Salário Base]]/220*2*30*0.12,
ISNUMBER(SEARCH("Auxiliar de Limpeza - 12 x 36",tabParametros[[#This Row],[Função]],1)),tabParametros[[#This Row],[Salário Base]]/220*2*30*0.12,
ISNUMBER(SEARCH("Auxiliar de Limpeza - 55 h",tabParametros[[#This Row],[Função]],1))=FALSE,0)</f>
        <v>52.241890909090905</v>
      </c>
      <c r="Q238" s="235">
        <f>VLOOKUP(tabParametros[[#Headers],[INSS]],tabImpostosNacionais[],2,0)</f>
        <v>0.2</v>
      </c>
      <c r="R238" s="235">
        <f>VLOOKUP(tabParametros[[#Headers],[SESI OU SESC]],tabImpostosNacionais[],2,0)</f>
        <v>1.4999999999999999E-2</v>
      </c>
      <c r="S238" s="235">
        <f>VLOOKUP(tabParametros[[#Headers],[SENAI OU SENAC]],tabImpostosNacionais[],2,0)</f>
        <v>0.01</v>
      </c>
      <c r="T238" s="235">
        <f>VLOOKUP(tabParametros[[#Headers],[INCRA]],tabImpostosNacionais[],2,0)</f>
        <v>2E-3</v>
      </c>
      <c r="U238" s="235">
        <f>VLOOKUP(tabParametros[[#Headers],[Salário Educação]],tabImpostosNacionais[],2,0)</f>
        <v>2.5000000000000001E-2</v>
      </c>
      <c r="V238" s="235">
        <f>VLOOKUP(tabParametros[[#Headers],[FGTS]],tabImpostosNacionais[],2,0)</f>
        <v>0.08</v>
      </c>
      <c r="W238" s="235">
        <f>VLOOKUP(tabParametros[[#Headers],[RAT Ajustado]],tabImpostosNacionais[],2,0)</f>
        <v>0.04</v>
      </c>
      <c r="X238" s="235">
        <f>VLOOKUP(tabParametros[[#Headers],[SEBRAE]],tabImpostosNacionais[],2,0)</f>
        <v>6.0000000000000001E-3</v>
      </c>
      <c r="Y238" s="235">
        <f t="shared" si="33"/>
        <v>8.3333333333333329E-2</v>
      </c>
      <c r="Z238" s="251">
        <f t="shared" si="34"/>
        <v>0.1111111111111111</v>
      </c>
      <c r="AA238" s="234">
        <f>VLOOKUP(tabParametros[[#This Row],[Comarca]],tabComarca[],5,0)</f>
        <v>6.4</v>
      </c>
      <c r="AB238" s="234">
        <f>IFERROR(VLOOKUP(tabParametros[[#This Row],[CCT DA CATEGORIA]],tabSindicatos[],6,0),0)</f>
        <v>29.15</v>
      </c>
      <c r="AC238" s="234">
        <f>IFERROR(VLOOKUP(tabParametros[[#This Row],[CCT DA CATEGORIA]],tabSindicatos[],7,0),0)</f>
        <v>0</v>
      </c>
      <c r="AD238" s="234" cm="1">
        <f t="array" ref="AD238">_xlfn.LET(
_xlpm.COMARCA, TRIM(UPPER(SUBSTITUTE(SUBSTITUTE(SUBSTITUTE(SUBSTITUTE(SUBSTITUTE(SUBSTITUTE(SUBSTITUTE(SUBSTITUTE(SUBSTITUTE(SUBSTITUTE(SUBSTITUTE(SUBSTITUTE(SUBSTITUTE(SUBSTITUTE(SUBSTITUTE(SUBSTITUTE(SUBSTITUTE(SUBSTITUTE(SUBSTITUTE(SUBSTITUTE(SUBSTITUTE(SUBSTITUTE(SUBSTITUTE(SUBSTITUTE(SUBSTITUTE(SUBSTITUTE(tabParametros[[#This Row],[Comarca]],"á","a"),"ã","a"),"â","a"),"é","e"),"ê","e"),"í","i"),"ó","o"),"õ","o"),"ô","o"),"ú","u"),"ç","c"),"Á","a"),"Ã","a"),"Â","a"),"É","e"),"Ê","e"),"Í","i"),"Ó","o"),"Õ","o"),"Ô","o"),"Ú","u"),"Ç","c"),"/MG","")," e ",", ")," ",""),".",""))),
_xlpm.MATRIZ_COMARCA, TRIM(UPPER(SUBSTITUTE(SUBSTITUTE(SUBSTITUTE(SUBSTITUTE(SUBSTITUTE(SUBSTITUTE(SUBSTITUTE(SUBSTITUTE(SUBSTITUTE(SUBSTITUTE(SUBSTITUTE(SUBSTITUTE(SUBSTITUTE(SUBSTITUTE(SUBSTITUTE(SUBSTITUTE(SUBSTITUTE(SUBSTITUTE(SUBSTITUTE(SUBSTITUTE(SUBSTITUTE(SUBSTITUTE(SUBSTITUTE(SUBSTITUTE(SUBSTITUTE(SUBSTITUTE(tabSindicatos[COMARCAS PAF],"á","a"),"ã","a"),"â","a"),"é","e"),"ê","e"),"í","i"),"ó","o"),"õ","o"),"ô","o"),"ú","u"),"ç","c"),"Á","a"),"Ã","a"),"Â","a"),"É","e"),"Ê","e"),"Í","i"),"Ó","o"),"Õ","o"),"Ô","o"),"Ú","u"),"Ç","c"),"/MG","")," e ",", ")," ",""),".",""))),
IFERROR(IF(_xlfn.XLOOKUP(tabParametros[[#This Row],[CCT DA CATEGORIA]],tabSindicatos[SINDICATOS],tabSindicatos[COMARCAS PAF])="",
VLOOKUP(tabParametros[[#This Row],[CCT DA CATEGORIA]],tabSindicatos[],8,0),
IF(ISNUMBER(SEARCH(TRIM(_xlpm.COMARCA),_xlfn.XLOOKUP(tabParametros[[#This Row],[CCT DA CATEGORIA]],tabSindicatos[SINDICATOS],_xlpm.MATRIZ_COMARCA),1)),VLOOKUP(tabParametros[[#This Row],[CCT DA CATEGORIA]],tabSindicatos[],8,0),0)
),0)
)</f>
        <v>53.27</v>
      </c>
      <c r="AE238" s="234">
        <f>IFERROR(VLOOKUP(tabParametros[[#This Row],[CCT DA CATEGORIA]],tabSindicatos[],9,0),0)</f>
        <v>0</v>
      </c>
      <c r="AF238" s="234">
        <f>IFERROR(VLOOKUP(tabParametros[[#This Row],[CCT DA CATEGORIA]],tabSindicatos[],10,0),0)</f>
        <v>0</v>
      </c>
      <c r="AG238" s="236">
        <f>VLOOKUP(tabParametros[[#Headers],[Seguro de Vida]],tabOutrosCustos[],3,0)</f>
        <v>3.36</v>
      </c>
      <c r="AH238" s="236">
        <f>IF(ISNUMBER(SEARCH("MOTORISTA",tabParametros[[#This Row],[Função]],1)),VLOOKUP("MOTORISTAS",tabDiarias[],2,0),IF(tabParametros[[#This Row],[Comarca]]="Belo Horizonte",VLOOKUP("LIMPEZA",tabDiarias[],2,0),0))</f>
        <v>0</v>
      </c>
      <c r="AI238" s="235">
        <f t="shared" si="35"/>
        <v>7.011766975308642E-3</v>
      </c>
      <c r="AJ238" s="237">
        <f>tabParametros[[#This Row],[FGTS]]*tabParametros[[#This Row],[Aviso Prévio Indenizado (API) e Reflexo do Aviso Prévio Indenizado]]</f>
        <v>5.609413580246914E-4</v>
      </c>
      <c r="AK238" s="237">
        <f>tabParametros[[#This Row],[FGTS]]*tabParametros[[#This Row],[Aviso Prévio Indenizado (API) e Reflexo do Aviso Prévio Indenizado]]*40%</f>
        <v>2.2437654320987658E-4</v>
      </c>
      <c r="AL238" s="235">
        <f t="shared" si="36"/>
        <v>3.5000000000000005E-3</v>
      </c>
      <c r="AM238" s="235">
        <f>tabParametros[[#This Row],[Aviso Prévio Trabalhado - APT]]*SUM(tabParametros[[#This Row],[INSS]:[SEBRAE]])</f>
        <v>1.3230000000000004E-3</v>
      </c>
      <c r="AN238" s="235">
        <f t="shared" si="37"/>
        <v>3.0577777777777773E-2</v>
      </c>
      <c r="AO238" s="235">
        <f t="shared" si="38"/>
        <v>8.3333333333333339E-4</v>
      </c>
      <c r="AP238" s="235">
        <f t="shared" si="39"/>
        <v>8.4444444444444437E-3</v>
      </c>
      <c r="AQ238" s="235">
        <f t="shared" si="40"/>
        <v>2.0277777777777777E-3</v>
      </c>
      <c r="AR238" s="235">
        <f t="shared" si="41"/>
        <v>1.7083333333333333E-4</v>
      </c>
      <c r="AS238" s="235">
        <f t="shared" si="42"/>
        <v>2.0833333333333335E-4</v>
      </c>
      <c r="AT238" s="235">
        <f t="shared" si="43"/>
        <v>1.2962962962962963E-3</v>
      </c>
      <c r="AU238" s="237">
        <f>SUM(tabParametros[[#This Row],[Ausência por Doença]:[Férias, Adicional de Férias e 13º  com empregada em gozo de Licença Maternidade]])*SUM(tabParametros[[#This Row],[INSS]:[SEBRAE]])</f>
        <v>4.5918250000000008E-3</v>
      </c>
      <c r="AV238" s="234">
        <f>IF(tabParametros[[#This Row],[Função]]="Porteiro - 220 h",SUM(tabParametros[[#This Row],[Salário Base]:[Adicional de Acúmulo de função]])/220*20*1.5,IF(ISNUMBER(SEARCH("12 x 36",tabParametros[[#This Row],[Função]],1)),SUM(tabParametros[[#This Row],[Salário Base]:[Adicional de Acúmulo de função]])/210*15.5*1.5,0))</f>
        <v>0</v>
      </c>
      <c r="AW238" s="234">
        <f>IF(tabParametros[[#This Row],[Vagas contratadas]]&gt;0,(SUM(tabParametros[[#This Row],[Salário Base]:[Adicional de Acúmulo de função]])*30%+SUM(tabParametros[[#This Row],[Vale - Alimentação]:[Seguro de Vida]]))/tabParametros[[#This Row],[Vagas contratadas]]*tabParametros[[#This Row],[Vagas suspensas]],0)</f>
        <v>0</v>
      </c>
      <c r="AX238" s="234">
        <f>SUMIF(tabUniformes[Cargo],tabParametros[[#This Row],[Função]],tabUniformes[Valor unit. Mensal])</f>
        <v>100.80916666666666</v>
      </c>
      <c r="AY238" s="281">
        <f>IF(ISNUMBER(SEARCH("AUXILIAR DE LIMPEZA - 75 H",tabParametros[[#This Row],[Função]],1)),
SUMIF(tabLimpGeral[TIPO],"Material",tabLimpGeral[VALOR UNITÁRIO P/ HORA (R$)])*75,
IF(ISNUMBER(SEARCH("AUXILIAR DE LIMPEZA - 110 H",tabParametros[[#This Row],[Função]],1)),
SUMIF(tabLimpGeral[TIPO],"Material",tabLimpGeral[VALOR UNITÁRIO P/ HORA (R$)])*110,
IF(ISNUMBER(SEARCH("AUXILIAR DE LIMPEZA - 150 H",tabParametros[[#This Row],[Função]],1)),
SUMIF(tabLimpGeral[TIPO],"Material",tabLimpGeral[VALOR UNITÁRIO P/ HORA (R$)])*150,
IF(ISNUMBER(SEARCH("AUXILIAR DE LIMPEZA - 220 H",tabParametros[[#This Row],[Função]],1)),
SUMIF(tabLimpGeral[TIPO],"Material",tabLimpGeral[VALOR UNITÁRIO P/ HORA (R$)])*220,
IF(ISNUMBER(SEARCH("AUXILIAR DE LIMPEZA - 12 x 36",tabParametros[[#This Row],[Função]],1)),
SUMIF(tabLimpGeral[TIPO],"Material",tabLimpGeral[VALOR UNITÁRIO P/ HORA (R$)])*220,
IF(ISNUMBER(SEARCH("Limpador de vidros - 220 h",tabParametros[[#This Row],[Função]],1)),
SUMIF(tabVidros[TIPO],"Material",tabVidros[VALOR UNITÁRIO P/ POSTO (R$)]),
0))))))</f>
        <v>35.518212958583888</v>
      </c>
      <c r="AZ238" s="281">
        <f>IF(ISNUMBER(SEARCH("AUXILIAR DE LIMPEZA - 75 H",tabParametros[[#This Row],[Função]],1)),
SUMIF(tabLimpGeral[TIPO],"Equipamento",tabLimpGeral[VALOR UNITÁRIO P/ HORA (R$)])*75,
IF(ISNUMBER(SEARCH("AUXILIAR DE LIMPEZA - 110 H",tabParametros[[#This Row],[Função]],1)),
SUMIF(tabLimpGeral[TIPO],"Equipamento",tabLimpGeral[VALOR UNITÁRIO P/ HORA (R$)])*110,
IF(ISNUMBER(SEARCH("AUXILIAR DE LIMPEZA - 150 H",tabParametros[[#This Row],[Função]],1)),
SUMIF(tabLimpGeral[TIPO],"Equipamento",tabLimpGeral[VALOR UNITÁRIO P/ HORA (R$)])*150,
IF(ISNUMBER(SEARCH("AUXILIAR DE LIMPEZA - 220 H",tabParametros[[#This Row],[Função]],1)),
SUMIF(tabLimpGeral[TIPO],"Equipamento",tabLimpGeral[VALOR UNITÁRIO P/ HORA (R$)])*220,
IF(ISNUMBER(SEARCH("AUXILIAR DE LIMPEZA - 12 x 36",tabParametros[[#This Row],[Função]],1)),
SUMIF(tabLimpGeral[TIPO],"Equipamento",tabLimpGeral[VALOR UNITÁRIO P/ HORA (R$)])*220,
IF(ISNUMBER(SEARCH("Limpador de vidros - 220 h",tabParametros[[#This Row],[Função]],1)),
SUMIF(tabVidros[TIPO],"Equipamento",tabVidros[VALOR UNITÁRIO P/ POSTO (R$)]),
0))))))</f>
        <v>64.529393914825576</v>
      </c>
      <c r="BA238" s="281">
        <f>IF(ISNUMBER(SEARCH("AUXILIAR DE LIMPEZA - 75 H",tabParametros[[#This Row],[Função]],1)),
SUMIF(tabLimpGeral[TIPO],"Produto",tabLimpGeral[VALOR UNITÁRIO P/ HORA (R$)])*75,
IF(ISNUMBER(SEARCH("AUXILIAR DE LIMPEZA - 110 H",tabParametros[[#This Row],[Função]],1)),
SUMIF(tabLimpGeral[TIPO],"Produto",tabLimpGeral[VALOR UNITÁRIO P/ HORA (R$)])*110,
IF(ISNUMBER(SEARCH("AUXILIAR DE LIMPEZA - 150 H",tabParametros[[#This Row],[Função]],1)),
SUMIF(tabLimpGeral[TIPO],"Produto",tabLimpGeral[VALOR UNITÁRIO P/ HORA (R$)])*150,
IF(ISNUMBER(SEARCH("AUXILIAR DE LIMPEZA - 220 H",tabParametros[[#This Row],[Função]],1)),
SUMIF(tabLimpGeral[TIPO],"Produto",tabLimpGeral[VALOR UNITÁRIO P/ HORA (R$)])*220,
IF(ISNUMBER(SEARCH("AUXILIAR DE LIMPEZA - 12 x 36",tabParametros[[#This Row],[Função]],1)),
SUMIF(tabLimpGeral[TIPO],"Produto",tabLimpGeral[VALOR UNITÁRIO P/ HORA (R$)])*220,
IF(ISNUMBER(SEARCH("Limpador de vidros - 220 h",tabParametros[[#This Row],[Função]],1)),
SUMIF(tabVidros[TIPO],"Produto",tabVidros[VALOR UNITÁRIO P/ POSTO (R$)]),
0))))))</f>
        <v>690.27153277931654</v>
      </c>
      <c r="BB238" s="281">
        <v>0</v>
      </c>
      <c r="BC238" s="236">
        <f>VLOOKUP(tabParametros[[#Headers],[Custos Indiretos]],tabOutrosCustos[],3,0)</f>
        <v>189.64880140242613</v>
      </c>
      <c r="BD238" s="236">
        <f>VLOOKUP(tabParametros[[#Headers],[Lucro]],tabOutrosCustos[],3,0)</f>
        <v>159.30499317803796</v>
      </c>
      <c r="BE238" s="235">
        <f>VLOOKUP(tabParametros[[#Headers],[COFINS]],tabImpostosNacionais[],2,0)</f>
        <v>7.5999999999999998E-2</v>
      </c>
      <c r="BF238" s="235">
        <f>VLOOKUP(tabParametros[[#Headers],[PIS]],tabImpostosNacionais[],2,0)</f>
        <v>1.6500000000000001E-2</v>
      </c>
      <c r="BG238" s="235">
        <f>VLOOKUP(tabParametros[[#This Row],[Comarca]],tabComarca[],4,0)</f>
        <v>0.03</v>
      </c>
      <c r="BH238" s="238">
        <f>IFERROR(VLOOKUP(tabParametros[[#This Row],[CCT DA CATEGORIA]],tabSindicatos[],11,0),"")</f>
        <v>45658</v>
      </c>
      <c r="BI238" s="289" t="str">
        <f>IFERROR(VLOOKUP(tabParametros[[#This Row],[CCT DA CATEGORIA]],tabSindicatos[],12,0),"")</f>
        <v>-</v>
      </c>
      <c r="BJ238" s="293" t="str">
        <f>IFERROR(VLOOKUP(tabParametros[[#This Row],[CCT DA CATEGORIA]],tabSindicatos[],13,0),"")</f>
        <v>-</v>
      </c>
    </row>
    <row r="239" spans="1:62" x14ac:dyDescent="0.25">
      <c r="A239" s="233" t="s">
        <v>1574</v>
      </c>
      <c r="B239" s="198" t="s">
        <v>217</v>
      </c>
      <c r="C239" s="198" t="s">
        <v>1245</v>
      </c>
      <c r="D239" s="198" t="str">
        <f>VLOOKUP(tabParametros[[#This Row],[Código do Posto]],tabPostos[],4,0)</f>
        <v>Regiao de Sao Lourenco</v>
      </c>
      <c r="E239" s="289" t="str">
        <f>VLOOKUP(tabParametros[[#This Row],[Código do Posto]],tabPostos[],5,0)</f>
        <v>Limpeza</v>
      </c>
      <c r="F239" s="289" t="str">
        <f>VLOOKUP(tabParametros[[#This Row],[Código do Posto]],tabPostos[],6,0)</f>
        <v>PGJ</v>
      </c>
      <c r="G239" s="289">
        <f>VLOOKUP(tabParametros[[#This Row],[Código do Posto]],tabPostos[],7,0)</f>
        <v>1</v>
      </c>
      <c r="H239" s="289">
        <f>VLOOKUP(tabParametros[[#This Row],[Código do Posto]],tabPostos[],8,0)</f>
        <v>0</v>
      </c>
      <c r="I239" s="234">
        <f>VLOOKUP(tabParametros[[#This Row],[Código do Posto]],tabPostos[],9,0)</f>
        <v>1596.28</v>
      </c>
      <c r="J239" s="234">
        <f>IF(ISNUMBER(SEARCH("Eletricista",tabParametros[[#This Row],[Função]],1)),0.3*tabParametros[[#This Row],[Salário Base]],0)</f>
        <v>0</v>
      </c>
      <c r="K239" s="234">
        <f>IF(OR(ISNUMBER(SEARCH("Bombeiro Hidraulico",tabParametros[[#This Row],[Função]],1)),ISNUMBER(SEARCH("Jardineiro",tabParametros[[#This Row],[Função]],1)),ISNUMBER(SEARCH("Lavador de Veiculos",tabParametros[[#This Row],[Função]],1)),ISNUMBER(SEARCH("Marceneiro",tabParametros[[#This Row],[Função]],1)),ISNUMBER(SEARCH("Pintor",tabParametros[[#This Row],[Função]],1))),0.2*'BASE GERAL'!$R$4,0)</f>
        <v>0</v>
      </c>
      <c r="L239" s="234">
        <f>IF(AND(ISNUMBER(SEARCH("Noturno",tabParametros[[#This Row],[Função]],1)),tabParametros[[#This Row],[Comarca]]&lt;&gt;"Juiz de Fora"),tabParametros[[#This Row],[Salário Base]]/210*0.39*7*15.5,IF(ISNUMBER(SEARCH("Noturno",tabParametros[[#This Row],[Função]],1)),tabParametros[[#This Row],[Salário Base]]/210*0.2*8*15.5,0))</f>
        <v>0</v>
      </c>
      <c r="M239" s="234">
        <f>IF(ISNUMBER(SEARCH("Motorista II",tabParametros[[#This Row],[Função]],1)),0.25*tabParametros[[#This Row],[Salário Base]],0)</f>
        <v>0</v>
      </c>
      <c r="N239" s="250">
        <v>0</v>
      </c>
      <c r="O239" s="234">
        <f>IF(ISNUMBER(SEARCH("TECNOLOGIA DA INFORMACAO",tabParametros[[#This Row],[Função]],1)),0.0201*tabParametros[[#This Row],[Salário Base]],0)</f>
        <v>0</v>
      </c>
      <c r="P239" s="250" cm="1">
        <f t="array" ref="P239">_xlfn.IFS(
ISNUMBER(SEARCH("Auxiliar de Limpeza - 75 h",tabParametros[[#This Row],[Função]],1)),tabParametros[[#This Row],[Salário Base]]/75*0.75*30*0.12,
ISNUMBER(SEARCH("Auxiliar de Limpeza - 110 h",tabParametros[[#This Row],[Função]],1)),tabParametros[[#This Row],[Salário Base]]/110*1*30*0.12,
ISNUMBER(SEARCH("Auxiliar de Limpeza - 150 h",tabParametros[[#This Row],[Função]],1)),tabParametros[[#This Row],[Salário Base]]/150*1.5*30*0.12,
ISNUMBER(SEARCH("Auxiliar de Limpeza - 220 h",tabParametros[[#This Row],[Função]],1)),tabParametros[[#This Row],[Salário Base]]/220*2*30*0.12,
ISNUMBER(SEARCH("Auxiliar de Limpeza - 12 x 36",tabParametros[[#This Row],[Função]],1)),tabParametros[[#This Row],[Salário Base]]/220*2*30*0.12,
ISNUMBER(SEARCH("Auxiliar de Limpeza - 55 h",tabParametros[[#This Row],[Função]],1))=FALSE,0)</f>
        <v>52.241890909090905</v>
      </c>
      <c r="Q239" s="235">
        <f>VLOOKUP(tabParametros[[#Headers],[INSS]],tabImpostosNacionais[],2,0)</f>
        <v>0.2</v>
      </c>
      <c r="R239" s="235">
        <f>VLOOKUP(tabParametros[[#Headers],[SESI OU SESC]],tabImpostosNacionais[],2,0)</f>
        <v>1.4999999999999999E-2</v>
      </c>
      <c r="S239" s="235">
        <f>VLOOKUP(tabParametros[[#Headers],[SENAI OU SENAC]],tabImpostosNacionais[],2,0)</f>
        <v>0.01</v>
      </c>
      <c r="T239" s="235">
        <f>VLOOKUP(tabParametros[[#Headers],[INCRA]],tabImpostosNacionais[],2,0)</f>
        <v>2E-3</v>
      </c>
      <c r="U239" s="235">
        <f>VLOOKUP(tabParametros[[#Headers],[Salário Educação]],tabImpostosNacionais[],2,0)</f>
        <v>2.5000000000000001E-2</v>
      </c>
      <c r="V239" s="235">
        <f>VLOOKUP(tabParametros[[#Headers],[FGTS]],tabImpostosNacionais[],2,0)</f>
        <v>0.08</v>
      </c>
      <c r="W239" s="235">
        <f>VLOOKUP(tabParametros[[#Headers],[RAT Ajustado]],tabImpostosNacionais[],2,0)</f>
        <v>0.04</v>
      </c>
      <c r="X239" s="235">
        <f>VLOOKUP(tabParametros[[#Headers],[SEBRAE]],tabImpostosNacionais[],2,0)</f>
        <v>6.0000000000000001E-3</v>
      </c>
      <c r="Y239" s="235">
        <f t="shared" si="33"/>
        <v>8.3333333333333329E-2</v>
      </c>
      <c r="Z239" s="251">
        <f t="shared" si="34"/>
        <v>0.1111111111111111</v>
      </c>
      <c r="AA239" s="234">
        <f>VLOOKUP(tabParametros[[#This Row],[Comarca]],tabComarca[],5,0)</f>
        <v>6.4</v>
      </c>
      <c r="AB239" s="234">
        <f>IFERROR(VLOOKUP(tabParametros[[#This Row],[CCT DA CATEGORIA]],tabSindicatos[],6,0),0)</f>
        <v>29.15</v>
      </c>
      <c r="AC239" s="234">
        <f>IFERROR(VLOOKUP(tabParametros[[#This Row],[CCT DA CATEGORIA]],tabSindicatos[],7,0),0)</f>
        <v>0</v>
      </c>
      <c r="AD239" s="234" cm="1">
        <f t="array" ref="AD239">_xlfn.LET(
_xlpm.COMARCA, TRIM(UPPER(SUBSTITUTE(SUBSTITUTE(SUBSTITUTE(SUBSTITUTE(SUBSTITUTE(SUBSTITUTE(SUBSTITUTE(SUBSTITUTE(SUBSTITUTE(SUBSTITUTE(SUBSTITUTE(SUBSTITUTE(SUBSTITUTE(SUBSTITUTE(SUBSTITUTE(SUBSTITUTE(SUBSTITUTE(SUBSTITUTE(SUBSTITUTE(SUBSTITUTE(SUBSTITUTE(SUBSTITUTE(SUBSTITUTE(SUBSTITUTE(SUBSTITUTE(SUBSTITUTE(tabParametros[[#This Row],[Comarca]],"á","a"),"ã","a"),"â","a"),"é","e"),"ê","e"),"í","i"),"ó","o"),"õ","o"),"ô","o"),"ú","u"),"ç","c"),"Á","a"),"Ã","a"),"Â","a"),"É","e"),"Ê","e"),"Í","i"),"Ó","o"),"Õ","o"),"Ô","o"),"Ú","u"),"Ç","c"),"/MG","")," e ",", ")," ",""),".",""))),
_xlpm.MATRIZ_COMARCA, TRIM(UPPER(SUBSTITUTE(SUBSTITUTE(SUBSTITUTE(SUBSTITUTE(SUBSTITUTE(SUBSTITUTE(SUBSTITUTE(SUBSTITUTE(SUBSTITUTE(SUBSTITUTE(SUBSTITUTE(SUBSTITUTE(SUBSTITUTE(SUBSTITUTE(SUBSTITUTE(SUBSTITUTE(SUBSTITUTE(SUBSTITUTE(SUBSTITUTE(SUBSTITUTE(SUBSTITUTE(SUBSTITUTE(SUBSTITUTE(SUBSTITUTE(SUBSTITUTE(SUBSTITUTE(tabSindicatos[COMARCAS PAF],"á","a"),"ã","a"),"â","a"),"é","e"),"ê","e"),"í","i"),"ó","o"),"õ","o"),"ô","o"),"ú","u"),"ç","c"),"Á","a"),"Ã","a"),"Â","a"),"É","e"),"Ê","e"),"Í","i"),"Ó","o"),"Õ","o"),"Ô","o"),"Ú","u"),"Ç","c"),"/MG","")," e ",", ")," ",""),".",""))),
IFERROR(IF(_xlfn.XLOOKUP(tabParametros[[#This Row],[CCT DA CATEGORIA]],tabSindicatos[SINDICATOS],tabSindicatos[COMARCAS PAF])="",
VLOOKUP(tabParametros[[#This Row],[CCT DA CATEGORIA]],tabSindicatos[],8,0),
IF(ISNUMBER(SEARCH(TRIM(_xlpm.COMARCA),_xlfn.XLOOKUP(tabParametros[[#This Row],[CCT DA CATEGORIA]],tabSindicatos[SINDICATOS],_xlpm.MATRIZ_COMARCA),1)),VLOOKUP(tabParametros[[#This Row],[CCT DA CATEGORIA]],tabSindicatos[],8,0),0)
),0)
)</f>
        <v>0</v>
      </c>
      <c r="AE239" s="234">
        <f>IFERROR(VLOOKUP(tabParametros[[#This Row],[CCT DA CATEGORIA]],tabSindicatos[],9,0),0)</f>
        <v>0</v>
      </c>
      <c r="AF239" s="234">
        <f>IFERROR(VLOOKUP(tabParametros[[#This Row],[CCT DA CATEGORIA]],tabSindicatos[],10,0),0)</f>
        <v>0</v>
      </c>
      <c r="AG239" s="236">
        <f>VLOOKUP(tabParametros[[#Headers],[Seguro de Vida]],tabOutrosCustos[],3,0)</f>
        <v>3.36</v>
      </c>
      <c r="AH239" s="236">
        <f>IF(ISNUMBER(SEARCH("MOTORISTA",tabParametros[[#This Row],[Função]],1)),VLOOKUP("MOTORISTAS",tabDiarias[],2,0),IF(tabParametros[[#This Row],[Comarca]]="Belo Horizonte",VLOOKUP("LIMPEZA",tabDiarias[],2,0),0))</f>
        <v>0</v>
      </c>
      <c r="AI239" s="235">
        <f t="shared" si="35"/>
        <v>7.011766975308642E-3</v>
      </c>
      <c r="AJ239" s="237">
        <f>tabParametros[[#This Row],[FGTS]]*tabParametros[[#This Row],[Aviso Prévio Indenizado (API) e Reflexo do Aviso Prévio Indenizado]]</f>
        <v>5.609413580246914E-4</v>
      </c>
      <c r="AK239" s="237">
        <f>tabParametros[[#This Row],[FGTS]]*tabParametros[[#This Row],[Aviso Prévio Indenizado (API) e Reflexo do Aviso Prévio Indenizado]]*40%</f>
        <v>2.2437654320987658E-4</v>
      </c>
      <c r="AL239" s="235">
        <f t="shared" si="36"/>
        <v>3.5000000000000005E-3</v>
      </c>
      <c r="AM239" s="235">
        <f>tabParametros[[#This Row],[Aviso Prévio Trabalhado - APT]]*SUM(tabParametros[[#This Row],[INSS]:[SEBRAE]])</f>
        <v>1.3230000000000004E-3</v>
      </c>
      <c r="AN239" s="235">
        <f t="shared" si="37"/>
        <v>3.0577777777777773E-2</v>
      </c>
      <c r="AO239" s="235">
        <f t="shared" si="38"/>
        <v>8.3333333333333339E-4</v>
      </c>
      <c r="AP239" s="235">
        <f t="shared" si="39"/>
        <v>8.4444444444444437E-3</v>
      </c>
      <c r="AQ239" s="235">
        <f t="shared" si="40"/>
        <v>2.0277777777777777E-3</v>
      </c>
      <c r="AR239" s="235">
        <f t="shared" si="41"/>
        <v>1.7083333333333333E-4</v>
      </c>
      <c r="AS239" s="235">
        <f t="shared" si="42"/>
        <v>2.0833333333333335E-4</v>
      </c>
      <c r="AT239" s="235">
        <f t="shared" si="43"/>
        <v>1.2962962962962963E-3</v>
      </c>
      <c r="AU239" s="237">
        <f>SUM(tabParametros[[#This Row],[Ausência por Doença]:[Férias, Adicional de Férias e 13º  com empregada em gozo de Licença Maternidade]])*SUM(tabParametros[[#This Row],[INSS]:[SEBRAE]])</f>
        <v>4.5918250000000008E-3</v>
      </c>
      <c r="AV239" s="234">
        <f>IF(tabParametros[[#This Row],[Função]]="Porteiro - 220 h",SUM(tabParametros[[#This Row],[Salário Base]:[Adicional de Acúmulo de função]])/220*20*1.5,IF(ISNUMBER(SEARCH("12 x 36",tabParametros[[#This Row],[Função]],1)),SUM(tabParametros[[#This Row],[Salário Base]:[Adicional de Acúmulo de função]])/210*15.5*1.5,0))</f>
        <v>0</v>
      </c>
      <c r="AW239" s="234">
        <f>IF(tabParametros[[#This Row],[Vagas contratadas]]&gt;0,(SUM(tabParametros[[#This Row],[Salário Base]:[Adicional de Acúmulo de função]])*30%+SUM(tabParametros[[#This Row],[Vale - Alimentação]:[Seguro de Vida]]))/tabParametros[[#This Row],[Vagas contratadas]]*tabParametros[[#This Row],[Vagas suspensas]],0)</f>
        <v>0</v>
      </c>
      <c r="AX239" s="234">
        <f>SUMIF(tabUniformes[Cargo],tabParametros[[#This Row],[Função]],tabUniformes[Valor unit. Mensal])</f>
        <v>100.80916666666666</v>
      </c>
      <c r="AY239" s="281">
        <f>IF(ISNUMBER(SEARCH("AUXILIAR DE LIMPEZA - 75 H",tabParametros[[#This Row],[Função]],1)),
SUMIF(tabLimpGeral[TIPO],"Material",tabLimpGeral[VALOR UNITÁRIO P/ HORA (R$)])*75,
IF(ISNUMBER(SEARCH("AUXILIAR DE LIMPEZA - 110 H",tabParametros[[#This Row],[Função]],1)),
SUMIF(tabLimpGeral[TIPO],"Material",tabLimpGeral[VALOR UNITÁRIO P/ HORA (R$)])*110,
IF(ISNUMBER(SEARCH("AUXILIAR DE LIMPEZA - 150 H",tabParametros[[#This Row],[Função]],1)),
SUMIF(tabLimpGeral[TIPO],"Material",tabLimpGeral[VALOR UNITÁRIO P/ HORA (R$)])*150,
IF(ISNUMBER(SEARCH("AUXILIAR DE LIMPEZA - 220 H",tabParametros[[#This Row],[Função]],1)),
SUMIF(tabLimpGeral[TIPO],"Material",tabLimpGeral[VALOR UNITÁRIO P/ HORA (R$)])*220,
IF(ISNUMBER(SEARCH("AUXILIAR DE LIMPEZA - 12 x 36",tabParametros[[#This Row],[Função]],1)),
SUMIF(tabLimpGeral[TIPO],"Material",tabLimpGeral[VALOR UNITÁRIO P/ HORA (R$)])*220,
IF(ISNUMBER(SEARCH("Limpador de vidros - 220 h",tabParametros[[#This Row],[Função]],1)),
SUMIF(tabVidros[TIPO],"Material",tabVidros[VALOR UNITÁRIO P/ POSTO (R$)]),
0))))))</f>
        <v>35.518212958583888</v>
      </c>
      <c r="AZ239" s="281">
        <f>IF(ISNUMBER(SEARCH("AUXILIAR DE LIMPEZA - 75 H",tabParametros[[#This Row],[Função]],1)),
SUMIF(tabLimpGeral[TIPO],"Equipamento",tabLimpGeral[VALOR UNITÁRIO P/ HORA (R$)])*75,
IF(ISNUMBER(SEARCH("AUXILIAR DE LIMPEZA - 110 H",tabParametros[[#This Row],[Função]],1)),
SUMIF(tabLimpGeral[TIPO],"Equipamento",tabLimpGeral[VALOR UNITÁRIO P/ HORA (R$)])*110,
IF(ISNUMBER(SEARCH("AUXILIAR DE LIMPEZA - 150 H",tabParametros[[#This Row],[Função]],1)),
SUMIF(tabLimpGeral[TIPO],"Equipamento",tabLimpGeral[VALOR UNITÁRIO P/ HORA (R$)])*150,
IF(ISNUMBER(SEARCH("AUXILIAR DE LIMPEZA - 220 H",tabParametros[[#This Row],[Função]],1)),
SUMIF(tabLimpGeral[TIPO],"Equipamento",tabLimpGeral[VALOR UNITÁRIO P/ HORA (R$)])*220,
IF(ISNUMBER(SEARCH("AUXILIAR DE LIMPEZA - 12 x 36",tabParametros[[#This Row],[Função]],1)),
SUMIF(tabLimpGeral[TIPO],"Equipamento",tabLimpGeral[VALOR UNITÁRIO P/ HORA (R$)])*220,
IF(ISNUMBER(SEARCH("Limpador de vidros - 220 h",tabParametros[[#This Row],[Função]],1)),
SUMIF(tabVidros[TIPO],"Equipamento",tabVidros[VALOR UNITÁRIO P/ POSTO (R$)]),
0))))))</f>
        <v>64.529393914825576</v>
      </c>
      <c r="BA239" s="281">
        <f>IF(ISNUMBER(SEARCH("AUXILIAR DE LIMPEZA - 75 H",tabParametros[[#This Row],[Função]],1)),
SUMIF(tabLimpGeral[TIPO],"Produto",tabLimpGeral[VALOR UNITÁRIO P/ HORA (R$)])*75,
IF(ISNUMBER(SEARCH("AUXILIAR DE LIMPEZA - 110 H",tabParametros[[#This Row],[Função]],1)),
SUMIF(tabLimpGeral[TIPO],"Produto",tabLimpGeral[VALOR UNITÁRIO P/ HORA (R$)])*110,
IF(ISNUMBER(SEARCH("AUXILIAR DE LIMPEZA - 150 H",tabParametros[[#This Row],[Função]],1)),
SUMIF(tabLimpGeral[TIPO],"Produto",tabLimpGeral[VALOR UNITÁRIO P/ HORA (R$)])*150,
IF(ISNUMBER(SEARCH("AUXILIAR DE LIMPEZA - 220 H",tabParametros[[#This Row],[Função]],1)),
SUMIF(tabLimpGeral[TIPO],"Produto",tabLimpGeral[VALOR UNITÁRIO P/ HORA (R$)])*220,
IF(ISNUMBER(SEARCH("AUXILIAR DE LIMPEZA - 12 x 36",tabParametros[[#This Row],[Função]],1)),
SUMIF(tabLimpGeral[TIPO],"Produto",tabLimpGeral[VALOR UNITÁRIO P/ HORA (R$)])*220,
IF(ISNUMBER(SEARCH("Limpador de vidros - 220 h",tabParametros[[#This Row],[Função]],1)),
SUMIF(tabVidros[TIPO],"Produto",tabVidros[VALOR UNITÁRIO P/ POSTO (R$)]),
0))))))</f>
        <v>690.27153277931654</v>
      </c>
      <c r="BB239" s="281">
        <v>0</v>
      </c>
      <c r="BC239" s="236">
        <f>VLOOKUP(tabParametros[[#Headers],[Custos Indiretos]],tabOutrosCustos[],3,0)</f>
        <v>189.64880140242613</v>
      </c>
      <c r="BD239" s="236">
        <f>VLOOKUP(tabParametros[[#Headers],[Lucro]],tabOutrosCustos[],3,0)</f>
        <v>159.30499317803796</v>
      </c>
      <c r="BE239" s="235">
        <f>VLOOKUP(tabParametros[[#Headers],[COFINS]],tabImpostosNacionais[],2,0)</f>
        <v>7.5999999999999998E-2</v>
      </c>
      <c r="BF239" s="235">
        <f>VLOOKUP(tabParametros[[#Headers],[PIS]],tabImpostosNacionais[],2,0)</f>
        <v>1.6500000000000001E-2</v>
      </c>
      <c r="BG239" s="235">
        <f>VLOOKUP(tabParametros[[#This Row],[Comarca]],tabComarca[],4,0)</f>
        <v>2.5000000000000001E-2</v>
      </c>
      <c r="BH239" s="238">
        <f>IFERROR(VLOOKUP(tabParametros[[#This Row],[CCT DA CATEGORIA]],tabSindicatos[],11,0),"")</f>
        <v>45658</v>
      </c>
      <c r="BI239" s="289" t="str">
        <f>IFERROR(VLOOKUP(tabParametros[[#This Row],[CCT DA CATEGORIA]],tabSindicatos[],12,0),"")</f>
        <v>-</v>
      </c>
      <c r="BJ239" s="293" t="str">
        <f>IFERROR(VLOOKUP(tabParametros[[#This Row],[CCT DA CATEGORIA]],tabSindicatos[],13,0),"")</f>
        <v>-</v>
      </c>
    </row>
    <row r="240" spans="1:62" x14ac:dyDescent="0.25">
      <c r="A240" s="233" t="s">
        <v>1575</v>
      </c>
      <c r="B240" s="198" t="s">
        <v>218</v>
      </c>
      <c r="C240" s="198" t="s">
        <v>1244</v>
      </c>
      <c r="D240" s="198" t="str">
        <f>VLOOKUP(tabParametros[[#This Row],[Código do Posto]],tabPostos[],4,0)</f>
        <v>Alto Paranaiba</v>
      </c>
      <c r="E240" s="289" t="str">
        <f>VLOOKUP(tabParametros[[#This Row],[Código do Posto]],tabPostos[],5,0)</f>
        <v>Limpeza</v>
      </c>
      <c r="F240" s="289" t="str">
        <f>VLOOKUP(tabParametros[[#This Row],[Código do Posto]],tabPostos[],6,0)</f>
        <v>PGJ</v>
      </c>
      <c r="G240" s="289">
        <f>VLOOKUP(tabParametros[[#This Row],[Código do Posto]],tabPostos[],7,0)</f>
        <v>1</v>
      </c>
      <c r="H240" s="289">
        <f>VLOOKUP(tabParametros[[#This Row],[Código do Posto]],tabPostos[],8,0)</f>
        <v>0</v>
      </c>
      <c r="I240" s="234">
        <f>VLOOKUP(tabParametros[[#This Row],[Código do Posto]],tabPostos[],9,0)</f>
        <v>798.14</v>
      </c>
      <c r="J240" s="234">
        <f>IF(ISNUMBER(SEARCH("Eletricista",tabParametros[[#This Row],[Função]],1)),0.3*tabParametros[[#This Row],[Salário Base]],0)</f>
        <v>0</v>
      </c>
      <c r="K240" s="234">
        <f>IF(OR(ISNUMBER(SEARCH("Bombeiro Hidraulico",tabParametros[[#This Row],[Função]],1)),ISNUMBER(SEARCH("Jardineiro",tabParametros[[#This Row],[Função]],1)),ISNUMBER(SEARCH("Lavador de Veiculos",tabParametros[[#This Row],[Função]],1)),ISNUMBER(SEARCH("Marceneiro",tabParametros[[#This Row],[Função]],1)),ISNUMBER(SEARCH("Pintor",tabParametros[[#This Row],[Função]],1))),0.2*'BASE GERAL'!$R$4,0)</f>
        <v>0</v>
      </c>
      <c r="L240" s="234">
        <f>IF(AND(ISNUMBER(SEARCH("Noturno",tabParametros[[#This Row],[Função]],1)),tabParametros[[#This Row],[Comarca]]&lt;&gt;"Juiz de Fora"),tabParametros[[#This Row],[Salário Base]]/210*0.39*7*15.5,IF(ISNUMBER(SEARCH("Noturno",tabParametros[[#This Row],[Função]],1)),tabParametros[[#This Row],[Salário Base]]/210*0.2*8*15.5,0))</f>
        <v>0</v>
      </c>
      <c r="M240" s="234">
        <f>IF(ISNUMBER(SEARCH("Motorista II",tabParametros[[#This Row],[Função]],1)),0.25*tabParametros[[#This Row],[Salário Base]],0)</f>
        <v>0</v>
      </c>
      <c r="N240" s="250">
        <v>0</v>
      </c>
      <c r="O240" s="234">
        <f>IF(ISNUMBER(SEARCH("TECNOLOGIA DA INFORMACAO",tabParametros[[#This Row],[Função]],1)),0.0201*tabParametros[[#This Row],[Salário Base]],0)</f>
        <v>0</v>
      </c>
      <c r="P240" s="250" cm="1">
        <f t="array" ref="P240">_xlfn.IFS(
ISNUMBER(SEARCH("Auxiliar de Limpeza - 75 h",tabParametros[[#This Row],[Função]],1)),tabParametros[[#This Row],[Salário Base]]/75*0.75*30*0.12,
ISNUMBER(SEARCH("Auxiliar de Limpeza - 110 h",tabParametros[[#This Row],[Função]],1)),tabParametros[[#This Row],[Salário Base]]/110*1*30*0.12,
ISNUMBER(SEARCH("Auxiliar de Limpeza - 150 h",tabParametros[[#This Row],[Função]],1)),tabParametros[[#This Row],[Salário Base]]/150*1.5*30*0.12,
ISNUMBER(SEARCH("Auxiliar de Limpeza - 220 h",tabParametros[[#This Row],[Função]],1)),tabParametros[[#This Row],[Salário Base]]/220*2*30*0.12,
ISNUMBER(SEARCH("Auxiliar de Limpeza - 12 x 36",tabParametros[[#This Row],[Função]],1)),tabParametros[[#This Row],[Salário Base]]/220*2*30*0.12,
ISNUMBER(SEARCH("Auxiliar de Limpeza - 55 h",tabParametros[[#This Row],[Função]],1))=FALSE,0)</f>
        <v>26.120945454545453</v>
      </c>
      <c r="Q240" s="235">
        <f>VLOOKUP(tabParametros[[#Headers],[INSS]],tabImpostosNacionais[],2,0)</f>
        <v>0.2</v>
      </c>
      <c r="R240" s="235">
        <f>VLOOKUP(tabParametros[[#Headers],[SESI OU SESC]],tabImpostosNacionais[],2,0)</f>
        <v>1.4999999999999999E-2</v>
      </c>
      <c r="S240" s="235">
        <f>VLOOKUP(tabParametros[[#Headers],[SENAI OU SENAC]],tabImpostosNacionais[],2,0)</f>
        <v>0.01</v>
      </c>
      <c r="T240" s="235">
        <f>VLOOKUP(tabParametros[[#Headers],[INCRA]],tabImpostosNacionais[],2,0)</f>
        <v>2E-3</v>
      </c>
      <c r="U240" s="235">
        <f>VLOOKUP(tabParametros[[#Headers],[Salário Educação]],tabImpostosNacionais[],2,0)</f>
        <v>2.5000000000000001E-2</v>
      </c>
      <c r="V240" s="235">
        <f>VLOOKUP(tabParametros[[#Headers],[FGTS]],tabImpostosNacionais[],2,0)</f>
        <v>0.08</v>
      </c>
      <c r="W240" s="235">
        <f>VLOOKUP(tabParametros[[#Headers],[RAT Ajustado]],tabImpostosNacionais[],2,0)</f>
        <v>0.04</v>
      </c>
      <c r="X240" s="235">
        <f>VLOOKUP(tabParametros[[#Headers],[SEBRAE]],tabImpostosNacionais[],2,0)</f>
        <v>6.0000000000000001E-3</v>
      </c>
      <c r="Y240" s="235">
        <f t="shared" si="33"/>
        <v>8.3333333333333329E-2</v>
      </c>
      <c r="Z240" s="251">
        <f t="shared" si="34"/>
        <v>0.1111111111111111</v>
      </c>
      <c r="AA240" s="234">
        <f>VLOOKUP(tabParametros[[#This Row],[Comarca]],tabComarca[],5,0)</f>
        <v>6.4</v>
      </c>
      <c r="AB240" s="234">
        <f>IFERROR(VLOOKUP(tabParametros[[#This Row],[CCT DA CATEGORIA]],tabSindicatos[],6,0),0)</f>
        <v>0</v>
      </c>
      <c r="AC240" s="234">
        <f>IFERROR(VLOOKUP(tabParametros[[#This Row],[CCT DA CATEGORIA]],tabSindicatos[],7,0),0)</f>
        <v>387.79</v>
      </c>
      <c r="AD240" s="234" cm="1">
        <f t="array" ref="AD240">_xlfn.LET(
_xlpm.COMARCA, TRIM(UPPER(SUBSTITUTE(SUBSTITUTE(SUBSTITUTE(SUBSTITUTE(SUBSTITUTE(SUBSTITUTE(SUBSTITUTE(SUBSTITUTE(SUBSTITUTE(SUBSTITUTE(SUBSTITUTE(SUBSTITUTE(SUBSTITUTE(SUBSTITUTE(SUBSTITUTE(SUBSTITUTE(SUBSTITUTE(SUBSTITUTE(SUBSTITUTE(SUBSTITUTE(SUBSTITUTE(SUBSTITUTE(SUBSTITUTE(SUBSTITUTE(SUBSTITUTE(SUBSTITUTE(tabParametros[[#This Row],[Comarca]],"á","a"),"ã","a"),"â","a"),"é","e"),"ê","e"),"í","i"),"ó","o"),"õ","o"),"ô","o"),"ú","u"),"ç","c"),"Á","a"),"Ã","a"),"Â","a"),"É","e"),"Ê","e"),"Í","i"),"Ó","o"),"Õ","o"),"Ô","o"),"Ú","u"),"Ç","c"),"/MG","")," e ",", ")," ",""),".",""))),
_xlpm.MATRIZ_COMARCA, TRIM(UPPER(SUBSTITUTE(SUBSTITUTE(SUBSTITUTE(SUBSTITUTE(SUBSTITUTE(SUBSTITUTE(SUBSTITUTE(SUBSTITUTE(SUBSTITUTE(SUBSTITUTE(SUBSTITUTE(SUBSTITUTE(SUBSTITUTE(SUBSTITUTE(SUBSTITUTE(SUBSTITUTE(SUBSTITUTE(SUBSTITUTE(SUBSTITUTE(SUBSTITUTE(SUBSTITUTE(SUBSTITUTE(SUBSTITUTE(SUBSTITUTE(SUBSTITUTE(SUBSTITUTE(tabSindicatos[COMARCAS PAF],"á","a"),"ã","a"),"â","a"),"é","e"),"ê","e"),"í","i"),"ó","o"),"õ","o"),"ô","o"),"ú","u"),"ç","c"),"Á","a"),"Ã","a"),"Â","a"),"É","e"),"Ê","e"),"Í","i"),"Ó","o"),"Õ","o"),"Ô","o"),"Ú","u"),"Ç","c"),"/MG","")," e ",", ")," ",""),".",""))),
IFERROR(IF(_xlfn.XLOOKUP(tabParametros[[#This Row],[CCT DA CATEGORIA]],tabSindicatos[SINDICATOS],tabSindicatos[COMARCAS PAF])="",
VLOOKUP(tabParametros[[#This Row],[CCT DA CATEGORIA]],tabSindicatos[],8,0),
IF(ISNUMBER(SEARCH(TRIM(_xlpm.COMARCA),_xlfn.XLOOKUP(tabParametros[[#This Row],[CCT DA CATEGORIA]],tabSindicatos[SINDICATOS],_xlpm.MATRIZ_COMARCA),1)),VLOOKUP(tabParametros[[#This Row],[CCT DA CATEGORIA]],tabSindicatos[],8,0),0)
),0)
)</f>
        <v>42.97</v>
      </c>
      <c r="AE240" s="234">
        <f>IFERROR(VLOOKUP(tabParametros[[#This Row],[CCT DA CATEGORIA]],tabSindicatos[],9,0),0)</f>
        <v>0</v>
      </c>
      <c r="AF240" s="234">
        <f>IFERROR(VLOOKUP(tabParametros[[#This Row],[CCT DA CATEGORIA]],tabSindicatos[],10,0),0)</f>
        <v>0</v>
      </c>
      <c r="AG240" s="236">
        <f>VLOOKUP(tabParametros[[#Headers],[Seguro de Vida]],tabOutrosCustos[],3,0)</f>
        <v>3.36</v>
      </c>
      <c r="AH240" s="236">
        <f>IF(ISNUMBER(SEARCH("MOTORISTA",tabParametros[[#This Row],[Função]],1)),VLOOKUP("MOTORISTAS",tabDiarias[],2,0),IF(tabParametros[[#This Row],[Comarca]]="Belo Horizonte",VLOOKUP("LIMPEZA",tabDiarias[],2,0),0))</f>
        <v>0</v>
      </c>
      <c r="AI240" s="235">
        <f t="shared" si="35"/>
        <v>7.011766975308642E-3</v>
      </c>
      <c r="AJ240" s="237">
        <f>tabParametros[[#This Row],[FGTS]]*tabParametros[[#This Row],[Aviso Prévio Indenizado (API) e Reflexo do Aviso Prévio Indenizado]]</f>
        <v>5.609413580246914E-4</v>
      </c>
      <c r="AK240" s="237">
        <f>tabParametros[[#This Row],[FGTS]]*tabParametros[[#This Row],[Aviso Prévio Indenizado (API) e Reflexo do Aviso Prévio Indenizado]]*40%</f>
        <v>2.2437654320987658E-4</v>
      </c>
      <c r="AL240" s="235">
        <f t="shared" si="36"/>
        <v>3.5000000000000005E-3</v>
      </c>
      <c r="AM240" s="235">
        <f>tabParametros[[#This Row],[Aviso Prévio Trabalhado - APT]]*SUM(tabParametros[[#This Row],[INSS]:[SEBRAE]])</f>
        <v>1.3230000000000004E-3</v>
      </c>
      <c r="AN240" s="235">
        <f t="shared" si="37"/>
        <v>3.0577777777777773E-2</v>
      </c>
      <c r="AO240" s="235">
        <f t="shared" si="38"/>
        <v>8.3333333333333339E-4</v>
      </c>
      <c r="AP240" s="235">
        <f t="shared" si="39"/>
        <v>8.4444444444444437E-3</v>
      </c>
      <c r="AQ240" s="235">
        <f t="shared" si="40"/>
        <v>2.0277777777777777E-3</v>
      </c>
      <c r="AR240" s="235">
        <f t="shared" si="41"/>
        <v>1.7083333333333333E-4</v>
      </c>
      <c r="AS240" s="235">
        <f t="shared" si="42"/>
        <v>2.0833333333333335E-4</v>
      </c>
      <c r="AT240" s="235">
        <f t="shared" si="43"/>
        <v>1.2962962962962963E-3</v>
      </c>
      <c r="AU240" s="237">
        <f>SUM(tabParametros[[#This Row],[Ausência por Doença]:[Férias, Adicional de Férias e 13º  com empregada em gozo de Licença Maternidade]])*SUM(tabParametros[[#This Row],[INSS]:[SEBRAE]])</f>
        <v>4.5918250000000008E-3</v>
      </c>
      <c r="AV240" s="234">
        <f>IF(tabParametros[[#This Row],[Função]]="Porteiro - 220 h",SUM(tabParametros[[#This Row],[Salário Base]:[Adicional de Acúmulo de função]])/220*20*1.5,IF(ISNUMBER(SEARCH("12 x 36",tabParametros[[#This Row],[Função]],1)),SUM(tabParametros[[#This Row],[Salário Base]:[Adicional de Acúmulo de função]])/210*15.5*1.5,0))</f>
        <v>0</v>
      </c>
      <c r="AW240" s="234">
        <f>IF(tabParametros[[#This Row],[Vagas contratadas]]&gt;0,(SUM(tabParametros[[#This Row],[Salário Base]:[Adicional de Acúmulo de função]])*30%+SUM(tabParametros[[#This Row],[Vale - Alimentação]:[Seguro de Vida]]))/tabParametros[[#This Row],[Vagas contratadas]]*tabParametros[[#This Row],[Vagas suspensas]],0)</f>
        <v>0</v>
      </c>
      <c r="AX240" s="234">
        <f>SUMIF(tabUniformes[Cargo],tabParametros[[#This Row],[Função]],tabUniformes[Valor unit. Mensal])</f>
        <v>62.806666666666665</v>
      </c>
      <c r="AY240" s="281">
        <f>IF(ISNUMBER(SEARCH("AUXILIAR DE LIMPEZA - 75 H",tabParametros[[#This Row],[Função]],1)),
SUMIF(tabLimpGeral[TIPO],"Material",tabLimpGeral[VALOR UNITÁRIO P/ HORA (R$)])*75,
IF(ISNUMBER(SEARCH("AUXILIAR DE LIMPEZA - 110 H",tabParametros[[#This Row],[Função]],1)),
SUMIF(tabLimpGeral[TIPO],"Material",tabLimpGeral[VALOR UNITÁRIO P/ HORA (R$)])*110,
IF(ISNUMBER(SEARCH("AUXILIAR DE LIMPEZA - 150 H",tabParametros[[#This Row],[Função]],1)),
SUMIF(tabLimpGeral[TIPO],"Material",tabLimpGeral[VALOR UNITÁRIO P/ HORA (R$)])*150,
IF(ISNUMBER(SEARCH("AUXILIAR DE LIMPEZA - 220 H",tabParametros[[#This Row],[Função]],1)),
SUMIF(tabLimpGeral[TIPO],"Material",tabLimpGeral[VALOR UNITÁRIO P/ HORA (R$)])*220,
IF(ISNUMBER(SEARCH("AUXILIAR DE LIMPEZA - 12 x 36",tabParametros[[#This Row],[Função]],1)),
SUMIF(tabLimpGeral[TIPO],"Material",tabLimpGeral[VALOR UNITÁRIO P/ HORA (R$)])*220,
IF(ISNUMBER(SEARCH("Limpador de vidros - 220 h",tabParametros[[#This Row],[Função]],1)),
SUMIF(tabVidros[TIPO],"Material",tabVidros[VALOR UNITÁRIO P/ POSTO (R$)]),
0))))))</f>
        <v>17.759106479291944</v>
      </c>
      <c r="AZ240" s="281">
        <f>IF(ISNUMBER(SEARCH("AUXILIAR DE LIMPEZA - 75 H",tabParametros[[#This Row],[Função]],1)),
SUMIF(tabLimpGeral[TIPO],"Equipamento",tabLimpGeral[VALOR UNITÁRIO P/ HORA (R$)])*75,
IF(ISNUMBER(SEARCH("AUXILIAR DE LIMPEZA - 110 H",tabParametros[[#This Row],[Função]],1)),
SUMIF(tabLimpGeral[TIPO],"Equipamento",tabLimpGeral[VALOR UNITÁRIO P/ HORA (R$)])*110,
IF(ISNUMBER(SEARCH("AUXILIAR DE LIMPEZA - 150 H",tabParametros[[#This Row],[Função]],1)),
SUMIF(tabLimpGeral[TIPO],"Equipamento",tabLimpGeral[VALOR UNITÁRIO P/ HORA (R$)])*150,
IF(ISNUMBER(SEARCH("AUXILIAR DE LIMPEZA - 220 H",tabParametros[[#This Row],[Função]],1)),
SUMIF(tabLimpGeral[TIPO],"Equipamento",tabLimpGeral[VALOR UNITÁRIO P/ HORA (R$)])*220,
IF(ISNUMBER(SEARCH("AUXILIAR DE LIMPEZA - 12 x 36",tabParametros[[#This Row],[Função]],1)),
SUMIF(tabLimpGeral[TIPO],"Equipamento",tabLimpGeral[VALOR UNITÁRIO P/ HORA (R$)])*220,
IF(ISNUMBER(SEARCH("Limpador de vidros - 220 h",tabParametros[[#This Row],[Função]],1)),
SUMIF(tabVidros[TIPO],"Equipamento",tabVidros[VALOR UNITÁRIO P/ POSTO (R$)]),
0))))))</f>
        <v>32.264696957412788</v>
      </c>
      <c r="BA240" s="281">
        <f>IF(ISNUMBER(SEARCH("AUXILIAR DE LIMPEZA - 75 H",tabParametros[[#This Row],[Função]],1)),
SUMIF(tabLimpGeral[TIPO],"Produto",tabLimpGeral[VALOR UNITÁRIO P/ HORA (R$)])*75,
IF(ISNUMBER(SEARCH("AUXILIAR DE LIMPEZA - 110 H",tabParametros[[#This Row],[Função]],1)),
SUMIF(tabLimpGeral[TIPO],"Produto",tabLimpGeral[VALOR UNITÁRIO P/ HORA (R$)])*110,
IF(ISNUMBER(SEARCH("AUXILIAR DE LIMPEZA - 150 H",tabParametros[[#This Row],[Função]],1)),
SUMIF(tabLimpGeral[TIPO],"Produto",tabLimpGeral[VALOR UNITÁRIO P/ HORA (R$)])*150,
IF(ISNUMBER(SEARCH("AUXILIAR DE LIMPEZA - 220 H",tabParametros[[#This Row],[Função]],1)),
SUMIF(tabLimpGeral[TIPO],"Produto",tabLimpGeral[VALOR UNITÁRIO P/ HORA (R$)])*220,
IF(ISNUMBER(SEARCH("AUXILIAR DE LIMPEZA - 12 x 36",tabParametros[[#This Row],[Função]],1)),
SUMIF(tabLimpGeral[TIPO],"Produto",tabLimpGeral[VALOR UNITÁRIO P/ HORA (R$)])*220,
IF(ISNUMBER(SEARCH("Limpador de vidros - 220 h",tabParametros[[#This Row],[Função]],1)),
SUMIF(tabVidros[TIPO],"Produto",tabVidros[VALOR UNITÁRIO P/ POSTO (R$)]),
0))))))</f>
        <v>345.13576638965827</v>
      </c>
      <c r="BB240" s="281">
        <v>0</v>
      </c>
      <c r="BC240" s="236">
        <f>VLOOKUP(tabParametros[[#Headers],[Custos Indiretos]],tabOutrosCustos[],3,0)</f>
        <v>189.64880140242613</v>
      </c>
      <c r="BD240" s="236">
        <f>VLOOKUP(tabParametros[[#Headers],[Lucro]],tabOutrosCustos[],3,0)</f>
        <v>159.30499317803796</v>
      </c>
      <c r="BE240" s="235">
        <f>VLOOKUP(tabParametros[[#Headers],[COFINS]],tabImpostosNacionais[],2,0)</f>
        <v>7.5999999999999998E-2</v>
      </c>
      <c r="BF240" s="235">
        <f>VLOOKUP(tabParametros[[#Headers],[PIS]],tabImpostosNacionais[],2,0)</f>
        <v>1.6500000000000001E-2</v>
      </c>
      <c r="BG240" s="235">
        <f>VLOOKUP(tabParametros[[#This Row],[Comarca]],tabComarca[],4,0)</f>
        <v>0.02</v>
      </c>
      <c r="BH240" s="238">
        <f>IFERROR(VLOOKUP(tabParametros[[#This Row],[CCT DA CATEGORIA]],tabSindicatos[],11,0),"")</f>
        <v>45658</v>
      </c>
      <c r="BI240" s="289" t="str">
        <f>IFERROR(VLOOKUP(tabParametros[[#This Row],[CCT DA CATEGORIA]],tabSindicatos[],12,0),"")</f>
        <v>-</v>
      </c>
      <c r="BJ240" s="293" t="str">
        <f>IFERROR(VLOOKUP(tabParametros[[#This Row],[CCT DA CATEGORIA]],tabSindicatos[],13,0),"")</f>
        <v>-</v>
      </c>
    </row>
    <row r="241" spans="1:62" x14ac:dyDescent="0.25">
      <c r="A241" s="233" t="s">
        <v>1576</v>
      </c>
      <c r="B241" s="198" t="s">
        <v>218</v>
      </c>
      <c r="C241" s="198" t="s">
        <v>1245</v>
      </c>
      <c r="D241" s="198" t="str">
        <f>VLOOKUP(tabParametros[[#This Row],[Código do Posto]],tabPostos[],4,0)</f>
        <v>Alto Paranaiba</v>
      </c>
      <c r="E241" s="289" t="str">
        <f>VLOOKUP(tabParametros[[#This Row],[Código do Posto]],tabPostos[],5,0)</f>
        <v>Limpeza</v>
      </c>
      <c r="F241" s="289" t="str">
        <f>VLOOKUP(tabParametros[[#This Row],[Código do Posto]],tabPostos[],6,0)</f>
        <v>PGJ</v>
      </c>
      <c r="G241" s="289">
        <f>VLOOKUP(tabParametros[[#This Row],[Código do Posto]],tabPostos[],7,0)</f>
        <v>1</v>
      </c>
      <c r="H241" s="289">
        <f>VLOOKUP(tabParametros[[#This Row],[Código do Posto]],tabPostos[],8,0)</f>
        <v>0</v>
      </c>
      <c r="I241" s="234">
        <f>VLOOKUP(tabParametros[[#This Row],[Código do Posto]],tabPostos[],9,0)</f>
        <v>1596.28</v>
      </c>
      <c r="J241" s="234">
        <f>IF(ISNUMBER(SEARCH("Eletricista",tabParametros[[#This Row],[Função]],1)),0.3*tabParametros[[#This Row],[Salário Base]],0)</f>
        <v>0</v>
      </c>
      <c r="K241" s="234">
        <f>IF(OR(ISNUMBER(SEARCH("Bombeiro Hidraulico",tabParametros[[#This Row],[Função]],1)),ISNUMBER(SEARCH("Jardineiro",tabParametros[[#This Row],[Função]],1)),ISNUMBER(SEARCH("Lavador de Veiculos",tabParametros[[#This Row],[Função]],1)),ISNUMBER(SEARCH("Marceneiro",tabParametros[[#This Row],[Função]],1)),ISNUMBER(SEARCH("Pintor",tabParametros[[#This Row],[Função]],1))),0.2*'BASE GERAL'!$R$4,0)</f>
        <v>0</v>
      </c>
      <c r="L241" s="234">
        <f>IF(AND(ISNUMBER(SEARCH("Noturno",tabParametros[[#This Row],[Função]],1)),tabParametros[[#This Row],[Comarca]]&lt;&gt;"Juiz de Fora"),tabParametros[[#This Row],[Salário Base]]/210*0.39*7*15.5,IF(ISNUMBER(SEARCH("Noturno",tabParametros[[#This Row],[Função]],1)),tabParametros[[#This Row],[Salário Base]]/210*0.2*8*15.5,0))</f>
        <v>0</v>
      </c>
      <c r="M241" s="234">
        <f>IF(ISNUMBER(SEARCH("Motorista II",tabParametros[[#This Row],[Função]],1)),0.25*tabParametros[[#This Row],[Salário Base]],0)</f>
        <v>0</v>
      </c>
      <c r="N241" s="250">
        <v>0</v>
      </c>
      <c r="O241" s="234">
        <f>IF(ISNUMBER(SEARCH("TECNOLOGIA DA INFORMACAO",tabParametros[[#This Row],[Função]],1)),0.0201*tabParametros[[#This Row],[Salário Base]],0)</f>
        <v>0</v>
      </c>
      <c r="P241" s="250" cm="1">
        <f t="array" ref="P241">_xlfn.IFS(
ISNUMBER(SEARCH("Auxiliar de Limpeza - 75 h",tabParametros[[#This Row],[Função]],1)),tabParametros[[#This Row],[Salário Base]]/75*0.75*30*0.12,
ISNUMBER(SEARCH("Auxiliar de Limpeza - 110 h",tabParametros[[#This Row],[Função]],1)),tabParametros[[#This Row],[Salário Base]]/110*1*30*0.12,
ISNUMBER(SEARCH("Auxiliar de Limpeza - 150 h",tabParametros[[#This Row],[Função]],1)),tabParametros[[#This Row],[Salário Base]]/150*1.5*30*0.12,
ISNUMBER(SEARCH("Auxiliar de Limpeza - 220 h",tabParametros[[#This Row],[Função]],1)),tabParametros[[#This Row],[Salário Base]]/220*2*30*0.12,
ISNUMBER(SEARCH("Auxiliar de Limpeza - 12 x 36",tabParametros[[#This Row],[Função]],1)),tabParametros[[#This Row],[Salário Base]]/220*2*30*0.12,
ISNUMBER(SEARCH("Auxiliar de Limpeza - 55 h",tabParametros[[#This Row],[Função]],1))=FALSE,0)</f>
        <v>52.241890909090905</v>
      </c>
      <c r="Q241" s="235">
        <f>VLOOKUP(tabParametros[[#Headers],[INSS]],tabImpostosNacionais[],2,0)</f>
        <v>0.2</v>
      </c>
      <c r="R241" s="235">
        <f>VLOOKUP(tabParametros[[#Headers],[SESI OU SESC]],tabImpostosNacionais[],2,0)</f>
        <v>1.4999999999999999E-2</v>
      </c>
      <c r="S241" s="235">
        <f>VLOOKUP(tabParametros[[#Headers],[SENAI OU SENAC]],tabImpostosNacionais[],2,0)</f>
        <v>0.01</v>
      </c>
      <c r="T241" s="235">
        <f>VLOOKUP(tabParametros[[#Headers],[INCRA]],tabImpostosNacionais[],2,0)</f>
        <v>2E-3</v>
      </c>
      <c r="U241" s="235">
        <f>VLOOKUP(tabParametros[[#Headers],[Salário Educação]],tabImpostosNacionais[],2,0)</f>
        <v>2.5000000000000001E-2</v>
      </c>
      <c r="V241" s="235">
        <f>VLOOKUP(tabParametros[[#Headers],[FGTS]],tabImpostosNacionais[],2,0)</f>
        <v>0.08</v>
      </c>
      <c r="W241" s="235">
        <f>VLOOKUP(tabParametros[[#Headers],[RAT Ajustado]],tabImpostosNacionais[],2,0)</f>
        <v>0.04</v>
      </c>
      <c r="X241" s="235">
        <f>VLOOKUP(tabParametros[[#Headers],[SEBRAE]],tabImpostosNacionais[],2,0)</f>
        <v>6.0000000000000001E-3</v>
      </c>
      <c r="Y241" s="235">
        <f t="shared" si="33"/>
        <v>8.3333333333333329E-2</v>
      </c>
      <c r="Z241" s="251">
        <f t="shared" si="34"/>
        <v>0.1111111111111111</v>
      </c>
      <c r="AA241" s="234">
        <f>VLOOKUP(tabParametros[[#This Row],[Comarca]],tabComarca[],5,0)</f>
        <v>6.4</v>
      </c>
      <c r="AB241" s="234">
        <f>IFERROR(VLOOKUP(tabParametros[[#This Row],[CCT DA CATEGORIA]],tabSindicatos[],6,0),0)</f>
        <v>0</v>
      </c>
      <c r="AC241" s="234">
        <f>IFERROR(VLOOKUP(tabParametros[[#This Row],[CCT DA CATEGORIA]],tabSindicatos[],7,0),0)</f>
        <v>387.79</v>
      </c>
      <c r="AD241" s="234" cm="1">
        <f t="array" ref="AD241">_xlfn.LET(
_xlpm.COMARCA, TRIM(UPPER(SUBSTITUTE(SUBSTITUTE(SUBSTITUTE(SUBSTITUTE(SUBSTITUTE(SUBSTITUTE(SUBSTITUTE(SUBSTITUTE(SUBSTITUTE(SUBSTITUTE(SUBSTITUTE(SUBSTITUTE(SUBSTITUTE(SUBSTITUTE(SUBSTITUTE(SUBSTITUTE(SUBSTITUTE(SUBSTITUTE(SUBSTITUTE(SUBSTITUTE(SUBSTITUTE(SUBSTITUTE(SUBSTITUTE(SUBSTITUTE(SUBSTITUTE(SUBSTITUTE(tabParametros[[#This Row],[Comarca]],"á","a"),"ã","a"),"â","a"),"é","e"),"ê","e"),"í","i"),"ó","o"),"õ","o"),"ô","o"),"ú","u"),"ç","c"),"Á","a"),"Ã","a"),"Â","a"),"É","e"),"Ê","e"),"Í","i"),"Ó","o"),"Õ","o"),"Ô","o"),"Ú","u"),"Ç","c"),"/MG","")," e ",", ")," ",""),".",""))),
_xlpm.MATRIZ_COMARCA, TRIM(UPPER(SUBSTITUTE(SUBSTITUTE(SUBSTITUTE(SUBSTITUTE(SUBSTITUTE(SUBSTITUTE(SUBSTITUTE(SUBSTITUTE(SUBSTITUTE(SUBSTITUTE(SUBSTITUTE(SUBSTITUTE(SUBSTITUTE(SUBSTITUTE(SUBSTITUTE(SUBSTITUTE(SUBSTITUTE(SUBSTITUTE(SUBSTITUTE(SUBSTITUTE(SUBSTITUTE(SUBSTITUTE(SUBSTITUTE(SUBSTITUTE(SUBSTITUTE(SUBSTITUTE(tabSindicatos[COMARCAS PAF],"á","a"),"ã","a"),"â","a"),"é","e"),"ê","e"),"í","i"),"ó","o"),"õ","o"),"ô","o"),"ú","u"),"ç","c"),"Á","a"),"Ã","a"),"Â","a"),"É","e"),"Ê","e"),"Í","i"),"Ó","o"),"Õ","o"),"Ô","o"),"Ú","u"),"Ç","c"),"/MG","")," e ",", ")," ",""),".",""))),
IFERROR(IF(_xlfn.XLOOKUP(tabParametros[[#This Row],[CCT DA CATEGORIA]],tabSindicatos[SINDICATOS],tabSindicatos[COMARCAS PAF])="",
VLOOKUP(tabParametros[[#This Row],[CCT DA CATEGORIA]],tabSindicatos[],8,0),
IF(ISNUMBER(SEARCH(TRIM(_xlpm.COMARCA),_xlfn.XLOOKUP(tabParametros[[#This Row],[CCT DA CATEGORIA]],tabSindicatos[SINDICATOS],_xlpm.MATRIZ_COMARCA),1)),VLOOKUP(tabParametros[[#This Row],[CCT DA CATEGORIA]],tabSindicatos[],8,0),0)
),0)
)</f>
        <v>42.97</v>
      </c>
      <c r="AE241" s="234">
        <f>IFERROR(VLOOKUP(tabParametros[[#This Row],[CCT DA CATEGORIA]],tabSindicatos[],9,0),0)</f>
        <v>0</v>
      </c>
      <c r="AF241" s="234">
        <f>IFERROR(VLOOKUP(tabParametros[[#This Row],[CCT DA CATEGORIA]],tabSindicatos[],10,0),0)</f>
        <v>0</v>
      </c>
      <c r="AG241" s="236">
        <f>VLOOKUP(tabParametros[[#Headers],[Seguro de Vida]],tabOutrosCustos[],3,0)</f>
        <v>3.36</v>
      </c>
      <c r="AH241" s="236">
        <f>IF(ISNUMBER(SEARCH("MOTORISTA",tabParametros[[#This Row],[Função]],1)),VLOOKUP("MOTORISTAS",tabDiarias[],2,0),IF(tabParametros[[#This Row],[Comarca]]="Belo Horizonte",VLOOKUP("LIMPEZA",tabDiarias[],2,0),0))</f>
        <v>0</v>
      </c>
      <c r="AI241" s="235">
        <f t="shared" si="35"/>
        <v>7.011766975308642E-3</v>
      </c>
      <c r="AJ241" s="237">
        <f>tabParametros[[#This Row],[FGTS]]*tabParametros[[#This Row],[Aviso Prévio Indenizado (API) e Reflexo do Aviso Prévio Indenizado]]</f>
        <v>5.609413580246914E-4</v>
      </c>
      <c r="AK241" s="237">
        <f>tabParametros[[#This Row],[FGTS]]*tabParametros[[#This Row],[Aviso Prévio Indenizado (API) e Reflexo do Aviso Prévio Indenizado]]*40%</f>
        <v>2.2437654320987658E-4</v>
      </c>
      <c r="AL241" s="235">
        <f t="shared" si="36"/>
        <v>3.5000000000000005E-3</v>
      </c>
      <c r="AM241" s="235">
        <f>tabParametros[[#This Row],[Aviso Prévio Trabalhado - APT]]*SUM(tabParametros[[#This Row],[INSS]:[SEBRAE]])</f>
        <v>1.3230000000000004E-3</v>
      </c>
      <c r="AN241" s="235">
        <f t="shared" si="37"/>
        <v>3.0577777777777773E-2</v>
      </c>
      <c r="AO241" s="235">
        <f t="shared" si="38"/>
        <v>8.3333333333333339E-4</v>
      </c>
      <c r="AP241" s="235">
        <f t="shared" si="39"/>
        <v>8.4444444444444437E-3</v>
      </c>
      <c r="AQ241" s="235">
        <f t="shared" si="40"/>
        <v>2.0277777777777777E-3</v>
      </c>
      <c r="AR241" s="235">
        <f t="shared" si="41"/>
        <v>1.7083333333333333E-4</v>
      </c>
      <c r="AS241" s="235">
        <f t="shared" si="42"/>
        <v>2.0833333333333335E-4</v>
      </c>
      <c r="AT241" s="235">
        <f t="shared" si="43"/>
        <v>1.2962962962962963E-3</v>
      </c>
      <c r="AU241" s="237">
        <f>SUM(tabParametros[[#This Row],[Ausência por Doença]:[Férias, Adicional de Férias e 13º  com empregada em gozo de Licença Maternidade]])*SUM(tabParametros[[#This Row],[INSS]:[SEBRAE]])</f>
        <v>4.5918250000000008E-3</v>
      </c>
      <c r="AV241" s="234">
        <f>IF(tabParametros[[#This Row],[Função]]="Porteiro - 220 h",SUM(tabParametros[[#This Row],[Salário Base]:[Adicional de Acúmulo de função]])/220*20*1.5,IF(ISNUMBER(SEARCH("12 x 36",tabParametros[[#This Row],[Função]],1)),SUM(tabParametros[[#This Row],[Salário Base]:[Adicional de Acúmulo de função]])/210*15.5*1.5,0))</f>
        <v>0</v>
      </c>
      <c r="AW241" s="234">
        <f>IF(tabParametros[[#This Row],[Vagas contratadas]]&gt;0,(SUM(tabParametros[[#This Row],[Salário Base]:[Adicional de Acúmulo de função]])*30%+SUM(tabParametros[[#This Row],[Vale - Alimentação]:[Seguro de Vida]]))/tabParametros[[#This Row],[Vagas contratadas]]*tabParametros[[#This Row],[Vagas suspensas]],0)</f>
        <v>0</v>
      </c>
      <c r="AX241" s="234">
        <f>SUMIF(tabUniformes[Cargo],tabParametros[[#This Row],[Função]],tabUniformes[Valor unit. Mensal])</f>
        <v>100.80916666666666</v>
      </c>
      <c r="AY241" s="281">
        <f>IF(ISNUMBER(SEARCH("AUXILIAR DE LIMPEZA - 75 H",tabParametros[[#This Row],[Função]],1)),
SUMIF(tabLimpGeral[TIPO],"Material",tabLimpGeral[VALOR UNITÁRIO P/ HORA (R$)])*75,
IF(ISNUMBER(SEARCH("AUXILIAR DE LIMPEZA - 110 H",tabParametros[[#This Row],[Função]],1)),
SUMIF(tabLimpGeral[TIPO],"Material",tabLimpGeral[VALOR UNITÁRIO P/ HORA (R$)])*110,
IF(ISNUMBER(SEARCH("AUXILIAR DE LIMPEZA - 150 H",tabParametros[[#This Row],[Função]],1)),
SUMIF(tabLimpGeral[TIPO],"Material",tabLimpGeral[VALOR UNITÁRIO P/ HORA (R$)])*150,
IF(ISNUMBER(SEARCH("AUXILIAR DE LIMPEZA - 220 H",tabParametros[[#This Row],[Função]],1)),
SUMIF(tabLimpGeral[TIPO],"Material",tabLimpGeral[VALOR UNITÁRIO P/ HORA (R$)])*220,
IF(ISNUMBER(SEARCH("AUXILIAR DE LIMPEZA - 12 x 36",tabParametros[[#This Row],[Função]],1)),
SUMIF(tabLimpGeral[TIPO],"Material",tabLimpGeral[VALOR UNITÁRIO P/ HORA (R$)])*220,
IF(ISNUMBER(SEARCH("Limpador de vidros - 220 h",tabParametros[[#This Row],[Função]],1)),
SUMIF(tabVidros[TIPO],"Material",tabVidros[VALOR UNITÁRIO P/ POSTO (R$)]),
0))))))</f>
        <v>35.518212958583888</v>
      </c>
      <c r="AZ241" s="281">
        <f>IF(ISNUMBER(SEARCH("AUXILIAR DE LIMPEZA - 75 H",tabParametros[[#This Row],[Função]],1)),
SUMIF(tabLimpGeral[TIPO],"Equipamento",tabLimpGeral[VALOR UNITÁRIO P/ HORA (R$)])*75,
IF(ISNUMBER(SEARCH("AUXILIAR DE LIMPEZA - 110 H",tabParametros[[#This Row],[Função]],1)),
SUMIF(tabLimpGeral[TIPO],"Equipamento",tabLimpGeral[VALOR UNITÁRIO P/ HORA (R$)])*110,
IF(ISNUMBER(SEARCH("AUXILIAR DE LIMPEZA - 150 H",tabParametros[[#This Row],[Função]],1)),
SUMIF(tabLimpGeral[TIPO],"Equipamento",tabLimpGeral[VALOR UNITÁRIO P/ HORA (R$)])*150,
IF(ISNUMBER(SEARCH("AUXILIAR DE LIMPEZA - 220 H",tabParametros[[#This Row],[Função]],1)),
SUMIF(tabLimpGeral[TIPO],"Equipamento",tabLimpGeral[VALOR UNITÁRIO P/ HORA (R$)])*220,
IF(ISNUMBER(SEARCH("AUXILIAR DE LIMPEZA - 12 x 36",tabParametros[[#This Row],[Função]],1)),
SUMIF(tabLimpGeral[TIPO],"Equipamento",tabLimpGeral[VALOR UNITÁRIO P/ HORA (R$)])*220,
IF(ISNUMBER(SEARCH("Limpador de vidros - 220 h",tabParametros[[#This Row],[Função]],1)),
SUMIF(tabVidros[TIPO],"Equipamento",tabVidros[VALOR UNITÁRIO P/ POSTO (R$)]),
0))))))</f>
        <v>64.529393914825576</v>
      </c>
      <c r="BA241" s="281">
        <f>IF(ISNUMBER(SEARCH("AUXILIAR DE LIMPEZA - 75 H",tabParametros[[#This Row],[Função]],1)),
SUMIF(tabLimpGeral[TIPO],"Produto",tabLimpGeral[VALOR UNITÁRIO P/ HORA (R$)])*75,
IF(ISNUMBER(SEARCH("AUXILIAR DE LIMPEZA - 110 H",tabParametros[[#This Row],[Função]],1)),
SUMIF(tabLimpGeral[TIPO],"Produto",tabLimpGeral[VALOR UNITÁRIO P/ HORA (R$)])*110,
IF(ISNUMBER(SEARCH("AUXILIAR DE LIMPEZA - 150 H",tabParametros[[#This Row],[Função]],1)),
SUMIF(tabLimpGeral[TIPO],"Produto",tabLimpGeral[VALOR UNITÁRIO P/ HORA (R$)])*150,
IF(ISNUMBER(SEARCH("AUXILIAR DE LIMPEZA - 220 H",tabParametros[[#This Row],[Função]],1)),
SUMIF(tabLimpGeral[TIPO],"Produto",tabLimpGeral[VALOR UNITÁRIO P/ HORA (R$)])*220,
IF(ISNUMBER(SEARCH("AUXILIAR DE LIMPEZA - 12 x 36",tabParametros[[#This Row],[Função]],1)),
SUMIF(tabLimpGeral[TIPO],"Produto",tabLimpGeral[VALOR UNITÁRIO P/ HORA (R$)])*220,
IF(ISNUMBER(SEARCH("Limpador de vidros - 220 h",tabParametros[[#This Row],[Função]],1)),
SUMIF(tabVidros[TIPO],"Produto",tabVidros[VALOR UNITÁRIO P/ POSTO (R$)]),
0))))))</f>
        <v>690.27153277931654</v>
      </c>
      <c r="BB241" s="281">
        <v>0</v>
      </c>
      <c r="BC241" s="236">
        <f>VLOOKUP(tabParametros[[#Headers],[Custos Indiretos]],tabOutrosCustos[],3,0)</f>
        <v>189.64880140242613</v>
      </c>
      <c r="BD241" s="236">
        <f>VLOOKUP(tabParametros[[#Headers],[Lucro]],tabOutrosCustos[],3,0)</f>
        <v>159.30499317803796</v>
      </c>
      <c r="BE241" s="235">
        <f>VLOOKUP(tabParametros[[#Headers],[COFINS]],tabImpostosNacionais[],2,0)</f>
        <v>7.5999999999999998E-2</v>
      </c>
      <c r="BF241" s="235">
        <f>VLOOKUP(tabParametros[[#Headers],[PIS]],tabImpostosNacionais[],2,0)</f>
        <v>1.6500000000000001E-2</v>
      </c>
      <c r="BG241" s="235">
        <f>VLOOKUP(tabParametros[[#This Row],[Comarca]],tabComarca[],4,0)</f>
        <v>0.02</v>
      </c>
      <c r="BH241" s="238">
        <f>IFERROR(VLOOKUP(tabParametros[[#This Row],[CCT DA CATEGORIA]],tabSindicatos[],11,0),"")</f>
        <v>45658</v>
      </c>
      <c r="BI241" s="289" t="str">
        <f>IFERROR(VLOOKUP(tabParametros[[#This Row],[CCT DA CATEGORIA]],tabSindicatos[],12,0),"")</f>
        <v>-</v>
      </c>
      <c r="BJ241" s="293" t="str">
        <f>IFERROR(VLOOKUP(tabParametros[[#This Row],[CCT DA CATEGORIA]],tabSindicatos[],13,0),"")</f>
        <v>-</v>
      </c>
    </row>
    <row r="242" spans="1:62" x14ac:dyDescent="0.25">
      <c r="A242" s="233" t="s">
        <v>1577</v>
      </c>
      <c r="B242" s="198" t="s">
        <v>219</v>
      </c>
      <c r="C242" s="198" t="s">
        <v>1244</v>
      </c>
      <c r="D242" s="198" t="str">
        <f>VLOOKUP(tabParametros[[#This Row],[Código do Posto]],tabPostos[],4,0)</f>
        <v>Fethemg Interior</v>
      </c>
      <c r="E242" s="289" t="str">
        <f>VLOOKUP(tabParametros[[#This Row],[Código do Posto]],tabPostos[],5,0)</f>
        <v>Limpeza</v>
      </c>
      <c r="F242" s="289" t="str">
        <f>VLOOKUP(tabParametros[[#This Row],[Código do Posto]],tabPostos[],6,0)</f>
        <v>PGJ</v>
      </c>
      <c r="G242" s="289">
        <f>VLOOKUP(tabParametros[[#This Row],[Código do Posto]],tabPostos[],7,0)</f>
        <v>1</v>
      </c>
      <c r="H242" s="289">
        <f>VLOOKUP(tabParametros[[#This Row],[Código do Posto]],tabPostos[],8,0)</f>
        <v>0</v>
      </c>
      <c r="I242" s="234">
        <f>VLOOKUP(tabParametros[[#This Row],[Código do Posto]],tabPostos[],9,0)</f>
        <v>798.14</v>
      </c>
      <c r="J242" s="234">
        <f>IF(ISNUMBER(SEARCH("Eletricista",tabParametros[[#This Row],[Função]],1)),0.3*tabParametros[[#This Row],[Salário Base]],0)</f>
        <v>0</v>
      </c>
      <c r="K242" s="234">
        <f>IF(OR(ISNUMBER(SEARCH("Bombeiro Hidraulico",tabParametros[[#This Row],[Função]],1)),ISNUMBER(SEARCH("Jardineiro",tabParametros[[#This Row],[Função]],1)),ISNUMBER(SEARCH("Lavador de Veiculos",tabParametros[[#This Row],[Função]],1)),ISNUMBER(SEARCH("Marceneiro",tabParametros[[#This Row],[Função]],1)),ISNUMBER(SEARCH("Pintor",tabParametros[[#This Row],[Função]],1))),0.2*'BASE GERAL'!$R$4,0)</f>
        <v>0</v>
      </c>
      <c r="L242" s="234">
        <f>IF(AND(ISNUMBER(SEARCH("Noturno",tabParametros[[#This Row],[Função]],1)),tabParametros[[#This Row],[Comarca]]&lt;&gt;"Juiz de Fora"),tabParametros[[#This Row],[Salário Base]]/210*0.39*7*15.5,IF(ISNUMBER(SEARCH("Noturno",tabParametros[[#This Row],[Função]],1)),tabParametros[[#This Row],[Salário Base]]/210*0.2*8*15.5,0))</f>
        <v>0</v>
      </c>
      <c r="M242" s="234">
        <f>IF(ISNUMBER(SEARCH("Motorista II",tabParametros[[#This Row],[Função]],1)),0.25*tabParametros[[#This Row],[Salário Base]],0)</f>
        <v>0</v>
      </c>
      <c r="N242" s="250">
        <v>0</v>
      </c>
      <c r="O242" s="234">
        <f>IF(ISNUMBER(SEARCH("TECNOLOGIA DA INFORMACAO",tabParametros[[#This Row],[Função]],1)),0.0201*tabParametros[[#This Row],[Salário Base]],0)</f>
        <v>0</v>
      </c>
      <c r="P242" s="250" cm="1">
        <f t="array" ref="P242">_xlfn.IFS(
ISNUMBER(SEARCH("Auxiliar de Limpeza - 75 h",tabParametros[[#This Row],[Função]],1)),tabParametros[[#This Row],[Salário Base]]/75*0.75*30*0.12,
ISNUMBER(SEARCH("Auxiliar de Limpeza - 110 h",tabParametros[[#This Row],[Função]],1)),tabParametros[[#This Row],[Salário Base]]/110*1*30*0.12,
ISNUMBER(SEARCH("Auxiliar de Limpeza - 150 h",tabParametros[[#This Row],[Função]],1)),tabParametros[[#This Row],[Salário Base]]/150*1.5*30*0.12,
ISNUMBER(SEARCH("Auxiliar de Limpeza - 220 h",tabParametros[[#This Row],[Função]],1)),tabParametros[[#This Row],[Salário Base]]/220*2*30*0.12,
ISNUMBER(SEARCH("Auxiliar de Limpeza - 12 x 36",tabParametros[[#This Row],[Função]],1)),tabParametros[[#This Row],[Salário Base]]/220*2*30*0.12,
ISNUMBER(SEARCH("Auxiliar de Limpeza - 55 h",tabParametros[[#This Row],[Função]],1))=FALSE,0)</f>
        <v>26.120945454545453</v>
      </c>
      <c r="Q242" s="235">
        <f>VLOOKUP(tabParametros[[#Headers],[INSS]],tabImpostosNacionais[],2,0)</f>
        <v>0.2</v>
      </c>
      <c r="R242" s="235">
        <f>VLOOKUP(tabParametros[[#Headers],[SESI OU SESC]],tabImpostosNacionais[],2,0)</f>
        <v>1.4999999999999999E-2</v>
      </c>
      <c r="S242" s="235">
        <f>VLOOKUP(tabParametros[[#Headers],[SENAI OU SENAC]],tabImpostosNacionais[],2,0)</f>
        <v>0.01</v>
      </c>
      <c r="T242" s="235">
        <f>VLOOKUP(tabParametros[[#Headers],[INCRA]],tabImpostosNacionais[],2,0)</f>
        <v>2E-3</v>
      </c>
      <c r="U242" s="235">
        <f>VLOOKUP(tabParametros[[#Headers],[Salário Educação]],tabImpostosNacionais[],2,0)</f>
        <v>2.5000000000000001E-2</v>
      </c>
      <c r="V242" s="235">
        <f>VLOOKUP(tabParametros[[#Headers],[FGTS]],tabImpostosNacionais[],2,0)</f>
        <v>0.08</v>
      </c>
      <c r="W242" s="235">
        <f>VLOOKUP(tabParametros[[#Headers],[RAT Ajustado]],tabImpostosNacionais[],2,0)</f>
        <v>0.04</v>
      </c>
      <c r="X242" s="235">
        <f>VLOOKUP(tabParametros[[#Headers],[SEBRAE]],tabImpostosNacionais[],2,0)</f>
        <v>6.0000000000000001E-3</v>
      </c>
      <c r="Y242" s="235">
        <f t="shared" si="33"/>
        <v>8.3333333333333329E-2</v>
      </c>
      <c r="Z242" s="251">
        <f t="shared" si="34"/>
        <v>0.1111111111111111</v>
      </c>
      <c r="AA242" s="234">
        <f>VLOOKUP(tabParametros[[#This Row],[Comarca]],tabComarca[],5,0)</f>
        <v>6.4</v>
      </c>
      <c r="AB242" s="234">
        <f>IFERROR(VLOOKUP(tabParametros[[#This Row],[CCT DA CATEGORIA]],tabSindicatos[],6,0),0)</f>
        <v>29.15</v>
      </c>
      <c r="AC242" s="234">
        <f>IFERROR(VLOOKUP(tabParametros[[#This Row],[CCT DA CATEGORIA]],tabSindicatos[],7,0),0)</f>
        <v>0</v>
      </c>
      <c r="AD242" s="234" cm="1">
        <f t="array" ref="AD242">_xlfn.LET(
_xlpm.COMARCA, TRIM(UPPER(SUBSTITUTE(SUBSTITUTE(SUBSTITUTE(SUBSTITUTE(SUBSTITUTE(SUBSTITUTE(SUBSTITUTE(SUBSTITUTE(SUBSTITUTE(SUBSTITUTE(SUBSTITUTE(SUBSTITUTE(SUBSTITUTE(SUBSTITUTE(SUBSTITUTE(SUBSTITUTE(SUBSTITUTE(SUBSTITUTE(SUBSTITUTE(SUBSTITUTE(SUBSTITUTE(SUBSTITUTE(SUBSTITUTE(SUBSTITUTE(SUBSTITUTE(SUBSTITUTE(tabParametros[[#This Row],[Comarca]],"á","a"),"ã","a"),"â","a"),"é","e"),"ê","e"),"í","i"),"ó","o"),"õ","o"),"ô","o"),"ú","u"),"ç","c"),"Á","a"),"Ã","a"),"Â","a"),"É","e"),"Ê","e"),"Í","i"),"Ó","o"),"Õ","o"),"Ô","o"),"Ú","u"),"Ç","c"),"/MG","")," e ",", ")," ",""),".",""))),
_xlpm.MATRIZ_COMARCA, TRIM(UPPER(SUBSTITUTE(SUBSTITUTE(SUBSTITUTE(SUBSTITUTE(SUBSTITUTE(SUBSTITUTE(SUBSTITUTE(SUBSTITUTE(SUBSTITUTE(SUBSTITUTE(SUBSTITUTE(SUBSTITUTE(SUBSTITUTE(SUBSTITUTE(SUBSTITUTE(SUBSTITUTE(SUBSTITUTE(SUBSTITUTE(SUBSTITUTE(SUBSTITUTE(SUBSTITUTE(SUBSTITUTE(SUBSTITUTE(SUBSTITUTE(SUBSTITUTE(SUBSTITUTE(tabSindicatos[COMARCAS PAF],"á","a"),"ã","a"),"â","a"),"é","e"),"ê","e"),"í","i"),"ó","o"),"õ","o"),"ô","o"),"ú","u"),"ç","c"),"Á","a"),"Ã","a"),"Â","a"),"É","e"),"Ê","e"),"Í","i"),"Ó","o"),"Õ","o"),"Ô","o"),"Ú","u"),"Ç","c"),"/MG","")," e ",", ")," ",""),".",""))),
IFERROR(IF(_xlfn.XLOOKUP(tabParametros[[#This Row],[CCT DA CATEGORIA]],tabSindicatos[SINDICATOS],tabSindicatos[COMARCAS PAF])="",
VLOOKUP(tabParametros[[#This Row],[CCT DA CATEGORIA]],tabSindicatos[],8,0),
IF(ISNUMBER(SEARCH(TRIM(_xlpm.COMARCA),_xlfn.XLOOKUP(tabParametros[[#This Row],[CCT DA CATEGORIA]],tabSindicatos[SINDICATOS],_xlpm.MATRIZ_COMARCA),1)),VLOOKUP(tabParametros[[#This Row],[CCT DA CATEGORIA]],tabSindicatos[],8,0),0)
),0)
)</f>
        <v>0</v>
      </c>
      <c r="AE242" s="234">
        <f>IFERROR(VLOOKUP(tabParametros[[#This Row],[CCT DA CATEGORIA]],tabSindicatos[],9,0),0)</f>
        <v>15.07</v>
      </c>
      <c r="AF242" s="234">
        <f>IFERROR(VLOOKUP(tabParametros[[#This Row],[CCT DA CATEGORIA]],tabSindicatos[],10,0),0)</f>
        <v>0</v>
      </c>
      <c r="AG242" s="236">
        <f>VLOOKUP(tabParametros[[#Headers],[Seguro de Vida]],tabOutrosCustos[],3,0)</f>
        <v>3.36</v>
      </c>
      <c r="AH242" s="236">
        <f>IF(ISNUMBER(SEARCH("MOTORISTA",tabParametros[[#This Row],[Função]],1)),VLOOKUP("MOTORISTAS",tabDiarias[],2,0),IF(tabParametros[[#This Row],[Comarca]]="Belo Horizonte",VLOOKUP("LIMPEZA",tabDiarias[],2,0),0))</f>
        <v>0</v>
      </c>
      <c r="AI242" s="235">
        <f t="shared" si="35"/>
        <v>7.011766975308642E-3</v>
      </c>
      <c r="AJ242" s="237">
        <f>tabParametros[[#This Row],[FGTS]]*tabParametros[[#This Row],[Aviso Prévio Indenizado (API) e Reflexo do Aviso Prévio Indenizado]]</f>
        <v>5.609413580246914E-4</v>
      </c>
      <c r="AK242" s="237">
        <f>tabParametros[[#This Row],[FGTS]]*tabParametros[[#This Row],[Aviso Prévio Indenizado (API) e Reflexo do Aviso Prévio Indenizado]]*40%</f>
        <v>2.2437654320987658E-4</v>
      </c>
      <c r="AL242" s="235">
        <f t="shared" si="36"/>
        <v>3.5000000000000005E-3</v>
      </c>
      <c r="AM242" s="235">
        <f>tabParametros[[#This Row],[Aviso Prévio Trabalhado - APT]]*SUM(tabParametros[[#This Row],[INSS]:[SEBRAE]])</f>
        <v>1.3230000000000004E-3</v>
      </c>
      <c r="AN242" s="235">
        <f t="shared" si="37"/>
        <v>3.0577777777777773E-2</v>
      </c>
      <c r="AO242" s="235">
        <f t="shared" si="38"/>
        <v>8.3333333333333339E-4</v>
      </c>
      <c r="AP242" s="235">
        <f t="shared" si="39"/>
        <v>8.4444444444444437E-3</v>
      </c>
      <c r="AQ242" s="235">
        <f t="shared" si="40"/>
        <v>2.0277777777777777E-3</v>
      </c>
      <c r="AR242" s="235">
        <f t="shared" si="41"/>
        <v>1.7083333333333333E-4</v>
      </c>
      <c r="AS242" s="235">
        <f t="shared" si="42"/>
        <v>2.0833333333333335E-4</v>
      </c>
      <c r="AT242" s="235">
        <f t="shared" si="43"/>
        <v>1.2962962962962963E-3</v>
      </c>
      <c r="AU242" s="237">
        <f>SUM(tabParametros[[#This Row],[Ausência por Doença]:[Férias, Adicional de Férias e 13º  com empregada em gozo de Licença Maternidade]])*SUM(tabParametros[[#This Row],[INSS]:[SEBRAE]])</f>
        <v>4.5918250000000008E-3</v>
      </c>
      <c r="AV242" s="234">
        <f>IF(tabParametros[[#This Row],[Função]]="Porteiro - 220 h",SUM(tabParametros[[#This Row],[Salário Base]:[Adicional de Acúmulo de função]])/220*20*1.5,IF(ISNUMBER(SEARCH("12 x 36",tabParametros[[#This Row],[Função]],1)),SUM(tabParametros[[#This Row],[Salário Base]:[Adicional de Acúmulo de função]])/210*15.5*1.5,0))</f>
        <v>0</v>
      </c>
      <c r="AW242" s="234">
        <f>IF(tabParametros[[#This Row],[Vagas contratadas]]&gt;0,(SUM(tabParametros[[#This Row],[Salário Base]:[Adicional de Acúmulo de função]])*30%+SUM(tabParametros[[#This Row],[Vale - Alimentação]:[Seguro de Vida]]))/tabParametros[[#This Row],[Vagas contratadas]]*tabParametros[[#This Row],[Vagas suspensas]],0)</f>
        <v>0</v>
      </c>
      <c r="AX242" s="234">
        <f>SUMIF(tabUniformes[Cargo],tabParametros[[#This Row],[Função]],tabUniformes[Valor unit. Mensal])</f>
        <v>62.806666666666665</v>
      </c>
      <c r="AY242" s="281">
        <f>IF(ISNUMBER(SEARCH("AUXILIAR DE LIMPEZA - 75 H",tabParametros[[#This Row],[Função]],1)),
SUMIF(tabLimpGeral[TIPO],"Material",tabLimpGeral[VALOR UNITÁRIO P/ HORA (R$)])*75,
IF(ISNUMBER(SEARCH("AUXILIAR DE LIMPEZA - 110 H",tabParametros[[#This Row],[Função]],1)),
SUMIF(tabLimpGeral[TIPO],"Material",tabLimpGeral[VALOR UNITÁRIO P/ HORA (R$)])*110,
IF(ISNUMBER(SEARCH("AUXILIAR DE LIMPEZA - 150 H",tabParametros[[#This Row],[Função]],1)),
SUMIF(tabLimpGeral[TIPO],"Material",tabLimpGeral[VALOR UNITÁRIO P/ HORA (R$)])*150,
IF(ISNUMBER(SEARCH("AUXILIAR DE LIMPEZA - 220 H",tabParametros[[#This Row],[Função]],1)),
SUMIF(tabLimpGeral[TIPO],"Material",tabLimpGeral[VALOR UNITÁRIO P/ HORA (R$)])*220,
IF(ISNUMBER(SEARCH("AUXILIAR DE LIMPEZA - 12 x 36",tabParametros[[#This Row],[Função]],1)),
SUMIF(tabLimpGeral[TIPO],"Material",tabLimpGeral[VALOR UNITÁRIO P/ HORA (R$)])*220,
IF(ISNUMBER(SEARCH("Limpador de vidros - 220 h",tabParametros[[#This Row],[Função]],1)),
SUMIF(tabVidros[TIPO],"Material",tabVidros[VALOR UNITÁRIO P/ POSTO (R$)]),
0))))))</f>
        <v>17.759106479291944</v>
      </c>
      <c r="AZ242" s="281">
        <f>IF(ISNUMBER(SEARCH("AUXILIAR DE LIMPEZA - 75 H",tabParametros[[#This Row],[Função]],1)),
SUMIF(tabLimpGeral[TIPO],"Equipamento",tabLimpGeral[VALOR UNITÁRIO P/ HORA (R$)])*75,
IF(ISNUMBER(SEARCH("AUXILIAR DE LIMPEZA - 110 H",tabParametros[[#This Row],[Função]],1)),
SUMIF(tabLimpGeral[TIPO],"Equipamento",tabLimpGeral[VALOR UNITÁRIO P/ HORA (R$)])*110,
IF(ISNUMBER(SEARCH("AUXILIAR DE LIMPEZA - 150 H",tabParametros[[#This Row],[Função]],1)),
SUMIF(tabLimpGeral[TIPO],"Equipamento",tabLimpGeral[VALOR UNITÁRIO P/ HORA (R$)])*150,
IF(ISNUMBER(SEARCH("AUXILIAR DE LIMPEZA - 220 H",tabParametros[[#This Row],[Função]],1)),
SUMIF(tabLimpGeral[TIPO],"Equipamento",tabLimpGeral[VALOR UNITÁRIO P/ HORA (R$)])*220,
IF(ISNUMBER(SEARCH("AUXILIAR DE LIMPEZA - 12 x 36",tabParametros[[#This Row],[Função]],1)),
SUMIF(tabLimpGeral[TIPO],"Equipamento",tabLimpGeral[VALOR UNITÁRIO P/ HORA (R$)])*220,
IF(ISNUMBER(SEARCH("Limpador de vidros - 220 h",tabParametros[[#This Row],[Função]],1)),
SUMIF(tabVidros[TIPO],"Equipamento",tabVidros[VALOR UNITÁRIO P/ POSTO (R$)]),
0))))))</f>
        <v>32.264696957412788</v>
      </c>
      <c r="BA242" s="281">
        <f>IF(ISNUMBER(SEARCH("AUXILIAR DE LIMPEZA - 75 H",tabParametros[[#This Row],[Função]],1)),
SUMIF(tabLimpGeral[TIPO],"Produto",tabLimpGeral[VALOR UNITÁRIO P/ HORA (R$)])*75,
IF(ISNUMBER(SEARCH("AUXILIAR DE LIMPEZA - 110 H",tabParametros[[#This Row],[Função]],1)),
SUMIF(tabLimpGeral[TIPO],"Produto",tabLimpGeral[VALOR UNITÁRIO P/ HORA (R$)])*110,
IF(ISNUMBER(SEARCH("AUXILIAR DE LIMPEZA - 150 H",tabParametros[[#This Row],[Função]],1)),
SUMIF(tabLimpGeral[TIPO],"Produto",tabLimpGeral[VALOR UNITÁRIO P/ HORA (R$)])*150,
IF(ISNUMBER(SEARCH("AUXILIAR DE LIMPEZA - 220 H",tabParametros[[#This Row],[Função]],1)),
SUMIF(tabLimpGeral[TIPO],"Produto",tabLimpGeral[VALOR UNITÁRIO P/ HORA (R$)])*220,
IF(ISNUMBER(SEARCH("AUXILIAR DE LIMPEZA - 12 x 36",tabParametros[[#This Row],[Função]],1)),
SUMIF(tabLimpGeral[TIPO],"Produto",tabLimpGeral[VALOR UNITÁRIO P/ HORA (R$)])*220,
IF(ISNUMBER(SEARCH("Limpador de vidros - 220 h",tabParametros[[#This Row],[Função]],1)),
SUMIF(tabVidros[TIPO],"Produto",tabVidros[VALOR UNITÁRIO P/ POSTO (R$)]),
0))))))</f>
        <v>345.13576638965827</v>
      </c>
      <c r="BB242" s="281">
        <v>0</v>
      </c>
      <c r="BC242" s="236">
        <f>VLOOKUP(tabParametros[[#Headers],[Custos Indiretos]],tabOutrosCustos[],3,0)</f>
        <v>189.64880140242613</v>
      </c>
      <c r="BD242" s="236">
        <f>VLOOKUP(tabParametros[[#Headers],[Lucro]],tabOutrosCustos[],3,0)</f>
        <v>159.30499317803796</v>
      </c>
      <c r="BE242" s="235">
        <f>VLOOKUP(tabParametros[[#Headers],[COFINS]],tabImpostosNacionais[],2,0)</f>
        <v>7.5999999999999998E-2</v>
      </c>
      <c r="BF242" s="235">
        <f>VLOOKUP(tabParametros[[#Headers],[PIS]],tabImpostosNacionais[],2,0)</f>
        <v>1.6500000000000001E-2</v>
      </c>
      <c r="BG242" s="235">
        <f>VLOOKUP(tabParametros[[#This Row],[Comarca]],tabComarca[],4,0)</f>
        <v>0.05</v>
      </c>
      <c r="BH242" s="238">
        <f>IFERROR(VLOOKUP(tabParametros[[#This Row],[CCT DA CATEGORIA]],tabSindicatos[],11,0),"")</f>
        <v>45658</v>
      </c>
      <c r="BI242" s="289" t="str">
        <f>IFERROR(VLOOKUP(tabParametros[[#This Row],[CCT DA CATEGORIA]],tabSindicatos[],12,0),"")</f>
        <v>-</v>
      </c>
      <c r="BJ242" s="293" t="str">
        <f>IFERROR(VLOOKUP(tabParametros[[#This Row],[CCT DA CATEGORIA]],tabSindicatos[],13,0),"")</f>
        <v>-</v>
      </c>
    </row>
    <row r="243" spans="1:62" x14ac:dyDescent="0.25">
      <c r="A243" s="233" t="s">
        <v>1578</v>
      </c>
      <c r="B243" s="198" t="s">
        <v>220</v>
      </c>
      <c r="C243" s="198" t="s">
        <v>1247</v>
      </c>
      <c r="D243" s="198" t="str">
        <f>VLOOKUP(tabParametros[[#This Row],[Código do Posto]],tabPostos[],4,0)</f>
        <v>Cataguases</v>
      </c>
      <c r="E243" s="289" t="str">
        <f>VLOOKUP(tabParametros[[#This Row],[Código do Posto]],tabPostos[],5,0)</f>
        <v>Limpeza</v>
      </c>
      <c r="F243" s="289" t="str">
        <f>VLOOKUP(tabParametros[[#This Row],[Código do Posto]],tabPostos[],6,0)</f>
        <v>PGJ</v>
      </c>
      <c r="G243" s="289">
        <f>VLOOKUP(tabParametros[[#This Row],[Código do Posto]],tabPostos[],7,0)</f>
        <v>1</v>
      </c>
      <c r="H243" s="289">
        <f>VLOOKUP(tabParametros[[#This Row],[Código do Posto]],tabPostos[],8,0)</f>
        <v>0</v>
      </c>
      <c r="I243" s="234">
        <f>VLOOKUP(tabParametros[[#This Row],[Código do Posto]],tabPostos[],9,0)</f>
        <v>544.17999999999995</v>
      </c>
      <c r="J243" s="234">
        <f>IF(ISNUMBER(SEARCH("Eletricista",tabParametros[[#This Row],[Função]],1)),0.3*tabParametros[[#This Row],[Salário Base]],0)</f>
        <v>0</v>
      </c>
      <c r="K243" s="234">
        <f>IF(OR(ISNUMBER(SEARCH("Bombeiro Hidraulico",tabParametros[[#This Row],[Função]],1)),ISNUMBER(SEARCH("Jardineiro",tabParametros[[#This Row],[Função]],1)),ISNUMBER(SEARCH("Lavador de Veiculos",tabParametros[[#This Row],[Função]],1)),ISNUMBER(SEARCH("Marceneiro",tabParametros[[#This Row],[Função]],1)),ISNUMBER(SEARCH("Pintor",tabParametros[[#This Row],[Função]],1))),0.2*'BASE GERAL'!$R$4,0)</f>
        <v>0</v>
      </c>
      <c r="L243" s="234">
        <f>IF(AND(ISNUMBER(SEARCH("Noturno",tabParametros[[#This Row],[Função]],1)),tabParametros[[#This Row],[Comarca]]&lt;&gt;"Juiz de Fora"),tabParametros[[#This Row],[Salário Base]]/210*0.39*7*15.5,IF(ISNUMBER(SEARCH("Noturno",tabParametros[[#This Row],[Função]],1)),tabParametros[[#This Row],[Salário Base]]/210*0.2*8*15.5,0))</f>
        <v>0</v>
      </c>
      <c r="M243" s="234">
        <f>IF(ISNUMBER(SEARCH("Motorista II",tabParametros[[#This Row],[Função]],1)),0.25*tabParametros[[#This Row],[Salário Base]],0)</f>
        <v>0</v>
      </c>
      <c r="N243" s="250">
        <v>0</v>
      </c>
      <c r="O243" s="234">
        <f>IF(ISNUMBER(SEARCH("TECNOLOGIA DA INFORMACAO",tabParametros[[#This Row],[Função]],1)),0.0201*tabParametros[[#This Row],[Salário Base]],0)</f>
        <v>0</v>
      </c>
      <c r="P243" s="250" cm="1">
        <f t="array" ref="P243">_xlfn.IFS(
ISNUMBER(SEARCH("Auxiliar de Limpeza - 75 h",tabParametros[[#This Row],[Função]],1)),tabParametros[[#This Row],[Salário Base]]/75*0.75*30*0.12,
ISNUMBER(SEARCH("Auxiliar de Limpeza - 110 h",tabParametros[[#This Row],[Função]],1)),tabParametros[[#This Row],[Salário Base]]/110*1*30*0.12,
ISNUMBER(SEARCH("Auxiliar de Limpeza - 150 h",tabParametros[[#This Row],[Função]],1)),tabParametros[[#This Row],[Salário Base]]/150*1.5*30*0.12,
ISNUMBER(SEARCH("Auxiliar de Limpeza - 220 h",tabParametros[[#This Row],[Função]],1)),tabParametros[[#This Row],[Salário Base]]/220*2*30*0.12,
ISNUMBER(SEARCH("Auxiliar de Limpeza - 12 x 36",tabParametros[[#This Row],[Função]],1)),tabParametros[[#This Row],[Salário Base]]/220*2*30*0.12,
ISNUMBER(SEARCH("Auxiliar de Limpeza - 55 h",tabParametros[[#This Row],[Função]],1))=FALSE,0)</f>
        <v>19.590479999999999</v>
      </c>
      <c r="Q243" s="235">
        <f>VLOOKUP(tabParametros[[#Headers],[INSS]],tabImpostosNacionais[],2,0)</f>
        <v>0.2</v>
      </c>
      <c r="R243" s="235">
        <f>VLOOKUP(tabParametros[[#Headers],[SESI OU SESC]],tabImpostosNacionais[],2,0)</f>
        <v>1.4999999999999999E-2</v>
      </c>
      <c r="S243" s="235">
        <f>VLOOKUP(tabParametros[[#Headers],[SENAI OU SENAC]],tabImpostosNacionais[],2,0)</f>
        <v>0.01</v>
      </c>
      <c r="T243" s="235">
        <f>VLOOKUP(tabParametros[[#Headers],[INCRA]],tabImpostosNacionais[],2,0)</f>
        <v>2E-3</v>
      </c>
      <c r="U243" s="235">
        <f>VLOOKUP(tabParametros[[#Headers],[Salário Educação]],tabImpostosNacionais[],2,0)</f>
        <v>2.5000000000000001E-2</v>
      </c>
      <c r="V243" s="235">
        <f>VLOOKUP(tabParametros[[#Headers],[FGTS]],tabImpostosNacionais[],2,0)</f>
        <v>0.08</v>
      </c>
      <c r="W243" s="235">
        <f>VLOOKUP(tabParametros[[#Headers],[RAT Ajustado]],tabImpostosNacionais[],2,0)</f>
        <v>0.04</v>
      </c>
      <c r="X243" s="235">
        <f>VLOOKUP(tabParametros[[#Headers],[SEBRAE]],tabImpostosNacionais[],2,0)</f>
        <v>6.0000000000000001E-3</v>
      </c>
      <c r="Y243" s="235">
        <f t="shared" si="33"/>
        <v>8.3333333333333329E-2</v>
      </c>
      <c r="Z243" s="251">
        <f t="shared" si="34"/>
        <v>0.1111111111111111</v>
      </c>
      <c r="AA243" s="234">
        <f>VLOOKUP(tabParametros[[#This Row],[Comarca]],tabComarca[],5,0)</f>
        <v>6.4</v>
      </c>
      <c r="AB243" s="234">
        <f>IFERROR(VLOOKUP(tabParametros[[#This Row],[CCT DA CATEGORIA]],tabSindicatos[],6,0),0)</f>
        <v>29.15</v>
      </c>
      <c r="AC243" s="234">
        <f>IFERROR(VLOOKUP(tabParametros[[#This Row],[CCT DA CATEGORIA]],tabSindicatos[],7,0),0)</f>
        <v>0</v>
      </c>
      <c r="AD243" s="234" cm="1">
        <f t="array" ref="AD243">_xlfn.LET(
_xlpm.COMARCA, TRIM(UPPER(SUBSTITUTE(SUBSTITUTE(SUBSTITUTE(SUBSTITUTE(SUBSTITUTE(SUBSTITUTE(SUBSTITUTE(SUBSTITUTE(SUBSTITUTE(SUBSTITUTE(SUBSTITUTE(SUBSTITUTE(SUBSTITUTE(SUBSTITUTE(SUBSTITUTE(SUBSTITUTE(SUBSTITUTE(SUBSTITUTE(SUBSTITUTE(SUBSTITUTE(SUBSTITUTE(SUBSTITUTE(SUBSTITUTE(SUBSTITUTE(SUBSTITUTE(SUBSTITUTE(tabParametros[[#This Row],[Comarca]],"á","a"),"ã","a"),"â","a"),"é","e"),"ê","e"),"í","i"),"ó","o"),"õ","o"),"ô","o"),"ú","u"),"ç","c"),"Á","a"),"Ã","a"),"Â","a"),"É","e"),"Ê","e"),"Í","i"),"Ó","o"),"Õ","o"),"Ô","o"),"Ú","u"),"Ç","c"),"/MG","")," e ",", ")," ",""),".",""))),
_xlpm.MATRIZ_COMARCA, TRIM(UPPER(SUBSTITUTE(SUBSTITUTE(SUBSTITUTE(SUBSTITUTE(SUBSTITUTE(SUBSTITUTE(SUBSTITUTE(SUBSTITUTE(SUBSTITUTE(SUBSTITUTE(SUBSTITUTE(SUBSTITUTE(SUBSTITUTE(SUBSTITUTE(SUBSTITUTE(SUBSTITUTE(SUBSTITUTE(SUBSTITUTE(SUBSTITUTE(SUBSTITUTE(SUBSTITUTE(SUBSTITUTE(SUBSTITUTE(SUBSTITUTE(SUBSTITUTE(SUBSTITUTE(tabSindicatos[COMARCAS PAF],"á","a"),"ã","a"),"â","a"),"é","e"),"ê","e"),"í","i"),"ó","o"),"õ","o"),"ô","o"),"ú","u"),"ç","c"),"Á","a"),"Ã","a"),"Â","a"),"É","e"),"Ê","e"),"Í","i"),"Ó","o"),"Õ","o"),"Ô","o"),"Ú","u"),"Ç","c"),"/MG","")," e ",", ")," ",""),".",""))),
IFERROR(IF(_xlfn.XLOOKUP(tabParametros[[#This Row],[CCT DA CATEGORIA]],tabSindicatos[SINDICATOS],tabSindicatos[COMARCAS PAF])="",
VLOOKUP(tabParametros[[#This Row],[CCT DA CATEGORIA]],tabSindicatos[],8,0),
IF(ISNUMBER(SEARCH(TRIM(_xlpm.COMARCA),_xlfn.XLOOKUP(tabParametros[[#This Row],[CCT DA CATEGORIA]],tabSindicatos[SINDICATOS],_xlpm.MATRIZ_COMARCA),1)),VLOOKUP(tabParametros[[#This Row],[CCT DA CATEGORIA]],tabSindicatos[],8,0),0)
),0)
)</f>
        <v>57.07</v>
      </c>
      <c r="AE243" s="234">
        <f>IFERROR(VLOOKUP(tabParametros[[#This Row],[CCT DA CATEGORIA]],tabSindicatos[],9,0),0)</f>
        <v>0</v>
      </c>
      <c r="AF243" s="234">
        <f>IFERROR(VLOOKUP(tabParametros[[#This Row],[CCT DA CATEGORIA]],tabSindicatos[],10,0),0)</f>
        <v>0</v>
      </c>
      <c r="AG243" s="236">
        <f>VLOOKUP(tabParametros[[#Headers],[Seguro de Vida]],tabOutrosCustos[],3,0)</f>
        <v>3.36</v>
      </c>
      <c r="AH243" s="236">
        <f>IF(ISNUMBER(SEARCH("MOTORISTA",tabParametros[[#This Row],[Função]],1)),VLOOKUP("MOTORISTAS",tabDiarias[],2,0),IF(tabParametros[[#This Row],[Comarca]]="Belo Horizonte",VLOOKUP("LIMPEZA",tabDiarias[],2,0),0))</f>
        <v>0</v>
      </c>
      <c r="AI243" s="235">
        <f t="shared" si="35"/>
        <v>7.011766975308642E-3</v>
      </c>
      <c r="AJ243" s="237">
        <f>tabParametros[[#This Row],[FGTS]]*tabParametros[[#This Row],[Aviso Prévio Indenizado (API) e Reflexo do Aviso Prévio Indenizado]]</f>
        <v>5.609413580246914E-4</v>
      </c>
      <c r="AK243" s="237">
        <f>tabParametros[[#This Row],[FGTS]]*tabParametros[[#This Row],[Aviso Prévio Indenizado (API) e Reflexo do Aviso Prévio Indenizado]]*40%</f>
        <v>2.2437654320987658E-4</v>
      </c>
      <c r="AL243" s="235">
        <f t="shared" si="36"/>
        <v>3.5000000000000005E-3</v>
      </c>
      <c r="AM243" s="235">
        <f>tabParametros[[#This Row],[Aviso Prévio Trabalhado - APT]]*SUM(tabParametros[[#This Row],[INSS]:[SEBRAE]])</f>
        <v>1.3230000000000004E-3</v>
      </c>
      <c r="AN243" s="235">
        <f t="shared" si="37"/>
        <v>3.0577777777777773E-2</v>
      </c>
      <c r="AO243" s="235">
        <f t="shared" si="38"/>
        <v>8.3333333333333339E-4</v>
      </c>
      <c r="AP243" s="235">
        <f t="shared" si="39"/>
        <v>8.4444444444444437E-3</v>
      </c>
      <c r="AQ243" s="235">
        <f t="shared" si="40"/>
        <v>2.0277777777777777E-3</v>
      </c>
      <c r="AR243" s="235">
        <f t="shared" si="41"/>
        <v>1.7083333333333333E-4</v>
      </c>
      <c r="AS243" s="235">
        <f t="shared" si="42"/>
        <v>2.0833333333333335E-4</v>
      </c>
      <c r="AT243" s="235">
        <f t="shared" si="43"/>
        <v>1.2962962962962963E-3</v>
      </c>
      <c r="AU243" s="237">
        <f>SUM(tabParametros[[#This Row],[Ausência por Doença]:[Férias, Adicional de Férias e 13º  com empregada em gozo de Licença Maternidade]])*SUM(tabParametros[[#This Row],[INSS]:[SEBRAE]])</f>
        <v>4.5918250000000008E-3</v>
      </c>
      <c r="AV243" s="234">
        <f>IF(tabParametros[[#This Row],[Função]]="Porteiro - 220 h",SUM(tabParametros[[#This Row],[Salário Base]:[Adicional de Acúmulo de função]])/220*20*1.5,IF(ISNUMBER(SEARCH("12 x 36",tabParametros[[#This Row],[Função]],1)),SUM(tabParametros[[#This Row],[Salário Base]:[Adicional de Acúmulo de função]])/210*15.5*1.5,0))</f>
        <v>0</v>
      </c>
      <c r="AW243" s="234">
        <f>IF(tabParametros[[#This Row],[Vagas contratadas]]&gt;0,(SUM(tabParametros[[#This Row],[Salário Base]:[Adicional de Acúmulo de função]])*30%+SUM(tabParametros[[#This Row],[Vale - Alimentação]:[Seguro de Vida]]))/tabParametros[[#This Row],[Vagas contratadas]]*tabParametros[[#This Row],[Vagas suspensas]],0)</f>
        <v>0</v>
      </c>
      <c r="AX243" s="234">
        <f>SUMIF(tabUniformes[Cargo],tabParametros[[#This Row],[Função]],tabUniformes[Valor unit. Mensal])</f>
        <v>62.806666666666665</v>
      </c>
      <c r="AY243" s="281">
        <f>IF(ISNUMBER(SEARCH("AUXILIAR DE LIMPEZA - 75 H",tabParametros[[#This Row],[Função]],1)),
SUMIF(tabLimpGeral[TIPO],"Material",tabLimpGeral[VALOR UNITÁRIO P/ HORA (R$)])*75,
IF(ISNUMBER(SEARCH("AUXILIAR DE LIMPEZA - 110 H",tabParametros[[#This Row],[Função]],1)),
SUMIF(tabLimpGeral[TIPO],"Material",tabLimpGeral[VALOR UNITÁRIO P/ HORA (R$)])*110,
IF(ISNUMBER(SEARCH("AUXILIAR DE LIMPEZA - 150 H",tabParametros[[#This Row],[Função]],1)),
SUMIF(tabLimpGeral[TIPO],"Material",tabLimpGeral[VALOR UNITÁRIO P/ HORA (R$)])*150,
IF(ISNUMBER(SEARCH("AUXILIAR DE LIMPEZA - 220 H",tabParametros[[#This Row],[Função]],1)),
SUMIF(tabLimpGeral[TIPO],"Material",tabLimpGeral[VALOR UNITÁRIO P/ HORA (R$)])*220,
IF(ISNUMBER(SEARCH("AUXILIAR DE LIMPEZA - 12 x 36",tabParametros[[#This Row],[Função]],1)),
SUMIF(tabLimpGeral[TIPO],"Material",tabLimpGeral[VALOR UNITÁRIO P/ HORA (R$)])*220,
IF(ISNUMBER(SEARCH("Limpador de vidros - 220 h",tabParametros[[#This Row],[Função]],1)),
SUMIF(tabVidros[TIPO],"Material",tabVidros[VALOR UNITÁRIO P/ POSTO (R$)]),
0))))))</f>
        <v>12.108481690426325</v>
      </c>
      <c r="AZ243" s="281">
        <f>IF(ISNUMBER(SEARCH("AUXILIAR DE LIMPEZA - 75 H",tabParametros[[#This Row],[Função]],1)),
SUMIF(tabLimpGeral[TIPO],"Equipamento",tabLimpGeral[VALOR UNITÁRIO P/ HORA (R$)])*75,
IF(ISNUMBER(SEARCH("AUXILIAR DE LIMPEZA - 110 H",tabParametros[[#This Row],[Função]],1)),
SUMIF(tabLimpGeral[TIPO],"Equipamento",tabLimpGeral[VALOR UNITÁRIO P/ HORA (R$)])*110,
IF(ISNUMBER(SEARCH("AUXILIAR DE LIMPEZA - 150 H",tabParametros[[#This Row],[Função]],1)),
SUMIF(tabLimpGeral[TIPO],"Equipamento",tabLimpGeral[VALOR UNITÁRIO P/ HORA (R$)])*150,
IF(ISNUMBER(SEARCH("AUXILIAR DE LIMPEZA - 220 H",tabParametros[[#This Row],[Função]],1)),
SUMIF(tabLimpGeral[TIPO],"Equipamento",tabLimpGeral[VALOR UNITÁRIO P/ HORA (R$)])*220,
IF(ISNUMBER(SEARCH("AUXILIAR DE LIMPEZA - 12 x 36",tabParametros[[#This Row],[Função]],1)),
SUMIF(tabLimpGeral[TIPO],"Equipamento",tabLimpGeral[VALOR UNITÁRIO P/ HORA (R$)])*220,
IF(ISNUMBER(SEARCH("Limpador de vidros - 220 h",tabParametros[[#This Row],[Função]],1)),
SUMIF(tabVidros[TIPO],"Equipamento",tabVidros[VALOR UNITÁRIO P/ POSTO (R$)]),
0))))))</f>
        <v>21.998657016417809</v>
      </c>
      <c r="BA243" s="281">
        <f>IF(ISNUMBER(SEARCH("AUXILIAR DE LIMPEZA - 75 H",tabParametros[[#This Row],[Função]],1)),
SUMIF(tabLimpGeral[TIPO],"Produto",tabLimpGeral[VALOR UNITÁRIO P/ HORA (R$)])*75,
IF(ISNUMBER(SEARCH("AUXILIAR DE LIMPEZA - 110 H",tabParametros[[#This Row],[Função]],1)),
SUMIF(tabLimpGeral[TIPO],"Produto",tabLimpGeral[VALOR UNITÁRIO P/ HORA (R$)])*110,
IF(ISNUMBER(SEARCH("AUXILIAR DE LIMPEZA - 150 H",tabParametros[[#This Row],[Função]],1)),
SUMIF(tabLimpGeral[TIPO],"Produto",tabLimpGeral[VALOR UNITÁRIO P/ HORA (R$)])*150,
IF(ISNUMBER(SEARCH("AUXILIAR DE LIMPEZA - 220 H",tabParametros[[#This Row],[Função]],1)),
SUMIF(tabLimpGeral[TIPO],"Produto",tabLimpGeral[VALOR UNITÁRIO P/ HORA (R$)])*220,
IF(ISNUMBER(SEARCH("AUXILIAR DE LIMPEZA - 12 x 36",tabParametros[[#This Row],[Função]],1)),
SUMIF(tabLimpGeral[TIPO],"Produto",tabLimpGeral[VALOR UNITÁRIO P/ HORA (R$)])*220,
IF(ISNUMBER(SEARCH("Limpador de vidros - 220 h",tabParametros[[#This Row],[Função]],1)),
SUMIF(tabVidros[TIPO],"Produto",tabVidros[VALOR UNITÁRIO P/ POSTO (R$)]),
0))))))</f>
        <v>235.31984072022155</v>
      </c>
      <c r="BB243" s="281">
        <v>0</v>
      </c>
      <c r="BC243" s="236">
        <f>VLOOKUP(tabParametros[[#Headers],[Custos Indiretos]],tabOutrosCustos[],3,0)</f>
        <v>189.64880140242613</v>
      </c>
      <c r="BD243" s="236">
        <f>VLOOKUP(tabParametros[[#Headers],[Lucro]],tabOutrosCustos[],3,0)</f>
        <v>159.30499317803796</v>
      </c>
      <c r="BE243" s="235">
        <f>VLOOKUP(tabParametros[[#Headers],[COFINS]],tabImpostosNacionais[],2,0)</f>
        <v>7.5999999999999998E-2</v>
      </c>
      <c r="BF243" s="235">
        <f>VLOOKUP(tabParametros[[#Headers],[PIS]],tabImpostosNacionais[],2,0)</f>
        <v>1.6500000000000001E-2</v>
      </c>
      <c r="BG243" s="235">
        <f>VLOOKUP(tabParametros[[#This Row],[Comarca]],tabComarca[],4,0)</f>
        <v>0.03</v>
      </c>
      <c r="BH243" s="238">
        <f>IFERROR(VLOOKUP(tabParametros[[#This Row],[CCT DA CATEGORIA]],tabSindicatos[],11,0),"")</f>
        <v>45658</v>
      </c>
      <c r="BI243" s="289" t="str">
        <f>IFERROR(VLOOKUP(tabParametros[[#This Row],[CCT DA CATEGORIA]],tabSindicatos[],12,0),"")</f>
        <v>-</v>
      </c>
      <c r="BJ243" s="293" t="str">
        <f>IFERROR(VLOOKUP(tabParametros[[#This Row],[CCT DA CATEGORIA]],tabSindicatos[],13,0),"")</f>
        <v>-</v>
      </c>
    </row>
    <row r="244" spans="1:62" x14ac:dyDescent="0.25">
      <c r="A244" s="233" t="s">
        <v>1579</v>
      </c>
      <c r="B244" s="198" t="s">
        <v>220</v>
      </c>
      <c r="C244" s="198" t="s">
        <v>1245</v>
      </c>
      <c r="D244" s="198" t="str">
        <f>VLOOKUP(tabParametros[[#This Row],[Código do Posto]],tabPostos[],4,0)</f>
        <v>Cataguases</v>
      </c>
      <c r="E244" s="289" t="str">
        <f>VLOOKUP(tabParametros[[#This Row],[Código do Posto]],tabPostos[],5,0)</f>
        <v>Limpeza</v>
      </c>
      <c r="F244" s="289" t="str">
        <f>VLOOKUP(tabParametros[[#This Row],[Código do Posto]],tabPostos[],6,0)</f>
        <v>PGJ</v>
      </c>
      <c r="G244" s="289">
        <f>VLOOKUP(tabParametros[[#This Row],[Código do Posto]],tabPostos[],7,0)</f>
        <v>1</v>
      </c>
      <c r="H244" s="289">
        <f>VLOOKUP(tabParametros[[#This Row],[Código do Posto]],tabPostos[],8,0)</f>
        <v>0</v>
      </c>
      <c r="I244" s="234">
        <f>VLOOKUP(tabParametros[[#This Row],[Código do Posto]],tabPostos[],9,0)</f>
        <v>1596.28</v>
      </c>
      <c r="J244" s="234">
        <f>IF(ISNUMBER(SEARCH("Eletricista",tabParametros[[#This Row],[Função]],1)),0.3*tabParametros[[#This Row],[Salário Base]],0)</f>
        <v>0</v>
      </c>
      <c r="K244" s="234">
        <f>IF(OR(ISNUMBER(SEARCH("Bombeiro Hidraulico",tabParametros[[#This Row],[Função]],1)),ISNUMBER(SEARCH("Jardineiro",tabParametros[[#This Row],[Função]],1)),ISNUMBER(SEARCH("Lavador de Veiculos",tabParametros[[#This Row],[Função]],1)),ISNUMBER(SEARCH("Marceneiro",tabParametros[[#This Row],[Função]],1)),ISNUMBER(SEARCH("Pintor",tabParametros[[#This Row],[Função]],1))),0.2*'BASE GERAL'!$R$4,0)</f>
        <v>0</v>
      </c>
      <c r="L244" s="234">
        <f>IF(AND(ISNUMBER(SEARCH("Noturno",tabParametros[[#This Row],[Função]],1)),tabParametros[[#This Row],[Comarca]]&lt;&gt;"Juiz de Fora"),tabParametros[[#This Row],[Salário Base]]/210*0.39*7*15.5,IF(ISNUMBER(SEARCH("Noturno",tabParametros[[#This Row],[Função]],1)),tabParametros[[#This Row],[Salário Base]]/210*0.2*8*15.5,0))</f>
        <v>0</v>
      </c>
      <c r="M244" s="234">
        <f>IF(ISNUMBER(SEARCH("Motorista II",tabParametros[[#This Row],[Função]],1)),0.25*tabParametros[[#This Row],[Salário Base]],0)</f>
        <v>0</v>
      </c>
      <c r="N244" s="250">
        <v>0</v>
      </c>
      <c r="O244" s="234">
        <f>IF(ISNUMBER(SEARCH("TECNOLOGIA DA INFORMACAO",tabParametros[[#This Row],[Função]],1)),0.0201*tabParametros[[#This Row],[Salário Base]],0)</f>
        <v>0</v>
      </c>
      <c r="P244" s="250" cm="1">
        <f t="array" ref="P244">_xlfn.IFS(
ISNUMBER(SEARCH("Auxiliar de Limpeza - 75 h",tabParametros[[#This Row],[Função]],1)),tabParametros[[#This Row],[Salário Base]]/75*0.75*30*0.12,
ISNUMBER(SEARCH("Auxiliar de Limpeza - 110 h",tabParametros[[#This Row],[Função]],1)),tabParametros[[#This Row],[Salário Base]]/110*1*30*0.12,
ISNUMBER(SEARCH("Auxiliar de Limpeza - 150 h",tabParametros[[#This Row],[Função]],1)),tabParametros[[#This Row],[Salário Base]]/150*1.5*30*0.12,
ISNUMBER(SEARCH("Auxiliar de Limpeza - 220 h",tabParametros[[#This Row],[Função]],1)),tabParametros[[#This Row],[Salário Base]]/220*2*30*0.12,
ISNUMBER(SEARCH("Auxiliar de Limpeza - 12 x 36",tabParametros[[#This Row],[Função]],1)),tabParametros[[#This Row],[Salário Base]]/220*2*30*0.12,
ISNUMBER(SEARCH("Auxiliar de Limpeza - 55 h",tabParametros[[#This Row],[Função]],1))=FALSE,0)</f>
        <v>52.241890909090905</v>
      </c>
      <c r="Q244" s="235">
        <f>VLOOKUP(tabParametros[[#Headers],[INSS]],tabImpostosNacionais[],2,0)</f>
        <v>0.2</v>
      </c>
      <c r="R244" s="235">
        <f>VLOOKUP(tabParametros[[#Headers],[SESI OU SESC]],tabImpostosNacionais[],2,0)</f>
        <v>1.4999999999999999E-2</v>
      </c>
      <c r="S244" s="235">
        <f>VLOOKUP(tabParametros[[#Headers],[SENAI OU SENAC]],tabImpostosNacionais[],2,0)</f>
        <v>0.01</v>
      </c>
      <c r="T244" s="235">
        <f>VLOOKUP(tabParametros[[#Headers],[INCRA]],tabImpostosNacionais[],2,0)</f>
        <v>2E-3</v>
      </c>
      <c r="U244" s="235">
        <f>VLOOKUP(tabParametros[[#Headers],[Salário Educação]],tabImpostosNacionais[],2,0)</f>
        <v>2.5000000000000001E-2</v>
      </c>
      <c r="V244" s="235">
        <f>VLOOKUP(tabParametros[[#Headers],[FGTS]],tabImpostosNacionais[],2,0)</f>
        <v>0.08</v>
      </c>
      <c r="W244" s="235">
        <f>VLOOKUP(tabParametros[[#Headers],[RAT Ajustado]],tabImpostosNacionais[],2,0)</f>
        <v>0.04</v>
      </c>
      <c r="X244" s="235">
        <f>VLOOKUP(tabParametros[[#Headers],[SEBRAE]],tabImpostosNacionais[],2,0)</f>
        <v>6.0000000000000001E-3</v>
      </c>
      <c r="Y244" s="235">
        <f t="shared" si="33"/>
        <v>8.3333333333333329E-2</v>
      </c>
      <c r="Z244" s="251">
        <f t="shared" si="34"/>
        <v>0.1111111111111111</v>
      </c>
      <c r="AA244" s="234">
        <f>VLOOKUP(tabParametros[[#This Row],[Comarca]],tabComarca[],5,0)</f>
        <v>6.4</v>
      </c>
      <c r="AB244" s="234">
        <f>IFERROR(VLOOKUP(tabParametros[[#This Row],[CCT DA CATEGORIA]],tabSindicatos[],6,0),0)</f>
        <v>29.15</v>
      </c>
      <c r="AC244" s="234">
        <f>IFERROR(VLOOKUP(tabParametros[[#This Row],[CCT DA CATEGORIA]],tabSindicatos[],7,0),0)</f>
        <v>0</v>
      </c>
      <c r="AD244" s="234" cm="1">
        <f t="array" ref="AD244">_xlfn.LET(
_xlpm.COMARCA, TRIM(UPPER(SUBSTITUTE(SUBSTITUTE(SUBSTITUTE(SUBSTITUTE(SUBSTITUTE(SUBSTITUTE(SUBSTITUTE(SUBSTITUTE(SUBSTITUTE(SUBSTITUTE(SUBSTITUTE(SUBSTITUTE(SUBSTITUTE(SUBSTITUTE(SUBSTITUTE(SUBSTITUTE(SUBSTITUTE(SUBSTITUTE(SUBSTITUTE(SUBSTITUTE(SUBSTITUTE(SUBSTITUTE(SUBSTITUTE(SUBSTITUTE(SUBSTITUTE(SUBSTITUTE(tabParametros[[#This Row],[Comarca]],"á","a"),"ã","a"),"â","a"),"é","e"),"ê","e"),"í","i"),"ó","o"),"õ","o"),"ô","o"),"ú","u"),"ç","c"),"Á","a"),"Ã","a"),"Â","a"),"É","e"),"Ê","e"),"Í","i"),"Ó","o"),"Õ","o"),"Ô","o"),"Ú","u"),"Ç","c"),"/MG","")," e ",", ")," ",""),".",""))),
_xlpm.MATRIZ_COMARCA, TRIM(UPPER(SUBSTITUTE(SUBSTITUTE(SUBSTITUTE(SUBSTITUTE(SUBSTITUTE(SUBSTITUTE(SUBSTITUTE(SUBSTITUTE(SUBSTITUTE(SUBSTITUTE(SUBSTITUTE(SUBSTITUTE(SUBSTITUTE(SUBSTITUTE(SUBSTITUTE(SUBSTITUTE(SUBSTITUTE(SUBSTITUTE(SUBSTITUTE(SUBSTITUTE(SUBSTITUTE(SUBSTITUTE(SUBSTITUTE(SUBSTITUTE(SUBSTITUTE(SUBSTITUTE(tabSindicatos[COMARCAS PAF],"á","a"),"ã","a"),"â","a"),"é","e"),"ê","e"),"í","i"),"ó","o"),"õ","o"),"ô","o"),"ú","u"),"ç","c"),"Á","a"),"Ã","a"),"Â","a"),"É","e"),"Ê","e"),"Í","i"),"Ó","o"),"Õ","o"),"Ô","o"),"Ú","u"),"Ç","c"),"/MG","")," e ",", ")," ",""),".",""))),
IFERROR(IF(_xlfn.XLOOKUP(tabParametros[[#This Row],[CCT DA CATEGORIA]],tabSindicatos[SINDICATOS],tabSindicatos[COMARCAS PAF])="",
VLOOKUP(tabParametros[[#This Row],[CCT DA CATEGORIA]],tabSindicatos[],8,0),
IF(ISNUMBER(SEARCH(TRIM(_xlpm.COMARCA),_xlfn.XLOOKUP(tabParametros[[#This Row],[CCT DA CATEGORIA]],tabSindicatos[SINDICATOS],_xlpm.MATRIZ_COMARCA),1)),VLOOKUP(tabParametros[[#This Row],[CCT DA CATEGORIA]],tabSindicatos[],8,0),0)
),0)
)</f>
        <v>57.07</v>
      </c>
      <c r="AE244" s="234">
        <f>IFERROR(VLOOKUP(tabParametros[[#This Row],[CCT DA CATEGORIA]],tabSindicatos[],9,0),0)</f>
        <v>0</v>
      </c>
      <c r="AF244" s="234">
        <f>IFERROR(VLOOKUP(tabParametros[[#This Row],[CCT DA CATEGORIA]],tabSindicatos[],10,0),0)</f>
        <v>0</v>
      </c>
      <c r="AG244" s="236">
        <f>VLOOKUP(tabParametros[[#Headers],[Seguro de Vida]],tabOutrosCustos[],3,0)</f>
        <v>3.36</v>
      </c>
      <c r="AH244" s="236">
        <f>IF(ISNUMBER(SEARCH("MOTORISTA",tabParametros[[#This Row],[Função]],1)),VLOOKUP("MOTORISTAS",tabDiarias[],2,0),IF(tabParametros[[#This Row],[Comarca]]="Belo Horizonte",VLOOKUP("LIMPEZA",tabDiarias[],2,0),0))</f>
        <v>0</v>
      </c>
      <c r="AI244" s="235">
        <f t="shared" si="35"/>
        <v>7.011766975308642E-3</v>
      </c>
      <c r="AJ244" s="237">
        <f>tabParametros[[#This Row],[FGTS]]*tabParametros[[#This Row],[Aviso Prévio Indenizado (API) e Reflexo do Aviso Prévio Indenizado]]</f>
        <v>5.609413580246914E-4</v>
      </c>
      <c r="AK244" s="237">
        <f>tabParametros[[#This Row],[FGTS]]*tabParametros[[#This Row],[Aviso Prévio Indenizado (API) e Reflexo do Aviso Prévio Indenizado]]*40%</f>
        <v>2.2437654320987658E-4</v>
      </c>
      <c r="AL244" s="235">
        <f t="shared" si="36"/>
        <v>3.5000000000000005E-3</v>
      </c>
      <c r="AM244" s="235">
        <f>tabParametros[[#This Row],[Aviso Prévio Trabalhado - APT]]*SUM(tabParametros[[#This Row],[INSS]:[SEBRAE]])</f>
        <v>1.3230000000000004E-3</v>
      </c>
      <c r="AN244" s="235">
        <f t="shared" si="37"/>
        <v>3.0577777777777773E-2</v>
      </c>
      <c r="AO244" s="235">
        <f t="shared" si="38"/>
        <v>8.3333333333333339E-4</v>
      </c>
      <c r="AP244" s="235">
        <f t="shared" si="39"/>
        <v>8.4444444444444437E-3</v>
      </c>
      <c r="AQ244" s="235">
        <f t="shared" si="40"/>
        <v>2.0277777777777777E-3</v>
      </c>
      <c r="AR244" s="235">
        <f t="shared" si="41"/>
        <v>1.7083333333333333E-4</v>
      </c>
      <c r="AS244" s="235">
        <f t="shared" si="42"/>
        <v>2.0833333333333335E-4</v>
      </c>
      <c r="AT244" s="235">
        <f t="shared" si="43"/>
        <v>1.2962962962962963E-3</v>
      </c>
      <c r="AU244" s="237">
        <f>SUM(tabParametros[[#This Row],[Ausência por Doença]:[Férias, Adicional de Férias e 13º  com empregada em gozo de Licença Maternidade]])*SUM(tabParametros[[#This Row],[INSS]:[SEBRAE]])</f>
        <v>4.5918250000000008E-3</v>
      </c>
      <c r="AV244" s="234">
        <f>IF(tabParametros[[#This Row],[Função]]="Porteiro - 220 h",SUM(tabParametros[[#This Row],[Salário Base]:[Adicional de Acúmulo de função]])/220*20*1.5,IF(ISNUMBER(SEARCH("12 x 36",tabParametros[[#This Row],[Função]],1)),SUM(tabParametros[[#This Row],[Salário Base]:[Adicional de Acúmulo de função]])/210*15.5*1.5,0))</f>
        <v>0</v>
      </c>
      <c r="AW244" s="234">
        <f>IF(tabParametros[[#This Row],[Vagas contratadas]]&gt;0,(SUM(tabParametros[[#This Row],[Salário Base]:[Adicional de Acúmulo de função]])*30%+SUM(tabParametros[[#This Row],[Vale - Alimentação]:[Seguro de Vida]]))/tabParametros[[#This Row],[Vagas contratadas]]*tabParametros[[#This Row],[Vagas suspensas]],0)</f>
        <v>0</v>
      </c>
      <c r="AX244" s="234">
        <f>SUMIF(tabUniformes[Cargo],tabParametros[[#This Row],[Função]],tabUniformes[Valor unit. Mensal])</f>
        <v>100.80916666666666</v>
      </c>
      <c r="AY244" s="281">
        <f>IF(ISNUMBER(SEARCH("AUXILIAR DE LIMPEZA - 75 H",tabParametros[[#This Row],[Função]],1)),
SUMIF(tabLimpGeral[TIPO],"Material",tabLimpGeral[VALOR UNITÁRIO P/ HORA (R$)])*75,
IF(ISNUMBER(SEARCH("AUXILIAR DE LIMPEZA - 110 H",tabParametros[[#This Row],[Função]],1)),
SUMIF(tabLimpGeral[TIPO],"Material",tabLimpGeral[VALOR UNITÁRIO P/ HORA (R$)])*110,
IF(ISNUMBER(SEARCH("AUXILIAR DE LIMPEZA - 150 H",tabParametros[[#This Row],[Função]],1)),
SUMIF(tabLimpGeral[TIPO],"Material",tabLimpGeral[VALOR UNITÁRIO P/ HORA (R$)])*150,
IF(ISNUMBER(SEARCH("AUXILIAR DE LIMPEZA - 220 H",tabParametros[[#This Row],[Função]],1)),
SUMIF(tabLimpGeral[TIPO],"Material",tabLimpGeral[VALOR UNITÁRIO P/ HORA (R$)])*220,
IF(ISNUMBER(SEARCH("AUXILIAR DE LIMPEZA - 12 x 36",tabParametros[[#This Row],[Função]],1)),
SUMIF(tabLimpGeral[TIPO],"Material",tabLimpGeral[VALOR UNITÁRIO P/ HORA (R$)])*220,
IF(ISNUMBER(SEARCH("Limpador de vidros - 220 h",tabParametros[[#This Row],[Função]],1)),
SUMIF(tabVidros[TIPO],"Material",tabVidros[VALOR UNITÁRIO P/ POSTO (R$)]),
0))))))</f>
        <v>35.518212958583888</v>
      </c>
      <c r="AZ244" s="281">
        <f>IF(ISNUMBER(SEARCH("AUXILIAR DE LIMPEZA - 75 H",tabParametros[[#This Row],[Função]],1)),
SUMIF(tabLimpGeral[TIPO],"Equipamento",tabLimpGeral[VALOR UNITÁRIO P/ HORA (R$)])*75,
IF(ISNUMBER(SEARCH("AUXILIAR DE LIMPEZA - 110 H",tabParametros[[#This Row],[Função]],1)),
SUMIF(tabLimpGeral[TIPO],"Equipamento",tabLimpGeral[VALOR UNITÁRIO P/ HORA (R$)])*110,
IF(ISNUMBER(SEARCH("AUXILIAR DE LIMPEZA - 150 H",tabParametros[[#This Row],[Função]],1)),
SUMIF(tabLimpGeral[TIPO],"Equipamento",tabLimpGeral[VALOR UNITÁRIO P/ HORA (R$)])*150,
IF(ISNUMBER(SEARCH("AUXILIAR DE LIMPEZA - 220 H",tabParametros[[#This Row],[Função]],1)),
SUMIF(tabLimpGeral[TIPO],"Equipamento",tabLimpGeral[VALOR UNITÁRIO P/ HORA (R$)])*220,
IF(ISNUMBER(SEARCH("AUXILIAR DE LIMPEZA - 12 x 36",tabParametros[[#This Row],[Função]],1)),
SUMIF(tabLimpGeral[TIPO],"Equipamento",tabLimpGeral[VALOR UNITÁRIO P/ HORA (R$)])*220,
IF(ISNUMBER(SEARCH("Limpador de vidros - 220 h",tabParametros[[#This Row],[Função]],1)),
SUMIF(tabVidros[TIPO],"Equipamento",tabVidros[VALOR UNITÁRIO P/ POSTO (R$)]),
0))))))</f>
        <v>64.529393914825576</v>
      </c>
      <c r="BA244" s="281">
        <f>IF(ISNUMBER(SEARCH("AUXILIAR DE LIMPEZA - 75 H",tabParametros[[#This Row],[Função]],1)),
SUMIF(tabLimpGeral[TIPO],"Produto",tabLimpGeral[VALOR UNITÁRIO P/ HORA (R$)])*75,
IF(ISNUMBER(SEARCH("AUXILIAR DE LIMPEZA - 110 H",tabParametros[[#This Row],[Função]],1)),
SUMIF(tabLimpGeral[TIPO],"Produto",tabLimpGeral[VALOR UNITÁRIO P/ HORA (R$)])*110,
IF(ISNUMBER(SEARCH("AUXILIAR DE LIMPEZA - 150 H",tabParametros[[#This Row],[Função]],1)),
SUMIF(tabLimpGeral[TIPO],"Produto",tabLimpGeral[VALOR UNITÁRIO P/ HORA (R$)])*150,
IF(ISNUMBER(SEARCH("AUXILIAR DE LIMPEZA - 220 H",tabParametros[[#This Row],[Função]],1)),
SUMIF(tabLimpGeral[TIPO],"Produto",tabLimpGeral[VALOR UNITÁRIO P/ HORA (R$)])*220,
IF(ISNUMBER(SEARCH("AUXILIAR DE LIMPEZA - 12 x 36",tabParametros[[#This Row],[Função]],1)),
SUMIF(tabLimpGeral[TIPO],"Produto",tabLimpGeral[VALOR UNITÁRIO P/ HORA (R$)])*220,
IF(ISNUMBER(SEARCH("Limpador de vidros - 220 h",tabParametros[[#This Row],[Função]],1)),
SUMIF(tabVidros[TIPO],"Produto",tabVidros[VALOR UNITÁRIO P/ POSTO (R$)]),
0))))))</f>
        <v>690.27153277931654</v>
      </c>
      <c r="BB244" s="281">
        <v>0</v>
      </c>
      <c r="BC244" s="236">
        <f>VLOOKUP(tabParametros[[#Headers],[Custos Indiretos]],tabOutrosCustos[],3,0)</f>
        <v>189.64880140242613</v>
      </c>
      <c r="BD244" s="236">
        <f>VLOOKUP(tabParametros[[#Headers],[Lucro]],tabOutrosCustos[],3,0)</f>
        <v>159.30499317803796</v>
      </c>
      <c r="BE244" s="235">
        <f>VLOOKUP(tabParametros[[#Headers],[COFINS]],tabImpostosNacionais[],2,0)</f>
        <v>7.5999999999999998E-2</v>
      </c>
      <c r="BF244" s="235">
        <f>VLOOKUP(tabParametros[[#Headers],[PIS]],tabImpostosNacionais[],2,0)</f>
        <v>1.6500000000000001E-2</v>
      </c>
      <c r="BG244" s="235">
        <f>VLOOKUP(tabParametros[[#This Row],[Comarca]],tabComarca[],4,0)</f>
        <v>0.03</v>
      </c>
      <c r="BH244" s="238">
        <f>IFERROR(VLOOKUP(tabParametros[[#This Row],[CCT DA CATEGORIA]],tabSindicatos[],11,0),"")</f>
        <v>45658</v>
      </c>
      <c r="BI244" s="289" t="str">
        <f>IFERROR(VLOOKUP(tabParametros[[#This Row],[CCT DA CATEGORIA]],tabSindicatos[],12,0),"")</f>
        <v>-</v>
      </c>
      <c r="BJ244" s="293" t="str">
        <f>IFERROR(VLOOKUP(tabParametros[[#This Row],[CCT DA CATEGORIA]],tabSindicatos[],13,0),"")</f>
        <v>-</v>
      </c>
    </row>
    <row r="245" spans="1:62" x14ac:dyDescent="0.25">
      <c r="A245" s="233" t="s">
        <v>1580</v>
      </c>
      <c r="B245" s="198" t="s">
        <v>221</v>
      </c>
      <c r="C245" s="198" t="s">
        <v>1244</v>
      </c>
      <c r="D245" s="198" t="str">
        <f>VLOOKUP(tabParametros[[#This Row],[Código do Posto]],tabPostos[],4,0)</f>
        <v>Uberaba</v>
      </c>
      <c r="E245" s="289" t="str">
        <f>VLOOKUP(tabParametros[[#This Row],[Código do Posto]],tabPostos[],5,0)</f>
        <v>Limpeza</v>
      </c>
      <c r="F245" s="289" t="str">
        <f>VLOOKUP(tabParametros[[#This Row],[Código do Posto]],tabPostos[],6,0)</f>
        <v>PGJ</v>
      </c>
      <c r="G245" s="289">
        <f>VLOOKUP(tabParametros[[#This Row],[Código do Posto]],tabPostos[],7,0)</f>
        <v>1</v>
      </c>
      <c r="H245" s="289">
        <f>VLOOKUP(tabParametros[[#This Row],[Código do Posto]],tabPostos[],8,0)</f>
        <v>0</v>
      </c>
      <c r="I245" s="234">
        <f>VLOOKUP(tabParametros[[#This Row],[Código do Posto]],tabPostos[],9,0)</f>
        <v>824.56</v>
      </c>
      <c r="J245" s="234">
        <f>IF(ISNUMBER(SEARCH("Eletricista",tabParametros[[#This Row],[Função]],1)),0.3*tabParametros[[#This Row],[Salário Base]],0)</f>
        <v>0</v>
      </c>
      <c r="K245" s="234">
        <f>IF(OR(ISNUMBER(SEARCH("Bombeiro Hidraulico",tabParametros[[#This Row],[Função]],1)),ISNUMBER(SEARCH("Jardineiro",tabParametros[[#This Row],[Função]],1)),ISNUMBER(SEARCH("Lavador de Veiculos",tabParametros[[#This Row],[Função]],1)),ISNUMBER(SEARCH("Marceneiro",tabParametros[[#This Row],[Função]],1)),ISNUMBER(SEARCH("Pintor",tabParametros[[#This Row],[Função]],1))),0.2*'BASE GERAL'!$R$4,0)</f>
        <v>0</v>
      </c>
      <c r="L245" s="234">
        <f>IF(AND(ISNUMBER(SEARCH("Noturno",tabParametros[[#This Row],[Função]],1)),tabParametros[[#This Row],[Comarca]]&lt;&gt;"Juiz de Fora"),tabParametros[[#This Row],[Salário Base]]/210*0.39*7*15.5,IF(ISNUMBER(SEARCH("Noturno",tabParametros[[#This Row],[Função]],1)),tabParametros[[#This Row],[Salário Base]]/210*0.2*8*15.5,0))</f>
        <v>0</v>
      </c>
      <c r="M245" s="234">
        <f>IF(ISNUMBER(SEARCH("Motorista II",tabParametros[[#This Row],[Função]],1)),0.25*tabParametros[[#This Row],[Salário Base]],0)</f>
        <v>0</v>
      </c>
      <c r="N245" s="250">
        <v>0</v>
      </c>
      <c r="O245" s="234">
        <f>IF(ISNUMBER(SEARCH("TECNOLOGIA DA INFORMACAO",tabParametros[[#This Row],[Função]],1)),0.0201*tabParametros[[#This Row],[Salário Base]],0)</f>
        <v>0</v>
      </c>
      <c r="P245" s="250" cm="1">
        <f t="array" ref="P245">_xlfn.IFS(
ISNUMBER(SEARCH("Auxiliar de Limpeza - 75 h",tabParametros[[#This Row],[Função]],1)),tabParametros[[#This Row],[Salário Base]]/75*0.75*30*0.12,
ISNUMBER(SEARCH("Auxiliar de Limpeza - 110 h",tabParametros[[#This Row],[Função]],1)),tabParametros[[#This Row],[Salário Base]]/110*1*30*0.12,
ISNUMBER(SEARCH("Auxiliar de Limpeza - 150 h",tabParametros[[#This Row],[Função]],1)),tabParametros[[#This Row],[Salário Base]]/150*1.5*30*0.12,
ISNUMBER(SEARCH("Auxiliar de Limpeza - 220 h",tabParametros[[#This Row],[Função]],1)),tabParametros[[#This Row],[Salário Base]]/220*2*30*0.12,
ISNUMBER(SEARCH("Auxiliar de Limpeza - 12 x 36",tabParametros[[#This Row],[Função]],1)),tabParametros[[#This Row],[Salário Base]]/220*2*30*0.12,
ISNUMBER(SEARCH("Auxiliar de Limpeza - 55 h",tabParametros[[#This Row],[Função]],1))=FALSE,0)</f>
        <v>26.985599999999998</v>
      </c>
      <c r="Q245" s="235">
        <f>VLOOKUP(tabParametros[[#Headers],[INSS]],tabImpostosNacionais[],2,0)</f>
        <v>0.2</v>
      </c>
      <c r="R245" s="235">
        <f>VLOOKUP(tabParametros[[#Headers],[SESI OU SESC]],tabImpostosNacionais[],2,0)</f>
        <v>1.4999999999999999E-2</v>
      </c>
      <c r="S245" s="235">
        <f>VLOOKUP(tabParametros[[#Headers],[SENAI OU SENAC]],tabImpostosNacionais[],2,0)</f>
        <v>0.01</v>
      </c>
      <c r="T245" s="235">
        <f>VLOOKUP(tabParametros[[#Headers],[INCRA]],tabImpostosNacionais[],2,0)</f>
        <v>2E-3</v>
      </c>
      <c r="U245" s="235">
        <f>VLOOKUP(tabParametros[[#Headers],[Salário Educação]],tabImpostosNacionais[],2,0)</f>
        <v>2.5000000000000001E-2</v>
      </c>
      <c r="V245" s="235">
        <f>VLOOKUP(tabParametros[[#Headers],[FGTS]],tabImpostosNacionais[],2,0)</f>
        <v>0.08</v>
      </c>
      <c r="W245" s="235">
        <f>VLOOKUP(tabParametros[[#Headers],[RAT Ajustado]],tabImpostosNacionais[],2,0)</f>
        <v>0.04</v>
      </c>
      <c r="X245" s="235">
        <f>VLOOKUP(tabParametros[[#Headers],[SEBRAE]],tabImpostosNacionais[],2,0)</f>
        <v>6.0000000000000001E-3</v>
      </c>
      <c r="Y245" s="235">
        <f t="shared" si="33"/>
        <v>8.3333333333333329E-2</v>
      </c>
      <c r="Z245" s="251">
        <f t="shared" si="34"/>
        <v>0.1111111111111111</v>
      </c>
      <c r="AA245" s="234">
        <f>VLOOKUP(tabParametros[[#This Row],[Comarca]],tabComarca[],5,0)</f>
        <v>6.4</v>
      </c>
      <c r="AB245" s="234">
        <f>IFERROR(VLOOKUP(tabParametros[[#This Row],[CCT DA CATEGORIA]],tabSindicatos[],6,0),0)</f>
        <v>29.15</v>
      </c>
      <c r="AC245" s="234">
        <f>IFERROR(VLOOKUP(tabParametros[[#This Row],[CCT DA CATEGORIA]],tabSindicatos[],7,0),0)</f>
        <v>0</v>
      </c>
      <c r="AD245" s="234" cm="1">
        <f t="array" ref="AD245">_xlfn.LET(
_xlpm.COMARCA, TRIM(UPPER(SUBSTITUTE(SUBSTITUTE(SUBSTITUTE(SUBSTITUTE(SUBSTITUTE(SUBSTITUTE(SUBSTITUTE(SUBSTITUTE(SUBSTITUTE(SUBSTITUTE(SUBSTITUTE(SUBSTITUTE(SUBSTITUTE(SUBSTITUTE(SUBSTITUTE(SUBSTITUTE(SUBSTITUTE(SUBSTITUTE(SUBSTITUTE(SUBSTITUTE(SUBSTITUTE(SUBSTITUTE(SUBSTITUTE(SUBSTITUTE(SUBSTITUTE(SUBSTITUTE(tabParametros[[#This Row],[Comarca]],"á","a"),"ã","a"),"â","a"),"é","e"),"ê","e"),"í","i"),"ó","o"),"õ","o"),"ô","o"),"ú","u"),"ç","c"),"Á","a"),"Ã","a"),"Â","a"),"É","e"),"Ê","e"),"Í","i"),"Ó","o"),"Õ","o"),"Ô","o"),"Ú","u"),"Ç","c"),"/MG","")," e ",", ")," ",""),".",""))),
_xlpm.MATRIZ_COMARCA, TRIM(UPPER(SUBSTITUTE(SUBSTITUTE(SUBSTITUTE(SUBSTITUTE(SUBSTITUTE(SUBSTITUTE(SUBSTITUTE(SUBSTITUTE(SUBSTITUTE(SUBSTITUTE(SUBSTITUTE(SUBSTITUTE(SUBSTITUTE(SUBSTITUTE(SUBSTITUTE(SUBSTITUTE(SUBSTITUTE(SUBSTITUTE(SUBSTITUTE(SUBSTITUTE(SUBSTITUTE(SUBSTITUTE(SUBSTITUTE(SUBSTITUTE(SUBSTITUTE(SUBSTITUTE(tabSindicatos[COMARCAS PAF],"á","a"),"ã","a"),"â","a"),"é","e"),"ê","e"),"í","i"),"ó","o"),"õ","o"),"ô","o"),"ú","u"),"ç","c"),"Á","a"),"Ã","a"),"Â","a"),"É","e"),"Ê","e"),"Í","i"),"Ó","o"),"Õ","o"),"Ô","o"),"Ú","u"),"Ç","c"),"/MG","")," e ",", ")," ",""),".",""))),
IFERROR(IF(_xlfn.XLOOKUP(tabParametros[[#This Row],[CCT DA CATEGORIA]],tabSindicatos[SINDICATOS],tabSindicatos[COMARCAS PAF])="",
VLOOKUP(tabParametros[[#This Row],[CCT DA CATEGORIA]],tabSindicatos[],8,0),
IF(ISNUMBER(SEARCH(TRIM(_xlpm.COMARCA),_xlfn.XLOOKUP(tabParametros[[#This Row],[CCT DA CATEGORIA]],tabSindicatos[SINDICATOS],_xlpm.MATRIZ_COMARCA),1)),VLOOKUP(tabParametros[[#This Row],[CCT DA CATEGORIA]],tabSindicatos[],8,0),0)
),0)
)</f>
        <v>51.86</v>
      </c>
      <c r="AE245" s="234">
        <f>IFERROR(VLOOKUP(tabParametros[[#This Row],[CCT DA CATEGORIA]],tabSindicatos[],9,0),0)</f>
        <v>0</v>
      </c>
      <c r="AF245" s="234">
        <f>IFERROR(VLOOKUP(tabParametros[[#This Row],[CCT DA CATEGORIA]],tabSindicatos[],10,0),0)</f>
        <v>0</v>
      </c>
      <c r="AG245" s="236">
        <f>VLOOKUP(tabParametros[[#Headers],[Seguro de Vida]],tabOutrosCustos[],3,0)</f>
        <v>3.36</v>
      </c>
      <c r="AH245" s="236">
        <f>IF(ISNUMBER(SEARCH("MOTORISTA",tabParametros[[#This Row],[Função]],1)),VLOOKUP("MOTORISTAS",tabDiarias[],2,0),IF(tabParametros[[#This Row],[Comarca]]="Belo Horizonte",VLOOKUP("LIMPEZA",tabDiarias[],2,0),0))</f>
        <v>0</v>
      </c>
      <c r="AI245" s="235">
        <f t="shared" si="35"/>
        <v>7.011766975308642E-3</v>
      </c>
      <c r="AJ245" s="237">
        <f>tabParametros[[#This Row],[FGTS]]*tabParametros[[#This Row],[Aviso Prévio Indenizado (API) e Reflexo do Aviso Prévio Indenizado]]</f>
        <v>5.609413580246914E-4</v>
      </c>
      <c r="AK245" s="237">
        <f>tabParametros[[#This Row],[FGTS]]*tabParametros[[#This Row],[Aviso Prévio Indenizado (API) e Reflexo do Aviso Prévio Indenizado]]*40%</f>
        <v>2.2437654320987658E-4</v>
      </c>
      <c r="AL245" s="235">
        <f t="shared" si="36"/>
        <v>3.5000000000000005E-3</v>
      </c>
      <c r="AM245" s="235">
        <f>tabParametros[[#This Row],[Aviso Prévio Trabalhado - APT]]*SUM(tabParametros[[#This Row],[INSS]:[SEBRAE]])</f>
        <v>1.3230000000000004E-3</v>
      </c>
      <c r="AN245" s="235">
        <f t="shared" si="37"/>
        <v>3.0577777777777773E-2</v>
      </c>
      <c r="AO245" s="235">
        <f t="shared" si="38"/>
        <v>8.3333333333333339E-4</v>
      </c>
      <c r="AP245" s="235">
        <f t="shared" si="39"/>
        <v>8.4444444444444437E-3</v>
      </c>
      <c r="AQ245" s="235">
        <f t="shared" si="40"/>
        <v>2.0277777777777777E-3</v>
      </c>
      <c r="AR245" s="235">
        <f t="shared" si="41"/>
        <v>1.7083333333333333E-4</v>
      </c>
      <c r="AS245" s="235">
        <f t="shared" si="42"/>
        <v>2.0833333333333335E-4</v>
      </c>
      <c r="AT245" s="235">
        <f t="shared" si="43"/>
        <v>1.2962962962962963E-3</v>
      </c>
      <c r="AU245" s="237">
        <f>SUM(tabParametros[[#This Row],[Ausência por Doença]:[Férias, Adicional de Férias e 13º  com empregada em gozo de Licença Maternidade]])*SUM(tabParametros[[#This Row],[INSS]:[SEBRAE]])</f>
        <v>4.5918250000000008E-3</v>
      </c>
      <c r="AV245" s="234">
        <f>IF(tabParametros[[#This Row],[Função]]="Porteiro - 220 h",SUM(tabParametros[[#This Row],[Salário Base]:[Adicional de Acúmulo de função]])/220*20*1.5,IF(ISNUMBER(SEARCH("12 x 36",tabParametros[[#This Row],[Função]],1)),SUM(tabParametros[[#This Row],[Salário Base]:[Adicional de Acúmulo de função]])/210*15.5*1.5,0))</f>
        <v>0</v>
      </c>
      <c r="AW245" s="234">
        <f>IF(tabParametros[[#This Row],[Vagas contratadas]]&gt;0,(SUM(tabParametros[[#This Row],[Salário Base]:[Adicional de Acúmulo de função]])*30%+SUM(tabParametros[[#This Row],[Vale - Alimentação]:[Seguro de Vida]]))/tabParametros[[#This Row],[Vagas contratadas]]*tabParametros[[#This Row],[Vagas suspensas]],0)</f>
        <v>0</v>
      </c>
      <c r="AX245" s="234">
        <f>SUMIF(tabUniformes[Cargo],tabParametros[[#This Row],[Função]],tabUniformes[Valor unit. Mensal])</f>
        <v>62.806666666666665</v>
      </c>
      <c r="AY245" s="281">
        <f>IF(ISNUMBER(SEARCH("AUXILIAR DE LIMPEZA - 75 H",tabParametros[[#This Row],[Função]],1)),
SUMIF(tabLimpGeral[TIPO],"Material",tabLimpGeral[VALOR UNITÁRIO P/ HORA (R$)])*75,
IF(ISNUMBER(SEARCH("AUXILIAR DE LIMPEZA - 110 H",tabParametros[[#This Row],[Função]],1)),
SUMIF(tabLimpGeral[TIPO],"Material",tabLimpGeral[VALOR UNITÁRIO P/ HORA (R$)])*110,
IF(ISNUMBER(SEARCH("AUXILIAR DE LIMPEZA - 150 H",tabParametros[[#This Row],[Função]],1)),
SUMIF(tabLimpGeral[TIPO],"Material",tabLimpGeral[VALOR UNITÁRIO P/ HORA (R$)])*150,
IF(ISNUMBER(SEARCH("AUXILIAR DE LIMPEZA - 220 H",tabParametros[[#This Row],[Função]],1)),
SUMIF(tabLimpGeral[TIPO],"Material",tabLimpGeral[VALOR UNITÁRIO P/ HORA (R$)])*220,
IF(ISNUMBER(SEARCH("AUXILIAR DE LIMPEZA - 12 x 36",tabParametros[[#This Row],[Função]],1)),
SUMIF(tabLimpGeral[TIPO],"Material",tabLimpGeral[VALOR UNITÁRIO P/ HORA (R$)])*220,
IF(ISNUMBER(SEARCH("Limpador de vidros - 220 h",tabParametros[[#This Row],[Função]],1)),
SUMIF(tabVidros[TIPO],"Material",tabVidros[VALOR UNITÁRIO P/ POSTO (R$)]),
0))))))</f>
        <v>17.759106479291944</v>
      </c>
      <c r="AZ245" s="281">
        <f>IF(ISNUMBER(SEARCH("AUXILIAR DE LIMPEZA - 75 H",tabParametros[[#This Row],[Função]],1)),
SUMIF(tabLimpGeral[TIPO],"Equipamento",tabLimpGeral[VALOR UNITÁRIO P/ HORA (R$)])*75,
IF(ISNUMBER(SEARCH("AUXILIAR DE LIMPEZA - 110 H",tabParametros[[#This Row],[Função]],1)),
SUMIF(tabLimpGeral[TIPO],"Equipamento",tabLimpGeral[VALOR UNITÁRIO P/ HORA (R$)])*110,
IF(ISNUMBER(SEARCH("AUXILIAR DE LIMPEZA - 150 H",tabParametros[[#This Row],[Função]],1)),
SUMIF(tabLimpGeral[TIPO],"Equipamento",tabLimpGeral[VALOR UNITÁRIO P/ HORA (R$)])*150,
IF(ISNUMBER(SEARCH("AUXILIAR DE LIMPEZA - 220 H",tabParametros[[#This Row],[Função]],1)),
SUMIF(tabLimpGeral[TIPO],"Equipamento",tabLimpGeral[VALOR UNITÁRIO P/ HORA (R$)])*220,
IF(ISNUMBER(SEARCH("AUXILIAR DE LIMPEZA - 12 x 36",tabParametros[[#This Row],[Função]],1)),
SUMIF(tabLimpGeral[TIPO],"Equipamento",tabLimpGeral[VALOR UNITÁRIO P/ HORA (R$)])*220,
IF(ISNUMBER(SEARCH("Limpador de vidros - 220 h",tabParametros[[#This Row],[Função]],1)),
SUMIF(tabVidros[TIPO],"Equipamento",tabVidros[VALOR UNITÁRIO P/ POSTO (R$)]),
0))))))</f>
        <v>32.264696957412788</v>
      </c>
      <c r="BA245" s="281">
        <f>IF(ISNUMBER(SEARCH("AUXILIAR DE LIMPEZA - 75 H",tabParametros[[#This Row],[Função]],1)),
SUMIF(tabLimpGeral[TIPO],"Produto",tabLimpGeral[VALOR UNITÁRIO P/ HORA (R$)])*75,
IF(ISNUMBER(SEARCH("AUXILIAR DE LIMPEZA - 110 H",tabParametros[[#This Row],[Função]],1)),
SUMIF(tabLimpGeral[TIPO],"Produto",tabLimpGeral[VALOR UNITÁRIO P/ HORA (R$)])*110,
IF(ISNUMBER(SEARCH("AUXILIAR DE LIMPEZA - 150 H",tabParametros[[#This Row],[Função]],1)),
SUMIF(tabLimpGeral[TIPO],"Produto",tabLimpGeral[VALOR UNITÁRIO P/ HORA (R$)])*150,
IF(ISNUMBER(SEARCH("AUXILIAR DE LIMPEZA - 220 H",tabParametros[[#This Row],[Função]],1)),
SUMIF(tabLimpGeral[TIPO],"Produto",tabLimpGeral[VALOR UNITÁRIO P/ HORA (R$)])*220,
IF(ISNUMBER(SEARCH("AUXILIAR DE LIMPEZA - 12 x 36",tabParametros[[#This Row],[Função]],1)),
SUMIF(tabLimpGeral[TIPO],"Produto",tabLimpGeral[VALOR UNITÁRIO P/ HORA (R$)])*220,
IF(ISNUMBER(SEARCH("Limpador de vidros - 220 h",tabParametros[[#This Row],[Função]],1)),
SUMIF(tabVidros[TIPO],"Produto",tabVidros[VALOR UNITÁRIO P/ POSTO (R$)]),
0))))))</f>
        <v>345.13576638965827</v>
      </c>
      <c r="BB245" s="281">
        <v>0</v>
      </c>
      <c r="BC245" s="236">
        <f>VLOOKUP(tabParametros[[#Headers],[Custos Indiretos]],tabOutrosCustos[],3,0)</f>
        <v>189.64880140242613</v>
      </c>
      <c r="BD245" s="236">
        <f>VLOOKUP(tabParametros[[#Headers],[Lucro]],tabOutrosCustos[],3,0)</f>
        <v>159.30499317803796</v>
      </c>
      <c r="BE245" s="235">
        <f>VLOOKUP(tabParametros[[#Headers],[COFINS]],tabImpostosNacionais[],2,0)</f>
        <v>7.5999999999999998E-2</v>
      </c>
      <c r="BF245" s="235">
        <f>VLOOKUP(tabParametros[[#Headers],[PIS]],tabImpostosNacionais[],2,0)</f>
        <v>1.6500000000000001E-2</v>
      </c>
      <c r="BG245" s="235">
        <f>VLOOKUP(tabParametros[[#This Row],[Comarca]],tabComarca[],4,0)</f>
        <v>0.03</v>
      </c>
      <c r="BH245" s="238">
        <f>IFERROR(VLOOKUP(tabParametros[[#This Row],[CCT DA CATEGORIA]],tabSindicatos[],11,0),"")</f>
        <v>45658</v>
      </c>
      <c r="BI245" s="289" t="str">
        <f>IFERROR(VLOOKUP(tabParametros[[#This Row],[CCT DA CATEGORIA]],tabSindicatos[],12,0),"")</f>
        <v>-</v>
      </c>
      <c r="BJ245" s="293" t="str">
        <f>IFERROR(VLOOKUP(tabParametros[[#This Row],[CCT DA CATEGORIA]],tabSindicatos[],13,0),"")</f>
        <v>-</v>
      </c>
    </row>
    <row r="246" spans="1:62" x14ac:dyDescent="0.25">
      <c r="A246" s="233" t="s">
        <v>1581</v>
      </c>
      <c r="B246" s="198" t="s">
        <v>221</v>
      </c>
      <c r="C246" s="198" t="s">
        <v>1245</v>
      </c>
      <c r="D246" s="198" t="str">
        <f>VLOOKUP(tabParametros[[#This Row],[Código do Posto]],tabPostos[],4,0)</f>
        <v>Uberaba</v>
      </c>
      <c r="E246" s="289" t="str">
        <f>VLOOKUP(tabParametros[[#This Row],[Código do Posto]],tabPostos[],5,0)</f>
        <v>Limpeza</v>
      </c>
      <c r="F246" s="289" t="str">
        <f>VLOOKUP(tabParametros[[#This Row],[Código do Posto]],tabPostos[],6,0)</f>
        <v>PGJ</v>
      </c>
      <c r="G246" s="289">
        <f>VLOOKUP(tabParametros[[#This Row],[Código do Posto]],tabPostos[],7,0)</f>
        <v>4</v>
      </c>
      <c r="H246" s="289">
        <f>VLOOKUP(tabParametros[[#This Row],[Código do Posto]],tabPostos[],8,0)</f>
        <v>0</v>
      </c>
      <c r="I246" s="234">
        <f>VLOOKUP(tabParametros[[#This Row],[Código do Posto]],tabPostos[],9,0)</f>
        <v>1649.12</v>
      </c>
      <c r="J246" s="234">
        <f>IF(ISNUMBER(SEARCH("Eletricista",tabParametros[[#This Row],[Função]],1)),0.3*tabParametros[[#This Row],[Salário Base]],0)</f>
        <v>0</v>
      </c>
      <c r="K246" s="234">
        <f>IF(OR(ISNUMBER(SEARCH("Bombeiro Hidraulico",tabParametros[[#This Row],[Função]],1)),ISNUMBER(SEARCH("Jardineiro",tabParametros[[#This Row],[Função]],1)),ISNUMBER(SEARCH("Lavador de Veiculos",tabParametros[[#This Row],[Função]],1)),ISNUMBER(SEARCH("Marceneiro",tabParametros[[#This Row],[Função]],1)),ISNUMBER(SEARCH("Pintor",tabParametros[[#This Row],[Função]],1))),0.2*'BASE GERAL'!$R$4,0)</f>
        <v>0</v>
      </c>
      <c r="L246" s="234">
        <f>IF(AND(ISNUMBER(SEARCH("Noturno",tabParametros[[#This Row],[Função]],1)),tabParametros[[#This Row],[Comarca]]&lt;&gt;"Juiz de Fora"),tabParametros[[#This Row],[Salário Base]]/210*0.39*7*15.5,IF(ISNUMBER(SEARCH("Noturno",tabParametros[[#This Row],[Função]],1)),tabParametros[[#This Row],[Salário Base]]/210*0.2*8*15.5,0))</f>
        <v>0</v>
      </c>
      <c r="M246" s="234">
        <f>IF(ISNUMBER(SEARCH("Motorista II",tabParametros[[#This Row],[Função]],1)),0.25*tabParametros[[#This Row],[Salário Base]],0)</f>
        <v>0</v>
      </c>
      <c r="N246" s="250">
        <v>0</v>
      </c>
      <c r="O246" s="234">
        <f>IF(ISNUMBER(SEARCH("TECNOLOGIA DA INFORMACAO",tabParametros[[#This Row],[Função]],1)),0.0201*tabParametros[[#This Row],[Salário Base]],0)</f>
        <v>0</v>
      </c>
      <c r="P246" s="250" cm="1">
        <f t="array" ref="P246">_xlfn.IFS(
ISNUMBER(SEARCH("Auxiliar de Limpeza - 75 h",tabParametros[[#This Row],[Função]],1)),tabParametros[[#This Row],[Salário Base]]/75*0.75*30*0.12,
ISNUMBER(SEARCH("Auxiliar de Limpeza - 110 h",tabParametros[[#This Row],[Função]],1)),tabParametros[[#This Row],[Salário Base]]/110*1*30*0.12,
ISNUMBER(SEARCH("Auxiliar de Limpeza - 150 h",tabParametros[[#This Row],[Função]],1)),tabParametros[[#This Row],[Salário Base]]/150*1.5*30*0.12,
ISNUMBER(SEARCH("Auxiliar de Limpeza - 220 h",tabParametros[[#This Row],[Função]],1)),tabParametros[[#This Row],[Salário Base]]/220*2*30*0.12,
ISNUMBER(SEARCH("Auxiliar de Limpeza - 12 x 36",tabParametros[[#This Row],[Função]],1)),tabParametros[[#This Row],[Salário Base]]/220*2*30*0.12,
ISNUMBER(SEARCH("Auxiliar de Limpeza - 55 h",tabParametros[[#This Row],[Função]],1))=FALSE,0)</f>
        <v>53.971199999999996</v>
      </c>
      <c r="Q246" s="235">
        <f>VLOOKUP(tabParametros[[#Headers],[INSS]],tabImpostosNacionais[],2,0)</f>
        <v>0.2</v>
      </c>
      <c r="R246" s="235">
        <f>VLOOKUP(tabParametros[[#Headers],[SESI OU SESC]],tabImpostosNacionais[],2,0)</f>
        <v>1.4999999999999999E-2</v>
      </c>
      <c r="S246" s="235">
        <f>VLOOKUP(tabParametros[[#Headers],[SENAI OU SENAC]],tabImpostosNacionais[],2,0)</f>
        <v>0.01</v>
      </c>
      <c r="T246" s="235">
        <f>VLOOKUP(tabParametros[[#Headers],[INCRA]],tabImpostosNacionais[],2,0)</f>
        <v>2E-3</v>
      </c>
      <c r="U246" s="235">
        <f>VLOOKUP(tabParametros[[#Headers],[Salário Educação]],tabImpostosNacionais[],2,0)</f>
        <v>2.5000000000000001E-2</v>
      </c>
      <c r="V246" s="235">
        <f>VLOOKUP(tabParametros[[#Headers],[FGTS]],tabImpostosNacionais[],2,0)</f>
        <v>0.08</v>
      </c>
      <c r="W246" s="235">
        <f>VLOOKUP(tabParametros[[#Headers],[RAT Ajustado]],tabImpostosNacionais[],2,0)</f>
        <v>0.04</v>
      </c>
      <c r="X246" s="235">
        <f>VLOOKUP(tabParametros[[#Headers],[SEBRAE]],tabImpostosNacionais[],2,0)</f>
        <v>6.0000000000000001E-3</v>
      </c>
      <c r="Y246" s="235">
        <f t="shared" si="33"/>
        <v>8.3333333333333329E-2</v>
      </c>
      <c r="Z246" s="251">
        <f t="shared" si="34"/>
        <v>0.1111111111111111</v>
      </c>
      <c r="AA246" s="234">
        <f>VLOOKUP(tabParametros[[#This Row],[Comarca]],tabComarca[],5,0)</f>
        <v>6.4</v>
      </c>
      <c r="AB246" s="234">
        <f>IFERROR(VLOOKUP(tabParametros[[#This Row],[CCT DA CATEGORIA]],tabSindicatos[],6,0),0)</f>
        <v>29.15</v>
      </c>
      <c r="AC246" s="234">
        <f>IFERROR(VLOOKUP(tabParametros[[#This Row],[CCT DA CATEGORIA]],tabSindicatos[],7,0),0)</f>
        <v>0</v>
      </c>
      <c r="AD246" s="234" cm="1">
        <f t="array" ref="AD246">_xlfn.LET(
_xlpm.COMARCA, TRIM(UPPER(SUBSTITUTE(SUBSTITUTE(SUBSTITUTE(SUBSTITUTE(SUBSTITUTE(SUBSTITUTE(SUBSTITUTE(SUBSTITUTE(SUBSTITUTE(SUBSTITUTE(SUBSTITUTE(SUBSTITUTE(SUBSTITUTE(SUBSTITUTE(SUBSTITUTE(SUBSTITUTE(SUBSTITUTE(SUBSTITUTE(SUBSTITUTE(SUBSTITUTE(SUBSTITUTE(SUBSTITUTE(SUBSTITUTE(SUBSTITUTE(SUBSTITUTE(SUBSTITUTE(tabParametros[[#This Row],[Comarca]],"á","a"),"ã","a"),"â","a"),"é","e"),"ê","e"),"í","i"),"ó","o"),"õ","o"),"ô","o"),"ú","u"),"ç","c"),"Á","a"),"Ã","a"),"Â","a"),"É","e"),"Ê","e"),"Í","i"),"Ó","o"),"Õ","o"),"Ô","o"),"Ú","u"),"Ç","c"),"/MG","")," e ",", ")," ",""),".",""))),
_xlpm.MATRIZ_COMARCA, TRIM(UPPER(SUBSTITUTE(SUBSTITUTE(SUBSTITUTE(SUBSTITUTE(SUBSTITUTE(SUBSTITUTE(SUBSTITUTE(SUBSTITUTE(SUBSTITUTE(SUBSTITUTE(SUBSTITUTE(SUBSTITUTE(SUBSTITUTE(SUBSTITUTE(SUBSTITUTE(SUBSTITUTE(SUBSTITUTE(SUBSTITUTE(SUBSTITUTE(SUBSTITUTE(SUBSTITUTE(SUBSTITUTE(SUBSTITUTE(SUBSTITUTE(SUBSTITUTE(SUBSTITUTE(tabSindicatos[COMARCAS PAF],"á","a"),"ã","a"),"â","a"),"é","e"),"ê","e"),"í","i"),"ó","o"),"õ","o"),"ô","o"),"ú","u"),"ç","c"),"Á","a"),"Ã","a"),"Â","a"),"É","e"),"Ê","e"),"Í","i"),"Ó","o"),"Õ","o"),"Ô","o"),"Ú","u"),"Ç","c"),"/MG","")," e ",", ")," ",""),".",""))),
IFERROR(IF(_xlfn.XLOOKUP(tabParametros[[#This Row],[CCT DA CATEGORIA]],tabSindicatos[SINDICATOS],tabSindicatos[COMARCAS PAF])="",
VLOOKUP(tabParametros[[#This Row],[CCT DA CATEGORIA]],tabSindicatos[],8,0),
IF(ISNUMBER(SEARCH(TRIM(_xlpm.COMARCA),_xlfn.XLOOKUP(tabParametros[[#This Row],[CCT DA CATEGORIA]],tabSindicatos[SINDICATOS],_xlpm.MATRIZ_COMARCA),1)),VLOOKUP(tabParametros[[#This Row],[CCT DA CATEGORIA]],tabSindicatos[],8,0),0)
),0)
)</f>
        <v>51.86</v>
      </c>
      <c r="AE246" s="234">
        <f>IFERROR(VLOOKUP(tabParametros[[#This Row],[CCT DA CATEGORIA]],tabSindicatos[],9,0),0)</f>
        <v>0</v>
      </c>
      <c r="AF246" s="234">
        <f>IFERROR(VLOOKUP(tabParametros[[#This Row],[CCT DA CATEGORIA]],tabSindicatos[],10,0),0)</f>
        <v>0</v>
      </c>
      <c r="AG246" s="236">
        <f>VLOOKUP(tabParametros[[#Headers],[Seguro de Vida]],tabOutrosCustos[],3,0)</f>
        <v>3.36</v>
      </c>
      <c r="AH246" s="236">
        <f>IF(ISNUMBER(SEARCH("MOTORISTA",tabParametros[[#This Row],[Função]],1)),VLOOKUP("MOTORISTAS",tabDiarias[],2,0),IF(tabParametros[[#This Row],[Comarca]]="Belo Horizonte",VLOOKUP("LIMPEZA",tabDiarias[],2,0),0))</f>
        <v>0</v>
      </c>
      <c r="AI246" s="235">
        <f t="shared" si="35"/>
        <v>7.011766975308642E-3</v>
      </c>
      <c r="AJ246" s="237">
        <f>tabParametros[[#This Row],[FGTS]]*tabParametros[[#This Row],[Aviso Prévio Indenizado (API) e Reflexo do Aviso Prévio Indenizado]]</f>
        <v>5.609413580246914E-4</v>
      </c>
      <c r="AK246" s="237">
        <f>tabParametros[[#This Row],[FGTS]]*tabParametros[[#This Row],[Aviso Prévio Indenizado (API) e Reflexo do Aviso Prévio Indenizado]]*40%</f>
        <v>2.2437654320987658E-4</v>
      </c>
      <c r="AL246" s="235">
        <f t="shared" si="36"/>
        <v>3.5000000000000005E-3</v>
      </c>
      <c r="AM246" s="235">
        <f>tabParametros[[#This Row],[Aviso Prévio Trabalhado - APT]]*SUM(tabParametros[[#This Row],[INSS]:[SEBRAE]])</f>
        <v>1.3230000000000004E-3</v>
      </c>
      <c r="AN246" s="235">
        <f t="shared" si="37"/>
        <v>3.0577777777777773E-2</v>
      </c>
      <c r="AO246" s="235">
        <f t="shared" si="38"/>
        <v>8.3333333333333339E-4</v>
      </c>
      <c r="AP246" s="235">
        <f t="shared" si="39"/>
        <v>8.4444444444444437E-3</v>
      </c>
      <c r="AQ246" s="235">
        <f t="shared" si="40"/>
        <v>2.0277777777777777E-3</v>
      </c>
      <c r="AR246" s="235">
        <f t="shared" si="41"/>
        <v>1.7083333333333333E-4</v>
      </c>
      <c r="AS246" s="235">
        <f t="shared" si="42"/>
        <v>2.0833333333333335E-4</v>
      </c>
      <c r="AT246" s="235">
        <f t="shared" si="43"/>
        <v>1.2962962962962963E-3</v>
      </c>
      <c r="AU246" s="237">
        <f>SUM(tabParametros[[#This Row],[Ausência por Doença]:[Férias, Adicional de Férias e 13º  com empregada em gozo de Licença Maternidade]])*SUM(tabParametros[[#This Row],[INSS]:[SEBRAE]])</f>
        <v>4.5918250000000008E-3</v>
      </c>
      <c r="AV246" s="234">
        <f>IF(tabParametros[[#This Row],[Função]]="Porteiro - 220 h",SUM(tabParametros[[#This Row],[Salário Base]:[Adicional de Acúmulo de função]])/220*20*1.5,IF(ISNUMBER(SEARCH("12 x 36",tabParametros[[#This Row],[Função]],1)),SUM(tabParametros[[#This Row],[Salário Base]:[Adicional de Acúmulo de função]])/210*15.5*1.5,0))</f>
        <v>0</v>
      </c>
      <c r="AW246" s="234">
        <f>IF(tabParametros[[#This Row],[Vagas contratadas]]&gt;0,(SUM(tabParametros[[#This Row],[Salário Base]:[Adicional de Acúmulo de função]])*30%+SUM(tabParametros[[#This Row],[Vale - Alimentação]:[Seguro de Vida]]))/tabParametros[[#This Row],[Vagas contratadas]]*tabParametros[[#This Row],[Vagas suspensas]],0)</f>
        <v>0</v>
      </c>
      <c r="AX246" s="234">
        <f>SUMIF(tabUniformes[Cargo],tabParametros[[#This Row],[Função]],tabUniformes[Valor unit. Mensal])</f>
        <v>100.80916666666666</v>
      </c>
      <c r="AY246" s="281">
        <f>IF(ISNUMBER(SEARCH("AUXILIAR DE LIMPEZA - 75 H",tabParametros[[#This Row],[Função]],1)),
SUMIF(tabLimpGeral[TIPO],"Material",tabLimpGeral[VALOR UNITÁRIO P/ HORA (R$)])*75,
IF(ISNUMBER(SEARCH("AUXILIAR DE LIMPEZA - 110 H",tabParametros[[#This Row],[Função]],1)),
SUMIF(tabLimpGeral[TIPO],"Material",tabLimpGeral[VALOR UNITÁRIO P/ HORA (R$)])*110,
IF(ISNUMBER(SEARCH("AUXILIAR DE LIMPEZA - 150 H",tabParametros[[#This Row],[Função]],1)),
SUMIF(tabLimpGeral[TIPO],"Material",tabLimpGeral[VALOR UNITÁRIO P/ HORA (R$)])*150,
IF(ISNUMBER(SEARCH("AUXILIAR DE LIMPEZA - 220 H",tabParametros[[#This Row],[Função]],1)),
SUMIF(tabLimpGeral[TIPO],"Material",tabLimpGeral[VALOR UNITÁRIO P/ HORA (R$)])*220,
IF(ISNUMBER(SEARCH("AUXILIAR DE LIMPEZA - 12 x 36",tabParametros[[#This Row],[Função]],1)),
SUMIF(tabLimpGeral[TIPO],"Material",tabLimpGeral[VALOR UNITÁRIO P/ HORA (R$)])*220,
IF(ISNUMBER(SEARCH("Limpador de vidros - 220 h",tabParametros[[#This Row],[Função]],1)),
SUMIF(tabVidros[TIPO],"Material",tabVidros[VALOR UNITÁRIO P/ POSTO (R$)]),
0))))))</f>
        <v>35.518212958583888</v>
      </c>
      <c r="AZ246" s="281">
        <f>IF(ISNUMBER(SEARCH("AUXILIAR DE LIMPEZA - 75 H",tabParametros[[#This Row],[Função]],1)),
SUMIF(tabLimpGeral[TIPO],"Equipamento",tabLimpGeral[VALOR UNITÁRIO P/ HORA (R$)])*75,
IF(ISNUMBER(SEARCH("AUXILIAR DE LIMPEZA - 110 H",tabParametros[[#This Row],[Função]],1)),
SUMIF(tabLimpGeral[TIPO],"Equipamento",tabLimpGeral[VALOR UNITÁRIO P/ HORA (R$)])*110,
IF(ISNUMBER(SEARCH("AUXILIAR DE LIMPEZA - 150 H",tabParametros[[#This Row],[Função]],1)),
SUMIF(tabLimpGeral[TIPO],"Equipamento",tabLimpGeral[VALOR UNITÁRIO P/ HORA (R$)])*150,
IF(ISNUMBER(SEARCH("AUXILIAR DE LIMPEZA - 220 H",tabParametros[[#This Row],[Função]],1)),
SUMIF(tabLimpGeral[TIPO],"Equipamento",tabLimpGeral[VALOR UNITÁRIO P/ HORA (R$)])*220,
IF(ISNUMBER(SEARCH("AUXILIAR DE LIMPEZA - 12 x 36",tabParametros[[#This Row],[Função]],1)),
SUMIF(tabLimpGeral[TIPO],"Equipamento",tabLimpGeral[VALOR UNITÁRIO P/ HORA (R$)])*220,
IF(ISNUMBER(SEARCH("Limpador de vidros - 220 h",tabParametros[[#This Row],[Função]],1)),
SUMIF(tabVidros[TIPO],"Equipamento",tabVidros[VALOR UNITÁRIO P/ POSTO (R$)]),
0))))))</f>
        <v>64.529393914825576</v>
      </c>
      <c r="BA246" s="281">
        <f>IF(ISNUMBER(SEARCH("AUXILIAR DE LIMPEZA - 75 H",tabParametros[[#This Row],[Função]],1)),
SUMIF(tabLimpGeral[TIPO],"Produto",tabLimpGeral[VALOR UNITÁRIO P/ HORA (R$)])*75,
IF(ISNUMBER(SEARCH("AUXILIAR DE LIMPEZA - 110 H",tabParametros[[#This Row],[Função]],1)),
SUMIF(tabLimpGeral[TIPO],"Produto",tabLimpGeral[VALOR UNITÁRIO P/ HORA (R$)])*110,
IF(ISNUMBER(SEARCH("AUXILIAR DE LIMPEZA - 150 H",tabParametros[[#This Row],[Função]],1)),
SUMIF(tabLimpGeral[TIPO],"Produto",tabLimpGeral[VALOR UNITÁRIO P/ HORA (R$)])*150,
IF(ISNUMBER(SEARCH("AUXILIAR DE LIMPEZA - 220 H",tabParametros[[#This Row],[Função]],1)),
SUMIF(tabLimpGeral[TIPO],"Produto",tabLimpGeral[VALOR UNITÁRIO P/ HORA (R$)])*220,
IF(ISNUMBER(SEARCH("AUXILIAR DE LIMPEZA - 12 x 36",tabParametros[[#This Row],[Função]],1)),
SUMIF(tabLimpGeral[TIPO],"Produto",tabLimpGeral[VALOR UNITÁRIO P/ HORA (R$)])*220,
IF(ISNUMBER(SEARCH("Limpador de vidros - 220 h",tabParametros[[#This Row],[Função]],1)),
SUMIF(tabVidros[TIPO],"Produto",tabVidros[VALOR UNITÁRIO P/ POSTO (R$)]),
0))))))</f>
        <v>690.27153277931654</v>
      </c>
      <c r="BB246" s="281">
        <v>0</v>
      </c>
      <c r="BC246" s="236">
        <f>VLOOKUP(tabParametros[[#Headers],[Custos Indiretos]],tabOutrosCustos[],3,0)</f>
        <v>189.64880140242613</v>
      </c>
      <c r="BD246" s="236">
        <f>VLOOKUP(tabParametros[[#Headers],[Lucro]],tabOutrosCustos[],3,0)</f>
        <v>159.30499317803796</v>
      </c>
      <c r="BE246" s="235">
        <f>VLOOKUP(tabParametros[[#Headers],[COFINS]],tabImpostosNacionais[],2,0)</f>
        <v>7.5999999999999998E-2</v>
      </c>
      <c r="BF246" s="235">
        <f>VLOOKUP(tabParametros[[#Headers],[PIS]],tabImpostosNacionais[],2,0)</f>
        <v>1.6500000000000001E-2</v>
      </c>
      <c r="BG246" s="235">
        <f>VLOOKUP(tabParametros[[#This Row],[Comarca]],tabComarca[],4,0)</f>
        <v>0.03</v>
      </c>
      <c r="BH246" s="238">
        <f>IFERROR(VLOOKUP(tabParametros[[#This Row],[CCT DA CATEGORIA]],tabSindicatos[],11,0),"")</f>
        <v>45658</v>
      </c>
      <c r="BI246" s="289" t="str">
        <f>IFERROR(VLOOKUP(tabParametros[[#This Row],[CCT DA CATEGORIA]],tabSindicatos[],12,0),"")</f>
        <v>-</v>
      </c>
      <c r="BJ246" s="293" t="str">
        <f>IFERROR(VLOOKUP(tabParametros[[#This Row],[CCT DA CATEGORIA]],tabSindicatos[],13,0),"")</f>
        <v>-</v>
      </c>
    </row>
    <row r="247" spans="1:62" x14ac:dyDescent="0.25">
      <c r="A247" s="233" t="s">
        <v>1582</v>
      </c>
      <c r="B247" s="198" t="s">
        <v>222</v>
      </c>
      <c r="C247" s="198" t="s">
        <v>1244</v>
      </c>
      <c r="D247" s="198" t="str">
        <f>VLOOKUP(tabParametros[[#This Row],[Código do Posto]],tabPostos[],4,0)</f>
        <v>Uberlandia</v>
      </c>
      <c r="E247" s="289" t="str">
        <f>VLOOKUP(tabParametros[[#This Row],[Código do Posto]],tabPostos[],5,0)</f>
        <v>Limpeza</v>
      </c>
      <c r="F247" s="289" t="str">
        <f>VLOOKUP(tabParametros[[#This Row],[Código do Posto]],tabPostos[],6,0)</f>
        <v>PGJ</v>
      </c>
      <c r="G247" s="289">
        <f>VLOOKUP(tabParametros[[#This Row],[Código do Posto]],tabPostos[],7,0)</f>
        <v>1</v>
      </c>
      <c r="H247" s="289">
        <f>VLOOKUP(tabParametros[[#This Row],[Código do Posto]],tabPostos[],8,0)</f>
        <v>0</v>
      </c>
      <c r="I247" s="234">
        <f>VLOOKUP(tabParametros[[#This Row],[Código do Posto]],tabPostos[],9,0)</f>
        <v>824.56</v>
      </c>
      <c r="J247" s="234">
        <f>IF(ISNUMBER(SEARCH("Eletricista",tabParametros[[#This Row],[Função]],1)),0.3*tabParametros[[#This Row],[Salário Base]],0)</f>
        <v>0</v>
      </c>
      <c r="K247" s="234">
        <f>IF(OR(ISNUMBER(SEARCH("Bombeiro Hidraulico",tabParametros[[#This Row],[Função]],1)),ISNUMBER(SEARCH("Jardineiro",tabParametros[[#This Row],[Função]],1)),ISNUMBER(SEARCH("Lavador de Veiculos",tabParametros[[#This Row],[Função]],1)),ISNUMBER(SEARCH("Marceneiro",tabParametros[[#This Row],[Função]],1)),ISNUMBER(SEARCH("Pintor",tabParametros[[#This Row],[Função]],1))),0.2*'BASE GERAL'!$R$4,0)</f>
        <v>0</v>
      </c>
      <c r="L247" s="234">
        <f>IF(AND(ISNUMBER(SEARCH("Noturno",tabParametros[[#This Row],[Função]],1)),tabParametros[[#This Row],[Comarca]]&lt;&gt;"Juiz de Fora"),tabParametros[[#This Row],[Salário Base]]/210*0.39*7*15.5,IF(ISNUMBER(SEARCH("Noturno",tabParametros[[#This Row],[Função]],1)),tabParametros[[#This Row],[Salário Base]]/210*0.2*8*15.5,0))</f>
        <v>0</v>
      </c>
      <c r="M247" s="234">
        <f>IF(ISNUMBER(SEARCH("Motorista II",tabParametros[[#This Row],[Função]],1)),0.25*tabParametros[[#This Row],[Salário Base]],0)</f>
        <v>0</v>
      </c>
      <c r="N247" s="250">
        <v>0</v>
      </c>
      <c r="O247" s="234">
        <f>IF(ISNUMBER(SEARCH("TECNOLOGIA DA INFORMACAO",tabParametros[[#This Row],[Função]],1)),0.0201*tabParametros[[#This Row],[Salário Base]],0)</f>
        <v>0</v>
      </c>
      <c r="P247" s="250" cm="1">
        <f t="array" ref="P247">_xlfn.IFS(
ISNUMBER(SEARCH("Auxiliar de Limpeza - 75 h",tabParametros[[#This Row],[Função]],1)),tabParametros[[#This Row],[Salário Base]]/75*0.75*30*0.12,
ISNUMBER(SEARCH("Auxiliar de Limpeza - 110 h",tabParametros[[#This Row],[Função]],1)),tabParametros[[#This Row],[Salário Base]]/110*1*30*0.12,
ISNUMBER(SEARCH("Auxiliar de Limpeza - 150 h",tabParametros[[#This Row],[Função]],1)),tabParametros[[#This Row],[Salário Base]]/150*1.5*30*0.12,
ISNUMBER(SEARCH("Auxiliar de Limpeza - 220 h",tabParametros[[#This Row],[Função]],1)),tabParametros[[#This Row],[Salário Base]]/220*2*30*0.12,
ISNUMBER(SEARCH("Auxiliar de Limpeza - 12 x 36",tabParametros[[#This Row],[Função]],1)),tabParametros[[#This Row],[Salário Base]]/220*2*30*0.12,
ISNUMBER(SEARCH("Auxiliar de Limpeza - 55 h",tabParametros[[#This Row],[Função]],1))=FALSE,0)</f>
        <v>26.985599999999998</v>
      </c>
      <c r="Q247" s="235">
        <f>VLOOKUP(tabParametros[[#Headers],[INSS]],tabImpostosNacionais[],2,0)</f>
        <v>0.2</v>
      </c>
      <c r="R247" s="235">
        <f>VLOOKUP(tabParametros[[#Headers],[SESI OU SESC]],tabImpostosNacionais[],2,0)</f>
        <v>1.4999999999999999E-2</v>
      </c>
      <c r="S247" s="235">
        <f>VLOOKUP(tabParametros[[#Headers],[SENAI OU SENAC]],tabImpostosNacionais[],2,0)</f>
        <v>0.01</v>
      </c>
      <c r="T247" s="235">
        <f>VLOOKUP(tabParametros[[#Headers],[INCRA]],tabImpostosNacionais[],2,0)</f>
        <v>2E-3</v>
      </c>
      <c r="U247" s="235">
        <f>VLOOKUP(tabParametros[[#Headers],[Salário Educação]],tabImpostosNacionais[],2,0)</f>
        <v>2.5000000000000001E-2</v>
      </c>
      <c r="V247" s="235">
        <f>VLOOKUP(tabParametros[[#Headers],[FGTS]],tabImpostosNacionais[],2,0)</f>
        <v>0.08</v>
      </c>
      <c r="W247" s="235">
        <f>VLOOKUP(tabParametros[[#Headers],[RAT Ajustado]],tabImpostosNacionais[],2,0)</f>
        <v>0.04</v>
      </c>
      <c r="X247" s="235">
        <f>VLOOKUP(tabParametros[[#Headers],[SEBRAE]],tabImpostosNacionais[],2,0)</f>
        <v>6.0000000000000001E-3</v>
      </c>
      <c r="Y247" s="235">
        <f t="shared" si="33"/>
        <v>8.3333333333333329E-2</v>
      </c>
      <c r="Z247" s="251">
        <f t="shared" si="34"/>
        <v>0.1111111111111111</v>
      </c>
      <c r="AA247" s="234">
        <f>VLOOKUP(tabParametros[[#This Row],[Comarca]],tabComarca[],5,0)</f>
        <v>6.4</v>
      </c>
      <c r="AB247" s="234">
        <f>IFERROR(VLOOKUP(tabParametros[[#This Row],[CCT DA CATEGORIA]],tabSindicatos[],6,0),0)</f>
        <v>0</v>
      </c>
      <c r="AC247" s="234">
        <f>IFERROR(VLOOKUP(tabParametros[[#This Row],[CCT DA CATEGORIA]],tabSindicatos[],7,0),0)</f>
        <v>387.79</v>
      </c>
      <c r="AD247" s="234" cm="1">
        <f t="array" ref="AD247">_xlfn.LET(
_xlpm.COMARCA, TRIM(UPPER(SUBSTITUTE(SUBSTITUTE(SUBSTITUTE(SUBSTITUTE(SUBSTITUTE(SUBSTITUTE(SUBSTITUTE(SUBSTITUTE(SUBSTITUTE(SUBSTITUTE(SUBSTITUTE(SUBSTITUTE(SUBSTITUTE(SUBSTITUTE(SUBSTITUTE(SUBSTITUTE(SUBSTITUTE(SUBSTITUTE(SUBSTITUTE(SUBSTITUTE(SUBSTITUTE(SUBSTITUTE(SUBSTITUTE(SUBSTITUTE(SUBSTITUTE(SUBSTITUTE(tabParametros[[#This Row],[Comarca]],"á","a"),"ã","a"),"â","a"),"é","e"),"ê","e"),"í","i"),"ó","o"),"õ","o"),"ô","o"),"ú","u"),"ç","c"),"Á","a"),"Ã","a"),"Â","a"),"É","e"),"Ê","e"),"Í","i"),"Ó","o"),"Õ","o"),"Ô","o"),"Ú","u"),"Ç","c"),"/MG","")," e ",", ")," ",""),".",""))),
_xlpm.MATRIZ_COMARCA, TRIM(UPPER(SUBSTITUTE(SUBSTITUTE(SUBSTITUTE(SUBSTITUTE(SUBSTITUTE(SUBSTITUTE(SUBSTITUTE(SUBSTITUTE(SUBSTITUTE(SUBSTITUTE(SUBSTITUTE(SUBSTITUTE(SUBSTITUTE(SUBSTITUTE(SUBSTITUTE(SUBSTITUTE(SUBSTITUTE(SUBSTITUTE(SUBSTITUTE(SUBSTITUTE(SUBSTITUTE(SUBSTITUTE(SUBSTITUTE(SUBSTITUTE(SUBSTITUTE(SUBSTITUTE(tabSindicatos[COMARCAS PAF],"á","a"),"ã","a"),"â","a"),"é","e"),"ê","e"),"í","i"),"ó","o"),"õ","o"),"ô","o"),"ú","u"),"ç","c"),"Á","a"),"Ã","a"),"Â","a"),"É","e"),"Ê","e"),"Í","i"),"Ó","o"),"Õ","o"),"Ô","o"),"Ú","u"),"Ç","c"),"/MG","")," e ",", ")," ",""),".",""))),
IFERROR(IF(_xlfn.XLOOKUP(tabParametros[[#This Row],[CCT DA CATEGORIA]],tabSindicatos[SINDICATOS],tabSindicatos[COMARCAS PAF])="",
VLOOKUP(tabParametros[[#This Row],[CCT DA CATEGORIA]],tabSindicatos[],8,0),
IF(ISNUMBER(SEARCH(TRIM(_xlpm.COMARCA),_xlfn.XLOOKUP(tabParametros[[#This Row],[CCT DA CATEGORIA]],tabSindicatos[SINDICATOS],_xlpm.MATRIZ_COMARCA),1)),VLOOKUP(tabParametros[[#This Row],[CCT DA CATEGORIA]],tabSindicatos[],8,0),0)
),0)
)</f>
        <v>42.97</v>
      </c>
      <c r="AE247" s="234">
        <f>IFERROR(VLOOKUP(tabParametros[[#This Row],[CCT DA CATEGORIA]],tabSindicatos[],9,0),0)</f>
        <v>0</v>
      </c>
      <c r="AF247" s="234">
        <f>IFERROR(VLOOKUP(tabParametros[[#This Row],[CCT DA CATEGORIA]],tabSindicatos[],10,0),0)</f>
        <v>0</v>
      </c>
      <c r="AG247" s="236">
        <f>VLOOKUP(tabParametros[[#Headers],[Seguro de Vida]],tabOutrosCustos[],3,0)</f>
        <v>3.36</v>
      </c>
      <c r="AH247" s="236">
        <f>IF(ISNUMBER(SEARCH("MOTORISTA",tabParametros[[#This Row],[Função]],1)),VLOOKUP("MOTORISTAS",tabDiarias[],2,0),IF(tabParametros[[#This Row],[Comarca]]="Belo Horizonte",VLOOKUP("LIMPEZA",tabDiarias[],2,0),0))</f>
        <v>0</v>
      </c>
      <c r="AI247" s="235">
        <f t="shared" si="35"/>
        <v>7.011766975308642E-3</v>
      </c>
      <c r="AJ247" s="237">
        <f>tabParametros[[#This Row],[FGTS]]*tabParametros[[#This Row],[Aviso Prévio Indenizado (API) e Reflexo do Aviso Prévio Indenizado]]</f>
        <v>5.609413580246914E-4</v>
      </c>
      <c r="AK247" s="237">
        <f>tabParametros[[#This Row],[FGTS]]*tabParametros[[#This Row],[Aviso Prévio Indenizado (API) e Reflexo do Aviso Prévio Indenizado]]*40%</f>
        <v>2.2437654320987658E-4</v>
      </c>
      <c r="AL247" s="235">
        <f t="shared" si="36"/>
        <v>3.5000000000000005E-3</v>
      </c>
      <c r="AM247" s="235">
        <f>tabParametros[[#This Row],[Aviso Prévio Trabalhado - APT]]*SUM(tabParametros[[#This Row],[INSS]:[SEBRAE]])</f>
        <v>1.3230000000000004E-3</v>
      </c>
      <c r="AN247" s="235">
        <f t="shared" si="37"/>
        <v>3.0577777777777773E-2</v>
      </c>
      <c r="AO247" s="235">
        <f t="shared" si="38"/>
        <v>8.3333333333333339E-4</v>
      </c>
      <c r="AP247" s="235">
        <f t="shared" si="39"/>
        <v>8.4444444444444437E-3</v>
      </c>
      <c r="AQ247" s="235">
        <f t="shared" si="40"/>
        <v>2.0277777777777777E-3</v>
      </c>
      <c r="AR247" s="235">
        <f t="shared" si="41"/>
        <v>1.7083333333333333E-4</v>
      </c>
      <c r="AS247" s="235">
        <f t="shared" si="42"/>
        <v>2.0833333333333335E-4</v>
      </c>
      <c r="AT247" s="235">
        <f t="shared" si="43"/>
        <v>1.2962962962962963E-3</v>
      </c>
      <c r="AU247" s="237">
        <f>SUM(tabParametros[[#This Row],[Ausência por Doença]:[Férias, Adicional de Férias e 13º  com empregada em gozo de Licença Maternidade]])*SUM(tabParametros[[#This Row],[INSS]:[SEBRAE]])</f>
        <v>4.5918250000000008E-3</v>
      </c>
      <c r="AV247" s="234">
        <f>IF(tabParametros[[#This Row],[Função]]="Porteiro - 220 h",SUM(tabParametros[[#This Row],[Salário Base]:[Adicional de Acúmulo de função]])/220*20*1.5,IF(ISNUMBER(SEARCH("12 x 36",tabParametros[[#This Row],[Função]],1)),SUM(tabParametros[[#This Row],[Salário Base]:[Adicional de Acúmulo de função]])/210*15.5*1.5,0))</f>
        <v>0</v>
      </c>
      <c r="AW247" s="234">
        <f>IF(tabParametros[[#This Row],[Vagas contratadas]]&gt;0,(SUM(tabParametros[[#This Row],[Salário Base]:[Adicional de Acúmulo de função]])*30%+SUM(tabParametros[[#This Row],[Vale - Alimentação]:[Seguro de Vida]]))/tabParametros[[#This Row],[Vagas contratadas]]*tabParametros[[#This Row],[Vagas suspensas]],0)</f>
        <v>0</v>
      </c>
      <c r="AX247" s="234">
        <f>SUMIF(tabUniformes[Cargo],tabParametros[[#This Row],[Função]],tabUniformes[Valor unit. Mensal])</f>
        <v>62.806666666666665</v>
      </c>
      <c r="AY247" s="281">
        <f>IF(ISNUMBER(SEARCH("AUXILIAR DE LIMPEZA - 75 H",tabParametros[[#This Row],[Função]],1)),
SUMIF(tabLimpGeral[TIPO],"Material",tabLimpGeral[VALOR UNITÁRIO P/ HORA (R$)])*75,
IF(ISNUMBER(SEARCH("AUXILIAR DE LIMPEZA - 110 H",tabParametros[[#This Row],[Função]],1)),
SUMIF(tabLimpGeral[TIPO],"Material",tabLimpGeral[VALOR UNITÁRIO P/ HORA (R$)])*110,
IF(ISNUMBER(SEARCH("AUXILIAR DE LIMPEZA - 150 H",tabParametros[[#This Row],[Função]],1)),
SUMIF(tabLimpGeral[TIPO],"Material",tabLimpGeral[VALOR UNITÁRIO P/ HORA (R$)])*150,
IF(ISNUMBER(SEARCH("AUXILIAR DE LIMPEZA - 220 H",tabParametros[[#This Row],[Função]],1)),
SUMIF(tabLimpGeral[TIPO],"Material",tabLimpGeral[VALOR UNITÁRIO P/ HORA (R$)])*220,
IF(ISNUMBER(SEARCH("AUXILIAR DE LIMPEZA - 12 x 36",tabParametros[[#This Row],[Função]],1)),
SUMIF(tabLimpGeral[TIPO],"Material",tabLimpGeral[VALOR UNITÁRIO P/ HORA (R$)])*220,
IF(ISNUMBER(SEARCH("Limpador de vidros - 220 h",tabParametros[[#This Row],[Função]],1)),
SUMIF(tabVidros[TIPO],"Material",tabVidros[VALOR UNITÁRIO P/ POSTO (R$)]),
0))))))</f>
        <v>17.759106479291944</v>
      </c>
      <c r="AZ247" s="281">
        <f>IF(ISNUMBER(SEARCH("AUXILIAR DE LIMPEZA - 75 H",tabParametros[[#This Row],[Função]],1)),
SUMIF(tabLimpGeral[TIPO],"Equipamento",tabLimpGeral[VALOR UNITÁRIO P/ HORA (R$)])*75,
IF(ISNUMBER(SEARCH("AUXILIAR DE LIMPEZA - 110 H",tabParametros[[#This Row],[Função]],1)),
SUMIF(tabLimpGeral[TIPO],"Equipamento",tabLimpGeral[VALOR UNITÁRIO P/ HORA (R$)])*110,
IF(ISNUMBER(SEARCH("AUXILIAR DE LIMPEZA - 150 H",tabParametros[[#This Row],[Função]],1)),
SUMIF(tabLimpGeral[TIPO],"Equipamento",tabLimpGeral[VALOR UNITÁRIO P/ HORA (R$)])*150,
IF(ISNUMBER(SEARCH("AUXILIAR DE LIMPEZA - 220 H",tabParametros[[#This Row],[Função]],1)),
SUMIF(tabLimpGeral[TIPO],"Equipamento",tabLimpGeral[VALOR UNITÁRIO P/ HORA (R$)])*220,
IF(ISNUMBER(SEARCH("AUXILIAR DE LIMPEZA - 12 x 36",tabParametros[[#This Row],[Função]],1)),
SUMIF(tabLimpGeral[TIPO],"Equipamento",tabLimpGeral[VALOR UNITÁRIO P/ HORA (R$)])*220,
IF(ISNUMBER(SEARCH("Limpador de vidros - 220 h",tabParametros[[#This Row],[Função]],1)),
SUMIF(tabVidros[TIPO],"Equipamento",tabVidros[VALOR UNITÁRIO P/ POSTO (R$)]),
0))))))</f>
        <v>32.264696957412788</v>
      </c>
      <c r="BA247" s="281">
        <f>IF(ISNUMBER(SEARCH("AUXILIAR DE LIMPEZA - 75 H",tabParametros[[#This Row],[Função]],1)),
SUMIF(tabLimpGeral[TIPO],"Produto",tabLimpGeral[VALOR UNITÁRIO P/ HORA (R$)])*75,
IF(ISNUMBER(SEARCH("AUXILIAR DE LIMPEZA - 110 H",tabParametros[[#This Row],[Função]],1)),
SUMIF(tabLimpGeral[TIPO],"Produto",tabLimpGeral[VALOR UNITÁRIO P/ HORA (R$)])*110,
IF(ISNUMBER(SEARCH("AUXILIAR DE LIMPEZA - 150 H",tabParametros[[#This Row],[Função]],1)),
SUMIF(tabLimpGeral[TIPO],"Produto",tabLimpGeral[VALOR UNITÁRIO P/ HORA (R$)])*150,
IF(ISNUMBER(SEARCH("AUXILIAR DE LIMPEZA - 220 H",tabParametros[[#This Row],[Função]],1)),
SUMIF(tabLimpGeral[TIPO],"Produto",tabLimpGeral[VALOR UNITÁRIO P/ HORA (R$)])*220,
IF(ISNUMBER(SEARCH("AUXILIAR DE LIMPEZA - 12 x 36",tabParametros[[#This Row],[Função]],1)),
SUMIF(tabLimpGeral[TIPO],"Produto",tabLimpGeral[VALOR UNITÁRIO P/ HORA (R$)])*220,
IF(ISNUMBER(SEARCH("Limpador de vidros - 220 h",tabParametros[[#This Row],[Função]],1)),
SUMIF(tabVidros[TIPO],"Produto",tabVidros[VALOR UNITÁRIO P/ POSTO (R$)]),
0))))))</f>
        <v>345.13576638965827</v>
      </c>
      <c r="BB247" s="281">
        <v>0</v>
      </c>
      <c r="BC247" s="236">
        <f>VLOOKUP(tabParametros[[#Headers],[Custos Indiretos]],tabOutrosCustos[],3,0)</f>
        <v>189.64880140242613</v>
      </c>
      <c r="BD247" s="236">
        <f>VLOOKUP(tabParametros[[#Headers],[Lucro]],tabOutrosCustos[],3,0)</f>
        <v>159.30499317803796</v>
      </c>
      <c r="BE247" s="235">
        <f>VLOOKUP(tabParametros[[#Headers],[COFINS]],tabImpostosNacionais[],2,0)</f>
        <v>7.5999999999999998E-2</v>
      </c>
      <c r="BF247" s="235">
        <f>VLOOKUP(tabParametros[[#Headers],[PIS]],tabImpostosNacionais[],2,0)</f>
        <v>1.6500000000000001E-2</v>
      </c>
      <c r="BG247" s="235">
        <f>VLOOKUP(tabParametros[[#This Row],[Comarca]],tabComarca[],4,0)</f>
        <v>0.03</v>
      </c>
      <c r="BH247" s="238">
        <f>IFERROR(VLOOKUP(tabParametros[[#This Row],[CCT DA CATEGORIA]],tabSindicatos[],11,0),"")</f>
        <v>45658</v>
      </c>
      <c r="BI247" s="289" t="str">
        <f>IFERROR(VLOOKUP(tabParametros[[#This Row],[CCT DA CATEGORIA]],tabSindicatos[],12,0),"")</f>
        <v>-</v>
      </c>
      <c r="BJ247" s="293" t="str">
        <f>IFERROR(VLOOKUP(tabParametros[[#This Row],[CCT DA CATEGORIA]],tabSindicatos[],13,0),"")</f>
        <v>-</v>
      </c>
    </row>
    <row r="248" spans="1:62" x14ac:dyDescent="0.25">
      <c r="A248" s="233" t="s">
        <v>1583</v>
      </c>
      <c r="B248" s="198" t="s">
        <v>222</v>
      </c>
      <c r="C248" s="198" t="s">
        <v>1245</v>
      </c>
      <c r="D248" s="198" t="str">
        <f>VLOOKUP(tabParametros[[#This Row],[Código do Posto]],tabPostos[],4,0)</f>
        <v>Uberlandia</v>
      </c>
      <c r="E248" s="289" t="str">
        <f>VLOOKUP(tabParametros[[#This Row],[Código do Posto]],tabPostos[],5,0)</f>
        <v>Limpeza</v>
      </c>
      <c r="F248" s="289" t="str">
        <f>VLOOKUP(tabParametros[[#This Row],[Código do Posto]],tabPostos[],6,0)</f>
        <v>PGJ</v>
      </c>
      <c r="G248" s="289">
        <f>VLOOKUP(tabParametros[[#This Row],[Código do Posto]],tabPostos[],7,0)</f>
        <v>13</v>
      </c>
      <c r="H248" s="289">
        <f>VLOOKUP(tabParametros[[#This Row],[Código do Posto]],tabPostos[],8,0)</f>
        <v>0</v>
      </c>
      <c r="I248" s="234">
        <f>VLOOKUP(tabParametros[[#This Row],[Código do Posto]],tabPostos[],9,0)</f>
        <v>1649.12</v>
      </c>
      <c r="J248" s="234">
        <f>IF(ISNUMBER(SEARCH("Eletricista",tabParametros[[#This Row],[Função]],1)),0.3*tabParametros[[#This Row],[Salário Base]],0)</f>
        <v>0</v>
      </c>
      <c r="K248" s="234">
        <f>IF(OR(ISNUMBER(SEARCH("Bombeiro Hidraulico",tabParametros[[#This Row],[Função]],1)),ISNUMBER(SEARCH("Jardineiro",tabParametros[[#This Row],[Função]],1)),ISNUMBER(SEARCH("Lavador de Veiculos",tabParametros[[#This Row],[Função]],1)),ISNUMBER(SEARCH("Marceneiro",tabParametros[[#This Row],[Função]],1)),ISNUMBER(SEARCH("Pintor",tabParametros[[#This Row],[Função]],1))),0.2*'BASE GERAL'!$R$4,0)</f>
        <v>0</v>
      </c>
      <c r="L248" s="234">
        <f>IF(AND(ISNUMBER(SEARCH("Noturno",tabParametros[[#This Row],[Função]],1)),tabParametros[[#This Row],[Comarca]]&lt;&gt;"Juiz de Fora"),tabParametros[[#This Row],[Salário Base]]/210*0.39*7*15.5,IF(ISNUMBER(SEARCH("Noturno",tabParametros[[#This Row],[Função]],1)),tabParametros[[#This Row],[Salário Base]]/210*0.2*8*15.5,0))</f>
        <v>0</v>
      </c>
      <c r="M248" s="234">
        <f>IF(ISNUMBER(SEARCH("Motorista II",tabParametros[[#This Row],[Função]],1)),0.25*tabParametros[[#This Row],[Salário Base]],0)</f>
        <v>0</v>
      </c>
      <c r="N248" s="250">
        <v>0</v>
      </c>
      <c r="O248" s="234">
        <f>IF(ISNUMBER(SEARCH("TECNOLOGIA DA INFORMACAO",tabParametros[[#This Row],[Função]],1)),0.0201*tabParametros[[#This Row],[Salário Base]],0)</f>
        <v>0</v>
      </c>
      <c r="P248" s="250" cm="1">
        <f t="array" ref="P248">_xlfn.IFS(
ISNUMBER(SEARCH("Auxiliar de Limpeza - 75 h",tabParametros[[#This Row],[Função]],1)),tabParametros[[#This Row],[Salário Base]]/75*0.75*30*0.12,
ISNUMBER(SEARCH("Auxiliar de Limpeza - 110 h",tabParametros[[#This Row],[Função]],1)),tabParametros[[#This Row],[Salário Base]]/110*1*30*0.12,
ISNUMBER(SEARCH("Auxiliar de Limpeza - 150 h",tabParametros[[#This Row],[Função]],1)),tabParametros[[#This Row],[Salário Base]]/150*1.5*30*0.12,
ISNUMBER(SEARCH("Auxiliar de Limpeza - 220 h",tabParametros[[#This Row],[Função]],1)),tabParametros[[#This Row],[Salário Base]]/220*2*30*0.12,
ISNUMBER(SEARCH("Auxiliar de Limpeza - 12 x 36",tabParametros[[#This Row],[Função]],1)),tabParametros[[#This Row],[Salário Base]]/220*2*30*0.12,
ISNUMBER(SEARCH("Auxiliar de Limpeza - 55 h",tabParametros[[#This Row],[Função]],1))=FALSE,0)</f>
        <v>53.971199999999996</v>
      </c>
      <c r="Q248" s="235">
        <f>VLOOKUP(tabParametros[[#Headers],[INSS]],tabImpostosNacionais[],2,0)</f>
        <v>0.2</v>
      </c>
      <c r="R248" s="235">
        <f>VLOOKUP(tabParametros[[#Headers],[SESI OU SESC]],tabImpostosNacionais[],2,0)</f>
        <v>1.4999999999999999E-2</v>
      </c>
      <c r="S248" s="235">
        <f>VLOOKUP(tabParametros[[#Headers],[SENAI OU SENAC]],tabImpostosNacionais[],2,0)</f>
        <v>0.01</v>
      </c>
      <c r="T248" s="235">
        <f>VLOOKUP(tabParametros[[#Headers],[INCRA]],tabImpostosNacionais[],2,0)</f>
        <v>2E-3</v>
      </c>
      <c r="U248" s="235">
        <f>VLOOKUP(tabParametros[[#Headers],[Salário Educação]],tabImpostosNacionais[],2,0)</f>
        <v>2.5000000000000001E-2</v>
      </c>
      <c r="V248" s="235">
        <f>VLOOKUP(tabParametros[[#Headers],[FGTS]],tabImpostosNacionais[],2,0)</f>
        <v>0.08</v>
      </c>
      <c r="W248" s="235">
        <f>VLOOKUP(tabParametros[[#Headers],[RAT Ajustado]],tabImpostosNacionais[],2,0)</f>
        <v>0.04</v>
      </c>
      <c r="X248" s="235">
        <f>VLOOKUP(tabParametros[[#Headers],[SEBRAE]],tabImpostosNacionais[],2,0)</f>
        <v>6.0000000000000001E-3</v>
      </c>
      <c r="Y248" s="235">
        <f t="shared" si="33"/>
        <v>8.3333333333333329E-2</v>
      </c>
      <c r="Z248" s="251">
        <f t="shared" si="34"/>
        <v>0.1111111111111111</v>
      </c>
      <c r="AA248" s="234">
        <f>VLOOKUP(tabParametros[[#This Row],[Comarca]],tabComarca[],5,0)</f>
        <v>6.4</v>
      </c>
      <c r="AB248" s="234">
        <f>IFERROR(VLOOKUP(tabParametros[[#This Row],[CCT DA CATEGORIA]],tabSindicatos[],6,0),0)</f>
        <v>0</v>
      </c>
      <c r="AC248" s="234">
        <f>IFERROR(VLOOKUP(tabParametros[[#This Row],[CCT DA CATEGORIA]],tabSindicatos[],7,0),0)</f>
        <v>387.79</v>
      </c>
      <c r="AD248" s="234" cm="1">
        <f t="array" ref="AD248">_xlfn.LET(
_xlpm.COMARCA, TRIM(UPPER(SUBSTITUTE(SUBSTITUTE(SUBSTITUTE(SUBSTITUTE(SUBSTITUTE(SUBSTITUTE(SUBSTITUTE(SUBSTITUTE(SUBSTITUTE(SUBSTITUTE(SUBSTITUTE(SUBSTITUTE(SUBSTITUTE(SUBSTITUTE(SUBSTITUTE(SUBSTITUTE(SUBSTITUTE(SUBSTITUTE(SUBSTITUTE(SUBSTITUTE(SUBSTITUTE(SUBSTITUTE(SUBSTITUTE(SUBSTITUTE(SUBSTITUTE(SUBSTITUTE(tabParametros[[#This Row],[Comarca]],"á","a"),"ã","a"),"â","a"),"é","e"),"ê","e"),"í","i"),"ó","o"),"õ","o"),"ô","o"),"ú","u"),"ç","c"),"Á","a"),"Ã","a"),"Â","a"),"É","e"),"Ê","e"),"Í","i"),"Ó","o"),"Õ","o"),"Ô","o"),"Ú","u"),"Ç","c"),"/MG","")," e ",", ")," ",""),".",""))),
_xlpm.MATRIZ_COMARCA, TRIM(UPPER(SUBSTITUTE(SUBSTITUTE(SUBSTITUTE(SUBSTITUTE(SUBSTITUTE(SUBSTITUTE(SUBSTITUTE(SUBSTITUTE(SUBSTITUTE(SUBSTITUTE(SUBSTITUTE(SUBSTITUTE(SUBSTITUTE(SUBSTITUTE(SUBSTITUTE(SUBSTITUTE(SUBSTITUTE(SUBSTITUTE(SUBSTITUTE(SUBSTITUTE(SUBSTITUTE(SUBSTITUTE(SUBSTITUTE(SUBSTITUTE(SUBSTITUTE(SUBSTITUTE(tabSindicatos[COMARCAS PAF],"á","a"),"ã","a"),"â","a"),"é","e"),"ê","e"),"í","i"),"ó","o"),"õ","o"),"ô","o"),"ú","u"),"ç","c"),"Á","a"),"Ã","a"),"Â","a"),"É","e"),"Ê","e"),"Í","i"),"Ó","o"),"Õ","o"),"Ô","o"),"Ú","u"),"Ç","c"),"/MG","")," e ",", ")," ",""),".",""))),
IFERROR(IF(_xlfn.XLOOKUP(tabParametros[[#This Row],[CCT DA CATEGORIA]],tabSindicatos[SINDICATOS],tabSindicatos[COMARCAS PAF])="",
VLOOKUP(tabParametros[[#This Row],[CCT DA CATEGORIA]],tabSindicatos[],8,0),
IF(ISNUMBER(SEARCH(TRIM(_xlpm.COMARCA),_xlfn.XLOOKUP(tabParametros[[#This Row],[CCT DA CATEGORIA]],tabSindicatos[SINDICATOS],_xlpm.MATRIZ_COMARCA),1)),VLOOKUP(tabParametros[[#This Row],[CCT DA CATEGORIA]],tabSindicatos[],8,0),0)
),0)
)</f>
        <v>42.97</v>
      </c>
      <c r="AE248" s="234">
        <f>IFERROR(VLOOKUP(tabParametros[[#This Row],[CCT DA CATEGORIA]],tabSindicatos[],9,0),0)</f>
        <v>0</v>
      </c>
      <c r="AF248" s="234">
        <f>IFERROR(VLOOKUP(tabParametros[[#This Row],[CCT DA CATEGORIA]],tabSindicatos[],10,0),0)</f>
        <v>0</v>
      </c>
      <c r="AG248" s="236">
        <f>VLOOKUP(tabParametros[[#Headers],[Seguro de Vida]],tabOutrosCustos[],3,0)</f>
        <v>3.36</v>
      </c>
      <c r="AH248" s="236">
        <f>IF(ISNUMBER(SEARCH("MOTORISTA",tabParametros[[#This Row],[Função]],1)),VLOOKUP("MOTORISTAS",tabDiarias[],2,0),IF(tabParametros[[#This Row],[Comarca]]="Belo Horizonte",VLOOKUP("LIMPEZA",tabDiarias[],2,0),0))</f>
        <v>0</v>
      </c>
      <c r="AI248" s="235">
        <f t="shared" si="35"/>
        <v>7.011766975308642E-3</v>
      </c>
      <c r="AJ248" s="237">
        <f>tabParametros[[#This Row],[FGTS]]*tabParametros[[#This Row],[Aviso Prévio Indenizado (API) e Reflexo do Aviso Prévio Indenizado]]</f>
        <v>5.609413580246914E-4</v>
      </c>
      <c r="AK248" s="237">
        <f>tabParametros[[#This Row],[FGTS]]*tabParametros[[#This Row],[Aviso Prévio Indenizado (API) e Reflexo do Aviso Prévio Indenizado]]*40%</f>
        <v>2.2437654320987658E-4</v>
      </c>
      <c r="AL248" s="235">
        <f t="shared" si="36"/>
        <v>3.5000000000000005E-3</v>
      </c>
      <c r="AM248" s="235">
        <f>tabParametros[[#This Row],[Aviso Prévio Trabalhado - APT]]*SUM(tabParametros[[#This Row],[INSS]:[SEBRAE]])</f>
        <v>1.3230000000000004E-3</v>
      </c>
      <c r="AN248" s="235">
        <f t="shared" si="37"/>
        <v>3.0577777777777773E-2</v>
      </c>
      <c r="AO248" s="235">
        <f t="shared" si="38"/>
        <v>8.3333333333333339E-4</v>
      </c>
      <c r="AP248" s="235">
        <f t="shared" si="39"/>
        <v>8.4444444444444437E-3</v>
      </c>
      <c r="AQ248" s="235">
        <f t="shared" si="40"/>
        <v>2.0277777777777777E-3</v>
      </c>
      <c r="AR248" s="235">
        <f t="shared" si="41"/>
        <v>1.7083333333333333E-4</v>
      </c>
      <c r="AS248" s="235">
        <f t="shared" si="42"/>
        <v>2.0833333333333335E-4</v>
      </c>
      <c r="AT248" s="235">
        <f t="shared" si="43"/>
        <v>1.2962962962962963E-3</v>
      </c>
      <c r="AU248" s="237">
        <f>SUM(tabParametros[[#This Row],[Ausência por Doença]:[Férias, Adicional de Férias e 13º  com empregada em gozo de Licença Maternidade]])*SUM(tabParametros[[#This Row],[INSS]:[SEBRAE]])</f>
        <v>4.5918250000000008E-3</v>
      </c>
      <c r="AV248" s="234">
        <f>IF(tabParametros[[#This Row],[Função]]="Porteiro - 220 h",SUM(tabParametros[[#This Row],[Salário Base]:[Adicional de Acúmulo de função]])/220*20*1.5,IF(ISNUMBER(SEARCH("12 x 36",tabParametros[[#This Row],[Função]],1)),SUM(tabParametros[[#This Row],[Salário Base]:[Adicional de Acúmulo de função]])/210*15.5*1.5,0))</f>
        <v>0</v>
      </c>
      <c r="AW248" s="234">
        <f>IF(tabParametros[[#This Row],[Vagas contratadas]]&gt;0,(SUM(tabParametros[[#This Row],[Salário Base]:[Adicional de Acúmulo de função]])*30%+SUM(tabParametros[[#This Row],[Vale - Alimentação]:[Seguro de Vida]]))/tabParametros[[#This Row],[Vagas contratadas]]*tabParametros[[#This Row],[Vagas suspensas]],0)</f>
        <v>0</v>
      </c>
      <c r="AX248" s="234">
        <f>SUMIF(tabUniformes[Cargo],tabParametros[[#This Row],[Função]],tabUniformes[Valor unit. Mensal])</f>
        <v>100.80916666666666</v>
      </c>
      <c r="AY248" s="281">
        <f>IF(ISNUMBER(SEARCH("AUXILIAR DE LIMPEZA - 75 H",tabParametros[[#This Row],[Função]],1)),
SUMIF(tabLimpGeral[TIPO],"Material",tabLimpGeral[VALOR UNITÁRIO P/ HORA (R$)])*75,
IF(ISNUMBER(SEARCH("AUXILIAR DE LIMPEZA - 110 H",tabParametros[[#This Row],[Função]],1)),
SUMIF(tabLimpGeral[TIPO],"Material",tabLimpGeral[VALOR UNITÁRIO P/ HORA (R$)])*110,
IF(ISNUMBER(SEARCH("AUXILIAR DE LIMPEZA - 150 H",tabParametros[[#This Row],[Função]],1)),
SUMIF(tabLimpGeral[TIPO],"Material",tabLimpGeral[VALOR UNITÁRIO P/ HORA (R$)])*150,
IF(ISNUMBER(SEARCH("AUXILIAR DE LIMPEZA - 220 H",tabParametros[[#This Row],[Função]],1)),
SUMIF(tabLimpGeral[TIPO],"Material",tabLimpGeral[VALOR UNITÁRIO P/ HORA (R$)])*220,
IF(ISNUMBER(SEARCH("AUXILIAR DE LIMPEZA - 12 x 36",tabParametros[[#This Row],[Função]],1)),
SUMIF(tabLimpGeral[TIPO],"Material",tabLimpGeral[VALOR UNITÁRIO P/ HORA (R$)])*220,
IF(ISNUMBER(SEARCH("Limpador de vidros - 220 h",tabParametros[[#This Row],[Função]],1)),
SUMIF(tabVidros[TIPO],"Material",tabVidros[VALOR UNITÁRIO P/ POSTO (R$)]),
0))))))</f>
        <v>35.518212958583888</v>
      </c>
      <c r="AZ248" s="281">
        <f>IF(ISNUMBER(SEARCH("AUXILIAR DE LIMPEZA - 75 H",tabParametros[[#This Row],[Função]],1)),
SUMIF(tabLimpGeral[TIPO],"Equipamento",tabLimpGeral[VALOR UNITÁRIO P/ HORA (R$)])*75,
IF(ISNUMBER(SEARCH("AUXILIAR DE LIMPEZA - 110 H",tabParametros[[#This Row],[Função]],1)),
SUMIF(tabLimpGeral[TIPO],"Equipamento",tabLimpGeral[VALOR UNITÁRIO P/ HORA (R$)])*110,
IF(ISNUMBER(SEARCH("AUXILIAR DE LIMPEZA - 150 H",tabParametros[[#This Row],[Função]],1)),
SUMIF(tabLimpGeral[TIPO],"Equipamento",tabLimpGeral[VALOR UNITÁRIO P/ HORA (R$)])*150,
IF(ISNUMBER(SEARCH("AUXILIAR DE LIMPEZA - 220 H",tabParametros[[#This Row],[Função]],1)),
SUMIF(tabLimpGeral[TIPO],"Equipamento",tabLimpGeral[VALOR UNITÁRIO P/ HORA (R$)])*220,
IF(ISNUMBER(SEARCH("AUXILIAR DE LIMPEZA - 12 x 36",tabParametros[[#This Row],[Função]],1)),
SUMIF(tabLimpGeral[TIPO],"Equipamento",tabLimpGeral[VALOR UNITÁRIO P/ HORA (R$)])*220,
IF(ISNUMBER(SEARCH("Limpador de vidros - 220 h",tabParametros[[#This Row],[Função]],1)),
SUMIF(tabVidros[TIPO],"Equipamento",tabVidros[VALOR UNITÁRIO P/ POSTO (R$)]),
0))))))</f>
        <v>64.529393914825576</v>
      </c>
      <c r="BA248" s="281">
        <f>IF(ISNUMBER(SEARCH("AUXILIAR DE LIMPEZA - 75 H",tabParametros[[#This Row],[Função]],1)),
SUMIF(tabLimpGeral[TIPO],"Produto",tabLimpGeral[VALOR UNITÁRIO P/ HORA (R$)])*75,
IF(ISNUMBER(SEARCH("AUXILIAR DE LIMPEZA - 110 H",tabParametros[[#This Row],[Função]],1)),
SUMIF(tabLimpGeral[TIPO],"Produto",tabLimpGeral[VALOR UNITÁRIO P/ HORA (R$)])*110,
IF(ISNUMBER(SEARCH("AUXILIAR DE LIMPEZA - 150 H",tabParametros[[#This Row],[Função]],1)),
SUMIF(tabLimpGeral[TIPO],"Produto",tabLimpGeral[VALOR UNITÁRIO P/ HORA (R$)])*150,
IF(ISNUMBER(SEARCH("AUXILIAR DE LIMPEZA - 220 H",tabParametros[[#This Row],[Função]],1)),
SUMIF(tabLimpGeral[TIPO],"Produto",tabLimpGeral[VALOR UNITÁRIO P/ HORA (R$)])*220,
IF(ISNUMBER(SEARCH("AUXILIAR DE LIMPEZA - 12 x 36",tabParametros[[#This Row],[Função]],1)),
SUMIF(tabLimpGeral[TIPO],"Produto",tabLimpGeral[VALOR UNITÁRIO P/ HORA (R$)])*220,
IF(ISNUMBER(SEARCH("Limpador de vidros - 220 h",tabParametros[[#This Row],[Função]],1)),
SUMIF(tabVidros[TIPO],"Produto",tabVidros[VALOR UNITÁRIO P/ POSTO (R$)]),
0))))))</f>
        <v>690.27153277931654</v>
      </c>
      <c r="BB248" s="281">
        <v>0</v>
      </c>
      <c r="BC248" s="236">
        <f>VLOOKUP(tabParametros[[#Headers],[Custos Indiretos]],tabOutrosCustos[],3,0)</f>
        <v>189.64880140242613</v>
      </c>
      <c r="BD248" s="236">
        <f>VLOOKUP(tabParametros[[#Headers],[Lucro]],tabOutrosCustos[],3,0)</f>
        <v>159.30499317803796</v>
      </c>
      <c r="BE248" s="235">
        <f>VLOOKUP(tabParametros[[#Headers],[COFINS]],tabImpostosNacionais[],2,0)</f>
        <v>7.5999999999999998E-2</v>
      </c>
      <c r="BF248" s="235">
        <f>VLOOKUP(tabParametros[[#Headers],[PIS]],tabImpostosNacionais[],2,0)</f>
        <v>1.6500000000000001E-2</v>
      </c>
      <c r="BG248" s="235">
        <f>VLOOKUP(tabParametros[[#This Row],[Comarca]],tabComarca[],4,0)</f>
        <v>0.03</v>
      </c>
      <c r="BH248" s="238">
        <f>IFERROR(VLOOKUP(tabParametros[[#This Row],[CCT DA CATEGORIA]],tabSindicatos[],11,0),"")</f>
        <v>45658</v>
      </c>
      <c r="BI248" s="289" t="str">
        <f>IFERROR(VLOOKUP(tabParametros[[#This Row],[CCT DA CATEGORIA]],tabSindicatos[],12,0),"")</f>
        <v>-</v>
      </c>
      <c r="BJ248" s="293" t="str">
        <f>IFERROR(VLOOKUP(tabParametros[[#This Row],[CCT DA CATEGORIA]],tabSindicatos[],13,0),"")</f>
        <v>-</v>
      </c>
    </row>
    <row r="249" spans="1:62" x14ac:dyDescent="0.25">
      <c r="A249" s="233" t="s">
        <v>1584</v>
      </c>
      <c r="B249" s="198" t="s">
        <v>223</v>
      </c>
      <c r="C249" s="198" t="s">
        <v>1245</v>
      </c>
      <c r="D249" s="198" t="str">
        <f>VLOOKUP(tabParametros[[#This Row],[Código do Posto]],tabPostos[],4,0)</f>
        <v>Fethemg Interior</v>
      </c>
      <c r="E249" s="289" t="str">
        <f>VLOOKUP(tabParametros[[#This Row],[Código do Posto]],tabPostos[],5,0)</f>
        <v>Limpeza</v>
      </c>
      <c r="F249" s="289" t="str">
        <f>VLOOKUP(tabParametros[[#This Row],[Código do Posto]],tabPostos[],6,0)</f>
        <v>PGJ</v>
      </c>
      <c r="G249" s="289">
        <f>VLOOKUP(tabParametros[[#This Row],[Código do Posto]],tabPostos[],7,0)</f>
        <v>1</v>
      </c>
      <c r="H249" s="289">
        <f>VLOOKUP(tabParametros[[#This Row],[Código do Posto]],tabPostos[],8,0)</f>
        <v>0</v>
      </c>
      <c r="I249" s="234">
        <f>VLOOKUP(tabParametros[[#This Row],[Código do Posto]],tabPostos[],9,0)</f>
        <v>1596.28</v>
      </c>
      <c r="J249" s="234">
        <f>IF(ISNUMBER(SEARCH("Eletricista",tabParametros[[#This Row],[Função]],1)),0.3*tabParametros[[#This Row],[Salário Base]],0)</f>
        <v>0</v>
      </c>
      <c r="K249" s="234">
        <f>IF(OR(ISNUMBER(SEARCH("Bombeiro Hidraulico",tabParametros[[#This Row],[Função]],1)),ISNUMBER(SEARCH("Jardineiro",tabParametros[[#This Row],[Função]],1)),ISNUMBER(SEARCH("Lavador de Veiculos",tabParametros[[#This Row],[Função]],1)),ISNUMBER(SEARCH("Marceneiro",tabParametros[[#This Row],[Função]],1)),ISNUMBER(SEARCH("Pintor",tabParametros[[#This Row],[Função]],1))),0.2*'BASE GERAL'!$R$4,0)</f>
        <v>0</v>
      </c>
      <c r="L249" s="234">
        <f>IF(AND(ISNUMBER(SEARCH("Noturno",tabParametros[[#This Row],[Função]],1)),tabParametros[[#This Row],[Comarca]]&lt;&gt;"Juiz de Fora"),tabParametros[[#This Row],[Salário Base]]/210*0.39*7*15.5,IF(ISNUMBER(SEARCH("Noturno",tabParametros[[#This Row],[Função]],1)),tabParametros[[#This Row],[Salário Base]]/210*0.2*8*15.5,0))</f>
        <v>0</v>
      </c>
      <c r="M249" s="234">
        <f>IF(ISNUMBER(SEARCH("Motorista II",tabParametros[[#This Row],[Função]],1)),0.25*tabParametros[[#This Row],[Salário Base]],0)</f>
        <v>0</v>
      </c>
      <c r="N249" s="250">
        <v>0</v>
      </c>
      <c r="O249" s="234">
        <f>IF(ISNUMBER(SEARCH("TECNOLOGIA DA INFORMACAO",tabParametros[[#This Row],[Função]],1)),0.0201*tabParametros[[#This Row],[Salário Base]],0)</f>
        <v>0</v>
      </c>
      <c r="P249" s="250" cm="1">
        <f t="array" ref="P249">_xlfn.IFS(
ISNUMBER(SEARCH("Auxiliar de Limpeza - 75 h",tabParametros[[#This Row],[Função]],1)),tabParametros[[#This Row],[Salário Base]]/75*0.75*30*0.12,
ISNUMBER(SEARCH("Auxiliar de Limpeza - 110 h",tabParametros[[#This Row],[Função]],1)),tabParametros[[#This Row],[Salário Base]]/110*1*30*0.12,
ISNUMBER(SEARCH("Auxiliar de Limpeza - 150 h",tabParametros[[#This Row],[Função]],1)),tabParametros[[#This Row],[Salário Base]]/150*1.5*30*0.12,
ISNUMBER(SEARCH("Auxiliar de Limpeza - 220 h",tabParametros[[#This Row],[Função]],1)),tabParametros[[#This Row],[Salário Base]]/220*2*30*0.12,
ISNUMBER(SEARCH("Auxiliar de Limpeza - 12 x 36",tabParametros[[#This Row],[Função]],1)),tabParametros[[#This Row],[Salário Base]]/220*2*30*0.12,
ISNUMBER(SEARCH("Auxiliar de Limpeza - 55 h",tabParametros[[#This Row],[Função]],1))=FALSE,0)</f>
        <v>52.241890909090905</v>
      </c>
      <c r="Q249" s="235">
        <f>VLOOKUP(tabParametros[[#Headers],[INSS]],tabImpostosNacionais[],2,0)</f>
        <v>0.2</v>
      </c>
      <c r="R249" s="235">
        <f>VLOOKUP(tabParametros[[#Headers],[SESI OU SESC]],tabImpostosNacionais[],2,0)</f>
        <v>1.4999999999999999E-2</v>
      </c>
      <c r="S249" s="235">
        <f>VLOOKUP(tabParametros[[#Headers],[SENAI OU SENAC]],tabImpostosNacionais[],2,0)</f>
        <v>0.01</v>
      </c>
      <c r="T249" s="235">
        <f>VLOOKUP(tabParametros[[#Headers],[INCRA]],tabImpostosNacionais[],2,0)</f>
        <v>2E-3</v>
      </c>
      <c r="U249" s="235">
        <f>VLOOKUP(tabParametros[[#Headers],[Salário Educação]],tabImpostosNacionais[],2,0)</f>
        <v>2.5000000000000001E-2</v>
      </c>
      <c r="V249" s="235">
        <f>VLOOKUP(tabParametros[[#Headers],[FGTS]],tabImpostosNacionais[],2,0)</f>
        <v>0.08</v>
      </c>
      <c r="W249" s="235">
        <f>VLOOKUP(tabParametros[[#Headers],[RAT Ajustado]],tabImpostosNacionais[],2,0)</f>
        <v>0.04</v>
      </c>
      <c r="X249" s="235">
        <f>VLOOKUP(tabParametros[[#Headers],[SEBRAE]],tabImpostosNacionais[],2,0)</f>
        <v>6.0000000000000001E-3</v>
      </c>
      <c r="Y249" s="235">
        <f t="shared" si="33"/>
        <v>8.3333333333333329E-2</v>
      </c>
      <c r="Z249" s="251">
        <f t="shared" si="34"/>
        <v>0.1111111111111111</v>
      </c>
      <c r="AA249" s="234">
        <f>VLOOKUP(tabParametros[[#This Row],[Comarca]],tabComarca[],5,0)</f>
        <v>6.4</v>
      </c>
      <c r="AB249" s="234">
        <f>IFERROR(VLOOKUP(tabParametros[[#This Row],[CCT DA CATEGORIA]],tabSindicatos[],6,0),0)</f>
        <v>29.15</v>
      </c>
      <c r="AC249" s="234">
        <f>IFERROR(VLOOKUP(tabParametros[[#This Row],[CCT DA CATEGORIA]],tabSindicatos[],7,0),0)</f>
        <v>0</v>
      </c>
      <c r="AD249" s="234" cm="1">
        <f t="array" ref="AD249">_xlfn.LET(
_xlpm.COMARCA, TRIM(UPPER(SUBSTITUTE(SUBSTITUTE(SUBSTITUTE(SUBSTITUTE(SUBSTITUTE(SUBSTITUTE(SUBSTITUTE(SUBSTITUTE(SUBSTITUTE(SUBSTITUTE(SUBSTITUTE(SUBSTITUTE(SUBSTITUTE(SUBSTITUTE(SUBSTITUTE(SUBSTITUTE(SUBSTITUTE(SUBSTITUTE(SUBSTITUTE(SUBSTITUTE(SUBSTITUTE(SUBSTITUTE(SUBSTITUTE(SUBSTITUTE(SUBSTITUTE(SUBSTITUTE(tabParametros[[#This Row],[Comarca]],"á","a"),"ã","a"),"â","a"),"é","e"),"ê","e"),"í","i"),"ó","o"),"õ","o"),"ô","o"),"ú","u"),"ç","c"),"Á","a"),"Ã","a"),"Â","a"),"É","e"),"Ê","e"),"Í","i"),"Ó","o"),"Õ","o"),"Ô","o"),"Ú","u"),"Ç","c"),"/MG","")," e ",", ")," ",""),".",""))),
_xlpm.MATRIZ_COMARCA, TRIM(UPPER(SUBSTITUTE(SUBSTITUTE(SUBSTITUTE(SUBSTITUTE(SUBSTITUTE(SUBSTITUTE(SUBSTITUTE(SUBSTITUTE(SUBSTITUTE(SUBSTITUTE(SUBSTITUTE(SUBSTITUTE(SUBSTITUTE(SUBSTITUTE(SUBSTITUTE(SUBSTITUTE(SUBSTITUTE(SUBSTITUTE(SUBSTITUTE(SUBSTITUTE(SUBSTITUTE(SUBSTITUTE(SUBSTITUTE(SUBSTITUTE(SUBSTITUTE(SUBSTITUTE(tabSindicatos[COMARCAS PAF],"á","a"),"ã","a"),"â","a"),"é","e"),"ê","e"),"í","i"),"ó","o"),"õ","o"),"ô","o"),"ú","u"),"ç","c"),"Á","a"),"Ã","a"),"Â","a"),"É","e"),"Ê","e"),"Í","i"),"Ó","o"),"Õ","o"),"Ô","o"),"Ú","u"),"Ç","c"),"/MG","")," e ",", ")," ",""),".",""))),
IFERROR(IF(_xlfn.XLOOKUP(tabParametros[[#This Row],[CCT DA CATEGORIA]],tabSindicatos[SINDICATOS],tabSindicatos[COMARCAS PAF])="",
VLOOKUP(tabParametros[[#This Row],[CCT DA CATEGORIA]],tabSindicatos[],8,0),
IF(ISNUMBER(SEARCH(TRIM(_xlpm.COMARCA),_xlfn.XLOOKUP(tabParametros[[#This Row],[CCT DA CATEGORIA]],tabSindicatos[SINDICATOS],_xlpm.MATRIZ_COMARCA),1)),VLOOKUP(tabParametros[[#This Row],[CCT DA CATEGORIA]],tabSindicatos[],8,0),0)
),0)
)</f>
        <v>0</v>
      </c>
      <c r="AE249" s="234">
        <f>IFERROR(VLOOKUP(tabParametros[[#This Row],[CCT DA CATEGORIA]],tabSindicatos[],9,0),0)</f>
        <v>15.07</v>
      </c>
      <c r="AF249" s="234">
        <f>IFERROR(VLOOKUP(tabParametros[[#This Row],[CCT DA CATEGORIA]],tabSindicatos[],10,0),0)</f>
        <v>0</v>
      </c>
      <c r="AG249" s="236">
        <f>VLOOKUP(tabParametros[[#Headers],[Seguro de Vida]],tabOutrosCustos[],3,0)</f>
        <v>3.36</v>
      </c>
      <c r="AH249" s="236">
        <f>IF(ISNUMBER(SEARCH("MOTORISTA",tabParametros[[#This Row],[Função]],1)),VLOOKUP("MOTORISTAS",tabDiarias[],2,0),IF(tabParametros[[#This Row],[Comarca]]="Belo Horizonte",VLOOKUP("LIMPEZA",tabDiarias[],2,0),0))</f>
        <v>0</v>
      </c>
      <c r="AI249" s="235">
        <f t="shared" si="35"/>
        <v>7.011766975308642E-3</v>
      </c>
      <c r="AJ249" s="237">
        <f>tabParametros[[#This Row],[FGTS]]*tabParametros[[#This Row],[Aviso Prévio Indenizado (API) e Reflexo do Aviso Prévio Indenizado]]</f>
        <v>5.609413580246914E-4</v>
      </c>
      <c r="AK249" s="237">
        <f>tabParametros[[#This Row],[FGTS]]*tabParametros[[#This Row],[Aviso Prévio Indenizado (API) e Reflexo do Aviso Prévio Indenizado]]*40%</f>
        <v>2.2437654320987658E-4</v>
      </c>
      <c r="AL249" s="235">
        <f t="shared" si="36"/>
        <v>3.5000000000000005E-3</v>
      </c>
      <c r="AM249" s="235">
        <f>tabParametros[[#This Row],[Aviso Prévio Trabalhado - APT]]*SUM(tabParametros[[#This Row],[INSS]:[SEBRAE]])</f>
        <v>1.3230000000000004E-3</v>
      </c>
      <c r="AN249" s="235">
        <f t="shared" si="37"/>
        <v>3.0577777777777773E-2</v>
      </c>
      <c r="AO249" s="235">
        <f t="shared" si="38"/>
        <v>8.3333333333333339E-4</v>
      </c>
      <c r="AP249" s="235">
        <f t="shared" si="39"/>
        <v>8.4444444444444437E-3</v>
      </c>
      <c r="AQ249" s="235">
        <f t="shared" si="40"/>
        <v>2.0277777777777777E-3</v>
      </c>
      <c r="AR249" s="235">
        <f t="shared" si="41"/>
        <v>1.7083333333333333E-4</v>
      </c>
      <c r="AS249" s="235">
        <f t="shared" si="42"/>
        <v>2.0833333333333335E-4</v>
      </c>
      <c r="AT249" s="235">
        <f t="shared" si="43"/>
        <v>1.2962962962962963E-3</v>
      </c>
      <c r="AU249" s="237">
        <f>SUM(tabParametros[[#This Row],[Ausência por Doença]:[Férias, Adicional de Férias e 13º  com empregada em gozo de Licença Maternidade]])*SUM(tabParametros[[#This Row],[INSS]:[SEBRAE]])</f>
        <v>4.5918250000000008E-3</v>
      </c>
      <c r="AV249" s="234">
        <f>IF(tabParametros[[#This Row],[Função]]="Porteiro - 220 h",SUM(tabParametros[[#This Row],[Salário Base]:[Adicional de Acúmulo de função]])/220*20*1.5,IF(ISNUMBER(SEARCH("12 x 36",tabParametros[[#This Row],[Função]],1)),SUM(tabParametros[[#This Row],[Salário Base]:[Adicional de Acúmulo de função]])/210*15.5*1.5,0))</f>
        <v>0</v>
      </c>
      <c r="AW249" s="234">
        <f>IF(tabParametros[[#This Row],[Vagas contratadas]]&gt;0,(SUM(tabParametros[[#This Row],[Salário Base]:[Adicional de Acúmulo de função]])*30%+SUM(tabParametros[[#This Row],[Vale - Alimentação]:[Seguro de Vida]]))/tabParametros[[#This Row],[Vagas contratadas]]*tabParametros[[#This Row],[Vagas suspensas]],0)</f>
        <v>0</v>
      </c>
      <c r="AX249" s="234">
        <f>SUMIF(tabUniformes[Cargo],tabParametros[[#This Row],[Função]],tabUniformes[Valor unit. Mensal])</f>
        <v>100.80916666666666</v>
      </c>
      <c r="AY249" s="281">
        <f>IF(ISNUMBER(SEARCH("AUXILIAR DE LIMPEZA - 75 H",tabParametros[[#This Row],[Função]],1)),
SUMIF(tabLimpGeral[TIPO],"Material",tabLimpGeral[VALOR UNITÁRIO P/ HORA (R$)])*75,
IF(ISNUMBER(SEARCH("AUXILIAR DE LIMPEZA - 110 H",tabParametros[[#This Row],[Função]],1)),
SUMIF(tabLimpGeral[TIPO],"Material",tabLimpGeral[VALOR UNITÁRIO P/ HORA (R$)])*110,
IF(ISNUMBER(SEARCH("AUXILIAR DE LIMPEZA - 150 H",tabParametros[[#This Row],[Função]],1)),
SUMIF(tabLimpGeral[TIPO],"Material",tabLimpGeral[VALOR UNITÁRIO P/ HORA (R$)])*150,
IF(ISNUMBER(SEARCH("AUXILIAR DE LIMPEZA - 220 H",tabParametros[[#This Row],[Função]],1)),
SUMIF(tabLimpGeral[TIPO],"Material",tabLimpGeral[VALOR UNITÁRIO P/ HORA (R$)])*220,
IF(ISNUMBER(SEARCH("AUXILIAR DE LIMPEZA - 12 x 36",tabParametros[[#This Row],[Função]],1)),
SUMIF(tabLimpGeral[TIPO],"Material",tabLimpGeral[VALOR UNITÁRIO P/ HORA (R$)])*220,
IF(ISNUMBER(SEARCH("Limpador de vidros - 220 h",tabParametros[[#This Row],[Função]],1)),
SUMIF(tabVidros[TIPO],"Material",tabVidros[VALOR UNITÁRIO P/ POSTO (R$)]),
0))))))</f>
        <v>35.518212958583888</v>
      </c>
      <c r="AZ249" s="281">
        <f>IF(ISNUMBER(SEARCH("AUXILIAR DE LIMPEZA - 75 H",tabParametros[[#This Row],[Função]],1)),
SUMIF(tabLimpGeral[TIPO],"Equipamento",tabLimpGeral[VALOR UNITÁRIO P/ HORA (R$)])*75,
IF(ISNUMBER(SEARCH("AUXILIAR DE LIMPEZA - 110 H",tabParametros[[#This Row],[Função]],1)),
SUMIF(tabLimpGeral[TIPO],"Equipamento",tabLimpGeral[VALOR UNITÁRIO P/ HORA (R$)])*110,
IF(ISNUMBER(SEARCH("AUXILIAR DE LIMPEZA - 150 H",tabParametros[[#This Row],[Função]],1)),
SUMIF(tabLimpGeral[TIPO],"Equipamento",tabLimpGeral[VALOR UNITÁRIO P/ HORA (R$)])*150,
IF(ISNUMBER(SEARCH("AUXILIAR DE LIMPEZA - 220 H",tabParametros[[#This Row],[Função]],1)),
SUMIF(tabLimpGeral[TIPO],"Equipamento",tabLimpGeral[VALOR UNITÁRIO P/ HORA (R$)])*220,
IF(ISNUMBER(SEARCH("AUXILIAR DE LIMPEZA - 12 x 36",tabParametros[[#This Row],[Função]],1)),
SUMIF(tabLimpGeral[TIPO],"Equipamento",tabLimpGeral[VALOR UNITÁRIO P/ HORA (R$)])*220,
IF(ISNUMBER(SEARCH("Limpador de vidros - 220 h",tabParametros[[#This Row],[Função]],1)),
SUMIF(tabVidros[TIPO],"Equipamento",tabVidros[VALOR UNITÁRIO P/ POSTO (R$)]),
0))))))</f>
        <v>64.529393914825576</v>
      </c>
      <c r="BA249" s="281">
        <f>IF(ISNUMBER(SEARCH("AUXILIAR DE LIMPEZA - 75 H",tabParametros[[#This Row],[Função]],1)),
SUMIF(tabLimpGeral[TIPO],"Produto",tabLimpGeral[VALOR UNITÁRIO P/ HORA (R$)])*75,
IF(ISNUMBER(SEARCH("AUXILIAR DE LIMPEZA - 110 H",tabParametros[[#This Row],[Função]],1)),
SUMIF(tabLimpGeral[TIPO],"Produto",tabLimpGeral[VALOR UNITÁRIO P/ HORA (R$)])*110,
IF(ISNUMBER(SEARCH("AUXILIAR DE LIMPEZA - 150 H",tabParametros[[#This Row],[Função]],1)),
SUMIF(tabLimpGeral[TIPO],"Produto",tabLimpGeral[VALOR UNITÁRIO P/ HORA (R$)])*150,
IF(ISNUMBER(SEARCH("AUXILIAR DE LIMPEZA - 220 H",tabParametros[[#This Row],[Função]],1)),
SUMIF(tabLimpGeral[TIPO],"Produto",tabLimpGeral[VALOR UNITÁRIO P/ HORA (R$)])*220,
IF(ISNUMBER(SEARCH("AUXILIAR DE LIMPEZA - 12 x 36",tabParametros[[#This Row],[Função]],1)),
SUMIF(tabLimpGeral[TIPO],"Produto",tabLimpGeral[VALOR UNITÁRIO P/ HORA (R$)])*220,
IF(ISNUMBER(SEARCH("Limpador de vidros - 220 h",tabParametros[[#This Row],[Função]],1)),
SUMIF(tabVidros[TIPO],"Produto",tabVidros[VALOR UNITÁRIO P/ POSTO (R$)]),
0))))))</f>
        <v>690.27153277931654</v>
      </c>
      <c r="BB249" s="281">
        <v>0</v>
      </c>
      <c r="BC249" s="236">
        <f>VLOOKUP(tabParametros[[#Headers],[Custos Indiretos]],tabOutrosCustos[],3,0)</f>
        <v>189.64880140242613</v>
      </c>
      <c r="BD249" s="236">
        <f>VLOOKUP(tabParametros[[#Headers],[Lucro]],tabOutrosCustos[],3,0)</f>
        <v>159.30499317803796</v>
      </c>
      <c r="BE249" s="235">
        <f>VLOOKUP(tabParametros[[#Headers],[COFINS]],tabImpostosNacionais[],2,0)</f>
        <v>7.5999999999999998E-2</v>
      </c>
      <c r="BF249" s="235">
        <f>VLOOKUP(tabParametros[[#Headers],[PIS]],tabImpostosNacionais[],2,0)</f>
        <v>1.6500000000000001E-2</v>
      </c>
      <c r="BG249" s="235">
        <f>VLOOKUP(tabParametros[[#This Row],[Comarca]],tabComarca[],4,0)</f>
        <v>0.04</v>
      </c>
      <c r="BH249" s="238">
        <f>IFERROR(VLOOKUP(tabParametros[[#This Row],[CCT DA CATEGORIA]],tabSindicatos[],11,0),"")</f>
        <v>45658</v>
      </c>
      <c r="BI249" s="289" t="str">
        <f>IFERROR(VLOOKUP(tabParametros[[#This Row],[CCT DA CATEGORIA]],tabSindicatos[],12,0),"")</f>
        <v>-</v>
      </c>
      <c r="BJ249" s="293" t="str">
        <f>IFERROR(VLOOKUP(tabParametros[[#This Row],[CCT DA CATEGORIA]],tabSindicatos[],13,0),"")</f>
        <v>-</v>
      </c>
    </row>
    <row r="250" spans="1:62" x14ac:dyDescent="0.25">
      <c r="A250" s="233" t="s">
        <v>1585</v>
      </c>
      <c r="B250" s="198" t="s">
        <v>224</v>
      </c>
      <c r="C250" s="198" t="s">
        <v>1247</v>
      </c>
      <c r="D250" s="198" t="str">
        <f>VLOOKUP(tabParametros[[#This Row],[Código do Posto]],tabPostos[],4,0)</f>
        <v>Regiao de Sao Lourenco</v>
      </c>
      <c r="E250" s="289" t="str">
        <f>VLOOKUP(tabParametros[[#This Row],[Código do Posto]],tabPostos[],5,0)</f>
        <v>Limpeza</v>
      </c>
      <c r="F250" s="289" t="str">
        <f>VLOOKUP(tabParametros[[#This Row],[Código do Posto]],tabPostos[],6,0)</f>
        <v>PGJ</v>
      </c>
      <c r="G250" s="289">
        <f>VLOOKUP(tabParametros[[#This Row],[Código do Posto]],tabPostos[],7,0)</f>
        <v>2</v>
      </c>
      <c r="H250" s="289">
        <f>VLOOKUP(tabParametros[[#This Row],[Código do Posto]],tabPostos[],8,0)</f>
        <v>0</v>
      </c>
      <c r="I250" s="234">
        <f>VLOOKUP(tabParametros[[#This Row],[Código do Posto]],tabPostos[],9,0)</f>
        <v>544.17999999999995</v>
      </c>
      <c r="J250" s="234">
        <f>IF(ISNUMBER(SEARCH("Eletricista",tabParametros[[#This Row],[Função]],1)),0.3*tabParametros[[#This Row],[Salário Base]],0)</f>
        <v>0</v>
      </c>
      <c r="K250" s="234">
        <f>IF(OR(ISNUMBER(SEARCH("Bombeiro Hidraulico",tabParametros[[#This Row],[Função]],1)),ISNUMBER(SEARCH("Jardineiro",tabParametros[[#This Row],[Função]],1)),ISNUMBER(SEARCH("Lavador de Veiculos",tabParametros[[#This Row],[Função]],1)),ISNUMBER(SEARCH("Marceneiro",tabParametros[[#This Row],[Função]],1)),ISNUMBER(SEARCH("Pintor",tabParametros[[#This Row],[Função]],1))),0.2*'BASE GERAL'!$R$4,0)</f>
        <v>0</v>
      </c>
      <c r="L250" s="234">
        <f>IF(AND(ISNUMBER(SEARCH("Noturno",tabParametros[[#This Row],[Função]],1)),tabParametros[[#This Row],[Comarca]]&lt;&gt;"Juiz de Fora"),tabParametros[[#This Row],[Salário Base]]/210*0.39*7*15.5,IF(ISNUMBER(SEARCH("Noturno",tabParametros[[#This Row],[Função]],1)),tabParametros[[#This Row],[Salário Base]]/210*0.2*8*15.5,0))</f>
        <v>0</v>
      </c>
      <c r="M250" s="234">
        <f>IF(ISNUMBER(SEARCH("Motorista II",tabParametros[[#This Row],[Função]],1)),0.25*tabParametros[[#This Row],[Salário Base]],0)</f>
        <v>0</v>
      </c>
      <c r="N250" s="250">
        <v>0</v>
      </c>
      <c r="O250" s="234">
        <f>IF(ISNUMBER(SEARCH("TECNOLOGIA DA INFORMACAO",tabParametros[[#This Row],[Função]],1)),0.0201*tabParametros[[#This Row],[Salário Base]],0)</f>
        <v>0</v>
      </c>
      <c r="P250" s="250" cm="1">
        <f t="array" ref="P250">_xlfn.IFS(
ISNUMBER(SEARCH("Auxiliar de Limpeza - 75 h",tabParametros[[#This Row],[Função]],1)),tabParametros[[#This Row],[Salário Base]]/75*0.75*30*0.12,
ISNUMBER(SEARCH("Auxiliar de Limpeza - 110 h",tabParametros[[#This Row],[Função]],1)),tabParametros[[#This Row],[Salário Base]]/110*1*30*0.12,
ISNUMBER(SEARCH("Auxiliar de Limpeza - 150 h",tabParametros[[#This Row],[Função]],1)),tabParametros[[#This Row],[Salário Base]]/150*1.5*30*0.12,
ISNUMBER(SEARCH("Auxiliar de Limpeza - 220 h",tabParametros[[#This Row],[Função]],1)),tabParametros[[#This Row],[Salário Base]]/220*2*30*0.12,
ISNUMBER(SEARCH("Auxiliar de Limpeza - 12 x 36",tabParametros[[#This Row],[Função]],1)),tabParametros[[#This Row],[Salário Base]]/220*2*30*0.12,
ISNUMBER(SEARCH("Auxiliar de Limpeza - 55 h",tabParametros[[#This Row],[Função]],1))=FALSE,0)</f>
        <v>19.590479999999999</v>
      </c>
      <c r="Q250" s="235">
        <f>VLOOKUP(tabParametros[[#Headers],[INSS]],tabImpostosNacionais[],2,0)</f>
        <v>0.2</v>
      </c>
      <c r="R250" s="235">
        <f>VLOOKUP(tabParametros[[#Headers],[SESI OU SESC]],tabImpostosNacionais[],2,0)</f>
        <v>1.4999999999999999E-2</v>
      </c>
      <c r="S250" s="235">
        <f>VLOOKUP(tabParametros[[#Headers],[SENAI OU SENAC]],tabImpostosNacionais[],2,0)</f>
        <v>0.01</v>
      </c>
      <c r="T250" s="235">
        <f>VLOOKUP(tabParametros[[#Headers],[INCRA]],tabImpostosNacionais[],2,0)</f>
        <v>2E-3</v>
      </c>
      <c r="U250" s="235">
        <f>VLOOKUP(tabParametros[[#Headers],[Salário Educação]],tabImpostosNacionais[],2,0)</f>
        <v>2.5000000000000001E-2</v>
      </c>
      <c r="V250" s="235">
        <f>VLOOKUP(tabParametros[[#Headers],[FGTS]],tabImpostosNacionais[],2,0)</f>
        <v>0.08</v>
      </c>
      <c r="W250" s="235">
        <f>VLOOKUP(tabParametros[[#Headers],[RAT Ajustado]],tabImpostosNacionais[],2,0)</f>
        <v>0.04</v>
      </c>
      <c r="X250" s="235">
        <f>VLOOKUP(tabParametros[[#Headers],[SEBRAE]],tabImpostosNacionais[],2,0)</f>
        <v>6.0000000000000001E-3</v>
      </c>
      <c r="Y250" s="235">
        <f t="shared" si="33"/>
        <v>8.3333333333333329E-2</v>
      </c>
      <c r="Z250" s="251">
        <f t="shared" si="34"/>
        <v>0.1111111111111111</v>
      </c>
      <c r="AA250" s="234">
        <f>VLOOKUP(tabParametros[[#This Row],[Comarca]],tabComarca[],5,0)</f>
        <v>6.4</v>
      </c>
      <c r="AB250" s="234">
        <f>IFERROR(VLOOKUP(tabParametros[[#This Row],[CCT DA CATEGORIA]],tabSindicatos[],6,0),0)</f>
        <v>29.15</v>
      </c>
      <c r="AC250" s="234">
        <f>IFERROR(VLOOKUP(tabParametros[[#This Row],[CCT DA CATEGORIA]],tabSindicatos[],7,0),0)</f>
        <v>0</v>
      </c>
      <c r="AD250" s="234" cm="1">
        <f t="array" ref="AD250">_xlfn.LET(
_xlpm.COMARCA, TRIM(UPPER(SUBSTITUTE(SUBSTITUTE(SUBSTITUTE(SUBSTITUTE(SUBSTITUTE(SUBSTITUTE(SUBSTITUTE(SUBSTITUTE(SUBSTITUTE(SUBSTITUTE(SUBSTITUTE(SUBSTITUTE(SUBSTITUTE(SUBSTITUTE(SUBSTITUTE(SUBSTITUTE(SUBSTITUTE(SUBSTITUTE(SUBSTITUTE(SUBSTITUTE(SUBSTITUTE(SUBSTITUTE(SUBSTITUTE(SUBSTITUTE(SUBSTITUTE(SUBSTITUTE(tabParametros[[#This Row],[Comarca]],"á","a"),"ã","a"),"â","a"),"é","e"),"ê","e"),"í","i"),"ó","o"),"õ","o"),"ô","o"),"ú","u"),"ç","c"),"Á","a"),"Ã","a"),"Â","a"),"É","e"),"Ê","e"),"Í","i"),"Ó","o"),"Õ","o"),"Ô","o"),"Ú","u"),"Ç","c"),"/MG","")," e ",", ")," ",""),".",""))),
_xlpm.MATRIZ_COMARCA, TRIM(UPPER(SUBSTITUTE(SUBSTITUTE(SUBSTITUTE(SUBSTITUTE(SUBSTITUTE(SUBSTITUTE(SUBSTITUTE(SUBSTITUTE(SUBSTITUTE(SUBSTITUTE(SUBSTITUTE(SUBSTITUTE(SUBSTITUTE(SUBSTITUTE(SUBSTITUTE(SUBSTITUTE(SUBSTITUTE(SUBSTITUTE(SUBSTITUTE(SUBSTITUTE(SUBSTITUTE(SUBSTITUTE(SUBSTITUTE(SUBSTITUTE(SUBSTITUTE(SUBSTITUTE(tabSindicatos[COMARCAS PAF],"á","a"),"ã","a"),"â","a"),"é","e"),"ê","e"),"í","i"),"ó","o"),"õ","o"),"ô","o"),"ú","u"),"ç","c"),"Á","a"),"Ã","a"),"Â","a"),"É","e"),"Ê","e"),"Í","i"),"Ó","o"),"Õ","o"),"Ô","o"),"Ú","u"),"Ç","c"),"/MG","")," e ",", ")," ",""),".",""))),
IFERROR(IF(_xlfn.XLOOKUP(tabParametros[[#This Row],[CCT DA CATEGORIA]],tabSindicatos[SINDICATOS],tabSindicatos[COMARCAS PAF])="",
VLOOKUP(tabParametros[[#This Row],[CCT DA CATEGORIA]],tabSindicatos[],8,0),
IF(ISNUMBER(SEARCH(TRIM(_xlpm.COMARCA),_xlfn.XLOOKUP(tabParametros[[#This Row],[CCT DA CATEGORIA]],tabSindicatos[SINDICATOS],_xlpm.MATRIZ_COMARCA),1)),VLOOKUP(tabParametros[[#This Row],[CCT DA CATEGORIA]],tabSindicatos[],8,0),0)
),0)
)</f>
        <v>53.27</v>
      </c>
      <c r="AE250" s="234">
        <f>IFERROR(VLOOKUP(tabParametros[[#This Row],[CCT DA CATEGORIA]],tabSindicatos[],9,0),0)</f>
        <v>0</v>
      </c>
      <c r="AF250" s="234">
        <f>IFERROR(VLOOKUP(tabParametros[[#This Row],[CCT DA CATEGORIA]],tabSindicatos[],10,0),0)</f>
        <v>0</v>
      </c>
      <c r="AG250" s="236">
        <f>VLOOKUP(tabParametros[[#Headers],[Seguro de Vida]],tabOutrosCustos[],3,0)</f>
        <v>3.36</v>
      </c>
      <c r="AH250" s="236">
        <f>IF(ISNUMBER(SEARCH("MOTORISTA",tabParametros[[#This Row],[Função]],1)),VLOOKUP("MOTORISTAS",tabDiarias[],2,0),IF(tabParametros[[#This Row],[Comarca]]="Belo Horizonte",VLOOKUP("LIMPEZA",tabDiarias[],2,0),0))</f>
        <v>0</v>
      </c>
      <c r="AI250" s="235">
        <f t="shared" si="35"/>
        <v>7.011766975308642E-3</v>
      </c>
      <c r="AJ250" s="237">
        <f>tabParametros[[#This Row],[FGTS]]*tabParametros[[#This Row],[Aviso Prévio Indenizado (API) e Reflexo do Aviso Prévio Indenizado]]</f>
        <v>5.609413580246914E-4</v>
      </c>
      <c r="AK250" s="237">
        <f>tabParametros[[#This Row],[FGTS]]*tabParametros[[#This Row],[Aviso Prévio Indenizado (API) e Reflexo do Aviso Prévio Indenizado]]*40%</f>
        <v>2.2437654320987658E-4</v>
      </c>
      <c r="AL250" s="235">
        <f t="shared" si="36"/>
        <v>3.5000000000000005E-3</v>
      </c>
      <c r="AM250" s="235">
        <f>tabParametros[[#This Row],[Aviso Prévio Trabalhado - APT]]*SUM(tabParametros[[#This Row],[INSS]:[SEBRAE]])</f>
        <v>1.3230000000000004E-3</v>
      </c>
      <c r="AN250" s="235">
        <f t="shared" si="37"/>
        <v>3.0577777777777773E-2</v>
      </c>
      <c r="AO250" s="235">
        <f t="shared" si="38"/>
        <v>8.3333333333333339E-4</v>
      </c>
      <c r="AP250" s="235">
        <f t="shared" si="39"/>
        <v>8.4444444444444437E-3</v>
      </c>
      <c r="AQ250" s="235">
        <f t="shared" si="40"/>
        <v>2.0277777777777777E-3</v>
      </c>
      <c r="AR250" s="235">
        <f t="shared" si="41"/>
        <v>1.7083333333333333E-4</v>
      </c>
      <c r="AS250" s="235">
        <f t="shared" si="42"/>
        <v>2.0833333333333335E-4</v>
      </c>
      <c r="AT250" s="235">
        <f t="shared" si="43"/>
        <v>1.2962962962962963E-3</v>
      </c>
      <c r="AU250" s="237">
        <f>SUM(tabParametros[[#This Row],[Ausência por Doença]:[Férias, Adicional de Férias e 13º  com empregada em gozo de Licença Maternidade]])*SUM(tabParametros[[#This Row],[INSS]:[SEBRAE]])</f>
        <v>4.5918250000000008E-3</v>
      </c>
      <c r="AV250" s="234">
        <f>IF(tabParametros[[#This Row],[Função]]="Porteiro - 220 h",SUM(tabParametros[[#This Row],[Salário Base]:[Adicional de Acúmulo de função]])/220*20*1.5,IF(ISNUMBER(SEARCH("12 x 36",tabParametros[[#This Row],[Função]],1)),SUM(tabParametros[[#This Row],[Salário Base]:[Adicional de Acúmulo de função]])/210*15.5*1.5,0))</f>
        <v>0</v>
      </c>
      <c r="AW250" s="234">
        <f>IF(tabParametros[[#This Row],[Vagas contratadas]]&gt;0,(SUM(tabParametros[[#This Row],[Salário Base]:[Adicional de Acúmulo de função]])*30%+SUM(tabParametros[[#This Row],[Vale - Alimentação]:[Seguro de Vida]]))/tabParametros[[#This Row],[Vagas contratadas]]*tabParametros[[#This Row],[Vagas suspensas]],0)</f>
        <v>0</v>
      </c>
      <c r="AX250" s="234">
        <f>SUMIF(tabUniformes[Cargo],tabParametros[[#This Row],[Função]],tabUniformes[Valor unit. Mensal])</f>
        <v>62.806666666666665</v>
      </c>
      <c r="AY250" s="281">
        <f>IF(ISNUMBER(SEARCH("AUXILIAR DE LIMPEZA - 75 H",tabParametros[[#This Row],[Função]],1)),
SUMIF(tabLimpGeral[TIPO],"Material",tabLimpGeral[VALOR UNITÁRIO P/ HORA (R$)])*75,
IF(ISNUMBER(SEARCH("AUXILIAR DE LIMPEZA - 110 H",tabParametros[[#This Row],[Função]],1)),
SUMIF(tabLimpGeral[TIPO],"Material",tabLimpGeral[VALOR UNITÁRIO P/ HORA (R$)])*110,
IF(ISNUMBER(SEARCH("AUXILIAR DE LIMPEZA - 150 H",tabParametros[[#This Row],[Função]],1)),
SUMIF(tabLimpGeral[TIPO],"Material",tabLimpGeral[VALOR UNITÁRIO P/ HORA (R$)])*150,
IF(ISNUMBER(SEARCH("AUXILIAR DE LIMPEZA - 220 H",tabParametros[[#This Row],[Função]],1)),
SUMIF(tabLimpGeral[TIPO],"Material",tabLimpGeral[VALOR UNITÁRIO P/ HORA (R$)])*220,
IF(ISNUMBER(SEARCH("AUXILIAR DE LIMPEZA - 12 x 36",tabParametros[[#This Row],[Função]],1)),
SUMIF(tabLimpGeral[TIPO],"Material",tabLimpGeral[VALOR UNITÁRIO P/ HORA (R$)])*220,
IF(ISNUMBER(SEARCH("Limpador de vidros - 220 h",tabParametros[[#This Row],[Função]],1)),
SUMIF(tabVidros[TIPO],"Material",tabVidros[VALOR UNITÁRIO P/ POSTO (R$)]),
0))))))</f>
        <v>12.108481690426325</v>
      </c>
      <c r="AZ250" s="281">
        <f>IF(ISNUMBER(SEARCH("AUXILIAR DE LIMPEZA - 75 H",tabParametros[[#This Row],[Função]],1)),
SUMIF(tabLimpGeral[TIPO],"Equipamento",tabLimpGeral[VALOR UNITÁRIO P/ HORA (R$)])*75,
IF(ISNUMBER(SEARCH("AUXILIAR DE LIMPEZA - 110 H",tabParametros[[#This Row],[Função]],1)),
SUMIF(tabLimpGeral[TIPO],"Equipamento",tabLimpGeral[VALOR UNITÁRIO P/ HORA (R$)])*110,
IF(ISNUMBER(SEARCH("AUXILIAR DE LIMPEZA - 150 H",tabParametros[[#This Row],[Função]],1)),
SUMIF(tabLimpGeral[TIPO],"Equipamento",tabLimpGeral[VALOR UNITÁRIO P/ HORA (R$)])*150,
IF(ISNUMBER(SEARCH("AUXILIAR DE LIMPEZA - 220 H",tabParametros[[#This Row],[Função]],1)),
SUMIF(tabLimpGeral[TIPO],"Equipamento",tabLimpGeral[VALOR UNITÁRIO P/ HORA (R$)])*220,
IF(ISNUMBER(SEARCH("AUXILIAR DE LIMPEZA - 12 x 36",tabParametros[[#This Row],[Função]],1)),
SUMIF(tabLimpGeral[TIPO],"Equipamento",tabLimpGeral[VALOR UNITÁRIO P/ HORA (R$)])*220,
IF(ISNUMBER(SEARCH("Limpador de vidros - 220 h",tabParametros[[#This Row],[Função]],1)),
SUMIF(tabVidros[TIPO],"Equipamento",tabVidros[VALOR UNITÁRIO P/ POSTO (R$)]),
0))))))</f>
        <v>21.998657016417809</v>
      </c>
      <c r="BA250" s="281">
        <f>IF(ISNUMBER(SEARCH("AUXILIAR DE LIMPEZA - 75 H",tabParametros[[#This Row],[Função]],1)),
SUMIF(tabLimpGeral[TIPO],"Produto",tabLimpGeral[VALOR UNITÁRIO P/ HORA (R$)])*75,
IF(ISNUMBER(SEARCH("AUXILIAR DE LIMPEZA - 110 H",tabParametros[[#This Row],[Função]],1)),
SUMIF(tabLimpGeral[TIPO],"Produto",tabLimpGeral[VALOR UNITÁRIO P/ HORA (R$)])*110,
IF(ISNUMBER(SEARCH("AUXILIAR DE LIMPEZA - 150 H",tabParametros[[#This Row],[Função]],1)),
SUMIF(tabLimpGeral[TIPO],"Produto",tabLimpGeral[VALOR UNITÁRIO P/ HORA (R$)])*150,
IF(ISNUMBER(SEARCH("AUXILIAR DE LIMPEZA - 220 H",tabParametros[[#This Row],[Função]],1)),
SUMIF(tabLimpGeral[TIPO],"Produto",tabLimpGeral[VALOR UNITÁRIO P/ HORA (R$)])*220,
IF(ISNUMBER(SEARCH("AUXILIAR DE LIMPEZA - 12 x 36",tabParametros[[#This Row],[Função]],1)),
SUMIF(tabLimpGeral[TIPO],"Produto",tabLimpGeral[VALOR UNITÁRIO P/ HORA (R$)])*220,
IF(ISNUMBER(SEARCH("Limpador de vidros - 220 h",tabParametros[[#This Row],[Função]],1)),
SUMIF(tabVidros[TIPO],"Produto",tabVidros[VALOR UNITÁRIO P/ POSTO (R$)]),
0))))))</f>
        <v>235.31984072022155</v>
      </c>
      <c r="BB250" s="281">
        <v>0</v>
      </c>
      <c r="BC250" s="236">
        <f>VLOOKUP(tabParametros[[#Headers],[Custos Indiretos]],tabOutrosCustos[],3,0)</f>
        <v>189.64880140242613</v>
      </c>
      <c r="BD250" s="236">
        <f>VLOOKUP(tabParametros[[#Headers],[Lucro]],tabOutrosCustos[],3,0)</f>
        <v>159.30499317803796</v>
      </c>
      <c r="BE250" s="235">
        <f>VLOOKUP(tabParametros[[#Headers],[COFINS]],tabImpostosNacionais[],2,0)</f>
        <v>7.5999999999999998E-2</v>
      </c>
      <c r="BF250" s="235">
        <f>VLOOKUP(tabParametros[[#Headers],[PIS]],tabImpostosNacionais[],2,0)</f>
        <v>1.6500000000000001E-2</v>
      </c>
      <c r="BG250" s="235">
        <f>VLOOKUP(tabParametros[[#This Row],[Comarca]],tabComarca[],4,0)</f>
        <v>0.03</v>
      </c>
      <c r="BH250" s="238">
        <f>IFERROR(VLOOKUP(tabParametros[[#This Row],[CCT DA CATEGORIA]],tabSindicatos[],11,0),"")</f>
        <v>45658</v>
      </c>
      <c r="BI250" s="289" t="str">
        <f>IFERROR(VLOOKUP(tabParametros[[#This Row],[CCT DA CATEGORIA]],tabSindicatos[],12,0),"")</f>
        <v>-</v>
      </c>
      <c r="BJ250" s="293" t="str">
        <f>IFERROR(VLOOKUP(tabParametros[[#This Row],[CCT DA CATEGORIA]],tabSindicatos[],13,0),"")</f>
        <v>-</v>
      </c>
    </row>
    <row r="251" spans="1:62" x14ac:dyDescent="0.25">
      <c r="A251" s="233" t="s">
        <v>1586</v>
      </c>
      <c r="B251" s="198" t="s">
        <v>224</v>
      </c>
      <c r="C251" s="198" t="s">
        <v>1245</v>
      </c>
      <c r="D251" s="198" t="str">
        <f>VLOOKUP(tabParametros[[#This Row],[Código do Posto]],tabPostos[],4,0)</f>
        <v>Regiao de Sao Lourenco</v>
      </c>
      <c r="E251" s="289" t="str">
        <f>VLOOKUP(tabParametros[[#This Row],[Código do Posto]],tabPostos[],5,0)</f>
        <v>Limpeza</v>
      </c>
      <c r="F251" s="289" t="str">
        <f>VLOOKUP(tabParametros[[#This Row],[Código do Posto]],tabPostos[],6,0)</f>
        <v>PGJ</v>
      </c>
      <c r="G251" s="289">
        <f>VLOOKUP(tabParametros[[#This Row],[Código do Posto]],tabPostos[],7,0)</f>
        <v>3</v>
      </c>
      <c r="H251" s="289">
        <f>VLOOKUP(tabParametros[[#This Row],[Código do Posto]],tabPostos[],8,0)</f>
        <v>0</v>
      </c>
      <c r="I251" s="234">
        <f>VLOOKUP(tabParametros[[#This Row],[Código do Posto]],tabPostos[],9,0)</f>
        <v>1596.28</v>
      </c>
      <c r="J251" s="234">
        <f>IF(ISNUMBER(SEARCH("Eletricista",tabParametros[[#This Row],[Função]],1)),0.3*tabParametros[[#This Row],[Salário Base]],0)</f>
        <v>0</v>
      </c>
      <c r="K251" s="234">
        <f>IF(OR(ISNUMBER(SEARCH("Bombeiro Hidraulico",tabParametros[[#This Row],[Função]],1)),ISNUMBER(SEARCH("Jardineiro",tabParametros[[#This Row],[Função]],1)),ISNUMBER(SEARCH("Lavador de Veiculos",tabParametros[[#This Row],[Função]],1)),ISNUMBER(SEARCH("Marceneiro",tabParametros[[#This Row],[Função]],1)),ISNUMBER(SEARCH("Pintor",tabParametros[[#This Row],[Função]],1))),0.2*'BASE GERAL'!$R$4,0)</f>
        <v>0</v>
      </c>
      <c r="L251" s="234">
        <f>IF(AND(ISNUMBER(SEARCH("Noturno",tabParametros[[#This Row],[Função]],1)),tabParametros[[#This Row],[Comarca]]&lt;&gt;"Juiz de Fora"),tabParametros[[#This Row],[Salário Base]]/210*0.39*7*15.5,IF(ISNUMBER(SEARCH("Noturno",tabParametros[[#This Row],[Função]],1)),tabParametros[[#This Row],[Salário Base]]/210*0.2*8*15.5,0))</f>
        <v>0</v>
      </c>
      <c r="M251" s="234">
        <f>IF(ISNUMBER(SEARCH("Motorista II",tabParametros[[#This Row],[Função]],1)),0.25*tabParametros[[#This Row],[Salário Base]],0)</f>
        <v>0</v>
      </c>
      <c r="N251" s="250">
        <v>0</v>
      </c>
      <c r="O251" s="234">
        <f>IF(ISNUMBER(SEARCH("TECNOLOGIA DA INFORMACAO",tabParametros[[#This Row],[Função]],1)),0.0201*tabParametros[[#This Row],[Salário Base]],0)</f>
        <v>0</v>
      </c>
      <c r="P251" s="250" cm="1">
        <f t="array" ref="P251">_xlfn.IFS(
ISNUMBER(SEARCH("Auxiliar de Limpeza - 75 h",tabParametros[[#This Row],[Função]],1)),tabParametros[[#This Row],[Salário Base]]/75*0.75*30*0.12,
ISNUMBER(SEARCH("Auxiliar de Limpeza - 110 h",tabParametros[[#This Row],[Função]],1)),tabParametros[[#This Row],[Salário Base]]/110*1*30*0.12,
ISNUMBER(SEARCH("Auxiliar de Limpeza - 150 h",tabParametros[[#This Row],[Função]],1)),tabParametros[[#This Row],[Salário Base]]/150*1.5*30*0.12,
ISNUMBER(SEARCH("Auxiliar de Limpeza - 220 h",tabParametros[[#This Row],[Função]],1)),tabParametros[[#This Row],[Salário Base]]/220*2*30*0.12,
ISNUMBER(SEARCH("Auxiliar de Limpeza - 12 x 36",tabParametros[[#This Row],[Função]],1)),tabParametros[[#This Row],[Salário Base]]/220*2*30*0.12,
ISNUMBER(SEARCH("Auxiliar de Limpeza - 55 h",tabParametros[[#This Row],[Função]],1))=FALSE,0)</f>
        <v>52.241890909090905</v>
      </c>
      <c r="Q251" s="235">
        <f>VLOOKUP(tabParametros[[#Headers],[INSS]],tabImpostosNacionais[],2,0)</f>
        <v>0.2</v>
      </c>
      <c r="R251" s="235">
        <f>VLOOKUP(tabParametros[[#Headers],[SESI OU SESC]],tabImpostosNacionais[],2,0)</f>
        <v>1.4999999999999999E-2</v>
      </c>
      <c r="S251" s="235">
        <f>VLOOKUP(tabParametros[[#Headers],[SENAI OU SENAC]],tabImpostosNacionais[],2,0)</f>
        <v>0.01</v>
      </c>
      <c r="T251" s="235">
        <f>VLOOKUP(tabParametros[[#Headers],[INCRA]],tabImpostosNacionais[],2,0)</f>
        <v>2E-3</v>
      </c>
      <c r="U251" s="235">
        <f>VLOOKUP(tabParametros[[#Headers],[Salário Educação]],tabImpostosNacionais[],2,0)</f>
        <v>2.5000000000000001E-2</v>
      </c>
      <c r="V251" s="235">
        <f>VLOOKUP(tabParametros[[#Headers],[FGTS]],tabImpostosNacionais[],2,0)</f>
        <v>0.08</v>
      </c>
      <c r="W251" s="235">
        <f>VLOOKUP(tabParametros[[#Headers],[RAT Ajustado]],tabImpostosNacionais[],2,0)</f>
        <v>0.04</v>
      </c>
      <c r="X251" s="235">
        <f>VLOOKUP(tabParametros[[#Headers],[SEBRAE]],tabImpostosNacionais[],2,0)</f>
        <v>6.0000000000000001E-3</v>
      </c>
      <c r="Y251" s="235">
        <f t="shared" si="33"/>
        <v>8.3333333333333329E-2</v>
      </c>
      <c r="Z251" s="251">
        <f t="shared" si="34"/>
        <v>0.1111111111111111</v>
      </c>
      <c r="AA251" s="234">
        <f>VLOOKUP(tabParametros[[#This Row],[Comarca]],tabComarca[],5,0)</f>
        <v>6.4</v>
      </c>
      <c r="AB251" s="234">
        <f>IFERROR(VLOOKUP(tabParametros[[#This Row],[CCT DA CATEGORIA]],tabSindicatos[],6,0),0)</f>
        <v>29.15</v>
      </c>
      <c r="AC251" s="234">
        <f>IFERROR(VLOOKUP(tabParametros[[#This Row],[CCT DA CATEGORIA]],tabSindicatos[],7,0),0)</f>
        <v>0</v>
      </c>
      <c r="AD251" s="234" cm="1">
        <f t="array" ref="AD251">_xlfn.LET(
_xlpm.COMARCA, TRIM(UPPER(SUBSTITUTE(SUBSTITUTE(SUBSTITUTE(SUBSTITUTE(SUBSTITUTE(SUBSTITUTE(SUBSTITUTE(SUBSTITUTE(SUBSTITUTE(SUBSTITUTE(SUBSTITUTE(SUBSTITUTE(SUBSTITUTE(SUBSTITUTE(SUBSTITUTE(SUBSTITUTE(SUBSTITUTE(SUBSTITUTE(SUBSTITUTE(SUBSTITUTE(SUBSTITUTE(SUBSTITUTE(SUBSTITUTE(SUBSTITUTE(SUBSTITUTE(SUBSTITUTE(tabParametros[[#This Row],[Comarca]],"á","a"),"ã","a"),"â","a"),"é","e"),"ê","e"),"í","i"),"ó","o"),"õ","o"),"ô","o"),"ú","u"),"ç","c"),"Á","a"),"Ã","a"),"Â","a"),"É","e"),"Ê","e"),"Í","i"),"Ó","o"),"Õ","o"),"Ô","o"),"Ú","u"),"Ç","c"),"/MG","")," e ",", ")," ",""),".",""))),
_xlpm.MATRIZ_COMARCA, TRIM(UPPER(SUBSTITUTE(SUBSTITUTE(SUBSTITUTE(SUBSTITUTE(SUBSTITUTE(SUBSTITUTE(SUBSTITUTE(SUBSTITUTE(SUBSTITUTE(SUBSTITUTE(SUBSTITUTE(SUBSTITUTE(SUBSTITUTE(SUBSTITUTE(SUBSTITUTE(SUBSTITUTE(SUBSTITUTE(SUBSTITUTE(SUBSTITUTE(SUBSTITUTE(SUBSTITUTE(SUBSTITUTE(SUBSTITUTE(SUBSTITUTE(SUBSTITUTE(SUBSTITUTE(tabSindicatos[COMARCAS PAF],"á","a"),"ã","a"),"â","a"),"é","e"),"ê","e"),"í","i"),"ó","o"),"õ","o"),"ô","o"),"ú","u"),"ç","c"),"Á","a"),"Ã","a"),"Â","a"),"É","e"),"Ê","e"),"Í","i"),"Ó","o"),"Õ","o"),"Ô","o"),"Ú","u"),"Ç","c"),"/MG","")," e ",", ")," ",""),".",""))),
IFERROR(IF(_xlfn.XLOOKUP(tabParametros[[#This Row],[CCT DA CATEGORIA]],tabSindicatos[SINDICATOS],tabSindicatos[COMARCAS PAF])="",
VLOOKUP(tabParametros[[#This Row],[CCT DA CATEGORIA]],tabSindicatos[],8,0),
IF(ISNUMBER(SEARCH(TRIM(_xlpm.COMARCA),_xlfn.XLOOKUP(tabParametros[[#This Row],[CCT DA CATEGORIA]],tabSindicatos[SINDICATOS],_xlpm.MATRIZ_COMARCA),1)),VLOOKUP(tabParametros[[#This Row],[CCT DA CATEGORIA]],tabSindicatos[],8,0),0)
),0)
)</f>
        <v>53.27</v>
      </c>
      <c r="AE251" s="234">
        <f>IFERROR(VLOOKUP(tabParametros[[#This Row],[CCT DA CATEGORIA]],tabSindicatos[],9,0),0)</f>
        <v>0</v>
      </c>
      <c r="AF251" s="234">
        <f>IFERROR(VLOOKUP(tabParametros[[#This Row],[CCT DA CATEGORIA]],tabSindicatos[],10,0),0)</f>
        <v>0</v>
      </c>
      <c r="AG251" s="236">
        <f>VLOOKUP(tabParametros[[#Headers],[Seguro de Vida]],tabOutrosCustos[],3,0)</f>
        <v>3.36</v>
      </c>
      <c r="AH251" s="236">
        <f>IF(ISNUMBER(SEARCH("MOTORISTA",tabParametros[[#This Row],[Função]],1)),VLOOKUP("MOTORISTAS",tabDiarias[],2,0),IF(tabParametros[[#This Row],[Comarca]]="Belo Horizonte",VLOOKUP("LIMPEZA",tabDiarias[],2,0),0))</f>
        <v>0</v>
      </c>
      <c r="AI251" s="235">
        <f t="shared" si="35"/>
        <v>7.011766975308642E-3</v>
      </c>
      <c r="AJ251" s="237">
        <f>tabParametros[[#This Row],[FGTS]]*tabParametros[[#This Row],[Aviso Prévio Indenizado (API) e Reflexo do Aviso Prévio Indenizado]]</f>
        <v>5.609413580246914E-4</v>
      </c>
      <c r="AK251" s="237">
        <f>tabParametros[[#This Row],[FGTS]]*tabParametros[[#This Row],[Aviso Prévio Indenizado (API) e Reflexo do Aviso Prévio Indenizado]]*40%</f>
        <v>2.2437654320987658E-4</v>
      </c>
      <c r="AL251" s="235">
        <f t="shared" si="36"/>
        <v>3.5000000000000005E-3</v>
      </c>
      <c r="AM251" s="235">
        <f>tabParametros[[#This Row],[Aviso Prévio Trabalhado - APT]]*SUM(tabParametros[[#This Row],[INSS]:[SEBRAE]])</f>
        <v>1.3230000000000004E-3</v>
      </c>
      <c r="AN251" s="235">
        <f t="shared" si="37"/>
        <v>3.0577777777777773E-2</v>
      </c>
      <c r="AO251" s="235">
        <f t="shared" si="38"/>
        <v>8.3333333333333339E-4</v>
      </c>
      <c r="AP251" s="235">
        <f t="shared" si="39"/>
        <v>8.4444444444444437E-3</v>
      </c>
      <c r="AQ251" s="235">
        <f t="shared" si="40"/>
        <v>2.0277777777777777E-3</v>
      </c>
      <c r="AR251" s="235">
        <f t="shared" si="41"/>
        <v>1.7083333333333333E-4</v>
      </c>
      <c r="AS251" s="235">
        <f t="shared" si="42"/>
        <v>2.0833333333333335E-4</v>
      </c>
      <c r="AT251" s="235">
        <f t="shared" si="43"/>
        <v>1.2962962962962963E-3</v>
      </c>
      <c r="AU251" s="237">
        <f>SUM(tabParametros[[#This Row],[Ausência por Doença]:[Férias, Adicional de Férias e 13º  com empregada em gozo de Licença Maternidade]])*SUM(tabParametros[[#This Row],[INSS]:[SEBRAE]])</f>
        <v>4.5918250000000008E-3</v>
      </c>
      <c r="AV251" s="234">
        <f>IF(tabParametros[[#This Row],[Função]]="Porteiro - 220 h",SUM(tabParametros[[#This Row],[Salário Base]:[Adicional de Acúmulo de função]])/220*20*1.5,IF(ISNUMBER(SEARCH("12 x 36",tabParametros[[#This Row],[Função]],1)),SUM(tabParametros[[#This Row],[Salário Base]:[Adicional de Acúmulo de função]])/210*15.5*1.5,0))</f>
        <v>0</v>
      </c>
      <c r="AW251" s="234">
        <f>IF(tabParametros[[#This Row],[Vagas contratadas]]&gt;0,(SUM(tabParametros[[#This Row],[Salário Base]:[Adicional de Acúmulo de função]])*30%+SUM(tabParametros[[#This Row],[Vale - Alimentação]:[Seguro de Vida]]))/tabParametros[[#This Row],[Vagas contratadas]]*tabParametros[[#This Row],[Vagas suspensas]],0)</f>
        <v>0</v>
      </c>
      <c r="AX251" s="234">
        <f>SUMIF(tabUniformes[Cargo],tabParametros[[#This Row],[Função]],tabUniformes[Valor unit. Mensal])</f>
        <v>100.80916666666666</v>
      </c>
      <c r="AY251" s="281">
        <f>IF(ISNUMBER(SEARCH("AUXILIAR DE LIMPEZA - 75 H",tabParametros[[#This Row],[Função]],1)),
SUMIF(tabLimpGeral[TIPO],"Material",tabLimpGeral[VALOR UNITÁRIO P/ HORA (R$)])*75,
IF(ISNUMBER(SEARCH("AUXILIAR DE LIMPEZA - 110 H",tabParametros[[#This Row],[Função]],1)),
SUMIF(tabLimpGeral[TIPO],"Material",tabLimpGeral[VALOR UNITÁRIO P/ HORA (R$)])*110,
IF(ISNUMBER(SEARCH("AUXILIAR DE LIMPEZA - 150 H",tabParametros[[#This Row],[Função]],1)),
SUMIF(tabLimpGeral[TIPO],"Material",tabLimpGeral[VALOR UNITÁRIO P/ HORA (R$)])*150,
IF(ISNUMBER(SEARCH("AUXILIAR DE LIMPEZA - 220 H",tabParametros[[#This Row],[Função]],1)),
SUMIF(tabLimpGeral[TIPO],"Material",tabLimpGeral[VALOR UNITÁRIO P/ HORA (R$)])*220,
IF(ISNUMBER(SEARCH("AUXILIAR DE LIMPEZA - 12 x 36",tabParametros[[#This Row],[Função]],1)),
SUMIF(tabLimpGeral[TIPO],"Material",tabLimpGeral[VALOR UNITÁRIO P/ HORA (R$)])*220,
IF(ISNUMBER(SEARCH("Limpador de vidros - 220 h",tabParametros[[#This Row],[Função]],1)),
SUMIF(tabVidros[TIPO],"Material",tabVidros[VALOR UNITÁRIO P/ POSTO (R$)]),
0))))))</f>
        <v>35.518212958583888</v>
      </c>
      <c r="AZ251" s="281">
        <f>IF(ISNUMBER(SEARCH("AUXILIAR DE LIMPEZA - 75 H",tabParametros[[#This Row],[Função]],1)),
SUMIF(tabLimpGeral[TIPO],"Equipamento",tabLimpGeral[VALOR UNITÁRIO P/ HORA (R$)])*75,
IF(ISNUMBER(SEARCH("AUXILIAR DE LIMPEZA - 110 H",tabParametros[[#This Row],[Função]],1)),
SUMIF(tabLimpGeral[TIPO],"Equipamento",tabLimpGeral[VALOR UNITÁRIO P/ HORA (R$)])*110,
IF(ISNUMBER(SEARCH("AUXILIAR DE LIMPEZA - 150 H",tabParametros[[#This Row],[Função]],1)),
SUMIF(tabLimpGeral[TIPO],"Equipamento",tabLimpGeral[VALOR UNITÁRIO P/ HORA (R$)])*150,
IF(ISNUMBER(SEARCH("AUXILIAR DE LIMPEZA - 220 H",tabParametros[[#This Row],[Função]],1)),
SUMIF(tabLimpGeral[TIPO],"Equipamento",tabLimpGeral[VALOR UNITÁRIO P/ HORA (R$)])*220,
IF(ISNUMBER(SEARCH("AUXILIAR DE LIMPEZA - 12 x 36",tabParametros[[#This Row],[Função]],1)),
SUMIF(tabLimpGeral[TIPO],"Equipamento",tabLimpGeral[VALOR UNITÁRIO P/ HORA (R$)])*220,
IF(ISNUMBER(SEARCH("Limpador de vidros - 220 h",tabParametros[[#This Row],[Função]],1)),
SUMIF(tabVidros[TIPO],"Equipamento",tabVidros[VALOR UNITÁRIO P/ POSTO (R$)]),
0))))))</f>
        <v>64.529393914825576</v>
      </c>
      <c r="BA251" s="281">
        <f>IF(ISNUMBER(SEARCH("AUXILIAR DE LIMPEZA - 75 H",tabParametros[[#This Row],[Função]],1)),
SUMIF(tabLimpGeral[TIPO],"Produto",tabLimpGeral[VALOR UNITÁRIO P/ HORA (R$)])*75,
IF(ISNUMBER(SEARCH("AUXILIAR DE LIMPEZA - 110 H",tabParametros[[#This Row],[Função]],1)),
SUMIF(tabLimpGeral[TIPO],"Produto",tabLimpGeral[VALOR UNITÁRIO P/ HORA (R$)])*110,
IF(ISNUMBER(SEARCH("AUXILIAR DE LIMPEZA - 150 H",tabParametros[[#This Row],[Função]],1)),
SUMIF(tabLimpGeral[TIPO],"Produto",tabLimpGeral[VALOR UNITÁRIO P/ HORA (R$)])*150,
IF(ISNUMBER(SEARCH("AUXILIAR DE LIMPEZA - 220 H",tabParametros[[#This Row],[Função]],1)),
SUMIF(tabLimpGeral[TIPO],"Produto",tabLimpGeral[VALOR UNITÁRIO P/ HORA (R$)])*220,
IF(ISNUMBER(SEARCH("AUXILIAR DE LIMPEZA - 12 x 36",tabParametros[[#This Row],[Função]],1)),
SUMIF(tabLimpGeral[TIPO],"Produto",tabLimpGeral[VALOR UNITÁRIO P/ HORA (R$)])*220,
IF(ISNUMBER(SEARCH("Limpador de vidros - 220 h",tabParametros[[#This Row],[Função]],1)),
SUMIF(tabVidros[TIPO],"Produto",tabVidros[VALOR UNITÁRIO P/ POSTO (R$)]),
0))))))</f>
        <v>690.27153277931654</v>
      </c>
      <c r="BB251" s="281">
        <v>0</v>
      </c>
      <c r="BC251" s="236">
        <f>VLOOKUP(tabParametros[[#Headers],[Custos Indiretos]],tabOutrosCustos[],3,0)</f>
        <v>189.64880140242613</v>
      </c>
      <c r="BD251" s="236">
        <f>VLOOKUP(tabParametros[[#Headers],[Lucro]],tabOutrosCustos[],3,0)</f>
        <v>159.30499317803796</v>
      </c>
      <c r="BE251" s="235">
        <f>VLOOKUP(tabParametros[[#Headers],[COFINS]],tabImpostosNacionais[],2,0)</f>
        <v>7.5999999999999998E-2</v>
      </c>
      <c r="BF251" s="235">
        <f>VLOOKUP(tabParametros[[#Headers],[PIS]],tabImpostosNacionais[],2,0)</f>
        <v>1.6500000000000001E-2</v>
      </c>
      <c r="BG251" s="235">
        <f>VLOOKUP(tabParametros[[#This Row],[Comarca]],tabComarca[],4,0)</f>
        <v>0.03</v>
      </c>
      <c r="BH251" s="238">
        <f>IFERROR(VLOOKUP(tabParametros[[#This Row],[CCT DA CATEGORIA]],tabSindicatos[],11,0),"")</f>
        <v>45658</v>
      </c>
      <c r="BI251" s="289" t="str">
        <f>IFERROR(VLOOKUP(tabParametros[[#This Row],[CCT DA CATEGORIA]],tabSindicatos[],12,0),"")</f>
        <v>-</v>
      </c>
      <c r="BJ251" s="293" t="str">
        <f>IFERROR(VLOOKUP(tabParametros[[#This Row],[CCT DA CATEGORIA]],tabSindicatos[],13,0),"")</f>
        <v>-</v>
      </c>
    </row>
    <row r="252" spans="1:62" x14ac:dyDescent="0.25">
      <c r="A252" s="233" t="s">
        <v>1587</v>
      </c>
      <c r="B252" s="198" t="s">
        <v>225</v>
      </c>
      <c r="C252" s="198" t="s">
        <v>1244</v>
      </c>
      <c r="D252" s="198" t="str">
        <f>VLOOKUP(tabParametros[[#This Row],[Código do Posto]],tabPostos[],4,0)</f>
        <v>Sethac Norte de Minas</v>
      </c>
      <c r="E252" s="289" t="str">
        <f>VLOOKUP(tabParametros[[#This Row],[Código do Posto]],tabPostos[],5,0)</f>
        <v>Limpeza</v>
      </c>
      <c r="F252" s="289" t="str">
        <f>VLOOKUP(tabParametros[[#This Row],[Código do Posto]],tabPostos[],6,0)</f>
        <v>PGJ</v>
      </c>
      <c r="G252" s="289">
        <f>VLOOKUP(tabParametros[[#This Row],[Código do Posto]],tabPostos[],7,0)</f>
        <v>1</v>
      </c>
      <c r="H252" s="289">
        <f>VLOOKUP(tabParametros[[#This Row],[Código do Posto]],tabPostos[],8,0)</f>
        <v>0</v>
      </c>
      <c r="I252" s="234">
        <f>VLOOKUP(tabParametros[[#This Row],[Código do Posto]],tabPostos[],9,0)</f>
        <v>798.14</v>
      </c>
      <c r="J252" s="234">
        <f>IF(ISNUMBER(SEARCH("Eletricista",tabParametros[[#This Row],[Função]],1)),0.3*tabParametros[[#This Row],[Salário Base]],0)</f>
        <v>0</v>
      </c>
      <c r="K252" s="234">
        <f>IF(OR(ISNUMBER(SEARCH("Bombeiro Hidraulico",tabParametros[[#This Row],[Função]],1)),ISNUMBER(SEARCH("Jardineiro",tabParametros[[#This Row],[Função]],1)),ISNUMBER(SEARCH("Lavador de Veiculos",tabParametros[[#This Row],[Função]],1)),ISNUMBER(SEARCH("Marceneiro",tabParametros[[#This Row],[Função]],1)),ISNUMBER(SEARCH("Pintor",tabParametros[[#This Row],[Função]],1))),0.2*'BASE GERAL'!$R$4,0)</f>
        <v>0</v>
      </c>
      <c r="L252" s="234">
        <f>IF(AND(ISNUMBER(SEARCH("Noturno",tabParametros[[#This Row],[Função]],1)),tabParametros[[#This Row],[Comarca]]&lt;&gt;"Juiz de Fora"),tabParametros[[#This Row],[Salário Base]]/210*0.39*7*15.5,IF(ISNUMBER(SEARCH("Noturno",tabParametros[[#This Row],[Função]],1)),tabParametros[[#This Row],[Salário Base]]/210*0.2*8*15.5,0))</f>
        <v>0</v>
      </c>
      <c r="M252" s="234">
        <f>IF(ISNUMBER(SEARCH("Motorista II",tabParametros[[#This Row],[Função]],1)),0.25*tabParametros[[#This Row],[Salário Base]],0)</f>
        <v>0</v>
      </c>
      <c r="N252" s="250">
        <v>0</v>
      </c>
      <c r="O252" s="234">
        <f>IF(ISNUMBER(SEARCH("TECNOLOGIA DA INFORMACAO",tabParametros[[#This Row],[Função]],1)),0.0201*tabParametros[[#This Row],[Salário Base]],0)</f>
        <v>0</v>
      </c>
      <c r="P252" s="250" cm="1">
        <f t="array" ref="P252">_xlfn.IFS(
ISNUMBER(SEARCH("Auxiliar de Limpeza - 75 h",tabParametros[[#This Row],[Função]],1)),tabParametros[[#This Row],[Salário Base]]/75*0.75*30*0.12,
ISNUMBER(SEARCH("Auxiliar de Limpeza - 110 h",tabParametros[[#This Row],[Função]],1)),tabParametros[[#This Row],[Salário Base]]/110*1*30*0.12,
ISNUMBER(SEARCH("Auxiliar de Limpeza - 150 h",tabParametros[[#This Row],[Função]],1)),tabParametros[[#This Row],[Salário Base]]/150*1.5*30*0.12,
ISNUMBER(SEARCH("Auxiliar de Limpeza - 220 h",tabParametros[[#This Row],[Função]],1)),tabParametros[[#This Row],[Salário Base]]/220*2*30*0.12,
ISNUMBER(SEARCH("Auxiliar de Limpeza - 12 x 36",tabParametros[[#This Row],[Função]],1)),tabParametros[[#This Row],[Salário Base]]/220*2*30*0.12,
ISNUMBER(SEARCH("Auxiliar de Limpeza - 55 h",tabParametros[[#This Row],[Função]],1))=FALSE,0)</f>
        <v>26.120945454545453</v>
      </c>
      <c r="Q252" s="235">
        <f>VLOOKUP(tabParametros[[#Headers],[INSS]],tabImpostosNacionais[],2,0)</f>
        <v>0.2</v>
      </c>
      <c r="R252" s="235">
        <f>VLOOKUP(tabParametros[[#Headers],[SESI OU SESC]],tabImpostosNacionais[],2,0)</f>
        <v>1.4999999999999999E-2</v>
      </c>
      <c r="S252" s="235">
        <f>VLOOKUP(tabParametros[[#Headers],[SENAI OU SENAC]],tabImpostosNacionais[],2,0)</f>
        <v>0.01</v>
      </c>
      <c r="T252" s="235">
        <f>VLOOKUP(tabParametros[[#Headers],[INCRA]],tabImpostosNacionais[],2,0)</f>
        <v>2E-3</v>
      </c>
      <c r="U252" s="235">
        <f>VLOOKUP(tabParametros[[#Headers],[Salário Educação]],tabImpostosNacionais[],2,0)</f>
        <v>2.5000000000000001E-2</v>
      </c>
      <c r="V252" s="235">
        <f>VLOOKUP(tabParametros[[#Headers],[FGTS]],tabImpostosNacionais[],2,0)</f>
        <v>0.08</v>
      </c>
      <c r="W252" s="235">
        <f>VLOOKUP(tabParametros[[#Headers],[RAT Ajustado]],tabImpostosNacionais[],2,0)</f>
        <v>0.04</v>
      </c>
      <c r="X252" s="235">
        <f>VLOOKUP(tabParametros[[#Headers],[SEBRAE]],tabImpostosNacionais[],2,0)</f>
        <v>6.0000000000000001E-3</v>
      </c>
      <c r="Y252" s="235">
        <f t="shared" si="33"/>
        <v>8.3333333333333329E-2</v>
      </c>
      <c r="Z252" s="251">
        <f t="shared" si="34"/>
        <v>0.1111111111111111</v>
      </c>
      <c r="AA252" s="234">
        <f>VLOOKUP(tabParametros[[#This Row],[Comarca]],tabComarca[],5,0)</f>
        <v>6.4</v>
      </c>
      <c r="AB252" s="234">
        <f>IFERROR(VLOOKUP(tabParametros[[#This Row],[CCT DA CATEGORIA]],tabSindicatos[],6,0),0)</f>
        <v>29.15</v>
      </c>
      <c r="AC252" s="234">
        <f>IFERROR(VLOOKUP(tabParametros[[#This Row],[CCT DA CATEGORIA]],tabSindicatos[],7,0),0)</f>
        <v>0</v>
      </c>
      <c r="AD252" s="234" cm="1">
        <f t="array" ref="AD252">_xlfn.LET(
_xlpm.COMARCA, TRIM(UPPER(SUBSTITUTE(SUBSTITUTE(SUBSTITUTE(SUBSTITUTE(SUBSTITUTE(SUBSTITUTE(SUBSTITUTE(SUBSTITUTE(SUBSTITUTE(SUBSTITUTE(SUBSTITUTE(SUBSTITUTE(SUBSTITUTE(SUBSTITUTE(SUBSTITUTE(SUBSTITUTE(SUBSTITUTE(SUBSTITUTE(SUBSTITUTE(SUBSTITUTE(SUBSTITUTE(SUBSTITUTE(SUBSTITUTE(SUBSTITUTE(SUBSTITUTE(SUBSTITUTE(tabParametros[[#This Row],[Comarca]],"á","a"),"ã","a"),"â","a"),"é","e"),"ê","e"),"í","i"),"ó","o"),"õ","o"),"ô","o"),"ú","u"),"ç","c"),"Á","a"),"Ã","a"),"Â","a"),"É","e"),"Ê","e"),"Í","i"),"Ó","o"),"Õ","o"),"Ô","o"),"Ú","u"),"Ç","c"),"/MG","")," e ",", ")," ",""),".",""))),
_xlpm.MATRIZ_COMARCA, TRIM(UPPER(SUBSTITUTE(SUBSTITUTE(SUBSTITUTE(SUBSTITUTE(SUBSTITUTE(SUBSTITUTE(SUBSTITUTE(SUBSTITUTE(SUBSTITUTE(SUBSTITUTE(SUBSTITUTE(SUBSTITUTE(SUBSTITUTE(SUBSTITUTE(SUBSTITUTE(SUBSTITUTE(SUBSTITUTE(SUBSTITUTE(SUBSTITUTE(SUBSTITUTE(SUBSTITUTE(SUBSTITUTE(SUBSTITUTE(SUBSTITUTE(SUBSTITUTE(SUBSTITUTE(tabSindicatos[COMARCAS PAF],"á","a"),"ã","a"),"â","a"),"é","e"),"ê","e"),"í","i"),"ó","o"),"õ","o"),"ô","o"),"ú","u"),"ç","c"),"Á","a"),"Ã","a"),"Â","a"),"É","e"),"Ê","e"),"Í","i"),"Ó","o"),"Õ","o"),"Ô","o"),"Ú","u"),"Ç","c"),"/MG","")," e ",", ")," ",""),".",""))),
IFERROR(IF(_xlfn.XLOOKUP(tabParametros[[#This Row],[CCT DA CATEGORIA]],tabSindicatos[SINDICATOS],tabSindicatos[COMARCAS PAF])="",
VLOOKUP(tabParametros[[#This Row],[CCT DA CATEGORIA]],tabSindicatos[],8,0),
IF(ISNUMBER(SEARCH(TRIM(_xlpm.COMARCA),_xlfn.XLOOKUP(tabParametros[[#This Row],[CCT DA CATEGORIA]],tabSindicatos[SINDICATOS],_xlpm.MATRIZ_COMARCA),1)),VLOOKUP(tabParametros[[#This Row],[CCT DA CATEGORIA]],tabSindicatos[],8,0),0)
),0)
)</f>
        <v>0</v>
      </c>
      <c r="AE252" s="234">
        <f>IFERROR(VLOOKUP(tabParametros[[#This Row],[CCT DA CATEGORIA]],tabSindicatos[],9,0),0)</f>
        <v>0</v>
      </c>
      <c r="AF252" s="234">
        <f>IFERROR(VLOOKUP(tabParametros[[#This Row],[CCT DA CATEGORIA]],tabSindicatos[],10,0),0)</f>
        <v>0</v>
      </c>
      <c r="AG252" s="236">
        <f>VLOOKUP(tabParametros[[#Headers],[Seguro de Vida]],tabOutrosCustos[],3,0)</f>
        <v>3.36</v>
      </c>
      <c r="AH252" s="236">
        <f>IF(ISNUMBER(SEARCH("MOTORISTA",tabParametros[[#This Row],[Função]],1)),VLOOKUP("MOTORISTAS",tabDiarias[],2,0),IF(tabParametros[[#This Row],[Comarca]]="Belo Horizonte",VLOOKUP("LIMPEZA",tabDiarias[],2,0),0))</f>
        <v>0</v>
      </c>
      <c r="AI252" s="235">
        <f t="shared" si="35"/>
        <v>7.011766975308642E-3</v>
      </c>
      <c r="AJ252" s="237">
        <f>tabParametros[[#This Row],[FGTS]]*tabParametros[[#This Row],[Aviso Prévio Indenizado (API) e Reflexo do Aviso Prévio Indenizado]]</f>
        <v>5.609413580246914E-4</v>
      </c>
      <c r="AK252" s="237">
        <f>tabParametros[[#This Row],[FGTS]]*tabParametros[[#This Row],[Aviso Prévio Indenizado (API) e Reflexo do Aviso Prévio Indenizado]]*40%</f>
        <v>2.2437654320987658E-4</v>
      </c>
      <c r="AL252" s="235">
        <f t="shared" si="36"/>
        <v>3.5000000000000005E-3</v>
      </c>
      <c r="AM252" s="235">
        <f>tabParametros[[#This Row],[Aviso Prévio Trabalhado - APT]]*SUM(tabParametros[[#This Row],[INSS]:[SEBRAE]])</f>
        <v>1.3230000000000004E-3</v>
      </c>
      <c r="AN252" s="235">
        <f t="shared" si="37"/>
        <v>3.0577777777777773E-2</v>
      </c>
      <c r="AO252" s="235">
        <f t="shared" si="38"/>
        <v>8.3333333333333339E-4</v>
      </c>
      <c r="AP252" s="235">
        <f t="shared" si="39"/>
        <v>8.4444444444444437E-3</v>
      </c>
      <c r="AQ252" s="235">
        <f t="shared" si="40"/>
        <v>2.0277777777777777E-3</v>
      </c>
      <c r="AR252" s="235">
        <f t="shared" si="41"/>
        <v>1.7083333333333333E-4</v>
      </c>
      <c r="AS252" s="235">
        <f t="shared" si="42"/>
        <v>2.0833333333333335E-4</v>
      </c>
      <c r="AT252" s="235">
        <f t="shared" si="43"/>
        <v>1.2962962962962963E-3</v>
      </c>
      <c r="AU252" s="237">
        <f>SUM(tabParametros[[#This Row],[Ausência por Doença]:[Férias, Adicional de Férias e 13º  com empregada em gozo de Licença Maternidade]])*SUM(tabParametros[[#This Row],[INSS]:[SEBRAE]])</f>
        <v>4.5918250000000008E-3</v>
      </c>
      <c r="AV252" s="234">
        <f>IF(tabParametros[[#This Row],[Função]]="Porteiro - 220 h",SUM(tabParametros[[#This Row],[Salário Base]:[Adicional de Acúmulo de função]])/220*20*1.5,IF(ISNUMBER(SEARCH("12 x 36",tabParametros[[#This Row],[Função]],1)),SUM(tabParametros[[#This Row],[Salário Base]:[Adicional de Acúmulo de função]])/210*15.5*1.5,0))</f>
        <v>0</v>
      </c>
      <c r="AW252" s="234">
        <f>IF(tabParametros[[#This Row],[Vagas contratadas]]&gt;0,(SUM(tabParametros[[#This Row],[Salário Base]:[Adicional de Acúmulo de função]])*30%+SUM(tabParametros[[#This Row],[Vale - Alimentação]:[Seguro de Vida]]))/tabParametros[[#This Row],[Vagas contratadas]]*tabParametros[[#This Row],[Vagas suspensas]],0)</f>
        <v>0</v>
      </c>
      <c r="AX252" s="234">
        <f>SUMIF(tabUniformes[Cargo],tabParametros[[#This Row],[Função]],tabUniformes[Valor unit. Mensal])</f>
        <v>62.806666666666665</v>
      </c>
      <c r="AY252" s="281">
        <f>IF(ISNUMBER(SEARCH("AUXILIAR DE LIMPEZA - 75 H",tabParametros[[#This Row],[Função]],1)),
SUMIF(tabLimpGeral[TIPO],"Material",tabLimpGeral[VALOR UNITÁRIO P/ HORA (R$)])*75,
IF(ISNUMBER(SEARCH("AUXILIAR DE LIMPEZA - 110 H",tabParametros[[#This Row],[Função]],1)),
SUMIF(tabLimpGeral[TIPO],"Material",tabLimpGeral[VALOR UNITÁRIO P/ HORA (R$)])*110,
IF(ISNUMBER(SEARCH("AUXILIAR DE LIMPEZA - 150 H",tabParametros[[#This Row],[Função]],1)),
SUMIF(tabLimpGeral[TIPO],"Material",tabLimpGeral[VALOR UNITÁRIO P/ HORA (R$)])*150,
IF(ISNUMBER(SEARCH("AUXILIAR DE LIMPEZA - 220 H",tabParametros[[#This Row],[Função]],1)),
SUMIF(tabLimpGeral[TIPO],"Material",tabLimpGeral[VALOR UNITÁRIO P/ HORA (R$)])*220,
IF(ISNUMBER(SEARCH("AUXILIAR DE LIMPEZA - 12 x 36",tabParametros[[#This Row],[Função]],1)),
SUMIF(tabLimpGeral[TIPO],"Material",tabLimpGeral[VALOR UNITÁRIO P/ HORA (R$)])*220,
IF(ISNUMBER(SEARCH("Limpador de vidros - 220 h",tabParametros[[#This Row],[Função]],1)),
SUMIF(tabVidros[TIPO],"Material",tabVidros[VALOR UNITÁRIO P/ POSTO (R$)]),
0))))))</f>
        <v>17.759106479291944</v>
      </c>
      <c r="AZ252" s="281">
        <f>IF(ISNUMBER(SEARCH("AUXILIAR DE LIMPEZA - 75 H",tabParametros[[#This Row],[Função]],1)),
SUMIF(tabLimpGeral[TIPO],"Equipamento",tabLimpGeral[VALOR UNITÁRIO P/ HORA (R$)])*75,
IF(ISNUMBER(SEARCH("AUXILIAR DE LIMPEZA - 110 H",tabParametros[[#This Row],[Função]],1)),
SUMIF(tabLimpGeral[TIPO],"Equipamento",tabLimpGeral[VALOR UNITÁRIO P/ HORA (R$)])*110,
IF(ISNUMBER(SEARCH("AUXILIAR DE LIMPEZA - 150 H",tabParametros[[#This Row],[Função]],1)),
SUMIF(tabLimpGeral[TIPO],"Equipamento",tabLimpGeral[VALOR UNITÁRIO P/ HORA (R$)])*150,
IF(ISNUMBER(SEARCH("AUXILIAR DE LIMPEZA - 220 H",tabParametros[[#This Row],[Função]],1)),
SUMIF(tabLimpGeral[TIPO],"Equipamento",tabLimpGeral[VALOR UNITÁRIO P/ HORA (R$)])*220,
IF(ISNUMBER(SEARCH("AUXILIAR DE LIMPEZA - 12 x 36",tabParametros[[#This Row],[Função]],1)),
SUMIF(tabLimpGeral[TIPO],"Equipamento",tabLimpGeral[VALOR UNITÁRIO P/ HORA (R$)])*220,
IF(ISNUMBER(SEARCH("Limpador de vidros - 220 h",tabParametros[[#This Row],[Função]],1)),
SUMIF(tabVidros[TIPO],"Equipamento",tabVidros[VALOR UNITÁRIO P/ POSTO (R$)]),
0))))))</f>
        <v>32.264696957412788</v>
      </c>
      <c r="BA252" s="281">
        <f>IF(ISNUMBER(SEARCH("AUXILIAR DE LIMPEZA - 75 H",tabParametros[[#This Row],[Função]],1)),
SUMIF(tabLimpGeral[TIPO],"Produto",tabLimpGeral[VALOR UNITÁRIO P/ HORA (R$)])*75,
IF(ISNUMBER(SEARCH("AUXILIAR DE LIMPEZA - 110 H",tabParametros[[#This Row],[Função]],1)),
SUMIF(tabLimpGeral[TIPO],"Produto",tabLimpGeral[VALOR UNITÁRIO P/ HORA (R$)])*110,
IF(ISNUMBER(SEARCH("AUXILIAR DE LIMPEZA - 150 H",tabParametros[[#This Row],[Função]],1)),
SUMIF(tabLimpGeral[TIPO],"Produto",tabLimpGeral[VALOR UNITÁRIO P/ HORA (R$)])*150,
IF(ISNUMBER(SEARCH("AUXILIAR DE LIMPEZA - 220 H",tabParametros[[#This Row],[Função]],1)),
SUMIF(tabLimpGeral[TIPO],"Produto",tabLimpGeral[VALOR UNITÁRIO P/ HORA (R$)])*220,
IF(ISNUMBER(SEARCH("AUXILIAR DE LIMPEZA - 12 x 36",tabParametros[[#This Row],[Função]],1)),
SUMIF(tabLimpGeral[TIPO],"Produto",tabLimpGeral[VALOR UNITÁRIO P/ HORA (R$)])*220,
IF(ISNUMBER(SEARCH("Limpador de vidros - 220 h",tabParametros[[#This Row],[Função]],1)),
SUMIF(tabVidros[TIPO],"Produto",tabVidros[VALOR UNITÁRIO P/ POSTO (R$)]),
0))))))</f>
        <v>345.13576638965827</v>
      </c>
      <c r="BB252" s="281">
        <v>0</v>
      </c>
      <c r="BC252" s="236">
        <f>VLOOKUP(tabParametros[[#Headers],[Custos Indiretos]],tabOutrosCustos[],3,0)</f>
        <v>189.64880140242613</v>
      </c>
      <c r="BD252" s="236">
        <f>VLOOKUP(tabParametros[[#Headers],[Lucro]],tabOutrosCustos[],3,0)</f>
        <v>159.30499317803796</v>
      </c>
      <c r="BE252" s="235">
        <f>VLOOKUP(tabParametros[[#Headers],[COFINS]],tabImpostosNacionais[],2,0)</f>
        <v>7.5999999999999998E-2</v>
      </c>
      <c r="BF252" s="235">
        <f>VLOOKUP(tabParametros[[#Headers],[PIS]],tabImpostosNacionais[],2,0)</f>
        <v>1.6500000000000001E-2</v>
      </c>
      <c r="BG252" s="235">
        <f>VLOOKUP(tabParametros[[#This Row],[Comarca]],tabComarca[],4,0)</f>
        <v>0.05</v>
      </c>
      <c r="BH252" s="238">
        <f>IFERROR(VLOOKUP(tabParametros[[#This Row],[CCT DA CATEGORIA]],tabSindicatos[],11,0),"")</f>
        <v>45658</v>
      </c>
      <c r="BI252" s="289" t="str">
        <f>IFERROR(VLOOKUP(tabParametros[[#This Row],[CCT DA CATEGORIA]],tabSindicatos[],12,0),"")</f>
        <v>-</v>
      </c>
      <c r="BJ252" s="293" t="str">
        <f>IFERROR(VLOOKUP(tabParametros[[#This Row],[CCT DA CATEGORIA]],tabSindicatos[],13,0),"")</f>
        <v>-</v>
      </c>
    </row>
    <row r="253" spans="1:62" x14ac:dyDescent="0.25">
      <c r="A253" s="233" t="s">
        <v>1588</v>
      </c>
      <c r="B253" s="198" t="s">
        <v>226</v>
      </c>
      <c r="C253" s="198" t="s">
        <v>1245</v>
      </c>
      <c r="D253" s="198" t="str">
        <f>VLOOKUP(tabParametros[[#This Row],[Código do Posto]],tabPostos[],4,0)</f>
        <v>Vespasiano</v>
      </c>
      <c r="E253" s="289" t="str">
        <f>VLOOKUP(tabParametros[[#This Row],[Código do Posto]],tabPostos[],5,0)</f>
        <v>Limpeza</v>
      </c>
      <c r="F253" s="289" t="str">
        <f>VLOOKUP(tabParametros[[#This Row],[Código do Posto]],tabPostos[],6,0)</f>
        <v>PGJ</v>
      </c>
      <c r="G253" s="289">
        <f>VLOOKUP(tabParametros[[#This Row],[Código do Posto]],tabPostos[],7,0)</f>
        <v>1</v>
      </c>
      <c r="H253" s="289">
        <f>VLOOKUP(tabParametros[[#This Row],[Código do Posto]],tabPostos[],8,0)</f>
        <v>0</v>
      </c>
      <c r="I253" s="234">
        <f>VLOOKUP(tabParametros[[#This Row],[Código do Posto]],tabPostos[],9,0)</f>
        <v>1649.12</v>
      </c>
      <c r="J253" s="234">
        <f>IF(ISNUMBER(SEARCH("Eletricista",tabParametros[[#This Row],[Função]],1)),0.3*tabParametros[[#This Row],[Salário Base]],0)</f>
        <v>0</v>
      </c>
      <c r="K253" s="234">
        <f>IF(OR(ISNUMBER(SEARCH("Bombeiro Hidraulico",tabParametros[[#This Row],[Função]],1)),ISNUMBER(SEARCH("Jardineiro",tabParametros[[#This Row],[Função]],1)),ISNUMBER(SEARCH("Lavador de Veiculos",tabParametros[[#This Row],[Função]],1)),ISNUMBER(SEARCH("Marceneiro",tabParametros[[#This Row],[Função]],1)),ISNUMBER(SEARCH("Pintor",tabParametros[[#This Row],[Função]],1))),0.2*'BASE GERAL'!$R$4,0)</f>
        <v>0</v>
      </c>
      <c r="L253" s="234">
        <f>IF(AND(ISNUMBER(SEARCH("Noturno",tabParametros[[#This Row],[Função]],1)),tabParametros[[#This Row],[Comarca]]&lt;&gt;"Juiz de Fora"),tabParametros[[#This Row],[Salário Base]]/210*0.39*7*15.5,IF(ISNUMBER(SEARCH("Noturno",tabParametros[[#This Row],[Função]],1)),tabParametros[[#This Row],[Salário Base]]/210*0.2*8*15.5,0))</f>
        <v>0</v>
      </c>
      <c r="M253" s="234">
        <f>IF(ISNUMBER(SEARCH("Motorista II",tabParametros[[#This Row],[Função]],1)),0.25*tabParametros[[#This Row],[Salário Base]],0)</f>
        <v>0</v>
      </c>
      <c r="N253" s="250"/>
      <c r="O253" s="234">
        <f>IF(ISNUMBER(SEARCH("TECNOLOGIA DA INFORMACAO",tabParametros[[#This Row],[Função]],1)),0.0201*tabParametros[[#This Row],[Salário Base]],0)</f>
        <v>0</v>
      </c>
      <c r="P253" s="250" cm="1">
        <f t="array" ref="P253">_xlfn.IFS(
ISNUMBER(SEARCH("Auxiliar de Limpeza - 75 h",tabParametros[[#This Row],[Função]],1)),tabParametros[[#This Row],[Salário Base]]/75*0.75*30*0.12,
ISNUMBER(SEARCH("Auxiliar de Limpeza - 110 h",tabParametros[[#This Row],[Função]],1)),tabParametros[[#This Row],[Salário Base]]/110*1*30*0.12,
ISNUMBER(SEARCH("Auxiliar de Limpeza - 150 h",tabParametros[[#This Row],[Função]],1)),tabParametros[[#This Row],[Salário Base]]/150*1.5*30*0.12,
ISNUMBER(SEARCH("Auxiliar de Limpeza - 220 h",tabParametros[[#This Row],[Função]],1)),tabParametros[[#This Row],[Salário Base]]/220*2*30*0.12,
ISNUMBER(SEARCH("Auxiliar de Limpeza - 12 x 36",tabParametros[[#This Row],[Função]],1)),tabParametros[[#This Row],[Salário Base]]/220*2*30*0.12,
ISNUMBER(SEARCH("Auxiliar de Limpeza - 55 h",tabParametros[[#This Row],[Função]],1))=FALSE,0)</f>
        <v>53.971199999999996</v>
      </c>
      <c r="Q253" s="235">
        <f>VLOOKUP(tabParametros[[#Headers],[INSS]],tabImpostosNacionais[],2,0)</f>
        <v>0.2</v>
      </c>
      <c r="R253" s="235">
        <f>VLOOKUP(tabParametros[[#Headers],[SESI OU SESC]],tabImpostosNacionais[],2,0)</f>
        <v>1.4999999999999999E-2</v>
      </c>
      <c r="S253" s="235">
        <f>VLOOKUP(tabParametros[[#Headers],[SENAI OU SENAC]],tabImpostosNacionais[],2,0)</f>
        <v>0.01</v>
      </c>
      <c r="T253" s="235">
        <f>VLOOKUP(tabParametros[[#Headers],[INCRA]],tabImpostosNacionais[],2,0)</f>
        <v>2E-3</v>
      </c>
      <c r="U253" s="235">
        <f>VLOOKUP(tabParametros[[#Headers],[Salário Educação]],tabImpostosNacionais[],2,0)</f>
        <v>2.5000000000000001E-2</v>
      </c>
      <c r="V253" s="235">
        <f>VLOOKUP(tabParametros[[#Headers],[FGTS]],tabImpostosNacionais[],2,0)</f>
        <v>0.08</v>
      </c>
      <c r="W253" s="235">
        <f>VLOOKUP(tabParametros[[#Headers],[RAT Ajustado]],tabImpostosNacionais[],2,0)</f>
        <v>0.04</v>
      </c>
      <c r="X253" s="235">
        <f>VLOOKUP(tabParametros[[#Headers],[SEBRAE]],tabImpostosNacionais[],2,0)</f>
        <v>6.0000000000000001E-3</v>
      </c>
      <c r="Y253" s="235">
        <f t="shared" si="33"/>
        <v>8.3333333333333329E-2</v>
      </c>
      <c r="Z253" s="251">
        <f t="shared" si="34"/>
        <v>0.1111111111111111</v>
      </c>
      <c r="AA253" s="234">
        <f>VLOOKUP(tabParametros[[#This Row],[Comarca]],tabComarca[],5,0)</f>
        <v>6.4</v>
      </c>
      <c r="AB253" s="234">
        <f>IFERROR(VLOOKUP(tabParametros[[#This Row],[CCT DA CATEGORIA]],tabSindicatos[],6,0),0)</f>
        <v>29.15</v>
      </c>
      <c r="AC253" s="234">
        <f>IFERROR(VLOOKUP(tabParametros[[#This Row],[CCT DA CATEGORIA]],tabSindicatos[],7,0),0)</f>
        <v>0</v>
      </c>
      <c r="AD253" s="234" cm="1">
        <f t="array" ref="AD253">_xlfn.LET(
_xlpm.COMARCA, TRIM(UPPER(SUBSTITUTE(SUBSTITUTE(SUBSTITUTE(SUBSTITUTE(SUBSTITUTE(SUBSTITUTE(SUBSTITUTE(SUBSTITUTE(SUBSTITUTE(SUBSTITUTE(SUBSTITUTE(SUBSTITUTE(SUBSTITUTE(SUBSTITUTE(SUBSTITUTE(SUBSTITUTE(SUBSTITUTE(SUBSTITUTE(SUBSTITUTE(SUBSTITUTE(SUBSTITUTE(SUBSTITUTE(SUBSTITUTE(SUBSTITUTE(SUBSTITUTE(SUBSTITUTE(tabParametros[[#This Row],[Comarca]],"á","a"),"ã","a"),"â","a"),"é","e"),"ê","e"),"í","i"),"ó","o"),"õ","o"),"ô","o"),"ú","u"),"ç","c"),"Á","a"),"Ã","a"),"Â","a"),"É","e"),"Ê","e"),"Í","i"),"Ó","o"),"Õ","o"),"Ô","o"),"Ú","u"),"Ç","c"),"/MG","")," e ",", ")," ",""),".",""))),
_xlpm.MATRIZ_COMARCA, TRIM(UPPER(SUBSTITUTE(SUBSTITUTE(SUBSTITUTE(SUBSTITUTE(SUBSTITUTE(SUBSTITUTE(SUBSTITUTE(SUBSTITUTE(SUBSTITUTE(SUBSTITUTE(SUBSTITUTE(SUBSTITUTE(SUBSTITUTE(SUBSTITUTE(SUBSTITUTE(SUBSTITUTE(SUBSTITUTE(SUBSTITUTE(SUBSTITUTE(SUBSTITUTE(SUBSTITUTE(SUBSTITUTE(SUBSTITUTE(SUBSTITUTE(SUBSTITUTE(SUBSTITUTE(tabSindicatos[COMARCAS PAF],"á","a"),"ã","a"),"â","a"),"é","e"),"ê","e"),"í","i"),"ó","o"),"õ","o"),"ô","o"),"ú","u"),"ç","c"),"Á","a"),"Ã","a"),"Â","a"),"É","e"),"Ê","e"),"Í","i"),"Ó","o"),"Õ","o"),"Ô","o"),"Ú","u"),"Ç","c"),"/MG","")," e ",", ")," ",""),".",""))),
IFERROR(IF(_xlfn.XLOOKUP(tabParametros[[#This Row],[CCT DA CATEGORIA]],tabSindicatos[SINDICATOS],tabSindicatos[COMARCAS PAF])="",
VLOOKUP(tabParametros[[#This Row],[CCT DA CATEGORIA]],tabSindicatos[],8,0),
IF(ISNUMBER(SEARCH(TRIM(_xlpm.COMARCA),_xlfn.XLOOKUP(tabParametros[[#This Row],[CCT DA CATEGORIA]],tabSindicatos[SINDICATOS],_xlpm.MATRIZ_COMARCA),1)),VLOOKUP(tabParametros[[#This Row],[CCT DA CATEGORIA]],tabSindicatos[],8,0),0)
),0)
)</f>
        <v>0</v>
      </c>
      <c r="AE253" s="234">
        <f>IFERROR(VLOOKUP(tabParametros[[#This Row],[CCT DA CATEGORIA]],tabSindicatos[],9,0),0)</f>
        <v>0</v>
      </c>
      <c r="AF253" s="234">
        <f>IFERROR(VLOOKUP(tabParametros[[#This Row],[CCT DA CATEGORIA]],tabSindicatos[],10,0),0)</f>
        <v>0</v>
      </c>
      <c r="AG253" s="236">
        <f>VLOOKUP(tabParametros[[#Headers],[Seguro de Vida]],tabOutrosCustos[],3,0)</f>
        <v>3.36</v>
      </c>
      <c r="AH253" s="236">
        <f>IF(ISNUMBER(SEARCH("MOTORISTA",tabParametros[[#This Row],[Função]],1)),VLOOKUP("MOTORISTAS",tabDiarias[],2,0),IF(tabParametros[[#This Row],[Comarca]]="Belo Horizonte",VLOOKUP("LIMPEZA",tabDiarias[],2,0),0))</f>
        <v>0</v>
      </c>
      <c r="AI253" s="235">
        <f t="shared" si="35"/>
        <v>7.011766975308642E-3</v>
      </c>
      <c r="AJ253" s="237">
        <f>tabParametros[[#This Row],[FGTS]]*tabParametros[[#This Row],[Aviso Prévio Indenizado (API) e Reflexo do Aviso Prévio Indenizado]]</f>
        <v>5.609413580246914E-4</v>
      </c>
      <c r="AK253" s="237">
        <f>tabParametros[[#This Row],[FGTS]]*tabParametros[[#This Row],[Aviso Prévio Indenizado (API) e Reflexo do Aviso Prévio Indenizado]]*40%</f>
        <v>2.2437654320987658E-4</v>
      </c>
      <c r="AL253" s="235">
        <f t="shared" si="36"/>
        <v>3.5000000000000005E-3</v>
      </c>
      <c r="AM253" s="235">
        <f>tabParametros[[#This Row],[Aviso Prévio Trabalhado - APT]]*SUM(tabParametros[[#This Row],[INSS]:[SEBRAE]])</f>
        <v>1.3230000000000004E-3</v>
      </c>
      <c r="AN253" s="235">
        <f t="shared" si="37"/>
        <v>3.0577777777777773E-2</v>
      </c>
      <c r="AO253" s="235">
        <f t="shared" si="38"/>
        <v>8.3333333333333339E-4</v>
      </c>
      <c r="AP253" s="235">
        <f t="shared" si="39"/>
        <v>8.4444444444444437E-3</v>
      </c>
      <c r="AQ253" s="235">
        <f t="shared" si="40"/>
        <v>2.0277777777777777E-3</v>
      </c>
      <c r="AR253" s="235">
        <f t="shared" si="41"/>
        <v>1.7083333333333333E-4</v>
      </c>
      <c r="AS253" s="235">
        <f t="shared" si="42"/>
        <v>2.0833333333333335E-4</v>
      </c>
      <c r="AT253" s="235">
        <f t="shared" si="43"/>
        <v>1.2962962962962963E-3</v>
      </c>
      <c r="AU253" s="237">
        <f>SUM(tabParametros[[#This Row],[Ausência por Doença]:[Férias, Adicional de Férias e 13º  com empregada em gozo de Licença Maternidade]])*SUM(tabParametros[[#This Row],[INSS]:[SEBRAE]])</f>
        <v>4.5918250000000008E-3</v>
      </c>
      <c r="AV253" s="234">
        <f>IF(tabParametros[[#This Row],[Função]]="Porteiro - 220 h",SUM(tabParametros[[#This Row],[Salário Base]:[Adicional de Acúmulo de função]])/220*20*1.5,IF(ISNUMBER(SEARCH("12 x 36",tabParametros[[#This Row],[Função]],1)),SUM(tabParametros[[#This Row],[Salário Base]:[Adicional de Acúmulo de função]])/210*15.5*1.5,0))</f>
        <v>0</v>
      </c>
      <c r="AW253" s="234">
        <f>IF(tabParametros[[#This Row],[Vagas contratadas]]&gt;0,(SUM(tabParametros[[#This Row],[Salário Base]:[Adicional de Acúmulo de função]])*30%+SUM(tabParametros[[#This Row],[Vale - Alimentação]:[Seguro de Vida]]))/tabParametros[[#This Row],[Vagas contratadas]]*tabParametros[[#This Row],[Vagas suspensas]],0)</f>
        <v>0</v>
      </c>
      <c r="AX253" s="234">
        <f>SUMIF(tabUniformes[Cargo],tabParametros[[#This Row],[Função]],tabUniformes[Valor unit. Mensal])</f>
        <v>100.80916666666666</v>
      </c>
      <c r="AY253" s="281">
        <f>IF(ISNUMBER(SEARCH("AUXILIAR DE LIMPEZA - 75 H",tabParametros[[#This Row],[Função]],1)),
SUMIF(tabLimpGeral[TIPO],"Material",tabLimpGeral[VALOR UNITÁRIO P/ HORA (R$)])*75,
IF(ISNUMBER(SEARCH("AUXILIAR DE LIMPEZA - 110 H",tabParametros[[#This Row],[Função]],1)),
SUMIF(tabLimpGeral[TIPO],"Material",tabLimpGeral[VALOR UNITÁRIO P/ HORA (R$)])*110,
IF(ISNUMBER(SEARCH("AUXILIAR DE LIMPEZA - 150 H",tabParametros[[#This Row],[Função]],1)),
SUMIF(tabLimpGeral[TIPO],"Material",tabLimpGeral[VALOR UNITÁRIO P/ HORA (R$)])*150,
IF(ISNUMBER(SEARCH("AUXILIAR DE LIMPEZA - 220 H",tabParametros[[#This Row],[Função]],1)),
SUMIF(tabLimpGeral[TIPO],"Material",tabLimpGeral[VALOR UNITÁRIO P/ HORA (R$)])*220,
IF(ISNUMBER(SEARCH("AUXILIAR DE LIMPEZA - 12 x 36",tabParametros[[#This Row],[Função]],1)),
SUMIF(tabLimpGeral[TIPO],"Material",tabLimpGeral[VALOR UNITÁRIO P/ HORA (R$)])*220,
IF(ISNUMBER(SEARCH("Limpador de vidros - 220 h",tabParametros[[#This Row],[Função]],1)),
SUMIF(tabVidros[TIPO],"Material",tabVidros[VALOR UNITÁRIO P/ POSTO (R$)]),
0))))))</f>
        <v>35.518212958583888</v>
      </c>
      <c r="AZ253" s="281">
        <f>IF(ISNUMBER(SEARCH("AUXILIAR DE LIMPEZA - 75 H",tabParametros[[#This Row],[Função]],1)),
SUMIF(tabLimpGeral[TIPO],"Equipamento",tabLimpGeral[VALOR UNITÁRIO P/ HORA (R$)])*75,
IF(ISNUMBER(SEARCH("AUXILIAR DE LIMPEZA - 110 H",tabParametros[[#This Row],[Função]],1)),
SUMIF(tabLimpGeral[TIPO],"Equipamento",tabLimpGeral[VALOR UNITÁRIO P/ HORA (R$)])*110,
IF(ISNUMBER(SEARCH("AUXILIAR DE LIMPEZA - 150 H",tabParametros[[#This Row],[Função]],1)),
SUMIF(tabLimpGeral[TIPO],"Equipamento",tabLimpGeral[VALOR UNITÁRIO P/ HORA (R$)])*150,
IF(ISNUMBER(SEARCH("AUXILIAR DE LIMPEZA - 220 H",tabParametros[[#This Row],[Função]],1)),
SUMIF(tabLimpGeral[TIPO],"Equipamento",tabLimpGeral[VALOR UNITÁRIO P/ HORA (R$)])*220,
IF(ISNUMBER(SEARCH("AUXILIAR DE LIMPEZA - 12 x 36",tabParametros[[#This Row],[Função]],1)),
SUMIF(tabLimpGeral[TIPO],"Equipamento",tabLimpGeral[VALOR UNITÁRIO P/ HORA (R$)])*220,
IF(ISNUMBER(SEARCH("Limpador de vidros - 220 h",tabParametros[[#This Row],[Função]],1)),
SUMIF(tabVidros[TIPO],"Equipamento",tabVidros[VALOR UNITÁRIO P/ POSTO (R$)]),
0))))))</f>
        <v>64.529393914825576</v>
      </c>
      <c r="BA253" s="281">
        <f>IF(ISNUMBER(SEARCH("AUXILIAR DE LIMPEZA - 75 H",tabParametros[[#This Row],[Função]],1)),
SUMIF(tabLimpGeral[TIPO],"Produto",tabLimpGeral[VALOR UNITÁRIO P/ HORA (R$)])*75,
IF(ISNUMBER(SEARCH("AUXILIAR DE LIMPEZA - 110 H",tabParametros[[#This Row],[Função]],1)),
SUMIF(tabLimpGeral[TIPO],"Produto",tabLimpGeral[VALOR UNITÁRIO P/ HORA (R$)])*110,
IF(ISNUMBER(SEARCH("AUXILIAR DE LIMPEZA - 150 H",tabParametros[[#This Row],[Função]],1)),
SUMIF(tabLimpGeral[TIPO],"Produto",tabLimpGeral[VALOR UNITÁRIO P/ HORA (R$)])*150,
IF(ISNUMBER(SEARCH("AUXILIAR DE LIMPEZA - 220 H",tabParametros[[#This Row],[Função]],1)),
SUMIF(tabLimpGeral[TIPO],"Produto",tabLimpGeral[VALOR UNITÁRIO P/ HORA (R$)])*220,
IF(ISNUMBER(SEARCH("AUXILIAR DE LIMPEZA - 12 x 36",tabParametros[[#This Row],[Função]],1)),
SUMIF(tabLimpGeral[TIPO],"Produto",tabLimpGeral[VALOR UNITÁRIO P/ HORA (R$)])*220,
IF(ISNUMBER(SEARCH("Limpador de vidros - 220 h",tabParametros[[#This Row],[Função]],1)),
SUMIF(tabVidros[TIPO],"Produto",tabVidros[VALOR UNITÁRIO P/ POSTO (R$)]),
0))))))</f>
        <v>690.27153277931654</v>
      </c>
      <c r="BB253" s="281">
        <v>0</v>
      </c>
      <c r="BC253" s="236">
        <f>VLOOKUP(tabParametros[[#Headers],[Custos Indiretos]],tabOutrosCustos[],3,0)</f>
        <v>189.64880140242613</v>
      </c>
      <c r="BD253" s="236">
        <f>VLOOKUP(tabParametros[[#Headers],[Lucro]],tabOutrosCustos[],3,0)</f>
        <v>159.30499317803796</v>
      </c>
      <c r="BE253" s="235">
        <f>VLOOKUP(tabParametros[[#Headers],[COFINS]],tabImpostosNacionais[],2,0)</f>
        <v>7.5999999999999998E-2</v>
      </c>
      <c r="BF253" s="235">
        <f>VLOOKUP(tabParametros[[#Headers],[PIS]],tabImpostosNacionais[],2,0)</f>
        <v>1.6500000000000001E-2</v>
      </c>
      <c r="BG253" s="235">
        <f>VLOOKUP(tabParametros[[#This Row],[Comarca]],tabComarca[],4,0)</f>
        <v>0.03</v>
      </c>
      <c r="BH253" s="238">
        <f>IFERROR(VLOOKUP(tabParametros[[#This Row],[CCT DA CATEGORIA]],tabSindicatos[],11,0),"")</f>
        <v>45658</v>
      </c>
      <c r="BI253" s="289" t="str">
        <f>IFERROR(VLOOKUP(tabParametros[[#This Row],[CCT DA CATEGORIA]],tabSindicatos[],12,0),"")</f>
        <v>-</v>
      </c>
      <c r="BJ253" s="293" t="str">
        <f>IFERROR(VLOOKUP(tabParametros[[#This Row],[CCT DA CATEGORIA]],tabSindicatos[],13,0),"")</f>
        <v>-</v>
      </c>
    </row>
    <row r="254" spans="1:62" x14ac:dyDescent="0.25">
      <c r="A254" s="233" t="s">
        <v>1589</v>
      </c>
      <c r="B254" s="198" t="s">
        <v>227</v>
      </c>
      <c r="C254" s="198" t="s">
        <v>1245</v>
      </c>
      <c r="D254" s="198" t="str">
        <f>VLOOKUP(tabParametros[[#This Row],[Código do Posto]],tabPostos[],4,0)</f>
        <v>Vicosa e Regiao</v>
      </c>
      <c r="E254" s="289" t="str">
        <f>VLOOKUP(tabParametros[[#This Row],[Código do Posto]],tabPostos[],5,0)</f>
        <v>Limpeza</v>
      </c>
      <c r="F254" s="289" t="str">
        <f>VLOOKUP(tabParametros[[#This Row],[Código do Posto]],tabPostos[],6,0)</f>
        <v>PGJ</v>
      </c>
      <c r="G254" s="289">
        <f>VLOOKUP(tabParametros[[#This Row],[Código do Posto]],tabPostos[],7,0)</f>
        <v>1</v>
      </c>
      <c r="H254" s="289">
        <f>VLOOKUP(tabParametros[[#This Row],[Código do Posto]],tabPostos[],8,0)</f>
        <v>0</v>
      </c>
      <c r="I254" s="234">
        <f>VLOOKUP(tabParametros[[#This Row],[Código do Posto]],tabPostos[],9,0)</f>
        <v>1596.28</v>
      </c>
      <c r="J254" s="234">
        <f>IF(ISNUMBER(SEARCH("Eletricista",tabParametros[[#This Row],[Função]],1)),0.3*tabParametros[[#This Row],[Salário Base]],0)</f>
        <v>0</v>
      </c>
      <c r="K254" s="234">
        <f>IF(OR(ISNUMBER(SEARCH("Bombeiro Hidraulico",tabParametros[[#This Row],[Função]],1)),ISNUMBER(SEARCH("Jardineiro",tabParametros[[#This Row],[Função]],1)),ISNUMBER(SEARCH("Lavador de Veiculos",tabParametros[[#This Row],[Função]],1)),ISNUMBER(SEARCH("Marceneiro",tabParametros[[#This Row],[Função]],1)),ISNUMBER(SEARCH("Pintor",tabParametros[[#This Row],[Função]],1))),0.2*'BASE GERAL'!$R$4,0)</f>
        <v>0</v>
      </c>
      <c r="L254" s="234">
        <f>IF(AND(ISNUMBER(SEARCH("Noturno",tabParametros[[#This Row],[Função]],1)),tabParametros[[#This Row],[Comarca]]&lt;&gt;"Juiz de Fora"),tabParametros[[#This Row],[Salário Base]]/210*0.39*7*15.5,IF(ISNUMBER(SEARCH("Noturno",tabParametros[[#This Row],[Função]],1)),tabParametros[[#This Row],[Salário Base]]/210*0.2*8*15.5,0))</f>
        <v>0</v>
      </c>
      <c r="M254" s="234">
        <f>IF(ISNUMBER(SEARCH("Motorista II",tabParametros[[#This Row],[Função]],1)),0.25*tabParametros[[#This Row],[Salário Base]],0)</f>
        <v>0</v>
      </c>
      <c r="N254" s="272"/>
      <c r="O254" s="234">
        <f>IF(ISNUMBER(SEARCH("TECNOLOGIA DA INFORMACAO",tabParametros[[#This Row],[Função]],1)),0.0201*tabParametros[[#This Row],[Salário Base]],0)</f>
        <v>0</v>
      </c>
      <c r="P254" s="272" cm="1">
        <f t="array" ref="P254">_xlfn.IFS(
ISNUMBER(SEARCH("Auxiliar de Limpeza - 75 h",tabParametros[[#This Row],[Função]],1)),tabParametros[[#This Row],[Salário Base]]/75*0.75*30*0.12,
ISNUMBER(SEARCH("Auxiliar de Limpeza - 110 h",tabParametros[[#This Row],[Função]],1)),tabParametros[[#This Row],[Salário Base]]/110*1*30*0.12,
ISNUMBER(SEARCH("Auxiliar de Limpeza - 150 h",tabParametros[[#This Row],[Função]],1)),tabParametros[[#This Row],[Salário Base]]/150*1.5*30*0.12,
ISNUMBER(SEARCH("Auxiliar de Limpeza - 220 h",tabParametros[[#This Row],[Função]],1)),tabParametros[[#This Row],[Salário Base]]/220*2*30*0.12,
ISNUMBER(SEARCH("Auxiliar de Limpeza - 12 x 36",tabParametros[[#This Row],[Função]],1)),tabParametros[[#This Row],[Salário Base]]/220*2*30*0.12,
ISNUMBER(SEARCH("Auxiliar de Limpeza - 55 h",tabParametros[[#This Row],[Função]],1))=FALSE,0)</f>
        <v>52.241890909090905</v>
      </c>
      <c r="Q254" s="235">
        <f>VLOOKUP(tabParametros[[#Headers],[INSS]],tabImpostosNacionais[],2,0)</f>
        <v>0.2</v>
      </c>
      <c r="R254" s="235">
        <f>VLOOKUP(tabParametros[[#Headers],[SESI OU SESC]],tabImpostosNacionais[],2,0)</f>
        <v>1.4999999999999999E-2</v>
      </c>
      <c r="S254" s="235">
        <f>VLOOKUP(tabParametros[[#Headers],[SENAI OU SENAC]],tabImpostosNacionais[],2,0)</f>
        <v>0.01</v>
      </c>
      <c r="T254" s="235">
        <f>VLOOKUP(tabParametros[[#Headers],[INCRA]],tabImpostosNacionais[],2,0)</f>
        <v>2E-3</v>
      </c>
      <c r="U254" s="235">
        <f>VLOOKUP(tabParametros[[#Headers],[Salário Educação]],tabImpostosNacionais[],2,0)</f>
        <v>2.5000000000000001E-2</v>
      </c>
      <c r="V254" s="235">
        <f>VLOOKUP(tabParametros[[#Headers],[FGTS]],tabImpostosNacionais[],2,0)</f>
        <v>0.08</v>
      </c>
      <c r="W254" s="235">
        <f>VLOOKUP(tabParametros[[#Headers],[RAT Ajustado]],tabImpostosNacionais[],2,0)</f>
        <v>0.04</v>
      </c>
      <c r="X254" s="235">
        <f>VLOOKUP(tabParametros[[#Headers],[SEBRAE]],tabImpostosNacionais[],2,0)</f>
        <v>6.0000000000000001E-3</v>
      </c>
      <c r="Y254" s="235">
        <f t="shared" si="33"/>
        <v>8.3333333333333329E-2</v>
      </c>
      <c r="Z254" s="292">
        <f t="shared" si="34"/>
        <v>0.1111111111111111</v>
      </c>
      <c r="AA254" s="234">
        <f>VLOOKUP(tabParametros[[#This Row],[Comarca]],tabComarca[],5,0)</f>
        <v>6.4</v>
      </c>
      <c r="AB254" s="234">
        <f>IFERROR(VLOOKUP(tabParametros[[#This Row],[CCT DA CATEGORIA]],tabSindicatos[],6,0),0)</f>
        <v>29.15</v>
      </c>
      <c r="AC254" s="234">
        <f>IFERROR(VLOOKUP(tabParametros[[#This Row],[CCT DA CATEGORIA]],tabSindicatos[],7,0),0)</f>
        <v>0</v>
      </c>
      <c r="AD254" s="234" cm="1">
        <f t="array" ref="AD254">_xlfn.LET(
_xlpm.COMARCA, TRIM(UPPER(SUBSTITUTE(SUBSTITUTE(SUBSTITUTE(SUBSTITUTE(SUBSTITUTE(SUBSTITUTE(SUBSTITUTE(SUBSTITUTE(SUBSTITUTE(SUBSTITUTE(SUBSTITUTE(SUBSTITUTE(SUBSTITUTE(SUBSTITUTE(SUBSTITUTE(SUBSTITUTE(SUBSTITUTE(SUBSTITUTE(SUBSTITUTE(SUBSTITUTE(SUBSTITUTE(SUBSTITUTE(SUBSTITUTE(SUBSTITUTE(SUBSTITUTE(SUBSTITUTE(tabParametros[[#This Row],[Comarca]],"á","a"),"ã","a"),"â","a"),"é","e"),"ê","e"),"í","i"),"ó","o"),"õ","o"),"ô","o"),"ú","u"),"ç","c"),"Á","a"),"Ã","a"),"Â","a"),"É","e"),"Ê","e"),"Í","i"),"Ó","o"),"Õ","o"),"Ô","o"),"Ú","u"),"Ç","c"),"/MG","")," e ",", ")," ",""),".",""))),
_xlpm.MATRIZ_COMARCA, TRIM(UPPER(SUBSTITUTE(SUBSTITUTE(SUBSTITUTE(SUBSTITUTE(SUBSTITUTE(SUBSTITUTE(SUBSTITUTE(SUBSTITUTE(SUBSTITUTE(SUBSTITUTE(SUBSTITUTE(SUBSTITUTE(SUBSTITUTE(SUBSTITUTE(SUBSTITUTE(SUBSTITUTE(SUBSTITUTE(SUBSTITUTE(SUBSTITUTE(SUBSTITUTE(SUBSTITUTE(SUBSTITUTE(SUBSTITUTE(SUBSTITUTE(SUBSTITUTE(SUBSTITUTE(tabSindicatos[COMARCAS PAF],"á","a"),"ã","a"),"â","a"),"é","e"),"ê","e"),"í","i"),"ó","o"),"õ","o"),"ô","o"),"ú","u"),"ç","c"),"Á","a"),"Ã","a"),"Â","a"),"É","e"),"Ê","e"),"Í","i"),"Ó","o"),"Õ","o"),"Ô","o"),"Ú","u"),"Ç","c"),"/MG","")," e ",", ")," ",""),".",""))),
IFERROR(IF(_xlfn.XLOOKUP(tabParametros[[#This Row],[CCT DA CATEGORIA]],tabSindicatos[SINDICATOS],tabSindicatos[COMARCAS PAF])="",
VLOOKUP(tabParametros[[#This Row],[CCT DA CATEGORIA]],tabSindicatos[],8,0),
IF(ISNUMBER(SEARCH(TRIM(_xlpm.COMARCA),_xlfn.XLOOKUP(tabParametros[[#This Row],[CCT DA CATEGORIA]],tabSindicatos[SINDICATOS],_xlpm.MATRIZ_COMARCA),1)),VLOOKUP(tabParametros[[#This Row],[CCT DA CATEGORIA]],tabSindicatos[],8,0),0)
),0)
)</f>
        <v>51.86</v>
      </c>
      <c r="AE254" s="234">
        <f>IFERROR(VLOOKUP(tabParametros[[#This Row],[CCT DA CATEGORIA]],tabSindicatos[],9,0),0)</f>
        <v>0</v>
      </c>
      <c r="AF254" s="234">
        <f>IFERROR(VLOOKUP(tabParametros[[#This Row],[CCT DA CATEGORIA]],tabSindicatos[],10,0),0)</f>
        <v>0</v>
      </c>
      <c r="AG254" s="236">
        <f>VLOOKUP(tabParametros[[#Headers],[Seguro de Vida]],tabOutrosCustos[],3,0)</f>
        <v>3.36</v>
      </c>
      <c r="AH254" s="236">
        <f>IF(ISNUMBER(SEARCH("MOTORISTA",tabParametros[[#This Row],[Função]],1)),VLOOKUP("MOTORISTAS",tabDiarias[],2,0),IF(tabParametros[[#This Row],[Comarca]]="Belo Horizonte",VLOOKUP("LIMPEZA",tabDiarias[],2,0),0))</f>
        <v>0</v>
      </c>
      <c r="AI254" s="235">
        <f t="shared" si="35"/>
        <v>7.011766975308642E-3</v>
      </c>
      <c r="AJ254" s="237">
        <f>tabParametros[[#This Row],[FGTS]]*tabParametros[[#This Row],[Aviso Prévio Indenizado (API) e Reflexo do Aviso Prévio Indenizado]]</f>
        <v>5.609413580246914E-4</v>
      </c>
      <c r="AK254" s="237">
        <f>tabParametros[[#This Row],[FGTS]]*tabParametros[[#This Row],[Aviso Prévio Indenizado (API) e Reflexo do Aviso Prévio Indenizado]]*40%</f>
        <v>2.2437654320987658E-4</v>
      </c>
      <c r="AL254" s="235">
        <f t="shared" si="36"/>
        <v>3.5000000000000005E-3</v>
      </c>
      <c r="AM254" s="235">
        <f>tabParametros[[#This Row],[Aviso Prévio Trabalhado - APT]]*SUM(tabParametros[[#This Row],[INSS]:[SEBRAE]])</f>
        <v>1.3230000000000004E-3</v>
      </c>
      <c r="AN254" s="235">
        <f t="shared" si="37"/>
        <v>3.0577777777777773E-2</v>
      </c>
      <c r="AO254" s="235">
        <f t="shared" si="38"/>
        <v>8.3333333333333339E-4</v>
      </c>
      <c r="AP254" s="235">
        <f t="shared" si="39"/>
        <v>8.4444444444444437E-3</v>
      </c>
      <c r="AQ254" s="235">
        <f t="shared" si="40"/>
        <v>2.0277777777777777E-3</v>
      </c>
      <c r="AR254" s="235">
        <f t="shared" si="41"/>
        <v>1.7083333333333333E-4</v>
      </c>
      <c r="AS254" s="235">
        <f t="shared" si="42"/>
        <v>2.0833333333333335E-4</v>
      </c>
      <c r="AT254" s="235">
        <f t="shared" si="43"/>
        <v>1.2962962962962963E-3</v>
      </c>
      <c r="AU254" s="237">
        <f>SUM(tabParametros[[#This Row],[Ausência por Doença]:[Férias, Adicional de Férias e 13º  com empregada em gozo de Licença Maternidade]])*SUM(tabParametros[[#This Row],[INSS]:[SEBRAE]])</f>
        <v>4.5918250000000008E-3</v>
      </c>
      <c r="AV254" s="234">
        <f>IF(tabParametros[[#This Row],[Função]]="Porteiro - 220 h",SUM(tabParametros[[#This Row],[Salário Base]:[Adicional de Acúmulo de função]])/220*20*1.5,IF(ISNUMBER(SEARCH("12 x 36",tabParametros[[#This Row],[Função]],1)),SUM(tabParametros[[#This Row],[Salário Base]:[Adicional de Acúmulo de função]])/210*15.5*1.5,0))</f>
        <v>0</v>
      </c>
      <c r="AW254" s="234">
        <f>IF(tabParametros[[#This Row],[Vagas contratadas]]&gt;0,(SUM(tabParametros[[#This Row],[Salário Base]:[Adicional de Acúmulo de função]])*30%+SUM(tabParametros[[#This Row],[Vale - Alimentação]:[Seguro de Vida]]))/tabParametros[[#This Row],[Vagas contratadas]]*tabParametros[[#This Row],[Vagas suspensas]],0)</f>
        <v>0</v>
      </c>
      <c r="AX254" s="234">
        <f>SUMIF(tabUniformes[Cargo],tabParametros[[#This Row],[Função]],tabUniformes[Valor unit. Mensal])</f>
        <v>100.80916666666666</v>
      </c>
      <c r="AY254" s="282">
        <f>IF(ISNUMBER(SEARCH("AUXILIAR DE LIMPEZA - 75 H",tabParametros[[#This Row],[Função]],1)),
SUMIF(tabLimpGeral[TIPO],"Material",tabLimpGeral[VALOR UNITÁRIO P/ HORA (R$)])*75,
IF(ISNUMBER(SEARCH("AUXILIAR DE LIMPEZA - 110 H",tabParametros[[#This Row],[Função]],1)),
SUMIF(tabLimpGeral[TIPO],"Material",tabLimpGeral[VALOR UNITÁRIO P/ HORA (R$)])*110,
IF(ISNUMBER(SEARCH("AUXILIAR DE LIMPEZA - 150 H",tabParametros[[#This Row],[Função]],1)),
SUMIF(tabLimpGeral[TIPO],"Material",tabLimpGeral[VALOR UNITÁRIO P/ HORA (R$)])*150,
IF(ISNUMBER(SEARCH("AUXILIAR DE LIMPEZA - 220 H",tabParametros[[#This Row],[Função]],1)),
SUMIF(tabLimpGeral[TIPO],"Material",tabLimpGeral[VALOR UNITÁRIO P/ HORA (R$)])*220,
IF(ISNUMBER(SEARCH("AUXILIAR DE LIMPEZA - 12 x 36",tabParametros[[#This Row],[Função]],1)),
SUMIF(tabLimpGeral[TIPO],"Material",tabLimpGeral[VALOR UNITÁRIO P/ HORA (R$)])*220,
IF(ISNUMBER(SEARCH("Limpador de vidros - 220 h",tabParametros[[#This Row],[Função]],1)),
SUMIF(tabVidros[TIPO],"Material",tabVidros[VALOR UNITÁRIO P/ POSTO (R$)]),
0))))))</f>
        <v>35.518212958583888</v>
      </c>
      <c r="AZ254" s="281">
        <f>IF(ISNUMBER(SEARCH("AUXILIAR DE LIMPEZA - 75 H",tabParametros[[#This Row],[Função]],1)),
SUMIF(tabLimpGeral[TIPO],"Equipamento",tabLimpGeral[VALOR UNITÁRIO P/ HORA (R$)])*75,
IF(ISNUMBER(SEARCH("AUXILIAR DE LIMPEZA - 110 H",tabParametros[[#This Row],[Função]],1)),
SUMIF(tabLimpGeral[TIPO],"Equipamento",tabLimpGeral[VALOR UNITÁRIO P/ HORA (R$)])*110,
IF(ISNUMBER(SEARCH("AUXILIAR DE LIMPEZA - 150 H",tabParametros[[#This Row],[Função]],1)),
SUMIF(tabLimpGeral[TIPO],"Equipamento",tabLimpGeral[VALOR UNITÁRIO P/ HORA (R$)])*150,
IF(ISNUMBER(SEARCH("AUXILIAR DE LIMPEZA - 220 H",tabParametros[[#This Row],[Função]],1)),
SUMIF(tabLimpGeral[TIPO],"Equipamento",tabLimpGeral[VALOR UNITÁRIO P/ HORA (R$)])*220,
IF(ISNUMBER(SEARCH("AUXILIAR DE LIMPEZA - 12 x 36",tabParametros[[#This Row],[Função]],1)),
SUMIF(tabLimpGeral[TIPO],"Equipamento",tabLimpGeral[VALOR UNITÁRIO P/ HORA (R$)])*220,
IF(ISNUMBER(SEARCH("Limpador de vidros - 220 h",tabParametros[[#This Row],[Função]],1)),
SUMIF(tabVidros[TIPO],"Equipamento",tabVidros[VALOR UNITÁRIO P/ POSTO (R$)]),
0))))))</f>
        <v>64.529393914825576</v>
      </c>
      <c r="BA254" s="281">
        <f>IF(ISNUMBER(SEARCH("AUXILIAR DE LIMPEZA - 75 H",tabParametros[[#This Row],[Função]],1)),
SUMIF(tabLimpGeral[TIPO],"Produto",tabLimpGeral[VALOR UNITÁRIO P/ HORA (R$)])*75,
IF(ISNUMBER(SEARCH("AUXILIAR DE LIMPEZA - 110 H",tabParametros[[#This Row],[Função]],1)),
SUMIF(tabLimpGeral[TIPO],"Produto",tabLimpGeral[VALOR UNITÁRIO P/ HORA (R$)])*110,
IF(ISNUMBER(SEARCH("AUXILIAR DE LIMPEZA - 150 H",tabParametros[[#This Row],[Função]],1)),
SUMIF(tabLimpGeral[TIPO],"Produto",tabLimpGeral[VALOR UNITÁRIO P/ HORA (R$)])*150,
IF(ISNUMBER(SEARCH("AUXILIAR DE LIMPEZA - 220 H",tabParametros[[#This Row],[Função]],1)),
SUMIF(tabLimpGeral[TIPO],"Produto",tabLimpGeral[VALOR UNITÁRIO P/ HORA (R$)])*220,
IF(ISNUMBER(SEARCH("AUXILIAR DE LIMPEZA - 12 x 36",tabParametros[[#This Row],[Função]],1)),
SUMIF(tabLimpGeral[TIPO],"Produto",tabLimpGeral[VALOR UNITÁRIO P/ HORA (R$)])*220,
IF(ISNUMBER(SEARCH("Limpador de vidros - 220 h",tabParametros[[#This Row],[Função]],1)),
SUMIF(tabVidros[TIPO],"Produto",tabVidros[VALOR UNITÁRIO P/ POSTO (R$)]),
0))))))</f>
        <v>690.27153277931654</v>
      </c>
      <c r="BB254" s="281">
        <v>0</v>
      </c>
      <c r="BC254" s="236">
        <f>VLOOKUP(tabParametros[[#Headers],[Custos Indiretos]],tabOutrosCustos[],3,0)</f>
        <v>189.64880140242613</v>
      </c>
      <c r="BD254" s="236">
        <f>VLOOKUP(tabParametros[[#Headers],[Lucro]],tabOutrosCustos[],3,0)</f>
        <v>159.30499317803796</v>
      </c>
      <c r="BE254" s="235">
        <f>VLOOKUP(tabParametros[[#Headers],[COFINS]],tabImpostosNacionais[],2,0)</f>
        <v>7.5999999999999998E-2</v>
      </c>
      <c r="BF254" s="235">
        <f>VLOOKUP(tabParametros[[#Headers],[PIS]],tabImpostosNacionais[],2,0)</f>
        <v>1.6500000000000001E-2</v>
      </c>
      <c r="BG254" s="235">
        <f>VLOOKUP(tabParametros[[#This Row],[Comarca]],tabComarca[],4,0)</f>
        <v>0.03</v>
      </c>
      <c r="BH254" s="238">
        <f>IFERROR(VLOOKUP(tabParametros[[#This Row],[CCT DA CATEGORIA]],tabSindicatos[],11,0),"")</f>
        <v>45658</v>
      </c>
      <c r="BI254" s="289" t="str">
        <f>IFERROR(VLOOKUP(tabParametros[[#This Row],[CCT DA CATEGORIA]],tabSindicatos[],12,0),"")</f>
        <v>-</v>
      </c>
      <c r="BJ254" s="293" t="str">
        <f>IFERROR(VLOOKUP(tabParametros[[#This Row],[CCT DA CATEGORIA]],tabSindicatos[],13,0),"")</f>
        <v>-</v>
      </c>
    </row>
    <row r="255" spans="1:62" x14ac:dyDescent="0.25">
      <c r="A255" s="269" t="s">
        <v>1590</v>
      </c>
      <c r="B255" s="270" t="s">
        <v>228</v>
      </c>
      <c r="C255" s="270" t="s">
        <v>1245</v>
      </c>
      <c r="D255" s="270" t="str">
        <f>VLOOKUP(tabParametros[[#This Row],[Código do Posto]],tabPostos[],4,0)</f>
        <v>Cataguases</v>
      </c>
      <c r="E255" s="291" t="str">
        <f>VLOOKUP(tabParametros[[#This Row],[Código do Posto]],tabPostos[],5,0)</f>
        <v>Limpeza</v>
      </c>
      <c r="F255" s="291" t="str">
        <f>VLOOKUP(tabParametros[[#This Row],[Código do Posto]],tabPostos[],6,0)</f>
        <v>PGJ</v>
      </c>
      <c r="G255" s="291">
        <f>VLOOKUP(tabParametros[[#This Row],[Código do Posto]],tabPostos[],7,0)</f>
        <v>2</v>
      </c>
      <c r="H255" s="291">
        <f>VLOOKUP(tabParametros[[#This Row],[Código do Posto]],tabPostos[],8,0)</f>
        <v>0</v>
      </c>
      <c r="I255" s="271">
        <f>VLOOKUP(tabParametros[[#This Row],[Código do Posto]],tabPostos[],9,0)</f>
        <v>1596.28</v>
      </c>
      <c r="J255" s="271">
        <f>IF(ISNUMBER(SEARCH("Eletricista",tabParametros[[#This Row],[Função]],1)),0.3*tabParametros[[#This Row],[Salário Base]],0)</f>
        <v>0</v>
      </c>
      <c r="K255" s="271">
        <f>IF(OR(ISNUMBER(SEARCH("Bombeiro Hidraulico",tabParametros[[#This Row],[Função]],1)),ISNUMBER(SEARCH("Jardineiro",tabParametros[[#This Row],[Função]],1)),ISNUMBER(SEARCH("Lavador de Veiculos",tabParametros[[#This Row],[Função]],1)),ISNUMBER(SEARCH("Marceneiro",tabParametros[[#This Row],[Função]],1)),ISNUMBER(SEARCH("Pintor",tabParametros[[#This Row],[Função]],1))),0.2*'BASE GERAL'!$R$4,0)</f>
        <v>0</v>
      </c>
      <c r="L255" s="271">
        <f>IF(AND(ISNUMBER(SEARCH("Noturno",tabParametros[[#This Row],[Função]],1)),tabParametros[[#This Row],[Comarca]]&lt;&gt;"Juiz de Fora"),tabParametros[[#This Row],[Salário Base]]/210*0.39*7*15.5,IF(ISNUMBER(SEARCH("Noturno",tabParametros[[#This Row],[Função]],1)),tabParametros[[#This Row],[Salário Base]]/210*0.2*8*15.5,0))</f>
        <v>0</v>
      </c>
      <c r="M255" s="271">
        <f>IF(ISNUMBER(SEARCH("Motorista II",tabParametros[[#This Row],[Função]],1)),0.25*tabParametros[[#This Row],[Salário Base]],0)</f>
        <v>0</v>
      </c>
      <c r="N255" s="272">
        <v>0</v>
      </c>
      <c r="O255" s="271">
        <f>IF(ISNUMBER(SEARCH("TECNOLOGIA DA INFORMACAO",tabParametros[[#This Row],[Função]],1)),0.0201*tabParametros[[#This Row],[Salário Base]],0)</f>
        <v>0</v>
      </c>
      <c r="P255" s="272" cm="1">
        <f t="array" ref="P255">_xlfn.IFS(
ISNUMBER(SEARCH("Auxiliar de Limpeza - 75 h",tabParametros[[#This Row],[Função]],1)),tabParametros[[#This Row],[Salário Base]]/75*0.75*30*0.12,
ISNUMBER(SEARCH("Auxiliar de Limpeza - 110 h",tabParametros[[#This Row],[Função]],1)),tabParametros[[#This Row],[Salário Base]]/110*1*30*0.12,
ISNUMBER(SEARCH("Auxiliar de Limpeza - 150 h",tabParametros[[#This Row],[Função]],1)),tabParametros[[#This Row],[Salário Base]]/150*1.5*30*0.12,
ISNUMBER(SEARCH("Auxiliar de Limpeza - 220 h",tabParametros[[#This Row],[Função]],1)),tabParametros[[#This Row],[Salário Base]]/220*2*30*0.12,
ISNUMBER(SEARCH("Auxiliar de Limpeza - 12 x 36",tabParametros[[#This Row],[Função]],1)),tabParametros[[#This Row],[Salário Base]]/220*2*30*0.12,
ISNUMBER(SEARCH("Auxiliar de Limpeza - 55 h",tabParametros[[#This Row],[Função]],1))=FALSE,0)</f>
        <v>52.241890909090905</v>
      </c>
      <c r="Q255" s="273">
        <f>VLOOKUP(tabParametros[[#Headers],[INSS]],tabImpostosNacionais[],2,0)</f>
        <v>0.2</v>
      </c>
      <c r="R255" s="273">
        <f>VLOOKUP(tabParametros[[#Headers],[SESI OU SESC]],tabImpostosNacionais[],2,0)</f>
        <v>1.4999999999999999E-2</v>
      </c>
      <c r="S255" s="273">
        <f>VLOOKUP(tabParametros[[#Headers],[SENAI OU SENAC]],tabImpostosNacionais[],2,0)</f>
        <v>0.01</v>
      </c>
      <c r="T255" s="273">
        <f>VLOOKUP(tabParametros[[#Headers],[INCRA]],tabImpostosNacionais[],2,0)</f>
        <v>2E-3</v>
      </c>
      <c r="U255" s="273">
        <f>VLOOKUP(tabParametros[[#Headers],[Salário Educação]],tabImpostosNacionais[],2,0)</f>
        <v>2.5000000000000001E-2</v>
      </c>
      <c r="V255" s="273">
        <f>VLOOKUP(tabParametros[[#Headers],[FGTS]],tabImpostosNacionais[],2,0)</f>
        <v>0.08</v>
      </c>
      <c r="W255" s="273">
        <f>VLOOKUP(tabParametros[[#Headers],[RAT Ajustado]],tabImpostosNacionais[],2,0)</f>
        <v>0.04</v>
      </c>
      <c r="X255" s="273">
        <f>VLOOKUP(tabParametros[[#Headers],[SEBRAE]],tabImpostosNacionais[],2,0)</f>
        <v>6.0000000000000001E-3</v>
      </c>
      <c r="Y255" s="273">
        <f t="shared" si="33"/>
        <v>8.3333333333333329E-2</v>
      </c>
      <c r="Z255" s="292">
        <f t="shared" si="34"/>
        <v>0.1111111111111111</v>
      </c>
      <c r="AA255" s="271">
        <f>VLOOKUP(tabParametros[[#This Row],[Comarca]],tabComarca[],5,0)</f>
        <v>6.4</v>
      </c>
      <c r="AB255" s="271">
        <f>IFERROR(VLOOKUP(tabParametros[[#This Row],[CCT DA CATEGORIA]],tabSindicatos[],6,0),0)</f>
        <v>29.15</v>
      </c>
      <c r="AC255" s="271">
        <f>IFERROR(VLOOKUP(tabParametros[[#This Row],[CCT DA CATEGORIA]],tabSindicatos[],7,0),0)</f>
        <v>0</v>
      </c>
      <c r="AD255" s="271" cm="1">
        <f t="array" ref="AD255">_xlfn.LET(
_xlpm.COMARCA, TRIM(UPPER(SUBSTITUTE(SUBSTITUTE(SUBSTITUTE(SUBSTITUTE(SUBSTITUTE(SUBSTITUTE(SUBSTITUTE(SUBSTITUTE(SUBSTITUTE(SUBSTITUTE(SUBSTITUTE(SUBSTITUTE(SUBSTITUTE(SUBSTITUTE(SUBSTITUTE(SUBSTITUTE(SUBSTITUTE(SUBSTITUTE(SUBSTITUTE(SUBSTITUTE(SUBSTITUTE(SUBSTITUTE(SUBSTITUTE(SUBSTITUTE(SUBSTITUTE(SUBSTITUTE(tabParametros[[#This Row],[Comarca]],"á","a"),"ã","a"),"â","a"),"é","e"),"ê","e"),"í","i"),"ó","o"),"õ","o"),"ô","o"),"ú","u"),"ç","c"),"Á","a"),"Ã","a"),"Â","a"),"É","e"),"Ê","e"),"Í","i"),"Ó","o"),"Õ","o"),"Ô","o"),"Ú","u"),"Ç","c"),"/MG","")," e ",", ")," ",""),".",""))),
_xlpm.MATRIZ_COMARCA, TRIM(UPPER(SUBSTITUTE(SUBSTITUTE(SUBSTITUTE(SUBSTITUTE(SUBSTITUTE(SUBSTITUTE(SUBSTITUTE(SUBSTITUTE(SUBSTITUTE(SUBSTITUTE(SUBSTITUTE(SUBSTITUTE(SUBSTITUTE(SUBSTITUTE(SUBSTITUTE(SUBSTITUTE(SUBSTITUTE(SUBSTITUTE(SUBSTITUTE(SUBSTITUTE(SUBSTITUTE(SUBSTITUTE(SUBSTITUTE(SUBSTITUTE(SUBSTITUTE(SUBSTITUTE(tabSindicatos[COMARCAS PAF],"á","a"),"ã","a"),"â","a"),"é","e"),"ê","e"),"í","i"),"ó","o"),"õ","o"),"ô","o"),"ú","u"),"ç","c"),"Á","a"),"Ã","a"),"Â","a"),"É","e"),"Ê","e"),"Í","i"),"Ó","o"),"Õ","o"),"Ô","o"),"Ú","u"),"Ç","c"),"/MG","")," e ",", ")," ",""),".",""))),
IFERROR(IF(_xlfn.XLOOKUP(tabParametros[[#This Row],[CCT DA CATEGORIA]],tabSindicatos[SINDICATOS],tabSindicatos[COMARCAS PAF])="",
VLOOKUP(tabParametros[[#This Row],[CCT DA CATEGORIA]],tabSindicatos[],8,0),
IF(ISNUMBER(SEARCH(TRIM(_xlpm.COMARCA),_xlfn.XLOOKUP(tabParametros[[#This Row],[CCT DA CATEGORIA]],tabSindicatos[SINDICATOS],_xlpm.MATRIZ_COMARCA),1)),VLOOKUP(tabParametros[[#This Row],[CCT DA CATEGORIA]],tabSindicatos[],8,0),0)
),0)
)</f>
        <v>57.07</v>
      </c>
      <c r="AE255" s="271">
        <f>IFERROR(VLOOKUP(tabParametros[[#This Row],[CCT DA CATEGORIA]],tabSindicatos[],9,0),0)</f>
        <v>0</v>
      </c>
      <c r="AF255" s="271">
        <f>IFERROR(VLOOKUP(tabParametros[[#This Row],[CCT DA CATEGORIA]],tabSindicatos[],10,0),0)</f>
        <v>0</v>
      </c>
      <c r="AG255" s="274">
        <f>VLOOKUP(tabParametros[[#Headers],[Seguro de Vida]],tabOutrosCustos[],3,0)</f>
        <v>3.36</v>
      </c>
      <c r="AH255" s="274">
        <f>IF(ISNUMBER(SEARCH("MOTORISTA",tabParametros[[#This Row],[Função]],1)),VLOOKUP("MOTORISTAS",tabDiarias[],2,0),IF(tabParametros[[#This Row],[Comarca]]="Belo Horizonte",VLOOKUP("LIMPEZA",tabDiarias[],2,0),0))</f>
        <v>0</v>
      </c>
      <c r="AI255" s="273">
        <f t="shared" si="35"/>
        <v>7.011766975308642E-3</v>
      </c>
      <c r="AJ255" s="275">
        <f>tabParametros[[#This Row],[FGTS]]*tabParametros[[#This Row],[Aviso Prévio Indenizado (API) e Reflexo do Aviso Prévio Indenizado]]</f>
        <v>5.609413580246914E-4</v>
      </c>
      <c r="AK255" s="275">
        <f>tabParametros[[#This Row],[FGTS]]*tabParametros[[#This Row],[Aviso Prévio Indenizado (API) e Reflexo do Aviso Prévio Indenizado]]*40%</f>
        <v>2.2437654320987658E-4</v>
      </c>
      <c r="AL255" s="273">
        <f t="shared" si="36"/>
        <v>3.5000000000000005E-3</v>
      </c>
      <c r="AM255" s="273">
        <f>tabParametros[[#This Row],[Aviso Prévio Trabalhado - APT]]*SUM(tabParametros[[#This Row],[INSS]:[SEBRAE]])</f>
        <v>1.3230000000000004E-3</v>
      </c>
      <c r="AN255" s="273">
        <f t="shared" si="37"/>
        <v>3.0577777777777773E-2</v>
      </c>
      <c r="AO255" s="273">
        <f t="shared" si="38"/>
        <v>8.3333333333333339E-4</v>
      </c>
      <c r="AP255" s="273">
        <f t="shared" si="39"/>
        <v>8.4444444444444437E-3</v>
      </c>
      <c r="AQ255" s="273">
        <f t="shared" si="40"/>
        <v>2.0277777777777777E-3</v>
      </c>
      <c r="AR255" s="273">
        <f t="shared" si="41"/>
        <v>1.7083333333333333E-4</v>
      </c>
      <c r="AS255" s="273">
        <f t="shared" si="42"/>
        <v>2.0833333333333335E-4</v>
      </c>
      <c r="AT255" s="273">
        <f t="shared" si="43"/>
        <v>1.2962962962962963E-3</v>
      </c>
      <c r="AU255" s="275">
        <f>SUM(tabParametros[[#This Row],[Ausência por Doença]:[Férias, Adicional de Férias e 13º  com empregada em gozo de Licença Maternidade]])*SUM(tabParametros[[#This Row],[INSS]:[SEBRAE]])</f>
        <v>4.5918250000000008E-3</v>
      </c>
      <c r="AV255" s="271">
        <f>IF(tabParametros[[#This Row],[Função]]="Porteiro - 220 h",SUM(tabParametros[[#This Row],[Salário Base]:[Adicional de Acúmulo de função]])/220*20*1.5,IF(ISNUMBER(SEARCH("12 x 36",tabParametros[[#This Row],[Função]],1)),SUM(tabParametros[[#This Row],[Salário Base]:[Adicional de Acúmulo de função]])/210*15.5*1.5,0))</f>
        <v>0</v>
      </c>
      <c r="AW255" s="271">
        <f>IF(tabParametros[[#This Row],[Vagas contratadas]]&gt;0,(SUM(tabParametros[[#This Row],[Salário Base]:[Adicional de Acúmulo de função]])*30%+SUM(tabParametros[[#This Row],[Vale - Alimentação]:[Seguro de Vida]]))/tabParametros[[#This Row],[Vagas contratadas]]*tabParametros[[#This Row],[Vagas suspensas]],0)</f>
        <v>0</v>
      </c>
      <c r="AX255" s="271">
        <f>SUMIF(tabUniformes[Cargo],tabParametros[[#This Row],[Função]],tabUniformes[Valor unit. Mensal])</f>
        <v>100.80916666666666</v>
      </c>
      <c r="AY255" s="282">
        <f>IF(ISNUMBER(SEARCH("AUXILIAR DE LIMPEZA - 75 H",tabParametros[[#This Row],[Função]],1)),
SUMIF(tabLimpGeral[TIPO],"Material",tabLimpGeral[VALOR UNITÁRIO P/ HORA (R$)])*75,
IF(ISNUMBER(SEARCH("AUXILIAR DE LIMPEZA - 110 H",tabParametros[[#This Row],[Função]],1)),
SUMIF(tabLimpGeral[TIPO],"Material",tabLimpGeral[VALOR UNITÁRIO P/ HORA (R$)])*110,
IF(ISNUMBER(SEARCH("AUXILIAR DE LIMPEZA - 150 H",tabParametros[[#This Row],[Função]],1)),
SUMIF(tabLimpGeral[TIPO],"Material",tabLimpGeral[VALOR UNITÁRIO P/ HORA (R$)])*150,
IF(ISNUMBER(SEARCH("AUXILIAR DE LIMPEZA - 220 H",tabParametros[[#This Row],[Função]],1)),
SUMIF(tabLimpGeral[TIPO],"Material",tabLimpGeral[VALOR UNITÁRIO P/ HORA (R$)])*220,
IF(ISNUMBER(SEARCH("AUXILIAR DE LIMPEZA - 12 x 36",tabParametros[[#This Row],[Função]],1)),
SUMIF(tabLimpGeral[TIPO],"Material",tabLimpGeral[VALOR UNITÁRIO P/ HORA (R$)])*220,
IF(ISNUMBER(SEARCH("Limpador de vidros - 220 h",tabParametros[[#This Row],[Função]],1)),
SUMIF(tabVidros[TIPO],"Material",tabVidros[VALOR UNITÁRIO P/ POSTO (R$)]),
0))))))</f>
        <v>35.518212958583888</v>
      </c>
      <c r="AZ255" s="281">
        <f>IF(ISNUMBER(SEARCH("AUXILIAR DE LIMPEZA - 75 H",tabParametros[[#This Row],[Função]],1)),
SUMIF(tabLimpGeral[TIPO],"Equipamento",tabLimpGeral[VALOR UNITÁRIO P/ HORA (R$)])*75,
IF(ISNUMBER(SEARCH("AUXILIAR DE LIMPEZA - 110 H",tabParametros[[#This Row],[Função]],1)),
SUMIF(tabLimpGeral[TIPO],"Equipamento",tabLimpGeral[VALOR UNITÁRIO P/ HORA (R$)])*110,
IF(ISNUMBER(SEARCH("AUXILIAR DE LIMPEZA - 150 H",tabParametros[[#This Row],[Função]],1)),
SUMIF(tabLimpGeral[TIPO],"Equipamento",tabLimpGeral[VALOR UNITÁRIO P/ HORA (R$)])*150,
IF(ISNUMBER(SEARCH("AUXILIAR DE LIMPEZA - 220 H",tabParametros[[#This Row],[Função]],1)),
SUMIF(tabLimpGeral[TIPO],"Equipamento",tabLimpGeral[VALOR UNITÁRIO P/ HORA (R$)])*220,
IF(ISNUMBER(SEARCH("AUXILIAR DE LIMPEZA - 12 x 36",tabParametros[[#This Row],[Função]],1)),
SUMIF(tabLimpGeral[TIPO],"Equipamento",tabLimpGeral[VALOR UNITÁRIO P/ HORA (R$)])*220,
IF(ISNUMBER(SEARCH("Limpador de vidros - 220 h",tabParametros[[#This Row],[Função]],1)),
SUMIF(tabVidros[TIPO],"Equipamento",tabVidros[VALOR UNITÁRIO P/ POSTO (R$)]),
0))))))</f>
        <v>64.529393914825576</v>
      </c>
      <c r="BA255" s="281">
        <f>IF(ISNUMBER(SEARCH("AUXILIAR DE LIMPEZA - 75 H",tabParametros[[#This Row],[Função]],1)),
SUMIF(tabLimpGeral[TIPO],"Produto",tabLimpGeral[VALOR UNITÁRIO P/ HORA (R$)])*75,
IF(ISNUMBER(SEARCH("AUXILIAR DE LIMPEZA - 110 H",tabParametros[[#This Row],[Função]],1)),
SUMIF(tabLimpGeral[TIPO],"Produto",tabLimpGeral[VALOR UNITÁRIO P/ HORA (R$)])*110,
IF(ISNUMBER(SEARCH("AUXILIAR DE LIMPEZA - 150 H",tabParametros[[#This Row],[Função]],1)),
SUMIF(tabLimpGeral[TIPO],"Produto",tabLimpGeral[VALOR UNITÁRIO P/ HORA (R$)])*150,
IF(ISNUMBER(SEARCH("AUXILIAR DE LIMPEZA - 220 H",tabParametros[[#This Row],[Função]],1)),
SUMIF(tabLimpGeral[TIPO],"Produto",tabLimpGeral[VALOR UNITÁRIO P/ HORA (R$)])*220,
IF(ISNUMBER(SEARCH("AUXILIAR DE LIMPEZA - 12 x 36",tabParametros[[#This Row],[Função]],1)),
SUMIF(tabLimpGeral[TIPO],"Produto",tabLimpGeral[VALOR UNITÁRIO P/ HORA (R$)])*220,
IF(ISNUMBER(SEARCH("Limpador de vidros - 220 h",tabParametros[[#This Row],[Função]],1)),
SUMIF(tabVidros[TIPO],"Produto",tabVidros[VALOR UNITÁRIO P/ POSTO (R$)]),
0))))))</f>
        <v>690.27153277931654</v>
      </c>
      <c r="BB255" s="281">
        <v>0</v>
      </c>
      <c r="BC255" s="274">
        <f>VLOOKUP(tabParametros[[#Headers],[Custos Indiretos]],tabOutrosCustos[],3,0)</f>
        <v>189.64880140242613</v>
      </c>
      <c r="BD255" s="274">
        <f>VLOOKUP(tabParametros[[#Headers],[Lucro]],tabOutrosCustos[],3,0)</f>
        <v>159.30499317803796</v>
      </c>
      <c r="BE255" s="273">
        <f>VLOOKUP(tabParametros[[#Headers],[COFINS]],tabImpostosNacionais[],2,0)</f>
        <v>7.5999999999999998E-2</v>
      </c>
      <c r="BF255" s="273">
        <f>VLOOKUP(tabParametros[[#Headers],[PIS]],tabImpostosNacionais[],2,0)</f>
        <v>1.6500000000000001E-2</v>
      </c>
      <c r="BG255" s="273">
        <f>VLOOKUP(tabParametros[[#This Row],[Comarca]],tabComarca[],4,0)</f>
        <v>0.03</v>
      </c>
      <c r="BH255" s="276">
        <f>IFERROR(VLOOKUP(tabParametros[[#This Row],[CCT DA CATEGORIA]],tabSindicatos[],11,0),"")</f>
        <v>45658</v>
      </c>
      <c r="BI255" s="291" t="str">
        <f>IFERROR(VLOOKUP(tabParametros[[#This Row],[CCT DA CATEGORIA]],tabSindicatos[],12,0),"")</f>
        <v>-</v>
      </c>
      <c r="BJ255" s="295" t="str">
        <f>IFERROR(VLOOKUP(tabParametros[[#This Row],[CCT DA CATEGORIA]],tabSindicatos[],13,0),"")</f>
        <v>-</v>
      </c>
    </row>
    <row r="256" spans="1:62" ht="15.75" x14ac:dyDescent="0.25">
      <c r="A256" s="255" t="s">
        <v>925</v>
      </c>
      <c r="B256" s="256"/>
      <c r="C256" s="256"/>
      <c r="D256" s="256"/>
      <c r="E256" s="257"/>
      <c r="F256" s="257"/>
      <c r="G256" s="257">
        <f>SUBTOTAL(9,tabParametros[Vagas contratadas])</f>
        <v>437</v>
      </c>
      <c r="H256" s="257">
        <f>SUBTOTAL(9,tabParametros[Vagas suspensas])</f>
        <v>0</v>
      </c>
      <c r="I256" s="258">
        <f>SUBTOTAL(9,tabParametros[Salário Base])</f>
        <v>257761.65609999979</v>
      </c>
      <c r="J256" s="258">
        <f>SUBTOTAL(9,tabParametros[Adicional Periculosidade])</f>
        <v>0</v>
      </c>
      <c r="K256" s="258">
        <f>SUBTOTAL(9,tabParametros[Adicional Insalubridade])</f>
        <v>0</v>
      </c>
      <c r="L256" s="258">
        <f>SUBTOTAL(9,tabParametros[Adicional Noturno])</f>
        <v>332.29767999999996</v>
      </c>
      <c r="M256" s="258">
        <f>SUBTOTAL(9,tabParametros[Adicional Motorista II (Gratificação)])</f>
        <v>0</v>
      </c>
      <c r="N256" s="258">
        <f>SUBTOTAL(9,tabParametros[Adicional de Sobreaviso])</f>
        <v>0</v>
      </c>
      <c r="O256" s="258">
        <f>SUBTOTAL(9,tabParametros[Horas Extras TI])</f>
        <v>0</v>
      </c>
      <c r="P256" s="258">
        <f>SUBTOTAL(9,tabParametros[Adicional de Acúmulo de função])</f>
        <v>8578.8060250908984</v>
      </c>
      <c r="Q256" s="259">
        <f>SUBTOTAL(101,tabParametros[INSS])</f>
        <v>0.2000000000000007</v>
      </c>
      <c r="R256" s="259">
        <f>SUBTOTAL(101,tabParametros[SESI OU SESC])</f>
        <v>1.5000000000000036E-2</v>
      </c>
      <c r="S256" s="259">
        <f>SUBTOTAL(101,tabParametros[SENAI OU SENAC])</f>
        <v>9.999999999999962E-3</v>
      </c>
      <c r="T256" s="259">
        <f>SUBTOTAL(101,tabParametros[INCRA])</f>
        <v>2.0000000000000013E-3</v>
      </c>
      <c r="U256" s="259">
        <f>SUBTOTAL(101,tabParametros[Salário Educação])</f>
        <v>2.5000000000000088E-2</v>
      </c>
      <c r="V256" s="259">
        <f>SUBTOTAL(101,tabParametros[FGTS])</f>
        <v>7.9999999999999696E-2</v>
      </c>
      <c r="W256" s="259">
        <f>SUBTOTAL(101,tabParametros[RAT Ajustado])</f>
        <v>3.9999999999999848E-2</v>
      </c>
      <c r="X256" s="259">
        <f>SUBTOTAL(101,tabParametros[SEBRAE])</f>
        <v>6.0000000000000045E-3</v>
      </c>
      <c r="Y256" s="259">
        <f>SUBTOTAL(101,tabParametros[13º salário (titular)])</f>
        <v>8.3333333333333218E-2</v>
      </c>
      <c r="Z256" s="259">
        <f>SUBTOTAL(101,tabParametros[Férias e Adicional de Férias (titular)])</f>
        <v>0.11111111111111079</v>
      </c>
      <c r="AA256" s="258">
        <f>SUBTOTAL(9,tabParametros[Vale - Transporte])</f>
        <v>1651.6000000000063</v>
      </c>
      <c r="AB256" s="258">
        <f>SUBTOTAL(9,tabParametros[Vale - Alimentação])</f>
        <v>6704.4999999999764</v>
      </c>
      <c r="AC256" s="258">
        <f>SUBTOTAL(9,tabParametros[Cesta Básica])</f>
        <v>8531.380000000001</v>
      </c>
      <c r="AD256" s="258">
        <f>SUBTOTAL(9,tabParametros[PAF])</f>
        <v>6924.6400000000012</v>
      </c>
      <c r="AE256" s="258">
        <f>SUBTOTAL(9,tabParametros[PQM])</f>
        <v>888.37000000000114</v>
      </c>
      <c r="AF256" s="258">
        <f>SUBTOTAL(9,tabParametros[PAT])</f>
        <v>0</v>
      </c>
      <c r="AG256" s="258">
        <f>SUBTOTAL(9,tabParametros[Seguro de Vida])</f>
        <v>846.72000000000287</v>
      </c>
      <c r="AH256" s="258">
        <f>SUBTOTAL(9,tabParametros[Despesas de Viagem])</f>
        <v>81.52</v>
      </c>
      <c r="AI256" s="259">
        <f>SUBTOTAL(101,tabParametros[Aviso Prévio Indenizado (API) e Reflexo do Aviso Prévio Indenizado])</f>
        <v>7.0117669753086819E-3</v>
      </c>
      <c r="AJ256" s="259">
        <f>SUBTOTAL(101,tabParametros[Incidência do FGTS sobre API e Reflexo do API])</f>
        <v>5.6094135802469086E-4</v>
      </c>
      <c r="AK256" s="259">
        <f>SUBTOTAL(101,tabParametros[Multa Rescisória do FGTS sobre o Aviso Prévio Indenizado])</f>
        <v>2.2437654320987775E-4</v>
      </c>
      <c r="AL256" s="259">
        <f>SUBTOTAL(101,tabParametros[Aviso Prévio Trabalhado - APT])</f>
        <v>3.4999999999999788E-3</v>
      </c>
      <c r="AM256" s="259">
        <f>SUBTOTAL(101,tabParametros[Incidência dos encargos do submódulo 2.1 sobre Aviso Prévio Trabalhado])</f>
        <v>1.3230000000000021E-3</v>
      </c>
      <c r="AN256" s="259">
        <f>SUBTOTAL(101,tabParametros[Multa Rescisória do FGTS])</f>
        <v>3.0577777777777596E-2</v>
      </c>
      <c r="AO256" s="259">
        <f>SUBTOTAL(101,tabParametros[Indenização Adicional (Art. 9º da Lei nº 7.238/84)])</f>
        <v>8.3333333333333111E-4</v>
      </c>
      <c r="AP256" s="259">
        <f>SUBTOTAL(101,tabParametros[Ausência por Doença])</f>
        <v>8.4444444444444523E-3</v>
      </c>
      <c r="AQ256" s="259">
        <f>SUBTOTAL(101,tabParametros[Ausências Legais])</f>
        <v>2.0277777777777837E-3</v>
      </c>
      <c r="AR256" s="259">
        <f>SUBTOTAL(101,tabParametros[Licença Paternidade])</f>
        <v>1.7083333333333341E-4</v>
      </c>
      <c r="AS256" s="259">
        <f>SUBTOTAL(101,tabParametros[Ausência por Acidente de Trabalho])</f>
        <v>2.0833333333333278E-4</v>
      </c>
      <c r="AT256" s="259">
        <f>SUBTOTAL(101,tabParametros[Férias, Adicional de Férias e 13º  com empregada em gozo de Licença Maternidade])</f>
        <v>1.2962962962962956E-3</v>
      </c>
      <c r="AU256" s="259">
        <f>SUBTOTAL(101,tabParametros[Incidência do Submódulo 2.1 sobre Ausências Legais])</f>
        <v>4.5918250000000094E-3</v>
      </c>
      <c r="AV256" s="258">
        <f>SUBTOTAL(9,tabParametros[Intervalo para Repouso ou Alimentação])</f>
        <v>413.90315171428563</v>
      </c>
      <c r="AW256" s="258">
        <f>SUBTOTAL(9,tabParametros[Suspensão Temporária do Contrato de Trabalho])</f>
        <v>0</v>
      </c>
      <c r="AX256" s="258">
        <f>SUBTOTAL(9,tabParametros[Uniformes e EPIs])</f>
        <v>19793.133333333342</v>
      </c>
      <c r="AY256" s="258">
        <f>SUBTOTAL(9,tabParametros[Materiais de Consumo])</f>
        <v>5648.203092527533</v>
      </c>
      <c r="AZ256" s="258">
        <f>SUBTOTAL(9,tabParametros[Máquinas e Equipamentos (depreciação)])</f>
        <v>10267.861876258341</v>
      </c>
      <c r="BA256" s="258">
        <f>SUBTOTAL(9,tabParametros[Produtos de Limpeza e Materiais de Higiene Pessoal])</f>
        <v>109768.86170129257</v>
      </c>
      <c r="BB256" s="258">
        <f>SUBTOTAL(9,tabParametros[Outros (especificar)])</f>
        <v>0</v>
      </c>
      <c r="BC256" s="258">
        <f>SUBTOTAL(9,tabParametros[Custos Indiretos])</f>
        <v>47791.497953411505</v>
      </c>
      <c r="BD256" s="258">
        <f>SUBTOTAL(9,tabParametros[Lucro])</f>
        <v>40144.858280865628</v>
      </c>
      <c r="BE256" s="259">
        <f>SUBTOTAL(101,tabParametros[COFINS])</f>
        <v>7.6000000000000234E-2</v>
      </c>
      <c r="BF256" s="259">
        <f>SUBTOTAL(101,tabParametros[PIS])</f>
        <v>1.6500000000000063E-2</v>
      </c>
      <c r="BG256" s="259">
        <f>SUBTOTAL(101,tabParametros[ISS])</f>
        <v>3.3940476190476167E-2</v>
      </c>
      <c r="BH256" s="260"/>
      <c r="BI256" s="257"/>
      <c r="BJ256" s="261"/>
    </row>
    <row r="257" spans="1:62" x14ac:dyDescent="0.25">
      <c r="A257" s="5" t="s">
        <v>1091</v>
      </c>
      <c r="B257" s="1"/>
      <c r="C257" s="1"/>
      <c r="D257" s="1"/>
      <c r="E257" s="1"/>
      <c r="F257" s="1"/>
      <c r="G257" s="1"/>
      <c r="H257" s="1"/>
      <c r="I257" s="1"/>
      <c r="J257" s="1"/>
      <c r="K257" s="1"/>
      <c r="L257" s="1"/>
      <c r="M257" s="1"/>
      <c r="N257" s="161"/>
      <c r="O257" s="1"/>
      <c r="P257" s="1"/>
      <c r="Q257" s="1"/>
      <c r="R257" s="1"/>
      <c r="S257" s="1"/>
      <c r="T257" s="1"/>
      <c r="U257" s="1"/>
      <c r="V257" s="1"/>
      <c r="W257" s="1"/>
      <c r="X257" s="1"/>
      <c r="Y257" s="1"/>
      <c r="Z257" s="1"/>
      <c r="AA257" s="1"/>
      <c r="AB257" s="1"/>
      <c r="AC257" s="1"/>
      <c r="AD257" s="1"/>
      <c r="AE257" s="1"/>
      <c r="AF257" s="1"/>
      <c r="AG257" s="1"/>
      <c r="AH257" s="1"/>
      <c r="AI257" s="1"/>
      <c r="AJ257" s="1"/>
      <c r="AK257" s="1"/>
      <c r="AL257" s="1"/>
      <c r="AM257" s="1"/>
      <c r="AN257" s="1"/>
      <c r="AO257" s="1"/>
      <c r="AP257" s="1"/>
      <c r="AQ257" s="1"/>
      <c r="AR257" s="1"/>
      <c r="AS257" s="1"/>
      <c r="AT257" s="1"/>
      <c r="AU257" s="1"/>
      <c r="AV257" s="1"/>
      <c r="AW257" s="1"/>
      <c r="AX257" s="1"/>
      <c r="AY257" s="1"/>
      <c r="AZ257" s="1"/>
      <c r="BA257" s="1"/>
      <c r="BB257" s="1"/>
      <c r="BC257" s="1"/>
      <c r="BD257" s="1"/>
      <c r="BE257" s="1"/>
      <c r="BF257" s="1"/>
      <c r="BG257" s="1"/>
      <c r="BH257" s="1"/>
      <c r="BI257" s="1"/>
      <c r="BJ257" s="1"/>
    </row>
    <row r="258" spans="1:62" x14ac:dyDescent="0.25">
      <c r="A258" s="6"/>
      <c r="B258" s="7" t="s">
        <v>1092</v>
      </c>
      <c r="C258" s="1"/>
      <c r="D258" s="1"/>
      <c r="E258" s="1"/>
      <c r="F258" s="1"/>
      <c r="G258" s="1"/>
      <c r="H258" s="1"/>
      <c r="I258" s="1"/>
      <c r="J258" s="1"/>
      <c r="K258" s="1"/>
      <c r="L258" s="1"/>
      <c r="M258" s="1"/>
      <c r="N258" s="161"/>
      <c r="O258" s="1"/>
      <c r="P258" s="1"/>
      <c r="Q258" s="1"/>
      <c r="R258" s="1"/>
      <c r="S258" s="1"/>
      <c r="T258" s="1"/>
      <c r="U258" s="1"/>
      <c r="V258" s="1"/>
      <c r="W258" s="1"/>
      <c r="X258" s="1"/>
      <c r="Y258" s="1"/>
      <c r="Z258" s="1"/>
      <c r="AA258" s="1"/>
      <c r="AB258" s="1"/>
      <c r="AC258" s="1"/>
      <c r="AD258" s="1"/>
      <c r="AE258" s="1"/>
      <c r="AF258" s="1"/>
      <c r="AG258" s="1"/>
      <c r="AH258" s="1"/>
      <c r="AI258" s="1"/>
      <c r="AJ258" s="1"/>
      <c r="AK258" s="1"/>
      <c r="AL258" s="1"/>
      <c r="AM258" s="1"/>
      <c r="AN258" s="1"/>
      <c r="AO258" s="1"/>
      <c r="AP258" s="1"/>
      <c r="AQ258" s="1"/>
      <c r="AR258" s="1"/>
      <c r="AS258" s="1"/>
      <c r="AT258" s="1"/>
      <c r="AU258" s="1"/>
      <c r="AV258" s="1"/>
      <c r="AW258" s="1"/>
      <c r="AX258" s="1"/>
      <c r="AY258" s="1"/>
      <c r="AZ258" s="1"/>
      <c r="BA258" s="1"/>
      <c r="BB258" s="1"/>
      <c r="BC258" s="1"/>
      <c r="BD258" s="1"/>
      <c r="BE258" s="1"/>
      <c r="BF258" s="1"/>
      <c r="BG258" s="1"/>
      <c r="BH258" s="1"/>
      <c r="BI258" s="1"/>
      <c r="BJ258" s="1"/>
    </row>
    <row r="259" spans="1:62" x14ac:dyDescent="0.25">
      <c r="A259" s="8"/>
      <c r="B259" s="9" t="s">
        <v>1093</v>
      </c>
      <c r="C259" s="1"/>
      <c r="D259" s="1"/>
      <c r="E259" s="1"/>
      <c r="F259" s="1"/>
      <c r="G259" s="1"/>
      <c r="H259" s="1"/>
      <c r="I259" s="1"/>
      <c r="J259" s="1"/>
      <c r="K259" s="1"/>
      <c r="L259" s="1"/>
      <c r="M259" s="1"/>
      <c r="N259" s="161"/>
      <c r="O259" s="1"/>
      <c r="P259" s="1"/>
      <c r="Q259" s="1"/>
      <c r="R259" s="1"/>
      <c r="S259" s="1"/>
      <c r="T259" s="1"/>
      <c r="U259" s="1"/>
      <c r="V259" s="1"/>
      <c r="W259" s="1"/>
      <c r="X259" s="1"/>
      <c r="Y259" s="1"/>
      <c r="Z259" s="1"/>
      <c r="AA259" s="1"/>
      <c r="AB259" s="1"/>
      <c r="AC259" s="1"/>
      <c r="AD259" s="1"/>
      <c r="AE259" s="1"/>
      <c r="AF259" s="1"/>
      <c r="AG259" s="1"/>
      <c r="AH259" s="1"/>
      <c r="AI259" s="1"/>
      <c r="AJ259" s="1"/>
      <c r="AK259" s="1"/>
      <c r="AL259" s="1"/>
      <c r="AM259" s="1"/>
      <c r="AN259" s="1"/>
      <c r="AO259" s="1"/>
      <c r="AP259" s="1"/>
      <c r="AQ259" s="1"/>
      <c r="AR259" s="1"/>
      <c r="AS259" s="1"/>
      <c r="AT259" s="1"/>
      <c r="AU259" s="1"/>
      <c r="AV259" s="1"/>
      <c r="AW259" s="1"/>
      <c r="AX259" s="1"/>
      <c r="AY259" s="1"/>
      <c r="AZ259" s="1"/>
      <c r="BA259" s="1"/>
      <c r="BB259" s="1"/>
      <c r="BC259" s="1"/>
      <c r="BD259" s="1"/>
      <c r="BE259" s="1"/>
      <c r="BF259" s="1"/>
      <c r="BG259" s="1"/>
      <c r="BH259" s="1"/>
      <c r="BI259" s="1"/>
      <c r="BJ259" s="1"/>
    </row>
    <row r="260" spans="1:62" x14ac:dyDescent="0.25">
      <c r="A260" s="4"/>
      <c r="B260" s="9" t="s">
        <v>1094</v>
      </c>
      <c r="C260" s="1"/>
      <c r="D260" s="1"/>
      <c r="E260" s="1"/>
      <c r="F260" s="1"/>
      <c r="G260" s="1"/>
      <c r="H260" s="1"/>
      <c r="I260" s="1"/>
      <c r="J260" s="1"/>
      <c r="K260" s="1"/>
      <c r="L260" s="1"/>
      <c r="M260" s="1"/>
      <c r="N260" s="161"/>
      <c r="O260" s="1"/>
      <c r="P260" s="1"/>
      <c r="Q260" s="1"/>
      <c r="R260" s="1"/>
      <c r="S260" s="1"/>
      <c r="T260" s="1"/>
      <c r="U260" s="1"/>
      <c r="V260" s="1"/>
      <c r="W260" s="1"/>
      <c r="X260" s="1"/>
      <c r="Y260" s="1"/>
      <c r="Z260" s="1"/>
      <c r="AA260" s="1"/>
      <c r="AB260" s="1"/>
      <c r="AC260" s="1"/>
      <c r="AD260" s="1"/>
      <c r="AE260" s="1"/>
      <c r="AF260" s="1"/>
      <c r="AG260" s="1"/>
      <c r="AH260" s="1"/>
      <c r="AI260" s="1"/>
      <c r="AJ260" s="1"/>
      <c r="AK260" s="1"/>
      <c r="AL260" s="1"/>
      <c r="AM260" s="1"/>
      <c r="AN260" s="1"/>
      <c r="AO260" s="1"/>
      <c r="AP260" s="1"/>
      <c r="AQ260" s="1"/>
      <c r="AR260" s="1"/>
      <c r="AS260" s="1"/>
      <c r="AT260" s="1"/>
      <c r="AU260" s="1"/>
      <c r="AV260" s="1"/>
      <c r="AW260" s="1"/>
      <c r="AX260" s="1"/>
      <c r="AY260" s="1"/>
      <c r="AZ260" s="1"/>
      <c r="BA260" s="1"/>
      <c r="BB260" s="1"/>
      <c r="BC260" s="1"/>
      <c r="BD260" s="1"/>
      <c r="BE260" s="1"/>
      <c r="BF260" s="1"/>
      <c r="BG260" s="1"/>
      <c r="BH260" s="1"/>
      <c r="BI260" s="1"/>
      <c r="BJ260" s="1"/>
    </row>
    <row r="261" spans="1:62" x14ac:dyDescent="0.25">
      <c r="A261" s="10"/>
      <c r="B261" s="9" t="s">
        <v>1095</v>
      </c>
      <c r="C261" s="1"/>
      <c r="D261" s="1"/>
      <c r="E261" s="1"/>
      <c r="F261" s="1"/>
      <c r="G261" s="1"/>
      <c r="H261" s="1"/>
      <c r="I261" s="1"/>
      <c r="J261" s="1"/>
      <c r="K261" s="1"/>
      <c r="L261" s="1"/>
      <c r="M261" s="1"/>
      <c r="N261" s="161"/>
      <c r="O261" s="1"/>
      <c r="P261" s="1"/>
      <c r="Q261" s="1"/>
      <c r="R261" s="1"/>
      <c r="S261" s="1"/>
      <c r="T261" s="1"/>
      <c r="U261" s="1"/>
      <c r="V261" s="1"/>
      <c r="W261" s="1"/>
      <c r="X261" s="1"/>
      <c r="Y261" s="1"/>
      <c r="Z261" s="1"/>
      <c r="AA261" s="1"/>
      <c r="AB261" s="1"/>
      <c r="AC261" s="1"/>
      <c r="AD261" s="1"/>
      <c r="AE261" s="1"/>
      <c r="AF261" s="1"/>
      <c r="AG261" s="1"/>
      <c r="AH261" s="1"/>
      <c r="AI261" s="1"/>
      <c r="AJ261" s="1"/>
      <c r="AK261" s="1"/>
      <c r="AL261" s="1"/>
      <c r="AM261" s="1"/>
      <c r="AN261" s="1"/>
      <c r="AO261" s="1"/>
      <c r="AP261" s="1"/>
      <c r="AQ261" s="1"/>
      <c r="AR261" s="1"/>
      <c r="AS261" s="1"/>
      <c r="AT261" s="1"/>
      <c r="AU261" s="1"/>
      <c r="AV261" s="1"/>
      <c r="AW261" s="1"/>
      <c r="AX261" s="1"/>
      <c r="AY261" s="1"/>
      <c r="AZ261" s="1"/>
      <c r="BA261" s="1"/>
      <c r="BB261" s="1"/>
      <c r="BC261" s="1"/>
      <c r="BD261" s="1"/>
      <c r="BE261" s="1"/>
      <c r="BF261" s="1"/>
      <c r="BG261" s="1"/>
      <c r="BH261" s="1"/>
      <c r="BI261" s="1"/>
      <c r="BJ261" s="1"/>
    </row>
    <row r="262" spans="1:62" x14ac:dyDescent="0.25">
      <c r="A262" s="1"/>
      <c r="B262" s="1"/>
      <c r="C262" s="1"/>
      <c r="D262" s="1"/>
      <c r="E262" s="1"/>
      <c r="F262" s="1"/>
      <c r="G262" s="1"/>
      <c r="H262" s="1"/>
      <c r="I262" s="1"/>
      <c r="J262" s="1"/>
      <c r="K262" s="1"/>
      <c r="L262" s="1"/>
      <c r="M262" s="1"/>
      <c r="N262" s="161"/>
      <c r="O262" s="1"/>
      <c r="P262" s="1"/>
      <c r="Q262" s="1"/>
      <c r="R262" s="1"/>
      <c r="S262" s="1"/>
      <c r="T262" s="1"/>
      <c r="U262" s="1"/>
      <c r="V262" s="1"/>
      <c r="W262" s="1"/>
      <c r="X262" s="1"/>
      <c r="Y262" s="1"/>
      <c r="Z262" s="1"/>
      <c r="AA262" s="1"/>
      <c r="AB262" s="1"/>
      <c r="AC262" s="1"/>
      <c r="AD262" s="1"/>
      <c r="AE262" s="1"/>
      <c r="AF262" s="1"/>
      <c r="AG262" s="1"/>
      <c r="AH262" s="1"/>
      <c r="AI262" s="1"/>
      <c r="AJ262" s="1"/>
      <c r="AK262" s="1"/>
      <c r="AL262" s="1"/>
      <c r="AM262" s="1"/>
      <c r="AN262" s="1"/>
      <c r="AO262" s="1"/>
      <c r="AP262" s="1"/>
      <c r="AQ262" s="1"/>
      <c r="AR262" s="1"/>
      <c r="AS262" s="1"/>
      <c r="AT262" s="1"/>
      <c r="AU262" s="1"/>
      <c r="AV262" s="1"/>
      <c r="AW262" s="1"/>
      <c r="AX262" s="1"/>
      <c r="AY262" s="1"/>
      <c r="AZ262" s="1"/>
      <c r="BA262" s="1"/>
      <c r="BB262" s="1"/>
      <c r="BC262" s="1"/>
      <c r="BD262" s="1"/>
      <c r="BE262" s="1"/>
      <c r="BF262" s="1"/>
      <c r="BG262" s="1"/>
      <c r="BH262" s="1"/>
      <c r="BI262" s="1"/>
      <c r="BJ262" s="1"/>
    </row>
    <row r="263" spans="1:62" x14ac:dyDescent="0.25">
      <c r="A263" s="1"/>
      <c r="B263" s="1"/>
      <c r="C263" s="1"/>
      <c r="D263" s="1"/>
      <c r="E263" s="1"/>
      <c r="F263" s="1"/>
      <c r="G263" s="1"/>
      <c r="H263" s="1"/>
      <c r="I263" s="1"/>
      <c r="J263" s="1"/>
      <c r="K263" s="1"/>
      <c r="L263" s="1"/>
      <c r="M263" s="1"/>
      <c r="N263" s="161"/>
      <c r="O263" s="1"/>
      <c r="P263" s="1"/>
      <c r="Q263" s="1"/>
      <c r="R263" s="1"/>
      <c r="S263" s="1"/>
      <c r="T263" s="1"/>
      <c r="U263" s="1"/>
      <c r="V263" s="1"/>
      <c r="W263" s="1"/>
      <c r="X263" s="1"/>
      <c r="Y263" s="1"/>
      <c r="Z263" s="1"/>
      <c r="AA263" s="1"/>
      <c r="AB263" s="1"/>
      <c r="AC263" s="1"/>
      <c r="AD263" s="1"/>
      <c r="AE263" s="1"/>
      <c r="AF263" s="1"/>
      <c r="AG263" s="1"/>
      <c r="AH263" s="1"/>
      <c r="AI263" s="1"/>
      <c r="AJ263" s="1"/>
      <c r="AK263" s="1"/>
      <c r="AL263" s="1"/>
      <c r="AM263" s="1"/>
      <c r="AN263" s="1"/>
      <c r="AO263" s="1"/>
      <c r="AP263" s="1"/>
      <c r="AQ263" s="1"/>
      <c r="AR263" s="1"/>
      <c r="AS263" s="1"/>
      <c r="AT263" s="1"/>
      <c r="AU263" s="1"/>
      <c r="AV263" s="1"/>
      <c r="AW263" s="1"/>
      <c r="AX263" s="1"/>
      <c r="AY263" s="1"/>
      <c r="AZ263" s="1"/>
      <c r="BA263" s="1"/>
      <c r="BB263" s="1"/>
      <c r="BC263" s="1"/>
      <c r="BD263" s="1"/>
      <c r="BE263" s="1"/>
      <c r="BF263" s="1"/>
      <c r="BG263" s="1"/>
      <c r="BH263" s="1"/>
      <c r="BI263" s="1"/>
      <c r="BJ263" s="1"/>
    </row>
    <row r="264" spans="1:62" x14ac:dyDescent="0.25">
      <c r="A264" s="1"/>
      <c r="B264" s="1"/>
      <c r="C264" s="1"/>
      <c r="D264" s="1"/>
      <c r="E264" s="1"/>
      <c r="F264" s="1"/>
      <c r="G264" s="1"/>
      <c r="H264" s="1"/>
      <c r="I264" s="1"/>
      <c r="J264" s="1"/>
      <c r="K264" s="1"/>
      <c r="L264" s="1"/>
      <c r="M264" s="1"/>
      <c r="N264" s="161"/>
      <c r="O264" s="1"/>
      <c r="P264" s="1"/>
      <c r="Q264" s="1"/>
      <c r="R264" s="1"/>
      <c r="S264" s="1"/>
      <c r="T264" s="1"/>
      <c r="U264" s="1"/>
      <c r="V264" s="1"/>
      <c r="W264" s="1"/>
      <c r="X264" s="1"/>
      <c r="Y264" s="1"/>
      <c r="Z264" s="1"/>
      <c r="AA264" s="1"/>
      <c r="AB264" s="1"/>
      <c r="AC264" s="1"/>
      <c r="AD264" s="1"/>
      <c r="AE264" s="1"/>
      <c r="AF264" s="1"/>
      <c r="AG264" s="1"/>
      <c r="AH264" s="1"/>
      <c r="AI264" s="1"/>
      <c r="AJ264" s="1"/>
      <c r="AK264" s="1"/>
      <c r="AL264" s="1"/>
      <c r="AM264" s="1"/>
      <c r="AN264" s="1"/>
      <c r="AO264" s="1"/>
      <c r="AP264" s="1"/>
      <c r="AQ264" s="1"/>
      <c r="AR264" s="1"/>
      <c r="AS264" s="1"/>
      <c r="AT264" s="1"/>
      <c r="AU264" s="1"/>
      <c r="AV264" s="1"/>
      <c r="AW264" s="1"/>
      <c r="AX264" s="1"/>
      <c r="AY264" s="1"/>
      <c r="AZ264" s="1"/>
      <c r="BA264" s="1"/>
      <c r="BB264" s="1"/>
      <c r="BC264" s="1"/>
      <c r="BD264" s="1"/>
      <c r="BE264" s="1"/>
      <c r="BF264" s="1"/>
      <c r="BG264" s="1"/>
      <c r="BH264" s="1"/>
      <c r="BI264" s="1"/>
      <c r="BJ264" s="1"/>
    </row>
    <row r="265" spans="1:62" x14ac:dyDescent="0.25">
      <c r="A265" s="1"/>
      <c r="B265" s="1"/>
      <c r="C265" s="1"/>
      <c r="D265" s="1"/>
      <c r="E265" s="1"/>
      <c r="F265" s="1"/>
      <c r="G265" s="1"/>
      <c r="H265" s="1"/>
      <c r="I265" s="1"/>
      <c r="J265" s="1"/>
      <c r="K265" s="1"/>
      <c r="L265" s="1"/>
      <c r="M265" s="1"/>
      <c r="N265" s="161"/>
      <c r="O265" s="1"/>
      <c r="P265" s="1"/>
      <c r="Q265" s="1"/>
      <c r="R265" s="1"/>
      <c r="S265" s="1"/>
      <c r="T265" s="1"/>
      <c r="U265" s="1"/>
      <c r="V265" s="1"/>
      <c r="W265" s="1"/>
      <c r="X265" s="1"/>
      <c r="Y265" s="1"/>
      <c r="Z265" s="1"/>
      <c r="AA265" s="1"/>
      <c r="AB265" s="1"/>
      <c r="AC265" s="1"/>
      <c r="AD265" s="1"/>
      <c r="AE265" s="1"/>
      <c r="AF265" s="1"/>
      <c r="AG265" s="1"/>
      <c r="AH265" s="1"/>
      <c r="AI265" s="1"/>
      <c r="AJ265" s="1"/>
      <c r="AK265" s="1"/>
      <c r="AL265" s="1"/>
      <c r="AM265" s="1"/>
      <c r="AN265" s="1"/>
      <c r="AO265" s="1"/>
      <c r="AP265" s="1"/>
      <c r="AQ265" s="1"/>
      <c r="AR265" s="1"/>
      <c r="AS265" s="1"/>
      <c r="AT265" s="1"/>
      <c r="AU265" s="1"/>
      <c r="AV265" s="1"/>
      <c r="AW265" s="1"/>
      <c r="AX265" s="1"/>
      <c r="AY265" s="1"/>
      <c r="AZ265" s="1"/>
      <c r="BA265" s="1"/>
      <c r="BB265" s="1"/>
      <c r="BC265" s="1"/>
      <c r="BD265" s="1"/>
      <c r="BE265" s="1"/>
      <c r="BF265" s="1"/>
      <c r="BG265" s="1"/>
      <c r="BH265" s="1"/>
      <c r="BI265" s="1"/>
      <c r="BJ265" s="1"/>
    </row>
    <row r="266" spans="1:62" x14ac:dyDescent="0.25">
      <c r="A266" s="1"/>
      <c r="B266" s="1"/>
      <c r="C266" s="1"/>
      <c r="D266" s="1"/>
      <c r="E266" s="1"/>
      <c r="F266" s="1"/>
      <c r="G266" s="1"/>
      <c r="H266" s="1"/>
      <c r="I266" s="1"/>
      <c r="J266" s="1"/>
      <c r="K266" s="1"/>
      <c r="L266" s="1"/>
      <c r="M266" s="1"/>
      <c r="N266" s="161"/>
      <c r="O266" s="1"/>
      <c r="P266" s="1"/>
      <c r="Q266" s="1"/>
      <c r="R266" s="1"/>
      <c r="S266" s="1"/>
      <c r="T266" s="1"/>
      <c r="U266" s="1"/>
      <c r="V266" s="1"/>
      <c r="W266" s="1"/>
      <c r="X266" s="1"/>
      <c r="Y266" s="1"/>
      <c r="Z266" s="1"/>
      <c r="AA266" s="1"/>
      <c r="AB266" s="1"/>
      <c r="AC266" s="1"/>
      <c r="AD266" s="1"/>
      <c r="AE266" s="1"/>
      <c r="AF266" s="1"/>
      <c r="AG266" s="1"/>
      <c r="AH266" s="1"/>
      <c r="AI266" s="1"/>
      <c r="AJ266" s="1"/>
      <c r="AK266" s="1"/>
      <c r="AL266" s="1"/>
      <c r="AM266" s="1"/>
      <c r="AN266" s="1"/>
      <c r="AO266" s="1"/>
      <c r="AP266" s="1"/>
      <c r="AQ266" s="1"/>
      <c r="AR266" s="1"/>
      <c r="AS266" s="1"/>
      <c r="AT266" s="1"/>
      <c r="AU266" s="1"/>
      <c r="AV266" s="1"/>
      <c r="AW266" s="1"/>
      <c r="AX266" s="1"/>
      <c r="AY266" s="1"/>
      <c r="AZ266" s="1"/>
      <c r="BA266" s="1"/>
      <c r="BB266" s="1"/>
      <c r="BC266" s="1"/>
      <c r="BD266" s="1"/>
      <c r="BE266" s="1"/>
      <c r="BF266" s="1"/>
      <c r="BG266" s="1"/>
      <c r="BH266" s="1"/>
      <c r="BI266" s="1"/>
      <c r="BJ266" s="1"/>
    </row>
    <row r="267" spans="1:62" x14ac:dyDescent="0.25">
      <c r="A267" s="1"/>
      <c r="B267" s="1"/>
      <c r="C267" s="1"/>
      <c r="D267" s="1"/>
      <c r="E267" s="1"/>
      <c r="F267" s="1"/>
      <c r="G267" s="1"/>
      <c r="H267" s="1"/>
      <c r="I267" s="1"/>
      <c r="J267" s="1"/>
      <c r="K267" s="1"/>
      <c r="L267" s="1"/>
      <c r="M267" s="1"/>
      <c r="N267" s="161"/>
      <c r="O267" s="1"/>
      <c r="P267" s="1"/>
      <c r="Q267" s="1"/>
      <c r="R267" s="1"/>
      <c r="S267" s="1"/>
      <c r="T267" s="1"/>
      <c r="U267" s="1"/>
      <c r="V267" s="1"/>
      <c r="W267" s="1"/>
      <c r="X267" s="1"/>
      <c r="Y267" s="1"/>
      <c r="Z267" s="1"/>
      <c r="AA267" s="1"/>
      <c r="AB267" s="1"/>
      <c r="AC267" s="1"/>
      <c r="AD267" s="1"/>
      <c r="AE267" s="1"/>
      <c r="AF267" s="1"/>
      <c r="AG267" s="1"/>
      <c r="AH267" s="1"/>
      <c r="AI267" s="1"/>
      <c r="AJ267" s="1"/>
      <c r="AK267" s="1"/>
      <c r="AL267" s="1"/>
      <c r="AM267" s="1"/>
      <c r="AN267" s="1"/>
      <c r="AO267" s="1"/>
      <c r="AP267" s="1"/>
      <c r="AQ267" s="1"/>
      <c r="AR267" s="1"/>
      <c r="AS267" s="1"/>
      <c r="AT267" s="1"/>
      <c r="AU267" s="1"/>
      <c r="AV267" s="1"/>
      <c r="AW267" s="1"/>
      <c r="AX267" s="1"/>
      <c r="AY267" s="1"/>
      <c r="AZ267" s="1"/>
      <c r="BA267" s="1"/>
      <c r="BB267" s="1"/>
      <c r="BC267" s="1"/>
      <c r="BD267" s="1"/>
      <c r="BE267" s="1"/>
      <c r="BF267" s="1"/>
      <c r="BG267" s="1"/>
      <c r="BH267" s="1"/>
      <c r="BI267" s="1"/>
      <c r="BJ267" s="1"/>
    </row>
    <row r="268" spans="1:62" x14ac:dyDescent="0.25">
      <c r="A268" s="1"/>
      <c r="B268" s="1"/>
      <c r="C268" s="1"/>
      <c r="D268" s="1"/>
      <c r="E268" s="1"/>
      <c r="F268" s="1"/>
      <c r="G268" s="1"/>
      <c r="H268" s="1"/>
      <c r="I268" s="1"/>
      <c r="J268" s="1"/>
      <c r="K268" s="1"/>
      <c r="L268" s="1"/>
      <c r="M268" s="1"/>
      <c r="N268" s="161"/>
      <c r="O268" s="1"/>
      <c r="P268" s="1"/>
      <c r="Q268" s="1"/>
      <c r="R268" s="1"/>
      <c r="S268" s="1"/>
      <c r="T268" s="1"/>
      <c r="U268" s="1"/>
      <c r="V268" s="1"/>
      <c r="W268" s="1"/>
      <c r="X268" s="1"/>
      <c r="Y268" s="1"/>
      <c r="Z268" s="1"/>
      <c r="AA268" s="1"/>
      <c r="AB268" s="1"/>
      <c r="AC268" s="1"/>
      <c r="AD268" s="1"/>
      <c r="AE268" s="1"/>
      <c r="AF268" s="1"/>
      <c r="AG268" s="1"/>
      <c r="AH268" s="1"/>
      <c r="AI268" s="1"/>
      <c r="AJ268" s="1"/>
      <c r="AK268" s="1"/>
      <c r="AL268" s="1"/>
      <c r="AM268" s="1"/>
      <c r="AN268" s="1"/>
      <c r="AO268" s="1"/>
      <c r="AP268" s="1"/>
      <c r="AQ268" s="1"/>
      <c r="AR268" s="1"/>
      <c r="AS268" s="1"/>
      <c r="AT268" s="1"/>
      <c r="AU268" s="1"/>
      <c r="AV268" s="1"/>
      <c r="AW268" s="1"/>
      <c r="AX268" s="1"/>
      <c r="AY268" s="1"/>
      <c r="AZ268" s="1"/>
      <c r="BA268" s="1"/>
      <c r="BB268" s="1"/>
      <c r="BC268" s="1"/>
      <c r="BD268" s="1"/>
      <c r="BE268" s="1"/>
      <c r="BF268" s="1"/>
      <c r="BG268" s="1"/>
      <c r="BH268" s="1"/>
      <c r="BI268" s="1"/>
      <c r="BJ268" s="1"/>
    </row>
    <row r="269" spans="1:62" x14ac:dyDescent="0.25">
      <c r="A269" s="1"/>
      <c r="B269" s="1"/>
      <c r="C269" s="1"/>
      <c r="D269" s="1"/>
      <c r="E269" s="1"/>
      <c r="F269" s="1"/>
      <c r="G269" s="1"/>
      <c r="H269" s="1"/>
      <c r="I269" s="1"/>
      <c r="J269" s="1"/>
      <c r="K269" s="1"/>
      <c r="L269" s="1"/>
      <c r="M269" s="1"/>
      <c r="N269" s="161"/>
      <c r="O269" s="1"/>
      <c r="P269" s="1"/>
      <c r="Q269" s="1"/>
      <c r="R269" s="1"/>
      <c r="S269" s="1"/>
      <c r="T269" s="1"/>
      <c r="U269" s="1"/>
      <c r="V269" s="1"/>
      <c r="W269" s="1"/>
      <c r="X269" s="1"/>
      <c r="Y269" s="1"/>
      <c r="Z269" s="1"/>
      <c r="AA269" s="1"/>
      <c r="AB269" s="1"/>
      <c r="AC269" s="1"/>
      <c r="AD269" s="1"/>
      <c r="AE269" s="1"/>
      <c r="AF269" s="1"/>
      <c r="AG269" s="1"/>
      <c r="AH269" s="1"/>
      <c r="AI269" s="1"/>
      <c r="AJ269" s="1"/>
      <c r="AK269" s="1"/>
      <c r="AL269" s="1"/>
      <c r="AM269" s="1"/>
      <c r="AN269" s="1"/>
      <c r="AO269" s="1"/>
      <c r="AP269" s="1"/>
      <c r="AQ269" s="1"/>
      <c r="AR269" s="1"/>
      <c r="AS269" s="1"/>
      <c r="AT269" s="1"/>
      <c r="AU269" s="1"/>
      <c r="AV269" s="1"/>
      <c r="AW269" s="1"/>
      <c r="AX269" s="1"/>
      <c r="AY269" s="1"/>
      <c r="AZ269" s="1"/>
      <c r="BA269" s="1"/>
      <c r="BB269" s="1"/>
      <c r="BC269" s="1"/>
      <c r="BD269" s="1"/>
      <c r="BE269" s="1"/>
      <c r="BF269" s="1"/>
      <c r="BG269" s="1"/>
      <c r="BH269" s="1"/>
      <c r="BI269" s="1"/>
      <c r="BJ269" s="1"/>
    </row>
    <row r="270" spans="1:62" x14ac:dyDescent="0.25">
      <c r="A270" s="1"/>
      <c r="B270" s="1"/>
      <c r="C270" s="1"/>
      <c r="D270" s="1"/>
      <c r="E270" s="1"/>
      <c r="F270" s="1"/>
      <c r="G270" s="1"/>
      <c r="H270" s="1"/>
      <c r="I270" s="1"/>
      <c r="J270" s="1"/>
      <c r="K270" s="1"/>
      <c r="L270" s="1"/>
      <c r="M270" s="1"/>
      <c r="N270" s="161"/>
      <c r="O270" s="1"/>
      <c r="P270" s="1"/>
      <c r="Q270" s="1"/>
      <c r="R270" s="1"/>
      <c r="S270" s="1"/>
      <c r="T270" s="1"/>
      <c r="U270" s="1"/>
      <c r="V270" s="1"/>
      <c r="W270" s="1"/>
      <c r="X270" s="1"/>
      <c r="Y270" s="1"/>
      <c r="Z270" s="1"/>
      <c r="AA270" s="1"/>
      <c r="AB270" s="1"/>
      <c r="AC270" s="1"/>
      <c r="AD270" s="1"/>
      <c r="AE270" s="1"/>
      <c r="AF270" s="1"/>
      <c r="AG270" s="1"/>
      <c r="AH270" s="1"/>
      <c r="AI270" s="1"/>
      <c r="AJ270" s="1"/>
      <c r="AK270" s="1"/>
      <c r="AL270" s="1"/>
      <c r="AM270" s="1"/>
      <c r="AN270" s="1"/>
      <c r="AO270" s="1"/>
      <c r="AP270" s="1"/>
      <c r="AQ270" s="1"/>
      <c r="AR270" s="1"/>
      <c r="AS270" s="1"/>
      <c r="AT270" s="1"/>
      <c r="AU270" s="1"/>
      <c r="AV270" s="1"/>
      <c r="AW270" s="1"/>
      <c r="AX270" s="1"/>
      <c r="AY270" s="1"/>
      <c r="AZ270" s="1"/>
      <c r="BA270" s="1"/>
      <c r="BB270" s="1"/>
      <c r="BC270" s="1"/>
      <c r="BD270" s="1"/>
      <c r="BE270" s="1"/>
      <c r="BF270" s="1"/>
      <c r="BG270" s="1"/>
      <c r="BH270" s="1"/>
      <c r="BI270" s="1"/>
      <c r="BJ270" s="1"/>
    </row>
    <row r="271" spans="1:62" x14ac:dyDescent="0.25">
      <c r="A271" s="1"/>
      <c r="B271" s="1"/>
      <c r="C271" s="1"/>
      <c r="D271" s="1"/>
      <c r="E271" s="1"/>
      <c r="F271" s="1"/>
      <c r="G271" s="1"/>
      <c r="H271" s="1"/>
      <c r="I271" s="1"/>
      <c r="J271" s="1"/>
      <c r="K271" s="1"/>
      <c r="L271" s="1"/>
      <c r="M271" s="1"/>
      <c r="N271" s="161"/>
      <c r="O271" s="1"/>
      <c r="P271" s="1"/>
      <c r="Q271" s="1"/>
      <c r="R271" s="1"/>
      <c r="S271" s="1"/>
      <c r="T271" s="1"/>
      <c r="U271" s="1"/>
      <c r="V271" s="1"/>
      <c r="W271" s="1"/>
      <c r="X271" s="1"/>
      <c r="Y271" s="1"/>
      <c r="Z271" s="1"/>
      <c r="AA271" s="1"/>
      <c r="AB271" s="1"/>
      <c r="AC271" s="1"/>
      <c r="AD271" s="1"/>
      <c r="AE271" s="1"/>
      <c r="AF271" s="1"/>
      <c r="AG271" s="1"/>
      <c r="AH271" s="1"/>
      <c r="AI271" s="1"/>
      <c r="AJ271" s="1"/>
      <c r="AK271" s="1"/>
      <c r="AL271" s="1"/>
      <c r="AM271" s="1"/>
      <c r="AN271" s="1"/>
      <c r="AO271" s="1"/>
      <c r="AP271" s="1"/>
      <c r="AQ271" s="1"/>
      <c r="AR271" s="1"/>
      <c r="AS271" s="1"/>
      <c r="AT271" s="1"/>
      <c r="AU271" s="1"/>
      <c r="AV271" s="1"/>
      <c r="AW271" s="1"/>
      <c r="AX271" s="1"/>
      <c r="AY271" s="1"/>
      <c r="AZ271" s="1"/>
      <c r="BA271" s="1"/>
      <c r="BB271" s="1"/>
      <c r="BC271" s="1"/>
      <c r="BD271" s="1"/>
      <c r="BE271" s="1"/>
      <c r="BF271" s="1"/>
      <c r="BG271" s="1"/>
      <c r="BH271" s="1"/>
      <c r="BI271" s="1"/>
      <c r="BJ271" s="1"/>
    </row>
    <row r="272" spans="1:62" x14ac:dyDescent="0.25">
      <c r="A272" s="1"/>
      <c r="B272" s="1"/>
      <c r="C272" s="1"/>
      <c r="D272" s="1"/>
      <c r="E272" s="1"/>
      <c r="F272" s="1"/>
      <c r="G272" s="1"/>
      <c r="H272" s="1"/>
      <c r="I272" s="1"/>
      <c r="J272" s="1"/>
      <c r="K272" s="1"/>
      <c r="L272" s="1"/>
      <c r="M272" s="1"/>
      <c r="N272" s="161"/>
      <c r="O272" s="1"/>
      <c r="P272" s="1"/>
      <c r="Q272" s="1"/>
      <c r="R272" s="1"/>
      <c r="S272" s="1"/>
      <c r="T272" s="1"/>
      <c r="U272" s="1"/>
      <c r="V272" s="1"/>
      <c r="W272" s="1"/>
      <c r="X272" s="1"/>
      <c r="Y272" s="1"/>
      <c r="Z272" s="1"/>
      <c r="AA272" s="1"/>
      <c r="AB272" s="1"/>
      <c r="AC272" s="1"/>
      <c r="AD272" s="1"/>
      <c r="AE272" s="1"/>
      <c r="AF272" s="1"/>
      <c r="AG272" s="1"/>
      <c r="AH272" s="1"/>
      <c r="AI272" s="1"/>
      <c r="AJ272" s="1"/>
      <c r="AK272" s="1"/>
      <c r="AL272" s="1"/>
      <c r="AM272" s="1"/>
      <c r="AN272" s="1"/>
      <c r="AO272" s="1"/>
      <c r="AP272" s="1"/>
      <c r="AQ272" s="1"/>
      <c r="AR272" s="1"/>
      <c r="AS272" s="1"/>
      <c r="AT272" s="1"/>
      <c r="AU272" s="1"/>
      <c r="AV272" s="1"/>
      <c r="AW272" s="1"/>
      <c r="AX272" s="1"/>
      <c r="AY272" s="1"/>
      <c r="AZ272" s="1"/>
      <c r="BA272" s="1"/>
      <c r="BB272" s="1"/>
      <c r="BC272" s="1"/>
      <c r="BD272" s="1"/>
      <c r="BE272" s="1"/>
      <c r="BF272" s="1"/>
      <c r="BG272" s="1"/>
      <c r="BH272" s="1"/>
      <c r="BI272" s="1"/>
      <c r="BJ272" s="1"/>
    </row>
    <row r="273" spans="1:62" x14ac:dyDescent="0.25">
      <c r="A273" s="1"/>
      <c r="B273" s="1"/>
      <c r="C273" s="1"/>
      <c r="D273" s="1"/>
      <c r="E273" s="1"/>
      <c r="F273" s="1"/>
      <c r="G273" s="1"/>
      <c r="H273" s="1"/>
      <c r="I273" s="1"/>
      <c r="J273" s="1"/>
      <c r="K273" s="1"/>
      <c r="L273" s="1"/>
      <c r="M273" s="1"/>
      <c r="N273" s="161"/>
      <c r="O273" s="1"/>
      <c r="P273" s="1"/>
      <c r="Q273" s="1"/>
      <c r="R273" s="1"/>
      <c r="S273" s="1"/>
      <c r="T273" s="1"/>
      <c r="U273" s="1"/>
      <c r="V273" s="1"/>
      <c r="W273" s="1"/>
      <c r="X273" s="1"/>
      <c r="Y273" s="1"/>
      <c r="Z273" s="1"/>
      <c r="AA273" s="1"/>
      <c r="AB273" s="1"/>
      <c r="AC273" s="1"/>
      <c r="AD273" s="1"/>
      <c r="AE273" s="1"/>
      <c r="AF273" s="1"/>
      <c r="AG273" s="1"/>
      <c r="AH273" s="1"/>
      <c r="AI273" s="1"/>
      <c r="AJ273" s="1"/>
      <c r="AK273" s="1"/>
      <c r="AL273" s="1"/>
      <c r="AM273" s="1"/>
      <c r="AN273" s="1"/>
      <c r="AO273" s="1"/>
      <c r="AP273" s="1"/>
      <c r="AQ273" s="1"/>
      <c r="AR273" s="1"/>
      <c r="AS273" s="1"/>
      <c r="AT273" s="1"/>
      <c r="AU273" s="1"/>
      <c r="AV273" s="1"/>
      <c r="AW273" s="1"/>
      <c r="AX273" s="1"/>
      <c r="AY273" s="1"/>
      <c r="AZ273" s="1"/>
      <c r="BA273" s="1"/>
      <c r="BB273" s="1"/>
      <c r="BC273" s="1"/>
      <c r="BD273" s="1"/>
      <c r="BE273" s="1"/>
      <c r="BF273" s="1"/>
      <c r="BG273" s="1"/>
      <c r="BH273" s="1"/>
      <c r="BI273" s="1"/>
      <c r="BJ273" s="1"/>
    </row>
    <row r="274" spans="1:62" x14ac:dyDescent="0.25">
      <c r="A274" s="1"/>
      <c r="B274" s="1"/>
      <c r="C274" s="1"/>
      <c r="D274" s="1"/>
      <c r="E274" s="1"/>
      <c r="F274" s="1"/>
      <c r="G274" s="1"/>
      <c r="H274" s="1"/>
      <c r="I274" s="1"/>
      <c r="J274" s="1"/>
      <c r="K274" s="1"/>
      <c r="L274" s="1"/>
      <c r="M274" s="1"/>
      <c r="N274" s="161"/>
      <c r="O274" s="1"/>
      <c r="P274" s="1"/>
      <c r="Q274" s="1"/>
      <c r="R274" s="1"/>
      <c r="S274" s="1"/>
      <c r="T274" s="1"/>
      <c r="U274" s="1"/>
      <c r="V274" s="1"/>
      <c r="W274" s="1"/>
      <c r="X274" s="1"/>
      <c r="Y274" s="1"/>
      <c r="Z274" s="1"/>
      <c r="AA274" s="1"/>
      <c r="AB274" s="1"/>
      <c r="AC274" s="1"/>
      <c r="AD274" s="1"/>
      <c r="AE274" s="1"/>
      <c r="AF274" s="1"/>
      <c r="AG274" s="1"/>
      <c r="AH274" s="1"/>
      <c r="AI274" s="1"/>
      <c r="AJ274" s="1"/>
      <c r="AK274" s="1"/>
      <c r="AL274" s="1"/>
      <c r="AM274" s="1"/>
      <c r="AN274" s="1"/>
      <c r="AO274" s="1"/>
      <c r="AP274" s="1"/>
      <c r="AQ274" s="1"/>
      <c r="AR274" s="1"/>
      <c r="AS274" s="1"/>
      <c r="AT274" s="1"/>
      <c r="AU274" s="1"/>
      <c r="AV274" s="1"/>
      <c r="AW274" s="1"/>
      <c r="AX274" s="1"/>
      <c r="AY274" s="1"/>
      <c r="AZ274" s="1"/>
      <c r="BA274" s="1"/>
      <c r="BB274" s="1"/>
      <c r="BC274" s="1"/>
      <c r="BD274" s="1"/>
      <c r="BE274" s="1"/>
      <c r="BF274" s="1"/>
      <c r="BG274" s="1"/>
      <c r="BH274" s="1"/>
      <c r="BI274" s="1"/>
      <c r="BJ274" s="1"/>
    </row>
    <row r="275" spans="1:62" x14ac:dyDescent="0.25">
      <c r="A275" s="1"/>
      <c r="B275" s="1"/>
      <c r="C275" s="1"/>
      <c r="D275" s="1"/>
      <c r="E275" s="1"/>
      <c r="F275" s="1"/>
      <c r="G275" s="1"/>
      <c r="H275" s="1"/>
      <c r="I275" s="1"/>
      <c r="J275" s="1"/>
      <c r="K275" s="1"/>
      <c r="L275" s="1"/>
      <c r="M275" s="1"/>
      <c r="N275" s="161"/>
      <c r="O275" s="1"/>
      <c r="P275" s="1"/>
      <c r="Q275" s="1"/>
      <c r="R275" s="1"/>
      <c r="S275" s="1"/>
      <c r="T275" s="1"/>
      <c r="U275" s="1"/>
      <c r="V275" s="1"/>
      <c r="W275" s="1"/>
      <c r="X275" s="1"/>
      <c r="Y275" s="1"/>
      <c r="Z275" s="1"/>
      <c r="AA275" s="1"/>
      <c r="AB275" s="1"/>
      <c r="AC275" s="1"/>
      <c r="AD275" s="1"/>
      <c r="AE275" s="1"/>
      <c r="AF275" s="1"/>
      <c r="AG275" s="1"/>
      <c r="AH275" s="1"/>
      <c r="AI275" s="1"/>
      <c r="AJ275" s="1"/>
      <c r="AK275" s="1"/>
      <c r="AL275" s="1"/>
      <c r="AM275" s="1"/>
      <c r="AN275" s="1"/>
      <c r="AO275" s="1"/>
      <c r="AP275" s="1"/>
      <c r="AQ275" s="1"/>
      <c r="AR275" s="1"/>
      <c r="AS275" s="1"/>
      <c r="AT275" s="1"/>
      <c r="AU275" s="1"/>
      <c r="AV275" s="1"/>
      <c r="AW275" s="1"/>
      <c r="AX275" s="1"/>
      <c r="AY275" s="1"/>
      <c r="AZ275" s="1"/>
      <c r="BA275" s="1"/>
      <c r="BB275" s="1"/>
      <c r="BC275" s="1"/>
      <c r="BD275" s="1"/>
      <c r="BE275" s="1"/>
      <c r="BF275" s="1"/>
      <c r="BG275" s="1"/>
      <c r="BH275" s="1"/>
      <c r="BI275" s="1"/>
      <c r="BJ275" s="1"/>
    </row>
    <row r="276" spans="1:62" x14ac:dyDescent="0.25">
      <c r="A276" s="1"/>
      <c r="B276" s="1"/>
      <c r="C276" s="1"/>
      <c r="D276" s="1"/>
      <c r="E276" s="1"/>
      <c r="F276" s="1"/>
      <c r="G276" s="1"/>
      <c r="H276" s="1"/>
      <c r="I276" s="1"/>
      <c r="J276" s="1"/>
      <c r="K276" s="1"/>
      <c r="L276" s="1"/>
      <c r="M276" s="1"/>
      <c r="N276" s="161"/>
      <c r="O276" s="1"/>
      <c r="P276" s="1"/>
      <c r="Q276" s="1"/>
      <c r="R276" s="1"/>
      <c r="S276" s="1"/>
      <c r="T276" s="1"/>
      <c r="U276" s="1"/>
      <c r="V276" s="1"/>
      <c r="W276" s="1"/>
      <c r="X276" s="1"/>
      <c r="Y276" s="1"/>
      <c r="Z276" s="1"/>
      <c r="AA276" s="1"/>
      <c r="AB276" s="1"/>
      <c r="AC276" s="1"/>
      <c r="AD276" s="1"/>
      <c r="AE276" s="1"/>
      <c r="AF276" s="1"/>
      <c r="AG276" s="1"/>
      <c r="AH276" s="1"/>
      <c r="AI276" s="1"/>
      <c r="AJ276" s="1"/>
      <c r="AK276" s="1"/>
      <c r="AL276" s="1"/>
      <c r="AM276" s="1"/>
      <c r="AN276" s="1"/>
      <c r="AO276" s="1"/>
      <c r="AP276" s="1"/>
      <c r="AQ276" s="1"/>
      <c r="AR276" s="1"/>
      <c r="AS276" s="1"/>
      <c r="AT276" s="1"/>
      <c r="AU276" s="1"/>
      <c r="AV276" s="1"/>
      <c r="AW276" s="1"/>
      <c r="AX276" s="1"/>
      <c r="AY276" s="1"/>
      <c r="AZ276" s="1"/>
      <c r="BA276" s="1"/>
      <c r="BB276" s="1"/>
      <c r="BC276" s="1"/>
      <c r="BD276" s="1"/>
      <c r="BE276" s="1"/>
      <c r="BF276" s="1"/>
      <c r="BG276" s="1"/>
      <c r="BH276" s="1"/>
      <c r="BI276" s="1"/>
      <c r="BJ276" s="1"/>
    </row>
    <row r="277" spans="1:62" x14ac:dyDescent="0.25">
      <c r="A277" s="1"/>
      <c r="B277" s="1"/>
      <c r="C277" s="1"/>
      <c r="D277" s="1"/>
      <c r="E277" s="1"/>
      <c r="F277" s="1"/>
      <c r="G277" s="1"/>
      <c r="H277" s="1"/>
      <c r="I277" s="1"/>
      <c r="J277" s="1"/>
      <c r="K277" s="1"/>
      <c r="L277" s="1"/>
      <c r="M277" s="1"/>
      <c r="N277" s="161"/>
      <c r="O277" s="1"/>
      <c r="P277" s="1"/>
      <c r="Q277" s="1"/>
      <c r="R277" s="1"/>
      <c r="S277" s="1"/>
      <c r="T277" s="1"/>
      <c r="U277" s="1"/>
      <c r="V277" s="1"/>
      <c r="W277" s="1"/>
      <c r="X277" s="1"/>
      <c r="Y277" s="1"/>
      <c r="Z277" s="1"/>
      <c r="AA277" s="1"/>
      <c r="AB277" s="1"/>
      <c r="AC277" s="1"/>
      <c r="AD277" s="1"/>
      <c r="AE277" s="1"/>
      <c r="AF277" s="1"/>
      <c r="AG277" s="1"/>
      <c r="AH277" s="1"/>
      <c r="AI277" s="1"/>
      <c r="AJ277" s="1"/>
      <c r="AK277" s="1"/>
      <c r="AL277" s="1"/>
      <c r="AM277" s="1"/>
      <c r="AN277" s="1"/>
      <c r="AO277" s="1"/>
      <c r="AP277" s="1"/>
      <c r="AQ277" s="1"/>
      <c r="AR277" s="1"/>
      <c r="AS277" s="1"/>
      <c r="AT277" s="1"/>
      <c r="AU277" s="1"/>
      <c r="AV277" s="1"/>
      <c r="AW277" s="1"/>
      <c r="AX277" s="1"/>
      <c r="AY277" s="1"/>
      <c r="AZ277" s="1"/>
      <c r="BA277" s="1"/>
      <c r="BB277" s="1"/>
      <c r="BC277" s="1"/>
      <c r="BD277" s="1"/>
      <c r="BE277" s="1"/>
      <c r="BF277" s="1"/>
      <c r="BG277" s="1"/>
      <c r="BH277" s="1"/>
      <c r="BI277" s="1"/>
      <c r="BJ277" s="1"/>
    </row>
    <row r="278" spans="1:62" x14ac:dyDescent="0.25">
      <c r="A278" s="1"/>
      <c r="B278" s="1"/>
      <c r="C278" s="1"/>
      <c r="D278" s="1"/>
      <c r="E278" s="1"/>
      <c r="F278" s="1"/>
      <c r="G278" s="1"/>
      <c r="H278" s="1"/>
      <c r="I278" s="1"/>
      <c r="J278" s="1"/>
      <c r="K278" s="1"/>
      <c r="L278" s="1"/>
      <c r="M278" s="1"/>
      <c r="N278" s="161"/>
      <c r="O278" s="1"/>
      <c r="P278" s="1"/>
      <c r="Q278" s="1"/>
      <c r="R278" s="1"/>
      <c r="S278" s="1"/>
      <c r="T278" s="1"/>
      <c r="U278" s="1"/>
      <c r="V278" s="1"/>
      <c r="W278" s="1"/>
      <c r="X278" s="1"/>
      <c r="Y278" s="1"/>
      <c r="Z278" s="1"/>
      <c r="AA278" s="1"/>
      <c r="AB278" s="1"/>
      <c r="AC278" s="1"/>
      <c r="AD278" s="1"/>
      <c r="AE278" s="1"/>
      <c r="AF278" s="1"/>
      <c r="AG278" s="1"/>
      <c r="AH278" s="1"/>
      <c r="AI278" s="1"/>
      <c r="AJ278" s="1"/>
      <c r="AK278" s="1"/>
      <c r="AL278" s="1"/>
      <c r="AM278" s="1"/>
      <c r="AN278" s="1"/>
      <c r="AO278" s="1"/>
      <c r="AP278" s="1"/>
      <c r="AQ278" s="1"/>
      <c r="AR278" s="1"/>
      <c r="AS278" s="1"/>
      <c r="AT278" s="1"/>
      <c r="AU278" s="1"/>
      <c r="AV278" s="1"/>
      <c r="AW278" s="1"/>
      <c r="AX278" s="1"/>
      <c r="AY278" s="1"/>
      <c r="AZ278" s="1"/>
      <c r="BA278" s="1"/>
      <c r="BB278" s="1"/>
      <c r="BC278" s="1"/>
      <c r="BD278" s="1"/>
      <c r="BE278" s="1"/>
      <c r="BF278" s="1"/>
      <c r="BG278" s="1"/>
      <c r="BH278" s="1"/>
      <c r="BI278" s="1"/>
      <c r="BJ278" s="1"/>
    </row>
    <row r="279" spans="1:62" x14ac:dyDescent="0.25">
      <c r="A279" s="1"/>
      <c r="B279" s="1"/>
      <c r="C279" s="1"/>
      <c r="D279" s="1"/>
      <c r="E279" s="1"/>
      <c r="F279" s="1"/>
      <c r="G279" s="1"/>
      <c r="H279" s="1"/>
      <c r="I279" s="1"/>
      <c r="J279" s="1"/>
      <c r="K279" s="1"/>
      <c r="L279" s="1"/>
      <c r="M279" s="1"/>
      <c r="N279" s="161"/>
      <c r="O279" s="1"/>
      <c r="P279" s="1"/>
      <c r="Q279" s="1"/>
      <c r="R279" s="1"/>
      <c r="S279" s="1"/>
      <c r="T279" s="1"/>
      <c r="U279" s="1"/>
      <c r="V279" s="1"/>
      <c r="W279" s="1"/>
      <c r="X279" s="1"/>
      <c r="Y279" s="1"/>
      <c r="Z279" s="1"/>
      <c r="AA279" s="1"/>
      <c r="AB279" s="1"/>
      <c r="AC279" s="1"/>
      <c r="AD279" s="1"/>
      <c r="AE279" s="1"/>
      <c r="AF279" s="1"/>
      <c r="AG279" s="1"/>
      <c r="AH279" s="1"/>
      <c r="AI279" s="1"/>
      <c r="AJ279" s="1"/>
      <c r="AK279" s="1"/>
      <c r="AL279" s="1"/>
      <c r="AM279" s="1"/>
      <c r="AN279" s="1"/>
      <c r="AO279" s="1"/>
      <c r="AP279" s="1"/>
      <c r="AQ279" s="1"/>
      <c r="AR279" s="1"/>
      <c r="AS279" s="1"/>
      <c r="AT279" s="1"/>
      <c r="AU279" s="1"/>
      <c r="AV279" s="1"/>
      <c r="AW279" s="1"/>
      <c r="AX279" s="1"/>
      <c r="AY279" s="1"/>
      <c r="AZ279" s="1"/>
      <c r="BA279" s="1"/>
      <c r="BB279" s="1"/>
      <c r="BC279" s="1"/>
      <c r="BD279" s="1"/>
      <c r="BE279" s="1"/>
      <c r="BF279" s="1"/>
      <c r="BG279" s="1"/>
      <c r="BH279" s="1"/>
      <c r="BI279" s="1"/>
      <c r="BJ279" s="1"/>
    </row>
    <row r="280" spans="1:62" x14ac:dyDescent="0.25">
      <c r="A280" s="1"/>
      <c r="B280" s="1"/>
      <c r="C280" s="1"/>
      <c r="D280" s="1"/>
      <c r="E280" s="1"/>
      <c r="F280" s="1"/>
      <c r="G280" s="1"/>
      <c r="H280" s="1"/>
      <c r="I280" s="1"/>
      <c r="J280" s="1"/>
      <c r="K280" s="1"/>
      <c r="L280" s="1"/>
      <c r="M280" s="1"/>
      <c r="N280" s="161"/>
      <c r="O280" s="1"/>
      <c r="P280" s="1"/>
      <c r="Q280" s="1"/>
      <c r="R280" s="1"/>
      <c r="S280" s="1"/>
      <c r="T280" s="1"/>
      <c r="U280" s="1"/>
      <c r="V280" s="1"/>
      <c r="W280" s="1"/>
      <c r="X280" s="1"/>
      <c r="Y280" s="1"/>
      <c r="Z280" s="1"/>
      <c r="AA280" s="1"/>
      <c r="AB280" s="1"/>
      <c r="AC280" s="1"/>
      <c r="AD280" s="1"/>
      <c r="AE280" s="1"/>
      <c r="AF280" s="1"/>
      <c r="AG280" s="1"/>
      <c r="AH280" s="1"/>
      <c r="AI280" s="1"/>
      <c r="AJ280" s="1"/>
      <c r="AK280" s="1"/>
      <c r="AL280" s="1"/>
      <c r="AM280" s="1"/>
      <c r="AN280" s="1"/>
      <c r="AO280" s="1"/>
      <c r="AP280" s="1"/>
      <c r="AQ280" s="1"/>
      <c r="AR280" s="1"/>
      <c r="AS280" s="1"/>
      <c r="AT280" s="1"/>
      <c r="AU280" s="1"/>
      <c r="AV280" s="1"/>
      <c r="AW280" s="1"/>
      <c r="AX280" s="1"/>
      <c r="AY280" s="1"/>
      <c r="AZ280" s="1"/>
      <c r="BA280" s="1"/>
      <c r="BB280" s="1"/>
      <c r="BC280" s="1"/>
      <c r="BD280" s="1"/>
      <c r="BE280" s="1"/>
      <c r="BF280" s="1"/>
      <c r="BG280" s="1"/>
      <c r="BH280" s="1"/>
      <c r="BI280" s="1"/>
      <c r="BJ280" s="1"/>
    </row>
    <row r="281" spans="1:62" x14ac:dyDescent="0.25">
      <c r="A281" s="1"/>
      <c r="B281" s="1"/>
      <c r="C281" s="1"/>
      <c r="D281" s="1"/>
      <c r="E281" s="1"/>
      <c r="F281" s="1"/>
      <c r="G281" s="1"/>
      <c r="H281" s="1"/>
      <c r="I281" s="1"/>
      <c r="J281" s="1"/>
      <c r="K281" s="1"/>
      <c r="L281" s="1"/>
      <c r="M281" s="1"/>
      <c r="N281" s="161"/>
      <c r="O281" s="1"/>
      <c r="P281" s="1"/>
      <c r="Q281" s="1"/>
      <c r="R281" s="1"/>
      <c r="S281" s="1"/>
      <c r="T281" s="1"/>
      <c r="U281" s="1"/>
      <c r="V281" s="1"/>
      <c r="W281" s="1"/>
      <c r="X281" s="1"/>
      <c r="Y281" s="1"/>
      <c r="Z281" s="1"/>
      <c r="AA281" s="1"/>
      <c r="AB281" s="1"/>
      <c r="AC281" s="1"/>
      <c r="AD281" s="1"/>
      <c r="AE281" s="1"/>
      <c r="AF281" s="1"/>
      <c r="AG281" s="1"/>
      <c r="AH281" s="1"/>
      <c r="AI281" s="1"/>
      <c r="AJ281" s="1"/>
      <c r="AK281" s="1"/>
      <c r="AL281" s="1"/>
      <c r="AM281" s="1"/>
      <c r="AN281" s="1"/>
      <c r="AO281" s="1"/>
      <c r="AP281" s="1"/>
      <c r="AQ281" s="1"/>
      <c r="AR281" s="1"/>
      <c r="AS281" s="1"/>
      <c r="AT281" s="1"/>
      <c r="AU281" s="1"/>
      <c r="AV281" s="1"/>
      <c r="AW281" s="1"/>
      <c r="AX281" s="1"/>
      <c r="AY281" s="1"/>
      <c r="AZ281" s="1"/>
      <c r="BA281" s="1"/>
      <c r="BB281" s="1"/>
      <c r="BC281" s="1"/>
      <c r="BD281" s="1"/>
      <c r="BE281" s="1"/>
      <c r="BF281" s="1"/>
      <c r="BG281" s="1"/>
      <c r="BH281" s="1"/>
      <c r="BI281" s="1"/>
      <c r="BJ281" s="1"/>
    </row>
    <row r="282" spans="1:62" x14ac:dyDescent="0.25">
      <c r="A282" s="1"/>
      <c r="B282" s="1"/>
      <c r="C282" s="1"/>
      <c r="D282" s="1"/>
      <c r="E282" s="1"/>
      <c r="F282" s="1"/>
      <c r="G282" s="1"/>
      <c r="H282" s="1"/>
      <c r="I282" s="1"/>
      <c r="J282" s="1"/>
      <c r="K282" s="1"/>
      <c r="L282" s="1"/>
      <c r="M282" s="1"/>
      <c r="N282" s="161"/>
      <c r="O282" s="1"/>
      <c r="P282" s="1"/>
      <c r="Q282" s="1"/>
      <c r="R282" s="1"/>
      <c r="S282" s="1"/>
      <c r="T282" s="1"/>
      <c r="U282" s="1"/>
      <c r="V282" s="1"/>
      <c r="W282" s="1"/>
      <c r="X282" s="1"/>
      <c r="Y282" s="1"/>
      <c r="Z282" s="1"/>
      <c r="AA282" s="1"/>
      <c r="AB282" s="1"/>
      <c r="AC282" s="1"/>
      <c r="AD282" s="1"/>
      <c r="AE282" s="1"/>
      <c r="AF282" s="1"/>
      <c r="AG282" s="1"/>
      <c r="AH282" s="1"/>
      <c r="AI282" s="1"/>
      <c r="AJ282" s="1"/>
      <c r="AK282" s="1"/>
      <c r="AL282" s="1"/>
      <c r="AM282" s="1"/>
      <c r="AN282" s="1"/>
      <c r="AO282" s="1"/>
      <c r="AP282" s="1"/>
      <c r="AQ282" s="1"/>
      <c r="AR282" s="1"/>
      <c r="AS282" s="1"/>
      <c r="AT282" s="1"/>
      <c r="AU282" s="1"/>
      <c r="AV282" s="1"/>
      <c r="AW282" s="1"/>
      <c r="AX282" s="1"/>
      <c r="AY282" s="1"/>
      <c r="AZ282" s="1"/>
      <c r="BA282" s="1"/>
      <c r="BB282" s="1"/>
      <c r="BC282" s="1"/>
      <c r="BD282" s="1"/>
      <c r="BE282" s="1"/>
      <c r="BF282" s="1"/>
      <c r="BG282" s="1"/>
      <c r="BH282" s="1"/>
      <c r="BI282" s="1"/>
      <c r="BJ282" s="1"/>
    </row>
    <row r="283" spans="1:62" x14ac:dyDescent="0.25">
      <c r="A283" s="1"/>
      <c r="B283" s="1"/>
      <c r="C283" s="1"/>
      <c r="D283" s="1"/>
      <c r="E283" s="1"/>
      <c r="F283" s="1"/>
      <c r="G283" s="1"/>
      <c r="H283" s="1"/>
      <c r="I283" s="1"/>
      <c r="J283" s="1"/>
      <c r="K283" s="1"/>
      <c r="L283" s="1"/>
      <c r="M283" s="1"/>
      <c r="N283" s="161"/>
      <c r="O283" s="1"/>
      <c r="P283" s="1"/>
      <c r="Q283" s="1"/>
      <c r="R283" s="1"/>
      <c r="S283" s="1"/>
      <c r="T283" s="1"/>
      <c r="U283" s="1"/>
      <c r="V283" s="1"/>
      <c r="W283" s="1"/>
      <c r="X283" s="1"/>
      <c r="Y283" s="1"/>
      <c r="Z283" s="1"/>
      <c r="AA283" s="1"/>
      <c r="AB283" s="1"/>
      <c r="AC283" s="1"/>
      <c r="AD283" s="1"/>
      <c r="AE283" s="1"/>
      <c r="AF283" s="1"/>
      <c r="AG283" s="1"/>
      <c r="AH283" s="1"/>
      <c r="AI283" s="1"/>
      <c r="AJ283" s="1"/>
      <c r="AK283" s="1"/>
      <c r="AL283" s="1"/>
      <c r="AM283" s="1"/>
      <c r="AN283" s="1"/>
      <c r="AO283" s="1"/>
      <c r="AP283" s="1"/>
      <c r="AQ283" s="1"/>
      <c r="AR283" s="1"/>
      <c r="AS283" s="1"/>
      <c r="AT283" s="1"/>
      <c r="AU283" s="1"/>
      <c r="AV283" s="1"/>
      <c r="AW283" s="1"/>
      <c r="AX283" s="1"/>
      <c r="AY283" s="1"/>
      <c r="AZ283" s="1"/>
      <c r="BA283" s="1"/>
      <c r="BB283" s="1"/>
      <c r="BC283" s="1"/>
      <c r="BD283" s="1"/>
      <c r="BE283" s="1"/>
      <c r="BF283" s="1"/>
      <c r="BG283" s="1"/>
      <c r="BH283" s="1"/>
      <c r="BI283" s="1"/>
      <c r="BJ283" s="1"/>
    </row>
    <row r="284" spans="1:62" x14ac:dyDescent="0.25">
      <c r="A284" s="1"/>
      <c r="B284" s="1"/>
      <c r="C284" s="1"/>
      <c r="D284" s="1"/>
      <c r="E284" s="1"/>
      <c r="F284" s="1"/>
      <c r="G284" s="1"/>
      <c r="H284" s="1"/>
      <c r="I284" s="1"/>
      <c r="J284" s="1"/>
      <c r="K284" s="1"/>
      <c r="L284" s="1"/>
      <c r="M284" s="1"/>
      <c r="N284" s="161"/>
      <c r="O284" s="1"/>
      <c r="P284" s="1"/>
      <c r="Q284" s="1"/>
      <c r="R284" s="1"/>
      <c r="S284" s="1"/>
      <c r="T284" s="1"/>
      <c r="U284" s="1"/>
      <c r="V284" s="1"/>
      <c r="W284" s="1"/>
      <c r="X284" s="1"/>
      <c r="Y284" s="1"/>
      <c r="Z284" s="1"/>
      <c r="AA284" s="1"/>
      <c r="AB284" s="1"/>
      <c r="AC284" s="1"/>
      <c r="AD284" s="1"/>
      <c r="AE284" s="1"/>
      <c r="AF284" s="1"/>
      <c r="AG284" s="1"/>
      <c r="AH284" s="1"/>
      <c r="AI284" s="1"/>
      <c r="AJ284" s="1"/>
      <c r="AK284" s="1"/>
      <c r="AL284" s="1"/>
      <c r="AM284" s="1"/>
      <c r="AN284" s="1"/>
      <c r="AO284" s="1"/>
      <c r="AP284" s="1"/>
      <c r="AQ284" s="1"/>
      <c r="AR284" s="1"/>
      <c r="AS284" s="1"/>
      <c r="AT284" s="1"/>
      <c r="AU284" s="1"/>
      <c r="AV284" s="1"/>
      <c r="AW284" s="1"/>
      <c r="AX284" s="1"/>
      <c r="AY284" s="1"/>
      <c r="AZ284" s="1"/>
      <c r="BA284" s="1"/>
      <c r="BB284" s="1"/>
      <c r="BC284" s="1"/>
      <c r="BD284" s="1"/>
      <c r="BE284" s="1"/>
      <c r="BF284" s="1"/>
      <c r="BG284" s="1"/>
      <c r="BH284" s="1"/>
      <c r="BI284" s="1"/>
      <c r="BJ284" s="1"/>
    </row>
    <row r="285" spans="1:62" x14ac:dyDescent="0.25">
      <c r="A285" s="1"/>
      <c r="B285" s="1"/>
      <c r="C285" s="1"/>
      <c r="D285" s="1"/>
      <c r="E285" s="1"/>
      <c r="F285" s="1"/>
      <c r="G285" s="1"/>
      <c r="H285" s="1"/>
      <c r="I285" s="1"/>
      <c r="J285" s="1"/>
      <c r="K285" s="1"/>
      <c r="L285" s="1"/>
      <c r="M285" s="1"/>
      <c r="N285" s="161"/>
      <c r="O285" s="1"/>
      <c r="P285" s="1"/>
      <c r="Q285" s="1"/>
      <c r="R285" s="1"/>
      <c r="S285" s="1"/>
      <c r="T285" s="1"/>
      <c r="U285" s="1"/>
      <c r="V285" s="1"/>
      <c r="W285" s="1"/>
      <c r="X285" s="1"/>
      <c r="Y285" s="1"/>
      <c r="Z285" s="1"/>
      <c r="AA285" s="1"/>
      <c r="AB285" s="1"/>
      <c r="AC285" s="1"/>
      <c r="AD285" s="1"/>
      <c r="AE285" s="1"/>
      <c r="AF285" s="1"/>
      <c r="AG285" s="1"/>
      <c r="AH285" s="1"/>
      <c r="AI285" s="1"/>
      <c r="AJ285" s="1"/>
      <c r="AK285" s="1"/>
      <c r="AL285" s="1"/>
      <c r="AM285" s="1"/>
      <c r="AN285" s="1"/>
      <c r="AO285" s="1"/>
      <c r="AP285" s="1"/>
      <c r="AQ285" s="1"/>
      <c r="AR285" s="1"/>
      <c r="AS285" s="1"/>
      <c r="AT285" s="1"/>
      <c r="AU285" s="1"/>
      <c r="AV285" s="1"/>
      <c r="AW285" s="1"/>
      <c r="AX285" s="1"/>
      <c r="AY285" s="1"/>
      <c r="AZ285" s="1"/>
      <c r="BA285" s="1"/>
      <c r="BB285" s="1"/>
      <c r="BC285" s="1"/>
      <c r="BD285" s="1"/>
      <c r="BE285" s="1"/>
      <c r="BF285" s="1"/>
      <c r="BG285" s="1"/>
      <c r="BH285" s="1"/>
      <c r="BI285" s="1"/>
      <c r="BJ285" s="1"/>
    </row>
    <row r="286" spans="1:62" x14ac:dyDescent="0.25">
      <c r="A286" s="1"/>
      <c r="B286" s="1"/>
      <c r="C286" s="1"/>
      <c r="D286" s="1"/>
      <c r="E286" s="1"/>
      <c r="F286" s="1"/>
      <c r="G286" s="1"/>
      <c r="H286" s="1"/>
      <c r="I286" s="1"/>
      <c r="J286" s="1"/>
      <c r="K286" s="1"/>
      <c r="L286" s="1"/>
      <c r="M286" s="1"/>
      <c r="N286" s="161"/>
      <c r="O286" s="1"/>
      <c r="P286" s="1"/>
      <c r="Q286" s="1"/>
      <c r="R286" s="1"/>
      <c r="S286" s="1"/>
      <c r="T286" s="1"/>
      <c r="U286" s="1"/>
      <c r="V286" s="1"/>
      <c r="W286" s="1"/>
      <c r="X286" s="1"/>
      <c r="Y286" s="1"/>
      <c r="Z286" s="1"/>
      <c r="AA286" s="1"/>
      <c r="AB286" s="1"/>
      <c r="AC286" s="1"/>
      <c r="AD286" s="1"/>
      <c r="AE286" s="1"/>
      <c r="AF286" s="1"/>
      <c r="AG286" s="1"/>
      <c r="AH286" s="1"/>
      <c r="AI286" s="1"/>
      <c r="AJ286" s="1"/>
      <c r="AK286" s="1"/>
      <c r="AL286" s="1"/>
      <c r="AM286" s="1"/>
      <c r="AN286" s="1"/>
      <c r="AO286" s="1"/>
      <c r="AP286" s="1"/>
      <c r="AQ286" s="1"/>
      <c r="AR286" s="1"/>
      <c r="AS286" s="1"/>
      <c r="AT286" s="1"/>
      <c r="AU286" s="1"/>
      <c r="AV286" s="1"/>
      <c r="AW286" s="1"/>
      <c r="AX286" s="1"/>
      <c r="AY286" s="1"/>
      <c r="AZ286" s="1"/>
      <c r="BA286" s="1"/>
      <c r="BB286" s="1"/>
      <c r="BC286" s="1"/>
      <c r="BD286" s="1"/>
      <c r="BE286" s="1"/>
      <c r="BF286" s="1"/>
      <c r="BG286" s="1"/>
      <c r="BH286" s="1"/>
      <c r="BI286" s="1"/>
      <c r="BJ286" s="1"/>
    </row>
    <row r="287" spans="1:62" x14ac:dyDescent="0.25">
      <c r="A287" s="1"/>
      <c r="B287" s="1"/>
      <c r="C287" s="1"/>
      <c r="D287" s="1"/>
      <c r="E287" s="1"/>
      <c r="F287" s="1"/>
      <c r="G287" s="1"/>
      <c r="H287" s="1"/>
      <c r="I287" s="1"/>
      <c r="J287" s="1"/>
      <c r="K287" s="1"/>
      <c r="L287" s="1"/>
      <c r="M287" s="1"/>
      <c r="N287" s="161"/>
      <c r="O287" s="1"/>
      <c r="P287" s="1"/>
      <c r="Q287" s="1"/>
      <c r="R287" s="1"/>
      <c r="S287" s="1"/>
      <c r="T287" s="1"/>
      <c r="U287" s="1"/>
      <c r="V287" s="1"/>
      <c r="W287" s="1"/>
      <c r="X287" s="1"/>
      <c r="Y287" s="1"/>
      <c r="Z287" s="1"/>
      <c r="AA287" s="1"/>
      <c r="AB287" s="1"/>
      <c r="AC287" s="1"/>
      <c r="AD287" s="1"/>
      <c r="AE287" s="1"/>
      <c r="AF287" s="1"/>
      <c r="AG287" s="1"/>
      <c r="AH287" s="1"/>
      <c r="AI287" s="1"/>
      <c r="AJ287" s="1"/>
      <c r="AK287" s="1"/>
      <c r="AL287" s="1"/>
      <c r="AM287" s="1"/>
      <c r="AN287" s="1"/>
      <c r="AO287" s="1"/>
      <c r="AP287" s="1"/>
      <c r="AQ287" s="1"/>
      <c r="AR287" s="1"/>
      <c r="AS287" s="1"/>
      <c r="AT287" s="1"/>
      <c r="AU287" s="1"/>
      <c r="AV287" s="1"/>
      <c r="AW287" s="1"/>
      <c r="AX287" s="1"/>
      <c r="AY287" s="1"/>
      <c r="AZ287" s="1"/>
      <c r="BA287" s="1"/>
      <c r="BB287" s="1"/>
      <c r="BC287" s="1"/>
      <c r="BD287" s="1"/>
      <c r="BE287" s="1"/>
      <c r="BF287" s="1"/>
      <c r="BG287" s="1"/>
      <c r="BH287" s="1"/>
      <c r="BI287" s="1"/>
      <c r="BJ287" s="1"/>
    </row>
    <row r="288" spans="1:62" x14ac:dyDescent="0.25">
      <c r="A288" s="1"/>
      <c r="B288" s="1"/>
      <c r="C288" s="1"/>
      <c r="D288" s="1"/>
      <c r="E288" s="1"/>
      <c r="F288" s="1"/>
      <c r="G288" s="1"/>
      <c r="H288" s="1"/>
      <c r="I288" s="1"/>
      <c r="J288" s="1"/>
      <c r="K288" s="1"/>
      <c r="L288" s="1"/>
      <c r="M288" s="1"/>
      <c r="N288" s="161"/>
      <c r="O288" s="1"/>
      <c r="P288" s="1"/>
      <c r="Q288" s="1"/>
      <c r="R288" s="1"/>
      <c r="S288" s="1"/>
      <c r="T288" s="1"/>
      <c r="U288" s="1"/>
      <c r="V288" s="1"/>
      <c r="W288" s="1"/>
      <c r="X288" s="1"/>
      <c r="Y288" s="1"/>
      <c r="Z288" s="1"/>
      <c r="AA288" s="1"/>
      <c r="AB288" s="1"/>
      <c r="AC288" s="1"/>
      <c r="AD288" s="1"/>
      <c r="AE288" s="1"/>
      <c r="AF288" s="1"/>
      <c r="AG288" s="1"/>
      <c r="AH288" s="1"/>
      <c r="AI288" s="1"/>
      <c r="AJ288" s="1"/>
      <c r="AK288" s="1"/>
      <c r="AL288" s="1"/>
      <c r="AM288" s="1"/>
      <c r="AN288" s="1"/>
      <c r="AO288" s="1"/>
      <c r="AP288" s="1"/>
      <c r="AQ288" s="1"/>
      <c r="AR288" s="1"/>
      <c r="AS288" s="1"/>
      <c r="AT288" s="1"/>
      <c r="AU288" s="1"/>
      <c r="AV288" s="1"/>
      <c r="AW288" s="1"/>
      <c r="AX288" s="1"/>
      <c r="AY288" s="1"/>
      <c r="AZ288" s="1"/>
      <c r="BA288" s="1"/>
      <c r="BB288" s="1"/>
      <c r="BC288" s="1"/>
      <c r="BD288" s="1"/>
      <c r="BE288" s="1"/>
      <c r="BF288" s="1"/>
      <c r="BG288" s="1"/>
      <c r="BH288" s="1"/>
      <c r="BI288" s="1"/>
      <c r="BJ288" s="1"/>
    </row>
    <row r="289" spans="1:67" x14ac:dyDescent="0.25">
      <c r="A289" s="1"/>
      <c r="B289" s="1"/>
      <c r="C289" s="1"/>
      <c r="D289" s="1"/>
      <c r="E289" s="1"/>
      <c r="F289" s="1"/>
      <c r="G289" s="1"/>
      <c r="H289" s="1"/>
      <c r="I289" s="1"/>
      <c r="J289" s="1"/>
      <c r="K289" s="1"/>
      <c r="L289" s="1"/>
      <c r="M289" s="1"/>
      <c r="N289" s="161"/>
      <c r="O289" s="1"/>
      <c r="P289" s="1"/>
      <c r="Q289" s="1"/>
      <c r="R289" s="1"/>
      <c r="S289" s="1"/>
      <c r="T289" s="1"/>
      <c r="U289" s="1"/>
      <c r="V289" s="1"/>
      <c r="W289" s="1"/>
      <c r="X289" s="1"/>
      <c r="Y289" s="1"/>
      <c r="Z289" s="1"/>
      <c r="AA289" s="1"/>
      <c r="AB289" s="1"/>
      <c r="AC289" s="1"/>
      <c r="AD289" s="1"/>
      <c r="AE289" s="1"/>
      <c r="AF289" s="1"/>
      <c r="AG289" s="1"/>
      <c r="AH289" s="1"/>
      <c r="AI289" s="1"/>
      <c r="AJ289" s="1"/>
      <c r="AK289" s="1"/>
      <c r="AL289" s="1"/>
      <c r="AM289" s="1"/>
      <c r="AN289" s="1"/>
      <c r="AO289" s="1"/>
      <c r="AP289" s="1"/>
      <c r="AQ289" s="1"/>
      <c r="AR289" s="1"/>
      <c r="AS289" s="1"/>
      <c r="AT289" s="1"/>
      <c r="AU289" s="1"/>
      <c r="AV289" s="1"/>
      <c r="AW289" s="1"/>
      <c r="AX289" s="1"/>
      <c r="AY289" s="1"/>
      <c r="AZ289" s="1"/>
      <c r="BA289" s="1"/>
      <c r="BB289" s="1"/>
      <c r="BC289" s="1"/>
      <c r="BD289" s="1"/>
      <c r="BE289" s="1"/>
      <c r="BF289" s="1"/>
      <c r="BG289" s="1"/>
      <c r="BH289" s="1"/>
      <c r="BI289" s="1"/>
      <c r="BJ289" s="1"/>
    </row>
    <row r="290" spans="1:67" x14ac:dyDescent="0.25">
      <c r="A290" s="1"/>
      <c r="B290" s="1"/>
      <c r="C290" s="1"/>
      <c r="D290" s="1"/>
      <c r="E290" s="1"/>
      <c r="F290" s="1"/>
      <c r="G290" s="1"/>
      <c r="H290" s="1"/>
      <c r="I290" s="1"/>
      <c r="J290" s="1"/>
      <c r="K290" s="1"/>
      <c r="L290" s="1"/>
      <c r="M290" s="1"/>
      <c r="N290" s="161"/>
      <c r="O290" s="1"/>
      <c r="P290" s="1"/>
      <c r="Q290" s="1"/>
      <c r="R290" s="1"/>
      <c r="S290" s="1"/>
      <c r="T290" s="1"/>
      <c r="U290" s="1"/>
      <c r="V290" s="1"/>
      <c r="W290" s="1"/>
      <c r="X290" s="1"/>
      <c r="Y290" s="1"/>
      <c r="Z290" s="1"/>
      <c r="AA290" s="1"/>
      <c r="AB290" s="1"/>
      <c r="AC290" s="1"/>
      <c r="AD290" s="1"/>
      <c r="AE290" s="1"/>
      <c r="AF290" s="1"/>
      <c r="AG290" s="1"/>
      <c r="AH290" s="1"/>
      <c r="AI290" s="1"/>
      <c r="AJ290" s="1"/>
      <c r="AK290" s="1"/>
      <c r="AL290" s="1"/>
      <c r="AM290" s="1"/>
      <c r="AN290" s="1"/>
      <c r="AO290" s="1"/>
      <c r="AP290" s="1"/>
      <c r="AQ290" s="1"/>
      <c r="AR290" s="1"/>
      <c r="AS290" s="1"/>
      <c r="AT290" s="1"/>
      <c r="AU290" s="1"/>
      <c r="AV290" s="1"/>
      <c r="AW290" s="1"/>
      <c r="AX290" s="1"/>
      <c r="AY290" s="1"/>
      <c r="AZ290" s="1"/>
      <c r="BA290" s="1"/>
      <c r="BB290" s="1"/>
      <c r="BC290" s="1"/>
      <c r="BD290" s="1"/>
      <c r="BE290" s="1"/>
      <c r="BF290" s="1"/>
      <c r="BG290" s="1"/>
      <c r="BH290" s="1"/>
      <c r="BI290" s="1"/>
      <c r="BJ290" s="1"/>
    </row>
    <row r="292" spans="1:67" s="262" customFormat="1" ht="15.75" x14ac:dyDescent="0.25">
      <c r="A292"/>
      <c r="B292"/>
      <c r="C292"/>
      <c r="D292"/>
      <c r="E292"/>
      <c r="F292"/>
      <c r="G292"/>
      <c r="H292"/>
      <c r="I292"/>
      <c r="J292"/>
      <c r="K292"/>
      <c r="L292"/>
      <c r="M292"/>
      <c r="N292" s="22"/>
      <c r="O292"/>
      <c r="P292"/>
      <c r="Q292"/>
      <c r="R292"/>
      <c r="S292"/>
      <c r="T292"/>
      <c r="U292"/>
      <c r="V292"/>
      <c r="W292"/>
      <c r="X292"/>
      <c r="Y292"/>
      <c r="Z292"/>
      <c r="AA292"/>
      <c r="AB292"/>
      <c r="AC292"/>
      <c r="AD292"/>
      <c r="AE292"/>
      <c r="AF292"/>
      <c r="AG292"/>
      <c r="AH292"/>
      <c r="AI292"/>
      <c r="AJ292"/>
      <c r="AK292"/>
      <c r="AL292"/>
      <c r="AM292"/>
      <c r="AN292"/>
      <c r="AO292"/>
      <c r="AP292"/>
      <c r="AQ292"/>
      <c r="AR292"/>
      <c r="AS292"/>
      <c r="AT292"/>
      <c r="AU292"/>
      <c r="AV292"/>
      <c r="AW292"/>
      <c r="AX292"/>
      <c r="AY292"/>
      <c r="AZ292"/>
      <c r="BA292"/>
      <c r="BB292"/>
      <c r="BC292"/>
      <c r="BD292"/>
      <c r="BE292"/>
      <c r="BF292"/>
      <c r="BG292"/>
      <c r="BH292"/>
      <c r="BI292"/>
      <c r="BJ292"/>
    </row>
    <row r="293" spans="1:67" x14ac:dyDescent="0.25">
      <c r="BK293" s="1"/>
      <c r="BL293" s="1"/>
      <c r="BM293" s="1"/>
      <c r="BN293" s="1"/>
      <c r="BO293" s="1"/>
    </row>
    <row r="294" spans="1:67" x14ac:dyDescent="0.25">
      <c r="BK294" s="1"/>
      <c r="BL294" s="1"/>
      <c r="BM294" s="1"/>
      <c r="BN294" s="1"/>
      <c r="BO294" s="1"/>
    </row>
    <row r="295" spans="1:67" x14ac:dyDescent="0.25">
      <c r="BK295" s="1"/>
      <c r="BL295" s="1"/>
      <c r="BM295" s="1"/>
      <c r="BN295" s="1"/>
      <c r="BO295" s="1"/>
    </row>
    <row r="296" spans="1:67" x14ac:dyDescent="0.25">
      <c r="BK296" s="1"/>
      <c r="BL296" s="1"/>
      <c r="BM296" s="1"/>
      <c r="BN296" s="1"/>
      <c r="BO296" s="1"/>
    </row>
    <row r="297" spans="1:67" x14ac:dyDescent="0.25">
      <c r="BK297" s="1"/>
      <c r="BL297" s="1"/>
      <c r="BM297" s="1"/>
      <c r="BN297" s="1"/>
      <c r="BO297" s="1"/>
    </row>
    <row r="298" spans="1:67" x14ac:dyDescent="0.25">
      <c r="BK298" s="1"/>
      <c r="BL298" s="1"/>
      <c r="BM298" s="1"/>
      <c r="BN298" s="1"/>
      <c r="BO298" s="1"/>
    </row>
    <row r="299" spans="1:67" x14ac:dyDescent="0.25">
      <c r="BK299" s="1"/>
      <c r="BL299" s="1"/>
      <c r="BM299" s="1"/>
      <c r="BN299" s="1"/>
      <c r="BO299" s="1"/>
    </row>
    <row r="300" spans="1:67" x14ac:dyDescent="0.25">
      <c r="BK300" s="1"/>
      <c r="BL300" s="1"/>
      <c r="BM300" s="1"/>
      <c r="BN300" s="1"/>
      <c r="BO300" s="1"/>
    </row>
    <row r="301" spans="1:67" x14ac:dyDescent="0.25">
      <c r="BK301" s="1"/>
      <c r="BL301" s="1"/>
      <c r="BM301" s="1"/>
      <c r="BN301" s="1"/>
      <c r="BO301" s="1"/>
    </row>
    <row r="302" spans="1:67" x14ac:dyDescent="0.25">
      <c r="BK302" s="1"/>
      <c r="BL302" s="1"/>
      <c r="BM302" s="1"/>
      <c r="BN302" s="1"/>
      <c r="BO302" s="1"/>
    </row>
    <row r="303" spans="1:67" x14ac:dyDescent="0.25">
      <c r="BK303" s="1"/>
      <c r="BL303" s="1"/>
      <c r="BM303" s="1"/>
      <c r="BN303" s="1"/>
      <c r="BO303" s="1"/>
    </row>
    <row r="304" spans="1:67" x14ac:dyDescent="0.25">
      <c r="BK304" s="1"/>
      <c r="BL304" s="1"/>
      <c r="BM304" s="1"/>
      <c r="BN304" s="1"/>
      <c r="BO304" s="1"/>
    </row>
    <row r="305" spans="63:67" x14ac:dyDescent="0.25">
      <c r="BK305" s="1"/>
      <c r="BL305" s="1"/>
      <c r="BM305" s="1"/>
      <c r="BN305" s="1"/>
      <c r="BO305" s="1"/>
    </row>
    <row r="306" spans="63:67" x14ac:dyDescent="0.25">
      <c r="BK306" s="1"/>
      <c r="BL306" s="1"/>
      <c r="BM306" s="1"/>
      <c r="BN306" s="1"/>
      <c r="BO306" s="1"/>
    </row>
    <row r="307" spans="63:67" x14ac:dyDescent="0.25">
      <c r="BK307" s="1"/>
      <c r="BL307" s="1"/>
      <c r="BM307" s="1"/>
      <c r="BN307" s="1"/>
      <c r="BO307" s="1"/>
    </row>
    <row r="308" spans="63:67" x14ac:dyDescent="0.25">
      <c r="BK308" s="1"/>
      <c r="BL308" s="1"/>
      <c r="BM308" s="1"/>
      <c r="BN308" s="1"/>
      <c r="BO308" s="1"/>
    </row>
    <row r="309" spans="63:67" x14ac:dyDescent="0.25">
      <c r="BK309" s="1"/>
      <c r="BL309" s="1"/>
      <c r="BM309" s="1"/>
      <c r="BN309" s="1"/>
      <c r="BO309" s="1"/>
    </row>
    <row r="310" spans="63:67" x14ac:dyDescent="0.25">
      <c r="BK310" s="1"/>
      <c r="BL310" s="1"/>
      <c r="BM310" s="1"/>
      <c r="BN310" s="1"/>
      <c r="BO310" s="1"/>
    </row>
    <row r="311" spans="63:67" x14ac:dyDescent="0.25">
      <c r="BK311" s="1"/>
      <c r="BL311" s="1"/>
      <c r="BM311" s="1"/>
      <c r="BN311" s="1"/>
      <c r="BO311" s="1"/>
    </row>
    <row r="312" spans="63:67" x14ac:dyDescent="0.25">
      <c r="BK312" s="1"/>
      <c r="BL312" s="1"/>
      <c r="BM312" s="1"/>
      <c r="BN312" s="1"/>
      <c r="BO312" s="1"/>
    </row>
    <row r="313" spans="63:67" x14ac:dyDescent="0.25">
      <c r="BK313" s="1"/>
      <c r="BL313" s="1"/>
      <c r="BM313" s="1"/>
      <c r="BN313" s="1"/>
      <c r="BO313" s="1"/>
    </row>
    <row r="314" spans="63:67" x14ac:dyDescent="0.25">
      <c r="BK314" s="1"/>
      <c r="BL314" s="1"/>
      <c r="BM314" s="1"/>
      <c r="BN314" s="1"/>
      <c r="BO314" s="1"/>
    </row>
    <row r="315" spans="63:67" x14ac:dyDescent="0.25">
      <c r="BK315" s="1"/>
      <c r="BL315" s="1"/>
      <c r="BM315" s="1"/>
      <c r="BN315" s="1"/>
      <c r="BO315" s="1"/>
    </row>
    <row r="316" spans="63:67" x14ac:dyDescent="0.25">
      <c r="BK316" s="1"/>
      <c r="BL316" s="1"/>
      <c r="BM316" s="1"/>
      <c r="BN316" s="1"/>
      <c r="BO316" s="1"/>
    </row>
    <row r="317" spans="63:67" x14ac:dyDescent="0.25">
      <c r="BK317" s="1"/>
      <c r="BL317" s="1"/>
      <c r="BM317" s="1"/>
      <c r="BN317" s="1"/>
      <c r="BO317" s="1"/>
    </row>
    <row r="318" spans="63:67" x14ac:dyDescent="0.25">
      <c r="BK318" s="1"/>
      <c r="BL318" s="1"/>
      <c r="BM318" s="1"/>
      <c r="BN318" s="1"/>
      <c r="BO318" s="1"/>
    </row>
    <row r="319" spans="63:67" x14ac:dyDescent="0.25">
      <c r="BK319" s="1"/>
      <c r="BL319" s="1"/>
      <c r="BM319" s="1"/>
      <c r="BN319" s="1"/>
      <c r="BO319" s="1"/>
    </row>
    <row r="320" spans="63:67" x14ac:dyDescent="0.25">
      <c r="BK320" s="1"/>
      <c r="BL320" s="1"/>
      <c r="BM320" s="1"/>
      <c r="BN320" s="1"/>
      <c r="BO320" s="1"/>
    </row>
    <row r="321" spans="63:67" x14ac:dyDescent="0.25">
      <c r="BK321" s="1"/>
      <c r="BL321" s="1"/>
      <c r="BM321" s="1"/>
      <c r="BN321" s="1"/>
      <c r="BO321" s="1"/>
    </row>
    <row r="322" spans="63:67" x14ac:dyDescent="0.25">
      <c r="BK322" s="1"/>
      <c r="BL322" s="1"/>
      <c r="BM322" s="1"/>
      <c r="BN322" s="1"/>
      <c r="BO322" s="1"/>
    </row>
    <row r="323" spans="63:67" x14ac:dyDescent="0.25">
      <c r="BK323" s="1"/>
      <c r="BL323" s="1"/>
      <c r="BM323" s="1"/>
      <c r="BN323" s="1"/>
      <c r="BO323" s="1"/>
    </row>
    <row r="324" spans="63:67" x14ac:dyDescent="0.25">
      <c r="BK324" s="1"/>
      <c r="BL324" s="1"/>
      <c r="BM324" s="1"/>
      <c r="BN324" s="1"/>
      <c r="BO324" s="1"/>
    </row>
    <row r="325" spans="63:67" x14ac:dyDescent="0.25">
      <c r="BK325" s="1"/>
      <c r="BL325" s="1"/>
      <c r="BM325" s="1"/>
      <c r="BN325" s="1"/>
      <c r="BO325" s="1"/>
    </row>
    <row r="326" spans="63:67" x14ac:dyDescent="0.25">
      <c r="BK326" s="1"/>
      <c r="BL326" s="1"/>
      <c r="BM326" s="1"/>
      <c r="BN326" s="1"/>
      <c r="BO326" s="1"/>
    </row>
    <row r="416" ht="14.25" customHeight="1" x14ac:dyDescent="0.25"/>
  </sheetData>
  <phoneticPr fontId="9" type="noConversion"/>
  <pageMargins left="0.511811024" right="0.511811024" top="0.78740157499999996" bottom="0.78740157499999996" header="0.31496062000000002" footer="0.31496062000000002"/>
  <pageSetup paperSize="9" orientation="portrait" r:id="rId1"/>
  <drawing r:id="rId2"/>
  <tableParts count="1">
    <tablePart r:id="rId3"/>
  </tableParts>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8436238-1837-45CC-8BF2-3E834F175E04}">
  <sheetPr codeName="Planilha8"/>
  <dimension ref="A1:CB261"/>
  <sheetViews>
    <sheetView showGridLines="0" topLeftCell="AK1" zoomScale="80" zoomScaleNormal="80" workbookViewId="0">
      <pane ySplit="3" topLeftCell="A4" activePane="bottomLeft" state="frozen"/>
      <selection activeCell="AC1" sqref="AC1"/>
      <selection pane="bottomLeft" activeCell="AM4" sqref="AM4"/>
    </sheetView>
  </sheetViews>
  <sheetFormatPr defaultRowHeight="15" x14ac:dyDescent="0.25"/>
  <cols>
    <col min="1" max="1" width="21.5703125" bestFit="1" customWidth="1"/>
    <col min="2" max="2" width="25.140625" bestFit="1" customWidth="1"/>
    <col min="3" max="3" width="35.140625" bestFit="1" customWidth="1"/>
    <col min="4" max="4" width="25.140625" bestFit="1" customWidth="1"/>
    <col min="5" max="5" width="19.42578125" bestFit="1" customWidth="1"/>
    <col min="6" max="6" width="23.5703125" bestFit="1" customWidth="1"/>
    <col min="7" max="7" width="19" bestFit="1" customWidth="1"/>
    <col min="8" max="8" width="31.7109375" bestFit="1" customWidth="1"/>
    <col min="9" max="9" width="30.42578125" bestFit="1" customWidth="1"/>
    <col min="10" max="10" width="24.7109375" bestFit="1" customWidth="1"/>
    <col min="11" max="11" width="41.85546875" bestFit="1" customWidth="1"/>
    <col min="12" max="12" width="31.140625" bestFit="1" customWidth="1"/>
    <col min="13" max="13" width="21.85546875" bestFit="1" customWidth="1"/>
    <col min="14" max="14" width="39.42578125" bestFit="1" customWidth="1"/>
    <col min="15" max="15" width="34.28515625" bestFit="1" customWidth="1"/>
    <col min="16" max="16" width="14" bestFit="1" customWidth="1"/>
    <col min="17" max="17" width="20.140625" bestFit="1" customWidth="1"/>
    <col min="18" max="18" width="23" bestFit="1" customWidth="1"/>
    <col min="19" max="19" width="13" bestFit="1" customWidth="1"/>
    <col min="20" max="20" width="23.5703125" bestFit="1" customWidth="1"/>
    <col min="21" max="21" width="14" bestFit="1" customWidth="1"/>
    <col min="22" max="22" width="20.42578125" bestFit="1" customWidth="1"/>
    <col min="23" max="23" width="14.42578125" bestFit="1" customWidth="1"/>
    <col min="24" max="24" width="21.7109375" bestFit="1" customWidth="1"/>
    <col min="25" max="25" width="25.140625" bestFit="1" customWidth="1"/>
    <col min="26" max="26" width="42.85546875" bestFit="1" customWidth="1"/>
    <col min="27" max="27" width="81.140625" bestFit="1" customWidth="1"/>
    <col min="28" max="28" width="21.7109375" bestFit="1" customWidth="1"/>
    <col min="29" max="29" width="62.140625" bestFit="1" customWidth="1"/>
    <col min="30" max="30" width="63.140625" bestFit="1" customWidth="1"/>
    <col min="31" max="31" width="19.5703125" bestFit="1" customWidth="1"/>
    <col min="32" max="32" width="13" bestFit="1" customWidth="1"/>
    <col min="33" max="33" width="11.5703125" bestFit="1" customWidth="1"/>
    <col min="34" max="34" width="11" bestFit="1" customWidth="1"/>
    <col min="35" max="35" width="22.28515625" bestFit="1" customWidth="1"/>
    <col min="36" max="36" width="28.28515625" bestFit="1" customWidth="1"/>
    <col min="37" max="37" width="21.7109375" bestFit="1" customWidth="1"/>
    <col min="38" max="38" width="66.140625" bestFit="1" customWidth="1"/>
    <col min="39" max="39" width="75" bestFit="1" customWidth="1"/>
    <col min="40" max="40" width="53.5703125" bestFit="1" customWidth="1"/>
    <col min="41" max="41" width="66.140625" bestFit="1" customWidth="1"/>
    <col min="42" max="42" width="37.28515625" bestFit="1" customWidth="1"/>
    <col min="43" max="43" width="81.140625" bestFit="1" customWidth="1"/>
    <col min="44" max="44" width="32.42578125" bestFit="1" customWidth="1"/>
    <col min="45" max="45" width="54.42578125" bestFit="1" customWidth="1"/>
    <col min="46" max="46" width="46.42578125" bestFit="1" customWidth="1"/>
    <col min="47" max="47" width="28.140625" bestFit="1" customWidth="1"/>
    <col min="48" max="48" width="25" bestFit="1" customWidth="1"/>
    <col min="49" max="49" width="27.28515625" bestFit="1" customWidth="1"/>
    <col min="50" max="50" width="42.5703125" bestFit="1" customWidth="1"/>
    <col min="51" max="51" width="81.140625" bestFit="1" customWidth="1"/>
    <col min="52" max="52" width="61.140625" bestFit="1" customWidth="1"/>
    <col min="53" max="53" width="21.7109375" bestFit="1" customWidth="1"/>
    <col min="54" max="54" width="46.5703125" bestFit="1" customWidth="1"/>
    <col min="55" max="55" width="21.7109375" bestFit="1" customWidth="1"/>
    <col min="56" max="56" width="56" bestFit="1" customWidth="1"/>
    <col min="57" max="57" width="21.7109375" bestFit="1" customWidth="1"/>
    <col min="58" max="58" width="69.28515625" bestFit="1" customWidth="1"/>
    <col min="59" max="59" width="24" bestFit="1" customWidth="1"/>
    <col min="60" max="60" width="30" bestFit="1" customWidth="1"/>
    <col min="61" max="61" width="48.140625" bestFit="1" customWidth="1"/>
    <col min="62" max="62" width="60.7109375" bestFit="1" customWidth="1"/>
    <col min="63" max="63" width="27.140625" bestFit="1" customWidth="1"/>
    <col min="64" max="64" width="38.85546875" bestFit="1" customWidth="1"/>
    <col min="65" max="65" width="34.7109375" bestFit="1" customWidth="1"/>
    <col min="66" max="66" width="23.85546875" bestFit="1" customWidth="1"/>
    <col min="67" max="68" width="14" bestFit="1" customWidth="1"/>
    <col min="69" max="70" width="10.140625" bestFit="1" customWidth="1"/>
    <col min="71" max="71" width="40.85546875" bestFit="1" customWidth="1"/>
    <col min="72" max="72" width="47.85546875" bestFit="1" customWidth="1"/>
    <col min="73" max="73" width="62.28515625" bestFit="1" customWidth="1"/>
    <col min="74" max="74" width="45" bestFit="1" customWidth="1"/>
    <col min="75" max="75" width="58.28515625" bestFit="1" customWidth="1"/>
    <col min="76" max="76" width="27.28515625" bestFit="1" customWidth="1"/>
    <col min="77" max="77" width="26" bestFit="1" customWidth="1"/>
    <col min="78" max="78" width="19" bestFit="1" customWidth="1"/>
    <col min="79" max="79" width="27.42578125" bestFit="1" customWidth="1"/>
    <col min="80" max="81" width="43.7109375" bestFit="1" customWidth="1"/>
    <col min="82" max="83" width="25.7109375" customWidth="1"/>
  </cols>
  <sheetData>
    <row r="1" spans="1:80" s="148" customFormat="1" ht="18" customHeight="1" x14ac:dyDescent="0.25">
      <c r="G1" s="359" t="s">
        <v>1096</v>
      </c>
      <c r="H1" s="360"/>
      <c r="I1" s="360"/>
      <c r="J1" s="360"/>
      <c r="K1" s="360"/>
      <c r="L1" s="360"/>
      <c r="M1" s="360"/>
      <c r="N1" s="360"/>
      <c r="O1" s="361"/>
      <c r="P1" s="357" t="s">
        <v>1097</v>
      </c>
      <c r="Q1" s="358"/>
      <c r="R1" s="358"/>
      <c r="S1" s="358"/>
      <c r="T1" s="358"/>
      <c r="U1" s="358"/>
      <c r="V1" s="358"/>
      <c r="W1" s="358"/>
      <c r="X1" s="358"/>
      <c r="Y1" s="358"/>
      <c r="Z1" s="358"/>
      <c r="AA1" s="358"/>
      <c r="AB1" s="358"/>
      <c r="AC1" s="358"/>
      <c r="AD1" s="358"/>
      <c r="AE1" s="358"/>
      <c r="AF1" s="358"/>
      <c r="AG1" s="358"/>
      <c r="AH1" s="358"/>
      <c r="AI1" s="358"/>
      <c r="AJ1" s="358"/>
      <c r="AK1" s="358"/>
      <c r="AL1" s="358"/>
      <c r="AM1" s="333" t="s">
        <v>1098</v>
      </c>
      <c r="AN1" s="334"/>
      <c r="AO1" s="334"/>
      <c r="AP1" s="334"/>
      <c r="AQ1" s="334"/>
      <c r="AR1" s="334"/>
      <c r="AS1" s="334"/>
      <c r="AT1" s="335"/>
      <c r="AU1" s="346" t="s">
        <v>1099</v>
      </c>
      <c r="AV1" s="347"/>
      <c r="AW1" s="347"/>
      <c r="AX1" s="347"/>
      <c r="AY1" s="347"/>
      <c r="AZ1" s="347"/>
      <c r="BA1" s="347"/>
      <c r="BB1" s="347"/>
      <c r="BC1" s="347"/>
      <c r="BD1" s="347"/>
      <c r="BE1" s="347"/>
      <c r="BF1" s="326" t="s">
        <v>1100</v>
      </c>
      <c r="BG1" s="327"/>
      <c r="BH1" s="327"/>
      <c r="BI1" s="327"/>
      <c r="BJ1" s="327"/>
      <c r="BK1" s="328"/>
      <c r="BM1" s="332" t="s">
        <v>1101</v>
      </c>
      <c r="BN1" s="332"/>
      <c r="BO1" s="332"/>
      <c r="BP1" s="332"/>
      <c r="BQ1" s="332"/>
      <c r="BR1" s="332"/>
      <c r="BS1" s="332"/>
      <c r="BT1" s="332"/>
      <c r="BU1" s="332"/>
      <c r="BV1" s="332"/>
    </row>
    <row r="2" spans="1:80" s="148" customFormat="1" ht="23.25" customHeight="1" x14ac:dyDescent="0.25">
      <c r="G2" s="362"/>
      <c r="H2" s="363"/>
      <c r="I2" s="363"/>
      <c r="J2" s="363"/>
      <c r="K2" s="363"/>
      <c r="L2" s="363"/>
      <c r="M2" s="363"/>
      <c r="N2" s="363"/>
      <c r="O2" s="364"/>
      <c r="P2" s="354" t="s">
        <v>1102</v>
      </c>
      <c r="Q2" s="355"/>
      <c r="R2" s="355"/>
      <c r="S2" s="355"/>
      <c r="T2" s="355"/>
      <c r="U2" s="355"/>
      <c r="V2" s="355"/>
      <c r="W2" s="355"/>
      <c r="X2" s="356"/>
      <c r="Y2" s="351" t="s">
        <v>1103</v>
      </c>
      <c r="Z2" s="352"/>
      <c r="AA2" s="352"/>
      <c r="AB2" s="353"/>
      <c r="AC2" s="348" t="s">
        <v>1104</v>
      </c>
      <c r="AD2" s="349"/>
      <c r="AE2" s="349"/>
      <c r="AF2" s="349"/>
      <c r="AG2" s="349"/>
      <c r="AH2" s="349"/>
      <c r="AI2" s="349"/>
      <c r="AJ2" s="349"/>
      <c r="AK2" s="350"/>
      <c r="AL2" s="152"/>
      <c r="AM2" s="336"/>
      <c r="AN2" s="337"/>
      <c r="AO2" s="337"/>
      <c r="AP2" s="337"/>
      <c r="AQ2" s="337"/>
      <c r="AR2" s="337"/>
      <c r="AS2" s="337"/>
      <c r="AT2" s="338"/>
      <c r="AU2" s="343" t="s">
        <v>1105</v>
      </c>
      <c r="AV2" s="344"/>
      <c r="AW2" s="344"/>
      <c r="AX2" s="344"/>
      <c r="AY2" s="344"/>
      <c r="AZ2" s="344"/>
      <c r="BA2" s="345"/>
      <c r="BB2" s="341" t="s">
        <v>1106</v>
      </c>
      <c r="BC2" s="342"/>
      <c r="BD2" s="339" t="s">
        <v>1107</v>
      </c>
      <c r="BE2" s="340"/>
      <c r="BF2" s="329"/>
      <c r="BG2" s="330"/>
      <c r="BH2" s="330"/>
      <c r="BI2" s="330"/>
      <c r="BJ2" s="330"/>
      <c r="BK2" s="331"/>
      <c r="BM2" s="332"/>
      <c r="BN2" s="332"/>
      <c r="BO2" s="332"/>
      <c r="BP2" s="332"/>
      <c r="BQ2" s="332"/>
      <c r="BR2" s="332"/>
      <c r="BS2" s="332"/>
      <c r="BT2" s="332"/>
      <c r="BU2" s="332"/>
      <c r="BV2" s="332"/>
    </row>
    <row r="3" spans="1:80" s="19" customFormat="1" x14ac:dyDescent="0.25">
      <c r="A3" s="151" t="s">
        <v>0</v>
      </c>
      <c r="B3" s="151" t="s">
        <v>1</v>
      </c>
      <c r="C3" s="151" t="s">
        <v>2</v>
      </c>
      <c r="D3" s="151" t="s">
        <v>1052</v>
      </c>
      <c r="E3" s="151" t="s">
        <v>3</v>
      </c>
      <c r="F3" s="151" t="s">
        <v>4</v>
      </c>
      <c r="G3" s="12" t="s">
        <v>7</v>
      </c>
      <c r="H3" s="12" t="s">
        <v>1053</v>
      </c>
      <c r="I3" s="12" t="s">
        <v>1054</v>
      </c>
      <c r="J3" s="12" t="s">
        <v>1055</v>
      </c>
      <c r="K3" s="12" t="s">
        <v>1056</v>
      </c>
      <c r="L3" s="12" t="s">
        <v>1057</v>
      </c>
      <c r="M3" s="12" t="s">
        <v>1345</v>
      </c>
      <c r="N3" s="12" t="s">
        <v>1058</v>
      </c>
      <c r="O3" s="12" t="s">
        <v>1108</v>
      </c>
      <c r="P3" s="2" t="s">
        <v>260</v>
      </c>
      <c r="Q3" s="2" t="s">
        <v>267</v>
      </c>
      <c r="R3" s="2" t="s">
        <v>274</v>
      </c>
      <c r="S3" s="2" t="s">
        <v>281</v>
      </c>
      <c r="T3" s="2" t="s">
        <v>286</v>
      </c>
      <c r="U3" s="2" t="s">
        <v>290</v>
      </c>
      <c r="V3" s="2" t="s">
        <v>294</v>
      </c>
      <c r="W3" s="2" t="s">
        <v>298</v>
      </c>
      <c r="X3" s="2" t="s">
        <v>1109</v>
      </c>
      <c r="Y3" s="13" t="s">
        <v>1059</v>
      </c>
      <c r="Z3" s="13" t="s">
        <v>1060</v>
      </c>
      <c r="AA3" s="13" t="s">
        <v>1110</v>
      </c>
      <c r="AB3" s="13" t="s">
        <v>1111</v>
      </c>
      <c r="AC3" s="2" t="s">
        <v>1112</v>
      </c>
      <c r="AD3" s="2" t="s">
        <v>1113</v>
      </c>
      <c r="AE3" s="2" t="s">
        <v>985</v>
      </c>
      <c r="AF3" s="2" t="s">
        <v>986</v>
      </c>
      <c r="AG3" s="2" t="s">
        <v>987</v>
      </c>
      <c r="AH3" s="2" t="s">
        <v>988</v>
      </c>
      <c r="AI3" s="2" t="s">
        <v>1063</v>
      </c>
      <c r="AJ3" s="2" t="s">
        <v>1064</v>
      </c>
      <c r="AK3" s="2" t="s">
        <v>1114</v>
      </c>
      <c r="AL3" s="152" t="s">
        <v>1115</v>
      </c>
      <c r="AM3" s="14" t="s">
        <v>1065</v>
      </c>
      <c r="AN3" s="14" t="s">
        <v>1066</v>
      </c>
      <c r="AO3" s="14" t="s">
        <v>1067</v>
      </c>
      <c r="AP3" s="14" t="s">
        <v>1068</v>
      </c>
      <c r="AQ3" s="14" t="s">
        <v>1069</v>
      </c>
      <c r="AR3" s="13" t="s">
        <v>1070</v>
      </c>
      <c r="AS3" s="14" t="s">
        <v>1071</v>
      </c>
      <c r="AT3" s="14" t="s">
        <v>1098</v>
      </c>
      <c r="AU3" s="15" t="s">
        <v>1072</v>
      </c>
      <c r="AV3" s="15" t="s">
        <v>1073</v>
      </c>
      <c r="AW3" s="15" t="s">
        <v>1074</v>
      </c>
      <c r="AX3" s="15" t="s">
        <v>1075</v>
      </c>
      <c r="AY3" s="15" t="s">
        <v>1076</v>
      </c>
      <c r="AZ3" s="15" t="s">
        <v>1077</v>
      </c>
      <c r="BA3" s="15" t="s">
        <v>1116</v>
      </c>
      <c r="BB3" s="202" t="s">
        <v>1078</v>
      </c>
      <c r="BC3" s="202" t="s">
        <v>1117</v>
      </c>
      <c r="BD3" s="16" t="s">
        <v>1079</v>
      </c>
      <c r="BE3" s="16" t="s">
        <v>1118</v>
      </c>
      <c r="BF3" s="153" t="s">
        <v>1099</v>
      </c>
      <c r="BG3" s="199" t="s">
        <v>1080</v>
      </c>
      <c r="BH3" s="199" t="s">
        <v>1081</v>
      </c>
      <c r="BI3" s="199" t="s">
        <v>1082</v>
      </c>
      <c r="BJ3" s="199" t="s">
        <v>1083</v>
      </c>
      <c r="BK3" s="199" t="s">
        <v>1084</v>
      </c>
      <c r="BL3" s="199" t="s">
        <v>1100</v>
      </c>
      <c r="BM3" s="154" t="s">
        <v>1119</v>
      </c>
      <c r="BN3" s="17" t="s">
        <v>266</v>
      </c>
      <c r="BO3" s="17" t="s">
        <v>273</v>
      </c>
      <c r="BP3" s="17" t="s">
        <v>302</v>
      </c>
      <c r="BQ3" s="17" t="s">
        <v>306</v>
      </c>
      <c r="BR3" s="17" t="s">
        <v>232</v>
      </c>
      <c r="BS3" s="155" t="s">
        <v>1120</v>
      </c>
      <c r="BT3" s="149" t="s">
        <v>1121</v>
      </c>
      <c r="BU3" s="149" t="s">
        <v>1122</v>
      </c>
      <c r="BV3" s="17" t="s">
        <v>1123</v>
      </c>
      <c r="BW3" s="17" t="s">
        <v>1101</v>
      </c>
      <c r="BX3" s="23" t="s">
        <v>1124</v>
      </c>
      <c r="BY3" s="156" t="s">
        <v>1125</v>
      </c>
      <c r="BZ3" s="3" t="s">
        <v>989</v>
      </c>
      <c r="CA3" s="3" t="s">
        <v>990</v>
      </c>
      <c r="CB3" s="18" t="s">
        <v>1240</v>
      </c>
    </row>
    <row r="4" spans="1:80" x14ac:dyDescent="0.25">
      <c r="A4" s="20" t="s">
        <v>1350</v>
      </c>
      <c r="B4" t="s">
        <v>8</v>
      </c>
      <c r="C4" t="s">
        <v>1244</v>
      </c>
      <c r="D4" t="s">
        <v>81</v>
      </c>
      <c r="E4" s="20" t="s">
        <v>9</v>
      </c>
      <c r="F4" s="20" t="s">
        <v>10</v>
      </c>
      <c r="G4" s="21">
        <v>798.14</v>
      </c>
      <c r="H4" s="21">
        <v>0</v>
      </c>
      <c r="I4" s="21">
        <v>0</v>
      </c>
      <c r="J4" s="21">
        <v>0</v>
      </c>
      <c r="K4" s="21">
        <v>0</v>
      </c>
      <c r="L4" s="21">
        <v>0</v>
      </c>
      <c r="M4" s="21">
        <v>0</v>
      </c>
      <c r="N4" s="21">
        <v>26.120899999999999</v>
      </c>
      <c r="O4" s="21">
        <f>SUM(tabCustoUnit[[#This Row],[Salário Base]:[Adicional de Acúmulo de função]])</f>
        <v>824.26089999999999</v>
      </c>
      <c r="P4" s="21">
        <f>tabCustoUnit[[#This Row],[MODULO 1 - REMUNERAÇÃO ]]*SUMIFS(tabParametros[INSS],tabParametros[Código do Posto],tabCustoUnit[[#This Row],[Código do Posto]])</f>
        <v>164.85218</v>
      </c>
      <c r="Q4" s="21">
        <f>tabCustoUnit[[#This Row],[MODULO 1 - REMUNERAÇÃO ]]*SUMIFS(tabParametros[SESI OU SESC],tabParametros[Código do Posto],tabCustoUnit[[#This Row],[Código do Posto]])</f>
        <v>12.363913499999999</v>
      </c>
      <c r="R4" s="21">
        <f>tabCustoUnit[[#This Row],[MODULO 1 - REMUNERAÇÃO ]]*SUMIFS(tabParametros[SENAI OU SENAC],tabParametros[Código do Posto],tabCustoUnit[[#This Row],[Código do Posto]])</f>
        <v>8.2426089999999999</v>
      </c>
      <c r="S4" s="21">
        <f>tabCustoUnit[[#This Row],[MODULO 1 - REMUNERAÇÃO ]]*SUMIFS(tabParametros[INCRA],tabParametros[Código do Posto],tabCustoUnit[[#This Row],[Código do Posto]])</f>
        <v>1.6485217999999999</v>
      </c>
      <c r="T4" s="21">
        <f>tabCustoUnit[[#This Row],[MODULO 1 - REMUNERAÇÃO ]]*SUMIFS(tabParametros[Salário Educação],tabParametros[Código do Posto],tabCustoUnit[[#This Row],[Código do Posto]])</f>
        <v>20.606522500000001</v>
      </c>
      <c r="U4" s="21">
        <f>tabCustoUnit[[#This Row],[MODULO 1 - REMUNERAÇÃO ]]*SUMIFS(tabParametros[FGTS],tabParametros[Código do Posto],tabCustoUnit[[#This Row],[Código do Posto]])</f>
        <v>65.940871999999999</v>
      </c>
      <c r="V4" s="21">
        <f>tabCustoUnit[[#This Row],[MODULO 1 - REMUNERAÇÃO ]]*SUMIFS(tabParametros[RAT Ajustado],tabParametros[Código do Posto],tabCustoUnit[[#This Row],[Código do Posto]])</f>
        <v>32.970435999999999</v>
      </c>
      <c r="W4" s="21">
        <f>tabCustoUnit[[#This Row],[MODULO 1 - REMUNERAÇÃO ]]*SUMIFS(tabParametros[SEBRAE],tabParametros[Código do Posto],tabCustoUnit[[#This Row],[Código do Posto]])</f>
        <v>4.9455654000000004</v>
      </c>
      <c r="X4" s="21">
        <f>SUM(tabCustoUnit[[#This Row],[INSS]:[SEBRAE]])</f>
        <v>311.57062020000001</v>
      </c>
      <c r="Y4" s="21">
        <f>tabCustoUnit[[#This Row],[MODULO 1 - REMUNERAÇÃO ]]*SUMIFS(tabParametros[13º salário (titular)],tabParametros[Código do Posto],tabCustoUnit[[#This Row],[Código do Posto]])</f>
        <v>68.688408333333328</v>
      </c>
      <c r="Z4" s="21">
        <f>tabCustoUnit[[#This Row],[MODULO 1 - REMUNERAÇÃO ]]*SUMIFS(tabParametros[Férias e Adicional de Férias (titular)],tabParametros[Código do Posto],tabCustoUnit[[#This Row],[Código do Posto]])</f>
        <v>91.584544444444433</v>
      </c>
      <c r="AA4" s="21">
        <f>IFERROR((tabCustoUnit[[#This Row],[Submódulo 2.1]]/tabCustoUnit[[#This Row],[MODULO 1 - REMUNERAÇÃO ]])*SUM(tabCustoUnit[[#This Row],[13º salário (titular)]:[Férias e Adicional de Férias (titular)]]),0)</f>
        <v>60.583176149999993</v>
      </c>
      <c r="AB4" s="21">
        <f>SUM(tabCustoUnit[[#This Row],[13º salário (titular)]:[Incidência do Submódulo 2.1 sobre 13º Salário, Férias e Adicional de Férias]])</f>
        <v>220.85612892777775</v>
      </c>
      <c r="AC4" s="22">
        <f>_xlfn.LET(_xlpm.VT,SUMIF(tabParametros[Código do Posto],tabCustoUnit[[#This Row],[Código do Posto]],tabParametros[Vale - Transporte])*2*20,
IF((_xlpm.VT-tabCustoUnit[[#This Row],[Salário Base]]*0.06)&gt;=0,(_xlpm.VT-tabCustoUnit[[#This Row],[Salário Base]]*0.06),0)
)</f>
        <v>208.11160000000001</v>
      </c>
      <c r="AD4" s="22">
        <f>IF(SUMIF(tabParametros[Código do Posto],tabCustoUnit[[#This Row],[Código do Posto]],tabParametros[Vale - Alimentação])&lt;=0,0,
SUMIF(tabParametros[Código do Posto],tabCustoUnit[[#This Row],[Código do Posto]],tabParametros[Vale - Alimentação])*20-1)</f>
        <v>582</v>
      </c>
      <c r="AE4" s="22">
        <f>SUMIF(tabParametros[Código do Posto],tabCustoUnit[[#This Row],[Código do Posto]],tabParametros[Cesta Básica])</f>
        <v>0</v>
      </c>
      <c r="AF4" s="22">
        <f>SUMIF(tabParametros[Código do Posto],tabCustoUnit[[#This Row],[Código do Posto]],tabParametros[PAF])</f>
        <v>51.74</v>
      </c>
      <c r="AG4" s="22">
        <f>SUMIF(tabParametros[Código do Posto],tabCustoUnit[[#This Row],[Código do Posto]],tabParametros[PQM])</f>
        <v>0</v>
      </c>
      <c r="AH4" s="22">
        <f>SUMIF(tabParametros[Código do Posto],tabCustoUnit[[#This Row],[Código do Posto]],tabParametros[PAT])</f>
        <v>0</v>
      </c>
      <c r="AI4" s="22">
        <f>SUMIF(tabParametros[Código do Posto],tabCustoUnit[[#This Row],[Código do Posto]],tabParametros[Seguro de Vida])</f>
        <v>3.36</v>
      </c>
      <c r="AJ4" s="22">
        <f>SUMIF(tabParametros[Código do Posto],tabCustoUnit[[#This Row],[Código do Posto]],tabParametros[Despesas de Viagem])</f>
        <v>0</v>
      </c>
      <c r="AK4" s="22">
        <f>SUM(tabCustoUnit[[#This Row],[Vale - Transporte (Descontada parcela do empregado)]:[Despesas de Viagem]])</f>
        <v>845.21159999999998</v>
      </c>
      <c r="AL4" s="22">
        <f>tabCustoUnit[[#This Row],[Submódulo 2.1]]+tabCustoUnit[[#This Row],[Submódulo 2.2]]+tabCustoUnit[[#This Row],[Submódulo 2.3]]</f>
        <v>1377.6383491277777</v>
      </c>
      <c r="AM4" s="22">
        <f>SUMIF(tabParametros[Código do Posto],tabCustoUnit[[#This Row],[Código do Posto]],tabParametros[Aviso Prévio Indenizado (API) e Reflexo do Aviso Prévio Indenizado])*tabCustoUnit[[#This Row],[MODULO 1 - REMUNERAÇÃO ]]</f>
        <v>5.7795253576581791</v>
      </c>
      <c r="AN4" s="22">
        <f>SUMIF(tabParametros[Código do Posto],tabCustoUnit[[#This Row],[Código do Posto]],tabParametros[Incidência do FGTS sobre API e Reflexo do API])*tabCustoUnit[[#This Row],[MODULO 1 - REMUNERAÇÃO ]]</f>
        <v>0.46236202861265435</v>
      </c>
      <c r="AO4" s="22">
        <f>SUMIF(tabParametros[Código do Posto],tabCustoUnit[[#This Row],[Código do Posto]],tabParametros[Multa Rescisória do FGTS sobre o Aviso Prévio Indenizado])*tabCustoUnit[[#This Row],[MODULO 1 - REMUNERAÇÃO ]]</f>
        <v>0.18494481144506175</v>
      </c>
      <c r="AP4" s="22">
        <f>SUMIF(tabParametros[Código do Posto],tabCustoUnit[[#This Row],[Código do Posto]],tabParametros[Aviso Prévio Trabalhado - APT])*tabCustoUnit[[#This Row],[MODULO 1 - REMUNERAÇÃO ]]</f>
        <v>2.8849131500000005</v>
      </c>
      <c r="AQ4" s="22">
        <f>SUMIF(tabParametros[Código do Posto],tabCustoUnit[[#This Row],[Código do Posto]],tabParametros[Incidência dos encargos do submódulo 2.1 sobre Aviso Prévio Trabalhado])*tabCustoUnit[[#This Row],[MODULO 1 - REMUNERAÇÃO ]]</f>
        <v>1.0904971707000004</v>
      </c>
      <c r="AR4" s="22">
        <f>SUMIF(tabParametros[Código do Posto],tabCustoUnit[[#This Row],[Código do Posto]],tabParametros[Multa Rescisória do FGTS])*tabCustoUnit[[#This Row],[MODULO 1 - REMUNERAÇÃO ]]</f>
        <v>25.204066631111107</v>
      </c>
      <c r="AS4" s="22">
        <f>SUMIF(tabParametros[Código do Posto],tabCustoUnit[[#This Row],[Código do Posto]],tabParametros[Indenização Adicional (Art. 9º da Lei nº 7.238/84)])*tabCustoUnit[[#This Row],[MODULO 1 - REMUNERAÇÃO ]]</f>
        <v>0.6868840833333334</v>
      </c>
      <c r="AT4" s="22">
        <f>SUM(tabCustoUnit[[#This Row],[Aviso Prévio Indenizado (API) e Reflexo do Aviso Prévio Indenizado]:[Indenização Adicional (Art. 9º da Lei nº 7.238/84)]])</f>
        <v>36.293193232860339</v>
      </c>
      <c r="AU4" s="22">
        <f>SUMIF(tabParametros[Código do Posto],tabCustoUnit[[#This Row],[Código do Posto]],tabParametros[Ausência por Doença])*tabCustoUnit[[#This Row],[MODULO 1 - REMUNERAÇÃO ]]</f>
        <v>6.9604253777777769</v>
      </c>
      <c r="AV4" s="22">
        <f>SUMIF(tabParametros[Código do Posto],tabCustoUnit[[#This Row],[Código do Posto]],tabParametros[Ausências Legais])*tabCustoUnit[[#This Row],[MODULO 1 - REMUNERAÇÃO ]]</f>
        <v>1.671417936111111</v>
      </c>
      <c r="AW4" s="22">
        <f>SUMIF(tabParametros[Código do Posto],tabCustoUnit[[#This Row],[Código do Posto]],tabParametros[Licença Paternidade])*tabCustoUnit[[#This Row],[MODULO 1 - REMUNERAÇÃO ]]</f>
        <v>0.14081123708333332</v>
      </c>
      <c r="AX4" s="22">
        <f>SUMIF(tabParametros[Código do Posto],tabCustoUnit[[#This Row],[Código do Posto]],tabParametros[Ausência por Acidente de Trabalho])*tabCustoUnit[[#This Row],[MODULO 1 - REMUNERAÇÃO ]]</f>
        <v>0.17172102083333335</v>
      </c>
      <c r="AY4" s="22">
        <f>SUMIF(tabParametros[Código do Posto],tabCustoUnit[[#This Row],[Código do Posto]],tabParametros[Férias, Adicional de Férias e 13º  com empregada em gozo de Licença Maternidade])*tabCustoUnit[[#This Row],[MODULO 1 - REMUNERAÇÃO ]]</f>
        <v>1.0684863518518517</v>
      </c>
      <c r="AZ4" s="22">
        <f>SUMIF(tabParametros[Código do Posto],tabCustoUnit[[#This Row],[Código do Posto]],tabParametros[Incidência do Submódulo 2.1 sobre Ausências Legais])*tabCustoUnit[[#This Row],[MODULO 1 - REMUNERAÇÃO ]]</f>
        <v>3.7848618071425006</v>
      </c>
      <c r="BA4" s="22">
        <f>SUM(tabCustoUnit[[#This Row],[Ausência por Doença]:[Incidência do Submódulo 2.1 sobre Ausências Legais]])</f>
        <v>13.797723730799909</v>
      </c>
      <c r="BB4" s="22">
        <f>SUMIF(tabParametros[Código do Posto],tabCustoUnit[[#This Row],[Código do Posto]],tabParametros[Intervalo para Repouso ou Alimentação])</f>
        <v>0</v>
      </c>
      <c r="BC4" s="22">
        <f>tabCustoUnit[[#This Row],[Intervalo para Repouso ou Alimentação]]</f>
        <v>0</v>
      </c>
      <c r="BD4" s="22">
        <f>IF(VLOOKUP(tabCustoUnit[[#This Row],[Código do Posto]],PARAMETROS!$A$4:$BJ$255,7,0)&lt;=0,0,
IFERROR((tabCustoUnit[[#This Row],[MODULO 1 - REMUNERAÇÃO ]]*VLOOKUP(tabCustoUnit[[#This Row],[Código do Posto]],PARAMETROS!$A$4:$BJ$255,49,0))/(VLOOKUP(tabCustoUnit[[#This Row],[Código do Posto]],PARAMETROS!$A$4:$BJ$255,7,0)*VLOOKUP(tabCustoUnit[[#This Row],[Código do Posto]],PARAMETROS!$A$4:$BJ$255,8,0)),0)
)</f>
        <v>0</v>
      </c>
      <c r="BE4" s="22">
        <f>tabCustoUnit[[#This Row],[Suspensão Temporária do Contrato de Trabalho]]</f>
        <v>0</v>
      </c>
      <c r="BF4" s="22">
        <f>tabCustoUnit[[#This Row],[Submódulo 4.1]]+tabCustoUnit[[#This Row],[Submódulo 4.2]]+tabCustoUnit[[#This Row],[Submódulo 4.3]]</f>
        <v>13.797723730799909</v>
      </c>
      <c r="BG4" s="22">
        <f>VLOOKUP(tabCustoUnit[[#This Row],[Código do Posto]],tabParametros[],MATCH(tabCustoUnit[[#Headers],[Uniformes e EPIs]],tabParametros[#Headers],0),0)</f>
        <v>62.806666666666665</v>
      </c>
      <c r="BH4" s="22">
        <f>VLOOKUP(tabCustoUnit[[#This Row],[Código do Posto]],tabParametros[],MATCH(tabCustoUnit[[#Headers],[Materiais de Consumo]],tabParametros[#Headers],0),0)</f>
        <v>17.759106479291944</v>
      </c>
      <c r="BI4" s="22">
        <f>VLOOKUP(tabCustoUnit[[#This Row],[Código do Posto]],tabParametros[],MATCH(tabCustoUnit[[#Headers],[Máquinas e Equipamentos (depreciação)]],tabParametros[#Headers],0),0)</f>
        <v>32.264696957412788</v>
      </c>
      <c r="BJ4" s="22">
        <f>VLOOKUP(tabCustoUnit[[#This Row],[Código do Posto]],tabParametros[],MATCH(tabCustoUnit[[#Headers],[Produtos de Limpeza e Materiais de Higiene Pessoal]],tabParametros[#Headers],0),0)</f>
        <v>345.13576638965827</v>
      </c>
      <c r="BK4" s="22">
        <f>VLOOKUP(tabCustoUnit[[#This Row],[Código do Posto]],tabParametros[],MATCH(tabCustoUnit[[#Headers],[Outros (especificar)]],tabParametros[#Headers],0),0)</f>
        <v>0</v>
      </c>
      <c r="BL4" s="22">
        <f>SUM(tabCustoUnit[[#This Row],[Uniformes e EPIs]:[Outros (especificar)]])</f>
        <v>457.96623649302967</v>
      </c>
      <c r="BM4" s="22">
        <f>tabCustoUnit[[#This Row],[MODULO 1 - REMUNERAÇÃO ]]+tabCustoUnit[[#This Row],[MÓDULO 2 - Total Encargos e Benefícios mensais e diários]]+tabCustoUnit[[#This Row],[MÓDULO 3 – PROVISÃO PARA RESCISÃO]]+tabCustoUnit[[#This Row],[MÓDULO 4 – CUSTO DE REPOSIÇÃO DO PROFISSIONAL AUSENTE]]+tabCustoUnit[[#This Row],[MÓDULO 5 – INSUMOS DIVERSOS]]</f>
        <v>2709.9564025844675</v>
      </c>
      <c r="BN4" s="22">
        <f>VLOOKUP(tabCustoUnit[[#This Row],[Código do Posto]],tabParametros[],MATCH(tabCustoUnit[[#Headers],[Custos Indiretos]],tabParametros[#Headers],0),0)</f>
        <v>189.64880140242613</v>
      </c>
      <c r="BO4" s="22">
        <f>VLOOKUP(tabCustoUnit[[#This Row],[Código do Posto]],tabParametros[],MATCH(tabCustoUnit[[#Headers],[Lucro]],tabParametros[#Headers],0),0)</f>
        <v>159.30499317803796</v>
      </c>
      <c r="BP4" s="26">
        <f>((100/((1-tabCustoUnit[[#This Row],[Resumo de Alíquotas (PIS+CONFINS+ISS)]]))-100)*VLOOKUP(tabCustoUnit[[#This Row],[Código do Posto]],tabParametros[],MATCH(tabCustoUnit[[#Headers],[COFINS]],tabParametros[#Headers],0),0))/(tabCustoUnit[[#This Row],[Resumo de Alíquotas (PIS+CONFINS+ISS)]]*100)</f>
        <v>8.6118980169971604E-2</v>
      </c>
      <c r="BQ4" s="26">
        <f>((100/((100-(tabCustoUnit[[#This Row],[Resumo de Alíquotas (PIS+CONFINS+ISS)]]*100))%)-100)*VLOOKUP(tabCustoUnit[[#This Row],[Código do Posto]],tabParametros[],MATCH(tabCustoUnit[[#Headers],[PIS]],tabParametros[#Headers],0),0))/(tabCustoUnit[[#This Row],[Resumo de Alíquotas (PIS+CONFINS+ISS)]]*100)</f>
        <v>1.8696883852691224E-2</v>
      </c>
      <c r="BR4" s="28">
        <f>VLOOKUP(tabCustoUnit[[#This Row],[Código do Posto]],tabParametros[],MATCH(tabCustoUnit[[#Headers],[ISS]],tabParametros[#Headers],0),0)</f>
        <v>2.5000000000000001E-2</v>
      </c>
      <c r="BS4" s="26">
        <f>(((100/((100-(tabCustoUnit[[#This Row],[Resumo de Alíquotas (PIS+CONFINS+ISS)]]*100))%)-100)*tabCustoUnit[[#This Row],[ISS]])/tabCustoUnit[[#This Row],[Resumo de Alíquotas (PIS+CONFINS+ISS)]])/100</f>
        <v>2.8328611898017008E-2</v>
      </c>
      <c r="BT4" s="26">
        <f>(VLOOKUP(tabCustoUnit[[#This Row],[Código do Posto]],tabParametros[],MATCH(tabCustoUnit[[#Headers],[COFINS]],tabParametros[#Headers],0),0)+
VLOOKUP(tabCustoUnit[[#This Row],[Código do Posto]],tabParametros[],MATCH(tabCustoUnit[[#Headers],[PIS]],tabParametros[#Headers],0),0)+
VLOOKUP(tabCustoUnit[[#This Row],[Código do Posto]],tabParametros[],MATCH(tabCustoUnit[[#Headers],[ISS]],tabParametros[#Headers],0),0))</f>
        <v>0.11749999999999999</v>
      </c>
      <c r="BU4" s="138">
        <f>tabCustoUnit[[#This Row],[COFINS]]+tabCustoUnit[[#This Row],[PIS]]+tabCustoUnit[[#This Row],[ISS (Conversão Alíquota s/ fatura)]]</f>
        <v>0.13314447592067982</v>
      </c>
      <c r="BV4" s="22">
        <f>(tabCustoUnit[[#This Row],[TOTAL MÓDULOS 1+2+3+4+5]]+tabCustoUnit[[#This Row],[Custos Indiretos]]+tabCustoUnit[[#This Row],[Lucro]])*tabCustoUnit[[#This Row],[PIS + COFINS + ISS (Total Conversão  Alíquota s/ Fatura)]]</f>
        <v>407.27699508994817</v>
      </c>
      <c r="BW4" s="22">
        <f>tabCustoUnit[[#This Row],[Custos Indiretos]]+tabCustoUnit[[#This Row],[Lucro]]+tabCustoUnit[[#This Row],[Valor dos Tributos (ISS, PIS, CONFINS)]]</f>
        <v>756.23078967041226</v>
      </c>
      <c r="BX4" s="22">
        <f>tabCustoUnit[[#This Row],[TOTAL MÓDULOS 1+2+3+4+5]]+tabCustoUnit[[#This Row],[MÓDULO 6 – CUSTOS INDIRETOS, TRIBUTOS E LUCRO]]</f>
        <v>3466.1871922548798</v>
      </c>
      <c r="BY4" s="22">
        <f>tabCustoUnit[[#This Row],[CUSTO TOTAL MENSAL]]*12</f>
        <v>41594.246307058558</v>
      </c>
      <c r="BZ4" s="24">
        <f>VLOOKUP(tabCustoUnit[[#This Row],[Código do Posto]],tabParametros[],MATCH(tabCustoUnit[[#Headers],[ANO DA CCT]],tabParametros[#Headers],0),0)</f>
        <v>45658</v>
      </c>
      <c r="CA4" s="25" t="str">
        <f>VLOOKUP(tabCustoUnit[[#This Row],[Código do Posto]],tabParametros[],MATCH(tabCustoUnit[[#Headers],[Nº DE PEDIDO DA CCT]],tabParametros[#Headers],0),0)</f>
        <v>-</v>
      </c>
      <c r="CB4" s="25" t="str">
        <f>VLOOKUP(tabCustoUnit[[#This Row],[Código do Posto]],tabParametros[],MATCH(tabCustoUnit[[#Headers],[TERMO ADITIVO ALTERAÇÃO DA CCT]],tabParametros[#Headers],0),0)</f>
        <v>-</v>
      </c>
    </row>
    <row r="5" spans="1:80" x14ac:dyDescent="0.25">
      <c r="A5" s="20" t="s">
        <v>1351</v>
      </c>
      <c r="B5" t="s">
        <v>11</v>
      </c>
      <c r="C5" t="s">
        <v>1244</v>
      </c>
      <c r="D5" t="s">
        <v>1000</v>
      </c>
      <c r="E5" s="20" t="s">
        <v>9</v>
      </c>
      <c r="F5" s="20" t="s">
        <v>10</v>
      </c>
      <c r="G5" s="21">
        <v>798.14</v>
      </c>
      <c r="H5" s="21">
        <v>0</v>
      </c>
      <c r="I5" s="21">
        <v>0</v>
      </c>
      <c r="J5" s="21">
        <v>0</v>
      </c>
      <c r="K5" s="21">
        <v>0</v>
      </c>
      <c r="L5" s="21">
        <v>0</v>
      </c>
      <c r="M5" s="21">
        <v>0</v>
      </c>
      <c r="N5" s="21">
        <v>26.120899999999999</v>
      </c>
      <c r="O5" s="21">
        <f>SUM(tabCustoUnit[[#This Row],[Salário Base]:[Adicional de Acúmulo de função]])</f>
        <v>824.26089999999999</v>
      </c>
      <c r="P5" s="21">
        <f>tabCustoUnit[[#This Row],[MODULO 1 - REMUNERAÇÃO ]]*SUMIFS(tabParametros[INSS],tabParametros[Código do Posto],tabCustoUnit[[#This Row],[Código do Posto]])</f>
        <v>164.85218</v>
      </c>
      <c r="Q5" s="21">
        <f>tabCustoUnit[[#This Row],[MODULO 1 - REMUNERAÇÃO ]]*SUMIFS(tabParametros[SESI OU SESC],tabParametros[Código do Posto],tabCustoUnit[[#This Row],[Código do Posto]])</f>
        <v>12.363913499999999</v>
      </c>
      <c r="R5" s="21">
        <f>tabCustoUnit[[#This Row],[MODULO 1 - REMUNERAÇÃO ]]*SUMIFS(tabParametros[SENAI OU SENAC],tabParametros[Código do Posto],tabCustoUnit[[#This Row],[Código do Posto]])</f>
        <v>8.2426089999999999</v>
      </c>
      <c r="S5" s="21">
        <f>tabCustoUnit[[#This Row],[MODULO 1 - REMUNERAÇÃO ]]*SUMIFS(tabParametros[INCRA],tabParametros[Código do Posto],tabCustoUnit[[#This Row],[Código do Posto]])</f>
        <v>1.6485217999999999</v>
      </c>
      <c r="T5" s="21">
        <f>tabCustoUnit[[#This Row],[MODULO 1 - REMUNERAÇÃO ]]*SUMIFS(tabParametros[Salário Educação],tabParametros[Código do Posto],tabCustoUnit[[#This Row],[Código do Posto]])</f>
        <v>20.606522500000001</v>
      </c>
      <c r="U5" s="21">
        <f>tabCustoUnit[[#This Row],[MODULO 1 - REMUNERAÇÃO ]]*SUMIFS(tabParametros[FGTS],tabParametros[Código do Posto],tabCustoUnit[[#This Row],[Código do Posto]])</f>
        <v>65.940871999999999</v>
      </c>
      <c r="V5" s="21">
        <f>tabCustoUnit[[#This Row],[MODULO 1 - REMUNERAÇÃO ]]*SUMIFS(tabParametros[RAT Ajustado],tabParametros[Código do Posto],tabCustoUnit[[#This Row],[Código do Posto]])</f>
        <v>32.970435999999999</v>
      </c>
      <c r="W5" s="21">
        <f>tabCustoUnit[[#This Row],[MODULO 1 - REMUNERAÇÃO ]]*SUMIFS(tabParametros[SEBRAE],tabParametros[Código do Posto],tabCustoUnit[[#This Row],[Código do Posto]])</f>
        <v>4.9455654000000004</v>
      </c>
      <c r="X5" s="21">
        <f>SUM(tabCustoUnit[[#This Row],[INSS]:[SEBRAE]])</f>
        <v>311.57062020000001</v>
      </c>
      <c r="Y5" s="21">
        <f>tabCustoUnit[[#This Row],[MODULO 1 - REMUNERAÇÃO ]]*SUMIFS(tabParametros[13º salário (titular)],tabParametros[Código do Posto],tabCustoUnit[[#This Row],[Código do Posto]])</f>
        <v>68.688408333333328</v>
      </c>
      <c r="Z5" s="21">
        <f>tabCustoUnit[[#This Row],[MODULO 1 - REMUNERAÇÃO ]]*SUMIFS(tabParametros[Férias e Adicional de Férias (titular)],tabParametros[Código do Posto],tabCustoUnit[[#This Row],[Código do Posto]])</f>
        <v>91.584544444444433</v>
      </c>
      <c r="AA5" s="21">
        <f>IFERROR((tabCustoUnit[[#This Row],[Submódulo 2.1]]/tabCustoUnit[[#This Row],[MODULO 1 - REMUNERAÇÃO ]])*SUM(tabCustoUnit[[#This Row],[13º salário (titular)]:[Férias e Adicional de Férias (titular)]]),0)</f>
        <v>60.583176149999993</v>
      </c>
      <c r="AB5" s="21">
        <f>SUM(tabCustoUnit[[#This Row],[13º salário (titular)]:[Incidência do Submódulo 2.1 sobre 13º Salário, Férias e Adicional de Férias]])</f>
        <v>220.85612892777775</v>
      </c>
      <c r="AC5" s="22">
        <f>_xlfn.LET(_xlpm.VT,SUMIF(tabParametros[Código do Posto],tabCustoUnit[[#This Row],[Código do Posto]],tabParametros[Vale - Transporte])*2*20,
IF((_xlpm.VT-tabCustoUnit[[#This Row],[Salário Base]]*0.06)&gt;=0,(_xlpm.VT-tabCustoUnit[[#This Row],[Salário Base]]*0.06),0)
)</f>
        <v>208.11160000000001</v>
      </c>
      <c r="AD5" s="22">
        <f>IF(SUMIF(tabParametros[Código do Posto],tabCustoUnit[[#This Row],[Código do Posto]],tabParametros[Vale - Alimentação])&lt;=0,0,
SUMIF(tabParametros[Código do Posto],tabCustoUnit[[#This Row],[Código do Posto]],tabParametros[Vale - Alimentação])*20-1)</f>
        <v>582</v>
      </c>
      <c r="AE5" s="22">
        <f>SUMIF(tabParametros[Código do Posto],tabCustoUnit[[#This Row],[Código do Posto]],tabParametros[Cesta Básica])</f>
        <v>0</v>
      </c>
      <c r="AF5" s="22">
        <f>SUMIF(tabParametros[Código do Posto],tabCustoUnit[[#This Row],[Código do Posto]],tabParametros[PAF])</f>
        <v>0</v>
      </c>
      <c r="AG5" s="22">
        <f>SUMIF(tabParametros[Código do Posto],tabCustoUnit[[#This Row],[Código do Posto]],tabParametros[PQM])</f>
        <v>15.07</v>
      </c>
      <c r="AH5" s="22">
        <f>SUMIF(tabParametros[Código do Posto],tabCustoUnit[[#This Row],[Código do Posto]],tabParametros[PAT])</f>
        <v>0</v>
      </c>
      <c r="AI5" s="22">
        <f>SUMIF(tabParametros[Código do Posto],tabCustoUnit[[#This Row],[Código do Posto]],tabParametros[Seguro de Vida])</f>
        <v>3.36</v>
      </c>
      <c r="AJ5" s="22">
        <f>SUMIF(tabParametros[Código do Posto],tabCustoUnit[[#This Row],[Código do Posto]],tabParametros[Despesas de Viagem])</f>
        <v>0</v>
      </c>
      <c r="AK5" s="22">
        <f>SUM(tabCustoUnit[[#This Row],[Vale - Transporte (Descontada parcela do empregado)]:[Despesas de Viagem]])</f>
        <v>808.54160000000002</v>
      </c>
      <c r="AL5" s="22">
        <f>tabCustoUnit[[#This Row],[Submódulo 2.1]]+tabCustoUnit[[#This Row],[Submódulo 2.2]]+tabCustoUnit[[#This Row],[Submódulo 2.3]]</f>
        <v>1340.9683491277779</v>
      </c>
      <c r="AM5" s="22">
        <f>SUMIF(tabParametros[Código do Posto],tabCustoUnit[[#This Row],[Código do Posto]],tabParametros[Aviso Prévio Indenizado (API) e Reflexo do Aviso Prévio Indenizado])*tabCustoUnit[[#This Row],[MODULO 1 - REMUNERAÇÃO ]]</f>
        <v>5.7795253576581791</v>
      </c>
      <c r="AN5" s="22">
        <f>SUMIF(tabParametros[Código do Posto],tabCustoUnit[[#This Row],[Código do Posto]],tabParametros[Incidência do FGTS sobre API e Reflexo do API])*tabCustoUnit[[#This Row],[MODULO 1 - REMUNERAÇÃO ]]</f>
        <v>0.46236202861265435</v>
      </c>
      <c r="AO5" s="22">
        <f>SUMIF(tabParametros[Código do Posto],tabCustoUnit[[#This Row],[Código do Posto]],tabParametros[Multa Rescisória do FGTS sobre o Aviso Prévio Indenizado])*tabCustoUnit[[#This Row],[MODULO 1 - REMUNERAÇÃO ]]</f>
        <v>0.18494481144506175</v>
      </c>
      <c r="AP5" s="22">
        <f>SUMIF(tabParametros[Código do Posto],tabCustoUnit[[#This Row],[Código do Posto]],tabParametros[Aviso Prévio Trabalhado - APT])*tabCustoUnit[[#This Row],[MODULO 1 - REMUNERAÇÃO ]]</f>
        <v>2.8849131500000005</v>
      </c>
      <c r="AQ5" s="22">
        <f>SUMIF(tabParametros[Código do Posto],tabCustoUnit[[#This Row],[Código do Posto]],tabParametros[Incidência dos encargos do submódulo 2.1 sobre Aviso Prévio Trabalhado])*tabCustoUnit[[#This Row],[MODULO 1 - REMUNERAÇÃO ]]</f>
        <v>1.0904971707000004</v>
      </c>
      <c r="AR5" s="22">
        <f>SUMIF(tabParametros[Código do Posto],tabCustoUnit[[#This Row],[Código do Posto]],tabParametros[Multa Rescisória do FGTS])*tabCustoUnit[[#This Row],[MODULO 1 - REMUNERAÇÃO ]]</f>
        <v>25.204066631111107</v>
      </c>
      <c r="AS5" s="22">
        <f>SUMIF(tabParametros[Código do Posto],tabCustoUnit[[#This Row],[Código do Posto]],tabParametros[Indenização Adicional (Art. 9º da Lei nº 7.238/84)])*tabCustoUnit[[#This Row],[MODULO 1 - REMUNERAÇÃO ]]</f>
        <v>0.6868840833333334</v>
      </c>
      <c r="AT5" s="22">
        <f>SUM(tabCustoUnit[[#This Row],[Aviso Prévio Indenizado (API) e Reflexo do Aviso Prévio Indenizado]:[Indenização Adicional (Art. 9º da Lei nº 7.238/84)]])</f>
        <v>36.293193232860339</v>
      </c>
      <c r="AU5" s="22">
        <f>SUMIF(tabParametros[Código do Posto],tabCustoUnit[[#This Row],[Código do Posto]],tabParametros[Ausência por Doença])*tabCustoUnit[[#This Row],[MODULO 1 - REMUNERAÇÃO ]]</f>
        <v>6.9604253777777769</v>
      </c>
      <c r="AV5" s="22">
        <f>SUMIF(tabParametros[Código do Posto],tabCustoUnit[[#This Row],[Código do Posto]],tabParametros[Ausências Legais])*tabCustoUnit[[#This Row],[MODULO 1 - REMUNERAÇÃO ]]</f>
        <v>1.671417936111111</v>
      </c>
      <c r="AW5" s="22">
        <f>SUMIF(tabParametros[Código do Posto],tabCustoUnit[[#This Row],[Código do Posto]],tabParametros[Licença Paternidade])*tabCustoUnit[[#This Row],[MODULO 1 - REMUNERAÇÃO ]]</f>
        <v>0.14081123708333332</v>
      </c>
      <c r="AX5" s="22">
        <f>SUMIF(tabParametros[Código do Posto],tabCustoUnit[[#This Row],[Código do Posto]],tabParametros[Ausência por Acidente de Trabalho])*tabCustoUnit[[#This Row],[MODULO 1 - REMUNERAÇÃO ]]</f>
        <v>0.17172102083333335</v>
      </c>
      <c r="AY5" s="22">
        <f>SUMIF(tabParametros[Código do Posto],tabCustoUnit[[#This Row],[Código do Posto]],tabParametros[Férias, Adicional de Férias e 13º  com empregada em gozo de Licença Maternidade])*tabCustoUnit[[#This Row],[MODULO 1 - REMUNERAÇÃO ]]</f>
        <v>1.0684863518518517</v>
      </c>
      <c r="AZ5" s="22">
        <f>SUMIF(tabParametros[Código do Posto],tabCustoUnit[[#This Row],[Código do Posto]],tabParametros[Incidência do Submódulo 2.1 sobre Ausências Legais])*tabCustoUnit[[#This Row],[MODULO 1 - REMUNERAÇÃO ]]</f>
        <v>3.7848618071425006</v>
      </c>
      <c r="BA5" s="22">
        <f>SUM(tabCustoUnit[[#This Row],[Ausência por Doença]:[Incidência do Submódulo 2.1 sobre Ausências Legais]])</f>
        <v>13.797723730799909</v>
      </c>
      <c r="BB5" s="22">
        <f>SUMIF(tabParametros[Código do Posto],tabCustoUnit[[#This Row],[Código do Posto]],tabParametros[Intervalo para Repouso ou Alimentação])</f>
        <v>0</v>
      </c>
      <c r="BC5" s="22">
        <f>tabCustoUnit[[#This Row],[Intervalo para Repouso ou Alimentação]]</f>
        <v>0</v>
      </c>
      <c r="BD5" s="22">
        <f>IF(VLOOKUP(tabCustoUnit[[#This Row],[Código do Posto]],PARAMETROS!$A$4:$BJ$255,7,0)&lt;=0,0,
IFERROR((tabCustoUnit[[#This Row],[MODULO 1 - REMUNERAÇÃO ]]*VLOOKUP(tabCustoUnit[[#This Row],[Código do Posto]],PARAMETROS!$A$4:$BJ$255,49,0))/(VLOOKUP(tabCustoUnit[[#This Row],[Código do Posto]],PARAMETROS!$A$4:$BJ$255,7,0)*VLOOKUP(tabCustoUnit[[#This Row],[Código do Posto]],PARAMETROS!$A$4:$BJ$255,8,0)),0)
)</f>
        <v>0</v>
      </c>
      <c r="BE5" s="22">
        <f>tabCustoUnit[[#This Row],[Suspensão Temporária do Contrato de Trabalho]]</f>
        <v>0</v>
      </c>
      <c r="BF5" s="22">
        <f>tabCustoUnit[[#This Row],[Submódulo 4.1]]+tabCustoUnit[[#This Row],[Submódulo 4.2]]+tabCustoUnit[[#This Row],[Submódulo 4.3]]</f>
        <v>13.797723730799909</v>
      </c>
      <c r="BG5" s="22">
        <f>VLOOKUP(tabCustoUnit[[#This Row],[Código do Posto]],tabParametros[],MATCH(tabCustoUnit[[#Headers],[Uniformes e EPIs]],tabParametros[#Headers],0),0)</f>
        <v>62.806666666666665</v>
      </c>
      <c r="BH5" s="22">
        <f>VLOOKUP(tabCustoUnit[[#This Row],[Código do Posto]],tabParametros[],MATCH(tabCustoUnit[[#Headers],[Materiais de Consumo]],tabParametros[#Headers],0),0)</f>
        <v>17.759106479291944</v>
      </c>
      <c r="BI5" s="22">
        <f>VLOOKUP(tabCustoUnit[[#This Row],[Código do Posto]],tabParametros[],MATCH(tabCustoUnit[[#Headers],[Máquinas e Equipamentos (depreciação)]],tabParametros[#Headers],0),0)</f>
        <v>32.264696957412788</v>
      </c>
      <c r="BJ5" s="22">
        <f>VLOOKUP(tabCustoUnit[[#This Row],[Código do Posto]],tabParametros[],MATCH(tabCustoUnit[[#Headers],[Produtos de Limpeza e Materiais de Higiene Pessoal]],tabParametros[#Headers],0),0)</f>
        <v>345.13576638965827</v>
      </c>
      <c r="BK5" s="22">
        <f>VLOOKUP(tabCustoUnit[[#This Row],[Código do Posto]],tabParametros[],MATCH(tabCustoUnit[[#Headers],[Outros (especificar)]],tabParametros[#Headers],0),0)</f>
        <v>0</v>
      </c>
      <c r="BL5" s="22">
        <f>SUM(tabCustoUnit[[#This Row],[Uniformes e EPIs]:[Outros (especificar)]])</f>
        <v>457.96623649302967</v>
      </c>
      <c r="BM5" s="22">
        <f>tabCustoUnit[[#This Row],[MODULO 1 - REMUNERAÇÃO ]]+tabCustoUnit[[#This Row],[MÓDULO 2 - Total Encargos e Benefícios mensais e diários]]+tabCustoUnit[[#This Row],[MÓDULO 3 – PROVISÃO PARA RESCISÃO]]+tabCustoUnit[[#This Row],[MÓDULO 4 – CUSTO DE REPOSIÇÃO DO PROFISSIONAL AUSENTE]]+tabCustoUnit[[#This Row],[MÓDULO 5 – INSUMOS DIVERSOS]]</f>
        <v>2673.2864025844674</v>
      </c>
      <c r="BN5" s="22">
        <f>VLOOKUP(tabCustoUnit[[#This Row],[Código do Posto]],tabParametros[],MATCH(tabCustoUnit[[#Headers],[Custos Indiretos]],tabParametros[#Headers],0),0)</f>
        <v>189.64880140242613</v>
      </c>
      <c r="BO5" s="22">
        <f>VLOOKUP(tabCustoUnit[[#This Row],[Código do Posto]],tabParametros[],MATCH(tabCustoUnit[[#Headers],[Lucro]],tabParametros[#Headers],0),0)</f>
        <v>159.30499317803796</v>
      </c>
      <c r="BP5" s="26">
        <f>((100/((1-tabCustoUnit[[#This Row],[Resumo de Alíquotas (PIS+CONFINS+ISS)]]))-100)*VLOOKUP(tabCustoUnit[[#This Row],[Código do Posto]],tabParametros[],MATCH(tabCustoUnit[[#Headers],[COFINS]],tabParametros[#Headers],0),0))/(tabCustoUnit[[#This Row],[Resumo de Alíquotas (PIS+CONFINS+ISS)]]*100)</f>
        <v>8.5633802816901458E-2</v>
      </c>
      <c r="BQ5" s="26">
        <f>((100/((100-(tabCustoUnit[[#This Row],[Resumo de Alíquotas (PIS+CONFINS+ISS)]]*100))%)-100)*VLOOKUP(tabCustoUnit[[#This Row],[Código do Posto]],tabParametros[],MATCH(tabCustoUnit[[#Headers],[PIS]],tabParametros[#Headers],0),0))/(tabCustoUnit[[#This Row],[Resumo de Alíquotas (PIS+CONFINS+ISS)]]*100)</f>
        <v>1.8591549295774657E-2</v>
      </c>
      <c r="BR5" s="28">
        <f>VLOOKUP(tabCustoUnit[[#This Row],[Código do Posto]],tabParametros[],MATCH(tabCustoUnit[[#Headers],[ISS]],tabParametros[#Headers],0),0)</f>
        <v>0.02</v>
      </c>
      <c r="BS5" s="26">
        <f>(((100/((100-(tabCustoUnit[[#This Row],[Resumo de Alíquotas (PIS+CONFINS+ISS)]]*100))%)-100)*tabCustoUnit[[#This Row],[ISS]])/tabCustoUnit[[#This Row],[Resumo de Alíquotas (PIS+CONFINS+ISS)]])/100</f>
        <v>2.2535211267605645E-2</v>
      </c>
      <c r="BT5" s="26">
        <f>(VLOOKUP(tabCustoUnit[[#This Row],[Código do Posto]],tabParametros[],MATCH(tabCustoUnit[[#Headers],[COFINS]],tabParametros[#Headers],0),0)+
VLOOKUP(tabCustoUnit[[#This Row],[Código do Posto]],tabParametros[],MATCH(tabCustoUnit[[#Headers],[PIS]],tabParametros[#Headers],0),0)+
VLOOKUP(tabCustoUnit[[#This Row],[Código do Posto]],tabParametros[],MATCH(tabCustoUnit[[#Headers],[ISS]],tabParametros[#Headers],0),0))</f>
        <v>0.1125</v>
      </c>
      <c r="BU5" s="138">
        <f>tabCustoUnit[[#This Row],[COFINS]]+tabCustoUnit[[#This Row],[PIS]]+tabCustoUnit[[#This Row],[ISS (Conversão Alíquota s/ fatura)]]</f>
        <v>0.12676056338028174</v>
      </c>
      <c r="BV5" s="22">
        <f>(tabCustoUnit[[#This Row],[TOTAL MÓDULOS 1+2+3+4+5]]+tabCustoUnit[[#This Row],[Custos Indiretos]]+tabCustoUnit[[#This Row],[Lucro]])*tabCustoUnit[[#This Row],[PIS + COFINS + ISS (Total Conversão  Alíquota s/ Fatura)]]</f>
        <v>383.10087006316047</v>
      </c>
      <c r="BW5" s="22">
        <f>tabCustoUnit[[#This Row],[Custos Indiretos]]+tabCustoUnit[[#This Row],[Lucro]]+tabCustoUnit[[#This Row],[Valor dos Tributos (ISS, PIS, CONFINS)]]</f>
        <v>732.05466464362462</v>
      </c>
      <c r="BX5" s="22">
        <f>tabCustoUnit[[#This Row],[TOTAL MÓDULOS 1+2+3+4+5]]+tabCustoUnit[[#This Row],[MÓDULO 6 – CUSTOS INDIRETOS, TRIBUTOS E LUCRO]]</f>
        <v>3405.341067228092</v>
      </c>
      <c r="BY5" s="22">
        <f>tabCustoUnit[[#This Row],[CUSTO TOTAL MENSAL]]*12</f>
        <v>40864.092806737106</v>
      </c>
      <c r="BZ5" s="24">
        <f>VLOOKUP(tabCustoUnit[[#This Row],[Código do Posto]],tabParametros[],MATCH(tabCustoUnit[[#Headers],[ANO DA CCT]],tabParametros[#Headers],0),0)</f>
        <v>45658</v>
      </c>
      <c r="CA5" s="25" t="str">
        <f>VLOOKUP(tabCustoUnit[[#This Row],[Código do Posto]],tabParametros[],MATCH(tabCustoUnit[[#Headers],[Nº DE PEDIDO DA CCT]],tabParametros[#Headers],0),0)</f>
        <v>-</v>
      </c>
      <c r="CB5" s="25" t="str">
        <f>VLOOKUP(tabCustoUnit[[#This Row],[Código do Posto]],tabParametros[],MATCH(tabCustoUnit[[#Headers],[TERMO ADITIVO ALTERAÇÃO DA CCT]],tabParametros[#Headers],0),0)</f>
        <v>-</v>
      </c>
    </row>
    <row r="6" spans="1:80" x14ac:dyDescent="0.25">
      <c r="A6" s="20" t="s">
        <v>1352</v>
      </c>
      <c r="B6" t="s">
        <v>12</v>
      </c>
      <c r="C6" t="s">
        <v>1245</v>
      </c>
      <c r="D6" t="s">
        <v>1026</v>
      </c>
      <c r="E6" s="20" t="s">
        <v>9</v>
      </c>
      <c r="F6" s="20" t="s">
        <v>10</v>
      </c>
      <c r="G6" s="21">
        <v>1596.28</v>
      </c>
      <c r="H6" s="21">
        <v>0</v>
      </c>
      <c r="I6" s="21">
        <v>0</v>
      </c>
      <c r="J6" s="21">
        <v>0</v>
      </c>
      <c r="K6" s="21">
        <v>0</v>
      </c>
      <c r="L6" s="21">
        <v>0</v>
      </c>
      <c r="M6" s="21">
        <v>0</v>
      </c>
      <c r="N6" s="21">
        <v>52.241900000000001</v>
      </c>
      <c r="O6" s="21">
        <f>SUM(tabCustoUnit[[#This Row],[Salário Base]:[Adicional de Acúmulo de função]])</f>
        <v>1648.5219</v>
      </c>
      <c r="P6" s="21">
        <f>tabCustoUnit[[#This Row],[MODULO 1 - REMUNERAÇÃO ]]*SUMIFS(tabParametros[INSS],tabParametros[Código do Posto],tabCustoUnit[[#This Row],[Código do Posto]])</f>
        <v>329.70438000000001</v>
      </c>
      <c r="Q6" s="21">
        <f>tabCustoUnit[[#This Row],[MODULO 1 - REMUNERAÇÃO ]]*SUMIFS(tabParametros[SESI OU SESC],tabParametros[Código do Posto],tabCustoUnit[[#This Row],[Código do Posto]])</f>
        <v>24.727828499999998</v>
      </c>
      <c r="R6" s="21">
        <f>tabCustoUnit[[#This Row],[MODULO 1 - REMUNERAÇÃO ]]*SUMIFS(tabParametros[SENAI OU SENAC],tabParametros[Código do Posto],tabCustoUnit[[#This Row],[Código do Posto]])</f>
        <v>16.485219000000001</v>
      </c>
      <c r="S6" s="21">
        <f>tabCustoUnit[[#This Row],[MODULO 1 - REMUNERAÇÃO ]]*SUMIFS(tabParametros[INCRA],tabParametros[Código do Posto],tabCustoUnit[[#This Row],[Código do Posto]])</f>
        <v>3.2970438</v>
      </c>
      <c r="T6" s="21">
        <f>tabCustoUnit[[#This Row],[MODULO 1 - REMUNERAÇÃO ]]*SUMIFS(tabParametros[Salário Educação],tabParametros[Código do Posto],tabCustoUnit[[#This Row],[Código do Posto]])</f>
        <v>41.213047500000002</v>
      </c>
      <c r="U6" s="21">
        <f>tabCustoUnit[[#This Row],[MODULO 1 - REMUNERAÇÃO ]]*SUMIFS(tabParametros[FGTS],tabParametros[Código do Posto],tabCustoUnit[[#This Row],[Código do Posto]])</f>
        <v>131.88175200000001</v>
      </c>
      <c r="V6" s="21">
        <f>tabCustoUnit[[#This Row],[MODULO 1 - REMUNERAÇÃO ]]*SUMIFS(tabParametros[RAT Ajustado],tabParametros[Código do Posto],tabCustoUnit[[#This Row],[Código do Posto]])</f>
        <v>65.940876000000003</v>
      </c>
      <c r="W6" s="21">
        <f>tabCustoUnit[[#This Row],[MODULO 1 - REMUNERAÇÃO ]]*SUMIFS(tabParametros[SEBRAE],tabParametros[Código do Posto],tabCustoUnit[[#This Row],[Código do Posto]])</f>
        <v>9.8911314000000008</v>
      </c>
      <c r="X6" s="21">
        <f>SUM(tabCustoUnit[[#This Row],[INSS]:[SEBRAE]])</f>
        <v>623.14127819999999</v>
      </c>
      <c r="Y6" s="21">
        <f>tabCustoUnit[[#This Row],[MODULO 1 - REMUNERAÇÃO ]]*SUMIFS(tabParametros[13º salário (titular)],tabParametros[Código do Posto],tabCustoUnit[[#This Row],[Código do Posto]])</f>
        <v>137.376825</v>
      </c>
      <c r="Z6" s="21">
        <f>tabCustoUnit[[#This Row],[MODULO 1 - REMUNERAÇÃO ]]*SUMIFS(tabParametros[Férias e Adicional de Férias (titular)],tabParametros[Código do Posto],tabCustoUnit[[#This Row],[Código do Posto]])</f>
        <v>183.16909999999999</v>
      </c>
      <c r="AA6" s="21">
        <f>IFERROR((tabCustoUnit[[#This Row],[Submódulo 2.1]]/tabCustoUnit[[#This Row],[MODULO 1 - REMUNERAÇÃO ]])*SUM(tabCustoUnit[[#This Row],[13º salário (titular)]:[Férias e Adicional de Férias (titular)]]),0)</f>
        <v>121.16635965</v>
      </c>
      <c r="AB6" s="21">
        <f>SUM(tabCustoUnit[[#This Row],[13º salário (titular)]:[Incidência do Submódulo 2.1 sobre 13º Salário, Férias e Adicional de Férias]])</f>
        <v>441.71228465000002</v>
      </c>
      <c r="AC6" s="22">
        <f>_xlfn.LET(_xlpm.VT,SUMIF(tabParametros[Código do Posto],tabCustoUnit[[#This Row],[Código do Posto]],tabParametros[Vale - Transporte])*2*20,
IF((_xlpm.VT-tabCustoUnit[[#This Row],[Salário Base]]*0.06)&gt;=0,(_xlpm.VT-tabCustoUnit[[#This Row],[Salário Base]]*0.06),0)
)</f>
        <v>160.22320000000002</v>
      </c>
      <c r="AD6" s="22">
        <f>IF(SUMIF(tabParametros[Código do Posto],tabCustoUnit[[#This Row],[Código do Posto]],tabParametros[Vale - Alimentação])&lt;=0,0,
SUMIF(tabParametros[Código do Posto],tabCustoUnit[[#This Row],[Código do Posto]],tabParametros[Vale - Alimentação])*20-1)</f>
        <v>582</v>
      </c>
      <c r="AE6" s="22">
        <f>SUMIF(tabParametros[Código do Posto],tabCustoUnit[[#This Row],[Código do Posto]],tabParametros[Cesta Básica])</f>
        <v>0</v>
      </c>
      <c r="AF6" s="22">
        <f>SUMIF(tabParametros[Código do Posto],tabCustoUnit[[#This Row],[Código do Posto]],tabParametros[PAF])</f>
        <v>0</v>
      </c>
      <c r="AG6" s="22">
        <f>SUMIF(tabParametros[Código do Posto],tabCustoUnit[[#This Row],[Código do Posto]],tabParametros[PQM])</f>
        <v>15.07</v>
      </c>
      <c r="AH6" s="22">
        <f>SUMIF(tabParametros[Código do Posto],tabCustoUnit[[#This Row],[Código do Posto]],tabParametros[PAT])</f>
        <v>0</v>
      </c>
      <c r="AI6" s="22">
        <f>SUMIF(tabParametros[Código do Posto],tabCustoUnit[[#This Row],[Código do Posto]],tabParametros[Seguro de Vida])</f>
        <v>3.36</v>
      </c>
      <c r="AJ6" s="22">
        <f>SUMIF(tabParametros[Código do Posto],tabCustoUnit[[#This Row],[Código do Posto]],tabParametros[Despesas de Viagem])</f>
        <v>0</v>
      </c>
      <c r="AK6" s="22">
        <f>SUM(tabCustoUnit[[#This Row],[Vale - Transporte (Descontada parcela do empregado)]:[Despesas de Viagem]])</f>
        <v>760.65320000000008</v>
      </c>
      <c r="AL6" s="22">
        <f>tabCustoUnit[[#This Row],[Submódulo 2.1]]+tabCustoUnit[[#This Row],[Submódulo 2.2]]+tabCustoUnit[[#This Row],[Submódulo 2.3]]</f>
        <v>1825.5067628500001</v>
      </c>
      <c r="AM6" s="22">
        <f>SUMIF(tabParametros[Código do Posto],tabCustoUnit[[#This Row],[Código do Posto]],tabParametros[Aviso Prévio Indenizado (API) e Reflexo do Aviso Prévio Indenizado])*tabCustoUnit[[#This Row],[MODULO 1 - REMUNERAÇÃO ]]</f>
        <v>11.559051416493055</v>
      </c>
      <c r="AN6" s="22">
        <f>SUMIF(tabParametros[Código do Posto],tabCustoUnit[[#This Row],[Código do Posto]],tabParametros[Incidência do FGTS sobre API e Reflexo do API])*tabCustoUnit[[#This Row],[MODULO 1 - REMUNERAÇÃO ]]</f>
        <v>0.92472411331944449</v>
      </c>
      <c r="AO6" s="22">
        <f>SUMIF(tabParametros[Código do Posto],tabCustoUnit[[#This Row],[Código do Posto]],tabParametros[Multa Rescisória do FGTS sobre o Aviso Prévio Indenizado])*tabCustoUnit[[#This Row],[MODULO 1 - REMUNERAÇÃO ]]</f>
        <v>0.36988964532777785</v>
      </c>
      <c r="AP6" s="22">
        <f>SUMIF(tabParametros[Código do Posto],tabCustoUnit[[#This Row],[Código do Posto]],tabParametros[Aviso Prévio Trabalhado - APT])*tabCustoUnit[[#This Row],[MODULO 1 - REMUNERAÇÃO ]]</f>
        <v>5.7698266500000006</v>
      </c>
      <c r="AQ6" s="22">
        <f>SUMIF(tabParametros[Código do Posto],tabCustoUnit[[#This Row],[Código do Posto]],tabParametros[Incidência dos encargos do submódulo 2.1 sobre Aviso Prévio Trabalhado])*tabCustoUnit[[#This Row],[MODULO 1 - REMUNERAÇÃO ]]</f>
        <v>2.1809944737000007</v>
      </c>
      <c r="AR6" s="22">
        <f>SUMIF(tabParametros[Código do Posto],tabCustoUnit[[#This Row],[Código do Posto]],tabParametros[Multa Rescisória do FGTS])*tabCustoUnit[[#This Row],[MODULO 1 - REMUNERAÇÃO ]]</f>
        <v>50.40813631999999</v>
      </c>
      <c r="AS6" s="22">
        <f>SUMIF(tabParametros[Código do Posto],tabCustoUnit[[#This Row],[Código do Posto]],tabParametros[Indenização Adicional (Art. 9º da Lei nº 7.238/84)])*tabCustoUnit[[#This Row],[MODULO 1 - REMUNERAÇÃO ]]</f>
        <v>1.3737682500000001</v>
      </c>
      <c r="AT6" s="22">
        <f>SUM(tabCustoUnit[[#This Row],[Aviso Prévio Indenizado (API) e Reflexo do Aviso Prévio Indenizado]:[Indenização Adicional (Art. 9º da Lei nº 7.238/84)]])</f>
        <v>72.586390868840269</v>
      </c>
      <c r="AU6" s="22">
        <f>SUMIF(tabParametros[Código do Posto],tabCustoUnit[[#This Row],[Código do Posto]],tabParametros[Ausência por Doença])*tabCustoUnit[[#This Row],[MODULO 1 - REMUNERAÇÃO ]]</f>
        <v>13.920851599999999</v>
      </c>
      <c r="AV6" s="22">
        <f>SUMIF(tabParametros[Código do Posto],tabCustoUnit[[#This Row],[Código do Posto]],tabParametros[Ausências Legais])*tabCustoUnit[[#This Row],[MODULO 1 - REMUNERAÇÃO ]]</f>
        <v>3.3428360749999997</v>
      </c>
      <c r="AW6" s="22">
        <f>SUMIF(tabParametros[Código do Posto],tabCustoUnit[[#This Row],[Código do Posto]],tabParametros[Licença Paternidade])*tabCustoUnit[[#This Row],[MODULO 1 - REMUNERAÇÃO ]]</f>
        <v>0.28162249125</v>
      </c>
      <c r="AX6" s="22">
        <f>SUMIF(tabParametros[Código do Posto],tabCustoUnit[[#This Row],[Código do Posto]],tabParametros[Ausência por Acidente de Trabalho])*tabCustoUnit[[#This Row],[MODULO 1 - REMUNERAÇÃO ]]</f>
        <v>0.34344206250000003</v>
      </c>
      <c r="AY6" s="22">
        <f>SUMIF(tabParametros[Código do Posto],tabCustoUnit[[#This Row],[Código do Posto]],tabParametros[Férias, Adicional de Férias e 13º  com empregada em gozo de Licença Maternidade])*tabCustoUnit[[#This Row],[MODULO 1 - REMUNERAÇÃO ]]</f>
        <v>2.1369728333333331</v>
      </c>
      <c r="AZ6" s="22">
        <f>SUMIF(tabParametros[Código do Posto],tabCustoUnit[[#This Row],[Código do Posto]],tabParametros[Incidência do Submódulo 2.1 sobre Ausências Legais])*tabCustoUnit[[#This Row],[MODULO 1 - REMUNERAÇÃO ]]</f>
        <v>7.5697240734675013</v>
      </c>
      <c r="BA6" s="22">
        <f>SUM(tabCustoUnit[[#This Row],[Ausência por Doença]:[Incidência do Submódulo 2.1 sobre Ausências Legais]])</f>
        <v>27.595449135550833</v>
      </c>
      <c r="BB6" s="22">
        <f>SUMIF(tabParametros[Código do Posto],tabCustoUnit[[#This Row],[Código do Posto]],tabParametros[Intervalo para Repouso ou Alimentação])</f>
        <v>0</v>
      </c>
      <c r="BC6" s="22">
        <f>tabCustoUnit[[#This Row],[Intervalo para Repouso ou Alimentação]]</f>
        <v>0</v>
      </c>
      <c r="BD6" s="22">
        <f>IF(VLOOKUP(tabCustoUnit[[#This Row],[Código do Posto]],PARAMETROS!$A$4:$BJ$255,7,0)&lt;=0,0,
IFERROR((tabCustoUnit[[#This Row],[MODULO 1 - REMUNERAÇÃO ]]*VLOOKUP(tabCustoUnit[[#This Row],[Código do Posto]],PARAMETROS!$A$4:$BJ$255,49,0))/(VLOOKUP(tabCustoUnit[[#This Row],[Código do Posto]],PARAMETROS!$A$4:$BJ$255,7,0)*VLOOKUP(tabCustoUnit[[#This Row],[Código do Posto]],PARAMETROS!$A$4:$BJ$255,8,0)),0)
)</f>
        <v>0</v>
      </c>
      <c r="BE6" s="22">
        <f>tabCustoUnit[[#This Row],[Suspensão Temporária do Contrato de Trabalho]]</f>
        <v>0</v>
      </c>
      <c r="BF6" s="22">
        <f>tabCustoUnit[[#This Row],[Submódulo 4.1]]+tabCustoUnit[[#This Row],[Submódulo 4.2]]+tabCustoUnit[[#This Row],[Submódulo 4.3]]</f>
        <v>27.595449135550833</v>
      </c>
      <c r="BG6" s="22">
        <f>VLOOKUP(tabCustoUnit[[#This Row],[Código do Posto]],tabParametros[],MATCH(tabCustoUnit[[#Headers],[Uniformes e EPIs]],tabParametros[#Headers],0),0)</f>
        <v>100.80916666666666</v>
      </c>
      <c r="BH6" s="22">
        <f>VLOOKUP(tabCustoUnit[[#This Row],[Código do Posto]],tabParametros[],MATCH(tabCustoUnit[[#Headers],[Materiais de Consumo]],tabParametros[#Headers],0),0)</f>
        <v>35.518212958583888</v>
      </c>
      <c r="BI6" s="22">
        <f>VLOOKUP(tabCustoUnit[[#This Row],[Código do Posto]],tabParametros[],MATCH(tabCustoUnit[[#Headers],[Máquinas e Equipamentos (depreciação)]],tabParametros[#Headers],0),0)</f>
        <v>64.529393914825576</v>
      </c>
      <c r="BJ6" s="22">
        <f>VLOOKUP(tabCustoUnit[[#This Row],[Código do Posto]],tabParametros[],MATCH(tabCustoUnit[[#Headers],[Produtos de Limpeza e Materiais de Higiene Pessoal]],tabParametros[#Headers],0),0)</f>
        <v>690.27153277931654</v>
      </c>
      <c r="BK6" s="22">
        <f>VLOOKUP(tabCustoUnit[[#This Row],[Código do Posto]],tabParametros[],MATCH(tabCustoUnit[[#Headers],[Outros (especificar)]],tabParametros[#Headers],0),0)</f>
        <v>0</v>
      </c>
      <c r="BL6" s="22">
        <f>SUM(tabCustoUnit[[#This Row],[Uniformes e EPIs]:[Outros (especificar)]])</f>
        <v>891.12830631939266</v>
      </c>
      <c r="BM6" s="22">
        <f>tabCustoUnit[[#This Row],[MODULO 1 - REMUNERAÇÃO ]]+tabCustoUnit[[#This Row],[MÓDULO 2 - Total Encargos e Benefícios mensais e diários]]+tabCustoUnit[[#This Row],[MÓDULO 3 – PROVISÃO PARA RESCISÃO]]+tabCustoUnit[[#This Row],[MÓDULO 4 – CUSTO DE REPOSIÇÃO DO PROFISSIONAL AUSENTE]]+tabCustoUnit[[#This Row],[MÓDULO 5 – INSUMOS DIVERSOS]]</f>
        <v>4465.3388091737834</v>
      </c>
      <c r="BN6" s="22">
        <f>VLOOKUP(tabCustoUnit[[#This Row],[Código do Posto]],tabParametros[],MATCH(tabCustoUnit[[#Headers],[Custos Indiretos]],tabParametros[#Headers],0),0)</f>
        <v>189.64880140242613</v>
      </c>
      <c r="BO6" s="22">
        <f>VLOOKUP(tabCustoUnit[[#This Row],[Código do Posto]],tabParametros[],MATCH(tabCustoUnit[[#Headers],[Lucro]],tabParametros[#Headers],0),0)</f>
        <v>159.30499317803796</v>
      </c>
      <c r="BP6" s="26">
        <f>((100/((1-tabCustoUnit[[#This Row],[Resumo de Alíquotas (PIS+CONFINS+ISS)]]))-100)*VLOOKUP(tabCustoUnit[[#This Row],[Código do Posto]],tabParametros[],MATCH(tabCustoUnit[[#Headers],[COFINS]],tabParametros[#Headers],0),0))/(tabCustoUnit[[#This Row],[Resumo de Alíquotas (PIS+CONFINS+ISS)]]*100)</f>
        <v>8.8629737609329504E-2</v>
      </c>
      <c r="BQ6" s="26">
        <f>((100/((100-(tabCustoUnit[[#This Row],[Resumo de Alíquotas (PIS+CONFINS+ISS)]]*100))%)-100)*VLOOKUP(tabCustoUnit[[#This Row],[Código do Posto]],tabParametros[],MATCH(tabCustoUnit[[#Headers],[PIS]],tabParametros[#Headers],0),0))/(tabCustoUnit[[#This Row],[Resumo de Alíquotas (PIS+CONFINS+ISS)]]*100)</f>
        <v>1.9241982507288629E-2</v>
      </c>
      <c r="BR6" s="28">
        <f>VLOOKUP(tabCustoUnit[[#This Row],[Código do Posto]],tabParametros[],MATCH(tabCustoUnit[[#Headers],[ISS]],tabParametros[#Headers],0),0)</f>
        <v>0.05</v>
      </c>
      <c r="BS6" s="26">
        <f>(((100/((100-(tabCustoUnit[[#This Row],[Resumo de Alíquotas (PIS+CONFINS+ISS)]]*100))%)-100)*tabCustoUnit[[#This Row],[ISS]])/tabCustoUnit[[#This Row],[Resumo de Alíquotas (PIS+CONFINS+ISS)]])/100</f>
        <v>5.8309037900874633E-2</v>
      </c>
      <c r="BT6" s="26">
        <f>(VLOOKUP(tabCustoUnit[[#This Row],[Código do Posto]],tabParametros[],MATCH(tabCustoUnit[[#Headers],[COFINS]],tabParametros[#Headers],0),0)+
VLOOKUP(tabCustoUnit[[#This Row],[Código do Posto]],tabParametros[],MATCH(tabCustoUnit[[#Headers],[PIS]],tabParametros[#Headers],0),0)+
VLOOKUP(tabCustoUnit[[#This Row],[Código do Posto]],tabParametros[],MATCH(tabCustoUnit[[#Headers],[ISS]],tabParametros[#Headers],0),0))</f>
        <v>0.14250000000000002</v>
      </c>
      <c r="BU6" s="138">
        <f>tabCustoUnit[[#This Row],[COFINS]]+tabCustoUnit[[#This Row],[PIS]]+tabCustoUnit[[#This Row],[ISS (Conversão Alíquota s/ fatura)]]</f>
        <v>0.16618075801749277</v>
      </c>
      <c r="BV6" s="22">
        <f>(tabCustoUnit[[#This Row],[TOTAL MÓDULOS 1+2+3+4+5]]+tabCustoUnit[[#This Row],[Custos Indiretos]]+tabCustoUnit[[#This Row],[Lucro]])*tabCustoUnit[[#This Row],[PIS + COFINS + ISS (Total Conversão  Alíquota s/ Fatura)]]</f>
        <v>800.04279420988985</v>
      </c>
      <c r="BW6" s="22">
        <f>tabCustoUnit[[#This Row],[Custos Indiretos]]+tabCustoUnit[[#This Row],[Lucro]]+tabCustoUnit[[#This Row],[Valor dos Tributos (ISS, PIS, CONFINS)]]</f>
        <v>1148.9965887903541</v>
      </c>
      <c r="BX6" s="22">
        <f>tabCustoUnit[[#This Row],[TOTAL MÓDULOS 1+2+3+4+5]]+tabCustoUnit[[#This Row],[MÓDULO 6 – CUSTOS INDIRETOS, TRIBUTOS E LUCRO]]</f>
        <v>5614.3353979641379</v>
      </c>
      <c r="BY6" s="22">
        <f>tabCustoUnit[[#This Row],[CUSTO TOTAL MENSAL]]*12</f>
        <v>67372.024775569647</v>
      </c>
      <c r="BZ6" s="24">
        <f>VLOOKUP(tabCustoUnit[[#This Row],[Código do Posto]],tabParametros[],MATCH(tabCustoUnit[[#Headers],[ANO DA CCT]],tabParametros[#Headers],0),0)</f>
        <v>45658</v>
      </c>
      <c r="CA6" s="25" t="str">
        <f>VLOOKUP(tabCustoUnit[[#This Row],[Código do Posto]],tabParametros[],MATCH(tabCustoUnit[[#Headers],[Nº DE PEDIDO DA CCT]],tabParametros[#Headers],0),0)</f>
        <v>-</v>
      </c>
      <c r="CB6" s="25" t="str">
        <f>VLOOKUP(tabCustoUnit[[#This Row],[Código do Posto]],tabParametros[],MATCH(tabCustoUnit[[#Headers],[TERMO ADITIVO ALTERAÇÃO DA CCT]],tabParametros[#Headers],0),0)</f>
        <v>-</v>
      </c>
    </row>
    <row r="7" spans="1:80" x14ac:dyDescent="0.25">
      <c r="A7" s="20" t="s">
        <v>1353</v>
      </c>
      <c r="B7" t="s">
        <v>13</v>
      </c>
      <c r="C7" t="s">
        <v>1247</v>
      </c>
      <c r="D7" t="s">
        <v>1000</v>
      </c>
      <c r="E7" s="20" t="s">
        <v>9</v>
      </c>
      <c r="F7" s="20" t="s">
        <v>10</v>
      </c>
      <c r="G7" s="21">
        <v>544.17999999999995</v>
      </c>
      <c r="H7" s="21">
        <v>0</v>
      </c>
      <c r="I7" s="21">
        <v>0</v>
      </c>
      <c r="J7" s="21">
        <v>0</v>
      </c>
      <c r="K7" s="21">
        <v>0</v>
      </c>
      <c r="L7" s="21">
        <v>0</v>
      </c>
      <c r="M7" s="21">
        <v>0</v>
      </c>
      <c r="N7" s="21">
        <v>19.590499999999999</v>
      </c>
      <c r="O7" s="21">
        <f>SUM(tabCustoUnit[[#This Row],[Salário Base]:[Adicional de Acúmulo de função]])</f>
        <v>563.77049999999997</v>
      </c>
      <c r="P7" s="21">
        <f>tabCustoUnit[[#This Row],[MODULO 1 - REMUNERAÇÃO ]]*SUMIFS(tabParametros[INSS],tabParametros[Código do Posto],tabCustoUnit[[#This Row],[Código do Posto]])</f>
        <v>112.75409999999999</v>
      </c>
      <c r="Q7" s="21">
        <f>tabCustoUnit[[#This Row],[MODULO 1 - REMUNERAÇÃO ]]*SUMIFS(tabParametros[SESI OU SESC],tabParametros[Código do Posto],tabCustoUnit[[#This Row],[Código do Posto]])</f>
        <v>8.4565574999999988</v>
      </c>
      <c r="R7" s="21">
        <f>tabCustoUnit[[#This Row],[MODULO 1 - REMUNERAÇÃO ]]*SUMIFS(tabParametros[SENAI OU SENAC],tabParametros[Código do Posto],tabCustoUnit[[#This Row],[Código do Posto]])</f>
        <v>5.6377049999999995</v>
      </c>
      <c r="S7" s="21">
        <f>tabCustoUnit[[#This Row],[MODULO 1 - REMUNERAÇÃO ]]*SUMIFS(tabParametros[INCRA],tabParametros[Código do Posto],tabCustoUnit[[#This Row],[Código do Posto]])</f>
        <v>1.1275409999999999</v>
      </c>
      <c r="T7" s="21">
        <f>tabCustoUnit[[#This Row],[MODULO 1 - REMUNERAÇÃO ]]*SUMIFS(tabParametros[Salário Educação],tabParametros[Código do Posto],tabCustoUnit[[#This Row],[Código do Posto]])</f>
        <v>14.094262499999999</v>
      </c>
      <c r="U7" s="21">
        <f>tabCustoUnit[[#This Row],[MODULO 1 - REMUNERAÇÃO ]]*SUMIFS(tabParametros[FGTS],tabParametros[Código do Posto],tabCustoUnit[[#This Row],[Código do Posto]])</f>
        <v>45.101639999999996</v>
      </c>
      <c r="V7" s="21">
        <f>tabCustoUnit[[#This Row],[MODULO 1 - REMUNERAÇÃO ]]*SUMIFS(tabParametros[RAT Ajustado],tabParametros[Código do Posto],tabCustoUnit[[#This Row],[Código do Posto]])</f>
        <v>22.550819999999998</v>
      </c>
      <c r="W7" s="21">
        <f>tabCustoUnit[[#This Row],[MODULO 1 - REMUNERAÇÃO ]]*SUMIFS(tabParametros[SEBRAE],tabParametros[Código do Posto],tabCustoUnit[[#This Row],[Código do Posto]])</f>
        <v>3.3826229999999997</v>
      </c>
      <c r="X7" s="21">
        <f>SUM(tabCustoUnit[[#This Row],[INSS]:[SEBRAE]])</f>
        <v>213.10524899999996</v>
      </c>
      <c r="Y7" s="21">
        <f>tabCustoUnit[[#This Row],[MODULO 1 - REMUNERAÇÃO ]]*SUMIFS(tabParametros[13º salário (titular)],tabParametros[Código do Posto],tabCustoUnit[[#This Row],[Código do Posto]])</f>
        <v>46.980874999999997</v>
      </c>
      <c r="Z7" s="21">
        <f>tabCustoUnit[[#This Row],[MODULO 1 - REMUNERAÇÃO ]]*SUMIFS(tabParametros[Férias e Adicional de Férias (titular)],tabParametros[Código do Posto],tabCustoUnit[[#This Row],[Código do Posto]])</f>
        <v>62.641166666666663</v>
      </c>
      <c r="AA7" s="21">
        <f>IFERROR((tabCustoUnit[[#This Row],[Submódulo 2.1]]/tabCustoUnit[[#This Row],[MODULO 1 - REMUNERAÇÃO ]])*SUM(tabCustoUnit[[#This Row],[13º salário (titular)]:[Férias e Adicional de Férias (titular)]]),0)</f>
        <v>41.437131749999992</v>
      </c>
      <c r="AB7" s="21">
        <f>SUM(tabCustoUnit[[#This Row],[13º salário (titular)]:[Incidência do Submódulo 2.1 sobre 13º Salário, Férias e Adicional de Férias]])</f>
        <v>151.05917341666665</v>
      </c>
      <c r="AC7" s="22">
        <f>_xlfn.LET(_xlpm.VT,SUMIF(tabParametros[Código do Posto],tabCustoUnit[[#This Row],[Código do Posto]],tabParametros[Vale - Transporte])*2*20,
IF((_xlpm.VT-tabCustoUnit[[#This Row],[Salário Base]]*0.06)&gt;=0,(_xlpm.VT-tabCustoUnit[[#This Row],[Salário Base]]*0.06),0)
)</f>
        <v>223.3492</v>
      </c>
      <c r="AD7" s="22">
        <f>IF(SUMIF(tabParametros[Código do Posto],tabCustoUnit[[#This Row],[Código do Posto]],tabParametros[Vale - Alimentação])&lt;=0,0,
SUMIF(tabParametros[Código do Posto],tabCustoUnit[[#This Row],[Código do Posto]],tabParametros[Vale - Alimentação])*20-1)</f>
        <v>582</v>
      </c>
      <c r="AE7" s="22">
        <f>SUMIF(tabParametros[Código do Posto],tabCustoUnit[[#This Row],[Código do Posto]],tabParametros[Cesta Básica])</f>
        <v>0</v>
      </c>
      <c r="AF7" s="22">
        <f>SUMIF(tabParametros[Código do Posto],tabCustoUnit[[#This Row],[Código do Posto]],tabParametros[PAF])</f>
        <v>0</v>
      </c>
      <c r="AG7" s="22">
        <f>SUMIF(tabParametros[Código do Posto],tabCustoUnit[[#This Row],[Código do Posto]],tabParametros[PQM])</f>
        <v>15.07</v>
      </c>
      <c r="AH7" s="22">
        <f>SUMIF(tabParametros[Código do Posto],tabCustoUnit[[#This Row],[Código do Posto]],tabParametros[PAT])</f>
        <v>0</v>
      </c>
      <c r="AI7" s="22">
        <f>SUMIF(tabParametros[Código do Posto],tabCustoUnit[[#This Row],[Código do Posto]],tabParametros[Seguro de Vida])</f>
        <v>3.36</v>
      </c>
      <c r="AJ7" s="22">
        <f>SUMIF(tabParametros[Código do Posto],tabCustoUnit[[#This Row],[Código do Posto]],tabParametros[Despesas de Viagem])</f>
        <v>0</v>
      </c>
      <c r="AK7" s="22">
        <f>SUM(tabCustoUnit[[#This Row],[Vale - Transporte (Descontada parcela do empregado)]:[Despesas de Viagem]])</f>
        <v>823.77920000000006</v>
      </c>
      <c r="AL7" s="22">
        <f>tabCustoUnit[[#This Row],[Submódulo 2.1]]+tabCustoUnit[[#This Row],[Submódulo 2.2]]+tabCustoUnit[[#This Row],[Submódulo 2.3]]</f>
        <v>1187.9436224166666</v>
      </c>
      <c r="AM7" s="22">
        <f>SUMIF(tabParametros[Código do Posto],tabCustoUnit[[#This Row],[Código do Posto]],tabParametros[Aviso Prévio Indenizado (API) e Reflexo do Aviso Prévio Indenizado])*tabCustoUnit[[#This Row],[MODULO 1 - REMUNERAÇÃO ]]</f>
        <v>3.9530273735532404</v>
      </c>
      <c r="AN7" s="22">
        <f>SUMIF(tabParametros[Código do Posto],tabCustoUnit[[#This Row],[Código do Posto]],tabParametros[Incidência do FGTS sobre API e Reflexo do API])*tabCustoUnit[[#This Row],[MODULO 1 - REMUNERAÇÃO ]]</f>
        <v>0.31624218988425928</v>
      </c>
      <c r="AO7" s="22">
        <f>SUMIF(tabParametros[Código do Posto],tabCustoUnit[[#This Row],[Código do Posto]],tabParametros[Multa Rescisória do FGTS sobre o Aviso Prévio Indenizado])*tabCustoUnit[[#This Row],[MODULO 1 - REMUNERAÇÃO ]]</f>
        <v>0.12649687595370371</v>
      </c>
      <c r="AP7" s="22">
        <f>SUMIF(tabParametros[Código do Posto],tabCustoUnit[[#This Row],[Código do Posto]],tabParametros[Aviso Prévio Trabalhado - APT])*tabCustoUnit[[#This Row],[MODULO 1 - REMUNERAÇÃO ]]</f>
        <v>1.9731967500000003</v>
      </c>
      <c r="AQ7" s="22">
        <f>SUMIF(tabParametros[Código do Posto],tabCustoUnit[[#This Row],[Código do Posto]],tabParametros[Incidência dos encargos do submódulo 2.1 sobre Aviso Prévio Trabalhado])*tabCustoUnit[[#This Row],[MODULO 1 - REMUNERAÇÃO ]]</f>
        <v>0.74586837150000018</v>
      </c>
      <c r="AR7" s="22">
        <f>SUMIF(tabParametros[Código do Posto],tabCustoUnit[[#This Row],[Código do Posto]],tabParametros[Multa Rescisória do FGTS])*tabCustoUnit[[#This Row],[MODULO 1 - REMUNERAÇÃO ]]</f>
        <v>17.238849066666663</v>
      </c>
      <c r="AS7" s="22">
        <f>SUMIF(tabParametros[Código do Posto],tabCustoUnit[[#This Row],[Código do Posto]],tabParametros[Indenização Adicional (Art. 9º da Lei nº 7.238/84)])*tabCustoUnit[[#This Row],[MODULO 1 - REMUNERAÇÃO ]]</f>
        <v>0.46980875</v>
      </c>
      <c r="AT7" s="22">
        <f>SUM(tabCustoUnit[[#This Row],[Aviso Prévio Indenizado (API) e Reflexo do Aviso Prévio Indenizado]:[Indenização Adicional (Art. 9º da Lei nº 7.238/84)]])</f>
        <v>24.823489377557866</v>
      </c>
      <c r="AU7" s="22">
        <f>SUMIF(tabParametros[Código do Posto],tabCustoUnit[[#This Row],[Código do Posto]],tabParametros[Ausência por Doença])*tabCustoUnit[[#This Row],[MODULO 1 - REMUNERAÇÃO ]]</f>
        <v>4.7607286666666662</v>
      </c>
      <c r="AV7" s="22">
        <f>SUMIF(tabParametros[Código do Posto],tabCustoUnit[[#This Row],[Código do Posto]],tabParametros[Ausências Legais])*tabCustoUnit[[#This Row],[MODULO 1 - REMUNERAÇÃO ]]</f>
        <v>1.1432012916666665</v>
      </c>
      <c r="AW7" s="22">
        <f>SUMIF(tabParametros[Código do Posto],tabCustoUnit[[#This Row],[Código do Posto]],tabParametros[Licença Paternidade])*tabCustoUnit[[#This Row],[MODULO 1 - REMUNERAÇÃO ]]</f>
        <v>9.6310793749999998E-2</v>
      </c>
      <c r="AX7" s="22">
        <f>SUMIF(tabParametros[Código do Posto],tabCustoUnit[[#This Row],[Código do Posto]],tabParametros[Ausência por Acidente de Trabalho])*tabCustoUnit[[#This Row],[MODULO 1 - REMUNERAÇÃO ]]</f>
        <v>0.1174521875</v>
      </c>
      <c r="AY7" s="22">
        <f>SUMIF(tabParametros[Código do Posto],tabCustoUnit[[#This Row],[Código do Posto]],tabParametros[Férias, Adicional de Férias e 13º  com empregada em gozo de Licença Maternidade])*tabCustoUnit[[#This Row],[MODULO 1 - REMUNERAÇÃO ]]</f>
        <v>0.73081361111111109</v>
      </c>
      <c r="AZ7" s="22">
        <f>SUMIF(tabParametros[Código do Posto],tabCustoUnit[[#This Row],[Código do Posto]],tabParametros[Incidência do Submódulo 2.1 sobre Ausências Legais])*tabCustoUnit[[#This Row],[MODULO 1 - REMUNERAÇÃO ]]</f>
        <v>2.5887354761625003</v>
      </c>
      <c r="BA7" s="22">
        <f>SUM(tabCustoUnit[[#This Row],[Ausência por Doença]:[Incidência do Submódulo 2.1 sobre Ausências Legais]])</f>
        <v>9.4372420268569428</v>
      </c>
      <c r="BB7" s="22">
        <f>SUMIF(tabParametros[Código do Posto],tabCustoUnit[[#This Row],[Código do Posto]],tabParametros[Intervalo para Repouso ou Alimentação])</f>
        <v>0</v>
      </c>
      <c r="BC7" s="22">
        <f>tabCustoUnit[[#This Row],[Intervalo para Repouso ou Alimentação]]</f>
        <v>0</v>
      </c>
      <c r="BD7" s="22">
        <f>IF(VLOOKUP(tabCustoUnit[[#This Row],[Código do Posto]],PARAMETROS!$A$4:$BJ$255,7,0)&lt;=0,0,
IFERROR((tabCustoUnit[[#This Row],[MODULO 1 - REMUNERAÇÃO ]]*VLOOKUP(tabCustoUnit[[#This Row],[Código do Posto]],PARAMETROS!$A$4:$BJ$255,49,0))/(VLOOKUP(tabCustoUnit[[#This Row],[Código do Posto]],PARAMETROS!$A$4:$BJ$255,7,0)*VLOOKUP(tabCustoUnit[[#This Row],[Código do Posto]],PARAMETROS!$A$4:$BJ$255,8,0)),0)
)</f>
        <v>0</v>
      </c>
      <c r="BE7" s="22">
        <f>tabCustoUnit[[#This Row],[Suspensão Temporária do Contrato de Trabalho]]</f>
        <v>0</v>
      </c>
      <c r="BF7" s="22">
        <f>tabCustoUnit[[#This Row],[Submódulo 4.1]]+tabCustoUnit[[#This Row],[Submódulo 4.2]]+tabCustoUnit[[#This Row],[Submódulo 4.3]]</f>
        <v>9.4372420268569428</v>
      </c>
      <c r="BG7" s="22">
        <f>VLOOKUP(tabCustoUnit[[#This Row],[Código do Posto]],tabParametros[],MATCH(tabCustoUnit[[#Headers],[Uniformes e EPIs]],tabParametros[#Headers],0),0)</f>
        <v>62.806666666666665</v>
      </c>
      <c r="BH7" s="22">
        <f>VLOOKUP(tabCustoUnit[[#This Row],[Código do Posto]],tabParametros[],MATCH(tabCustoUnit[[#Headers],[Materiais de Consumo]],tabParametros[#Headers],0),0)</f>
        <v>12.108481690426325</v>
      </c>
      <c r="BI7" s="22">
        <f>VLOOKUP(tabCustoUnit[[#This Row],[Código do Posto]],tabParametros[],MATCH(tabCustoUnit[[#Headers],[Máquinas e Equipamentos (depreciação)]],tabParametros[#Headers],0),0)</f>
        <v>21.998657016417809</v>
      </c>
      <c r="BJ7" s="22">
        <f>VLOOKUP(tabCustoUnit[[#This Row],[Código do Posto]],tabParametros[],MATCH(tabCustoUnit[[#Headers],[Produtos de Limpeza e Materiais de Higiene Pessoal]],tabParametros[#Headers],0),0)</f>
        <v>235.31984072022155</v>
      </c>
      <c r="BK7" s="22">
        <f>VLOOKUP(tabCustoUnit[[#This Row],[Código do Posto]],tabParametros[],MATCH(tabCustoUnit[[#Headers],[Outros (especificar)]],tabParametros[#Headers],0),0)</f>
        <v>0</v>
      </c>
      <c r="BL7" s="22">
        <f>SUM(tabCustoUnit[[#This Row],[Uniformes e EPIs]:[Outros (especificar)]])</f>
        <v>332.23364609373232</v>
      </c>
      <c r="BM7" s="22">
        <f>tabCustoUnit[[#This Row],[MODULO 1 - REMUNERAÇÃO ]]+tabCustoUnit[[#This Row],[MÓDULO 2 - Total Encargos e Benefícios mensais e diários]]+tabCustoUnit[[#This Row],[MÓDULO 3 – PROVISÃO PARA RESCISÃO]]+tabCustoUnit[[#This Row],[MÓDULO 4 – CUSTO DE REPOSIÇÃO DO PROFISSIONAL AUSENTE]]+tabCustoUnit[[#This Row],[MÓDULO 5 – INSUMOS DIVERSOS]]</f>
        <v>2118.2084999148137</v>
      </c>
      <c r="BN7" s="22">
        <f>VLOOKUP(tabCustoUnit[[#This Row],[Código do Posto]],tabParametros[],MATCH(tabCustoUnit[[#Headers],[Custos Indiretos]],tabParametros[#Headers],0),0)</f>
        <v>189.64880140242613</v>
      </c>
      <c r="BO7" s="22">
        <f>VLOOKUP(tabCustoUnit[[#This Row],[Código do Posto]],tabParametros[],MATCH(tabCustoUnit[[#Headers],[Lucro]],tabParametros[#Headers],0),0)</f>
        <v>159.30499317803796</v>
      </c>
      <c r="BP7" s="26">
        <f>((100/((1-tabCustoUnit[[#This Row],[Resumo de Alíquotas (PIS+CONFINS+ISS)]]))-100)*VLOOKUP(tabCustoUnit[[#This Row],[Código do Posto]],tabParametros[],MATCH(tabCustoUnit[[#Headers],[COFINS]],tabParametros[#Headers],0),0))/(tabCustoUnit[[#This Row],[Resumo de Alíquotas (PIS+CONFINS+ISS)]]*100)</f>
        <v>8.8629737609329504E-2</v>
      </c>
      <c r="BQ7" s="26">
        <f>((100/((100-(tabCustoUnit[[#This Row],[Resumo de Alíquotas (PIS+CONFINS+ISS)]]*100))%)-100)*VLOOKUP(tabCustoUnit[[#This Row],[Código do Posto]],tabParametros[],MATCH(tabCustoUnit[[#Headers],[PIS]],tabParametros[#Headers],0),0))/(tabCustoUnit[[#This Row],[Resumo de Alíquotas (PIS+CONFINS+ISS)]]*100)</f>
        <v>1.9241982507288629E-2</v>
      </c>
      <c r="BR7" s="28">
        <f>VLOOKUP(tabCustoUnit[[#This Row],[Código do Posto]],tabParametros[],MATCH(tabCustoUnit[[#Headers],[ISS]],tabParametros[#Headers],0),0)</f>
        <v>0.05</v>
      </c>
      <c r="BS7" s="26">
        <f>(((100/((100-(tabCustoUnit[[#This Row],[Resumo de Alíquotas (PIS+CONFINS+ISS)]]*100))%)-100)*tabCustoUnit[[#This Row],[ISS]])/tabCustoUnit[[#This Row],[Resumo de Alíquotas (PIS+CONFINS+ISS)]])/100</f>
        <v>5.8309037900874633E-2</v>
      </c>
      <c r="BT7" s="26">
        <f>(VLOOKUP(tabCustoUnit[[#This Row],[Código do Posto]],tabParametros[],MATCH(tabCustoUnit[[#Headers],[COFINS]],tabParametros[#Headers],0),0)+
VLOOKUP(tabCustoUnit[[#This Row],[Código do Posto]],tabParametros[],MATCH(tabCustoUnit[[#Headers],[PIS]],tabParametros[#Headers],0),0)+
VLOOKUP(tabCustoUnit[[#This Row],[Código do Posto]],tabParametros[],MATCH(tabCustoUnit[[#Headers],[ISS]],tabParametros[#Headers],0),0))</f>
        <v>0.14250000000000002</v>
      </c>
      <c r="BU7" s="138">
        <f>tabCustoUnit[[#This Row],[COFINS]]+tabCustoUnit[[#This Row],[PIS]]+tabCustoUnit[[#This Row],[ISS (Conversão Alíquota s/ fatura)]]</f>
        <v>0.16618075801749277</v>
      </c>
      <c r="BV7" s="22">
        <f>(tabCustoUnit[[#This Row],[TOTAL MÓDULOS 1+2+3+4+5]]+tabCustoUnit[[#This Row],[Custos Indiretos]]+tabCustoUnit[[#This Row],[Lucro]])*tabCustoUnit[[#This Row],[PIS + COFINS + ISS (Total Conversão  Alíquota s/ Fatura)]]</f>
        <v>409.99490025140199</v>
      </c>
      <c r="BW7" s="22">
        <f>tabCustoUnit[[#This Row],[Custos Indiretos]]+tabCustoUnit[[#This Row],[Lucro]]+tabCustoUnit[[#This Row],[Valor dos Tributos (ISS, PIS, CONFINS)]]</f>
        <v>758.94869483186608</v>
      </c>
      <c r="BX7" s="22">
        <f>tabCustoUnit[[#This Row],[TOTAL MÓDULOS 1+2+3+4+5]]+tabCustoUnit[[#This Row],[MÓDULO 6 – CUSTOS INDIRETOS, TRIBUTOS E LUCRO]]</f>
        <v>2877.15719474668</v>
      </c>
      <c r="BY7" s="22">
        <f>tabCustoUnit[[#This Row],[CUSTO TOTAL MENSAL]]*12</f>
        <v>34525.88633696016</v>
      </c>
      <c r="BZ7" s="24">
        <f>VLOOKUP(tabCustoUnit[[#This Row],[Código do Posto]],tabParametros[],MATCH(tabCustoUnit[[#Headers],[ANO DA CCT]],tabParametros[#Headers],0),0)</f>
        <v>45658</v>
      </c>
      <c r="CA7" s="25" t="str">
        <f>VLOOKUP(tabCustoUnit[[#This Row],[Código do Posto]],tabParametros[],MATCH(tabCustoUnit[[#Headers],[Nº DE PEDIDO DA CCT]],tabParametros[#Headers],0),0)</f>
        <v>-</v>
      </c>
      <c r="CB7" s="25" t="str">
        <f>VLOOKUP(tabCustoUnit[[#This Row],[Código do Posto]],tabParametros[],MATCH(tabCustoUnit[[#Headers],[TERMO ADITIVO ALTERAÇÃO DA CCT]],tabParametros[#Headers],0),0)</f>
        <v>-</v>
      </c>
    </row>
    <row r="8" spans="1:80" x14ac:dyDescent="0.25">
      <c r="A8" s="20" t="s">
        <v>1354</v>
      </c>
      <c r="B8" t="s">
        <v>14</v>
      </c>
      <c r="C8" t="s">
        <v>1244</v>
      </c>
      <c r="D8" t="s">
        <v>1023</v>
      </c>
      <c r="E8" s="20" t="s">
        <v>9</v>
      </c>
      <c r="F8" s="20" t="s">
        <v>10</v>
      </c>
      <c r="G8" s="21">
        <v>798.14</v>
      </c>
      <c r="H8" s="21">
        <v>0</v>
      </c>
      <c r="I8" s="21">
        <v>0</v>
      </c>
      <c r="J8" s="21">
        <v>0</v>
      </c>
      <c r="K8" s="21">
        <v>0</v>
      </c>
      <c r="L8" s="21">
        <v>0</v>
      </c>
      <c r="M8" s="21">
        <v>0</v>
      </c>
      <c r="N8" s="21">
        <v>26.120899999999999</v>
      </c>
      <c r="O8" s="21">
        <f>SUM(tabCustoUnit[[#This Row],[Salário Base]:[Adicional de Acúmulo de função]])</f>
        <v>824.26089999999999</v>
      </c>
      <c r="P8" s="21">
        <f>tabCustoUnit[[#This Row],[MODULO 1 - REMUNERAÇÃO ]]*SUMIFS(tabParametros[INSS],tabParametros[Código do Posto],tabCustoUnit[[#This Row],[Código do Posto]])</f>
        <v>164.85218</v>
      </c>
      <c r="Q8" s="21">
        <f>tabCustoUnit[[#This Row],[MODULO 1 - REMUNERAÇÃO ]]*SUMIFS(tabParametros[SESI OU SESC],tabParametros[Código do Posto],tabCustoUnit[[#This Row],[Código do Posto]])</f>
        <v>12.363913499999999</v>
      </c>
      <c r="R8" s="21">
        <f>tabCustoUnit[[#This Row],[MODULO 1 - REMUNERAÇÃO ]]*SUMIFS(tabParametros[SENAI OU SENAC],tabParametros[Código do Posto],tabCustoUnit[[#This Row],[Código do Posto]])</f>
        <v>8.2426089999999999</v>
      </c>
      <c r="S8" s="21">
        <f>tabCustoUnit[[#This Row],[MODULO 1 - REMUNERAÇÃO ]]*SUMIFS(tabParametros[INCRA],tabParametros[Código do Posto],tabCustoUnit[[#This Row],[Código do Posto]])</f>
        <v>1.6485217999999999</v>
      </c>
      <c r="T8" s="21">
        <f>tabCustoUnit[[#This Row],[MODULO 1 - REMUNERAÇÃO ]]*SUMIFS(tabParametros[Salário Educação],tabParametros[Código do Posto],tabCustoUnit[[#This Row],[Código do Posto]])</f>
        <v>20.606522500000001</v>
      </c>
      <c r="U8" s="21">
        <f>tabCustoUnit[[#This Row],[MODULO 1 - REMUNERAÇÃO ]]*SUMIFS(tabParametros[FGTS],tabParametros[Código do Posto],tabCustoUnit[[#This Row],[Código do Posto]])</f>
        <v>65.940871999999999</v>
      </c>
      <c r="V8" s="21">
        <f>tabCustoUnit[[#This Row],[MODULO 1 - REMUNERAÇÃO ]]*SUMIFS(tabParametros[RAT Ajustado],tabParametros[Código do Posto],tabCustoUnit[[#This Row],[Código do Posto]])</f>
        <v>32.970435999999999</v>
      </c>
      <c r="W8" s="21">
        <f>tabCustoUnit[[#This Row],[MODULO 1 - REMUNERAÇÃO ]]*SUMIFS(tabParametros[SEBRAE],tabParametros[Código do Posto],tabCustoUnit[[#This Row],[Código do Posto]])</f>
        <v>4.9455654000000004</v>
      </c>
      <c r="X8" s="21">
        <f>SUM(tabCustoUnit[[#This Row],[INSS]:[SEBRAE]])</f>
        <v>311.57062020000001</v>
      </c>
      <c r="Y8" s="21">
        <f>tabCustoUnit[[#This Row],[MODULO 1 - REMUNERAÇÃO ]]*SUMIFS(tabParametros[13º salário (titular)],tabParametros[Código do Posto],tabCustoUnit[[#This Row],[Código do Posto]])</f>
        <v>68.688408333333328</v>
      </c>
      <c r="Z8" s="21">
        <f>tabCustoUnit[[#This Row],[MODULO 1 - REMUNERAÇÃO ]]*SUMIFS(tabParametros[Férias e Adicional de Férias (titular)],tabParametros[Código do Posto],tabCustoUnit[[#This Row],[Código do Posto]])</f>
        <v>91.584544444444433</v>
      </c>
      <c r="AA8" s="21">
        <f>IFERROR((tabCustoUnit[[#This Row],[Submódulo 2.1]]/tabCustoUnit[[#This Row],[MODULO 1 - REMUNERAÇÃO ]])*SUM(tabCustoUnit[[#This Row],[13º salário (titular)]:[Férias e Adicional de Férias (titular)]]),0)</f>
        <v>60.583176149999993</v>
      </c>
      <c r="AB8" s="21">
        <f>SUM(tabCustoUnit[[#This Row],[13º salário (titular)]:[Incidência do Submódulo 2.1 sobre 13º Salário, Férias e Adicional de Férias]])</f>
        <v>220.85612892777775</v>
      </c>
      <c r="AC8" s="22">
        <f>_xlfn.LET(_xlpm.VT,SUMIF(tabParametros[Código do Posto],tabCustoUnit[[#This Row],[Código do Posto]],tabParametros[Vale - Transporte])*2*20,
IF((_xlpm.VT-tabCustoUnit[[#This Row],[Salário Base]]*0.06)&gt;=0,(_xlpm.VT-tabCustoUnit[[#This Row],[Salário Base]]*0.06),0)
)</f>
        <v>208.11160000000001</v>
      </c>
      <c r="AD8" s="22">
        <f>IF(SUMIF(tabParametros[Código do Posto],tabCustoUnit[[#This Row],[Código do Posto]],tabParametros[Vale - Alimentação])&lt;=0,0,
SUMIF(tabParametros[Código do Posto],tabCustoUnit[[#This Row],[Código do Posto]],tabParametros[Vale - Alimentação])*20-1)</f>
        <v>582</v>
      </c>
      <c r="AE8" s="22">
        <f>SUMIF(tabParametros[Código do Posto],tabCustoUnit[[#This Row],[Código do Posto]],tabParametros[Cesta Básica])</f>
        <v>0</v>
      </c>
      <c r="AF8" s="22">
        <f>SUMIF(tabParametros[Código do Posto],tabCustoUnit[[#This Row],[Código do Posto]],tabParametros[PAF])</f>
        <v>0</v>
      </c>
      <c r="AG8" s="22">
        <f>SUMIF(tabParametros[Código do Posto],tabCustoUnit[[#This Row],[Código do Posto]],tabParametros[PQM])</f>
        <v>0</v>
      </c>
      <c r="AH8" s="22">
        <f>SUMIF(tabParametros[Código do Posto],tabCustoUnit[[#This Row],[Código do Posto]],tabParametros[PAT])</f>
        <v>0</v>
      </c>
      <c r="AI8" s="22">
        <f>SUMIF(tabParametros[Código do Posto],tabCustoUnit[[#This Row],[Código do Posto]],tabParametros[Seguro de Vida])</f>
        <v>3.36</v>
      </c>
      <c r="AJ8" s="22">
        <f>SUMIF(tabParametros[Código do Posto],tabCustoUnit[[#This Row],[Código do Posto]],tabParametros[Despesas de Viagem])</f>
        <v>0</v>
      </c>
      <c r="AK8" s="22">
        <f>SUM(tabCustoUnit[[#This Row],[Vale - Transporte (Descontada parcela do empregado)]:[Despesas de Viagem]])</f>
        <v>793.47159999999997</v>
      </c>
      <c r="AL8" s="22">
        <f>tabCustoUnit[[#This Row],[Submódulo 2.1]]+tabCustoUnit[[#This Row],[Submódulo 2.2]]+tabCustoUnit[[#This Row],[Submódulo 2.3]]</f>
        <v>1325.8983491277777</v>
      </c>
      <c r="AM8" s="22">
        <f>SUMIF(tabParametros[Código do Posto],tabCustoUnit[[#This Row],[Código do Posto]],tabParametros[Aviso Prévio Indenizado (API) e Reflexo do Aviso Prévio Indenizado])*tabCustoUnit[[#This Row],[MODULO 1 - REMUNERAÇÃO ]]</f>
        <v>5.7795253576581791</v>
      </c>
      <c r="AN8" s="22">
        <f>SUMIF(tabParametros[Código do Posto],tabCustoUnit[[#This Row],[Código do Posto]],tabParametros[Incidência do FGTS sobre API e Reflexo do API])*tabCustoUnit[[#This Row],[MODULO 1 - REMUNERAÇÃO ]]</f>
        <v>0.46236202861265435</v>
      </c>
      <c r="AO8" s="22">
        <f>SUMIF(tabParametros[Código do Posto],tabCustoUnit[[#This Row],[Código do Posto]],tabParametros[Multa Rescisória do FGTS sobre o Aviso Prévio Indenizado])*tabCustoUnit[[#This Row],[MODULO 1 - REMUNERAÇÃO ]]</f>
        <v>0.18494481144506175</v>
      </c>
      <c r="AP8" s="22">
        <f>SUMIF(tabParametros[Código do Posto],tabCustoUnit[[#This Row],[Código do Posto]],tabParametros[Aviso Prévio Trabalhado - APT])*tabCustoUnit[[#This Row],[MODULO 1 - REMUNERAÇÃO ]]</f>
        <v>2.8849131500000005</v>
      </c>
      <c r="AQ8" s="22">
        <f>SUMIF(tabParametros[Código do Posto],tabCustoUnit[[#This Row],[Código do Posto]],tabParametros[Incidência dos encargos do submódulo 2.1 sobre Aviso Prévio Trabalhado])*tabCustoUnit[[#This Row],[MODULO 1 - REMUNERAÇÃO ]]</f>
        <v>1.0904971707000004</v>
      </c>
      <c r="AR8" s="22">
        <f>SUMIF(tabParametros[Código do Posto],tabCustoUnit[[#This Row],[Código do Posto]],tabParametros[Multa Rescisória do FGTS])*tabCustoUnit[[#This Row],[MODULO 1 - REMUNERAÇÃO ]]</f>
        <v>25.204066631111107</v>
      </c>
      <c r="AS8" s="22">
        <f>SUMIF(tabParametros[Código do Posto],tabCustoUnit[[#This Row],[Código do Posto]],tabParametros[Indenização Adicional (Art. 9º da Lei nº 7.238/84)])*tabCustoUnit[[#This Row],[MODULO 1 - REMUNERAÇÃO ]]</f>
        <v>0.6868840833333334</v>
      </c>
      <c r="AT8" s="22">
        <f>SUM(tabCustoUnit[[#This Row],[Aviso Prévio Indenizado (API) e Reflexo do Aviso Prévio Indenizado]:[Indenização Adicional (Art. 9º da Lei nº 7.238/84)]])</f>
        <v>36.293193232860339</v>
      </c>
      <c r="AU8" s="22">
        <f>SUMIF(tabParametros[Código do Posto],tabCustoUnit[[#This Row],[Código do Posto]],tabParametros[Ausência por Doença])*tabCustoUnit[[#This Row],[MODULO 1 - REMUNERAÇÃO ]]</f>
        <v>6.9604253777777769</v>
      </c>
      <c r="AV8" s="22">
        <f>SUMIF(tabParametros[Código do Posto],tabCustoUnit[[#This Row],[Código do Posto]],tabParametros[Ausências Legais])*tabCustoUnit[[#This Row],[MODULO 1 - REMUNERAÇÃO ]]</f>
        <v>1.671417936111111</v>
      </c>
      <c r="AW8" s="22">
        <f>SUMIF(tabParametros[Código do Posto],tabCustoUnit[[#This Row],[Código do Posto]],tabParametros[Licença Paternidade])*tabCustoUnit[[#This Row],[MODULO 1 - REMUNERAÇÃO ]]</f>
        <v>0.14081123708333332</v>
      </c>
      <c r="AX8" s="22">
        <f>SUMIF(tabParametros[Código do Posto],tabCustoUnit[[#This Row],[Código do Posto]],tabParametros[Ausência por Acidente de Trabalho])*tabCustoUnit[[#This Row],[MODULO 1 - REMUNERAÇÃO ]]</f>
        <v>0.17172102083333335</v>
      </c>
      <c r="AY8" s="22">
        <f>SUMIF(tabParametros[Código do Posto],tabCustoUnit[[#This Row],[Código do Posto]],tabParametros[Férias, Adicional de Férias e 13º  com empregada em gozo de Licença Maternidade])*tabCustoUnit[[#This Row],[MODULO 1 - REMUNERAÇÃO ]]</f>
        <v>1.0684863518518517</v>
      </c>
      <c r="AZ8" s="22">
        <f>SUMIF(tabParametros[Código do Posto],tabCustoUnit[[#This Row],[Código do Posto]],tabParametros[Incidência do Submódulo 2.1 sobre Ausências Legais])*tabCustoUnit[[#This Row],[MODULO 1 - REMUNERAÇÃO ]]</f>
        <v>3.7848618071425006</v>
      </c>
      <c r="BA8" s="22">
        <f>SUM(tabCustoUnit[[#This Row],[Ausência por Doença]:[Incidência do Submódulo 2.1 sobre Ausências Legais]])</f>
        <v>13.797723730799909</v>
      </c>
      <c r="BB8" s="22">
        <f>SUMIF(tabParametros[Código do Posto],tabCustoUnit[[#This Row],[Código do Posto]],tabParametros[Intervalo para Repouso ou Alimentação])</f>
        <v>0</v>
      </c>
      <c r="BC8" s="22">
        <f>tabCustoUnit[[#This Row],[Intervalo para Repouso ou Alimentação]]</f>
        <v>0</v>
      </c>
      <c r="BD8" s="22">
        <f>IF(VLOOKUP(tabCustoUnit[[#This Row],[Código do Posto]],PARAMETROS!$A$4:$BJ$255,7,0)&lt;=0,0,
IFERROR((tabCustoUnit[[#This Row],[MODULO 1 - REMUNERAÇÃO ]]*VLOOKUP(tabCustoUnit[[#This Row],[Código do Posto]],PARAMETROS!$A$4:$BJ$255,49,0))/(VLOOKUP(tabCustoUnit[[#This Row],[Código do Posto]],PARAMETROS!$A$4:$BJ$255,7,0)*VLOOKUP(tabCustoUnit[[#This Row],[Código do Posto]],PARAMETROS!$A$4:$BJ$255,8,0)),0)
)</f>
        <v>0</v>
      </c>
      <c r="BE8" s="22">
        <f>tabCustoUnit[[#This Row],[Suspensão Temporária do Contrato de Trabalho]]</f>
        <v>0</v>
      </c>
      <c r="BF8" s="22">
        <f>tabCustoUnit[[#This Row],[Submódulo 4.1]]+tabCustoUnit[[#This Row],[Submódulo 4.2]]+tabCustoUnit[[#This Row],[Submódulo 4.3]]</f>
        <v>13.797723730799909</v>
      </c>
      <c r="BG8" s="22">
        <f>VLOOKUP(tabCustoUnit[[#This Row],[Código do Posto]],tabParametros[],MATCH(tabCustoUnit[[#Headers],[Uniformes e EPIs]],tabParametros[#Headers],0),0)</f>
        <v>62.806666666666665</v>
      </c>
      <c r="BH8" s="22">
        <f>VLOOKUP(tabCustoUnit[[#This Row],[Código do Posto]],tabParametros[],MATCH(tabCustoUnit[[#Headers],[Materiais de Consumo]],tabParametros[#Headers],0),0)</f>
        <v>17.759106479291944</v>
      </c>
      <c r="BI8" s="22">
        <f>VLOOKUP(tabCustoUnit[[#This Row],[Código do Posto]],tabParametros[],MATCH(tabCustoUnit[[#Headers],[Máquinas e Equipamentos (depreciação)]],tabParametros[#Headers],0),0)</f>
        <v>32.264696957412788</v>
      </c>
      <c r="BJ8" s="22">
        <f>VLOOKUP(tabCustoUnit[[#This Row],[Código do Posto]],tabParametros[],MATCH(tabCustoUnit[[#Headers],[Produtos de Limpeza e Materiais de Higiene Pessoal]],tabParametros[#Headers],0),0)</f>
        <v>345.13576638965827</v>
      </c>
      <c r="BK8" s="22">
        <f>VLOOKUP(tabCustoUnit[[#This Row],[Código do Posto]],tabParametros[],MATCH(tabCustoUnit[[#Headers],[Outros (especificar)]],tabParametros[#Headers],0),0)</f>
        <v>0</v>
      </c>
      <c r="BL8" s="22">
        <f>SUM(tabCustoUnit[[#This Row],[Uniformes e EPIs]:[Outros (especificar)]])</f>
        <v>457.96623649302967</v>
      </c>
      <c r="BM8" s="22">
        <f>tabCustoUnit[[#This Row],[MODULO 1 - REMUNERAÇÃO ]]+tabCustoUnit[[#This Row],[MÓDULO 2 - Total Encargos e Benefícios mensais e diários]]+tabCustoUnit[[#This Row],[MÓDULO 3 – PROVISÃO PARA RESCISÃO]]+tabCustoUnit[[#This Row],[MÓDULO 4 – CUSTO DE REPOSIÇÃO DO PROFISSIONAL AUSENTE]]+tabCustoUnit[[#This Row],[MÓDULO 5 – INSUMOS DIVERSOS]]</f>
        <v>2658.2164025844677</v>
      </c>
      <c r="BN8" s="22">
        <f>VLOOKUP(tabCustoUnit[[#This Row],[Código do Posto]],tabParametros[],MATCH(tabCustoUnit[[#Headers],[Custos Indiretos]],tabParametros[#Headers],0),0)</f>
        <v>189.64880140242613</v>
      </c>
      <c r="BO8" s="22">
        <f>VLOOKUP(tabCustoUnit[[#This Row],[Código do Posto]],tabParametros[],MATCH(tabCustoUnit[[#Headers],[Lucro]],tabParametros[#Headers],0),0)</f>
        <v>159.30499317803796</v>
      </c>
      <c r="BP8" s="26">
        <f>((100/((1-tabCustoUnit[[#This Row],[Resumo de Alíquotas (PIS+CONFINS+ISS)]]))-100)*VLOOKUP(tabCustoUnit[[#This Row],[Código do Posto]],tabParametros[],MATCH(tabCustoUnit[[#Headers],[COFINS]],tabParametros[#Headers],0),0))/(tabCustoUnit[[#This Row],[Resumo de Alíquotas (PIS+CONFINS+ISS)]]*100)</f>
        <v>8.6609686609686695E-2</v>
      </c>
      <c r="BQ8" s="26">
        <f>((100/((100-(tabCustoUnit[[#This Row],[Resumo de Alíquotas (PIS+CONFINS+ISS)]]*100))%)-100)*VLOOKUP(tabCustoUnit[[#This Row],[Código do Posto]],tabParametros[],MATCH(tabCustoUnit[[#Headers],[PIS]],tabParametros[#Headers],0),0))/(tabCustoUnit[[#This Row],[Resumo de Alíquotas (PIS+CONFINS+ISS)]]*100)</f>
        <v>1.880341880341882E-2</v>
      </c>
      <c r="BR8" s="28">
        <f>VLOOKUP(tabCustoUnit[[#This Row],[Código do Posto]],tabParametros[],MATCH(tabCustoUnit[[#Headers],[ISS]],tabParametros[#Headers],0),0)</f>
        <v>0.03</v>
      </c>
      <c r="BS8" s="26">
        <f>(((100/((100-(tabCustoUnit[[#This Row],[Resumo de Alíquotas (PIS+CONFINS+ISS)]]*100))%)-100)*tabCustoUnit[[#This Row],[ISS]])/tabCustoUnit[[#This Row],[Resumo de Alíquotas (PIS+CONFINS+ISS)]])/100</f>
        <v>3.4188034188034219E-2</v>
      </c>
      <c r="BT8" s="26">
        <f>(VLOOKUP(tabCustoUnit[[#This Row],[Código do Posto]],tabParametros[],MATCH(tabCustoUnit[[#Headers],[COFINS]],tabParametros[#Headers],0),0)+
VLOOKUP(tabCustoUnit[[#This Row],[Código do Posto]],tabParametros[],MATCH(tabCustoUnit[[#Headers],[PIS]],tabParametros[#Headers],0),0)+
VLOOKUP(tabCustoUnit[[#This Row],[Código do Posto]],tabParametros[],MATCH(tabCustoUnit[[#Headers],[ISS]],tabParametros[#Headers],0),0))</f>
        <v>0.1225</v>
      </c>
      <c r="BU8" s="138">
        <f>tabCustoUnit[[#This Row],[COFINS]]+tabCustoUnit[[#This Row],[PIS]]+tabCustoUnit[[#This Row],[ISS (Conversão Alíquota s/ fatura)]]</f>
        <v>0.13960113960113973</v>
      </c>
      <c r="BV8" s="22">
        <f>(tabCustoUnit[[#This Row],[TOTAL MÓDULOS 1+2+3+4+5]]+tabCustoUnit[[#This Row],[Custos Indiretos]]+tabCustoUnit[[#This Row],[Lucro]])*tabCustoUnit[[#This Row],[PIS + COFINS + ISS (Total Conversão  Alíquota s/ Fatura)]]</f>
        <v>419.80438649880853</v>
      </c>
      <c r="BW8" s="22">
        <f>tabCustoUnit[[#This Row],[Custos Indiretos]]+tabCustoUnit[[#This Row],[Lucro]]+tabCustoUnit[[#This Row],[Valor dos Tributos (ISS, PIS, CONFINS)]]</f>
        <v>768.75818107927262</v>
      </c>
      <c r="BX8" s="22">
        <f>tabCustoUnit[[#This Row],[TOTAL MÓDULOS 1+2+3+4+5]]+tabCustoUnit[[#This Row],[MÓDULO 6 – CUSTOS INDIRETOS, TRIBUTOS E LUCRO]]</f>
        <v>3426.9745836637403</v>
      </c>
      <c r="BY8" s="22">
        <f>tabCustoUnit[[#This Row],[CUSTO TOTAL MENSAL]]*12</f>
        <v>41123.69500396488</v>
      </c>
      <c r="BZ8" s="24">
        <f>VLOOKUP(tabCustoUnit[[#This Row],[Código do Posto]],tabParametros[],MATCH(tabCustoUnit[[#Headers],[ANO DA CCT]],tabParametros[#Headers],0),0)</f>
        <v>45658</v>
      </c>
      <c r="CA8" s="25" t="str">
        <f>VLOOKUP(tabCustoUnit[[#This Row],[Código do Posto]],tabParametros[],MATCH(tabCustoUnit[[#Headers],[Nº DE PEDIDO DA CCT]],tabParametros[#Headers],0),0)</f>
        <v>-</v>
      </c>
      <c r="CB8" s="25" t="str">
        <f>VLOOKUP(tabCustoUnit[[#This Row],[Código do Posto]],tabParametros[],MATCH(tabCustoUnit[[#Headers],[TERMO ADITIVO ALTERAÇÃO DA CCT]],tabParametros[#Headers],0),0)</f>
        <v>-</v>
      </c>
    </row>
    <row r="9" spans="1:80" x14ac:dyDescent="0.25">
      <c r="A9" s="20" t="s">
        <v>1355</v>
      </c>
      <c r="B9" t="s">
        <v>15</v>
      </c>
      <c r="C9" t="s">
        <v>1246</v>
      </c>
      <c r="D9" t="s">
        <v>66</v>
      </c>
      <c r="E9" s="20" t="s">
        <v>9</v>
      </c>
      <c r="F9" s="20" t="s">
        <v>10</v>
      </c>
      <c r="G9" s="21">
        <v>1088.3699999999999</v>
      </c>
      <c r="H9" s="21">
        <v>0</v>
      </c>
      <c r="I9" s="21">
        <v>0</v>
      </c>
      <c r="J9" s="21">
        <v>0</v>
      </c>
      <c r="K9" s="21">
        <v>0</v>
      </c>
      <c r="L9" s="21">
        <v>0</v>
      </c>
      <c r="M9" s="21">
        <v>0</v>
      </c>
      <c r="N9" s="21">
        <v>39.1813</v>
      </c>
      <c r="O9" s="21">
        <f>SUM(tabCustoUnit[[#This Row],[Salário Base]:[Adicional de Acúmulo de função]])</f>
        <v>1127.5512999999999</v>
      </c>
      <c r="P9" s="21">
        <f>tabCustoUnit[[#This Row],[MODULO 1 - REMUNERAÇÃO ]]*SUMIFS(tabParametros[INSS],tabParametros[Código do Posto],tabCustoUnit[[#This Row],[Código do Posto]])</f>
        <v>225.51025999999999</v>
      </c>
      <c r="Q9" s="21">
        <f>tabCustoUnit[[#This Row],[MODULO 1 - REMUNERAÇÃO ]]*SUMIFS(tabParametros[SESI OU SESC],tabParametros[Código do Posto],tabCustoUnit[[#This Row],[Código do Posto]])</f>
        <v>16.913269499999998</v>
      </c>
      <c r="R9" s="21">
        <f>tabCustoUnit[[#This Row],[MODULO 1 - REMUNERAÇÃO ]]*SUMIFS(tabParametros[SENAI OU SENAC],tabParametros[Código do Posto],tabCustoUnit[[#This Row],[Código do Posto]])</f>
        <v>11.275512999999998</v>
      </c>
      <c r="S9" s="21">
        <f>tabCustoUnit[[#This Row],[MODULO 1 - REMUNERAÇÃO ]]*SUMIFS(tabParametros[INCRA],tabParametros[Código do Posto],tabCustoUnit[[#This Row],[Código do Posto]])</f>
        <v>2.2551025999999998</v>
      </c>
      <c r="T9" s="21">
        <f>tabCustoUnit[[#This Row],[MODULO 1 - REMUNERAÇÃO ]]*SUMIFS(tabParametros[Salário Educação],tabParametros[Código do Posto],tabCustoUnit[[#This Row],[Código do Posto]])</f>
        <v>28.188782499999999</v>
      </c>
      <c r="U9" s="21">
        <f>tabCustoUnit[[#This Row],[MODULO 1 - REMUNERAÇÃO ]]*SUMIFS(tabParametros[FGTS],tabParametros[Código do Posto],tabCustoUnit[[#This Row],[Código do Posto]])</f>
        <v>90.204103999999987</v>
      </c>
      <c r="V9" s="21">
        <f>tabCustoUnit[[#This Row],[MODULO 1 - REMUNERAÇÃO ]]*SUMIFS(tabParametros[RAT Ajustado],tabParametros[Código do Posto],tabCustoUnit[[#This Row],[Código do Posto]])</f>
        <v>45.102051999999993</v>
      </c>
      <c r="W9" s="21">
        <f>tabCustoUnit[[#This Row],[MODULO 1 - REMUNERAÇÃO ]]*SUMIFS(tabParametros[SEBRAE],tabParametros[Código do Posto],tabCustoUnit[[#This Row],[Código do Posto]])</f>
        <v>6.7653077999999995</v>
      </c>
      <c r="X9" s="21">
        <f>SUM(tabCustoUnit[[#This Row],[INSS]:[SEBRAE]])</f>
        <v>426.21439139999995</v>
      </c>
      <c r="Y9" s="21">
        <f>tabCustoUnit[[#This Row],[MODULO 1 - REMUNERAÇÃO ]]*SUMIFS(tabParametros[13º salário (titular)],tabParametros[Código do Posto],tabCustoUnit[[#This Row],[Código do Posto]])</f>
        <v>93.962608333333321</v>
      </c>
      <c r="Z9" s="21">
        <f>tabCustoUnit[[#This Row],[MODULO 1 - REMUNERAÇÃO ]]*SUMIFS(tabParametros[Férias e Adicional de Férias (titular)],tabParametros[Código do Posto],tabCustoUnit[[#This Row],[Código do Posto]])</f>
        <v>125.28347777777776</v>
      </c>
      <c r="AA9" s="21">
        <f>IFERROR((tabCustoUnit[[#This Row],[Submódulo 2.1]]/tabCustoUnit[[#This Row],[MODULO 1 - REMUNERAÇÃO ]])*SUM(tabCustoUnit[[#This Row],[13º salário (titular)]:[Férias e Adicional de Férias (titular)]]),0)</f>
        <v>82.875020549999988</v>
      </c>
      <c r="AB9" s="21">
        <f>SUM(tabCustoUnit[[#This Row],[13º salário (titular)]:[Incidência do Submódulo 2.1 sobre 13º Salário, Férias e Adicional de Férias]])</f>
        <v>302.12110666111107</v>
      </c>
      <c r="AC9" s="22">
        <f>_xlfn.LET(_xlpm.VT,SUMIF(tabParametros[Código do Posto],tabCustoUnit[[#This Row],[Código do Posto]],tabParametros[Vale - Transporte])*2*20,
IF((_xlpm.VT-tabCustoUnit[[#This Row],[Salário Base]]*0.06)&gt;=0,(_xlpm.VT-tabCustoUnit[[#This Row],[Salário Base]]*0.06),0)
)</f>
        <v>190.69780000000003</v>
      </c>
      <c r="AD9" s="22">
        <f>IF(SUMIF(tabParametros[Código do Posto],tabCustoUnit[[#This Row],[Código do Posto]],tabParametros[Vale - Alimentação])&lt;=0,0,
SUMIF(tabParametros[Código do Posto],tabCustoUnit[[#This Row],[Código do Posto]],tabParametros[Vale - Alimentação])*20-1)</f>
        <v>582</v>
      </c>
      <c r="AE9" s="22">
        <f>SUMIF(tabParametros[Código do Posto],tabCustoUnit[[#This Row],[Código do Posto]],tabParametros[Cesta Básica])</f>
        <v>0</v>
      </c>
      <c r="AF9" s="22">
        <f>SUMIF(tabParametros[Código do Posto],tabCustoUnit[[#This Row],[Código do Posto]],tabParametros[PAF])</f>
        <v>57.07</v>
      </c>
      <c r="AG9" s="22">
        <f>SUMIF(tabParametros[Código do Posto],tabCustoUnit[[#This Row],[Código do Posto]],tabParametros[PQM])</f>
        <v>0</v>
      </c>
      <c r="AH9" s="22">
        <f>SUMIF(tabParametros[Código do Posto],tabCustoUnit[[#This Row],[Código do Posto]],tabParametros[PAT])</f>
        <v>0</v>
      </c>
      <c r="AI9" s="22">
        <f>SUMIF(tabParametros[Código do Posto],tabCustoUnit[[#This Row],[Código do Posto]],tabParametros[Seguro de Vida])</f>
        <v>3.36</v>
      </c>
      <c r="AJ9" s="22">
        <f>SUMIF(tabParametros[Código do Posto],tabCustoUnit[[#This Row],[Código do Posto]],tabParametros[Despesas de Viagem])</f>
        <v>0</v>
      </c>
      <c r="AK9" s="22">
        <f>SUM(tabCustoUnit[[#This Row],[Vale - Transporte (Descontada parcela do empregado)]:[Despesas de Viagem]])</f>
        <v>833.12780000000009</v>
      </c>
      <c r="AL9" s="22">
        <f>tabCustoUnit[[#This Row],[Submódulo 2.1]]+tabCustoUnit[[#This Row],[Submódulo 2.2]]+tabCustoUnit[[#This Row],[Submódulo 2.3]]</f>
        <v>1561.4632980611111</v>
      </c>
      <c r="AM9" s="22">
        <f>SUMIF(tabParametros[Código do Posto],tabCustoUnit[[#This Row],[Código do Posto]],tabParametros[Aviso Prévio Indenizado (API) e Reflexo do Aviso Prévio Indenizado])*tabCustoUnit[[#This Row],[MODULO 1 - REMUNERAÇÃO ]]</f>
        <v>7.9061269683063262</v>
      </c>
      <c r="AN9" s="22">
        <f>SUMIF(tabParametros[Código do Posto],tabCustoUnit[[#This Row],[Código do Posto]],tabParametros[Incidência do FGTS sobre API e Reflexo do API])*tabCustoUnit[[#This Row],[MODULO 1 - REMUNERAÇÃO ]]</f>
        <v>0.6324901574645061</v>
      </c>
      <c r="AO9" s="22">
        <f>SUMIF(tabParametros[Código do Posto],tabCustoUnit[[#This Row],[Código do Posto]],tabParametros[Multa Rescisória do FGTS sobre o Aviso Prévio Indenizado])*tabCustoUnit[[#This Row],[MODULO 1 - REMUNERAÇÃO ]]</f>
        <v>0.25299606298580246</v>
      </c>
      <c r="AP9" s="22">
        <f>SUMIF(tabParametros[Código do Posto],tabCustoUnit[[#This Row],[Código do Posto]],tabParametros[Aviso Prévio Trabalhado - APT])*tabCustoUnit[[#This Row],[MODULO 1 - REMUNERAÇÃO ]]</f>
        <v>3.94642955</v>
      </c>
      <c r="AQ9" s="22">
        <f>SUMIF(tabParametros[Código do Posto],tabCustoUnit[[#This Row],[Código do Posto]],tabParametros[Incidência dos encargos do submódulo 2.1 sobre Aviso Prévio Trabalhado])*tabCustoUnit[[#This Row],[MODULO 1 - REMUNERAÇÃO ]]</f>
        <v>1.4917503699000003</v>
      </c>
      <c r="AR9" s="22">
        <f>SUMIF(tabParametros[Código do Posto],tabCustoUnit[[#This Row],[Código do Posto]],tabParametros[Multa Rescisória do FGTS])*tabCustoUnit[[#This Row],[MODULO 1 - REMUNERAÇÃO ]]</f>
        <v>34.478013084444434</v>
      </c>
      <c r="AS9" s="22">
        <f>SUMIF(tabParametros[Código do Posto],tabCustoUnit[[#This Row],[Código do Posto]],tabParametros[Indenização Adicional (Art. 9º da Lei nº 7.238/84)])*tabCustoUnit[[#This Row],[MODULO 1 - REMUNERAÇÃO ]]</f>
        <v>0.93962608333333331</v>
      </c>
      <c r="AT9" s="22">
        <f>SUM(tabCustoUnit[[#This Row],[Aviso Prévio Indenizado (API) e Reflexo do Aviso Prévio Indenizado]:[Indenização Adicional (Art. 9º da Lei nº 7.238/84)]])</f>
        <v>49.647432276434401</v>
      </c>
      <c r="AU9" s="22">
        <f>SUMIF(tabParametros[Código do Posto],tabCustoUnit[[#This Row],[Código do Posto]],tabParametros[Ausência por Doença])*tabCustoUnit[[#This Row],[MODULO 1 - REMUNERAÇÃO ]]</f>
        <v>9.5215443111111089</v>
      </c>
      <c r="AV9" s="22">
        <f>SUMIF(tabParametros[Código do Posto],tabCustoUnit[[#This Row],[Código do Posto]],tabParametros[Ausências Legais])*tabCustoUnit[[#This Row],[MODULO 1 - REMUNERAÇÃO ]]</f>
        <v>2.2864234694444439</v>
      </c>
      <c r="AW9" s="22">
        <f>SUMIF(tabParametros[Código do Posto],tabCustoUnit[[#This Row],[Código do Posto]],tabParametros[Licença Paternidade])*tabCustoUnit[[#This Row],[MODULO 1 - REMUNERAÇÃO ]]</f>
        <v>0.19262334708333331</v>
      </c>
      <c r="AX9" s="22">
        <f>SUMIF(tabParametros[Código do Posto],tabCustoUnit[[#This Row],[Código do Posto]],tabParametros[Ausência por Acidente de Trabalho])*tabCustoUnit[[#This Row],[MODULO 1 - REMUNERAÇÃO ]]</f>
        <v>0.23490652083333333</v>
      </c>
      <c r="AY9" s="22">
        <f>SUMIF(tabParametros[Código do Posto],tabCustoUnit[[#This Row],[Código do Posto]],tabParametros[Férias, Adicional de Férias e 13º  com empregada em gozo de Licença Maternidade])*tabCustoUnit[[#This Row],[MODULO 1 - REMUNERAÇÃO ]]</f>
        <v>1.4616405740740739</v>
      </c>
      <c r="AZ9" s="22">
        <f>SUMIF(tabParametros[Código do Posto],tabCustoUnit[[#This Row],[Código do Posto]],tabParametros[Incidência do Submódulo 2.1 sobre Ausências Legais])*tabCustoUnit[[#This Row],[MODULO 1 - REMUNERAÇÃO ]]</f>
        <v>5.1775182481225004</v>
      </c>
      <c r="BA9" s="22">
        <f>SUM(tabCustoUnit[[#This Row],[Ausência por Doença]:[Incidência do Submódulo 2.1 sobre Ausências Legais]])</f>
        <v>18.874656470668793</v>
      </c>
      <c r="BB9" s="22">
        <f>SUMIF(tabParametros[Código do Posto],tabCustoUnit[[#This Row],[Código do Posto]],tabParametros[Intervalo para Repouso ou Alimentação])</f>
        <v>0</v>
      </c>
      <c r="BC9" s="22">
        <f>tabCustoUnit[[#This Row],[Intervalo para Repouso ou Alimentação]]</f>
        <v>0</v>
      </c>
      <c r="BD9" s="22">
        <f>IF(VLOOKUP(tabCustoUnit[[#This Row],[Código do Posto]],PARAMETROS!$A$4:$BJ$255,7,0)&lt;=0,0,
IFERROR((tabCustoUnit[[#This Row],[MODULO 1 - REMUNERAÇÃO ]]*VLOOKUP(tabCustoUnit[[#This Row],[Código do Posto]],PARAMETROS!$A$4:$BJ$255,49,0))/(VLOOKUP(tabCustoUnit[[#This Row],[Código do Posto]],PARAMETROS!$A$4:$BJ$255,7,0)*VLOOKUP(tabCustoUnit[[#This Row],[Código do Posto]],PARAMETROS!$A$4:$BJ$255,8,0)),0)
)</f>
        <v>0</v>
      </c>
      <c r="BE9" s="22">
        <f>tabCustoUnit[[#This Row],[Suspensão Temporária do Contrato de Trabalho]]</f>
        <v>0</v>
      </c>
      <c r="BF9" s="22">
        <f>tabCustoUnit[[#This Row],[Submódulo 4.1]]+tabCustoUnit[[#This Row],[Submódulo 4.2]]+tabCustoUnit[[#This Row],[Submódulo 4.3]]</f>
        <v>18.874656470668793</v>
      </c>
      <c r="BG9" s="22">
        <f>VLOOKUP(tabCustoUnit[[#This Row],[Código do Posto]],tabParametros[],MATCH(tabCustoUnit[[#Headers],[Uniformes e EPIs]],tabParametros[#Headers],0),0)</f>
        <v>100.80916666666666</v>
      </c>
      <c r="BH9" s="22">
        <f>VLOOKUP(tabCustoUnit[[#This Row],[Código do Posto]],tabParametros[],MATCH(tabCustoUnit[[#Headers],[Materiais de Consumo]],tabParametros[#Headers],0),0)</f>
        <v>24.216963380852651</v>
      </c>
      <c r="BI9" s="22">
        <f>VLOOKUP(tabCustoUnit[[#This Row],[Código do Posto]],tabParametros[],MATCH(tabCustoUnit[[#Headers],[Máquinas e Equipamentos (depreciação)]],tabParametros[#Headers],0),0)</f>
        <v>43.997314032835618</v>
      </c>
      <c r="BJ9" s="22">
        <f>VLOOKUP(tabCustoUnit[[#This Row],[Código do Posto]],tabParametros[],MATCH(tabCustoUnit[[#Headers],[Produtos de Limpeza e Materiais de Higiene Pessoal]],tabParametros[#Headers],0),0)</f>
        <v>470.6396814404431</v>
      </c>
      <c r="BK9" s="22">
        <f>VLOOKUP(tabCustoUnit[[#This Row],[Código do Posto]],tabParametros[],MATCH(tabCustoUnit[[#Headers],[Outros (especificar)]],tabParametros[#Headers],0),0)</f>
        <v>0</v>
      </c>
      <c r="BL9" s="22">
        <f>SUM(tabCustoUnit[[#This Row],[Uniformes e EPIs]:[Outros (especificar)]])</f>
        <v>639.66312552079808</v>
      </c>
      <c r="BM9" s="22">
        <f>tabCustoUnit[[#This Row],[MODULO 1 - REMUNERAÇÃO ]]+tabCustoUnit[[#This Row],[MÓDULO 2 - Total Encargos e Benefícios mensais e diários]]+tabCustoUnit[[#This Row],[MÓDULO 3 – PROVISÃO PARA RESCISÃO]]+tabCustoUnit[[#This Row],[MÓDULO 4 – CUSTO DE REPOSIÇÃO DO PROFISSIONAL AUSENTE]]+tabCustoUnit[[#This Row],[MÓDULO 5 – INSUMOS DIVERSOS]]</f>
        <v>3397.1998123290123</v>
      </c>
      <c r="BN9" s="22">
        <f>VLOOKUP(tabCustoUnit[[#This Row],[Código do Posto]],tabParametros[],MATCH(tabCustoUnit[[#Headers],[Custos Indiretos]],tabParametros[#Headers],0),0)</f>
        <v>189.64880140242613</v>
      </c>
      <c r="BO9" s="22">
        <f>VLOOKUP(tabCustoUnit[[#This Row],[Código do Posto]],tabParametros[],MATCH(tabCustoUnit[[#Headers],[Lucro]],tabParametros[#Headers],0),0)</f>
        <v>159.30499317803796</v>
      </c>
      <c r="BP9" s="26">
        <f>((100/((1-tabCustoUnit[[#This Row],[Resumo de Alíquotas (PIS+CONFINS+ISS)]]))-100)*VLOOKUP(tabCustoUnit[[#This Row],[Código do Posto]],tabParametros[],MATCH(tabCustoUnit[[#Headers],[COFINS]],tabParametros[#Headers],0),0))/(tabCustoUnit[[#This Row],[Resumo de Alíquotas (PIS+CONFINS+ISS)]]*100)</f>
        <v>8.5633802816901458E-2</v>
      </c>
      <c r="BQ9" s="26">
        <f>((100/((100-(tabCustoUnit[[#This Row],[Resumo de Alíquotas (PIS+CONFINS+ISS)]]*100))%)-100)*VLOOKUP(tabCustoUnit[[#This Row],[Código do Posto]],tabParametros[],MATCH(tabCustoUnit[[#Headers],[PIS]],tabParametros[#Headers],0),0))/(tabCustoUnit[[#This Row],[Resumo de Alíquotas (PIS+CONFINS+ISS)]]*100)</f>
        <v>1.8591549295774657E-2</v>
      </c>
      <c r="BR9" s="28">
        <f>VLOOKUP(tabCustoUnit[[#This Row],[Código do Posto]],tabParametros[],MATCH(tabCustoUnit[[#Headers],[ISS]],tabParametros[#Headers],0),0)</f>
        <v>0.02</v>
      </c>
      <c r="BS9" s="26">
        <f>(((100/((100-(tabCustoUnit[[#This Row],[Resumo de Alíquotas (PIS+CONFINS+ISS)]]*100))%)-100)*tabCustoUnit[[#This Row],[ISS]])/tabCustoUnit[[#This Row],[Resumo de Alíquotas (PIS+CONFINS+ISS)]])/100</f>
        <v>2.2535211267605645E-2</v>
      </c>
      <c r="BT9" s="26">
        <f>(VLOOKUP(tabCustoUnit[[#This Row],[Código do Posto]],tabParametros[],MATCH(tabCustoUnit[[#Headers],[COFINS]],tabParametros[#Headers],0),0)+
VLOOKUP(tabCustoUnit[[#This Row],[Código do Posto]],tabParametros[],MATCH(tabCustoUnit[[#Headers],[PIS]],tabParametros[#Headers],0),0)+
VLOOKUP(tabCustoUnit[[#This Row],[Código do Posto]],tabParametros[],MATCH(tabCustoUnit[[#Headers],[ISS]],tabParametros[#Headers],0),0))</f>
        <v>0.1125</v>
      </c>
      <c r="BU9" s="138">
        <f>tabCustoUnit[[#This Row],[COFINS]]+tabCustoUnit[[#This Row],[PIS]]+tabCustoUnit[[#This Row],[ISS (Conversão Alíquota s/ fatura)]]</f>
        <v>0.12676056338028174</v>
      </c>
      <c r="BV9" s="22">
        <f>(tabCustoUnit[[#This Row],[TOTAL MÓDULOS 1+2+3+4+5]]+tabCustoUnit[[#This Row],[Custos Indiretos]]+tabCustoUnit[[#This Row],[Lucro]])*tabCustoUnit[[#This Row],[PIS + COFINS + ISS (Total Conversão  Alíquota s/ Fatura)]]</f>
        <v>474.86454172091976</v>
      </c>
      <c r="BW9" s="22">
        <f>tabCustoUnit[[#This Row],[Custos Indiretos]]+tabCustoUnit[[#This Row],[Lucro]]+tabCustoUnit[[#This Row],[Valor dos Tributos (ISS, PIS, CONFINS)]]</f>
        <v>823.81833630138385</v>
      </c>
      <c r="BX9" s="22">
        <f>tabCustoUnit[[#This Row],[TOTAL MÓDULOS 1+2+3+4+5]]+tabCustoUnit[[#This Row],[MÓDULO 6 – CUSTOS INDIRETOS, TRIBUTOS E LUCRO]]</f>
        <v>4221.0181486303964</v>
      </c>
      <c r="BY9" s="22">
        <f>tabCustoUnit[[#This Row],[CUSTO TOTAL MENSAL]]*12</f>
        <v>50652.21778356476</v>
      </c>
      <c r="BZ9" s="24">
        <f>VLOOKUP(tabCustoUnit[[#This Row],[Código do Posto]],tabParametros[],MATCH(tabCustoUnit[[#Headers],[ANO DA CCT]],tabParametros[#Headers],0),0)</f>
        <v>45658</v>
      </c>
      <c r="CA9" s="25" t="str">
        <f>VLOOKUP(tabCustoUnit[[#This Row],[Código do Posto]],tabParametros[],MATCH(tabCustoUnit[[#Headers],[Nº DE PEDIDO DA CCT]],tabParametros[#Headers],0),0)</f>
        <v>-</v>
      </c>
      <c r="CB9" s="25" t="str">
        <f>VLOOKUP(tabCustoUnit[[#This Row],[Código do Posto]],tabParametros[],MATCH(tabCustoUnit[[#Headers],[TERMO ADITIVO ALTERAÇÃO DA CCT]],tabParametros[#Headers],0),0)</f>
        <v>-</v>
      </c>
    </row>
    <row r="10" spans="1:80" x14ac:dyDescent="0.25">
      <c r="A10" s="20" t="s">
        <v>1356</v>
      </c>
      <c r="B10" t="s">
        <v>16</v>
      </c>
      <c r="C10" t="s">
        <v>1245</v>
      </c>
      <c r="D10" t="s">
        <v>1023</v>
      </c>
      <c r="E10" s="20" t="s">
        <v>9</v>
      </c>
      <c r="F10" s="20" t="s">
        <v>10</v>
      </c>
      <c r="G10" s="21">
        <v>1596.28</v>
      </c>
      <c r="H10" s="21">
        <v>0</v>
      </c>
      <c r="I10" s="21">
        <v>0</v>
      </c>
      <c r="J10" s="21">
        <v>0</v>
      </c>
      <c r="K10" s="21">
        <v>0</v>
      </c>
      <c r="L10" s="21">
        <v>0</v>
      </c>
      <c r="M10" s="21">
        <v>0</v>
      </c>
      <c r="N10" s="21">
        <v>52.241900000000001</v>
      </c>
      <c r="O10" s="21">
        <f>SUM(tabCustoUnit[[#This Row],[Salário Base]:[Adicional de Acúmulo de função]])</f>
        <v>1648.5219</v>
      </c>
      <c r="P10" s="21">
        <f>tabCustoUnit[[#This Row],[MODULO 1 - REMUNERAÇÃO ]]*SUMIFS(tabParametros[INSS],tabParametros[Código do Posto],tabCustoUnit[[#This Row],[Código do Posto]])</f>
        <v>329.70438000000001</v>
      </c>
      <c r="Q10" s="21">
        <f>tabCustoUnit[[#This Row],[MODULO 1 - REMUNERAÇÃO ]]*SUMIFS(tabParametros[SESI OU SESC],tabParametros[Código do Posto],tabCustoUnit[[#This Row],[Código do Posto]])</f>
        <v>24.727828499999998</v>
      </c>
      <c r="R10" s="21">
        <f>tabCustoUnit[[#This Row],[MODULO 1 - REMUNERAÇÃO ]]*SUMIFS(tabParametros[SENAI OU SENAC],tabParametros[Código do Posto],tabCustoUnit[[#This Row],[Código do Posto]])</f>
        <v>16.485219000000001</v>
      </c>
      <c r="S10" s="21">
        <f>tabCustoUnit[[#This Row],[MODULO 1 - REMUNERAÇÃO ]]*SUMIFS(tabParametros[INCRA],tabParametros[Código do Posto],tabCustoUnit[[#This Row],[Código do Posto]])</f>
        <v>3.2970438</v>
      </c>
      <c r="T10" s="21">
        <f>tabCustoUnit[[#This Row],[MODULO 1 - REMUNERAÇÃO ]]*SUMIFS(tabParametros[Salário Educação],tabParametros[Código do Posto],tabCustoUnit[[#This Row],[Código do Posto]])</f>
        <v>41.213047500000002</v>
      </c>
      <c r="U10" s="21">
        <f>tabCustoUnit[[#This Row],[MODULO 1 - REMUNERAÇÃO ]]*SUMIFS(tabParametros[FGTS],tabParametros[Código do Posto],tabCustoUnit[[#This Row],[Código do Posto]])</f>
        <v>131.88175200000001</v>
      </c>
      <c r="V10" s="21">
        <f>tabCustoUnit[[#This Row],[MODULO 1 - REMUNERAÇÃO ]]*SUMIFS(tabParametros[RAT Ajustado],tabParametros[Código do Posto],tabCustoUnit[[#This Row],[Código do Posto]])</f>
        <v>65.940876000000003</v>
      </c>
      <c r="W10" s="21">
        <f>tabCustoUnit[[#This Row],[MODULO 1 - REMUNERAÇÃO ]]*SUMIFS(tabParametros[SEBRAE],tabParametros[Código do Posto],tabCustoUnit[[#This Row],[Código do Posto]])</f>
        <v>9.8911314000000008</v>
      </c>
      <c r="X10" s="21">
        <f>SUM(tabCustoUnit[[#This Row],[INSS]:[SEBRAE]])</f>
        <v>623.14127819999999</v>
      </c>
      <c r="Y10" s="21">
        <f>tabCustoUnit[[#This Row],[MODULO 1 - REMUNERAÇÃO ]]*SUMIFS(tabParametros[13º salário (titular)],tabParametros[Código do Posto],tabCustoUnit[[#This Row],[Código do Posto]])</f>
        <v>137.376825</v>
      </c>
      <c r="Z10" s="21">
        <f>tabCustoUnit[[#This Row],[MODULO 1 - REMUNERAÇÃO ]]*SUMIFS(tabParametros[Férias e Adicional de Férias (titular)],tabParametros[Código do Posto],tabCustoUnit[[#This Row],[Código do Posto]])</f>
        <v>183.16909999999999</v>
      </c>
      <c r="AA10" s="296">
        <f>IFERROR((tabCustoUnit[[#This Row],[Submódulo 2.1]]/tabCustoUnit[[#This Row],[MODULO 1 - REMUNERAÇÃO ]])*SUM(tabCustoUnit[[#This Row],[13º salário (titular)]:[Férias e Adicional de Férias (titular)]]),0)</f>
        <v>121.16635965</v>
      </c>
      <c r="AB10" s="21">
        <f>SUM(tabCustoUnit[[#This Row],[13º salário (titular)]:[Incidência do Submódulo 2.1 sobre 13º Salário, Férias e Adicional de Férias]])</f>
        <v>441.71228465000002</v>
      </c>
      <c r="AC10" s="22">
        <f>_xlfn.LET(_xlpm.VT,SUMIF(tabParametros[Código do Posto],tabCustoUnit[[#This Row],[Código do Posto]],tabParametros[Vale - Transporte])*2*20,
IF((_xlpm.VT-tabCustoUnit[[#This Row],[Salário Base]]*0.06)&gt;=0,(_xlpm.VT-tabCustoUnit[[#This Row],[Salário Base]]*0.06),0)
)</f>
        <v>160.22320000000002</v>
      </c>
      <c r="AD10" s="22">
        <f>IF(SUMIF(tabParametros[Código do Posto],tabCustoUnit[[#This Row],[Código do Posto]],tabParametros[Vale - Alimentação])&lt;=0,0,
SUMIF(tabParametros[Código do Posto],tabCustoUnit[[#This Row],[Código do Posto]],tabParametros[Vale - Alimentação])*20-1)</f>
        <v>582</v>
      </c>
      <c r="AE10" s="22">
        <f>SUMIF(tabParametros[Código do Posto],tabCustoUnit[[#This Row],[Código do Posto]],tabParametros[Cesta Básica])</f>
        <v>0</v>
      </c>
      <c r="AF10" s="22">
        <f>SUMIF(tabParametros[Código do Posto],tabCustoUnit[[#This Row],[Código do Posto]],tabParametros[PAF])</f>
        <v>0</v>
      </c>
      <c r="AG10" s="22">
        <f>SUMIF(tabParametros[Código do Posto],tabCustoUnit[[#This Row],[Código do Posto]],tabParametros[PQM])</f>
        <v>0</v>
      </c>
      <c r="AH10" s="22">
        <f>SUMIF(tabParametros[Código do Posto],tabCustoUnit[[#This Row],[Código do Posto]],tabParametros[PAT])</f>
        <v>0</v>
      </c>
      <c r="AI10" s="22">
        <f>SUMIF(tabParametros[Código do Posto],tabCustoUnit[[#This Row],[Código do Posto]],tabParametros[Seguro de Vida])</f>
        <v>3.36</v>
      </c>
      <c r="AJ10" s="22">
        <f>SUMIF(tabParametros[Código do Posto],tabCustoUnit[[#This Row],[Código do Posto]],tabParametros[Despesas de Viagem])</f>
        <v>0</v>
      </c>
      <c r="AK10" s="22">
        <f>SUM(tabCustoUnit[[#This Row],[Vale - Transporte (Descontada parcela do empregado)]:[Despesas de Viagem]])</f>
        <v>745.58320000000003</v>
      </c>
      <c r="AL10" s="22">
        <f>tabCustoUnit[[#This Row],[Submódulo 2.1]]+tabCustoUnit[[#This Row],[Submódulo 2.2]]+tabCustoUnit[[#This Row],[Submódulo 2.3]]</f>
        <v>1810.4367628499999</v>
      </c>
      <c r="AM10" s="22">
        <f>SUMIF(tabParametros[Código do Posto],tabCustoUnit[[#This Row],[Código do Posto]],tabParametros[Aviso Prévio Indenizado (API) e Reflexo do Aviso Prévio Indenizado])*tabCustoUnit[[#This Row],[MODULO 1 - REMUNERAÇÃO ]]</f>
        <v>11.559051416493055</v>
      </c>
      <c r="AN10" s="22">
        <f>SUMIF(tabParametros[Código do Posto],tabCustoUnit[[#This Row],[Código do Posto]],tabParametros[Incidência do FGTS sobre API e Reflexo do API])*tabCustoUnit[[#This Row],[MODULO 1 - REMUNERAÇÃO ]]</f>
        <v>0.92472411331944449</v>
      </c>
      <c r="AO10" s="22">
        <f>SUMIF(tabParametros[Código do Posto],tabCustoUnit[[#This Row],[Código do Posto]],tabParametros[Multa Rescisória do FGTS sobre o Aviso Prévio Indenizado])*tabCustoUnit[[#This Row],[MODULO 1 - REMUNERAÇÃO ]]</f>
        <v>0.36988964532777785</v>
      </c>
      <c r="AP10" s="22">
        <f>SUMIF(tabParametros[Código do Posto],tabCustoUnit[[#This Row],[Código do Posto]],tabParametros[Aviso Prévio Trabalhado - APT])*tabCustoUnit[[#This Row],[MODULO 1 - REMUNERAÇÃO ]]</f>
        <v>5.7698266500000006</v>
      </c>
      <c r="AQ10" s="22">
        <f>SUMIF(tabParametros[Código do Posto],tabCustoUnit[[#This Row],[Código do Posto]],tabParametros[Incidência dos encargos do submódulo 2.1 sobre Aviso Prévio Trabalhado])*tabCustoUnit[[#This Row],[MODULO 1 - REMUNERAÇÃO ]]</f>
        <v>2.1809944737000007</v>
      </c>
      <c r="AR10" s="22">
        <f>SUMIF(tabParametros[Código do Posto],tabCustoUnit[[#This Row],[Código do Posto]],tabParametros[Multa Rescisória do FGTS])*tabCustoUnit[[#This Row],[MODULO 1 - REMUNERAÇÃO ]]</f>
        <v>50.40813631999999</v>
      </c>
      <c r="AS10" s="22">
        <f>SUMIF(tabParametros[Código do Posto],tabCustoUnit[[#This Row],[Código do Posto]],tabParametros[Indenização Adicional (Art. 9º da Lei nº 7.238/84)])*tabCustoUnit[[#This Row],[MODULO 1 - REMUNERAÇÃO ]]</f>
        <v>1.3737682500000001</v>
      </c>
      <c r="AT10" s="22">
        <f>SUM(tabCustoUnit[[#This Row],[Aviso Prévio Indenizado (API) e Reflexo do Aviso Prévio Indenizado]:[Indenização Adicional (Art. 9º da Lei nº 7.238/84)]])</f>
        <v>72.586390868840269</v>
      </c>
      <c r="AU10" s="22">
        <f>SUMIF(tabParametros[Código do Posto],tabCustoUnit[[#This Row],[Código do Posto]],tabParametros[Ausência por Doença])*tabCustoUnit[[#This Row],[MODULO 1 - REMUNERAÇÃO ]]</f>
        <v>13.920851599999999</v>
      </c>
      <c r="AV10" s="22">
        <f>SUMIF(tabParametros[Código do Posto],tabCustoUnit[[#This Row],[Código do Posto]],tabParametros[Ausências Legais])*tabCustoUnit[[#This Row],[MODULO 1 - REMUNERAÇÃO ]]</f>
        <v>3.3428360749999997</v>
      </c>
      <c r="AW10" s="22">
        <f>SUMIF(tabParametros[Código do Posto],tabCustoUnit[[#This Row],[Código do Posto]],tabParametros[Licença Paternidade])*tabCustoUnit[[#This Row],[MODULO 1 - REMUNERAÇÃO ]]</f>
        <v>0.28162249125</v>
      </c>
      <c r="AX10" s="22">
        <f>SUMIF(tabParametros[Código do Posto],tabCustoUnit[[#This Row],[Código do Posto]],tabParametros[Ausência por Acidente de Trabalho])*tabCustoUnit[[#This Row],[MODULO 1 - REMUNERAÇÃO ]]</f>
        <v>0.34344206250000003</v>
      </c>
      <c r="AY10" s="22">
        <f>SUMIF(tabParametros[Código do Posto],tabCustoUnit[[#This Row],[Código do Posto]],tabParametros[Férias, Adicional de Férias e 13º  com empregada em gozo de Licença Maternidade])*tabCustoUnit[[#This Row],[MODULO 1 - REMUNERAÇÃO ]]</f>
        <v>2.1369728333333331</v>
      </c>
      <c r="AZ10" s="22">
        <f>SUMIF(tabParametros[Código do Posto],tabCustoUnit[[#This Row],[Código do Posto]],tabParametros[Incidência do Submódulo 2.1 sobre Ausências Legais])*tabCustoUnit[[#This Row],[MODULO 1 - REMUNERAÇÃO ]]</f>
        <v>7.5697240734675013</v>
      </c>
      <c r="BA10" s="22">
        <f>SUM(tabCustoUnit[[#This Row],[Ausência por Doença]:[Incidência do Submódulo 2.1 sobre Ausências Legais]])</f>
        <v>27.595449135550833</v>
      </c>
      <c r="BB10" s="22">
        <f>SUMIF(tabParametros[Código do Posto],tabCustoUnit[[#This Row],[Código do Posto]],tabParametros[Intervalo para Repouso ou Alimentação])</f>
        <v>0</v>
      </c>
      <c r="BC10" s="22">
        <f>tabCustoUnit[[#This Row],[Intervalo para Repouso ou Alimentação]]</f>
        <v>0</v>
      </c>
      <c r="BD10" s="22">
        <f>IF(VLOOKUP(tabCustoUnit[[#This Row],[Código do Posto]],PARAMETROS!$A$4:$BJ$255,7,0)&lt;=0,0,
IFERROR((tabCustoUnit[[#This Row],[MODULO 1 - REMUNERAÇÃO ]]*VLOOKUP(tabCustoUnit[[#This Row],[Código do Posto]],PARAMETROS!$A$4:$BJ$255,49,0))/(VLOOKUP(tabCustoUnit[[#This Row],[Código do Posto]],PARAMETROS!$A$4:$BJ$255,7,0)*VLOOKUP(tabCustoUnit[[#This Row],[Código do Posto]],PARAMETROS!$A$4:$BJ$255,8,0)),0)
)</f>
        <v>0</v>
      </c>
      <c r="BE10" s="22">
        <f>tabCustoUnit[[#This Row],[Suspensão Temporária do Contrato de Trabalho]]</f>
        <v>0</v>
      </c>
      <c r="BF10" s="22">
        <f>tabCustoUnit[[#This Row],[Submódulo 4.1]]+tabCustoUnit[[#This Row],[Submódulo 4.2]]+tabCustoUnit[[#This Row],[Submódulo 4.3]]</f>
        <v>27.595449135550833</v>
      </c>
      <c r="BG10" s="22">
        <f>VLOOKUP(tabCustoUnit[[#This Row],[Código do Posto]],tabParametros[],MATCH(tabCustoUnit[[#Headers],[Uniformes e EPIs]],tabParametros[#Headers],0),0)</f>
        <v>100.80916666666666</v>
      </c>
      <c r="BH10" s="22">
        <f>VLOOKUP(tabCustoUnit[[#This Row],[Código do Posto]],tabParametros[],MATCH(tabCustoUnit[[#Headers],[Materiais de Consumo]],tabParametros[#Headers],0),0)</f>
        <v>35.518212958583888</v>
      </c>
      <c r="BI10" s="22">
        <f>VLOOKUP(tabCustoUnit[[#This Row],[Código do Posto]],tabParametros[],MATCH(tabCustoUnit[[#Headers],[Máquinas e Equipamentos (depreciação)]],tabParametros[#Headers],0),0)</f>
        <v>64.529393914825576</v>
      </c>
      <c r="BJ10" s="22">
        <f>VLOOKUP(tabCustoUnit[[#This Row],[Código do Posto]],tabParametros[],MATCH(tabCustoUnit[[#Headers],[Produtos de Limpeza e Materiais de Higiene Pessoal]],tabParametros[#Headers],0),0)</f>
        <v>690.27153277931654</v>
      </c>
      <c r="BK10" s="22">
        <f>VLOOKUP(tabCustoUnit[[#This Row],[Código do Posto]],tabParametros[],MATCH(tabCustoUnit[[#Headers],[Outros (especificar)]],tabParametros[#Headers],0),0)</f>
        <v>0</v>
      </c>
      <c r="BL10" s="22">
        <f>SUM(tabCustoUnit[[#This Row],[Uniformes e EPIs]:[Outros (especificar)]])</f>
        <v>891.12830631939266</v>
      </c>
      <c r="BM10" s="22">
        <f>tabCustoUnit[[#This Row],[MODULO 1 - REMUNERAÇÃO ]]+tabCustoUnit[[#This Row],[MÓDULO 2 - Total Encargos e Benefícios mensais e diários]]+tabCustoUnit[[#This Row],[MÓDULO 3 – PROVISÃO PARA RESCISÃO]]+tabCustoUnit[[#This Row],[MÓDULO 4 – CUSTO DE REPOSIÇÃO DO PROFISSIONAL AUSENTE]]+tabCustoUnit[[#This Row],[MÓDULO 5 – INSUMOS DIVERSOS]]</f>
        <v>4450.2688091737837</v>
      </c>
      <c r="BN10" s="22">
        <f>VLOOKUP(tabCustoUnit[[#This Row],[Código do Posto]],tabParametros[],MATCH(tabCustoUnit[[#Headers],[Custos Indiretos]],tabParametros[#Headers],0),0)</f>
        <v>189.64880140242613</v>
      </c>
      <c r="BO10" s="22">
        <f>VLOOKUP(tabCustoUnit[[#This Row],[Código do Posto]],tabParametros[],MATCH(tabCustoUnit[[#Headers],[Lucro]],tabParametros[#Headers],0),0)</f>
        <v>159.30499317803796</v>
      </c>
      <c r="BP10" s="26">
        <f>((100/((1-tabCustoUnit[[#This Row],[Resumo de Alíquotas (PIS+CONFINS+ISS)]]))-100)*VLOOKUP(tabCustoUnit[[#This Row],[Código do Posto]],tabParametros[],MATCH(tabCustoUnit[[#Headers],[COFINS]],tabParametros[#Headers],0),0))/(tabCustoUnit[[#This Row],[Resumo de Alíquotas (PIS+CONFINS+ISS)]]*100)</f>
        <v>8.8629737609329504E-2</v>
      </c>
      <c r="BQ10" s="26">
        <f>((100/((100-(tabCustoUnit[[#This Row],[Resumo de Alíquotas (PIS+CONFINS+ISS)]]*100))%)-100)*VLOOKUP(tabCustoUnit[[#This Row],[Código do Posto]],tabParametros[],MATCH(tabCustoUnit[[#Headers],[PIS]],tabParametros[#Headers],0),0))/(tabCustoUnit[[#This Row],[Resumo de Alíquotas (PIS+CONFINS+ISS)]]*100)</f>
        <v>1.9241982507288629E-2</v>
      </c>
      <c r="BR10" s="28">
        <f>VLOOKUP(tabCustoUnit[[#This Row],[Código do Posto]],tabParametros[],MATCH(tabCustoUnit[[#Headers],[ISS]],tabParametros[#Headers],0),0)</f>
        <v>0.05</v>
      </c>
      <c r="BS10" s="26">
        <f>(((100/((100-(tabCustoUnit[[#This Row],[Resumo de Alíquotas (PIS+CONFINS+ISS)]]*100))%)-100)*tabCustoUnit[[#This Row],[ISS]])/tabCustoUnit[[#This Row],[Resumo de Alíquotas (PIS+CONFINS+ISS)]])/100</f>
        <v>5.8309037900874633E-2</v>
      </c>
      <c r="BT10" s="26">
        <f>(VLOOKUP(tabCustoUnit[[#This Row],[Código do Posto]],tabParametros[],MATCH(tabCustoUnit[[#Headers],[COFINS]],tabParametros[#Headers],0),0)+
VLOOKUP(tabCustoUnit[[#This Row],[Código do Posto]],tabParametros[],MATCH(tabCustoUnit[[#Headers],[PIS]],tabParametros[#Headers],0),0)+
VLOOKUP(tabCustoUnit[[#This Row],[Código do Posto]],tabParametros[],MATCH(tabCustoUnit[[#Headers],[ISS]],tabParametros[#Headers],0),0))</f>
        <v>0.14250000000000002</v>
      </c>
      <c r="BU10" s="138">
        <f>tabCustoUnit[[#This Row],[COFINS]]+tabCustoUnit[[#This Row],[PIS]]+tabCustoUnit[[#This Row],[ISS (Conversão Alíquota s/ fatura)]]</f>
        <v>0.16618075801749277</v>
      </c>
      <c r="BV10" s="22">
        <f>(tabCustoUnit[[#This Row],[TOTAL MÓDULOS 1+2+3+4+5]]+tabCustoUnit[[#This Row],[Custos Indiretos]]+tabCustoUnit[[#This Row],[Lucro]])*tabCustoUnit[[#This Row],[PIS + COFINS + ISS (Total Conversão  Alíquota s/ Fatura)]]</f>
        <v>797.53845018656625</v>
      </c>
      <c r="BW10" s="22">
        <f>tabCustoUnit[[#This Row],[Custos Indiretos]]+tabCustoUnit[[#This Row],[Lucro]]+tabCustoUnit[[#This Row],[Valor dos Tributos (ISS, PIS, CONFINS)]]</f>
        <v>1146.4922447670303</v>
      </c>
      <c r="BX10" s="22">
        <f>tabCustoUnit[[#This Row],[TOTAL MÓDULOS 1+2+3+4+5]]+tabCustoUnit[[#This Row],[MÓDULO 6 – CUSTOS INDIRETOS, TRIBUTOS E LUCRO]]</f>
        <v>5596.7610539408142</v>
      </c>
      <c r="BY10" s="22">
        <f>tabCustoUnit[[#This Row],[CUSTO TOTAL MENSAL]]*12</f>
        <v>67161.132647289778</v>
      </c>
      <c r="BZ10" s="24">
        <f>VLOOKUP(tabCustoUnit[[#This Row],[Código do Posto]],tabParametros[],MATCH(tabCustoUnit[[#Headers],[ANO DA CCT]],tabParametros[#Headers],0),0)</f>
        <v>45658</v>
      </c>
      <c r="CA10" s="25" t="str">
        <f>VLOOKUP(tabCustoUnit[[#This Row],[Código do Posto]],tabParametros[],MATCH(tabCustoUnit[[#Headers],[Nº DE PEDIDO DA CCT]],tabParametros[#Headers],0),0)</f>
        <v>-</v>
      </c>
      <c r="CB10" s="25" t="str">
        <f>VLOOKUP(tabCustoUnit[[#This Row],[Código do Posto]],tabParametros[],MATCH(tabCustoUnit[[#Headers],[TERMO ADITIVO ALTERAÇÃO DA CCT]],tabParametros[#Headers],0),0)</f>
        <v>-</v>
      </c>
    </row>
    <row r="11" spans="1:80" x14ac:dyDescent="0.25">
      <c r="A11" s="20" t="s">
        <v>1357</v>
      </c>
      <c r="B11" t="s">
        <v>17</v>
      </c>
      <c r="C11" t="s">
        <v>1245</v>
      </c>
      <c r="D11" t="s">
        <v>1026</v>
      </c>
      <c r="E11" s="20" t="s">
        <v>9</v>
      </c>
      <c r="F11" s="20" t="s">
        <v>10</v>
      </c>
      <c r="G11" s="21">
        <v>1596.28</v>
      </c>
      <c r="H11" s="21">
        <v>0</v>
      </c>
      <c r="I11" s="21">
        <v>0</v>
      </c>
      <c r="J11" s="21">
        <v>0</v>
      </c>
      <c r="K11" s="21">
        <v>0</v>
      </c>
      <c r="L11" s="21">
        <v>0</v>
      </c>
      <c r="M11" s="21">
        <v>0</v>
      </c>
      <c r="N11" s="21">
        <v>52.241900000000001</v>
      </c>
      <c r="O11" s="21">
        <f>SUM(tabCustoUnit[[#This Row],[Salário Base]:[Adicional de Acúmulo de função]])</f>
        <v>1648.5219</v>
      </c>
      <c r="P11" s="21">
        <f>tabCustoUnit[[#This Row],[MODULO 1 - REMUNERAÇÃO ]]*SUMIFS(tabParametros[INSS],tabParametros[Código do Posto],tabCustoUnit[[#This Row],[Código do Posto]])</f>
        <v>329.70438000000001</v>
      </c>
      <c r="Q11" s="21">
        <f>tabCustoUnit[[#This Row],[MODULO 1 - REMUNERAÇÃO ]]*SUMIFS(tabParametros[SESI OU SESC],tabParametros[Código do Posto],tabCustoUnit[[#This Row],[Código do Posto]])</f>
        <v>24.727828499999998</v>
      </c>
      <c r="R11" s="21">
        <f>tabCustoUnit[[#This Row],[MODULO 1 - REMUNERAÇÃO ]]*SUMIFS(tabParametros[SENAI OU SENAC],tabParametros[Código do Posto],tabCustoUnit[[#This Row],[Código do Posto]])</f>
        <v>16.485219000000001</v>
      </c>
      <c r="S11" s="21">
        <f>tabCustoUnit[[#This Row],[MODULO 1 - REMUNERAÇÃO ]]*SUMIFS(tabParametros[INCRA],tabParametros[Código do Posto],tabCustoUnit[[#This Row],[Código do Posto]])</f>
        <v>3.2970438</v>
      </c>
      <c r="T11" s="21">
        <f>tabCustoUnit[[#This Row],[MODULO 1 - REMUNERAÇÃO ]]*SUMIFS(tabParametros[Salário Educação],tabParametros[Código do Posto],tabCustoUnit[[#This Row],[Código do Posto]])</f>
        <v>41.213047500000002</v>
      </c>
      <c r="U11" s="21">
        <f>tabCustoUnit[[#This Row],[MODULO 1 - REMUNERAÇÃO ]]*SUMIFS(tabParametros[FGTS],tabParametros[Código do Posto],tabCustoUnit[[#This Row],[Código do Posto]])</f>
        <v>131.88175200000001</v>
      </c>
      <c r="V11" s="21">
        <f>tabCustoUnit[[#This Row],[MODULO 1 - REMUNERAÇÃO ]]*SUMIFS(tabParametros[RAT Ajustado],tabParametros[Código do Posto],tabCustoUnit[[#This Row],[Código do Posto]])</f>
        <v>65.940876000000003</v>
      </c>
      <c r="W11" s="21">
        <f>tabCustoUnit[[#This Row],[MODULO 1 - REMUNERAÇÃO ]]*SUMIFS(tabParametros[SEBRAE],tabParametros[Código do Posto],tabCustoUnit[[#This Row],[Código do Posto]])</f>
        <v>9.8911314000000008</v>
      </c>
      <c r="X11" s="21">
        <f>SUM(tabCustoUnit[[#This Row],[INSS]:[SEBRAE]])</f>
        <v>623.14127819999999</v>
      </c>
      <c r="Y11" s="21">
        <f>tabCustoUnit[[#This Row],[MODULO 1 - REMUNERAÇÃO ]]*SUMIFS(tabParametros[13º salário (titular)],tabParametros[Código do Posto],tabCustoUnit[[#This Row],[Código do Posto]])</f>
        <v>137.376825</v>
      </c>
      <c r="Z11" s="21">
        <f>tabCustoUnit[[#This Row],[MODULO 1 - REMUNERAÇÃO ]]*SUMIFS(tabParametros[Férias e Adicional de Férias (titular)],tabParametros[Código do Posto],tabCustoUnit[[#This Row],[Código do Posto]])</f>
        <v>183.16909999999999</v>
      </c>
      <c r="AA11" s="21">
        <f>IFERROR((tabCustoUnit[[#This Row],[Submódulo 2.1]]/tabCustoUnit[[#This Row],[MODULO 1 - REMUNERAÇÃO ]])*SUM(tabCustoUnit[[#This Row],[13º salário (titular)]:[Férias e Adicional de Férias (titular)]]),0)</f>
        <v>121.16635965</v>
      </c>
      <c r="AB11" s="21">
        <f>SUM(tabCustoUnit[[#This Row],[13º salário (titular)]:[Incidência do Submódulo 2.1 sobre 13º Salário, Férias e Adicional de Férias]])</f>
        <v>441.71228465000002</v>
      </c>
      <c r="AC11" s="22">
        <f>_xlfn.LET(_xlpm.VT,SUMIF(tabParametros[Código do Posto],tabCustoUnit[[#This Row],[Código do Posto]],tabParametros[Vale - Transporte])*2*20,
IF((_xlpm.VT-tabCustoUnit[[#This Row],[Salário Base]]*0.06)&gt;=0,(_xlpm.VT-tabCustoUnit[[#This Row],[Salário Base]]*0.06),0)
)</f>
        <v>160.22320000000002</v>
      </c>
      <c r="AD11" s="22">
        <f>IF(SUMIF(tabParametros[Código do Posto],tabCustoUnit[[#This Row],[Código do Posto]],tabParametros[Vale - Alimentação])&lt;=0,0,
SUMIF(tabParametros[Código do Posto],tabCustoUnit[[#This Row],[Código do Posto]],tabParametros[Vale - Alimentação])*20-1)</f>
        <v>582</v>
      </c>
      <c r="AE11" s="22">
        <f>SUMIF(tabParametros[Código do Posto],tabCustoUnit[[#This Row],[Código do Posto]],tabParametros[Cesta Básica])</f>
        <v>0</v>
      </c>
      <c r="AF11" s="22">
        <f>SUMIF(tabParametros[Código do Posto],tabCustoUnit[[#This Row],[Código do Posto]],tabParametros[PAF])</f>
        <v>0</v>
      </c>
      <c r="AG11" s="22">
        <f>SUMIF(tabParametros[Código do Posto],tabCustoUnit[[#This Row],[Código do Posto]],tabParametros[PQM])</f>
        <v>15.07</v>
      </c>
      <c r="AH11" s="22">
        <f>SUMIF(tabParametros[Código do Posto],tabCustoUnit[[#This Row],[Código do Posto]],tabParametros[PAT])</f>
        <v>0</v>
      </c>
      <c r="AI11" s="22">
        <f>SUMIF(tabParametros[Código do Posto],tabCustoUnit[[#This Row],[Código do Posto]],tabParametros[Seguro de Vida])</f>
        <v>3.36</v>
      </c>
      <c r="AJ11" s="22">
        <f>SUMIF(tabParametros[Código do Posto],tabCustoUnit[[#This Row],[Código do Posto]],tabParametros[Despesas de Viagem])</f>
        <v>0</v>
      </c>
      <c r="AK11" s="22">
        <f>SUM(tabCustoUnit[[#This Row],[Vale - Transporte (Descontada parcela do empregado)]:[Despesas de Viagem]])</f>
        <v>760.65320000000008</v>
      </c>
      <c r="AL11" s="22">
        <f>tabCustoUnit[[#This Row],[Submódulo 2.1]]+tabCustoUnit[[#This Row],[Submódulo 2.2]]+tabCustoUnit[[#This Row],[Submódulo 2.3]]</f>
        <v>1825.5067628500001</v>
      </c>
      <c r="AM11" s="22">
        <f>SUMIF(tabParametros[Código do Posto],tabCustoUnit[[#This Row],[Código do Posto]],tabParametros[Aviso Prévio Indenizado (API) e Reflexo do Aviso Prévio Indenizado])*tabCustoUnit[[#This Row],[MODULO 1 - REMUNERAÇÃO ]]</f>
        <v>11.559051416493055</v>
      </c>
      <c r="AN11" s="22">
        <f>SUMIF(tabParametros[Código do Posto],tabCustoUnit[[#This Row],[Código do Posto]],tabParametros[Incidência do FGTS sobre API e Reflexo do API])*tabCustoUnit[[#This Row],[MODULO 1 - REMUNERAÇÃO ]]</f>
        <v>0.92472411331944449</v>
      </c>
      <c r="AO11" s="22">
        <f>SUMIF(tabParametros[Código do Posto],tabCustoUnit[[#This Row],[Código do Posto]],tabParametros[Multa Rescisória do FGTS sobre o Aviso Prévio Indenizado])*tabCustoUnit[[#This Row],[MODULO 1 - REMUNERAÇÃO ]]</f>
        <v>0.36988964532777785</v>
      </c>
      <c r="AP11" s="22">
        <f>SUMIF(tabParametros[Código do Posto],tabCustoUnit[[#This Row],[Código do Posto]],tabParametros[Aviso Prévio Trabalhado - APT])*tabCustoUnit[[#This Row],[MODULO 1 - REMUNERAÇÃO ]]</f>
        <v>5.7698266500000006</v>
      </c>
      <c r="AQ11" s="22">
        <f>SUMIF(tabParametros[Código do Posto],tabCustoUnit[[#This Row],[Código do Posto]],tabParametros[Incidência dos encargos do submódulo 2.1 sobre Aviso Prévio Trabalhado])*tabCustoUnit[[#This Row],[MODULO 1 - REMUNERAÇÃO ]]</f>
        <v>2.1809944737000007</v>
      </c>
      <c r="AR11" s="22">
        <f>SUMIF(tabParametros[Código do Posto],tabCustoUnit[[#This Row],[Código do Posto]],tabParametros[Multa Rescisória do FGTS])*tabCustoUnit[[#This Row],[MODULO 1 - REMUNERAÇÃO ]]</f>
        <v>50.40813631999999</v>
      </c>
      <c r="AS11" s="22">
        <f>SUMIF(tabParametros[Código do Posto],tabCustoUnit[[#This Row],[Código do Posto]],tabParametros[Indenização Adicional (Art. 9º da Lei nº 7.238/84)])*tabCustoUnit[[#This Row],[MODULO 1 - REMUNERAÇÃO ]]</f>
        <v>1.3737682500000001</v>
      </c>
      <c r="AT11" s="22">
        <f>SUM(tabCustoUnit[[#This Row],[Aviso Prévio Indenizado (API) e Reflexo do Aviso Prévio Indenizado]:[Indenização Adicional (Art. 9º da Lei nº 7.238/84)]])</f>
        <v>72.586390868840269</v>
      </c>
      <c r="AU11" s="22">
        <f>SUMIF(tabParametros[Código do Posto],tabCustoUnit[[#This Row],[Código do Posto]],tabParametros[Ausência por Doença])*tabCustoUnit[[#This Row],[MODULO 1 - REMUNERAÇÃO ]]</f>
        <v>13.920851599999999</v>
      </c>
      <c r="AV11" s="22">
        <f>SUMIF(tabParametros[Código do Posto],tabCustoUnit[[#This Row],[Código do Posto]],tabParametros[Ausências Legais])*tabCustoUnit[[#This Row],[MODULO 1 - REMUNERAÇÃO ]]</f>
        <v>3.3428360749999997</v>
      </c>
      <c r="AW11" s="22">
        <f>SUMIF(tabParametros[Código do Posto],tabCustoUnit[[#This Row],[Código do Posto]],tabParametros[Licença Paternidade])*tabCustoUnit[[#This Row],[MODULO 1 - REMUNERAÇÃO ]]</f>
        <v>0.28162249125</v>
      </c>
      <c r="AX11" s="22">
        <f>SUMIF(tabParametros[Código do Posto],tabCustoUnit[[#This Row],[Código do Posto]],tabParametros[Ausência por Acidente de Trabalho])*tabCustoUnit[[#This Row],[MODULO 1 - REMUNERAÇÃO ]]</f>
        <v>0.34344206250000003</v>
      </c>
      <c r="AY11" s="22">
        <f>SUMIF(tabParametros[Código do Posto],tabCustoUnit[[#This Row],[Código do Posto]],tabParametros[Férias, Adicional de Férias e 13º  com empregada em gozo de Licença Maternidade])*tabCustoUnit[[#This Row],[MODULO 1 - REMUNERAÇÃO ]]</f>
        <v>2.1369728333333331</v>
      </c>
      <c r="AZ11" s="22">
        <f>SUMIF(tabParametros[Código do Posto],tabCustoUnit[[#This Row],[Código do Posto]],tabParametros[Incidência do Submódulo 2.1 sobre Ausências Legais])*tabCustoUnit[[#This Row],[MODULO 1 - REMUNERAÇÃO ]]</f>
        <v>7.5697240734675013</v>
      </c>
      <c r="BA11" s="22">
        <f>SUM(tabCustoUnit[[#This Row],[Ausência por Doença]:[Incidência do Submódulo 2.1 sobre Ausências Legais]])</f>
        <v>27.595449135550833</v>
      </c>
      <c r="BB11" s="22">
        <f>SUMIF(tabParametros[Código do Posto],tabCustoUnit[[#This Row],[Código do Posto]],tabParametros[Intervalo para Repouso ou Alimentação])</f>
        <v>0</v>
      </c>
      <c r="BC11" s="22">
        <f>tabCustoUnit[[#This Row],[Intervalo para Repouso ou Alimentação]]</f>
        <v>0</v>
      </c>
      <c r="BD11" s="22">
        <f>IF(VLOOKUP(tabCustoUnit[[#This Row],[Código do Posto]],PARAMETROS!$A$4:$BJ$255,7,0)&lt;=0,0,
IFERROR((tabCustoUnit[[#This Row],[MODULO 1 - REMUNERAÇÃO ]]*VLOOKUP(tabCustoUnit[[#This Row],[Código do Posto]],PARAMETROS!$A$4:$BJ$255,49,0))/(VLOOKUP(tabCustoUnit[[#This Row],[Código do Posto]],PARAMETROS!$A$4:$BJ$255,7,0)*VLOOKUP(tabCustoUnit[[#This Row],[Código do Posto]],PARAMETROS!$A$4:$BJ$255,8,0)),0)
)</f>
        <v>0</v>
      </c>
      <c r="BE11" s="22">
        <f>tabCustoUnit[[#This Row],[Suspensão Temporária do Contrato de Trabalho]]</f>
        <v>0</v>
      </c>
      <c r="BF11" s="22">
        <f>tabCustoUnit[[#This Row],[Submódulo 4.1]]+tabCustoUnit[[#This Row],[Submódulo 4.2]]+tabCustoUnit[[#This Row],[Submódulo 4.3]]</f>
        <v>27.595449135550833</v>
      </c>
      <c r="BG11" s="22">
        <f>VLOOKUP(tabCustoUnit[[#This Row],[Código do Posto]],tabParametros[],MATCH(tabCustoUnit[[#Headers],[Uniformes e EPIs]],tabParametros[#Headers],0),0)</f>
        <v>100.80916666666666</v>
      </c>
      <c r="BH11" s="22">
        <f>VLOOKUP(tabCustoUnit[[#This Row],[Código do Posto]],tabParametros[],MATCH(tabCustoUnit[[#Headers],[Materiais de Consumo]],tabParametros[#Headers],0),0)</f>
        <v>35.518212958583888</v>
      </c>
      <c r="BI11" s="22">
        <f>VLOOKUP(tabCustoUnit[[#This Row],[Código do Posto]],tabParametros[],MATCH(tabCustoUnit[[#Headers],[Máquinas e Equipamentos (depreciação)]],tabParametros[#Headers],0),0)</f>
        <v>64.529393914825576</v>
      </c>
      <c r="BJ11" s="22">
        <f>VLOOKUP(tabCustoUnit[[#This Row],[Código do Posto]],tabParametros[],MATCH(tabCustoUnit[[#Headers],[Produtos de Limpeza e Materiais de Higiene Pessoal]],tabParametros[#Headers],0),0)</f>
        <v>690.27153277931654</v>
      </c>
      <c r="BK11" s="22">
        <f>VLOOKUP(tabCustoUnit[[#This Row],[Código do Posto]],tabParametros[],MATCH(tabCustoUnit[[#Headers],[Outros (especificar)]],tabParametros[#Headers],0),0)</f>
        <v>0</v>
      </c>
      <c r="BL11" s="22">
        <f>SUM(tabCustoUnit[[#This Row],[Uniformes e EPIs]:[Outros (especificar)]])</f>
        <v>891.12830631939266</v>
      </c>
      <c r="BM11" s="22">
        <f>tabCustoUnit[[#This Row],[MODULO 1 - REMUNERAÇÃO ]]+tabCustoUnit[[#This Row],[MÓDULO 2 - Total Encargos e Benefícios mensais e diários]]+tabCustoUnit[[#This Row],[MÓDULO 3 – PROVISÃO PARA RESCISÃO]]+tabCustoUnit[[#This Row],[MÓDULO 4 – CUSTO DE REPOSIÇÃO DO PROFISSIONAL AUSENTE]]+tabCustoUnit[[#This Row],[MÓDULO 5 – INSUMOS DIVERSOS]]</f>
        <v>4465.3388091737834</v>
      </c>
      <c r="BN11" s="22">
        <f>VLOOKUP(tabCustoUnit[[#This Row],[Código do Posto]],tabParametros[],MATCH(tabCustoUnit[[#Headers],[Custos Indiretos]],tabParametros[#Headers],0),0)</f>
        <v>189.64880140242613</v>
      </c>
      <c r="BO11" s="22">
        <f>VLOOKUP(tabCustoUnit[[#This Row],[Código do Posto]],tabParametros[],MATCH(tabCustoUnit[[#Headers],[Lucro]],tabParametros[#Headers],0),0)</f>
        <v>159.30499317803796</v>
      </c>
      <c r="BP11" s="26">
        <f>((100/((1-tabCustoUnit[[#This Row],[Resumo de Alíquotas (PIS+CONFINS+ISS)]]))-100)*VLOOKUP(tabCustoUnit[[#This Row],[Código do Posto]],tabParametros[],MATCH(tabCustoUnit[[#Headers],[COFINS]],tabParametros[#Headers],0),0))/(tabCustoUnit[[#This Row],[Resumo de Alíquotas (PIS+CONFINS+ISS)]]*100)</f>
        <v>8.8629737609329504E-2</v>
      </c>
      <c r="BQ11" s="26">
        <f>((100/((100-(tabCustoUnit[[#This Row],[Resumo de Alíquotas (PIS+CONFINS+ISS)]]*100))%)-100)*VLOOKUP(tabCustoUnit[[#This Row],[Código do Posto]],tabParametros[],MATCH(tabCustoUnit[[#Headers],[PIS]],tabParametros[#Headers],0),0))/(tabCustoUnit[[#This Row],[Resumo de Alíquotas (PIS+CONFINS+ISS)]]*100)</f>
        <v>1.9241982507288629E-2</v>
      </c>
      <c r="BR11" s="28">
        <f>VLOOKUP(tabCustoUnit[[#This Row],[Código do Posto]],tabParametros[],MATCH(tabCustoUnit[[#Headers],[ISS]],tabParametros[#Headers],0),0)</f>
        <v>0.05</v>
      </c>
      <c r="BS11" s="26">
        <f>(((100/((100-(tabCustoUnit[[#This Row],[Resumo de Alíquotas (PIS+CONFINS+ISS)]]*100))%)-100)*tabCustoUnit[[#This Row],[ISS]])/tabCustoUnit[[#This Row],[Resumo de Alíquotas (PIS+CONFINS+ISS)]])/100</f>
        <v>5.8309037900874633E-2</v>
      </c>
      <c r="BT11" s="26">
        <f>(VLOOKUP(tabCustoUnit[[#This Row],[Código do Posto]],tabParametros[],MATCH(tabCustoUnit[[#Headers],[COFINS]],tabParametros[#Headers],0),0)+
VLOOKUP(tabCustoUnit[[#This Row],[Código do Posto]],tabParametros[],MATCH(tabCustoUnit[[#Headers],[PIS]],tabParametros[#Headers],0),0)+
VLOOKUP(tabCustoUnit[[#This Row],[Código do Posto]],tabParametros[],MATCH(tabCustoUnit[[#Headers],[ISS]],tabParametros[#Headers],0),0))</f>
        <v>0.14250000000000002</v>
      </c>
      <c r="BU11" s="138">
        <f>tabCustoUnit[[#This Row],[COFINS]]+tabCustoUnit[[#This Row],[PIS]]+tabCustoUnit[[#This Row],[ISS (Conversão Alíquota s/ fatura)]]</f>
        <v>0.16618075801749277</v>
      </c>
      <c r="BV11" s="22">
        <f>(tabCustoUnit[[#This Row],[TOTAL MÓDULOS 1+2+3+4+5]]+tabCustoUnit[[#This Row],[Custos Indiretos]]+tabCustoUnit[[#This Row],[Lucro]])*tabCustoUnit[[#This Row],[PIS + COFINS + ISS (Total Conversão  Alíquota s/ Fatura)]]</f>
        <v>800.04279420988985</v>
      </c>
      <c r="BW11" s="22">
        <f>tabCustoUnit[[#This Row],[Custos Indiretos]]+tabCustoUnit[[#This Row],[Lucro]]+tabCustoUnit[[#This Row],[Valor dos Tributos (ISS, PIS, CONFINS)]]</f>
        <v>1148.9965887903541</v>
      </c>
      <c r="BX11" s="22">
        <f>tabCustoUnit[[#This Row],[TOTAL MÓDULOS 1+2+3+4+5]]+tabCustoUnit[[#This Row],[MÓDULO 6 – CUSTOS INDIRETOS, TRIBUTOS E LUCRO]]</f>
        <v>5614.3353979641379</v>
      </c>
      <c r="BY11" s="22">
        <f>tabCustoUnit[[#This Row],[CUSTO TOTAL MENSAL]]*12</f>
        <v>67372.024775569647</v>
      </c>
      <c r="BZ11" s="24">
        <f>VLOOKUP(tabCustoUnit[[#This Row],[Código do Posto]],tabParametros[],MATCH(tabCustoUnit[[#Headers],[ANO DA CCT]],tabParametros[#Headers],0),0)</f>
        <v>45658</v>
      </c>
      <c r="CA11" s="25" t="str">
        <f>VLOOKUP(tabCustoUnit[[#This Row],[Código do Posto]],tabParametros[],MATCH(tabCustoUnit[[#Headers],[Nº DE PEDIDO DA CCT]],tabParametros[#Headers],0),0)</f>
        <v>-</v>
      </c>
      <c r="CB11" s="25" t="str">
        <f>VLOOKUP(tabCustoUnit[[#This Row],[Código do Posto]],tabParametros[],MATCH(tabCustoUnit[[#Headers],[TERMO ADITIVO ALTERAÇÃO DA CCT]],tabParametros[#Headers],0),0)</f>
        <v>-</v>
      </c>
    </row>
    <row r="12" spans="1:80" x14ac:dyDescent="0.25">
      <c r="A12" s="20" t="s">
        <v>1358</v>
      </c>
      <c r="B12" t="s">
        <v>18</v>
      </c>
      <c r="C12" t="s">
        <v>1247</v>
      </c>
      <c r="D12" t="s">
        <v>1023</v>
      </c>
      <c r="E12" s="20" t="s">
        <v>9</v>
      </c>
      <c r="F12" s="20" t="s">
        <v>10</v>
      </c>
      <c r="G12" s="21">
        <v>544.17999999999995</v>
      </c>
      <c r="H12" s="21">
        <v>0</v>
      </c>
      <c r="I12" s="21">
        <v>0</v>
      </c>
      <c r="J12" s="21">
        <v>0</v>
      </c>
      <c r="K12" s="21">
        <v>0</v>
      </c>
      <c r="L12" s="21">
        <v>0</v>
      </c>
      <c r="M12" s="21">
        <v>0</v>
      </c>
      <c r="N12" s="21">
        <v>19.590499999999999</v>
      </c>
      <c r="O12" s="21">
        <f>SUM(tabCustoUnit[[#This Row],[Salário Base]:[Adicional de Acúmulo de função]])</f>
        <v>563.77049999999997</v>
      </c>
      <c r="P12" s="21">
        <f>tabCustoUnit[[#This Row],[MODULO 1 - REMUNERAÇÃO ]]*SUMIFS(tabParametros[INSS],tabParametros[Código do Posto],tabCustoUnit[[#This Row],[Código do Posto]])</f>
        <v>112.75409999999999</v>
      </c>
      <c r="Q12" s="21">
        <f>tabCustoUnit[[#This Row],[MODULO 1 - REMUNERAÇÃO ]]*SUMIFS(tabParametros[SESI OU SESC],tabParametros[Código do Posto],tabCustoUnit[[#This Row],[Código do Posto]])</f>
        <v>8.4565574999999988</v>
      </c>
      <c r="R12" s="21">
        <f>tabCustoUnit[[#This Row],[MODULO 1 - REMUNERAÇÃO ]]*SUMIFS(tabParametros[SENAI OU SENAC],tabParametros[Código do Posto],tabCustoUnit[[#This Row],[Código do Posto]])</f>
        <v>5.6377049999999995</v>
      </c>
      <c r="S12" s="21">
        <f>tabCustoUnit[[#This Row],[MODULO 1 - REMUNERAÇÃO ]]*SUMIFS(tabParametros[INCRA],tabParametros[Código do Posto],tabCustoUnit[[#This Row],[Código do Posto]])</f>
        <v>1.1275409999999999</v>
      </c>
      <c r="T12" s="21">
        <f>tabCustoUnit[[#This Row],[MODULO 1 - REMUNERAÇÃO ]]*SUMIFS(tabParametros[Salário Educação],tabParametros[Código do Posto],tabCustoUnit[[#This Row],[Código do Posto]])</f>
        <v>14.094262499999999</v>
      </c>
      <c r="U12" s="21">
        <f>tabCustoUnit[[#This Row],[MODULO 1 - REMUNERAÇÃO ]]*SUMIFS(tabParametros[FGTS],tabParametros[Código do Posto],tabCustoUnit[[#This Row],[Código do Posto]])</f>
        <v>45.101639999999996</v>
      </c>
      <c r="V12" s="21">
        <f>tabCustoUnit[[#This Row],[MODULO 1 - REMUNERAÇÃO ]]*SUMIFS(tabParametros[RAT Ajustado],tabParametros[Código do Posto],tabCustoUnit[[#This Row],[Código do Posto]])</f>
        <v>22.550819999999998</v>
      </c>
      <c r="W12" s="21">
        <f>tabCustoUnit[[#This Row],[MODULO 1 - REMUNERAÇÃO ]]*SUMIFS(tabParametros[SEBRAE],tabParametros[Código do Posto],tabCustoUnit[[#This Row],[Código do Posto]])</f>
        <v>3.3826229999999997</v>
      </c>
      <c r="X12" s="21">
        <f>SUM(tabCustoUnit[[#This Row],[INSS]:[SEBRAE]])</f>
        <v>213.10524899999996</v>
      </c>
      <c r="Y12" s="21">
        <f>tabCustoUnit[[#This Row],[MODULO 1 - REMUNERAÇÃO ]]*SUMIFS(tabParametros[13º salário (titular)],tabParametros[Código do Posto],tabCustoUnit[[#This Row],[Código do Posto]])</f>
        <v>46.980874999999997</v>
      </c>
      <c r="Z12" s="21">
        <f>tabCustoUnit[[#This Row],[MODULO 1 - REMUNERAÇÃO ]]*SUMIFS(tabParametros[Férias e Adicional de Férias (titular)],tabParametros[Código do Posto],tabCustoUnit[[#This Row],[Código do Posto]])</f>
        <v>62.641166666666663</v>
      </c>
      <c r="AA12" s="21">
        <f>IFERROR((tabCustoUnit[[#This Row],[Submódulo 2.1]]/tabCustoUnit[[#This Row],[MODULO 1 - REMUNERAÇÃO ]])*SUM(tabCustoUnit[[#This Row],[13º salário (titular)]:[Férias e Adicional de Férias (titular)]]),0)</f>
        <v>41.437131749999992</v>
      </c>
      <c r="AB12" s="21">
        <f>SUM(tabCustoUnit[[#This Row],[13º salário (titular)]:[Incidência do Submódulo 2.1 sobre 13º Salário, Férias e Adicional de Férias]])</f>
        <v>151.05917341666665</v>
      </c>
      <c r="AC12" s="22">
        <f>_xlfn.LET(_xlpm.VT,SUMIF(tabParametros[Código do Posto],tabCustoUnit[[#This Row],[Código do Posto]],tabParametros[Vale - Transporte])*2*20,
IF((_xlpm.VT-tabCustoUnit[[#This Row],[Salário Base]]*0.06)&gt;=0,(_xlpm.VT-tabCustoUnit[[#This Row],[Salário Base]]*0.06),0)
)</f>
        <v>223.3492</v>
      </c>
      <c r="AD12" s="22">
        <f>IF(SUMIF(tabParametros[Código do Posto],tabCustoUnit[[#This Row],[Código do Posto]],tabParametros[Vale - Alimentação])&lt;=0,0,
SUMIF(tabParametros[Código do Posto],tabCustoUnit[[#This Row],[Código do Posto]],tabParametros[Vale - Alimentação])*20-1)</f>
        <v>582</v>
      </c>
      <c r="AE12" s="22">
        <f>SUMIF(tabParametros[Código do Posto],tabCustoUnit[[#This Row],[Código do Posto]],tabParametros[Cesta Básica])</f>
        <v>0</v>
      </c>
      <c r="AF12" s="22">
        <f>SUMIF(tabParametros[Código do Posto],tabCustoUnit[[#This Row],[Código do Posto]],tabParametros[PAF])</f>
        <v>0</v>
      </c>
      <c r="AG12" s="22">
        <f>SUMIF(tabParametros[Código do Posto],tabCustoUnit[[#This Row],[Código do Posto]],tabParametros[PQM])</f>
        <v>0</v>
      </c>
      <c r="AH12" s="22">
        <f>SUMIF(tabParametros[Código do Posto],tabCustoUnit[[#This Row],[Código do Posto]],tabParametros[PAT])</f>
        <v>0</v>
      </c>
      <c r="AI12" s="22">
        <f>SUMIF(tabParametros[Código do Posto],tabCustoUnit[[#This Row],[Código do Posto]],tabParametros[Seguro de Vida])</f>
        <v>3.36</v>
      </c>
      <c r="AJ12" s="22">
        <f>SUMIF(tabParametros[Código do Posto],tabCustoUnit[[#This Row],[Código do Posto]],tabParametros[Despesas de Viagem])</f>
        <v>0</v>
      </c>
      <c r="AK12" s="22">
        <f>SUM(tabCustoUnit[[#This Row],[Vale - Transporte (Descontada parcela do empregado)]:[Despesas de Viagem]])</f>
        <v>808.70920000000001</v>
      </c>
      <c r="AL12" s="22">
        <f>tabCustoUnit[[#This Row],[Submódulo 2.1]]+tabCustoUnit[[#This Row],[Submódulo 2.2]]+tabCustoUnit[[#This Row],[Submódulo 2.3]]</f>
        <v>1172.8736224166666</v>
      </c>
      <c r="AM12" s="22">
        <f>SUMIF(tabParametros[Código do Posto],tabCustoUnit[[#This Row],[Código do Posto]],tabParametros[Aviso Prévio Indenizado (API) e Reflexo do Aviso Prévio Indenizado])*tabCustoUnit[[#This Row],[MODULO 1 - REMUNERAÇÃO ]]</f>
        <v>3.9530273735532404</v>
      </c>
      <c r="AN12" s="22">
        <f>SUMIF(tabParametros[Código do Posto],tabCustoUnit[[#This Row],[Código do Posto]],tabParametros[Incidência do FGTS sobre API e Reflexo do API])*tabCustoUnit[[#This Row],[MODULO 1 - REMUNERAÇÃO ]]</f>
        <v>0.31624218988425928</v>
      </c>
      <c r="AO12" s="22">
        <f>SUMIF(tabParametros[Código do Posto],tabCustoUnit[[#This Row],[Código do Posto]],tabParametros[Multa Rescisória do FGTS sobre o Aviso Prévio Indenizado])*tabCustoUnit[[#This Row],[MODULO 1 - REMUNERAÇÃO ]]</f>
        <v>0.12649687595370371</v>
      </c>
      <c r="AP12" s="22">
        <f>SUMIF(tabParametros[Código do Posto],tabCustoUnit[[#This Row],[Código do Posto]],tabParametros[Aviso Prévio Trabalhado - APT])*tabCustoUnit[[#This Row],[MODULO 1 - REMUNERAÇÃO ]]</f>
        <v>1.9731967500000003</v>
      </c>
      <c r="AQ12" s="22">
        <f>SUMIF(tabParametros[Código do Posto],tabCustoUnit[[#This Row],[Código do Posto]],tabParametros[Incidência dos encargos do submódulo 2.1 sobre Aviso Prévio Trabalhado])*tabCustoUnit[[#This Row],[MODULO 1 - REMUNERAÇÃO ]]</f>
        <v>0.74586837150000018</v>
      </c>
      <c r="AR12" s="22">
        <f>SUMIF(tabParametros[Código do Posto],tabCustoUnit[[#This Row],[Código do Posto]],tabParametros[Multa Rescisória do FGTS])*tabCustoUnit[[#This Row],[MODULO 1 - REMUNERAÇÃO ]]</f>
        <v>17.238849066666663</v>
      </c>
      <c r="AS12" s="22">
        <f>SUMIF(tabParametros[Código do Posto],tabCustoUnit[[#This Row],[Código do Posto]],tabParametros[Indenização Adicional (Art. 9º da Lei nº 7.238/84)])*tabCustoUnit[[#This Row],[MODULO 1 - REMUNERAÇÃO ]]</f>
        <v>0.46980875</v>
      </c>
      <c r="AT12" s="22">
        <f>SUM(tabCustoUnit[[#This Row],[Aviso Prévio Indenizado (API) e Reflexo do Aviso Prévio Indenizado]:[Indenização Adicional (Art. 9º da Lei nº 7.238/84)]])</f>
        <v>24.823489377557866</v>
      </c>
      <c r="AU12" s="22">
        <f>SUMIF(tabParametros[Código do Posto],tabCustoUnit[[#This Row],[Código do Posto]],tabParametros[Ausência por Doença])*tabCustoUnit[[#This Row],[MODULO 1 - REMUNERAÇÃO ]]</f>
        <v>4.7607286666666662</v>
      </c>
      <c r="AV12" s="22">
        <f>SUMIF(tabParametros[Código do Posto],tabCustoUnit[[#This Row],[Código do Posto]],tabParametros[Ausências Legais])*tabCustoUnit[[#This Row],[MODULO 1 - REMUNERAÇÃO ]]</f>
        <v>1.1432012916666665</v>
      </c>
      <c r="AW12" s="22">
        <f>SUMIF(tabParametros[Código do Posto],tabCustoUnit[[#This Row],[Código do Posto]],tabParametros[Licença Paternidade])*tabCustoUnit[[#This Row],[MODULO 1 - REMUNERAÇÃO ]]</f>
        <v>9.6310793749999998E-2</v>
      </c>
      <c r="AX12" s="22">
        <f>SUMIF(tabParametros[Código do Posto],tabCustoUnit[[#This Row],[Código do Posto]],tabParametros[Ausência por Acidente de Trabalho])*tabCustoUnit[[#This Row],[MODULO 1 - REMUNERAÇÃO ]]</f>
        <v>0.1174521875</v>
      </c>
      <c r="AY12" s="22">
        <f>SUMIF(tabParametros[Código do Posto],tabCustoUnit[[#This Row],[Código do Posto]],tabParametros[Férias, Adicional de Férias e 13º  com empregada em gozo de Licença Maternidade])*tabCustoUnit[[#This Row],[MODULO 1 - REMUNERAÇÃO ]]</f>
        <v>0.73081361111111109</v>
      </c>
      <c r="AZ12" s="22">
        <f>SUMIF(tabParametros[Código do Posto],tabCustoUnit[[#This Row],[Código do Posto]],tabParametros[Incidência do Submódulo 2.1 sobre Ausências Legais])*tabCustoUnit[[#This Row],[MODULO 1 - REMUNERAÇÃO ]]</f>
        <v>2.5887354761625003</v>
      </c>
      <c r="BA12" s="22">
        <f>SUM(tabCustoUnit[[#This Row],[Ausência por Doença]:[Incidência do Submódulo 2.1 sobre Ausências Legais]])</f>
        <v>9.4372420268569428</v>
      </c>
      <c r="BB12" s="22">
        <f>SUMIF(tabParametros[Código do Posto],tabCustoUnit[[#This Row],[Código do Posto]],tabParametros[Intervalo para Repouso ou Alimentação])</f>
        <v>0</v>
      </c>
      <c r="BC12" s="22">
        <f>tabCustoUnit[[#This Row],[Intervalo para Repouso ou Alimentação]]</f>
        <v>0</v>
      </c>
      <c r="BD12" s="22">
        <f>IF(VLOOKUP(tabCustoUnit[[#This Row],[Código do Posto]],PARAMETROS!$A$4:$BJ$255,7,0)&lt;=0,0,
IFERROR((tabCustoUnit[[#This Row],[MODULO 1 - REMUNERAÇÃO ]]*VLOOKUP(tabCustoUnit[[#This Row],[Código do Posto]],PARAMETROS!$A$4:$BJ$255,49,0))/(VLOOKUP(tabCustoUnit[[#This Row],[Código do Posto]],PARAMETROS!$A$4:$BJ$255,7,0)*VLOOKUP(tabCustoUnit[[#This Row],[Código do Posto]],PARAMETROS!$A$4:$BJ$255,8,0)),0)
)</f>
        <v>0</v>
      </c>
      <c r="BE12" s="22">
        <f>tabCustoUnit[[#This Row],[Suspensão Temporária do Contrato de Trabalho]]</f>
        <v>0</v>
      </c>
      <c r="BF12" s="22">
        <f>tabCustoUnit[[#This Row],[Submódulo 4.1]]+tabCustoUnit[[#This Row],[Submódulo 4.2]]+tabCustoUnit[[#This Row],[Submódulo 4.3]]</f>
        <v>9.4372420268569428</v>
      </c>
      <c r="BG12" s="22">
        <f>VLOOKUP(tabCustoUnit[[#This Row],[Código do Posto]],tabParametros[],MATCH(tabCustoUnit[[#Headers],[Uniformes e EPIs]],tabParametros[#Headers],0),0)</f>
        <v>62.806666666666665</v>
      </c>
      <c r="BH12" s="22">
        <f>VLOOKUP(tabCustoUnit[[#This Row],[Código do Posto]],tabParametros[],MATCH(tabCustoUnit[[#Headers],[Materiais de Consumo]],tabParametros[#Headers],0),0)</f>
        <v>12.108481690426325</v>
      </c>
      <c r="BI12" s="22">
        <f>VLOOKUP(tabCustoUnit[[#This Row],[Código do Posto]],tabParametros[],MATCH(tabCustoUnit[[#Headers],[Máquinas e Equipamentos (depreciação)]],tabParametros[#Headers],0),0)</f>
        <v>21.998657016417809</v>
      </c>
      <c r="BJ12" s="22">
        <f>VLOOKUP(tabCustoUnit[[#This Row],[Código do Posto]],tabParametros[],MATCH(tabCustoUnit[[#Headers],[Produtos de Limpeza e Materiais de Higiene Pessoal]],tabParametros[#Headers],0),0)</f>
        <v>235.31984072022155</v>
      </c>
      <c r="BK12" s="22">
        <f>VLOOKUP(tabCustoUnit[[#This Row],[Código do Posto]],tabParametros[],MATCH(tabCustoUnit[[#Headers],[Outros (especificar)]],tabParametros[#Headers],0),0)</f>
        <v>0</v>
      </c>
      <c r="BL12" s="22">
        <f>SUM(tabCustoUnit[[#This Row],[Uniformes e EPIs]:[Outros (especificar)]])</f>
        <v>332.23364609373232</v>
      </c>
      <c r="BM12" s="22">
        <f>tabCustoUnit[[#This Row],[MODULO 1 - REMUNERAÇÃO ]]+tabCustoUnit[[#This Row],[MÓDULO 2 - Total Encargos e Benefícios mensais e diários]]+tabCustoUnit[[#This Row],[MÓDULO 3 – PROVISÃO PARA RESCISÃO]]+tabCustoUnit[[#This Row],[MÓDULO 4 – CUSTO DE REPOSIÇÃO DO PROFISSIONAL AUSENTE]]+tabCustoUnit[[#This Row],[MÓDULO 5 – INSUMOS DIVERSOS]]</f>
        <v>2103.1384999148136</v>
      </c>
      <c r="BN12" s="22">
        <f>VLOOKUP(tabCustoUnit[[#This Row],[Código do Posto]],tabParametros[],MATCH(tabCustoUnit[[#Headers],[Custos Indiretos]],tabParametros[#Headers],0),0)</f>
        <v>189.64880140242613</v>
      </c>
      <c r="BO12" s="22">
        <f>VLOOKUP(tabCustoUnit[[#This Row],[Código do Posto]],tabParametros[],MATCH(tabCustoUnit[[#Headers],[Lucro]],tabParametros[#Headers],0),0)</f>
        <v>159.30499317803796</v>
      </c>
      <c r="BP12" s="26">
        <f>((100/((1-tabCustoUnit[[#This Row],[Resumo de Alíquotas (PIS+CONFINS+ISS)]]))-100)*VLOOKUP(tabCustoUnit[[#This Row],[Código do Posto]],tabParametros[],MATCH(tabCustoUnit[[#Headers],[COFINS]],tabParametros[#Headers],0),0))/(tabCustoUnit[[#This Row],[Resumo de Alíquotas (PIS+CONFINS+ISS)]]*100)</f>
        <v>8.5633802816901458E-2</v>
      </c>
      <c r="BQ12" s="26">
        <f>((100/((100-(tabCustoUnit[[#This Row],[Resumo de Alíquotas (PIS+CONFINS+ISS)]]*100))%)-100)*VLOOKUP(tabCustoUnit[[#This Row],[Código do Posto]],tabParametros[],MATCH(tabCustoUnit[[#Headers],[PIS]],tabParametros[#Headers],0),0))/(tabCustoUnit[[#This Row],[Resumo de Alíquotas (PIS+CONFINS+ISS)]]*100)</f>
        <v>1.8591549295774657E-2</v>
      </c>
      <c r="BR12" s="28">
        <f>VLOOKUP(tabCustoUnit[[#This Row],[Código do Posto]],tabParametros[],MATCH(tabCustoUnit[[#Headers],[ISS]],tabParametros[#Headers],0),0)</f>
        <v>0.02</v>
      </c>
      <c r="BS12" s="26">
        <f>(((100/((100-(tabCustoUnit[[#This Row],[Resumo de Alíquotas (PIS+CONFINS+ISS)]]*100))%)-100)*tabCustoUnit[[#This Row],[ISS]])/tabCustoUnit[[#This Row],[Resumo de Alíquotas (PIS+CONFINS+ISS)]])/100</f>
        <v>2.2535211267605645E-2</v>
      </c>
      <c r="BT12" s="26">
        <f>(VLOOKUP(tabCustoUnit[[#This Row],[Código do Posto]],tabParametros[],MATCH(tabCustoUnit[[#Headers],[COFINS]],tabParametros[#Headers],0),0)+
VLOOKUP(tabCustoUnit[[#This Row],[Código do Posto]],tabParametros[],MATCH(tabCustoUnit[[#Headers],[PIS]],tabParametros[#Headers],0),0)+
VLOOKUP(tabCustoUnit[[#This Row],[Código do Posto]],tabParametros[],MATCH(tabCustoUnit[[#Headers],[ISS]],tabParametros[#Headers],0),0))</f>
        <v>0.1125</v>
      </c>
      <c r="BU12" s="138">
        <f>tabCustoUnit[[#This Row],[COFINS]]+tabCustoUnit[[#This Row],[PIS]]+tabCustoUnit[[#This Row],[ISS (Conversão Alíquota s/ fatura)]]</f>
        <v>0.12676056338028174</v>
      </c>
      <c r="BV12" s="22">
        <f>(tabCustoUnit[[#This Row],[TOTAL MÓDULOS 1+2+3+4+5]]+tabCustoUnit[[#This Row],[Custos Indiretos]]+tabCustoUnit[[#This Row],[Lucro]])*tabCustoUnit[[#This Row],[PIS + COFINS + ISS (Total Conversão  Alíquota s/ Fatura)]]</f>
        <v>310.82860071066915</v>
      </c>
      <c r="BW12" s="22">
        <f>tabCustoUnit[[#This Row],[Custos Indiretos]]+tabCustoUnit[[#This Row],[Lucro]]+tabCustoUnit[[#This Row],[Valor dos Tributos (ISS, PIS, CONFINS)]]</f>
        <v>659.7823952911333</v>
      </c>
      <c r="BX12" s="22">
        <f>tabCustoUnit[[#This Row],[TOTAL MÓDULOS 1+2+3+4+5]]+tabCustoUnit[[#This Row],[MÓDULO 6 – CUSTOS INDIRETOS, TRIBUTOS E LUCRO]]</f>
        <v>2762.9208952059471</v>
      </c>
      <c r="BY12" s="22">
        <f>tabCustoUnit[[#This Row],[CUSTO TOTAL MENSAL]]*12</f>
        <v>33155.050742471365</v>
      </c>
      <c r="BZ12" s="24">
        <f>VLOOKUP(tabCustoUnit[[#This Row],[Código do Posto]],tabParametros[],MATCH(tabCustoUnit[[#Headers],[ANO DA CCT]],tabParametros[#Headers],0),0)</f>
        <v>45658</v>
      </c>
      <c r="CA12" s="25" t="str">
        <f>VLOOKUP(tabCustoUnit[[#This Row],[Código do Posto]],tabParametros[],MATCH(tabCustoUnit[[#Headers],[Nº DE PEDIDO DA CCT]],tabParametros[#Headers],0),0)</f>
        <v>-</v>
      </c>
      <c r="CB12" s="25" t="str">
        <f>VLOOKUP(tabCustoUnit[[#This Row],[Código do Posto]],tabParametros[],MATCH(tabCustoUnit[[#Headers],[TERMO ADITIVO ALTERAÇÃO DA CCT]],tabParametros[#Headers],0),0)</f>
        <v>-</v>
      </c>
    </row>
    <row r="13" spans="1:80" x14ac:dyDescent="0.25">
      <c r="A13" s="20" t="s">
        <v>1359</v>
      </c>
      <c r="B13" t="s">
        <v>19</v>
      </c>
      <c r="C13" t="s">
        <v>1247</v>
      </c>
      <c r="D13" t="s">
        <v>1015</v>
      </c>
      <c r="E13" s="20" t="s">
        <v>9</v>
      </c>
      <c r="F13" s="20" t="s">
        <v>10</v>
      </c>
      <c r="G13" s="21">
        <v>544.17999999999995</v>
      </c>
      <c r="H13" s="21">
        <v>0</v>
      </c>
      <c r="I13" s="21">
        <v>0</v>
      </c>
      <c r="J13" s="21">
        <v>0</v>
      </c>
      <c r="K13" s="21">
        <v>0</v>
      </c>
      <c r="L13" s="21">
        <v>0</v>
      </c>
      <c r="M13" s="21">
        <v>0</v>
      </c>
      <c r="N13" s="21">
        <v>19.590499999999999</v>
      </c>
      <c r="O13" s="21">
        <f>SUM(tabCustoUnit[[#This Row],[Salário Base]:[Adicional de Acúmulo de função]])</f>
        <v>563.77049999999997</v>
      </c>
      <c r="P13" s="21">
        <f>tabCustoUnit[[#This Row],[MODULO 1 - REMUNERAÇÃO ]]*SUMIFS(tabParametros[INSS],tabParametros[Código do Posto],tabCustoUnit[[#This Row],[Código do Posto]])</f>
        <v>112.75409999999999</v>
      </c>
      <c r="Q13" s="21">
        <f>tabCustoUnit[[#This Row],[MODULO 1 - REMUNERAÇÃO ]]*SUMIFS(tabParametros[SESI OU SESC],tabParametros[Código do Posto],tabCustoUnit[[#This Row],[Código do Posto]])</f>
        <v>8.4565574999999988</v>
      </c>
      <c r="R13" s="21">
        <f>tabCustoUnit[[#This Row],[MODULO 1 - REMUNERAÇÃO ]]*SUMIFS(tabParametros[SENAI OU SENAC],tabParametros[Código do Posto],tabCustoUnit[[#This Row],[Código do Posto]])</f>
        <v>5.6377049999999995</v>
      </c>
      <c r="S13" s="21">
        <f>tabCustoUnit[[#This Row],[MODULO 1 - REMUNERAÇÃO ]]*SUMIFS(tabParametros[INCRA],tabParametros[Código do Posto],tabCustoUnit[[#This Row],[Código do Posto]])</f>
        <v>1.1275409999999999</v>
      </c>
      <c r="T13" s="21">
        <f>tabCustoUnit[[#This Row],[MODULO 1 - REMUNERAÇÃO ]]*SUMIFS(tabParametros[Salário Educação],tabParametros[Código do Posto],tabCustoUnit[[#This Row],[Código do Posto]])</f>
        <v>14.094262499999999</v>
      </c>
      <c r="U13" s="21">
        <f>tabCustoUnit[[#This Row],[MODULO 1 - REMUNERAÇÃO ]]*SUMIFS(tabParametros[FGTS],tabParametros[Código do Posto],tabCustoUnit[[#This Row],[Código do Posto]])</f>
        <v>45.101639999999996</v>
      </c>
      <c r="V13" s="21">
        <f>tabCustoUnit[[#This Row],[MODULO 1 - REMUNERAÇÃO ]]*SUMIFS(tabParametros[RAT Ajustado],tabParametros[Código do Posto],tabCustoUnit[[#This Row],[Código do Posto]])</f>
        <v>22.550819999999998</v>
      </c>
      <c r="W13" s="21">
        <f>tabCustoUnit[[#This Row],[MODULO 1 - REMUNERAÇÃO ]]*SUMIFS(tabParametros[SEBRAE],tabParametros[Código do Posto],tabCustoUnit[[#This Row],[Código do Posto]])</f>
        <v>3.3826229999999997</v>
      </c>
      <c r="X13" s="21">
        <f>SUM(tabCustoUnit[[#This Row],[INSS]:[SEBRAE]])</f>
        <v>213.10524899999996</v>
      </c>
      <c r="Y13" s="21">
        <f>tabCustoUnit[[#This Row],[MODULO 1 - REMUNERAÇÃO ]]*SUMIFS(tabParametros[13º salário (titular)],tabParametros[Código do Posto],tabCustoUnit[[#This Row],[Código do Posto]])</f>
        <v>46.980874999999997</v>
      </c>
      <c r="Z13" s="21">
        <f>tabCustoUnit[[#This Row],[MODULO 1 - REMUNERAÇÃO ]]*SUMIFS(tabParametros[Férias e Adicional de Férias (titular)],tabParametros[Código do Posto],tabCustoUnit[[#This Row],[Código do Posto]])</f>
        <v>62.641166666666663</v>
      </c>
      <c r="AA13" s="21">
        <f>IFERROR((tabCustoUnit[[#This Row],[Submódulo 2.1]]/tabCustoUnit[[#This Row],[MODULO 1 - REMUNERAÇÃO ]])*SUM(tabCustoUnit[[#This Row],[13º salário (titular)]:[Férias e Adicional de Férias (titular)]]),0)</f>
        <v>41.437131749999992</v>
      </c>
      <c r="AB13" s="21">
        <f>SUM(tabCustoUnit[[#This Row],[13º salário (titular)]:[Incidência do Submódulo 2.1 sobre 13º Salário, Férias e Adicional de Férias]])</f>
        <v>151.05917341666665</v>
      </c>
      <c r="AC13" s="22">
        <f>_xlfn.LET(_xlpm.VT,SUMIF(tabParametros[Código do Posto],tabCustoUnit[[#This Row],[Código do Posto]],tabParametros[Vale - Transporte])*2*20,
IF((_xlpm.VT-tabCustoUnit[[#This Row],[Salário Base]]*0.06)&gt;=0,(_xlpm.VT-tabCustoUnit[[#This Row],[Salário Base]]*0.06),0)
)</f>
        <v>223.3492</v>
      </c>
      <c r="AD13" s="22">
        <f>IF(SUMIF(tabParametros[Código do Posto],tabCustoUnit[[#This Row],[Código do Posto]],tabParametros[Vale - Alimentação])&lt;=0,0,
SUMIF(tabParametros[Código do Posto],tabCustoUnit[[#This Row],[Código do Posto]],tabParametros[Vale - Alimentação])*20-1)</f>
        <v>582</v>
      </c>
      <c r="AE13" s="22">
        <f>SUMIF(tabParametros[Código do Posto],tabCustoUnit[[#This Row],[Código do Posto]],tabParametros[Cesta Básica])</f>
        <v>0</v>
      </c>
      <c r="AF13" s="22">
        <f>SUMIF(tabParametros[Código do Posto],tabCustoUnit[[#This Row],[Código do Posto]],tabParametros[PAF])</f>
        <v>0</v>
      </c>
      <c r="AG13" s="22">
        <f>SUMIF(tabParametros[Código do Posto],tabCustoUnit[[#This Row],[Código do Posto]],tabParametros[PQM])</f>
        <v>0</v>
      </c>
      <c r="AH13" s="22">
        <f>SUMIF(tabParametros[Código do Posto],tabCustoUnit[[#This Row],[Código do Posto]],tabParametros[PAT])</f>
        <v>0</v>
      </c>
      <c r="AI13" s="22">
        <f>SUMIF(tabParametros[Código do Posto],tabCustoUnit[[#This Row],[Código do Posto]],tabParametros[Seguro de Vida])</f>
        <v>3.36</v>
      </c>
      <c r="AJ13" s="22">
        <f>SUMIF(tabParametros[Código do Posto],tabCustoUnit[[#This Row],[Código do Posto]],tabParametros[Despesas de Viagem])</f>
        <v>0</v>
      </c>
      <c r="AK13" s="22">
        <f>SUM(tabCustoUnit[[#This Row],[Vale - Transporte (Descontada parcela do empregado)]:[Despesas de Viagem]])</f>
        <v>808.70920000000001</v>
      </c>
      <c r="AL13" s="22">
        <f>tabCustoUnit[[#This Row],[Submódulo 2.1]]+tabCustoUnit[[#This Row],[Submódulo 2.2]]+tabCustoUnit[[#This Row],[Submódulo 2.3]]</f>
        <v>1172.8736224166666</v>
      </c>
      <c r="AM13" s="22">
        <f>SUMIF(tabParametros[Código do Posto],tabCustoUnit[[#This Row],[Código do Posto]],tabParametros[Aviso Prévio Indenizado (API) e Reflexo do Aviso Prévio Indenizado])*tabCustoUnit[[#This Row],[MODULO 1 - REMUNERAÇÃO ]]</f>
        <v>3.9530273735532404</v>
      </c>
      <c r="AN13" s="22">
        <f>SUMIF(tabParametros[Código do Posto],tabCustoUnit[[#This Row],[Código do Posto]],tabParametros[Incidência do FGTS sobre API e Reflexo do API])*tabCustoUnit[[#This Row],[MODULO 1 - REMUNERAÇÃO ]]</f>
        <v>0.31624218988425928</v>
      </c>
      <c r="AO13" s="22">
        <f>SUMIF(tabParametros[Código do Posto],tabCustoUnit[[#This Row],[Código do Posto]],tabParametros[Multa Rescisória do FGTS sobre o Aviso Prévio Indenizado])*tabCustoUnit[[#This Row],[MODULO 1 - REMUNERAÇÃO ]]</f>
        <v>0.12649687595370371</v>
      </c>
      <c r="AP13" s="22">
        <f>SUMIF(tabParametros[Código do Posto],tabCustoUnit[[#This Row],[Código do Posto]],tabParametros[Aviso Prévio Trabalhado - APT])*tabCustoUnit[[#This Row],[MODULO 1 - REMUNERAÇÃO ]]</f>
        <v>1.9731967500000003</v>
      </c>
      <c r="AQ13" s="22">
        <f>SUMIF(tabParametros[Código do Posto],tabCustoUnit[[#This Row],[Código do Posto]],tabParametros[Incidência dos encargos do submódulo 2.1 sobre Aviso Prévio Trabalhado])*tabCustoUnit[[#This Row],[MODULO 1 - REMUNERAÇÃO ]]</f>
        <v>0.74586837150000018</v>
      </c>
      <c r="AR13" s="22">
        <f>SUMIF(tabParametros[Código do Posto],tabCustoUnit[[#This Row],[Código do Posto]],tabParametros[Multa Rescisória do FGTS])*tabCustoUnit[[#This Row],[MODULO 1 - REMUNERAÇÃO ]]</f>
        <v>17.238849066666663</v>
      </c>
      <c r="AS13" s="22">
        <f>SUMIF(tabParametros[Código do Posto],tabCustoUnit[[#This Row],[Código do Posto]],tabParametros[Indenização Adicional (Art. 9º da Lei nº 7.238/84)])*tabCustoUnit[[#This Row],[MODULO 1 - REMUNERAÇÃO ]]</f>
        <v>0.46980875</v>
      </c>
      <c r="AT13" s="22">
        <f>SUM(tabCustoUnit[[#This Row],[Aviso Prévio Indenizado (API) e Reflexo do Aviso Prévio Indenizado]:[Indenização Adicional (Art. 9º da Lei nº 7.238/84)]])</f>
        <v>24.823489377557866</v>
      </c>
      <c r="AU13" s="22">
        <f>SUMIF(tabParametros[Código do Posto],tabCustoUnit[[#This Row],[Código do Posto]],tabParametros[Ausência por Doença])*tabCustoUnit[[#This Row],[MODULO 1 - REMUNERAÇÃO ]]</f>
        <v>4.7607286666666662</v>
      </c>
      <c r="AV13" s="22">
        <f>SUMIF(tabParametros[Código do Posto],tabCustoUnit[[#This Row],[Código do Posto]],tabParametros[Ausências Legais])*tabCustoUnit[[#This Row],[MODULO 1 - REMUNERAÇÃO ]]</f>
        <v>1.1432012916666665</v>
      </c>
      <c r="AW13" s="22">
        <f>SUMIF(tabParametros[Código do Posto],tabCustoUnit[[#This Row],[Código do Posto]],tabParametros[Licença Paternidade])*tabCustoUnit[[#This Row],[MODULO 1 - REMUNERAÇÃO ]]</f>
        <v>9.6310793749999998E-2</v>
      </c>
      <c r="AX13" s="22">
        <f>SUMIF(tabParametros[Código do Posto],tabCustoUnit[[#This Row],[Código do Posto]],tabParametros[Ausência por Acidente de Trabalho])*tabCustoUnit[[#This Row],[MODULO 1 - REMUNERAÇÃO ]]</f>
        <v>0.1174521875</v>
      </c>
      <c r="AY13" s="22">
        <f>SUMIF(tabParametros[Código do Posto],tabCustoUnit[[#This Row],[Código do Posto]],tabParametros[Férias, Adicional de Férias e 13º  com empregada em gozo de Licença Maternidade])*tabCustoUnit[[#This Row],[MODULO 1 - REMUNERAÇÃO ]]</f>
        <v>0.73081361111111109</v>
      </c>
      <c r="AZ13" s="22">
        <f>SUMIF(tabParametros[Código do Posto],tabCustoUnit[[#This Row],[Código do Posto]],tabParametros[Incidência do Submódulo 2.1 sobre Ausências Legais])*tabCustoUnit[[#This Row],[MODULO 1 - REMUNERAÇÃO ]]</f>
        <v>2.5887354761625003</v>
      </c>
      <c r="BA13" s="22">
        <f>SUM(tabCustoUnit[[#This Row],[Ausência por Doença]:[Incidência do Submódulo 2.1 sobre Ausências Legais]])</f>
        <v>9.4372420268569428</v>
      </c>
      <c r="BB13" s="22">
        <f>SUMIF(tabParametros[Código do Posto],tabCustoUnit[[#This Row],[Código do Posto]],tabParametros[Intervalo para Repouso ou Alimentação])</f>
        <v>0</v>
      </c>
      <c r="BC13" s="22">
        <f>tabCustoUnit[[#This Row],[Intervalo para Repouso ou Alimentação]]</f>
        <v>0</v>
      </c>
      <c r="BD13" s="22">
        <f>IF(VLOOKUP(tabCustoUnit[[#This Row],[Código do Posto]],PARAMETROS!$A$4:$BJ$255,7,0)&lt;=0,0,
IFERROR((tabCustoUnit[[#This Row],[MODULO 1 - REMUNERAÇÃO ]]*VLOOKUP(tabCustoUnit[[#This Row],[Código do Posto]],PARAMETROS!$A$4:$BJ$255,49,0))/(VLOOKUP(tabCustoUnit[[#This Row],[Código do Posto]],PARAMETROS!$A$4:$BJ$255,7,0)*VLOOKUP(tabCustoUnit[[#This Row],[Código do Posto]],PARAMETROS!$A$4:$BJ$255,8,0)),0)
)</f>
        <v>0</v>
      </c>
      <c r="BE13" s="22">
        <f>tabCustoUnit[[#This Row],[Suspensão Temporária do Contrato de Trabalho]]</f>
        <v>0</v>
      </c>
      <c r="BF13" s="22">
        <f>tabCustoUnit[[#This Row],[Submódulo 4.1]]+tabCustoUnit[[#This Row],[Submódulo 4.2]]+tabCustoUnit[[#This Row],[Submódulo 4.3]]</f>
        <v>9.4372420268569428</v>
      </c>
      <c r="BG13" s="22">
        <f>VLOOKUP(tabCustoUnit[[#This Row],[Código do Posto]],tabParametros[],MATCH(tabCustoUnit[[#Headers],[Uniformes e EPIs]],tabParametros[#Headers],0),0)</f>
        <v>62.806666666666665</v>
      </c>
      <c r="BH13" s="22">
        <f>VLOOKUP(tabCustoUnit[[#This Row],[Código do Posto]],tabParametros[],MATCH(tabCustoUnit[[#Headers],[Materiais de Consumo]],tabParametros[#Headers],0),0)</f>
        <v>12.108481690426325</v>
      </c>
      <c r="BI13" s="22">
        <f>VLOOKUP(tabCustoUnit[[#This Row],[Código do Posto]],tabParametros[],MATCH(tabCustoUnit[[#Headers],[Máquinas e Equipamentos (depreciação)]],tabParametros[#Headers],0),0)</f>
        <v>21.998657016417809</v>
      </c>
      <c r="BJ13" s="22">
        <f>VLOOKUP(tabCustoUnit[[#This Row],[Código do Posto]],tabParametros[],MATCH(tabCustoUnit[[#Headers],[Produtos de Limpeza e Materiais de Higiene Pessoal]],tabParametros[#Headers],0),0)</f>
        <v>235.31984072022155</v>
      </c>
      <c r="BK13" s="22">
        <f>VLOOKUP(tabCustoUnit[[#This Row],[Código do Posto]],tabParametros[],MATCH(tabCustoUnit[[#Headers],[Outros (especificar)]],tabParametros[#Headers],0),0)</f>
        <v>0</v>
      </c>
      <c r="BL13" s="22">
        <f>SUM(tabCustoUnit[[#This Row],[Uniformes e EPIs]:[Outros (especificar)]])</f>
        <v>332.23364609373232</v>
      </c>
      <c r="BM13" s="22">
        <f>tabCustoUnit[[#This Row],[MODULO 1 - REMUNERAÇÃO ]]+tabCustoUnit[[#This Row],[MÓDULO 2 - Total Encargos e Benefícios mensais e diários]]+tabCustoUnit[[#This Row],[MÓDULO 3 – PROVISÃO PARA RESCISÃO]]+tabCustoUnit[[#This Row],[MÓDULO 4 – CUSTO DE REPOSIÇÃO DO PROFISSIONAL AUSENTE]]+tabCustoUnit[[#This Row],[MÓDULO 5 – INSUMOS DIVERSOS]]</f>
        <v>2103.1384999148136</v>
      </c>
      <c r="BN13" s="22">
        <f>VLOOKUP(tabCustoUnit[[#This Row],[Código do Posto]],tabParametros[],MATCH(tabCustoUnit[[#Headers],[Custos Indiretos]],tabParametros[#Headers],0),0)</f>
        <v>189.64880140242613</v>
      </c>
      <c r="BO13" s="22">
        <f>VLOOKUP(tabCustoUnit[[#This Row],[Código do Posto]],tabParametros[],MATCH(tabCustoUnit[[#Headers],[Lucro]],tabParametros[#Headers],0),0)</f>
        <v>159.30499317803796</v>
      </c>
      <c r="BP13" s="26">
        <f>((100/((1-tabCustoUnit[[#This Row],[Resumo de Alíquotas (PIS+CONFINS+ISS)]]))-100)*VLOOKUP(tabCustoUnit[[#This Row],[Código do Posto]],tabParametros[],MATCH(tabCustoUnit[[#Headers],[COFINS]],tabParametros[#Headers],0),0))/(tabCustoUnit[[#This Row],[Resumo de Alíquotas (PIS+CONFINS+ISS)]]*100)</f>
        <v>8.8629737609329504E-2</v>
      </c>
      <c r="BQ13" s="26">
        <f>((100/((100-(tabCustoUnit[[#This Row],[Resumo de Alíquotas (PIS+CONFINS+ISS)]]*100))%)-100)*VLOOKUP(tabCustoUnit[[#This Row],[Código do Posto]],tabParametros[],MATCH(tabCustoUnit[[#Headers],[PIS]],tabParametros[#Headers],0),0))/(tabCustoUnit[[#This Row],[Resumo de Alíquotas (PIS+CONFINS+ISS)]]*100)</f>
        <v>1.9241982507288629E-2</v>
      </c>
      <c r="BR13" s="28">
        <f>VLOOKUP(tabCustoUnit[[#This Row],[Código do Posto]],tabParametros[],MATCH(tabCustoUnit[[#Headers],[ISS]],tabParametros[#Headers],0),0)</f>
        <v>0.05</v>
      </c>
      <c r="BS13" s="26">
        <f>(((100/((100-(tabCustoUnit[[#This Row],[Resumo de Alíquotas (PIS+CONFINS+ISS)]]*100))%)-100)*tabCustoUnit[[#This Row],[ISS]])/tabCustoUnit[[#This Row],[Resumo de Alíquotas (PIS+CONFINS+ISS)]])/100</f>
        <v>5.8309037900874633E-2</v>
      </c>
      <c r="BT13" s="26">
        <f>(VLOOKUP(tabCustoUnit[[#This Row],[Código do Posto]],tabParametros[],MATCH(tabCustoUnit[[#Headers],[COFINS]],tabParametros[#Headers],0),0)+
VLOOKUP(tabCustoUnit[[#This Row],[Código do Posto]],tabParametros[],MATCH(tabCustoUnit[[#Headers],[PIS]],tabParametros[#Headers],0),0)+
VLOOKUP(tabCustoUnit[[#This Row],[Código do Posto]],tabParametros[],MATCH(tabCustoUnit[[#Headers],[ISS]],tabParametros[#Headers],0),0))</f>
        <v>0.14250000000000002</v>
      </c>
      <c r="BU13" s="138">
        <f>tabCustoUnit[[#This Row],[COFINS]]+tabCustoUnit[[#This Row],[PIS]]+tabCustoUnit[[#This Row],[ISS (Conversão Alíquota s/ fatura)]]</f>
        <v>0.16618075801749277</v>
      </c>
      <c r="BV13" s="22">
        <f>(tabCustoUnit[[#This Row],[TOTAL MÓDULOS 1+2+3+4+5]]+tabCustoUnit[[#This Row],[Custos Indiretos]]+tabCustoUnit[[#This Row],[Lucro]])*tabCustoUnit[[#This Row],[PIS + COFINS + ISS (Total Conversão  Alíquota s/ Fatura)]]</f>
        <v>407.49055622807833</v>
      </c>
      <c r="BW13" s="22">
        <f>tabCustoUnit[[#This Row],[Custos Indiretos]]+tabCustoUnit[[#This Row],[Lucro]]+tabCustoUnit[[#This Row],[Valor dos Tributos (ISS, PIS, CONFINS)]]</f>
        <v>756.44435080854237</v>
      </c>
      <c r="BX13" s="22">
        <f>tabCustoUnit[[#This Row],[TOTAL MÓDULOS 1+2+3+4+5]]+tabCustoUnit[[#This Row],[MÓDULO 6 – CUSTOS INDIRETOS, TRIBUTOS E LUCRO]]</f>
        <v>2859.5828507233559</v>
      </c>
      <c r="BY13" s="22">
        <f>tabCustoUnit[[#This Row],[CUSTO TOTAL MENSAL]]*12</f>
        <v>34314.994208680269</v>
      </c>
      <c r="BZ13" s="24">
        <f>VLOOKUP(tabCustoUnit[[#This Row],[Código do Posto]],tabParametros[],MATCH(tabCustoUnit[[#Headers],[ANO DA CCT]],tabParametros[#Headers],0),0)</f>
        <v>45658</v>
      </c>
      <c r="CA13" s="25" t="str">
        <f>VLOOKUP(tabCustoUnit[[#This Row],[Código do Posto]],tabParametros[],MATCH(tabCustoUnit[[#Headers],[Nº DE PEDIDO DA CCT]],tabParametros[#Headers],0),0)</f>
        <v>-</v>
      </c>
      <c r="CB13" s="25" t="str">
        <f>VLOOKUP(tabCustoUnit[[#This Row],[Código do Posto]],tabParametros[],MATCH(tabCustoUnit[[#Headers],[TERMO ADITIVO ALTERAÇÃO DA CCT]],tabParametros[#Headers],0),0)</f>
        <v>-</v>
      </c>
    </row>
    <row r="14" spans="1:80" x14ac:dyDescent="0.25">
      <c r="A14" s="20" t="s">
        <v>1360</v>
      </c>
      <c r="B14" t="s">
        <v>20</v>
      </c>
      <c r="C14" t="s">
        <v>1244</v>
      </c>
      <c r="D14" t="s">
        <v>1023</v>
      </c>
      <c r="E14" s="20" t="s">
        <v>9</v>
      </c>
      <c r="F14" s="20" t="s">
        <v>10</v>
      </c>
      <c r="G14" s="21">
        <v>798.14</v>
      </c>
      <c r="H14" s="21">
        <v>0</v>
      </c>
      <c r="I14" s="21">
        <v>0</v>
      </c>
      <c r="J14" s="21">
        <v>0</v>
      </c>
      <c r="K14" s="21">
        <v>0</v>
      </c>
      <c r="L14" s="21">
        <v>0</v>
      </c>
      <c r="M14" s="21">
        <v>0</v>
      </c>
      <c r="N14" s="21">
        <v>26.120899999999999</v>
      </c>
      <c r="O14" s="21">
        <f>SUM(tabCustoUnit[[#This Row],[Salário Base]:[Adicional de Acúmulo de função]])</f>
        <v>824.26089999999999</v>
      </c>
      <c r="P14" s="21">
        <f>tabCustoUnit[[#This Row],[MODULO 1 - REMUNERAÇÃO ]]*SUMIFS(tabParametros[INSS],tabParametros[Código do Posto],tabCustoUnit[[#This Row],[Código do Posto]])</f>
        <v>164.85218</v>
      </c>
      <c r="Q14" s="21">
        <f>tabCustoUnit[[#This Row],[MODULO 1 - REMUNERAÇÃO ]]*SUMIFS(tabParametros[SESI OU SESC],tabParametros[Código do Posto],tabCustoUnit[[#This Row],[Código do Posto]])</f>
        <v>12.363913499999999</v>
      </c>
      <c r="R14" s="21">
        <f>tabCustoUnit[[#This Row],[MODULO 1 - REMUNERAÇÃO ]]*SUMIFS(tabParametros[SENAI OU SENAC],tabParametros[Código do Posto],tabCustoUnit[[#This Row],[Código do Posto]])</f>
        <v>8.2426089999999999</v>
      </c>
      <c r="S14" s="21">
        <f>tabCustoUnit[[#This Row],[MODULO 1 - REMUNERAÇÃO ]]*SUMIFS(tabParametros[INCRA],tabParametros[Código do Posto],tabCustoUnit[[#This Row],[Código do Posto]])</f>
        <v>1.6485217999999999</v>
      </c>
      <c r="T14" s="21">
        <f>tabCustoUnit[[#This Row],[MODULO 1 - REMUNERAÇÃO ]]*SUMIFS(tabParametros[Salário Educação],tabParametros[Código do Posto],tabCustoUnit[[#This Row],[Código do Posto]])</f>
        <v>20.606522500000001</v>
      </c>
      <c r="U14" s="21">
        <f>tabCustoUnit[[#This Row],[MODULO 1 - REMUNERAÇÃO ]]*SUMIFS(tabParametros[FGTS],tabParametros[Código do Posto],tabCustoUnit[[#This Row],[Código do Posto]])</f>
        <v>65.940871999999999</v>
      </c>
      <c r="V14" s="21">
        <f>tabCustoUnit[[#This Row],[MODULO 1 - REMUNERAÇÃO ]]*SUMIFS(tabParametros[RAT Ajustado],tabParametros[Código do Posto],tabCustoUnit[[#This Row],[Código do Posto]])</f>
        <v>32.970435999999999</v>
      </c>
      <c r="W14" s="21">
        <f>tabCustoUnit[[#This Row],[MODULO 1 - REMUNERAÇÃO ]]*SUMIFS(tabParametros[SEBRAE],tabParametros[Código do Posto],tabCustoUnit[[#This Row],[Código do Posto]])</f>
        <v>4.9455654000000004</v>
      </c>
      <c r="X14" s="21">
        <f>SUM(tabCustoUnit[[#This Row],[INSS]:[SEBRAE]])</f>
        <v>311.57062020000001</v>
      </c>
      <c r="Y14" s="21">
        <f>tabCustoUnit[[#This Row],[MODULO 1 - REMUNERAÇÃO ]]*SUMIFS(tabParametros[13º salário (titular)],tabParametros[Código do Posto],tabCustoUnit[[#This Row],[Código do Posto]])</f>
        <v>68.688408333333328</v>
      </c>
      <c r="Z14" s="21">
        <f>tabCustoUnit[[#This Row],[MODULO 1 - REMUNERAÇÃO ]]*SUMIFS(tabParametros[Férias e Adicional de Férias (titular)],tabParametros[Código do Posto],tabCustoUnit[[#This Row],[Código do Posto]])</f>
        <v>91.584544444444433</v>
      </c>
      <c r="AA14" s="21">
        <f>IFERROR((tabCustoUnit[[#This Row],[Submódulo 2.1]]/tabCustoUnit[[#This Row],[MODULO 1 - REMUNERAÇÃO ]])*SUM(tabCustoUnit[[#This Row],[13º salário (titular)]:[Férias e Adicional de Férias (titular)]]),0)</f>
        <v>60.583176149999993</v>
      </c>
      <c r="AB14" s="21">
        <f>SUM(tabCustoUnit[[#This Row],[13º salário (titular)]:[Incidência do Submódulo 2.1 sobre 13º Salário, Férias e Adicional de Férias]])</f>
        <v>220.85612892777775</v>
      </c>
      <c r="AC14" s="22">
        <f>_xlfn.LET(_xlpm.VT,SUMIF(tabParametros[Código do Posto],tabCustoUnit[[#This Row],[Código do Posto]],tabParametros[Vale - Transporte])*2*20,
IF((_xlpm.VT-tabCustoUnit[[#This Row],[Salário Base]]*0.06)&gt;=0,(_xlpm.VT-tabCustoUnit[[#This Row],[Salário Base]]*0.06),0)
)</f>
        <v>208.11160000000001</v>
      </c>
      <c r="AD14" s="22">
        <f>IF(SUMIF(tabParametros[Código do Posto],tabCustoUnit[[#This Row],[Código do Posto]],tabParametros[Vale - Alimentação])&lt;=0,0,
SUMIF(tabParametros[Código do Posto],tabCustoUnit[[#This Row],[Código do Posto]],tabParametros[Vale - Alimentação])*20-1)</f>
        <v>582</v>
      </c>
      <c r="AE14" s="22">
        <f>SUMIF(tabParametros[Código do Posto],tabCustoUnit[[#This Row],[Código do Posto]],tabParametros[Cesta Básica])</f>
        <v>0</v>
      </c>
      <c r="AF14" s="22">
        <f>SUMIF(tabParametros[Código do Posto],tabCustoUnit[[#This Row],[Código do Posto]],tabParametros[PAF])</f>
        <v>0</v>
      </c>
      <c r="AG14" s="22">
        <f>SUMIF(tabParametros[Código do Posto],tabCustoUnit[[#This Row],[Código do Posto]],tabParametros[PQM])</f>
        <v>0</v>
      </c>
      <c r="AH14" s="22">
        <f>SUMIF(tabParametros[Código do Posto],tabCustoUnit[[#This Row],[Código do Posto]],tabParametros[PAT])</f>
        <v>0</v>
      </c>
      <c r="AI14" s="22">
        <f>SUMIF(tabParametros[Código do Posto],tabCustoUnit[[#This Row],[Código do Posto]],tabParametros[Seguro de Vida])</f>
        <v>3.36</v>
      </c>
      <c r="AJ14" s="22">
        <f>SUMIF(tabParametros[Código do Posto],tabCustoUnit[[#This Row],[Código do Posto]],tabParametros[Despesas de Viagem])</f>
        <v>0</v>
      </c>
      <c r="AK14" s="22">
        <f>SUM(tabCustoUnit[[#This Row],[Vale - Transporte (Descontada parcela do empregado)]:[Despesas de Viagem]])</f>
        <v>793.47159999999997</v>
      </c>
      <c r="AL14" s="22">
        <f>tabCustoUnit[[#This Row],[Submódulo 2.1]]+tabCustoUnit[[#This Row],[Submódulo 2.2]]+tabCustoUnit[[#This Row],[Submódulo 2.3]]</f>
        <v>1325.8983491277777</v>
      </c>
      <c r="AM14" s="22">
        <f>SUMIF(tabParametros[Código do Posto],tabCustoUnit[[#This Row],[Código do Posto]],tabParametros[Aviso Prévio Indenizado (API) e Reflexo do Aviso Prévio Indenizado])*tabCustoUnit[[#This Row],[MODULO 1 - REMUNERAÇÃO ]]</f>
        <v>5.7795253576581791</v>
      </c>
      <c r="AN14" s="22">
        <f>SUMIF(tabParametros[Código do Posto],tabCustoUnit[[#This Row],[Código do Posto]],tabParametros[Incidência do FGTS sobre API e Reflexo do API])*tabCustoUnit[[#This Row],[MODULO 1 - REMUNERAÇÃO ]]</f>
        <v>0.46236202861265435</v>
      </c>
      <c r="AO14" s="22">
        <f>SUMIF(tabParametros[Código do Posto],tabCustoUnit[[#This Row],[Código do Posto]],tabParametros[Multa Rescisória do FGTS sobre o Aviso Prévio Indenizado])*tabCustoUnit[[#This Row],[MODULO 1 - REMUNERAÇÃO ]]</f>
        <v>0.18494481144506175</v>
      </c>
      <c r="AP14" s="22">
        <f>SUMIF(tabParametros[Código do Posto],tabCustoUnit[[#This Row],[Código do Posto]],tabParametros[Aviso Prévio Trabalhado - APT])*tabCustoUnit[[#This Row],[MODULO 1 - REMUNERAÇÃO ]]</f>
        <v>2.8849131500000005</v>
      </c>
      <c r="AQ14" s="22">
        <f>SUMIF(tabParametros[Código do Posto],tabCustoUnit[[#This Row],[Código do Posto]],tabParametros[Incidência dos encargos do submódulo 2.1 sobre Aviso Prévio Trabalhado])*tabCustoUnit[[#This Row],[MODULO 1 - REMUNERAÇÃO ]]</f>
        <v>1.0904971707000004</v>
      </c>
      <c r="AR14" s="22">
        <f>SUMIF(tabParametros[Código do Posto],tabCustoUnit[[#This Row],[Código do Posto]],tabParametros[Multa Rescisória do FGTS])*tabCustoUnit[[#This Row],[MODULO 1 - REMUNERAÇÃO ]]</f>
        <v>25.204066631111107</v>
      </c>
      <c r="AS14" s="22">
        <f>SUMIF(tabParametros[Código do Posto],tabCustoUnit[[#This Row],[Código do Posto]],tabParametros[Indenização Adicional (Art. 9º da Lei nº 7.238/84)])*tabCustoUnit[[#This Row],[MODULO 1 - REMUNERAÇÃO ]]</f>
        <v>0.6868840833333334</v>
      </c>
      <c r="AT14" s="22">
        <f>SUM(tabCustoUnit[[#This Row],[Aviso Prévio Indenizado (API) e Reflexo do Aviso Prévio Indenizado]:[Indenização Adicional (Art. 9º da Lei nº 7.238/84)]])</f>
        <v>36.293193232860339</v>
      </c>
      <c r="AU14" s="22">
        <f>SUMIF(tabParametros[Código do Posto],tabCustoUnit[[#This Row],[Código do Posto]],tabParametros[Ausência por Doença])*tabCustoUnit[[#This Row],[MODULO 1 - REMUNERAÇÃO ]]</f>
        <v>6.9604253777777769</v>
      </c>
      <c r="AV14" s="22">
        <f>SUMIF(tabParametros[Código do Posto],tabCustoUnit[[#This Row],[Código do Posto]],tabParametros[Ausências Legais])*tabCustoUnit[[#This Row],[MODULO 1 - REMUNERAÇÃO ]]</f>
        <v>1.671417936111111</v>
      </c>
      <c r="AW14" s="22">
        <f>SUMIF(tabParametros[Código do Posto],tabCustoUnit[[#This Row],[Código do Posto]],tabParametros[Licença Paternidade])*tabCustoUnit[[#This Row],[MODULO 1 - REMUNERAÇÃO ]]</f>
        <v>0.14081123708333332</v>
      </c>
      <c r="AX14" s="22">
        <f>SUMIF(tabParametros[Código do Posto],tabCustoUnit[[#This Row],[Código do Posto]],tabParametros[Ausência por Acidente de Trabalho])*tabCustoUnit[[#This Row],[MODULO 1 - REMUNERAÇÃO ]]</f>
        <v>0.17172102083333335</v>
      </c>
      <c r="AY14" s="22">
        <f>SUMIF(tabParametros[Código do Posto],tabCustoUnit[[#This Row],[Código do Posto]],tabParametros[Férias, Adicional de Férias e 13º  com empregada em gozo de Licença Maternidade])*tabCustoUnit[[#This Row],[MODULO 1 - REMUNERAÇÃO ]]</f>
        <v>1.0684863518518517</v>
      </c>
      <c r="AZ14" s="22">
        <f>SUMIF(tabParametros[Código do Posto],tabCustoUnit[[#This Row],[Código do Posto]],tabParametros[Incidência do Submódulo 2.1 sobre Ausências Legais])*tabCustoUnit[[#This Row],[MODULO 1 - REMUNERAÇÃO ]]</f>
        <v>3.7848618071425006</v>
      </c>
      <c r="BA14" s="22">
        <f>SUM(tabCustoUnit[[#This Row],[Ausência por Doença]:[Incidência do Submódulo 2.1 sobre Ausências Legais]])</f>
        <v>13.797723730799909</v>
      </c>
      <c r="BB14" s="22">
        <f>SUMIF(tabParametros[Código do Posto],tabCustoUnit[[#This Row],[Código do Posto]],tabParametros[Intervalo para Repouso ou Alimentação])</f>
        <v>0</v>
      </c>
      <c r="BC14" s="22">
        <f>tabCustoUnit[[#This Row],[Intervalo para Repouso ou Alimentação]]</f>
        <v>0</v>
      </c>
      <c r="BD14" s="22">
        <f>IF(VLOOKUP(tabCustoUnit[[#This Row],[Código do Posto]],PARAMETROS!$A$4:$BJ$255,7,0)&lt;=0,0,
IFERROR((tabCustoUnit[[#This Row],[MODULO 1 - REMUNERAÇÃO ]]*VLOOKUP(tabCustoUnit[[#This Row],[Código do Posto]],PARAMETROS!$A$4:$BJ$255,49,0))/(VLOOKUP(tabCustoUnit[[#This Row],[Código do Posto]],PARAMETROS!$A$4:$BJ$255,7,0)*VLOOKUP(tabCustoUnit[[#This Row],[Código do Posto]],PARAMETROS!$A$4:$BJ$255,8,0)),0)
)</f>
        <v>0</v>
      </c>
      <c r="BE14" s="22">
        <f>tabCustoUnit[[#This Row],[Suspensão Temporária do Contrato de Trabalho]]</f>
        <v>0</v>
      </c>
      <c r="BF14" s="22">
        <f>tabCustoUnit[[#This Row],[Submódulo 4.1]]+tabCustoUnit[[#This Row],[Submódulo 4.2]]+tabCustoUnit[[#This Row],[Submódulo 4.3]]</f>
        <v>13.797723730799909</v>
      </c>
      <c r="BG14" s="22">
        <f>VLOOKUP(tabCustoUnit[[#This Row],[Código do Posto]],tabParametros[],MATCH(tabCustoUnit[[#Headers],[Uniformes e EPIs]],tabParametros[#Headers],0),0)</f>
        <v>62.806666666666665</v>
      </c>
      <c r="BH14" s="22">
        <f>VLOOKUP(tabCustoUnit[[#This Row],[Código do Posto]],tabParametros[],MATCH(tabCustoUnit[[#Headers],[Materiais de Consumo]],tabParametros[#Headers],0),0)</f>
        <v>17.759106479291944</v>
      </c>
      <c r="BI14" s="22">
        <f>VLOOKUP(tabCustoUnit[[#This Row],[Código do Posto]],tabParametros[],MATCH(tabCustoUnit[[#Headers],[Máquinas e Equipamentos (depreciação)]],tabParametros[#Headers],0),0)</f>
        <v>32.264696957412788</v>
      </c>
      <c r="BJ14" s="22">
        <f>VLOOKUP(tabCustoUnit[[#This Row],[Código do Posto]],tabParametros[],MATCH(tabCustoUnit[[#Headers],[Produtos de Limpeza e Materiais de Higiene Pessoal]],tabParametros[#Headers],0),0)</f>
        <v>345.13576638965827</v>
      </c>
      <c r="BK14" s="22">
        <f>VLOOKUP(tabCustoUnit[[#This Row],[Código do Posto]],tabParametros[],MATCH(tabCustoUnit[[#Headers],[Outros (especificar)]],tabParametros[#Headers],0),0)</f>
        <v>0</v>
      </c>
      <c r="BL14" s="22">
        <f>SUM(tabCustoUnit[[#This Row],[Uniformes e EPIs]:[Outros (especificar)]])</f>
        <v>457.96623649302967</v>
      </c>
      <c r="BM14" s="22">
        <f>tabCustoUnit[[#This Row],[MODULO 1 - REMUNERAÇÃO ]]+tabCustoUnit[[#This Row],[MÓDULO 2 - Total Encargos e Benefícios mensais e diários]]+tabCustoUnit[[#This Row],[MÓDULO 3 – PROVISÃO PARA RESCISÃO]]+tabCustoUnit[[#This Row],[MÓDULO 4 – CUSTO DE REPOSIÇÃO DO PROFISSIONAL AUSENTE]]+tabCustoUnit[[#This Row],[MÓDULO 5 – INSUMOS DIVERSOS]]</f>
        <v>2658.2164025844677</v>
      </c>
      <c r="BN14" s="22">
        <f>VLOOKUP(tabCustoUnit[[#This Row],[Código do Posto]],tabParametros[],MATCH(tabCustoUnit[[#Headers],[Custos Indiretos]],tabParametros[#Headers],0),0)</f>
        <v>189.64880140242613</v>
      </c>
      <c r="BO14" s="22">
        <f>VLOOKUP(tabCustoUnit[[#This Row],[Código do Posto]],tabParametros[],MATCH(tabCustoUnit[[#Headers],[Lucro]],tabParametros[#Headers],0),0)</f>
        <v>159.30499317803796</v>
      </c>
      <c r="BP14" s="26">
        <f>((100/((1-tabCustoUnit[[#This Row],[Resumo de Alíquotas (PIS+CONFINS+ISS)]]))-100)*VLOOKUP(tabCustoUnit[[#This Row],[Código do Posto]],tabParametros[],MATCH(tabCustoUnit[[#Headers],[COFINS]],tabParametros[#Headers],0),0))/(tabCustoUnit[[#This Row],[Resumo de Alíquotas (PIS+CONFINS+ISS)]]*100)</f>
        <v>8.8629737609329504E-2</v>
      </c>
      <c r="BQ14" s="26">
        <f>((100/((100-(tabCustoUnit[[#This Row],[Resumo de Alíquotas (PIS+CONFINS+ISS)]]*100))%)-100)*VLOOKUP(tabCustoUnit[[#This Row],[Código do Posto]],tabParametros[],MATCH(tabCustoUnit[[#Headers],[PIS]],tabParametros[#Headers],0),0))/(tabCustoUnit[[#This Row],[Resumo de Alíquotas (PIS+CONFINS+ISS)]]*100)</f>
        <v>1.9241982507288629E-2</v>
      </c>
      <c r="BR14" s="28">
        <f>VLOOKUP(tabCustoUnit[[#This Row],[Código do Posto]],tabParametros[],MATCH(tabCustoUnit[[#Headers],[ISS]],tabParametros[#Headers],0),0)</f>
        <v>0.05</v>
      </c>
      <c r="BS14" s="26">
        <f>(((100/((100-(tabCustoUnit[[#This Row],[Resumo de Alíquotas (PIS+CONFINS+ISS)]]*100))%)-100)*tabCustoUnit[[#This Row],[ISS]])/tabCustoUnit[[#This Row],[Resumo de Alíquotas (PIS+CONFINS+ISS)]])/100</f>
        <v>5.8309037900874633E-2</v>
      </c>
      <c r="BT14" s="26">
        <f>(VLOOKUP(tabCustoUnit[[#This Row],[Código do Posto]],tabParametros[],MATCH(tabCustoUnit[[#Headers],[COFINS]],tabParametros[#Headers],0),0)+
VLOOKUP(tabCustoUnit[[#This Row],[Código do Posto]],tabParametros[],MATCH(tabCustoUnit[[#Headers],[PIS]],tabParametros[#Headers],0),0)+
VLOOKUP(tabCustoUnit[[#This Row],[Código do Posto]],tabParametros[],MATCH(tabCustoUnit[[#Headers],[ISS]],tabParametros[#Headers],0),0))</f>
        <v>0.14250000000000002</v>
      </c>
      <c r="BU14" s="138">
        <f>tabCustoUnit[[#This Row],[COFINS]]+tabCustoUnit[[#This Row],[PIS]]+tabCustoUnit[[#This Row],[ISS (Conversão Alíquota s/ fatura)]]</f>
        <v>0.16618075801749277</v>
      </c>
      <c r="BV14" s="22">
        <f>(tabCustoUnit[[#This Row],[TOTAL MÓDULOS 1+2+3+4+5]]+tabCustoUnit[[#This Row],[Custos Indiretos]]+tabCustoUnit[[#This Row],[Lucro]])*tabCustoUnit[[#This Row],[PIS + COFINS + ISS (Total Conversão  Alíquota s/ Fatura)]]</f>
        <v>499.73382285248152</v>
      </c>
      <c r="BW14" s="22">
        <f>tabCustoUnit[[#This Row],[Custos Indiretos]]+tabCustoUnit[[#This Row],[Lucro]]+tabCustoUnit[[#This Row],[Valor dos Tributos (ISS, PIS, CONFINS)]]</f>
        <v>848.68761743294567</v>
      </c>
      <c r="BX14" s="22">
        <f>tabCustoUnit[[#This Row],[TOTAL MÓDULOS 1+2+3+4+5]]+tabCustoUnit[[#This Row],[MÓDULO 6 – CUSTOS INDIRETOS, TRIBUTOS E LUCRO]]</f>
        <v>3506.9040200174131</v>
      </c>
      <c r="BY14" s="22">
        <f>tabCustoUnit[[#This Row],[CUSTO TOTAL MENSAL]]*12</f>
        <v>42082.848240208958</v>
      </c>
      <c r="BZ14" s="24">
        <f>VLOOKUP(tabCustoUnit[[#This Row],[Código do Posto]],tabParametros[],MATCH(tabCustoUnit[[#Headers],[ANO DA CCT]],tabParametros[#Headers],0),0)</f>
        <v>45658</v>
      </c>
      <c r="CA14" s="25" t="str">
        <f>VLOOKUP(tabCustoUnit[[#This Row],[Código do Posto]],tabParametros[],MATCH(tabCustoUnit[[#Headers],[Nº DE PEDIDO DA CCT]],tabParametros[#Headers],0),0)</f>
        <v>-</v>
      </c>
      <c r="CB14" s="25" t="str">
        <f>VLOOKUP(tabCustoUnit[[#This Row],[Código do Posto]],tabParametros[],MATCH(tabCustoUnit[[#Headers],[TERMO ADITIVO ALTERAÇÃO DA CCT]],tabParametros[#Headers],0),0)</f>
        <v>-</v>
      </c>
    </row>
    <row r="15" spans="1:80" x14ac:dyDescent="0.25">
      <c r="A15" s="20" t="s">
        <v>1361</v>
      </c>
      <c r="B15" t="s">
        <v>21</v>
      </c>
      <c r="C15" t="s">
        <v>1244</v>
      </c>
      <c r="D15" t="s">
        <v>1023</v>
      </c>
      <c r="E15" s="20" t="s">
        <v>9</v>
      </c>
      <c r="F15" s="20" t="s">
        <v>10</v>
      </c>
      <c r="G15" s="21">
        <v>798.14</v>
      </c>
      <c r="H15" s="21">
        <v>0</v>
      </c>
      <c r="I15" s="21">
        <v>0</v>
      </c>
      <c r="J15" s="21">
        <v>0</v>
      </c>
      <c r="K15" s="21">
        <v>0</v>
      </c>
      <c r="L15" s="21">
        <v>0</v>
      </c>
      <c r="M15" s="21">
        <v>0</v>
      </c>
      <c r="N15" s="21">
        <v>26.120899999999999</v>
      </c>
      <c r="O15" s="21">
        <f>SUM(tabCustoUnit[[#This Row],[Salário Base]:[Adicional de Acúmulo de função]])</f>
        <v>824.26089999999999</v>
      </c>
      <c r="P15" s="21">
        <f>tabCustoUnit[[#This Row],[MODULO 1 - REMUNERAÇÃO ]]*SUMIFS(tabParametros[INSS],tabParametros[Código do Posto],tabCustoUnit[[#This Row],[Código do Posto]])</f>
        <v>164.85218</v>
      </c>
      <c r="Q15" s="21">
        <f>tabCustoUnit[[#This Row],[MODULO 1 - REMUNERAÇÃO ]]*SUMIFS(tabParametros[SESI OU SESC],tabParametros[Código do Posto],tabCustoUnit[[#This Row],[Código do Posto]])</f>
        <v>12.363913499999999</v>
      </c>
      <c r="R15" s="21">
        <f>tabCustoUnit[[#This Row],[MODULO 1 - REMUNERAÇÃO ]]*SUMIFS(tabParametros[SENAI OU SENAC],tabParametros[Código do Posto],tabCustoUnit[[#This Row],[Código do Posto]])</f>
        <v>8.2426089999999999</v>
      </c>
      <c r="S15" s="21">
        <f>tabCustoUnit[[#This Row],[MODULO 1 - REMUNERAÇÃO ]]*SUMIFS(tabParametros[INCRA],tabParametros[Código do Posto],tabCustoUnit[[#This Row],[Código do Posto]])</f>
        <v>1.6485217999999999</v>
      </c>
      <c r="T15" s="21">
        <f>tabCustoUnit[[#This Row],[MODULO 1 - REMUNERAÇÃO ]]*SUMIFS(tabParametros[Salário Educação],tabParametros[Código do Posto],tabCustoUnit[[#This Row],[Código do Posto]])</f>
        <v>20.606522500000001</v>
      </c>
      <c r="U15" s="21">
        <f>tabCustoUnit[[#This Row],[MODULO 1 - REMUNERAÇÃO ]]*SUMIFS(tabParametros[FGTS],tabParametros[Código do Posto],tabCustoUnit[[#This Row],[Código do Posto]])</f>
        <v>65.940871999999999</v>
      </c>
      <c r="V15" s="21">
        <f>tabCustoUnit[[#This Row],[MODULO 1 - REMUNERAÇÃO ]]*SUMIFS(tabParametros[RAT Ajustado],tabParametros[Código do Posto],tabCustoUnit[[#This Row],[Código do Posto]])</f>
        <v>32.970435999999999</v>
      </c>
      <c r="W15" s="21">
        <f>tabCustoUnit[[#This Row],[MODULO 1 - REMUNERAÇÃO ]]*SUMIFS(tabParametros[SEBRAE],tabParametros[Código do Posto],tabCustoUnit[[#This Row],[Código do Posto]])</f>
        <v>4.9455654000000004</v>
      </c>
      <c r="X15" s="21">
        <f>SUM(tabCustoUnit[[#This Row],[INSS]:[SEBRAE]])</f>
        <v>311.57062020000001</v>
      </c>
      <c r="Y15" s="21">
        <f>tabCustoUnit[[#This Row],[MODULO 1 - REMUNERAÇÃO ]]*SUMIFS(tabParametros[13º salário (titular)],tabParametros[Código do Posto],tabCustoUnit[[#This Row],[Código do Posto]])</f>
        <v>68.688408333333328</v>
      </c>
      <c r="Z15" s="21">
        <f>tabCustoUnit[[#This Row],[MODULO 1 - REMUNERAÇÃO ]]*SUMIFS(tabParametros[Férias e Adicional de Férias (titular)],tabParametros[Código do Posto],tabCustoUnit[[#This Row],[Código do Posto]])</f>
        <v>91.584544444444433</v>
      </c>
      <c r="AA15" s="21">
        <f>IFERROR((tabCustoUnit[[#This Row],[Submódulo 2.1]]/tabCustoUnit[[#This Row],[MODULO 1 - REMUNERAÇÃO ]])*SUM(tabCustoUnit[[#This Row],[13º salário (titular)]:[Férias e Adicional de Férias (titular)]]),0)</f>
        <v>60.583176149999993</v>
      </c>
      <c r="AB15" s="21">
        <f>SUM(tabCustoUnit[[#This Row],[13º salário (titular)]:[Incidência do Submódulo 2.1 sobre 13º Salário, Férias e Adicional de Férias]])</f>
        <v>220.85612892777775</v>
      </c>
      <c r="AC15" s="22">
        <f>_xlfn.LET(_xlpm.VT,SUMIF(tabParametros[Código do Posto],tabCustoUnit[[#This Row],[Código do Posto]],tabParametros[Vale - Transporte])*2*20,
IF((_xlpm.VT-tabCustoUnit[[#This Row],[Salário Base]]*0.06)&gt;=0,(_xlpm.VT-tabCustoUnit[[#This Row],[Salário Base]]*0.06),0)
)</f>
        <v>208.11160000000001</v>
      </c>
      <c r="AD15" s="22">
        <f>IF(SUMIF(tabParametros[Código do Posto],tabCustoUnit[[#This Row],[Código do Posto]],tabParametros[Vale - Alimentação])&lt;=0,0,
SUMIF(tabParametros[Código do Posto],tabCustoUnit[[#This Row],[Código do Posto]],tabParametros[Vale - Alimentação])*20-1)</f>
        <v>582</v>
      </c>
      <c r="AE15" s="22">
        <f>SUMIF(tabParametros[Código do Posto],tabCustoUnit[[#This Row],[Código do Posto]],tabParametros[Cesta Básica])</f>
        <v>0</v>
      </c>
      <c r="AF15" s="22">
        <f>SUMIF(tabParametros[Código do Posto],tabCustoUnit[[#This Row],[Código do Posto]],tabParametros[PAF])</f>
        <v>0</v>
      </c>
      <c r="AG15" s="22">
        <f>SUMIF(tabParametros[Código do Posto],tabCustoUnit[[#This Row],[Código do Posto]],tabParametros[PQM])</f>
        <v>0</v>
      </c>
      <c r="AH15" s="22">
        <f>SUMIF(tabParametros[Código do Posto],tabCustoUnit[[#This Row],[Código do Posto]],tabParametros[PAT])</f>
        <v>0</v>
      </c>
      <c r="AI15" s="22">
        <f>SUMIF(tabParametros[Código do Posto],tabCustoUnit[[#This Row],[Código do Posto]],tabParametros[Seguro de Vida])</f>
        <v>3.36</v>
      </c>
      <c r="AJ15" s="22">
        <f>SUMIF(tabParametros[Código do Posto],tabCustoUnit[[#This Row],[Código do Posto]],tabParametros[Despesas de Viagem])</f>
        <v>0</v>
      </c>
      <c r="AK15" s="22">
        <f>SUM(tabCustoUnit[[#This Row],[Vale - Transporte (Descontada parcela do empregado)]:[Despesas de Viagem]])</f>
        <v>793.47159999999997</v>
      </c>
      <c r="AL15" s="22">
        <f>tabCustoUnit[[#This Row],[Submódulo 2.1]]+tabCustoUnit[[#This Row],[Submódulo 2.2]]+tabCustoUnit[[#This Row],[Submódulo 2.3]]</f>
        <v>1325.8983491277777</v>
      </c>
      <c r="AM15" s="22">
        <f>SUMIF(tabParametros[Código do Posto],tabCustoUnit[[#This Row],[Código do Posto]],tabParametros[Aviso Prévio Indenizado (API) e Reflexo do Aviso Prévio Indenizado])*tabCustoUnit[[#This Row],[MODULO 1 - REMUNERAÇÃO ]]</f>
        <v>5.7795253576581791</v>
      </c>
      <c r="AN15" s="22">
        <f>SUMIF(tabParametros[Código do Posto],tabCustoUnit[[#This Row],[Código do Posto]],tabParametros[Incidência do FGTS sobre API e Reflexo do API])*tabCustoUnit[[#This Row],[MODULO 1 - REMUNERAÇÃO ]]</f>
        <v>0.46236202861265435</v>
      </c>
      <c r="AO15" s="22">
        <f>SUMIF(tabParametros[Código do Posto],tabCustoUnit[[#This Row],[Código do Posto]],tabParametros[Multa Rescisória do FGTS sobre o Aviso Prévio Indenizado])*tabCustoUnit[[#This Row],[MODULO 1 - REMUNERAÇÃO ]]</f>
        <v>0.18494481144506175</v>
      </c>
      <c r="AP15" s="22">
        <f>SUMIF(tabParametros[Código do Posto],tabCustoUnit[[#This Row],[Código do Posto]],tabParametros[Aviso Prévio Trabalhado - APT])*tabCustoUnit[[#This Row],[MODULO 1 - REMUNERAÇÃO ]]</f>
        <v>2.8849131500000005</v>
      </c>
      <c r="AQ15" s="22">
        <f>SUMIF(tabParametros[Código do Posto],tabCustoUnit[[#This Row],[Código do Posto]],tabParametros[Incidência dos encargos do submódulo 2.1 sobre Aviso Prévio Trabalhado])*tabCustoUnit[[#This Row],[MODULO 1 - REMUNERAÇÃO ]]</f>
        <v>1.0904971707000004</v>
      </c>
      <c r="AR15" s="22">
        <f>SUMIF(tabParametros[Código do Posto],tabCustoUnit[[#This Row],[Código do Posto]],tabParametros[Multa Rescisória do FGTS])*tabCustoUnit[[#This Row],[MODULO 1 - REMUNERAÇÃO ]]</f>
        <v>25.204066631111107</v>
      </c>
      <c r="AS15" s="22">
        <f>SUMIF(tabParametros[Código do Posto],tabCustoUnit[[#This Row],[Código do Posto]],tabParametros[Indenização Adicional (Art. 9º da Lei nº 7.238/84)])*tabCustoUnit[[#This Row],[MODULO 1 - REMUNERAÇÃO ]]</f>
        <v>0.6868840833333334</v>
      </c>
      <c r="AT15" s="22">
        <f>SUM(tabCustoUnit[[#This Row],[Aviso Prévio Indenizado (API) e Reflexo do Aviso Prévio Indenizado]:[Indenização Adicional (Art. 9º da Lei nº 7.238/84)]])</f>
        <v>36.293193232860339</v>
      </c>
      <c r="AU15" s="22">
        <f>SUMIF(tabParametros[Código do Posto],tabCustoUnit[[#This Row],[Código do Posto]],tabParametros[Ausência por Doença])*tabCustoUnit[[#This Row],[MODULO 1 - REMUNERAÇÃO ]]</f>
        <v>6.9604253777777769</v>
      </c>
      <c r="AV15" s="22">
        <f>SUMIF(tabParametros[Código do Posto],tabCustoUnit[[#This Row],[Código do Posto]],tabParametros[Ausências Legais])*tabCustoUnit[[#This Row],[MODULO 1 - REMUNERAÇÃO ]]</f>
        <v>1.671417936111111</v>
      </c>
      <c r="AW15" s="22">
        <f>SUMIF(tabParametros[Código do Posto],tabCustoUnit[[#This Row],[Código do Posto]],tabParametros[Licença Paternidade])*tabCustoUnit[[#This Row],[MODULO 1 - REMUNERAÇÃO ]]</f>
        <v>0.14081123708333332</v>
      </c>
      <c r="AX15" s="22">
        <f>SUMIF(tabParametros[Código do Posto],tabCustoUnit[[#This Row],[Código do Posto]],tabParametros[Ausência por Acidente de Trabalho])*tabCustoUnit[[#This Row],[MODULO 1 - REMUNERAÇÃO ]]</f>
        <v>0.17172102083333335</v>
      </c>
      <c r="AY15" s="22">
        <f>SUMIF(tabParametros[Código do Posto],tabCustoUnit[[#This Row],[Código do Posto]],tabParametros[Férias, Adicional de Férias e 13º  com empregada em gozo de Licença Maternidade])*tabCustoUnit[[#This Row],[MODULO 1 - REMUNERAÇÃO ]]</f>
        <v>1.0684863518518517</v>
      </c>
      <c r="AZ15" s="22">
        <f>SUMIF(tabParametros[Código do Posto],tabCustoUnit[[#This Row],[Código do Posto]],tabParametros[Incidência do Submódulo 2.1 sobre Ausências Legais])*tabCustoUnit[[#This Row],[MODULO 1 - REMUNERAÇÃO ]]</f>
        <v>3.7848618071425006</v>
      </c>
      <c r="BA15" s="22">
        <f>SUM(tabCustoUnit[[#This Row],[Ausência por Doença]:[Incidência do Submódulo 2.1 sobre Ausências Legais]])</f>
        <v>13.797723730799909</v>
      </c>
      <c r="BB15" s="22">
        <f>SUMIF(tabParametros[Código do Posto],tabCustoUnit[[#This Row],[Código do Posto]],tabParametros[Intervalo para Repouso ou Alimentação])</f>
        <v>0</v>
      </c>
      <c r="BC15" s="22">
        <f>tabCustoUnit[[#This Row],[Intervalo para Repouso ou Alimentação]]</f>
        <v>0</v>
      </c>
      <c r="BD15" s="22">
        <f>IF(VLOOKUP(tabCustoUnit[[#This Row],[Código do Posto]],PARAMETROS!$A$4:$BJ$255,7,0)&lt;=0,0,
IFERROR((tabCustoUnit[[#This Row],[MODULO 1 - REMUNERAÇÃO ]]*VLOOKUP(tabCustoUnit[[#This Row],[Código do Posto]],PARAMETROS!$A$4:$BJ$255,49,0))/(VLOOKUP(tabCustoUnit[[#This Row],[Código do Posto]],PARAMETROS!$A$4:$BJ$255,7,0)*VLOOKUP(tabCustoUnit[[#This Row],[Código do Posto]],PARAMETROS!$A$4:$BJ$255,8,0)),0)
)</f>
        <v>0</v>
      </c>
      <c r="BE15" s="22">
        <f>tabCustoUnit[[#This Row],[Suspensão Temporária do Contrato de Trabalho]]</f>
        <v>0</v>
      </c>
      <c r="BF15" s="22">
        <f>tabCustoUnit[[#This Row],[Submódulo 4.1]]+tabCustoUnit[[#This Row],[Submódulo 4.2]]+tabCustoUnit[[#This Row],[Submódulo 4.3]]</f>
        <v>13.797723730799909</v>
      </c>
      <c r="BG15" s="22">
        <f>VLOOKUP(tabCustoUnit[[#This Row],[Código do Posto]],tabParametros[],MATCH(tabCustoUnit[[#Headers],[Uniformes e EPIs]],tabParametros[#Headers],0),0)</f>
        <v>62.806666666666665</v>
      </c>
      <c r="BH15" s="22">
        <f>VLOOKUP(tabCustoUnit[[#This Row],[Código do Posto]],tabParametros[],MATCH(tabCustoUnit[[#Headers],[Materiais de Consumo]],tabParametros[#Headers],0),0)</f>
        <v>17.759106479291944</v>
      </c>
      <c r="BI15" s="22">
        <f>VLOOKUP(tabCustoUnit[[#This Row],[Código do Posto]],tabParametros[],MATCH(tabCustoUnit[[#Headers],[Máquinas e Equipamentos (depreciação)]],tabParametros[#Headers],0),0)</f>
        <v>32.264696957412788</v>
      </c>
      <c r="BJ15" s="22">
        <f>VLOOKUP(tabCustoUnit[[#This Row],[Código do Posto]],tabParametros[],MATCH(tabCustoUnit[[#Headers],[Produtos de Limpeza e Materiais de Higiene Pessoal]],tabParametros[#Headers],0),0)</f>
        <v>345.13576638965827</v>
      </c>
      <c r="BK15" s="22">
        <f>VLOOKUP(tabCustoUnit[[#This Row],[Código do Posto]],tabParametros[],MATCH(tabCustoUnit[[#Headers],[Outros (especificar)]],tabParametros[#Headers],0),0)</f>
        <v>0</v>
      </c>
      <c r="BL15" s="22">
        <f>SUM(tabCustoUnit[[#This Row],[Uniformes e EPIs]:[Outros (especificar)]])</f>
        <v>457.96623649302967</v>
      </c>
      <c r="BM15" s="22">
        <f>tabCustoUnit[[#This Row],[MODULO 1 - REMUNERAÇÃO ]]+tabCustoUnit[[#This Row],[MÓDULO 2 - Total Encargos e Benefícios mensais e diários]]+tabCustoUnit[[#This Row],[MÓDULO 3 – PROVISÃO PARA RESCISÃO]]+tabCustoUnit[[#This Row],[MÓDULO 4 – CUSTO DE REPOSIÇÃO DO PROFISSIONAL AUSENTE]]+tabCustoUnit[[#This Row],[MÓDULO 5 – INSUMOS DIVERSOS]]</f>
        <v>2658.2164025844677</v>
      </c>
      <c r="BN15" s="22">
        <f>VLOOKUP(tabCustoUnit[[#This Row],[Código do Posto]],tabParametros[],MATCH(tabCustoUnit[[#Headers],[Custos Indiretos]],tabParametros[#Headers],0),0)</f>
        <v>189.64880140242613</v>
      </c>
      <c r="BO15" s="22">
        <f>VLOOKUP(tabCustoUnit[[#This Row],[Código do Posto]],tabParametros[],MATCH(tabCustoUnit[[#Headers],[Lucro]],tabParametros[#Headers],0),0)</f>
        <v>159.30499317803796</v>
      </c>
      <c r="BP15" s="26">
        <f>((100/((1-tabCustoUnit[[#This Row],[Resumo de Alíquotas (PIS+CONFINS+ISS)]]))-100)*VLOOKUP(tabCustoUnit[[#This Row],[Código do Posto]],tabParametros[],MATCH(tabCustoUnit[[#Headers],[COFINS]],tabParametros[#Headers],0),0))/(tabCustoUnit[[#This Row],[Resumo de Alíquotas (PIS+CONFINS+ISS)]]*100)</f>
        <v>8.6609686609686695E-2</v>
      </c>
      <c r="BQ15" s="26">
        <f>((100/((100-(tabCustoUnit[[#This Row],[Resumo de Alíquotas (PIS+CONFINS+ISS)]]*100))%)-100)*VLOOKUP(tabCustoUnit[[#This Row],[Código do Posto]],tabParametros[],MATCH(tabCustoUnit[[#Headers],[PIS]],tabParametros[#Headers],0),0))/(tabCustoUnit[[#This Row],[Resumo de Alíquotas (PIS+CONFINS+ISS)]]*100)</f>
        <v>1.880341880341882E-2</v>
      </c>
      <c r="BR15" s="28">
        <f>VLOOKUP(tabCustoUnit[[#This Row],[Código do Posto]],tabParametros[],MATCH(tabCustoUnit[[#Headers],[ISS]],tabParametros[#Headers],0),0)</f>
        <v>0.03</v>
      </c>
      <c r="BS15" s="26">
        <f>(((100/((100-(tabCustoUnit[[#This Row],[Resumo de Alíquotas (PIS+CONFINS+ISS)]]*100))%)-100)*tabCustoUnit[[#This Row],[ISS]])/tabCustoUnit[[#This Row],[Resumo de Alíquotas (PIS+CONFINS+ISS)]])/100</f>
        <v>3.4188034188034219E-2</v>
      </c>
      <c r="BT15" s="26">
        <f>(VLOOKUP(tabCustoUnit[[#This Row],[Código do Posto]],tabParametros[],MATCH(tabCustoUnit[[#Headers],[COFINS]],tabParametros[#Headers],0),0)+
VLOOKUP(tabCustoUnit[[#This Row],[Código do Posto]],tabParametros[],MATCH(tabCustoUnit[[#Headers],[PIS]],tabParametros[#Headers],0),0)+
VLOOKUP(tabCustoUnit[[#This Row],[Código do Posto]],tabParametros[],MATCH(tabCustoUnit[[#Headers],[ISS]],tabParametros[#Headers],0),0))</f>
        <v>0.1225</v>
      </c>
      <c r="BU15" s="138">
        <f>tabCustoUnit[[#This Row],[COFINS]]+tabCustoUnit[[#This Row],[PIS]]+tabCustoUnit[[#This Row],[ISS (Conversão Alíquota s/ fatura)]]</f>
        <v>0.13960113960113973</v>
      </c>
      <c r="BV15" s="22">
        <f>(tabCustoUnit[[#This Row],[TOTAL MÓDULOS 1+2+3+4+5]]+tabCustoUnit[[#This Row],[Custos Indiretos]]+tabCustoUnit[[#This Row],[Lucro]])*tabCustoUnit[[#This Row],[PIS + COFINS + ISS (Total Conversão  Alíquota s/ Fatura)]]</f>
        <v>419.80438649880853</v>
      </c>
      <c r="BW15" s="22">
        <f>tabCustoUnit[[#This Row],[Custos Indiretos]]+tabCustoUnit[[#This Row],[Lucro]]+tabCustoUnit[[#This Row],[Valor dos Tributos (ISS, PIS, CONFINS)]]</f>
        <v>768.75818107927262</v>
      </c>
      <c r="BX15" s="22">
        <f>tabCustoUnit[[#This Row],[TOTAL MÓDULOS 1+2+3+4+5]]+tabCustoUnit[[#This Row],[MÓDULO 6 – CUSTOS INDIRETOS, TRIBUTOS E LUCRO]]</f>
        <v>3426.9745836637403</v>
      </c>
      <c r="BY15" s="22">
        <f>tabCustoUnit[[#This Row],[CUSTO TOTAL MENSAL]]*12</f>
        <v>41123.69500396488</v>
      </c>
      <c r="BZ15" s="24">
        <f>VLOOKUP(tabCustoUnit[[#This Row],[Código do Posto]],tabParametros[],MATCH(tabCustoUnit[[#Headers],[ANO DA CCT]],tabParametros[#Headers],0),0)</f>
        <v>45658</v>
      </c>
      <c r="CA15" s="25" t="str">
        <f>VLOOKUP(tabCustoUnit[[#This Row],[Código do Posto]],tabParametros[],MATCH(tabCustoUnit[[#Headers],[Nº DE PEDIDO DA CCT]],tabParametros[#Headers],0),0)</f>
        <v>-</v>
      </c>
      <c r="CB15" s="25" t="str">
        <f>VLOOKUP(tabCustoUnit[[#This Row],[Código do Posto]],tabParametros[],MATCH(tabCustoUnit[[#Headers],[TERMO ADITIVO ALTERAÇÃO DA CCT]],tabParametros[#Headers],0),0)</f>
        <v>-</v>
      </c>
    </row>
    <row r="16" spans="1:80" x14ac:dyDescent="0.25">
      <c r="A16" s="20" t="s">
        <v>1362</v>
      </c>
      <c r="B16" t="s">
        <v>22</v>
      </c>
      <c r="C16" t="s">
        <v>1244</v>
      </c>
      <c r="D16" t="s">
        <v>1000</v>
      </c>
      <c r="E16" s="20" t="s">
        <v>9</v>
      </c>
      <c r="F16" s="20" t="s">
        <v>10</v>
      </c>
      <c r="G16" s="21">
        <v>798.14</v>
      </c>
      <c r="H16" s="21">
        <v>0</v>
      </c>
      <c r="I16" s="21">
        <v>0</v>
      </c>
      <c r="J16" s="21">
        <v>0</v>
      </c>
      <c r="K16" s="21">
        <v>0</v>
      </c>
      <c r="L16" s="21">
        <v>0</v>
      </c>
      <c r="M16" s="21">
        <v>0</v>
      </c>
      <c r="N16" s="21">
        <v>26.120899999999999</v>
      </c>
      <c r="O16" s="21">
        <f>SUM(tabCustoUnit[[#This Row],[Salário Base]:[Adicional de Acúmulo de função]])</f>
        <v>824.26089999999999</v>
      </c>
      <c r="P16" s="21">
        <f>tabCustoUnit[[#This Row],[MODULO 1 - REMUNERAÇÃO ]]*SUMIFS(tabParametros[INSS],tabParametros[Código do Posto],tabCustoUnit[[#This Row],[Código do Posto]])</f>
        <v>164.85218</v>
      </c>
      <c r="Q16" s="21">
        <f>tabCustoUnit[[#This Row],[MODULO 1 - REMUNERAÇÃO ]]*SUMIFS(tabParametros[SESI OU SESC],tabParametros[Código do Posto],tabCustoUnit[[#This Row],[Código do Posto]])</f>
        <v>12.363913499999999</v>
      </c>
      <c r="R16" s="21">
        <f>tabCustoUnit[[#This Row],[MODULO 1 - REMUNERAÇÃO ]]*SUMIFS(tabParametros[SENAI OU SENAC],tabParametros[Código do Posto],tabCustoUnit[[#This Row],[Código do Posto]])</f>
        <v>8.2426089999999999</v>
      </c>
      <c r="S16" s="21">
        <f>tabCustoUnit[[#This Row],[MODULO 1 - REMUNERAÇÃO ]]*SUMIFS(tabParametros[INCRA],tabParametros[Código do Posto],tabCustoUnit[[#This Row],[Código do Posto]])</f>
        <v>1.6485217999999999</v>
      </c>
      <c r="T16" s="21">
        <f>tabCustoUnit[[#This Row],[MODULO 1 - REMUNERAÇÃO ]]*SUMIFS(tabParametros[Salário Educação],tabParametros[Código do Posto],tabCustoUnit[[#This Row],[Código do Posto]])</f>
        <v>20.606522500000001</v>
      </c>
      <c r="U16" s="21">
        <f>tabCustoUnit[[#This Row],[MODULO 1 - REMUNERAÇÃO ]]*SUMIFS(tabParametros[FGTS],tabParametros[Código do Posto],tabCustoUnit[[#This Row],[Código do Posto]])</f>
        <v>65.940871999999999</v>
      </c>
      <c r="V16" s="21">
        <f>tabCustoUnit[[#This Row],[MODULO 1 - REMUNERAÇÃO ]]*SUMIFS(tabParametros[RAT Ajustado],tabParametros[Código do Posto],tabCustoUnit[[#This Row],[Código do Posto]])</f>
        <v>32.970435999999999</v>
      </c>
      <c r="W16" s="21">
        <f>tabCustoUnit[[#This Row],[MODULO 1 - REMUNERAÇÃO ]]*SUMIFS(tabParametros[SEBRAE],tabParametros[Código do Posto],tabCustoUnit[[#This Row],[Código do Posto]])</f>
        <v>4.9455654000000004</v>
      </c>
      <c r="X16" s="21">
        <f>SUM(tabCustoUnit[[#This Row],[INSS]:[SEBRAE]])</f>
        <v>311.57062020000001</v>
      </c>
      <c r="Y16" s="21">
        <f>tabCustoUnit[[#This Row],[MODULO 1 - REMUNERAÇÃO ]]*SUMIFS(tabParametros[13º salário (titular)],tabParametros[Código do Posto],tabCustoUnit[[#This Row],[Código do Posto]])</f>
        <v>68.688408333333328</v>
      </c>
      <c r="Z16" s="21">
        <f>tabCustoUnit[[#This Row],[MODULO 1 - REMUNERAÇÃO ]]*SUMIFS(tabParametros[Férias e Adicional de Férias (titular)],tabParametros[Código do Posto],tabCustoUnit[[#This Row],[Código do Posto]])</f>
        <v>91.584544444444433</v>
      </c>
      <c r="AA16" s="21">
        <f>IFERROR((tabCustoUnit[[#This Row],[Submódulo 2.1]]/tabCustoUnit[[#This Row],[MODULO 1 - REMUNERAÇÃO ]])*SUM(tabCustoUnit[[#This Row],[13º salário (titular)]:[Férias e Adicional de Férias (titular)]]),0)</f>
        <v>60.583176149999993</v>
      </c>
      <c r="AB16" s="21">
        <f>SUM(tabCustoUnit[[#This Row],[13º salário (titular)]:[Incidência do Submódulo 2.1 sobre 13º Salário, Férias e Adicional de Férias]])</f>
        <v>220.85612892777775</v>
      </c>
      <c r="AC16" s="22">
        <f>_xlfn.LET(_xlpm.VT,SUMIF(tabParametros[Código do Posto],tabCustoUnit[[#This Row],[Código do Posto]],tabParametros[Vale - Transporte])*2*20,
IF((_xlpm.VT-tabCustoUnit[[#This Row],[Salário Base]]*0.06)&gt;=0,(_xlpm.VT-tabCustoUnit[[#This Row],[Salário Base]]*0.06),0)
)</f>
        <v>208.11160000000001</v>
      </c>
      <c r="AD16" s="22">
        <f>IF(SUMIF(tabParametros[Código do Posto],tabCustoUnit[[#This Row],[Código do Posto]],tabParametros[Vale - Alimentação])&lt;=0,0,
SUMIF(tabParametros[Código do Posto],tabCustoUnit[[#This Row],[Código do Posto]],tabParametros[Vale - Alimentação])*20-1)</f>
        <v>582</v>
      </c>
      <c r="AE16" s="22">
        <f>SUMIF(tabParametros[Código do Posto],tabCustoUnit[[#This Row],[Código do Posto]],tabParametros[Cesta Básica])</f>
        <v>0</v>
      </c>
      <c r="AF16" s="22">
        <f>SUMIF(tabParametros[Código do Posto],tabCustoUnit[[#This Row],[Código do Posto]],tabParametros[PAF])</f>
        <v>0</v>
      </c>
      <c r="AG16" s="22">
        <f>SUMIF(tabParametros[Código do Posto],tabCustoUnit[[#This Row],[Código do Posto]],tabParametros[PQM])</f>
        <v>15.07</v>
      </c>
      <c r="AH16" s="22">
        <f>SUMIF(tabParametros[Código do Posto],tabCustoUnit[[#This Row],[Código do Posto]],tabParametros[PAT])</f>
        <v>0</v>
      </c>
      <c r="AI16" s="22">
        <f>SUMIF(tabParametros[Código do Posto],tabCustoUnit[[#This Row],[Código do Posto]],tabParametros[Seguro de Vida])</f>
        <v>3.36</v>
      </c>
      <c r="AJ16" s="22">
        <f>SUMIF(tabParametros[Código do Posto],tabCustoUnit[[#This Row],[Código do Posto]],tabParametros[Despesas de Viagem])</f>
        <v>0</v>
      </c>
      <c r="AK16" s="22">
        <f>SUM(tabCustoUnit[[#This Row],[Vale - Transporte (Descontada parcela do empregado)]:[Despesas de Viagem]])</f>
        <v>808.54160000000002</v>
      </c>
      <c r="AL16" s="22">
        <f>tabCustoUnit[[#This Row],[Submódulo 2.1]]+tabCustoUnit[[#This Row],[Submódulo 2.2]]+tabCustoUnit[[#This Row],[Submódulo 2.3]]</f>
        <v>1340.9683491277779</v>
      </c>
      <c r="AM16" s="22">
        <f>SUMIF(tabParametros[Código do Posto],tabCustoUnit[[#This Row],[Código do Posto]],tabParametros[Aviso Prévio Indenizado (API) e Reflexo do Aviso Prévio Indenizado])*tabCustoUnit[[#This Row],[MODULO 1 - REMUNERAÇÃO ]]</f>
        <v>5.7795253576581791</v>
      </c>
      <c r="AN16" s="22">
        <f>SUMIF(tabParametros[Código do Posto],tabCustoUnit[[#This Row],[Código do Posto]],tabParametros[Incidência do FGTS sobre API e Reflexo do API])*tabCustoUnit[[#This Row],[MODULO 1 - REMUNERAÇÃO ]]</f>
        <v>0.46236202861265435</v>
      </c>
      <c r="AO16" s="22">
        <f>SUMIF(tabParametros[Código do Posto],tabCustoUnit[[#This Row],[Código do Posto]],tabParametros[Multa Rescisória do FGTS sobre o Aviso Prévio Indenizado])*tabCustoUnit[[#This Row],[MODULO 1 - REMUNERAÇÃO ]]</f>
        <v>0.18494481144506175</v>
      </c>
      <c r="AP16" s="22">
        <f>SUMIF(tabParametros[Código do Posto],tabCustoUnit[[#This Row],[Código do Posto]],tabParametros[Aviso Prévio Trabalhado - APT])*tabCustoUnit[[#This Row],[MODULO 1 - REMUNERAÇÃO ]]</f>
        <v>2.8849131500000005</v>
      </c>
      <c r="AQ16" s="22">
        <f>SUMIF(tabParametros[Código do Posto],tabCustoUnit[[#This Row],[Código do Posto]],tabParametros[Incidência dos encargos do submódulo 2.1 sobre Aviso Prévio Trabalhado])*tabCustoUnit[[#This Row],[MODULO 1 - REMUNERAÇÃO ]]</f>
        <v>1.0904971707000004</v>
      </c>
      <c r="AR16" s="22">
        <f>SUMIF(tabParametros[Código do Posto],tabCustoUnit[[#This Row],[Código do Posto]],tabParametros[Multa Rescisória do FGTS])*tabCustoUnit[[#This Row],[MODULO 1 - REMUNERAÇÃO ]]</f>
        <v>25.204066631111107</v>
      </c>
      <c r="AS16" s="22">
        <f>SUMIF(tabParametros[Código do Posto],tabCustoUnit[[#This Row],[Código do Posto]],tabParametros[Indenização Adicional (Art. 9º da Lei nº 7.238/84)])*tabCustoUnit[[#This Row],[MODULO 1 - REMUNERAÇÃO ]]</f>
        <v>0.6868840833333334</v>
      </c>
      <c r="AT16" s="22">
        <f>SUM(tabCustoUnit[[#This Row],[Aviso Prévio Indenizado (API) e Reflexo do Aviso Prévio Indenizado]:[Indenização Adicional (Art. 9º da Lei nº 7.238/84)]])</f>
        <v>36.293193232860339</v>
      </c>
      <c r="AU16" s="22">
        <f>SUMIF(tabParametros[Código do Posto],tabCustoUnit[[#This Row],[Código do Posto]],tabParametros[Ausência por Doença])*tabCustoUnit[[#This Row],[MODULO 1 - REMUNERAÇÃO ]]</f>
        <v>6.9604253777777769</v>
      </c>
      <c r="AV16" s="22">
        <f>SUMIF(tabParametros[Código do Posto],tabCustoUnit[[#This Row],[Código do Posto]],tabParametros[Ausências Legais])*tabCustoUnit[[#This Row],[MODULO 1 - REMUNERAÇÃO ]]</f>
        <v>1.671417936111111</v>
      </c>
      <c r="AW16" s="22">
        <f>SUMIF(tabParametros[Código do Posto],tabCustoUnit[[#This Row],[Código do Posto]],tabParametros[Licença Paternidade])*tabCustoUnit[[#This Row],[MODULO 1 - REMUNERAÇÃO ]]</f>
        <v>0.14081123708333332</v>
      </c>
      <c r="AX16" s="22">
        <f>SUMIF(tabParametros[Código do Posto],tabCustoUnit[[#This Row],[Código do Posto]],tabParametros[Ausência por Acidente de Trabalho])*tabCustoUnit[[#This Row],[MODULO 1 - REMUNERAÇÃO ]]</f>
        <v>0.17172102083333335</v>
      </c>
      <c r="AY16" s="22">
        <f>SUMIF(tabParametros[Código do Posto],tabCustoUnit[[#This Row],[Código do Posto]],tabParametros[Férias, Adicional de Férias e 13º  com empregada em gozo de Licença Maternidade])*tabCustoUnit[[#This Row],[MODULO 1 - REMUNERAÇÃO ]]</f>
        <v>1.0684863518518517</v>
      </c>
      <c r="AZ16" s="22">
        <f>SUMIF(tabParametros[Código do Posto],tabCustoUnit[[#This Row],[Código do Posto]],tabParametros[Incidência do Submódulo 2.1 sobre Ausências Legais])*tabCustoUnit[[#This Row],[MODULO 1 - REMUNERAÇÃO ]]</f>
        <v>3.7848618071425006</v>
      </c>
      <c r="BA16" s="22">
        <f>SUM(tabCustoUnit[[#This Row],[Ausência por Doença]:[Incidência do Submódulo 2.1 sobre Ausências Legais]])</f>
        <v>13.797723730799909</v>
      </c>
      <c r="BB16" s="22">
        <f>SUMIF(tabParametros[Código do Posto],tabCustoUnit[[#This Row],[Código do Posto]],tabParametros[Intervalo para Repouso ou Alimentação])</f>
        <v>0</v>
      </c>
      <c r="BC16" s="22">
        <f>tabCustoUnit[[#This Row],[Intervalo para Repouso ou Alimentação]]</f>
        <v>0</v>
      </c>
      <c r="BD16" s="22">
        <f>IF(VLOOKUP(tabCustoUnit[[#This Row],[Código do Posto]],PARAMETROS!$A$4:$BJ$255,7,0)&lt;=0,0,
IFERROR((tabCustoUnit[[#This Row],[MODULO 1 - REMUNERAÇÃO ]]*VLOOKUP(tabCustoUnit[[#This Row],[Código do Posto]],PARAMETROS!$A$4:$BJ$255,49,0))/(VLOOKUP(tabCustoUnit[[#This Row],[Código do Posto]],PARAMETROS!$A$4:$BJ$255,7,0)*VLOOKUP(tabCustoUnit[[#This Row],[Código do Posto]],PARAMETROS!$A$4:$BJ$255,8,0)),0)
)</f>
        <v>0</v>
      </c>
      <c r="BE16" s="22">
        <f>tabCustoUnit[[#This Row],[Suspensão Temporária do Contrato de Trabalho]]</f>
        <v>0</v>
      </c>
      <c r="BF16" s="22">
        <f>tabCustoUnit[[#This Row],[Submódulo 4.1]]+tabCustoUnit[[#This Row],[Submódulo 4.2]]+tabCustoUnit[[#This Row],[Submódulo 4.3]]</f>
        <v>13.797723730799909</v>
      </c>
      <c r="BG16" s="22">
        <f>VLOOKUP(tabCustoUnit[[#This Row],[Código do Posto]],tabParametros[],MATCH(tabCustoUnit[[#Headers],[Uniformes e EPIs]],tabParametros[#Headers],0),0)</f>
        <v>62.806666666666665</v>
      </c>
      <c r="BH16" s="22">
        <f>VLOOKUP(tabCustoUnit[[#This Row],[Código do Posto]],tabParametros[],MATCH(tabCustoUnit[[#Headers],[Materiais de Consumo]],tabParametros[#Headers],0),0)</f>
        <v>17.759106479291944</v>
      </c>
      <c r="BI16" s="22">
        <f>VLOOKUP(tabCustoUnit[[#This Row],[Código do Posto]],tabParametros[],MATCH(tabCustoUnit[[#Headers],[Máquinas e Equipamentos (depreciação)]],tabParametros[#Headers],0),0)</f>
        <v>32.264696957412788</v>
      </c>
      <c r="BJ16" s="22">
        <f>VLOOKUP(tabCustoUnit[[#This Row],[Código do Posto]],tabParametros[],MATCH(tabCustoUnit[[#Headers],[Produtos de Limpeza e Materiais de Higiene Pessoal]],tabParametros[#Headers],0),0)</f>
        <v>345.13576638965827</v>
      </c>
      <c r="BK16" s="22">
        <f>VLOOKUP(tabCustoUnit[[#This Row],[Código do Posto]],tabParametros[],MATCH(tabCustoUnit[[#Headers],[Outros (especificar)]],tabParametros[#Headers],0),0)</f>
        <v>0</v>
      </c>
      <c r="BL16" s="22">
        <f>SUM(tabCustoUnit[[#This Row],[Uniformes e EPIs]:[Outros (especificar)]])</f>
        <v>457.96623649302967</v>
      </c>
      <c r="BM16" s="22">
        <f>tabCustoUnit[[#This Row],[MODULO 1 - REMUNERAÇÃO ]]+tabCustoUnit[[#This Row],[MÓDULO 2 - Total Encargos e Benefícios mensais e diários]]+tabCustoUnit[[#This Row],[MÓDULO 3 – PROVISÃO PARA RESCISÃO]]+tabCustoUnit[[#This Row],[MÓDULO 4 – CUSTO DE REPOSIÇÃO DO PROFISSIONAL AUSENTE]]+tabCustoUnit[[#This Row],[MÓDULO 5 – INSUMOS DIVERSOS]]</f>
        <v>2673.2864025844674</v>
      </c>
      <c r="BN16" s="22">
        <f>VLOOKUP(tabCustoUnit[[#This Row],[Código do Posto]],tabParametros[],MATCH(tabCustoUnit[[#Headers],[Custos Indiretos]],tabParametros[#Headers],0),0)</f>
        <v>189.64880140242613</v>
      </c>
      <c r="BO16" s="22">
        <f>VLOOKUP(tabCustoUnit[[#This Row],[Código do Posto]],tabParametros[],MATCH(tabCustoUnit[[#Headers],[Lucro]],tabParametros[#Headers],0),0)</f>
        <v>159.30499317803796</v>
      </c>
      <c r="BP16" s="26">
        <f>((100/((1-tabCustoUnit[[#This Row],[Resumo de Alíquotas (PIS+CONFINS+ISS)]]))-100)*VLOOKUP(tabCustoUnit[[#This Row],[Código do Posto]],tabParametros[],MATCH(tabCustoUnit[[#Headers],[COFINS]],tabParametros[#Headers],0),0))/(tabCustoUnit[[#This Row],[Resumo de Alíquotas (PIS+CONFINS+ISS)]]*100)</f>
        <v>8.6609686609686695E-2</v>
      </c>
      <c r="BQ16" s="26">
        <f>((100/((100-(tabCustoUnit[[#This Row],[Resumo de Alíquotas (PIS+CONFINS+ISS)]]*100))%)-100)*VLOOKUP(tabCustoUnit[[#This Row],[Código do Posto]],tabParametros[],MATCH(tabCustoUnit[[#Headers],[PIS]],tabParametros[#Headers],0),0))/(tabCustoUnit[[#This Row],[Resumo de Alíquotas (PIS+CONFINS+ISS)]]*100)</f>
        <v>1.880341880341882E-2</v>
      </c>
      <c r="BR16" s="28">
        <f>VLOOKUP(tabCustoUnit[[#This Row],[Código do Posto]],tabParametros[],MATCH(tabCustoUnit[[#Headers],[ISS]],tabParametros[#Headers],0),0)</f>
        <v>0.03</v>
      </c>
      <c r="BS16" s="26">
        <f>(((100/((100-(tabCustoUnit[[#This Row],[Resumo de Alíquotas (PIS+CONFINS+ISS)]]*100))%)-100)*tabCustoUnit[[#This Row],[ISS]])/tabCustoUnit[[#This Row],[Resumo de Alíquotas (PIS+CONFINS+ISS)]])/100</f>
        <v>3.4188034188034219E-2</v>
      </c>
      <c r="BT16" s="26">
        <f>(VLOOKUP(tabCustoUnit[[#This Row],[Código do Posto]],tabParametros[],MATCH(tabCustoUnit[[#Headers],[COFINS]],tabParametros[#Headers],0),0)+
VLOOKUP(tabCustoUnit[[#This Row],[Código do Posto]],tabParametros[],MATCH(tabCustoUnit[[#Headers],[PIS]],tabParametros[#Headers],0),0)+
VLOOKUP(tabCustoUnit[[#This Row],[Código do Posto]],tabParametros[],MATCH(tabCustoUnit[[#Headers],[ISS]],tabParametros[#Headers],0),0))</f>
        <v>0.1225</v>
      </c>
      <c r="BU16" s="138">
        <f>tabCustoUnit[[#This Row],[COFINS]]+tabCustoUnit[[#This Row],[PIS]]+tabCustoUnit[[#This Row],[ISS (Conversão Alíquota s/ fatura)]]</f>
        <v>0.13960113960113973</v>
      </c>
      <c r="BV16" s="22">
        <f>(tabCustoUnit[[#This Row],[TOTAL MÓDULOS 1+2+3+4+5]]+tabCustoUnit[[#This Row],[Custos Indiretos]]+tabCustoUnit[[#This Row],[Lucro]])*tabCustoUnit[[#This Row],[PIS + COFINS + ISS (Total Conversão  Alíquota s/ Fatura)]]</f>
        <v>421.90817567259768</v>
      </c>
      <c r="BW16" s="22">
        <f>tabCustoUnit[[#This Row],[Custos Indiretos]]+tabCustoUnit[[#This Row],[Lucro]]+tabCustoUnit[[#This Row],[Valor dos Tributos (ISS, PIS, CONFINS)]]</f>
        <v>770.86197025306183</v>
      </c>
      <c r="BX16" s="22">
        <f>tabCustoUnit[[#This Row],[TOTAL MÓDULOS 1+2+3+4+5]]+tabCustoUnit[[#This Row],[MÓDULO 6 – CUSTOS INDIRETOS, TRIBUTOS E LUCRO]]</f>
        <v>3444.1483728375292</v>
      </c>
      <c r="BY16" s="22">
        <f>tabCustoUnit[[#This Row],[CUSTO TOTAL MENSAL]]*12</f>
        <v>41329.780474050349</v>
      </c>
      <c r="BZ16" s="24">
        <f>VLOOKUP(tabCustoUnit[[#This Row],[Código do Posto]],tabParametros[],MATCH(tabCustoUnit[[#Headers],[ANO DA CCT]],tabParametros[#Headers],0),0)</f>
        <v>45658</v>
      </c>
      <c r="CA16" s="25" t="str">
        <f>VLOOKUP(tabCustoUnit[[#This Row],[Código do Posto]],tabParametros[],MATCH(tabCustoUnit[[#Headers],[Nº DE PEDIDO DA CCT]],tabParametros[#Headers],0),0)</f>
        <v>-</v>
      </c>
      <c r="CB16" s="25" t="str">
        <f>VLOOKUP(tabCustoUnit[[#This Row],[Código do Posto]],tabParametros[],MATCH(tabCustoUnit[[#Headers],[TERMO ADITIVO ALTERAÇÃO DA CCT]],tabParametros[#Headers],0),0)</f>
        <v>-</v>
      </c>
    </row>
    <row r="17" spans="1:80" x14ac:dyDescent="0.25">
      <c r="A17" s="20" t="s">
        <v>1363</v>
      </c>
      <c r="B17" t="s">
        <v>23</v>
      </c>
      <c r="C17" t="s">
        <v>1245</v>
      </c>
      <c r="D17" t="s">
        <v>992</v>
      </c>
      <c r="E17" s="20" t="s">
        <v>9</v>
      </c>
      <c r="F17" s="20" t="s">
        <v>10</v>
      </c>
      <c r="G17" s="21">
        <v>1596.28</v>
      </c>
      <c r="H17" s="21">
        <v>0</v>
      </c>
      <c r="I17" s="21">
        <v>0</v>
      </c>
      <c r="J17" s="21">
        <v>0</v>
      </c>
      <c r="K17" s="21">
        <v>0</v>
      </c>
      <c r="L17" s="21">
        <v>0</v>
      </c>
      <c r="M17" s="21">
        <v>0</v>
      </c>
      <c r="N17" s="21">
        <v>52.241900000000001</v>
      </c>
      <c r="O17" s="21">
        <f>SUM(tabCustoUnit[[#This Row],[Salário Base]:[Adicional de Acúmulo de função]])</f>
        <v>1648.5219</v>
      </c>
      <c r="P17" s="21">
        <f>tabCustoUnit[[#This Row],[MODULO 1 - REMUNERAÇÃO ]]*SUMIFS(tabParametros[INSS],tabParametros[Código do Posto],tabCustoUnit[[#This Row],[Código do Posto]])</f>
        <v>329.70438000000001</v>
      </c>
      <c r="Q17" s="21">
        <f>tabCustoUnit[[#This Row],[MODULO 1 - REMUNERAÇÃO ]]*SUMIFS(tabParametros[SESI OU SESC],tabParametros[Código do Posto],tabCustoUnit[[#This Row],[Código do Posto]])</f>
        <v>24.727828499999998</v>
      </c>
      <c r="R17" s="21">
        <f>tabCustoUnit[[#This Row],[MODULO 1 - REMUNERAÇÃO ]]*SUMIFS(tabParametros[SENAI OU SENAC],tabParametros[Código do Posto],tabCustoUnit[[#This Row],[Código do Posto]])</f>
        <v>16.485219000000001</v>
      </c>
      <c r="S17" s="21">
        <f>tabCustoUnit[[#This Row],[MODULO 1 - REMUNERAÇÃO ]]*SUMIFS(tabParametros[INCRA],tabParametros[Código do Posto],tabCustoUnit[[#This Row],[Código do Posto]])</f>
        <v>3.2970438</v>
      </c>
      <c r="T17" s="21">
        <f>tabCustoUnit[[#This Row],[MODULO 1 - REMUNERAÇÃO ]]*SUMIFS(tabParametros[Salário Educação],tabParametros[Código do Posto],tabCustoUnit[[#This Row],[Código do Posto]])</f>
        <v>41.213047500000002</v>
      </c>
      <c r="U17" s="21">
        <f>tabCustoUnit[[#This Row],[MODULO 1 - REMUNERAÇÃO ]]*SUMIFS(tabParametros[FGTS],tabParametros[Código do Posto],tabCustoUnit[[#This Row],[Código do Posto]])</f>
        <v>131.88175200000001</v>
      </c>
      <c r="V17" s="21">
        <f>tabCustoUnit[[#This Row],[MODULO 1 - REMUNERAÇÃO ]]*SUMIFS(tabParametros[RAT Ajustado],tabParametros[Código do Posto],tabCustoUnit[[#This Row],[Código do Posto]])</f>
        <v>65.940876000000003</v>
      </c>
      <c r="W17" s="21">
        <f>tabCustoUnit[[#This Row],[MODULO 1 - REMUNERAÇÃO ]]*SUMIFS(tabParametros[SEBRAE],tabParametros[Código do Posto],tabCustoUnit[[#This Row],[Código do Posto]])</f>
        <v>9.8911314000000008</v>
      </c>
      <c r="X17" s="21">
        <f>SUM(tabCustoUnit[[#This Row],[INSS]:[SEBRAE]])</f>
        <v>623.14127819999999</v>
      </c>
      <c r="Y17" s="21">
        <f>tabCustoUnit[[#This Row],[MODULO 1 - REMUNERAÇÃO ]]*SUMIFS(tabParametros[13º salário (titular)],tabParametros[Código do Posto],tabCustoUnit[[#This Row],[Código do Posto]])</f>
        <v>137.376825</v>
      </c>
      <c r="Z17" s="21">
        <f>tabCustoUnit[[#This Row],[MODULO 1 - REMUNERAÇÃO ]]*SUMIFS(tabParametros[Férias e Adicional de Férias (titular)],tabParametros[Código do Posto],tabCustoUnit[[#This Row],[Código do Posto]])</f>
        <v>183.16909999999999</v>
      </c>
      <c r="AA17" s="21">
        <f>IFERROR((tabCustoUnit[[#This Row],[Submódulo 2.1]]/tabCustoUnit[[#This Row],[MODULO 1 - REMUNERAÇÃO ]])*SUM(tabCustoUnit[[#This Row],[13º salário (titular)]:[Férias e Adicional de Férias (titular)]]),0)</f>
        <v>121.16635965</v>
      </c>
      <c r="AB17" s="21">
        <f>SUM(tabCustoUnit[[#This Row],[13º salário (titular)]:[Incidência do Submódulo 2.1 sobre 13º Salário, Férias e Adicional de Férias]])</f>
        <v>441.71228465000002</v>
      </c>
      <c r="AC17" s="22">
        <f>_xlfn.LET(_xlpm.VT,SUMIF(tabParametros[Código do Posto],tabCustoUnit[[#This Row],[Código do Posto]],tabParametros[Vale - Transporte])*2*20,
IF((_xlpm.VT-tabCustoUnit[[#This Row],[Salário Base]]*0.06)&gt;=0,(_xlpm.VT-tabCustoUnit[[#This Row],[Salário Base]]*0.06),0)
)</f>
        <v>160.22320000000002</v>
      </c>
      <c r="AD17" s="22">
        <f>IF(SUMIF(tabParametros[Código do Posto],tabCustoUnit[[#This Row],[Código do Posto]],tabParametros[Vale - Alimentação])&lt;=0,0,
SUMIF(tabParametros[Código do Posto],tabCustoUnit[[#This Row],[Código do Posto]],tabParametros[Vale - Alimentação])*20-1)</f>
        <v>0</v>
      </c>
      <c r="AE17" s="22">
        <f>SUMIF(tabParametros[Código do Posto],tabCustoUnit[[#This Row],[Código do Posto]],tabParametros[Cesta Básica])</f>
        <v>387.79</v>
      </c>
      <c r="AF17" s="22">
        <f>SUMIF(tabParametros[Código do Posto],tabCustoUnit[[#This Row],[Código do Posto]],tabParametros[PAF])</f>
        <v>42.97</v>
      </c>
      <c r="AG17" s="22">
        <f>SUMIF(tabParametros[Código do Posto],tabCustoUnit[[#This Row],[Código do Posto]],tabParametros[PQM])</f>
        <v>0</v>
      </c>
      <c r="AH17" s="22">
        <f>SUMIF(tabParametros[Código do Posto],tabCustoUnit[[#This Row],[Código do Posto]],tabParametros[PAT])</f>
        <v>0</v>
      </c>
      <c r="AI17" s="22">
        <f>SUMIF(tabParametros[Código do Posto],tabCustoUnit[[#This Row],[Código do Posto]],tabParametros[Seguro de Vida])</f>
        <v>3.36</v>
      </c>
      <c r="AJ17" s="22">
        <f>SUMIF(tabParametros[Código do Posto],tabCustoUnit[[#This Row],[Código do Posto]],tabParametros[Despesas de Viagem])</f>
        <v>0</v>
      </c>
      <c r="AK17" s="22">
        <f>SUM(tabCustoUnit[[#This Row],[Vale - Transporte (Descontada parcela do empregado)]:[Despesas de Viagem]])</f>
        <v>594.34320000000014</v>
      </c>
      <c r="AL17" s="22">
        <f>tabCustoUnit[[#This Row],[Submódulo 2.1]]+tabCustoUnit[[#This Row],[Submódulo 2.2]]+tabCustoUnit[[#This Row],[Submódulo 2.3]]</f>
        <v>1659.1967628500001</v>
      </c>
      <c r="AM17" s="22">
        <f>SUMIF(tabParametros[Código do Posto],tabCustoUnit[[#This Row],[Código do Posto]],tabParametros[Aviso Prévio Indenizado (API) e Reflexo do Aviso Prévio Indenizado])*tabCustoUnit[[#This Row],[MODULO 1 - REMUNERAÇÃO ]]</f>
        <v>11.559051416493055</v>
      </c>
      <c r="AN17" s="22">
        <f>SUMIF(tabParametros[Código do Posto],tabCustoUnit[[#This Row],[Código do Posto]],tabParametros[Incidência do FGTS sobre API e Reflexo do API])*tabCustoUnit[[#This Row],[MODULO 1 - REMUNERAÇÃO ]]</f>
        <v>0.92472411331944449</v>
      </c>
      <c r="AO17" s="22">
        <f>SUMIF(tabParametros[Código do Posto],tabCustoUnit[[#This Row],[Código do Posto]],tabParametros[Multa Rescisória do FGTS sobre o Aviso Prévio Indenizado])*tabCustoUnit[[#This Row],[MODULO 1 - REMUNERAÇÃO ]]</f>
        <v>0.36988964532777785</v>
      </c>
      <c r="AP17" s="22">
        <f>SUMIF(tabParametros[Código do Posto],tabCustoUnit[[#This Row],[Código do Posto]],tabParametros[Aviso Prévio Trabalhado - APT])*tabCustoUnit[[#This Row],[MODULO 1 - REMUNERAÇÃO ]]</f>
        <v>5.7698266500000006</v>
      </c>
      <c r="AQ17" s="22">
        <f>SUMIF(tabParametros[Código do Posto],tabCustoUnit[[#This Row],[Código do Posto]],tabParametros[Incidência dos encargos do submódulo 2.1 sobre Aviso Prévio Trabalhado])*tabCustoUnit[[#This Row],[MODULO 1 - REMUNERAÇÃO ]]</f>
        <v>2.1809944737000007</v>
      </c>
      <c r="AR17" s="22">
        <f>SUMIF(tabParametros[Código do Posto],tabCustoUnit[[#This Row],[Código do Posto]],tabParametros[Multa Rescisória do FGTS])*tabCustoUnit[[#This Row],[MODULO 1 - REMUNERAÇÃO ]]</f>
        <v>50.40813631999999</v>
      </c>
      <c r="AS17" s="22">
        <f>SUMIF(tabParametros[Código do Posto],tabCustoUnit[[#This Row],[Código do Posto]],tabParametros[Indenização Adicional (Art. 9º da Lei nº 7.238/84)])*tabCustoUnit[[#This Row],[MODULO 1 - REMUNERAÇÃO ]]</f>
        <v>1.3737682500000001</v>
      </c>
      <c r="AT17" s="22">
        <f>SUM(tabCustoUnit[[#This Row],[Aviso Prévio Indenizado (API) e Reflexo do Aviso Prévio Indenizado]:[Indenização Adicional (Art. 9º da Lei nº 7.238/84)]])</f>
        <v>72.586390868840269</v>
      </c>
      <c r="AU17" s="22">
        <f>SUMIF(tabParametros[Código do Posto],tabCustoUnit[[#This Row],[Código do Posto]],tabParametros[Ausência por Doença])*tabCustoUnit[[#This Row],[MODULO 1 - REMUNERAÇÃO ]]</f>
        <v>13.920851599999999</v>
      </c>
      <c r="AV17" s="22">
        <f>SUMIF(tabParametros[Código do Posto],tabCustoUnit[[#This Row],[Código do Posto]],tabParametros[Ausências Legais])*tabCustoUnit[[#This Row],[MODULO 1 - REMUNERAÇÃO ]]</f>
        <v>3.3428360749999997</v>
      </c>
      <c r="AW17" s="22">
        <f>SUMIF(tabParametros[Código do Posto],tabCustoUnit[[#This Row],[Código do Posto]],tabParametros[Licença Paternidade])*tabCustoUnit[[#This Row],[MODULO 1 - REMUNERAÇÃO ]]</f>
        <v>0.28162249125</v>
      </c>
      <c r="AX17" s="22">
        <f>SUMIF(tabParametros[Código do Posto],tabCustoUnit[[#This Row],[Código do Posto]],tabParametros[Ausência por Acidente de Trabalho])*tabCustoUnit[[#This Row],[MODULO 1 - REMUNERAÇÃO ]]</f>
        <v>0.34344206250000003</v>
      </c>
      <c r="AY17" s="22">
        <f>SUMIF(tabParametros[Código do Posto],tabCustoUnit[[#This Row],[Código do Posto]],tabParametros[Férias, Adicional de Férias e 13º  com empregada em gozo de Licença Maternidade])*tabCustoUnit[[#This Row],[MODULO 1 - REMUNERAÇÃO ]]</f>
        <v>2.1369728333333331</v>
      </c>
      <c r="AZ17" s="22">
        <f>SUMIF(tabParametros[Código do Posto],tabCustoUnit[[#This Row],[Código do Posto]],tabParametros[Incidência do Submódulo 2.1 sobre Ausências Legais])*tabCustoUnit[[#This Row],[MODULO 1 - REMUNERAÇÃO ]]</f>
        <v>7.5697240734675013</v>
      </c>
      <c r="BA17" s="22">
        <f>SUM(tabCustoUnit[[#This Row],[Ausência por Doença]:[Incidência do Submódulo 2.1 sobre Ausências Legais]])</f>
        <v>27.595449135550833</v>
      </c>
      <c r="BB17" s="22">
        <f>SUMIF(tabParametros[Código do Posto],tabCustoUnit[[#This Row],[Código do Posto]],tabParametros[Intervalo para Repouso ou Alimentação])</f>
        <v>0</v>
      </c>
      <c r="BC17" s="22">
        <f>tabCustoUnit[[#This Row],[Intervalo para Repouso ou Alimentação]]</f>
        <v>0</v>
      </c>
      <c r="BD17" s="22">
        <f>IF(VLOOKUP(tabCustoUnit[[#This Row],[Código do Posto]],PARAMETROS!$A$4:$BJ$255,7,0)&lt;=0,0,
IFERROR((tabCustoUnit[[#This Row],[MODULO 1 - REMUNERAÇÃO ]]*VLOOKUP(tabCustoUnit[[#This Row],[Código do Posto]],PARAMETROS!$A$4:$BJ$255,49,0))/(VLOOKUP(tabCustoUnit[[#This Row],[Código do Posto]],PARAMETROS!$A$4:$BJ$255,7,0)*VLOOKUP(tabCustoUnit[[#This Row],[Código do Posto]],PARAMETROS!$A$4:$BJ$255,8,0)),0)
)</f>
        <v>0</v>
      </c>
      <c r="BE17" s="22">
        <f>tabCustoUnit[[#This Row],[Suspensão Temporária do Contrato de Trabalho]]</f>
        <v>0</v>
      </c>
      <c r="BF17" s="22">
        <f>tabCustoUnit[[#This Row],[Submódulo 4.1]]+tabCustoUnit[[#This Row],[Submódulo 4.2]]+tabCustoUnit[[#This Row],[Submódulo 4.3]]</f>
        <v>27.595449135550833</v>
      </c>
      <c r="BG17" s="22">
        <f>VLOOKUP(tabCustoUnit[[#This Row],[Código do Posto]],tabParametros[],MATCH(tabCustoUnit[[#Headers],[Uniformes e EPIs]],tabParametros[#Headers],0),0)</f>
        <v>100.80916666666666</v>
      </c>
      <c r="BH17" s="22">
        <f>VLOOKUP(tabCustoUnit[[#This Row],[Código do Posto]],tabParametros[],MATCH(tabCustoUnit[[#Headers],[Materiais de Consumo]],tabParametros[#Headers],0),0)</f>
        <v>35.518212958583888</v>
      </c>
      <c r="BI17" s="22">
        <f>VLOOKUP(tabCustoUnit[[#This Row],[Código do Posto]],tabParametros[],MATCH(tabCustoUnit[[#Headers],[Máquinas e Equipamentos (depreciação)]],tabParametros[#Headers],0),0)</f>
        <v>64.529393914825576</v>
      </c>
      <c r="BJ17" s="22">
        <f>VLOOKUP(tabCustoUnit[[#This Row],[Código do Posto]],tabParametros[],MATCH(tabCustoUnit[[#Headers],[Produtos de Limpeza e Materiais de Higiene Pessoal]],tabParametros[#Headers],0),0)</f>
        <v>690.27153277931654</v>
      </c>
      <c r="BK17" s="22">
        <f>VLOOKUP(tabCustoUnit[[#This Row],[Código do Posto]],tabParametros[],MATCH(tabCustoUnit[[#Headers],[Outros (especificar)]],tabParametros[#Headers],0),0)</f>
        <v>0</v>
      </c>
      <c r="BL17" s="22">
        <f>SUM(tabCustoUnit[[#This Row],[Uniformes e EPIs]:[Outros (especificar)]])</f>
        <v>891.12830631939266</v>
      </c>
      <c r="BM17" s="22">
        <f>tabCustoUnit[[#This Row],[MODULO 1 - REMUNERAÇÃO ]]+tabCustoUnit[[#This Row],[MÓDULO 2 - Total Encargos e Benefícios mensais e diários]]+tabCustoUnit[[#This Row],[MÓDULO 3 – PROVISÃO PARA RESCISÃO]]+tabCustoUnit[[#This Row],[MÓDULO 4 – CUSTO DE REPOSIÇÃO DO PROFISSIONAL AUSENTE]]+tabCustoUnit[[#This Row],[MÓDULO 5 – INSUMOS DIVERSOS]]</f>
        <v>4299.0288091737839</v>
      </c>
      <c r="BN17" s="22">
        <f>VLOOKUP(tabCustoUnit[[#This Row],[Código do Posto]],tabParametros[],MATCH(tabCustoUnit[[#Headers],[Custos Indiretos]],tabParametros[#Headers],0),0)</f>
        <v>189.64880140242613</v>
      </c>
      <c r="BO17" s="22">
        <f>VLOOKUP(tabCustoUnit[[#This Row],[Código do Posto]],tabParametros[],MATCH(tabCustoUnit[[#Headers],[Lucro]],tabParametros[#Headers],0),0)</f>
        <v>159.30499317803796</v>
      </c>
      <c r="BP17" s="26">
        <f>((100/((1-tabCustoUnit[[#This Row],[Resumo de Alíquotas (PIS+CONFINS+ISS)]]))-100)*VLOOKUP(tabCustoUnit[[#This Row],[Código do Posto]],tabParametros[],MATCH(tabCustoUnit[[#Headers],[COFINS]],tabParametros[#Headers],0),0))/(tabCustoUnit[[#This Row],[Resumo de Alíquotas (PIS+CONFINS+ISS)]]*100)</f>
        <v>8.6609686609686695E-2</v>
      </c>
      <c r="BQ17" s="26">
        <f>((100/((100-(tabCustoUnit[[#This Row],[Resumo de Alíquotas (PIS+CONFINS+ISS)]]*100))%)-100)*VLOOKUP(tabCustoUnit[[#This Row],[Código do Posto]],tabParametros[],MATCH(tabCustoUnit[[#Headers],[PIS]],tabParametros[#Headers],0),0))/(tabCustoUnit[[#This Row],[Resumo de Alíquotas (PIS+CONFINS+ISS)]]*100)</f>
        <v>1.880341880341882E-2</v>
      </c>
      <c r="BR17" s="28">
        <f>VLOOKUP(tabCustoUnit[[#This Row],[Código do Posto]],tabParametros[],MATCH(tabCustoUnit[[#Headers],[ISS]],tabParametros[#Headers],0),0)</f>
        <v>0.03</v>
      </c>
      <c r="BS17" s="26">
        <f>(((100/((100-(tabCustoUnit[[#This Row],[Resumo de Alíquotas (PIS+CONFINS+ISS)]]*100))%)-100)*tabCustoUnit[[#This Row],[ISS]])/tabCustoUnit[[#This Row],[Resumo de Alíquotas (PIS+CONFINS+ISS)]])/100</f>
        <v>3.4188034188034219E-2</v>
      </c>
      <c r="BT17" s="26">
        <f>(VLOOKUP(tabCustoUnit[[#This Row],[Código do Posto]],tabParametros[],MATCH(tabCustoUnit[[#Headers],[COFINS]],tabParametros[#Headers],0),0)+
VLOOKUP(tabCustoUnit[[#This Row],[Código do Posto]],tabParametros[],MATCH(tabCustoUnit[[#Headers],[PIS]],tabParametros[#Headers],0),0)+
VLOOKUP(tabCustoUnit[[#This Row],[Código do Posto]],tabParametros[],MATCH(tabCustoUnit[[#Headers],[ISS]],tabParametros[#Headers],0),0))</f>
        <v>0.1225</v>
      </c>
      <c r="BU17" s="138">
        <f>tabCustoUnit[[#This Row],[COFINS]]+tabCustoUnit[[#This Row],[PIS]]+tabCustoUnit[[#This Row],[ISS (Conversão Alíquota s/ fatura)]]</f>
        <v>0.13960113960113973</v>
      </c>
      <c r="BV17" s="22">
        <f>(tabCustoUnit[[#This Row],[TOTAL MÓDULOS 1+2+3+4+5]]+tabCustoUnit[[#This Row],[Custos Indiretos]]+tabCustoUnit[[#This Row],[Lucro]])*tabCustoUnit[[#This Row],[PIS + COFINS + ISS (Total Conversão  Alíquota s/ Fatura)]]</f>
        <v>648.86366833036573</v>
      </c>
      <c r="BW17" s="22">
        <f>tabCustoUnit[[#This Row],[Custos Indiretos]]+tabCustoUnit[[#This Row],[Lucro]]+tabCustoUnit[[#This Row],[Valor dos Tributos (ISS, PIS, CONFINS)]]</f>
        <v>997.81746291082982</v>
      </c>
      <c r="BX17" s="22">
        <f>tabCustoUnit[[#This Row],[TOTAL MÓDULOS 1+2+3+4+5]]+tabCustoUnit[[#This Row],[MÓDULO 6 – CUSTOS INDIRETOS, TRIBUTOS E LUCRO]]</f>
        <v>5296.8462720846137</v>
      </c>
      <c r="BY17" s="22">
        <f>tabCustoUnit[[#This Row],[CUSTO TOTAL MENSAL]]*12</f>
        <v>63562.155265015361</v>
      </c>
      <c r="BZ17" s="24">
        <f>VLOOKUP(tabCustoUnit[[#This Row],[Código do Posto]],tabParametros[],MATCH(tabCustoUnit[[#Headers],[ANO DA CCT]],tabParametros[#Headers],0),0)</f>
        <v>45658</v>
      </c>
      <c r="CA17" s="25" t="str">
        <f>VLOOKUP(tabCustoUnit[[#This Row],[Código do Posto]],tabParametros[],MATCH(tabCustoUnit[[#Headers],[Nº DE PEDIDO DA CCT]],tabParametros[#Headers],0),0)</f>
        <v>-</v>
      </c>
      <c r="CB17" s="25" t="str">
        <f>VLOOKUP(tabCustoUnit[[#This Row],[Código do Posto]],tabParametros[],MATCH(tabCustoUnit[[#Headers],[TERMO ADITIVO ALTERAÇÃO DA CCT]],tabParametros[#Headers],0),0)</f>
        <v>-</v>
      </c>
    </row>
    <row r="18" spans="1:80" x14ac:dyDescent="0.25">
      <c r="A18" s="20" t="s">
        <v>1364</v>
      </c>
      <c r="B18" t="s">
        <v>24</v>
      </c>
      <c r="C18" t="s">
        <v>1245</v>
      </c>
      <c r="D18" t="s">
        <v>24</v>
      </c>
      <c r="E18" s="20" t="s">
        <v>9</v>
      </c>
      <c r="F18" s="20" t="s">
        <v>10</v>
      </c>
      <c r="G18" s="21">
        <v>1649.12</v>
      </c>
      <c r="H18" s="21">
        <v>0</v>
      </c>
      <c r="I18" s="21">
        <v>0</v>
      </c>
      <c r="J18" s="21">
        <v>0</v>
      </c>
      <c r="K18" s="21">
        <v>0</v>
      </c>
      <c r="L18" s="21">
        <v>0</v>
      </c>
      <c r="M18" s="21">
        <v>0</v>
      </c>
      <c r="N18" s="21">
        <v>53.971200000000003</v>
      </c>
      <c r="O18" s="21">
        <f>SUM(tabCustoUnit[[#This Row],[Salário Base]:[Adicional de Acúmulo de função]])</f>
        <v>1703.0911999999998</v>
      </c>
      <c r="P18" s="21">
        <f>tabCustoUnit[[#This Row],[MODULO 1 - REMUNERAÇÃO ]]*SUMIFS(tabParametros[INSS],tabParametros[Código do Posto],tabCustoUnit[[#This Row],[Código do Posto]])</f>
        <v>340.61824000000001</v>
      </c>
      <c r="Q18" s="21">
        <f>tabCustoUnit[[#This Row],[MODULO 1 - REMUNERAÇÃO ]]*SUMIFS(tabParametros[SESI OU SESC],tabParametros[Código do Posto],tabCustoUnit[[#This Row],[Código do Posto]])</f>
        <v>25.546367999999998</v>
      </c>
      <c r="R18" s="21">
        <f>tabCustoUnit[[#This Row],[MODULO 1 - REMUNERAÇÃO ]]*SUMIFS(tabParametros[SENAI OU SENAC],tabParametros[Código do Posto],tabCustoUnit[[#This Row],[Código do Posto]])</f>
        <v>17.030911999999997</v>
      </c>
      <c r="S18" s="21">
        <f>tabCustoUnit[[#This Row],[MODULO 1 - REMUNERAÇÃO ]]*SUMIFS(tabParametros[INCRA],tabParametros[Código do Posto],tabCustoUnit[[#This Row],[Código do Posto]])</f>
        <v>3.4061823999999996</v>
      </c>
      <c r="T18" s="21">
        <f>tabCustoUnit[[#This Row],[MODULO 1 - REMUNERAÇÃO ]]*SUMIFS(tabParametros[Salário Educação],tabParametros[Código do Posto],tabCustoUnit[[#This Row],[Código do Posto]])</f>
        <v>42.577280000000002</v>
      </c>
      <c r="U18" s="21">
        <f>tabCustoUnit[[#This Row],[MODULO 1 - REMUNERAÇÃO ]]*SUMIFS(tabParametros[FGTS],tabParametros[Código do Posto],tabCustoUnit[[#This Row],[Código do Posto]])</f>
        <v>136.24729599999998</v>
      </c>
      <c r="V18" s="21">
        <f>tabCustoUnit[[#This Row],[MODULO 1 - REMUNERAÇÃO ]]*SUMIFS(tabParametros[RAT Ajustado],tabParametros[Código do Posto],tabCustoUnit[[#This Row],[Código do Posto]])</f>
        <v>68.123647999999989</v>
      </c>
      <c r="W18" s="21">
        <f>tabCustoUnit[[#This Row],[MODULO 1 - REMUNERAÇÃO ]]*SUMIFS(tabParametros[SEBRAE],tabParametros[Código do Posto],tabCustoUnit[[#This Row],[Código do Posto]])</f>
        <v>10.2185472</v>
      </c>
      <c r="X18" s="21">
        <f>SUM(tabCustoUnit[[#This Row],[INSS]:[SEBRAE]])</f>
        <v>643.76847359999999</v>
      </c>
      <c r="Y18" s="21">
        <f>tabCustoUnit[[#This Row],[MODULO 1 - REMUNERAÇÃO ]]*SUMIFS(tabParametros[13º salário (titular)],tabParametros[Código do Posto],tabCustoUnit[[#This Row],[Código do Posto]])</f>
        <v>141.92426666666665</v>
      </c>
      <c r="Z18" s="21">
        <f>tabCustoUnit[[#This Row],[MODULO 1 - REMUNERAÇÃO ]]*SUMIFS(tabParametros[Férias e Adicional de Férias (titular)],tabParametros[Código do Posto],tabCustoUnit[[#This Row],[Código do Posto]])</f>
        <v>189.23235555555553</v>
      </c>
      <c r="AA18" s="21">
        <f>IFERROR((tabCustoUnit[[#This Row],[Submódulo 2.1]]/tabCustoUnit[[#This Row],[MODULO 1 - REMUNERAÇÃO ]])*SUM(tabCustoUnit[[#This Row],[13º salário (titular)]:[Férias e Adicional de Férias (titular)]]),0)</f>
        <v>125.17720319999999</v>
      </c>
      <c r="AB18" s="21">
        <f>SUM(tabCustoUnit[[#This Row],[13º salário (titular)]:[Incidência do Submódulo 2.1 sobre 13º Salário, Férias e Adicional de Férias]])</f>
        <v>456.33382542222216</v>
      </c>
      <c r="AC18" s="22">
        <f>_xlfn.LET(_xlpm.VT,SUMIF(tabParametros[Código do Posto],tabCustoUnit[[#This Row],[Código do Posto]],tabParametros[Vale - Transporte])*2*20,
IF((_xlpm.VT-tabCustoUnit[[#This Row],[Salário Base]]*0.06)&gt;=0,(_xlpm.VT-tabCustoUnit[[#This Row],[Salário Base]]*0.06),0)
)</f>
        <v>157.05279999999999</v>
      </c>
      <c r="AD18" s="22">
        <f>IF(SUMIF(tabParametros[Código do Posto],tabCustoUnit[[#This Row],[Código do Posto]],tabParametros[Vale - Alimentação])&lt;=0,0,
SUMIF(tabParametros[Código do Posto],tabCustoUnit[[#This Row],[Código do Posto]],tabParametros[Vale - Alimentação])*20-1)</f>
        <v>582</v>
      </c>
      <c r="AE18" s="22">
        <f>SUMIF(tabParametros[Código do Posto],tabCustoUnit[[#This Row],[Código do Posto]],tabParametros[Cesta Básica])</f>
        <v>0</v>
      </c>
      <c r="AF18" s="22">
        <f>SUMIF(tabParametros[Código do Posto],tabCustoUnit[[#This Row],[Código do Posto]],tabParametros[PAF])</f>
        <v>58.96</v>
      </c>
      <c r="AG18" s="22">
        <f>SUMIF(tabParametros[Código do Posto],tabCustoUnit[[#This Row],[Código do Posto]],tabParametros[PQM])</f>
        <v>0</v>
      </c>
      <c r="AH18" s="22">
        <f>SUMIF(tabParametros[Código do Posto],tabCustoUnit[[#This Row],[Código do Posto]],tabParametros[PAT])</f>
        <v>0</v>
      </c>
      <c r="AI18" s="22">
        <f>SUMIF(tabParametros[Código do Posto],tabCustoUnit[[#This Row],[Código do Posto]],tabParametros[Seguro de Vida])</f>
        <v>3.36</v>
      </c>
      <c r="AJ18" s="22">
        <f>SUMIF(tabParametros[Código do Posto],tabCustoUnit[[#This Row],[Código do Posto]],tabParametros[Despesas de Viagem])</f>
        <v>0</v>
      </c>
      <c r="AK18" s="22">
        <f>SUM(tabCustoUnit[[#This Row],[Vale - Transporte (Descontada parcela do empregado)]:[Despesas de Viagem]])</f>
        <v>801.37279999999998</v>
      </c>
      <c r="AL18" s="22">
        <f>tabCustoUnit[[#This Row],[Submódulo 2.1]]+tabCustoUnit[[#This Row],[Submódulo 2.2]]+tabCustoUnit[[#This Row],[Submódulo 2.3]]</f>
        <v>1901.4750990222224</v>
      </c>
      <c r="AM18" s="22">
        <f>SUMIF(tabParametros[Código do Posto],tabCustoUnit[[#This Row],[Código do Posto]],tabParametros[Aviso Prévio Indenizado (API) e Reflexo do Aviso Prévio Indenizado])*tabCustoUnit[[#This Row],[MODULO 1 - REMUNERAÇÃO ]]</f>
        <v>11.941678632098764</v>
      </c>
      <c r="AN18" s="22">
        <f>SUMIF(tabParametros[Código do Posto],tabCustoUnit[[#This Row],[Código do Posto]],tabParametros[Incidência do FGTS sobre API e Reflexo do API])*tabCustoUnit[[#This Row],[MODULO 1 - REMUNERAÇÃO ]]</f>
        <v>0.9553342905679012</v>
      </c>
      <c r="AO18" s="22">
        <f>SUMIF(tabParametros[Código do Posto],tabCustoUnit[[#This Row],[Código do Posto]],tabParametros[Multa Rescisória do FGTS sobre o Aviso Prévio Indenizado])*tabCustoUnit[[#This Row],[MODULO 1 - REMUNERAÇÃO ]]</f>
        <v>0.38213371622716052</v>
      </c>
      <c r="AP18" s="22">
        <f>SUMIF(tabParametros[Código do Posto],tabCustoUnit[[#This Row],[Código do Posto]],tabParametros[Aviso Prévio Trabalhado - APT])*tabCustoUnit[[#This Row],[MODULO 1 - REMUNERAÇÃO ]]</f>
        <v>5.9608192000000004</v>
      </c>
      <c r="AQ18" s="22">
        <f>SUMIF(tabParametros[Código do Posto],tabCustoUnit[[#This Row],[Código do Posto]],tabParametros[Incidência dos encargos do submódulo 2.1 sobre Aviso Prévio Trabalhado])*tabCustoUnit[[#This Row],[MODULO 1 - REMUNERAÇÃO ]]</f>
        <v>2.2531896576000006</v>
      </c>
      <c r="AR18" s="22">
        <f>SUMIF(tabParametros[Código do Posto],tabCustoUnit[[#This Row],[Código do Posto]],tabParametros[Multa Rescisória do FGTS])*tabCustoUnit[[#This Row],[MODULO 1 - REMUNERAÇÃO ]]</f>
        <v>52.076744248888879</v>
      </c>
      <c r="AS18" s="22">
        <f>SUMIF(tabParametros[Código do Posto],tabCustoUnit[[#This Row],[Código do Posto]],tabParametros[Indenização Adicional (Art. 9º da Lei nº 7.238/84)])*tabCustoUnit[[#This Row],[MODULO 1 - REMUNERAÇÃO ]]</f>
        <v>1.4192426666666667</v>
      </c>
      <c r="AT18" s="22">
        <f>SUM(tabCustoUnit[[#This Row],[Aviso Prévio Indenizado (API) e Reflexo do Aviso Prévio Indenizado]:[Indenização Adicional (Art. 9º da Lei nº 7.238/84)]])</f>
        <v>74.989142412049375</v>
      </c>
      <c r="AU18" s="22">
        <f>SUMIF(tabParametros[Código do Posto],tabCustoUnit[[#This Row],[Código do Posto]],tabParametros[Ausência por Doença])*tabCustoUnit[[#This Row],[MODULO 1 - REMUNERAÇÃO ]]</f>
        <v>14.38165902222222</v>
      </c>
      <c r="AV18" s="22">
        <f>SUMIF(tabParametros[Código do Posto],tabCustoUnit[[#This Row],[Código do Posto]],tabParametros[Ausências Legais])*tabCustoUnit[[#This Row],[MODULO 1 - REMUNERAÇÃO ]]</f>
        <v>3.4534904888888884</v>
      </c>
      <c r="AW18" s="22">
        <f>SUMIF(tabParametros[Código do Posto],tabCustoUnit[[#This Row],[Código do Posto]],tabParametros[Licença Paternidade])*tabCustoUnit[[#This Row],[MODULO 1 - REMUNERAÇÃO ]]</f>
        <v>0.29094474666666664</v>
      </c>
      <c r="AX18" s="22">
        <f>SUMIF(tabParametros[Código do Posto],tabCustoUnit[[#This Row],[Código do Posto]],tabParametros[Ausência por Acidente de Trabalho])*tabCustoUnit[[#This Row],[MODULO 1 - REMUNERAÇÃO ]]</f>
        <v>0.35481066666666666</v>
      </c>
      <c r="AY18" s="22">
        <f>SUMIF(tabParametros[Código do Posto],tabCustoUnit[[#This Row],[Código do Posto]],tabParametros[Férias, Adicional de Férias e 13º  com empregada em gozo de Licença Maternidade])*tabCustoUnit[[#This Row],[MODULO 1 - REMUNERAÇÃO ]]</f>
        <v>2.2077108148148143</v>
      </c>
      <c r="AZ18" s="22">
        <f>SUMIF(tabParametros[Código do Posto],tabCustoUnit[[#This Row],[Código do Posto]],tabParametros[Incidência do Submódulo 2.1 sobre Ausências Legais])*tabCustoUnit[[#This Row],[MODULO 1 - REMUNERAÇÃO ]]</f>
        <v>7.8202967494400006</v>
      </c>
      <c r="BA18" s="22">
        <f>SUM(tabCustoUnit[[#This Row],[Ausência por Doença]:[Incidência do Submódulo 2.1 sobre Ausências Legais]])</f>
        <v>28.508912488699256</v>
      </c>
      <c r="BB18" s="22">
        <f>SUMIF(tabParametros[Código do Posto],tabCustoUnit[[#This Row],[Código do Posto]],tabParametros[Intervalo para Repouso ou Alimentação])</f>
        <v>0</v>
      </c>
      <c r="BC18" s="22">
        <f>tabCustoUnit[[#This Row],[Intervalo para Repouso ou Alimentação]]</f>
        <v>0</v>
      </c>
      <c r="BD18" s="22">
        <f>IF(VLOOKUP(tabCustoUnit[[#This Row],[Código do Posto]],PARAMETROS!$A$4:$BJ$255,7,0)&lt;=0,0,
IFERROR((tabCustoUnit[[#This Row],[MODULO 1 - REMUNERAÇÃO ]]*VLOOKUP(tabCustoUnit[[#This Row],[Código do Posto]],PARAMETROS!$A$4:$BJ$255,49,0))/(VLOOKUP(tabCustoUnit[[#This Row],[Código do Posto]],PARAMETROS!$A$4:$BJ$255,7,0)*VLOOKUP(tabCustoUnit[[#This Row],[Código do Posto]],PARAMETROS!$A$4:$BJ$255,8,0)),0)
)</f>
        <v>0</v>
      </c>
      <c r="BE18" s="22">
        <f>tabCustoUnit[[#This Row],[Suspensão Temporária do Contrato de Trabalho]]</f>
        <v>0</v>
      </c>
      <c r="BF18" s="22">
        <f>tabCustoUnit[[#This Row],[Submódulo 4.1]]+tabCustoUnit[[#This Row],[Submódulo 4.2]]+tabCustoUnit[[#This Row],[Submódulo 4.3]]</f>
        <v>28.508912488699256</v>
      </c>
      <c r="BG18" s="22">
        <f>VLOOKUP(tabCustoUnit[[#This Row],[Código do Posto]],tabParametros[],MATCH(tabCustoUnit[[#Headers],[Uniformes e EPIs]],tabParametros[#Headers],0),0)</f>
        <v>100.80916666666666</v>
      </c>
      <c r="BH18" s="22">
        <f>VLOOKUP(tabCustoUnit[[#This Row],[Código do Posto]],tabParametros[],MATCH(tabCustoUnit[[#Headers],[Materiais de Consumo]],tabParametros[#Headers],0),0)</f>
        <v>35.518212958583888</v>
      </c>
      <c r="BI18" s="22">
        <f>VLOOKUP(tabCustoUnit[[#This Row],[Código do Posto]],tabParametros[],MATCH(tabCustoUnit[[#Headers],[Máquinas e Equipamentos (depreciação)]],tabParametros[#Headers],0),0)</f>
        <v>64.529393914825576</v>
      </c>
      <c r="BJ18" s="22">
        <f>VLOOKUP(tabCustoUnit[[#This Row],[Código do Posto]],tabParametros[],MATCH(tabCustoUnit[[#Headers],[Produtos de Limpeza e Materiais de Higiene Pessoal]],tabParametros[#Headers],0),0)</f>
        <v>690.27153277931654</v>
      </c>
      <c r="BK18" s="22">
        <f>VLOOKUP(tabCustoUnit[[#This Row],[Código do Posto]],tabParametros[],MATCH(tabCustoUnit[[#Headers],[Outros (especificar)]],tabParametros[#Headers],0),0)</f>
        <v>0</v>
      </c>
      <c r="BL18" s="22">
        <f>SUM(tabCustoUnit[[#This Row],[Uniformes e EPIs]:[Outros (especificar)]])</f>
        <v>891.12830631939266</v>
      </c>
      <c r="BM18" s="22">
        <f>tabCustoUnit[[#This Row],[MODULO 1 - REMUNERAÇÃO ]]+tabCustoUnit[[#This Row],[MÓDULO 2 - Total Encargos e Benefícios mensais e diários]]+tabCustoUnit[[#This Row],[MÓDULO 3 – PROVISÃO PARA RESCISÃO]]+tabCustoUnit[[#This Row],[MÓDULO 4 – CUSTO DE REPOSIÇÃO DO PROFISSIONAL AUSENTE]]+tabCustoUnit[[#This Row],[MÓDULO 5 – INSUMOS DIVERSOS]]</f>
        <v>4599.1926602423637</v>
      </c>
      <c r="BN18" s="22">
        <f>VLOOKUP(tabCustoUnit[[#This Row],[Código do Posto]],tabParametros[],MATCH(tabCustoUnit[[#Headers],[Custos Indiretos]],tabParametros[#Headers],0),0)</f>
        <v>189.64880140242613</v>
      </c>
      <c r="BO18" s="22">
        <f>VLOOKUP(tabCustoUnit[[#This Row],[Código do Posto]],tabParametros[],MATCH(tabCustoUnit[[#Headers],[Lucro]],tabParametros[#Headers],0),0)</f>
        <v>159.30499317803796</v>
      </c>
      <c r="BP18" s="26">
        <f>((100/((1-tabCustoUnit[[#This Row],[Resumo de Alíquotas (PIS+CONFINS+ISS)]]))-100)*VLOOKUP(tabCustoUnit[[#This Row],[Código do Posto]],tabParametros[],MATCH(tabCustoUnit[[#Headers],[COFINS]],tabParametros[#Headers],0),0))/(tabCustoUnit[[#This Row],[Resumo de Alíquotas (PIS+CONFINS+ISS)]]*100)</f>
        <v>8.5633802816901458E-2</v>
      </c>
      <c r="BQ18" s="26">
        <f>((100/((100-(tabCustoUnit[[#This Row],[Resumo de Alíquotas (PIS+CONFINS+ISS)]]*100))%)-100)*VLOOKUP(tabCustoUnit[[#This Row],[Código do Posto]],tabParametros[],MATCH(tabCustoUnit[[#Headers],[PIS]],tabParametros[#Headers],0),0))/(tabCustoUnit[[#This Row],[Resumo de Alíquotas (PIS+CONFINS+ISS)]]*100)</f>
        <v>1.8591549295774657E-2</v>
      </c>
      <c r="BR18" s="28">
        <f>VLOOKUP(tabCustoUnit[[#This Row],[Código do Posto]],tabParametros[],MATCH(tabCustoUnit[[#Headers],[ISS]],tabParametros[#Headers],0),0)</f>
        <v>0.02</v>
      </c>
      <c r="BS18" s="26">
        <f>(((100/((100-(tabCustoUnit[[#This Row],[Resumo de Alíquotas (PIS+CONFINS+ISS)]]*100))%)-100)*tabCustoUnit[[#This Row],[ISS]])/tabCustoUnit[[#This Row],[Resumo de Alíquotas (PIS+CONFINS+ISS)]])/100</f>
        <v>2.2535211267605645E-2</v>
      </c>
      <c r="BT18" s="26">
        <f>(VLOOKUP(tabCustoUnit[[#This Row],[Código do Posto]],tabParametros[],MATCH(tabCustoUnit[[#Headers],[COFINS]],tabParametros[#Headers],0),0)+
VLOOKUP(tabCustoUnit[[#This Row],[Código do Posto]],tabParametros[],MATCH(tabCustoUnit[[#Headers],[PIS]],tabParametros[#Headers],0),0)+
VLOOKUP(tabCustoUnit[[#This Row],[Código do Posto]],tabParametros[],MATCH(tabCustoUnit[[#Headers],[ISS]],tabParametros[#Headers],0),0))</f>
        <v>0.1125</v>
      </c>
      <c r="BU18" s="138">
        <f>tabCustoUnit[[#This Row],[COFINS]]+tabCustoUnit[[#This Row],[PIS]]+tabCustoUnit[[#This Row],[ISS (Conversão Alíquota s/ fatura)]]</f>
        <v>0.12676056338028174</v>
      </c>
      <c r="BV18" s="22">
        <f>(tabCustoUnit[[#This Row],[TOTAL MÓDULOS 1+2+3+4+5]]+tabCustoUnit[[#This Row],[Custos Indiretos]]+tabCustoUnit[[#This Row],[Lucro]])*tabCustoUnit[[#This Row],[PIS + COFINS + ISS (Total Conversão  Alíquota s/ Fatura)]]</f>
        <v>627.22983230148543</v>
      </c>
      <c r="BW18" s="22">
        <f>tabCustoUnit[[#This Row],[Custos Indiretos]]+tabCustoUnit[[#This Row],[Lucro]]+tabCustoUnit[[#This Row],[Valor dos Tributos (ISS, PIS, CONFINS)]]</f>
        <v>976.18362688194952</v>
      </c>
      <c r="BX18" s="22">
        <f>tabCustoUnit[[#This Row],[TOTAL MÓDULOS 1+2+3+4+5]]+tabCustoUnit[[#This Row],[MÓDULO 6 – CUSTOS INDIRETOS, TRIBUTOS E LUCRO]]</f>
        <v>5575.3762871243134</v>
      </c>
      <c r="BY18" s="22">
        <f>tabCustoUnit[[#This Row],[CUSTO TOTAL MENSAL]]*12</f>
        <v>66904.515445491765</v>
      </c>
      <c r="BZ18" s="24">
        <f>VLOOKUP(tabCustoUnit[[#This Row],[Código do Posto]],tabParametros[],MATCH(tabCustoUnit[[#Headers],[ANO DA CCT]],tabParametros[#Headers],0),0)</f>
        <v>45658</v>
      </c>
      <c r="CA18" s="25" t="str">
        <f>VLOOKUP(tabCustoUnit[[#This Row],[Código do Posto]],tabParametros[],MATCH(tabCustoUnit[[#Headers],[Nº DE PEDIDO DA CCT]],tabParametros[#Headers],0),0)</f>
        <v>-</v>
      </c>
      <c r="CB18" s="25" t="str">
        <f>VLOOKUP(tabCustoUnit[[#This Row],[Código do Posto]],tabParametros[],MATCH(tabCustoUnit[[#Headers],[TERMO ADITIVO ALTERAÇÃO DA CCT]],tabParametros[#Headers],0),0)</f>
        <v>-</v>
      </c>
    </row>
    <row r="19" spans="1:80" x14ac:dyDescent="0.25">
      <c r="A19" s="20" t="s">
        <v>1365</v>
      </c>
      <c r="B19" t="s">
        <v>25</v>
      </c>
      <c r="C19" t="s">
        <v>1247</v>
      </c>
      <c r="D19" t="s">
        <v>1010</v>
      </c>
      <c r="E19" s="20" t="s">
        <v>9</v>
      </c>
      <c r="F19" s="20" t="s">
        <v>10</v>
      </c>
      <c r="G19" s="21">
        <v>544.17999999999995</v>
      </c>
      <c r="H19" s="21">
        <v>0</v>
      </c>
      <c r="I19" s="21">
        <v>0</v>
      </c>
      <c r="J19" s="21">
        <v>0</v>
      </c>
      <c r="K19" s="21">
        <v>0</v>
      </c>
      <c r="L19" s="21">
        <v>0</v>
      </c>
      <c r="M19" s="21">
        <v>0</v>
      </c>
      <c r="N19" s="21">
        <v>19.590499999999999</v>
      </c>
      <c r="O19" s="21">
        <f>SUM(tabCustoUnit[[#This Row],[Salário Base]:[Adicional de Acúmulo de função]])</f>
        <v>563.77049999999997</v>
      </c>
      <c r="P19" s="21">
        <f>tabCustoUnit[[#This Row],[MODULO 1 - REMUNERAÇÃO ]]*SUMIFS(tabParametros[INSS],tabParametros[Código do Posto],tabCustoUnit[[#This Row],[Código do Posto]])</f>
        <v>112.75409999999999</v>
      </c>
      <c r="Q19" s="21">
        <f>tabCustoUnit[[#This Row],[MODULO 1 - REMUNERAÇÃO ]]*SUMIFS(tabParametros[SESI OU SESC],tabParametros[Código do Posto],tabCustoUnit[[#This Row],[Código do Posto]])</f>
        <v>8.4565574999999988</v>
      </c>
      <c r="R19" s="21">
        <f>tabCustoUnit[[#This Row],[MODULO 1 - REMUNERAÇÃO ]]*SUMIFS(tabParametros[SENAI OU SENAC],tabParametros[Código do Posto],tabCustoUnit[[#This Row],[Código do Posto]])</f>
        <v>5.6377049999999995</v>
      </c>
      <c r="S19" s="21">
        <f>tabCustoUnit[[#This Row],[MODULO 1 - REMUNERAÇÃO ]]*SUMIFS(tabParametros[INCRA],tabParametros[Código do Posto],tabCustoUnit[[#This Row],[Código do Posto]])</f>
        <v>1.1275409999999999</v>
      </c>
      <c r="T19" s="21">
        <f>tabCustoUnit[[#This Row],[MODULO 1 - REMUNERAÇÃO ]]*SUMIFS(tabParametros[Salário Educação],tabParametros[Código do Posto],tabCustoUnit[[#This Row],[Código do Posto]])</f>
        <v>14.094262499999999</v>
      </c>
      <c r="U19" s="21">
        <f>tabCustoUnit[[#This Row],[MODULO 1 - REMUNERAÇÃO ]]*SUMIFS(tabParametros[FGTS],tabParametros[Código do Posto],tabCustoUnit[[#This Row],[Código do Posto]])</f>
        <v>45.101639999999996</v>
      </c>
      <c r="V19" s="21">
        <f>tabCustoUnit[[#This Row],[MODULO 1 - REMUNERAÇÃO ]]*SUMIFS(tabParametros[RAT Ajustado],tabParametros[Código do Posto],tabCustoUnit[[#This Row],[Código do Posto]])</f>
        <v>22.550819999999998</v>
      </c>
      <c r="W19" s="21">
        <f>tabCustoUnit[[#This Row],[MODULO 1 - REMUNERAÇÃO ]]*SUMIFS(tabParametros[SEBRAE],tabParametros[Código do Posto],tabCustoUnit[[#This Row],[Código do Posto]])</f>
        <v>3.3826229999999997</v>
      </c>
      <c r="X19" s="21">
        <f>SUM(tabCustoUnit[[#This Row],[INSS]:[SEBRAE]])</f>
        <v>213.10524899999996</v>
      </c>
      <c r="Y19" s="21">
        <f>tabCustoUnit[[#This Row],[MODULO 1 - REMUNERAÇÃO ]]*SUMIFS(tabParametros[13º salário (titular)],tabParametros[Código do Posto],tabCustoUnit[[#This Row],[Código do Posto]])</f>
        <v>46.980874999999997</v>
      </c>
      <c r="Z19" s="21">
        <f>tabCustoUnit[[#This Row],[MODULO 1 - REMUNERAÇÃO ]]*SUMIFS(tabParametros[Férias e Adicional de Férias (titular)],tabParametros[Código do Posto],tabCustoUnit[[#This Row],[Código do Posto]])</f>
        <v>62.641166666666663</v>
      </c>
      <c r="AA19" s="21">
        <f>IFERROR((tabCustoUnit[[#This Row],[Submódulo 2.1]]/tabCustoUnit[[#This Row],[MODULO 1 - REMUNERAÇÃO ]])*SUM(tabCustoUnit[[#This Row],[13º salário (titular)]:[Férias e Adicional de Férias (titular)]]),0)</f>
        <v>41.437131749999992</v>
      </c>
      <c r="AB19" s="21">
        <f>SUM(tabCustoUnit[[#This Row],[13º salário (titular)]:[Incidência do Submódulo 2.1 sobre 13º Salário, Férias e Adicional de Férias]])</f>
        <v>151.05917341666665</v>
      </c>
      <c r="AC19" s="22">
        <f>_xlfn.LET(_xlpm.VT,SUMIF(tabParametros[Código do Posto],tabCustoUnit[[#This Row],[Código do Posto]],tabParametros[Vale - Transporte])*2*20,
IF((_xlpm.VT-tabCustoUnit[[#This Row],[Salário Base]]*0.06)&gt;=0,(_xlpm.VT-tabCustoUnit[[#This Row],[Salário Base]]*0.06),0)
)</f>
        <v>223.3492</v>
      </c>
      <c r="AD19" s="22">
        <f>IF(SUMIF(tabParametros[Código do Posto],tabCustoUnit[[#This Row],[Código do Posto]],tabParametros[Vale - Alimentação])&lt;=0,0,
SUMIF(tabParametros[Código do Posto],tabCustoUnit[[#This Row],[Código do Posto]],tabParametros[Vale - Alimentação])*20-1)</f>
        <v>582</v>
      </c>
      <c r="AE19" s="22">
        <f>SUMIF(tabParametros[Código do Posto],tabCustoUnit[[#This Row],[Código do Posto]],tabParametros[Cesta Básica])</f>
        <v>0</v>
      </c>
      <c r="AF19" s="22">
        <f>SUMIF(tabParametros[Código do Posto],tabCustoUnit[[#This Row],[Código do Posto]],tabParametros[PAF])</f>
        <v>51.88</v>
      </c>
      <c r="AG19" s="22">
        <f>SUMIF(tabParametros[Código do Posto],tabCustoUnit[[#This Row],[Código do Posto]],tabParametros[PQM])</f>
        <v>0</v>
      </c>
      <c r="AH19" s="22">
        <f>SUMIF(tabParametros[Código do Posto],tabCustoUnit[[#This Row],[Código do Posto]],tabParametros[PAT])</f>
        <v>0</v>
      </c>
      <c r="AI19" s="22">
        <f>SUMIF(tabParametros[Código do Posto],tabCustoUnit[[#This Row],[Código do Posto]],tabParametros[Seguro de Vida])</f>
        <v>3.36</v>
      </c>
      <c r="AJ19" s="22">
        <f>SUMIF(tabParametros[Código do Posto],tabCustoUnit[[#This Row],[Código do Posto]],tabParametros[Despesas de Viagem])</f>
        <v>0</v>
      </c>
      <c r="AK19" s="22">
        <f>SUM(tabCustoUnit[[#This Row],[Vale - Transporte (Descontada parcela do empregado)]:[Despesas de Viagem]])</f>
        <v>860.58920000000001</v>
      </c>
      <c r="AL19" s="22">
        <f>tabCustoUnit[[#This Row],[Submódulo 2.1]]+tabCustoUnit[[#This Row],[Submódulo 2.2]]+tabCustoUnit[[#This Row],[Submódulo 2.3]]</f>
        <v>1224.7536224166665</v>
      </c>
      <c r="AM19" s="22">
        <f>SUMIF(tabParametros[Código do Posto],tabCustoUnit[[#This Row],[Código do Posto]],tabParametros[Aviso Prévio Indenizado (API) e Reflexo do Aviso Prévio Indenizado])*tabCustoUnit[[#This Row],[MODULO 1 - REMUNERAÇÃO ]]</f>
        <v>3.9530273735532404</v>
      </c>
      <c r="AN19" s="22">
        <f>SUMIF(tabParametros[Código do Posto],tabCustoUnit[[#This Row],[Código do Posto]],tabParametros[Incidência do FGTS sobre API e Reflexo do API])*tabCustoUnit[[#This Row],[MODULO 1 - REMUNERAÇÃO ]]</f>
        <v>0.31624218988425928</v>
      </c>
      <c r="AO19" s="22">
        <f>SUMIF(tabParametros[Código do Posto],tabCustoUnit[[#This Row],[Código do Posto]],tabParametros[Multa Rescisória do FGTS sobre o Aviso Prévio Indenizado])*tabCustoUnit[[#This Row],[MODULO 1 - REMUNERAÇÃO ]]</f>
        <v>0.12649687595370371</v>
      </c>
      <c r="AP19" s="22">
        <f>SUMIF(tabParametros[Código do Posto],tabCustoUnit[[#This Row],[Código do Posto]],tabParametros[Aviso Prévio Trabalhado - APT])*tabCustoUnit[[#This Row],[MODULO 1 - REMUNERAÇÃO ]]</f>
        <v>1.9731967500000003</v>
      </c>
      <c r="AQ19" s="22">
        <f>SUMIF(tabParametros[Código do Posto],tabCustoUnit[[#This Row],[Código do Posto]],tabParametros[Incidência dos encargos do submódulo 2.1 sobre Aviso Prévio Trabalhado])*tabCustoUnit[[#This Row],[MODULO 1 - REMUNERAÇÃO ]]</f>
        <v>0.74586837150000018</v>
      </c>
      <c r="AR19" s="22">
        <f>SUMIF(tabParametros[Código do Posto],tabCustoUnit[[#This Row],[Código do Posto]],tabParametros[Multa Rescisória do FGTS])*tabCustoUnit[[#This Row],[MODULO 1 - REMUNERAÇÃO ]]</f>
        <v>17.238849066666663</v>
      </c>
      <c r="AS19" s="22">
        <f>SUMIF(tabParametros[Código do Posto],tabCustoUnit[[#This Row],[Código do Posto]],tabParametros[Indenização Adicional (Art. 9º da Lei nº 7.238/84)])*tabCustoUnit[[#This Row],[MODULO 1 - REMUNERAÇÃO ]]</f>
        <v>0.46980875</v>
      </c>
      <c r="AT19" s="22">
        <f>SUM(tabCustoUnit[[#This Row],[Aviso Prévio Indenizado (API) e Reflexo do Aviso Prévio Indenizado]:[Indenização Adicional (Art. 9º da Lei nº 7.238/84)]])</f>
        <v>24.823489377557866</v>
      </c>
      <c r="AU19" s="22">
        <f>SUMIF(tabParametros[Código do Posto],tabCustoUnit[[#This Row],[Código do Posto]],tabParametros[Ausência por Doença])*tabCustoUnit[[#This Row],[MODULO 1 - REMUNERAÇÃO ]]</f>
        <v>4.7607286666666662</v>
      </c>
      <c r="AV19" s="22">
        <f>SUMIF(tabParametros[Código do Posto],tabCustoUnit[[#This Row],[Código do Posto]],tabParametros[Ausências Legais])*tabCustoUnit[[#This Row],[MODULO 1 - REMUNERAÇÃO ]]</f>
        <v>1.1432012916666665</v>
      </c>
      <c r="AW19" s="22">
        <f>SUMIF(tabParametros[Código do Posto],tabCustoUnit[[#This Row],[Código do Posto]],tabParametros[Licença Paternidade])*tabCustoUnit[[#This Row],[MODULO 1 - REMUNERAÇÃO ]]</f>
        <v>9.6310793749999998E-2</v>
      </c>
      <c r="AX19" s="22">
        <f>SUMIF(tabParametros[Código do Posto],tabCustoUnit[[#This Row],[Código do Posto]],tabParametros[Ausência por Acidente de Trabalho])*tabCustoUnit[[#This Row],[MODULO 1 - REMUNERAÇÃO ]]</f>
        <v>0.1174521875</v>
      </c>
      <c r="AY19" s="22">
        <f>SUMIF(tabParametros[Código do Posto],tabCustoUnit[[#This Row],[Código do Posto]],tabParametros[Férias, Adicional de Férias e 13º  com empregada em gozo de Licença Maternidade])*tabCustoUnit[[#This Row],[MODULO 1 - REMUNERAÇÃO ]]</f>
        <v>0.73081361111111109</v>
      </c>
      <c r="AZ19" s="22">
        <f>SUMIF(tabParametros[Código do Posto],tabCustoUnit[[#This Row],[Código do Posto]],tabParametros[Incidência do Submódulo 2.1 sobre Ausências Legais])*tabCustoUnit[[#This Row],[MODULO 1 - REMUNERAÇÃO ]]</f>
        <v>2.5887354761625003</v>
      </c>
      <c r="BA19" s="22">
        <f>SUM(tabCustoUnit[[#This Row],[Ausência por Doença]:[Incidência do Submódulo 2.1 sobre Ausências Legais]])</f>
        <v>9.4372420268569428</v>
      </c>
      <c r="BB19" s="22">
        <f>SUMIF(tabParametros[Código do Posto],tabCustoUnit[[#This Row],[Código do Posto]],tabParametros[Intervalo para Repouso ou Alimentação])</f>
        <v>0</v>
      </c>
      <c r="BC19" s="22">
        <f>tabCustoUnit[[#This Row],[Intervalo para Repouso ou Alimentação]]</f>
        <v>0</v>
      </c>
      <c r="BD19" s="22">
        <f>IF(VLOOKUP(tabCustoUnit[[#This Row],[Código do Posto]],PARAMETROS!$A$4:$BJ$255,7,0)&lt;=0,0,
IFERROR((tabCustoUnit[[#This Row],[MODULO 1 - REMUNERAÇÃO ]]*VLOOKUP(tabCustoUnit[[#This Row],[Código do Posto]],PARAMETROS!$A$4:$BJ$255,49,0))/(VLOOKUP(tabCustoUnit[[#This Row],[Código do Posto]],PARAMETROS!$A$4:$BJ$255,7,0)*VLOOKUP(tabCustoUnit[[#This Row],[Código do Posto]],PARAMETROS!$A$4:$BJ$255,8,0)),0)
)</f>
        <v>0</v>
      </c>
      <c r="BE19" s="22">
        <f>tabCustoUnit[[#This Row],[Suspensão Temporária do Contrato de Trabalho]]</f>
        <v>0</v>
      </c>
      <c r="BF19" s="22">
        <f>tabCustoUnit[[#This Row],[Submódulo 4.1]]+tabCustoUnit[[#This Row],[Submódulo 4.2]]+tabCustoUnit[[#This Row],[Submódulo 4.3]]</f>
        <v>9.4372420268569428</v>
      </c>
      <c r="BG19" s="22">
        <f>VLOOKUP(tabCustoUnit[[#This Row],[Código do Posto]],tabParametros[],MATCH(tabCustoUnit[[#Headers],[Uniformes e EPIs]],tabParametros[#Headers],0),0)</f>
        <v>62.806666666666665</v>
      </c>
      <c r="BH19" s="22">
        <f>VLOOKUP(tabCustoUnit[[#This Row],[Código do Posto]],tabParametros[],MATCH(tabCustoUnit[[#Headers],[Materiais de Consumo]],tabParametros[#Headers],0),0)</f>
        <v>12.108481690426325</v>
      </c>
      <c r="BI19" s="22">
        <f>VLOOKUP(tabCustoUnit[[#This Row],[Código do Posto]],tabParametros[],MATCH(tabCustoUnit[[#Headers],[Máquinas e Equipamentos (depreciação)]],tabParametros[#Headers],0),0)</f>
        <v>21.998657016417809</v>
      </c>
      <c r="BJ19" s="22">
        <f>VLOOKUP(tabCustoUnit[[#This Row],[Código do Posto]],tabParametros[],MATCH(tabCustoUnit[[#Headers],[Produtos de Limpeza e Materiais de Higiene Pessoal]],tabParametros[#Headers],0),0)</f>
        <v>235.31984072022155</v>
      </c>
      <c r="BK19" s="22">
        <f>VLOOKUP(tabCustoUnit[[#This Row],[Código do Posto]],tabParametros[],MATCH(tabCustoUnit[[#Headers],[Outros (especificar)]],tabParametros[#Headers],0),0)</f>
        <v>0</v>
      </c>
      <c r="BL19" s="22">
        <f>SUM(tabCustoUnit[[#This Row],[Uniformes e EPIs]:[Outros (especificar)]])</f>
        <v>332.23364609373232</v>
      </c>
      <c r="BM19" s="22">
        <f>tabCustoUnit[[#This Row],[MODULO 1 - REMUNERAÇÃO ]]+tabCustoUnit[[#This Row],[MÓDULO 2 - Total Encargos e Benefícios mensais e diários]]+tabCustoUnit[[#This Row],[MÓDULO 3 – PROVISÃO PARA RESCISÃO]]+tabCustoUnit[[#This Row],[MÓDULO 4 – CUSTO DE REPOSIÇÃO DO PROFISSIONAL AUSENTE]]+tabCustoUnit[[#This Row],[MÓDULO 5 – INSUMOS DIVERSOS]]</f>
        <v>2155.0184999148137</v>
      </c>
      <c r="BN19" s="22">
        <f>VLOOKUP(tabCustoUnit[[#This Row],[Código do Posto]],tabParametros[],MATCH(tabCustoUnit[[#Headers],[Custos Indiretos]],tabParametros[#Headers],0),0)</f>
        <v>189.64880140242613</v>
      </c>
      <c r="BO19" s="22">
        <f>VLOOKUP(tabCustoUnit[[#This Row],[Código do Posto]],tabParametros[],MATCH(tabCustoUnit[[#Headers],[Lucro]],tabParametros[#Headers],0),0)</f>
        <v>159.30499317803796</v>
      </c>
      <c r="BP19" s="26">
        <f>((100/((1-tabCustoUnit[[#This Row],[Resumo de Alíquotas (PIS+CONFINS+ISS)]]))-100)*VLOOKUP(tabCustoUnit[[#This Row],[Código do Posto]],tabParametros[],MATCH(tabCustoUnit[[#Headers],[COFINS]],tabParametros[#Headers],0),0))/(tabCustoUnit[[#This Row],[Resumo de Alíquotas (PIS+CONFINS+ISS)]]*100)</f>
        <v>8.5633802816901458E-2</v>
      </c>
      <c r="BQ19" s="26">
        <f>((100/((100-(tabCustoUnit[[#This Row],[Resumo de Alíquotas (PIS+CONFINS+ISS)]]*100))%)-100)*VLOOKUP(tabCustoUnit[[#This Row],[Código do Posto]],tabParametros[],MATCH(tabCustoUnit[[#Headers],[PIS]],tabParametros[#Headers],0),0))/(tabCustoUnit[[#This Row],[Resumo de Alíquotas (PIS+CONFINS+ISS)]]*100)</f>
        <v>1.8591549295774657E-2</v>
      </c>
      <c r="BR19" s="28">
        <f>VLOOKUP(tabCustoUnit[[#This Row],[Código do Posto]],tabParametros[],MATCH(tabCustoUnit[[#Headers],[ISS]],tabParametros[#Headers],0),0)</f>
        <v>0.02</v>
      </c>
      <c r="BS19" s="26">
        <f>(((100/((100-(tabCustoUnit[[#This Row],[Resumo de Alíquotas (PIS+CONFINS+ISS)]]*100))%)-100)*tabCustoUnit[[#This Row],[ISS]])/tabCustoUnit[[#This Row],[Resumo de Alíquotas (PIS+CONFINS+ISS)]])/100</f>
        <v>2.2535211267605645E-2</v>
      </c>
      <c r="BT19" s="26">
        <f>(VLOOKUP(tabCustoUnit[[#This Row],[Código do Posto]],tabParametros[],MATCH(tabCustoUnit[[#Headers],[COFINS]],tabParametros[#Headers],0),0)+
VLOOKUP(tabCustoUnit[[#This Row],[Código do Posto]],tabParametros[],MATCH(tabCustoUnit[[#Headers],[PIS]],tabParametros[#Headers],0),0)+
VLOOKUP(tabCustoUnit[[#This Row],[Código do Posto]],tabParametros[],MATCH(tabCustoUnit[[#Headers],[ISS]],tabParametros[#Headers],0),0))</f>
        <v>0.1125</v>
      </c>
      <c r="BU19" s="138">
        <f>tabCustoUnit[[#This Row],[COFINS]]+tabCustoUnit[[#This Row],[PIS]]+tabCustoUnit[[#This Row],[ISS (Conversão Alíquota s/ fatura)]]</f>
        <v>0.12676056338028174</v>
      </c>
      <c r="BV19" s="22">
        <f>(tabCustoUnit[[#This Row],[TOTAL MÓDULOS 1+2+3+4+5]]+tabCustoUnit[[#This Row],[Custos Indiretos]]+tabCustoUnit[[#This Row],[Lucro]])*tabCustoUnit[[#This Row],[PIS + COFINS + ISS (Total Conversão  Alíquota s/ Fatura)]]</f>
        <v>317.40493873883815</v>
      </c>
      <c r="BW19" s="22">
        <f>tabCustoUnit[[#This Row],[Custos Indiretos]]+tabCustoUnit[[#This Row],[Lucro]]+tabCustoUnit[[#This Row],[Valor dos Tributos (ISS, PIS, CONFINS)]]</f>
        <v>666.35873331930225</v>
      </c>
      <c r="BX19" s="22">
        <f>tabCustoUnit[[#This Row],[TOTAL MÓDULOS 1+2+3+4+5]]+tabCustoUnit[[#This Row],[MÓDULO 6 – CUSTOS INDIRETOS, TRIBUTOS E LUCRO]]</f>
        <v>2821.3772332341159</v>
      </c>
      <c r="BY19" s="22">
        <f>tabCustoUnit[[#This Row],[CUSTO TOTAL MENSAL]]*12</f>
        <v>33856.526798809391</v>
      </c>
      <c r="BZ19" s="24">
        <f>VLOOKUP(tabCustoUnit[[#This Row],[Código do Posto]],tabParametros[],MATCH(tabCustoUnit[[#Headers],[ANO DA CCT]],tabParametros[#Headers],0),0)</f>
        <v>45658</v>
      </c>
      <c r="CA19" s="25" t="str">
        <f>VLOOKUP(tabCustoUnit[[#This Row],[Código do Posto]],tabParametros[],MATCH(tabCustoUnit[[#Headers],[Nº DE PEDIDO DA CCT]],tabParametros[#Headers],0),0)</f>
        <v>-</v>
      </c>
      <c r="CB19" s="25" t="str">
        <f>VLOOKUP(tabCustoUnit[[#This Row],[Código do Posto]],tabParametros[],MATCH(tabCustoUnit[[#Headers],[TERMO ADITIVO ALTERAÇÃO DA CCT]],tabParametros[#Headers],0),0)</f>
        <v>-</v>
      </c>
    </row>
    <row r="20" spans="1:80" x14ac:dyDescent="0.25">
      <c r="A20" s="20" t="s">
        <v>1366</v>
      </c>
      <c r="B20" t="s">
        <v>26</v>
      </c>
      <c r="C20" t="s">
        <v>1244</v>
      </c>
      <c r="D20" t="s">
        <v>1023</v>
      </c>
      <c r="E20" s="20" t="s">
        <v>9</v>
      </c>
      <c r="F20" s="20" t="s">
        <v>10</v>
      </c>
      <c r="G20" s="21">
        <v>798.14</v>
      </c>
      <c r="H20" s="21">
        <v>0</v>
      </c>
      <c r="I20" s="21">
        <v>0</v>
      </c>
      <c r="J20" s="21">
        <v>0</v>
      </c>
      <c r="K20" s="21">
        <v>0</v>
      </c>
      <c r="L20" s="21">
        <v>0</v>
      </c>
      <c r="M20" s="21">
        <v>0</v>
      </c>
      <c r="N20" s="21">
        <v>26.120899999999999</v>
      </c>
      <c r="O20" s="21">
        <f>SUM(tabCustoUnit[[#This Row],[Salário Base]:[Adicional de Acúmulo de função]])</f>
        <v>824.26089999999999</v>
      </c>
      <c r="P20" s="21">
        <f>tabCustoUnit[[#This Row],[MODULO 1 - REMUNERAÇÃO ]]*SUMIFS(tabParametros[INSS],tabParametros[Código do Posto],tabCustoUnit[[#This Row],[Código do Posto]])</f>
        <v>164.85218</v>
      </c>
      <c r="Q20" s="21">
        <f>tabCustoUnit[[#This Row],[MODULO 1 - REMUNERAÇÃO ]]*SUMIFS(tabParametros[SESI OU SESC],tabParametros[Código do Posto],tabCustoUnit[[#This Row],[Código do Posto]])</f>
        <v>12.363913499999999</v>
      </c>
      <c r="R20" s="21">
        <f>tabCustoUnit[[#This Row],[MODULO 1 - REMUNERAÇÃO ]]*SUMIFS(tabParametros[SENAI OU SENAC],tabParametros[Código do Posto],tabCustoUnit[[#This Row],[Código do Posto]])</f>
        <v>8.2426089999999999</v>
      </c>
      <c r="S20" s="21">
        <f>tabCustoUnit[[#This Row],[MODULO 1 - REMUNERAÇÃO ]]*SUMIFS(tabParametros[INCRA],tabParametros[Código do Posto],tabCustoUnit[[#This Row],[Código do Posto]])</f>
        <v>1.6485217999999999</v>
      </c>
      <c r="T20" s="21">
        <f>tabCustoUnit[[#This Row],[MODULO 1 - REMUNERAÇÃO ]]*SUMIFS(tabParametros[Salário Educação],tabParametros[Código do Posto],tabCustoUnit[[#This Row],[Código do Posto]])</f>
        <v>20.606522500000001</v>
      </c>
      <c r="U20" s="21">
        <f>tabCustoUnit[[#This Row],[MODULO 1 - REMUNERAÇÃO ]]*SUMIFS(tabParametros[FGTS],tabParametros[Código do Posto],tabCustoUnit[[#This Row],[Código do Posto]])</f>
        <v>65.940871999999999</v>
      </c>
      <c r="V20" s="21">
        <f>tabCustoUnit[[#This Row],[MODULO 1 - REMUNERAÇÃO ]]*SUMIFS(tabParametros[RAT Ajustado],tabParametros[Código do Posto],tabCustoUnit[[#This Row],[Código do Posto]])</f>
        <v>32.970435999999999</v>
      </c>
      <c r="W20" s="21">
        <f>tabCustoUnit[[#This Row],[MODULO 1 - REMUNERAÇÃO ]]*SUMIFS(tabParametros[SEBRAE],tabParametros[Código do Posto],tabCustoUnit[[#This Row],[Código do Posto]])</f>
        <v>4.9455654000000004</v>
      </c>
      <c r="X20" s="21">
        <f>SUM(tabCustoUnit[[#This Row],[INSS]:[SEBRAE]])</f>
        <v>311.57062020000001</v>
      </c>
      <c r="Y20" s="21">
        <f>tabCustoUnit[[#This Row],[MODULO 1 - REMUNERAÇÃO ]]*SUMIFS(tabParametros[13º salário (titular)],tabParametros[Código do Posto],tabCustoUnit[[#This Row],[Código do Posto]])</f>
        <v>68.688408333333328</v>
      </c>
      <c r="Z20" s="21">
        <f>tabCustoUnit[[#This Row],[MODULO 1 - REMUNERAÇÃO ]]*SUMIFS(tabParametros[Férias e Adicional de Férias (titular)],tabParametros[Código do Posto],tabCustoUnit[[#This Row],[Código do Posto]])</f>
        <v>91.584544444444433</v>
      </c>
      <c r="AA20" s="21">
        <f>IFERROR((tabCustoUnit[[#This Row],[Submódulo 2.1]]/tabCustoUnit[[#This Row],[MODULO 1 - REMUNERAÇÃO ]])*SUM(tabCustoUnit[[#This Row],[13º salário (titular)]:[Férias e Adicional de Férias (titular)]]),0)</f>
        <v>60.583176149999993</v>
      </c>
      <c r="AB20" s="21">
        <f>SUM(tabCustoUnit[[#This Row],[13º salário (titular)]:[Incidência do Submódulo 2.1 sobre 13º Salário, Férias e Adicional de Férias]])</f>
        <v>220.85612892777775</v>
      </c>
      <c r="AC20" s="22">
        <f>_xlfn.LET(_xlpm.VT,SUMIF(tabParametros[Código do Posto],tabCustoUnit[[#This Row],[Código do Posto]],tabParametros[Vale - Transporte])*2*20,
IF((_xlpm.VT-tabCustoUnit[[#This Row],[Salário Base]]*0.06)&gt;=0,(_xlpm.VT-tabCustoUnit[[#This Row],[Salário Base]]*0.06),0)
)</f>
        <v>208.11160000000001</v>
      </c>
      <c r="AD20" s="22">
        <f>IF(SUMIF(tabParametros[Código do Posto],tabCustoUnit[[#This Row],[Código do Posto]],tabParametros[Vale - Alimentação])&lt;=0,0,
SUMIF(tabParametros[Código do Posto],tabCustoUnit[[#This Row],[Código do Posto]],tabParametros[Vale - Alimentação])*20-1)</f>
        <v>582</v>
      </c>
      <c r="AE20" s="22">
        <f>SUMIF(tabParametros[Código do Posto],tabCustoUnit[[#This Row],[Código do Posto]],tabParametros[Cesta Básica])</f>
        <v>0</v>
      </c>
      <c r="AF20" s="22">
        <f>SUMIF(tabParametros[Código do Posto],tabCustoUnit[[#This Row],[Código do Posto]],tabParametros[PAF])</f>
        <v>0</v>
      </c>
      <c r="AG20" s="22">
        <f>SUMIF(tabParametros[Código do Posto],tabCustoUnit[[#This Row],[Código do Posto]],tabParametros[PQM])</f>
        <v>0</v>
      </c>
      <c r="AH20" s="22">
        <f>SUMIF(tabParametros[Código do Posto],tabCustoUnit[[#This Row],[Código do Posto]],tabParametros[PAT])</f>
        <v>0</v>
      </c>
      <c r="AI20" s="22">
        <f>SUMIF(tabParametros[Código do Posto],tabCustoUnit[[#This Row],[Código do Posto]],tabParametros[Seguro de Vida])</f>
        <v>3.36</v>
      </c>
      <c r="AJ20" s="22">
        <f>SUMIF(tabParametros[Código do Posto],tabCustoUnit[[#This Row],[Código do Posto]],tabParametros[Despesas de Viagem])</f>
        <v>0</v>
      </c>
      <c r="AK20" s="22">
        <f>SUM(tabCustoUnit[[#This Row],[Vale - Transporte (Descontada parcela do empregado)]:[Despesas de Viagem]])</f>
        <v>793.47159999999997</v>
      </c>
      <c r="AL20" s="22">
        <f>tabCustoUnit[[#This Row],[Submódulo 2.1]]+tabCustoUnit[[#This Row],[Submódulo 2.2]]+tabCustoUnit[[#This Row],[Submódulo 2.3]]</f>
        <v>1325.8983491277777</v>
      </c>
      <c r="AM20" s="22">
        <f>SUMIF(tabParametros[Código do Posto],tabCustoUnit[[#This Row],[Código do Posto]],tabParametros[Aviso Prévio Indenizado (API) e Reflexo do Aviso Prévio Indenizado])*tabCustoUnit[[#This Row],[MODULO 1 - REMUNERAÇÃO ]]</f>
        <v>5.7795253576581791</v>
      </c>
      <c r="AN20" s="22">
        <f>SUMIF(tabParametros[Código do Posto],tabCustoUnit[[#This Row],[Código do Posto]],tabParametros[Incidência do FGTS sobre API e Reflexo do API])*tabCustoUnit[[#This Row],[MODULO 1 - REMUNERAÇÃO ]]</f>
        <v>0.46236202861265435</v>
      </c>
      <c r="AO20" s="22">
        <f>SUMIF(tabParametros[Código do Posto],tabCustoUnit[[#This Row],[Código do Posto]],tabParametros[Multa Rescisória do FGTS sobre o Aviso Prévio Indenizado])*tabCustoUnit[[#This Row],[MODULO 1 - REMUNERAÇÃO ]]</f>
        <v>0.18494481144506175</v>
      </c>
      <c r="AP20" s="22">
        <f>SUMIF(tabParametros[Código do Posto],tabCustoUnit[[#This Row],[Código do Posto]],tabParametros[Aviso Prévio Trabalhado - APT])*tabCustoUnit[[#This Row],[MODULO 1 - REMUNERAÇÃO ]]</f>
        <v>2.8849131500000005</v>
      </c>
      <c r="AQ20" s="22">
        <f>SUMIF(tabParametros[Código do Posto],tabCustoUnit[[#This Row],[Código do Posto]],tabParametros[Incidência dos encargos do submódulo 2.1 sobre Aviso Prévio Trabalhado])*tabCustoUnit[[#This Row],[MODULO 1 - REMUNERAÇÃO ]]</f>
        <v>1.0904971707000004</v>
      </c>
      <c r="AR20" s="22">
        <f>SUMIF(tabParametros[Código do Posto],tabCustoUnit[[#This Row],[Código do Posto]],tabParametros[Multa Rescisória do FGTS])*tabCustoUnit[[#This Row],[MODULO 1 - REMUNERAÇÃO ]]</f>
        <v>25.204066631111107</v>
      </c>
      <c r="AS20" s="22">
        <f>SUMIF(tabParametros[Código do Posto],tabCustoUnit[[#This Row],[Código do Posto]],tabParametros[Indenização Adicional (Art. 9º da Lei nº 7.238/84)])*tabCustoUnit[[#This Row],[MODULO 1 - REMUNERAÇÃO ]]</f>
        <v>0.6868840833333334</v>
      </c>
      <c r="AT20" s="22">
        <f>SUM(tabCustoUnit[[#This Row],[Aviso Prévio Indenizado (API) e Reflexo do Aviso Prévio Indenizado]:[Indenização Adicional (Art. 9º da Lei nº 7.238/84)]])</f>
        <v>36.293193232860339</v>
      </c>
      <c r="AU20" s="22">
        <f>SUMIF(tabParametros[Código do Posto],tabCustoUnit[[#This Row],[Código do Posto]],tabParametros[Ausência por Doença])*tabCustoUnit[[#This Row],[MODULO 1 - REMUNERAÇÃO ]]</f>
        <v>6.9604253777777769</v>
      </c>
      <c r="AV20" s="22">
        <f>SUMIF(tabParametros[Código do Posto],tabCustoUnit[[#This Row],[Código do Posto]],tabParametros[Ausências Legais])*tabCustoUnit[[#This Row],[MODULO 1 - REMUNERAÇÃO ]]</f>
        <v>1.671417936111111</v>
      </c>
      <c r="AW20" s="22">
        <f>SUMIF(tabParametros[Código do Posto],tabCustoUnit[[#This Row],[Código do Posto]],tabParametros[Licença Paternidade])*tabCustoUnit[[#This Row],[MODULO 1 - REMUNERAÇÃO ]]</f>
        <v>0.14081123708333332</v>
      </c>
      <c r="AX20" s="22">
        <f>SUMIF(tabParametros[Código do Posto],tabCustoUnit[[#This Row],[Código do Posto]],tabParametros[Ausência por Acidente de Trabalho])*tabCustoUnit[[#This Row],[MODULO 1 - REMUNERAÇÃO ]]</f>
        <v>0.17172102083333335</v>
      </c>
      <c r="AY20" s="22">
        <f>SUMIF(tabParametros[Código do Posto],tabCustoUnit[[#This Row],[Código do Posto]],tabParametros[Férias, Adicional de Férias e 13º  com empregada em gozo de Licença Maternidade])*tabCustoUnit[[#This Row],[MODULO 1 - REMUNERAÇÃO ]]</f>
        <v>1.0684863518518517</v>
      </c>
      <c r="AZ20" s="22">
        <f>SUMIF(tabParametros[Código do Posto],tabCustoUnit[[#This Row],[Código do Posto]],tabParametros[Incidência do Submódulo 2.1 sobre Ausências Legais])*tabCustoUnit[[#This Row],[MODULO 1 - REMUNERAÇÃO ]]</f>
        <v>3.7848618071425006</v>
      </c>
      <c r="BA20" s="22">
        <f>SUM(tabCustoUnit[[#This Row],[Ausência por Doença]:[Incidência do Submódulo 2.1 sobre Ausências Legais]])</f>
        <v>13.797723730799909</v>
      </c>
      <c r="BB20" s="22">
        <f>SUMIF(tabParametros[Código do Posto],tabCustoUnit[[#This Row],[Código do Posto]],tabParametros[Intervalo para Repouso ou Alimentação])</f>
        <v>0</v>
      </c>
      <c r="BC20" s="22">
        <f>tabCustoUnit[[#This Row],[Intervalo para Repouso ou Alimentação]]</f>
        <v>0</v>
      </c>
      <c r="BD20" s="22">
        <f>IF(VLOOKUP(tabCustoUnit[[#This Row],[Código do Posto]],PARAMETROS!$A$4:$BJ$255,7,0)&lt;=0,0,
IFERROR((tabCustoUnit[[#This Row],[MODULO 1 - REMUNERAÇÃO ]]*VLOOKUP(tabCustoUnit[[#This Row],[Código do Posto]],PARAMETROS!$A$4:$BJ$255,49,0))/(VLOOKUP(tabCustoUnit[[#This Row],[Código do Posto]],PARAMETROS!$A$4:$BJ$255,7,0)*VLOOKUP(tabCustoUnit[[#This Row],[Código do Posto]],PARAMETROS!$A$4:$BJ$255,8,0)),0)
)</f>
        <v>0</v>
      </c>
      <c r="BE20" s="22">
        <f>tabCustoUnit[[#This Row],[Suspensão Temporária do Contrato de Trabalho]]</f>
        <v>0</v>
      </c>
      <c r="BF20" s="22">
        <f>tabCustoUnit[[#This Row],[Submódulo 4.1]]+tabCustoUnit[[#This Row],[Submódulo 4.2]]+tabCustoUnit[[#This Row],[Submódulo 4.3]]</f>
        <v>13.797723730799909</v>
      </c>
      <c r="BG20" s="22">
        <f>VLOOKUP(tabCustoUnit[[#This Row],[Código do Posto]],tabParametros[],MATCH(tabCustoUnit[[#Headers],[Uniformes e EPIs]],tabParametros[#Headers],0),0)</f>
        <v>62.806666666666665</v>
      </c>
      <c r="BH20" s="22">
        <f>VLOOKUP(tabCustoUnit[[#This Row],[Código do Posto]],tabParametros[],MATCH(tabCustoUnit[[#Headers],[Materiais de Consumo]],tabParametros[#Headers],0),0)</f>
        <v>17.759106479291944</v>
      </c>
      <c r="BI20" s="22">
        <f>VLOOKUP(tabCustoUnit[[#This Row],[Código do Posto]],tabParametros[],MATCH(tabCustoUnit[[#Headers],[Máquinas e Equipamentos (depreciação)]],tabParametros[#Headers],0),0)</f>
        <v>32.264696957412788</v>
      </c>
      <c r="BJ20" s="22">
        <f>VLOOKUP(tabCustoUnit[[#This Row],[Código do Posto]],tabParametros[],MATCH(tabCustoUnit[[#Headers],[Produtos de Limpeza e Materiais de Higiene Pessoal]],tabParametros[#Headers],0),0)</f>
        <v>345.13576638965827</v>
      </c>
      <c r="BK20" s="22">
        <f>VLOOKUP(tabCustoUnit[[#This Row],[Código do Posto]],tabParametros[],MATCH(tabCustoUnit[[#Headers],[Outros (especificar)]],tabParametros[#Headers],0),0)</f>
        <v>0</v>
      </c>
      <c r="BL20" s="22">
        <f>SUM(tabCustoUnit[[#This Row],[Uniformes e EPIs]:[Outros (especificar)]])</f>
        <v>457.96623649302967</v>
      </c>
      <c r="BM20" s="22">
        <f>tabCustoUnit[[#This Row],[MODULO 1 - REMUNERAÇÃO ]]+tabCustoUnit[[#This Row],[MÓDULO 2 - Total Encargos e Benefícios mensais e diários]]+tabCustoUnit[[#This Row],[MÓDULO 3 – PROVISÃO PARA RESCISÃO]]+tabCustoUnit[[#This Row],[MÓDULO 4 – CUSTO DE REPOSIÇÃO DO PROFISSIONAL AUSENTE]]+tabCustoUnit[[#This Row],[MÓDULO 5 – INSUMOS DIVERSOS]]</f>
        <v>2658.2164025844677</v>
      </c>
      <c r="BN20" s="22">
        <f>VLOOKUP(tabCustoUnit[[#This Row],[Código do Posto]],tabParametros[],MATCH(tabCustoUnit[[#Headers],[Custos Indiretos]],tabParametros[#Headers],0),0)</f>
        <v>189.64880140242613</v>
      </c>
      <c r="BO20" s="22">
        <f>VLOOKUP(tabCustoUnit[[#This Row],[Código do Posto]],tabParametros[],MATCH(tabCustoUnit[[#Headers],[Lucro]],tabParametros[#Headers],0),0)</f>
        <v>159.30499317803796</v>
      </c>
      <c r="BP20" s="26">
        <f>((100/((1-tabCustoUnit[[#This Row],[Resumo de Alíquotas (PIS+CONFINS+ISS)]]))-100)*VLOOKUP(tabCustoUnit[[#This Row],[Código do Posto]],tabParametros[],MATCH(tabCustoUnit[[#Headers],[COFINS]],tabParametros[#Headers],0),0))/(tabCustoUnit[[#This Row],[Resumo de Alíquotas (PIS+CONFINS+ISS)]]*100)</f>
        <v>8.7608069164265154E-2</v>
      </c>
      <c r="BQ20" s="26">
        <f>((100/((100-(tabCustoUnit[[#This Row],[Resumo de Alíquotas (PIS+CONFINS+ISS)]]*100))%)-100)*VLOOKUP(tabCustoUnit[[#This Row],[Código do Posto]],tabParametros[],MATCH(tabCustoUnit[[#Headers],[PIS]],tabParametros[#Headers],0),0))/(tabCustoUnit[[#This Row],[Resumo de Alíquotas (PIS+CONFINS+ISS)]]*100)</f>
        <v>1.9020172910662814E-2</v>
      </c>
      <c r="BR20" s="28">
        <f>VLOOKUP(tabCustoUnit[[#This Row],[Código do Posto]],tabParametros[],MATCH(tabCustoUnit[[#Headers],[ISS]],tabParametros[#Headers],0),0)</f>
        <v>0.04</v>
      </c>
      <c r="BS20" s="26">
        <f>(((100/((100-(tabCustoUnit[[#This Row],[Resumo de Alíquotas (PIS+CONFINS+ISS)]]*100))%)-100)*tabCustoUnit[[#This Row],[ISS]])/tabCustoUnit[[#This Row],[Resumo de Alíquotas (PIS+CONFINS+ISS)]])/100</f>
        <v>4.6109510086455294E-2</v>
      </c>
      <c r="BT20" s="26">
        <f>(VLOOKUP(tabCustoUnit[[#This Row],[Código do Posto]],tabParametros[],MATCH(tabCustoUnit[[#Headers],[COFINS]],tabParametros[#Headers],0),0)+
VLOOKUP(tabCustoUnit[[#This Row],[Código do Posto]],tabParametros[],MATCH(tabCustoUnit[[#Headers],[PIS]],tabParametros[#Headers],0),0)+
VLOOKUP(tabCustoUnit[[#This Row],[Código do Posto]],tabParametros[],MATCH(tabCustoUnit[[#Headers],[ISS]],tabParametros[#Headers],0),0))</f>
        <v>0.13250000000000001</v>
      </c>
      <c r="BU20" s="138">
        <f>tabCustoUnit[[#This Row],[COFINS]]+tabCustoUnit[[#This Row],[PIS]]+tabCustoUnit[[#This Row],[ISS (Conversão Alíquota s/ fatura)]]</f>
        <v>0.15273775216138324</v>
      </c>
      <c r="BV20" s="22">
        <f>(tabCustoUnit[[#This Row],[TOTAL MÓDULOS 1+2+3+4+5]]+tabCustoUnit[[#This Row],[Custos Indiretos]]+tabCustoUnit[[#This Row],[Lucro]])*tabCustoUnit[[#This Row],[PIS + COFINS + ISS (Total Conversão  Alíquota s/ Fatura)]]</f>
        <v>459.30841628167536</v>
      </c>
      <c r="BW20" s="22">
        <f>tabCustoUnit[[#This Row],[Custos Indiretos]]+tabCustoUnit[[#This Row],[Lucro]]+tabCustoUnit[[#This Row],[Valor dos Tributos (ISS, PIS, CONFINS)]]</f>
        <v>808.26221086213945</v>
      </c>
      <c r="BX20" s="22">
        <f>tabCustoUnit[[#This Row],[TOTAL MÓDULOS 1+2+3+4+5]]+tabCustoUnit[[#This Row],[MÓDULO 6 – CUSTOS INDIRETOS, TRIBUTOS E LUCRO]]</f>
        <v>3466.4786134466071</v>
      </c>
      <c r="BY20" s="22">
        <f>tabCustoUnit[[#This Row],[CUSTO TOTAL MENSAL]]*12</f>
        <v>41597.743361359288</v>
      </c>
      <c r="BZ20" s="24">
        <f>VLOOKUP(tabCustoUnit[[#This Row],[Código do Posto]],tabParametros[],MATCH(tabCustoUnit[[#Headers],[ANO DA CCT]],tabParametros[#Headers],0),0)</f>
        <v>45658</v>
      </c>
      <c r="CA20" s="25" t="str">
        <f>VLOOKUP(tabCustoUnit[[#This Row],[Código do Posto]],tabParametros[],MATCH(tabCustoUnit[[#Headers],[Nº DE PEDIDO DA CCT]],tabParametros[#Headers],0),0)</f>
        <v>-</v>
      </c>
      <c r="CB20" s="25" t="str">
        <f>VLOOKUP(tabCustoUnit[[#This Row],[Código do Posto]],tabParametros[],MATCH(tabCustoUnit[[#Headers],[TERMO ADITIVO ALTERAÇÃO DA CCT]],tabParametros[#Headers],0),0)</f>
        <v>-</v>
      </c>
    </row>
    <row r="21" spans="1:80" x14ac:dyDescent="0.25">
      <c r="A21" s="20" t="s">
        <v>1367</v>
      </c>
      <c r="B21" t="s">
        <v>27</v>
      </c>
      <c r="C21" t="s">
        <v>1247</v>
      </c>
      <c r="D21" t="s">
        <v>1000</v>
      </c>
      <c r="E21" s="20" t="s">
        <v>9</v>
      </c>
      <c r="F21" s="20" t="s">
        <v>10</v>
      </c>
      <c r="G21" s="21">
        <v>544.17999999999995</v>
      </c>
      <c r="H21" s="21">
        <v>0</v>
      </c>
      <c r="I21" s="21">
        <v>0</v>
      </c>
      <c r="J21" s="21">
        <v>0</v>
      </c>
      <c r="K21" s="21">
        <v>0</v>
      </c>
      <c r="L21" s="21">
        <v>0</v>
      </c>
      <c r="M21" s="21">
        <v>0</v>
      </c>
      <c r="N21" s="21">
        <v>19.590499999999999</v>
      </c>
      <c r="O21" s="21">
        <f>SUM(tabCustoUnit[[#This Row],[Salário Base]:[Adicional de Acúmulo de função]])</f>
        <v>563.77049999999997</v>
      </c>
      <c r="P21" s="21">
        <f>tabCustoUnit[[#This Row],[MODULO 1 - REMUNERAÇÃO ]]*SUMIFS(tabParametros[INSS],tabParametros[Código do Posto],tabCustoUnit[[#This Row],[Código do Posto]])</f>
        <v>112.75409999999999</v>
      </c>
      <c r="Q21" s="21">
        <f>tabCustoUnit[[#This Row],[MODULO 1 - REMUNERAÇÃO ]]*SUMIFS(tabParametros[SESI OU SESC],tabParametros[Código do Posto],tabCustoUnit[[#This Row],[Código do Posto]])</f>
        <v>8.4565574999999988</v>
      </c>
      <c r="R21" s="21">
        <f>tabCustoUnit[[#This Row],[MODULO 1 - REMUNERAÇÃO ]]*SUMIFS(tabParametros[SENAI OU SENAC],tabParametros[Código do Posto],tabCustoUnit[[#This Row],[Código do Posto]])</f>
        <v>5.6377049999999995</v>
      </c>
      <c r="S21" s="21">
        <f>tabCustoUnit[[#This Row],[MODULO 1 - REMUNERAÇÃO ]]*SUMIFS(tabParametros[INCRA],tabParametros[Código do Posto],tabCustoUnit[[#This Row],[Código do Posto]])</f>
        <v>1.1275409999999999</v>
      </c>
      <c r="T21" s="21">
        <f>tabCustoUnit[[#This Row],[MODULO 1 - REMUNERAÇÃO ]]*SUMIFS(tabParametros[Salário Educação],tabParametros[Código do Posto],tabCustoUnit[[#This Row],[Código do Posto]])</f>
        <v>14.094262499999999</v>
      </c>
      <c r="U21" s="21">
        <f>tabCustoUnit[[#This Row],[MODULO 1 - REMUNERAÇÃO ]]*SUMIFS(tabParametros[FGTS],tabParametros[Código do Posto],tabCustoUnit[[#This Row],[Código do Posto]])</f>
        <v>45.101639999999996</v>
      </c>
      <c r="V21" s="21">
        <f>tabCustoUnit[[#This Row],[MODULO 1 - REMUNERAÇÃO ]]*SUMIFS(tabParametros[RAT Ajustado],tabParametros[Código do Posto],tabCustoUnit[[#This Row],[Código do Posto]])</f>
        <v>22.550819999999998</v>
      </c>
      <c r="W21" s="21">
        <f>tabCustoUnit[[#This Row],[MODULO 1 - REMUNERAÇÃO ]]*SUMIFS(tabParametros[SEBRAE],tabParametros[Código do Posto],tabCustoUnit[[#This Row],[Código do Posto]])</f>
        <v>3.3826229999999997</v>
      </c>
      <c r="X21" s="21">
        <f>SUM(tabCustoUnit[[#This Row],[INSS]:[SEBRAE]])</f>
        <v>213.10524899999996</v>
      </c>
      <c r="Y21" s="21">
        <f>tabCustoUnit[[#This Row],[MODULO 1 - REMUNERAÇÃO ]]*SUMIFS(tabParametros[13º salário (titular)],tabParametros[Código do Posto],tabCustoUnit[[#This Row],[Código do Posto]])</f>
        <v>46.980874999999997</v>
      </c>
      <c r="Z21" s="21">
        <f>tabCustoUnit[[#This Row],[MODULO 1 - REMUNERAÇÃO ]]*SUMIFS(tabParametros[Férias e Adicional de Férias (titular)],tabParametros[Código do Posto],tabCustoUnit[[#This Row],[Código do Posto]])</f>
        <v>62.641166666666663</v>
      </c>
      <c r="AA21" s="21">
        <f>IFERROR((tabCustoUnit[[#This Row],[Submódulo 2.1]]/tabCustoUnit[[#This Row],[MODULO 1 - REMUNERAÇÃO ]])*SUM(tabCustoUnit[[#This Row],[13º salário (titular)]:[Férias e Adicional de Férias (titular)]]),0)</f>
        <v>41.437131749999992</v>
      </c>
      <c r="AB21" s="21">
        <f>SUM(tabCustoUnit[[#This Row],[13º salário (titular)]:[Incidência do Submódulo 2.1 sobre 13º Salário, Férias e Adicional de Férias]])</f>
        <v>151.05917341666665</v>
      </c>
      <c r="AC21" s="22">
        <f>_xlfn.LET(_xlpm.VT,SUMIF(tabParametros[Código do Posto],tabCustoUnit[[#This Row],[Código do Posto]],tabParametros[Vale - Transporte])*2*20,
IF((_xlpm.VT-tabCustoUnit[[#This Row],[Salário Base]]*0.06)&gt;=0,(_xlpm.VT-tabCustoUnit[[#This Row],[Salário Base]]*0.06),0)
)</f>
        <v>223.3492</v>
      </c>
      <c r="AD21" s="22">
        <f>IF(SUMIF(tabParametros[Código do Posto],tabCustoUnit[[#This Row],[Código do Posto]],tabParametros[Vale - Alimentação])&lt;=0,0,
SUMIF(tabParametros[Código do Posto],tabCustoUnit[[#This Row],[Código do Posto]],tabParametros[Vale - Alimentação])*20-1)</f>
        <v>582</v>
      </c>
      <c r="AE21" s="22">
        <f>SUMIF(tabParametros[Código do Posto],tabCustoUnit[[#This Row],[Código do Posto]],tabParametros[Cesta Básica])</f>
        <v>0</v>
      </c>
      <c r="AF21" s="22">
        <f>SUMIF(tabParametros[Código do Posto],tabCustoUnit[[#This Row],[Código do Posto]],tabParametros[PAF])</f>
        <v>0</v>
      </c>
      <c r="AG21" s="22">
        <f>SUMIF(tabParametros[Código do Posto],tabCustoUnit[[#This Row],[Código do Posto]],tabParametros[PQM])</f>
        <v>15.07</v>
      </c>
      <c r="AH21" s="22">
        <f>SUMIF(tabParametros[Código do Posto],tabCustoUnit[[#This Row],[Código do Posto]],tabParametros[PAT])</f>
        <v>0</v>
      </c>
      <c r="AI21" s="22">
        <f>SUMIF(tabParametros[Código do Posto],tabCustoUnit[[#This Row],[Código do Posto]],tabParametros[Seguro de Vida])</f>
        <v>3.36</v>
      </c>
      <c r="AJ21" s="22">
        <f>SUMIF(tabParametros[Código do Posto],tabCustoUnit[[#This Row],[Código do Posto]],tabParametros[Despesas de Viagem])</f>
        <v>0</v>
      </c>
      <c r="AK21" s="22">
        <f>SUM(tabCustoUnit[[#This Row],[Vale - Transporte (Descontada parcela do empregado)]:[Despesas de Viagem]])</f>
        <v>823.77920000000006</v>
      </c>
      <c r="AL21" s="22">
        <f>tabCustoUnit[[#This Row],[Submódulo 2.1]]+tabCustoUnit[[#This Row],[Submódulo 2.2]]+tabCustoUnit[[#This Row],[Submódulo 2.3]]</f>
        <v>1187.9436224166666</v>
      </c>
      <c r="AM21" s="22">
        <f>SUMIF(tabParametros[Código do Posto],tabCustoUnit[[#This Row],[Código do Posto]],tabParametros[Aviso Prévio Indenizado (API) e Reflexo do Aviso Prévio Indenizado])*tabCustoUnit[[#This Row],[MODULO 1 - REMUNERAÇÃO ]]</f>
        <v>3.9530273735532404</v>
      </c>
      <c r="AN21" s="22">
        <f>SUMIF(tabParametros[Código do Posto],tabCustoUnit[[#This Row],[Código do Posto]],tabParametros[Incidência do FGTS sobre API e Reflexo do API])*tabCustoUnit[[#This Row],[MODULO 1 - REMUNERAÇÃO ]]</f>
        <v>0.31624218988425928</v>
      </c>
      <c r="AO21" s="22">
        <f>SUMIF(tabParametros[Código do Posto],tabCustoUnit[[#This Row],[Código do Posto]],tabParametros[Multa Rescisória do FGTS sobre o Aviso Prévio Indenizado])*tabCustoUnit[[#This Row],[MODULO 1 - REMUNERAÇÃO ]]</f>
        <v>0.12649687595370371</v>
      </c>
      <c r="AP21" s="22">
        <f>SUMIF(tabParametros[Código do Posto],tabCustoUnit[[#This Row],[Código do Posto]],tabParametros[Aviso Prévio Trabalhado - APT])*tabCustoUnit[[#This Row],[MODULO 1 - REMUNERAÇÃO ]]</f>
        <v>1.9731967500000003</v>
      </c>
      <c r="AQ21" s="22">
        <f>SUMIF(tabParametros[Código do Posto],tabCustoUnit[[#This Row],[Código do Posto]],tabParametros[Incidência dos encargos do submódulo 2.1 sobre Aviso Prévio Trabalhado])*tabCustoUnit[[#This Row],[MODULO 1 - REMUNERAÇÃO ]]</f>
        <v>0.74586837150000018</v>
      </c>
      <c r="AR21" s="22">
        <f>SUMIF(tabParametros[Código do Posto],tabCustoUnit[[#This Row],[Código do Posto]],tabParametros[Multa Rescisória do FGTS])*tabCustoUnit[[#This Row],[MODULO 1 - REMUNERAÇÃO ]]</f>
        <v>17.238849066666663</v>
      </c>
      <c r="AS21" s="22">
        <f>SUMIF(tabParametros[Código do Posto],tabCustoUnit[[#This Row],[Código do Posto]],tabParametros[Indenização Adicional (Art. 9º da Lei nº 7.238/84)])*tabCustoUnit[[#This Row],[MODULO 1 - REMUNERAÇÃO ]]</f>
        <v>0.46980875</v>
      </c>
      <c r="AT21" s="22">
        <f>SUM(tabCustoUnit[[#This Row],[Aviso Prévio Indenizado (API) e Reflexo do Aviso Prévio Indenizado]:[Indenização Adicional (Art. 9º da Lei nº 7.238/84)]])</f>
        <v>24.823489377557866</v>
      </c>
      <c r="AU21" s="22">
        <f>SUMIF(tabParametros[Código do Posto],tabCustoUnit[[#This Row],[Código do Posto]],tabParametros[Ausência por Doença])*tabCustoUnit[[#This Row],[MODULO 1 - REMUNERAÇÃO ]]</f>
        <v>4.7607286666666662</v>
      </c>
      <c r="AV21" s="22">
        <f>SUMIF(tabParametros[Código do Posto],tabCustoUnit[[#This Row],[Código do Posto]],tabParametros[Ausências Legais])*tabCustoUnit[[#This Row],[MODULO 1 - REMUNERAÇÃO ]]</f>
        <v>1.1432012916666665</v>
      </c>
      <c r="AW21" s="22">
        <f>SUMIF(tabParametros[Código do Posto],tabCustoUnit[[#This Row],[Código do Posto]],tabParametros[Licença Paternidade])*tabCustoUnit[[#This Row],[MODULO 1 - REMUNERAÇÃO ]]</f>
        <v>9.6310793749999998E-2</v>
      </c>
      <c r="AX21" s="22">
        <f>SUMIF(tabParametros[Código do Posto],tabCustoUnit[[#This Row],[Código do Posto]],tabParametros[Ausência por Acidente de Trabalho])*tabCustoUnit[[#This Row],[MODULO 1 - REMUNERAÇÃO ]]</f>
        <v>0.1174521875</v>
      </c>
      <c r="AY21" s="22">
        <f>SUMIF(tabParametros[Código do Posto],tabCustoUnit[[#This Row],[Código do Posto]],tabParametros[Férias, Adicional de Férias e 13º  com empregada em gozo de Licença Maternidade])*tabCustoUnit[[#This Row],[MODULO 1 - REMUNERAÇÃO ]]</f>
        <v>0.73081361111111109</v>
      </c>
      <c r="AZ21" s="22">
        <f>SUMIF(tabParametros[Código do Posto],tabCustoUnit[[#This Row],[Código do Posto]],tabParametros[Incidência do Submódulo 2.1 sobre Ausências Legais])*tabCustoUnit[[#This Row],[MODULO 1 - REMUNERAÇÃO ]]</f>
        <v>2.5887354761625003</v>
      </c>
      <c r="BA21" s="22">
        <f>SUM(tabCustoUnit[[#This Row],[Ausência por Doença]:[Incidência do Submódulo 2.1 sobre Ausências Legais]])</f>
        <v>9.4372420268569428</v>
      </c>
      <c r="BB21" s="22">
        <f>SUMIF(tabParametros[Código do Posto],tabCustoUnit[[#This Row],[Código do Posto]],tabParametros[Intervalo para Repouso ou Alimentação])</f>
        <v>0</v>
      </c>
      <c r="BC21" s="22">
        <f>tabCustoUnit[[#This Row],[Intervalo para Repouso ou Alimentação]]</f>
        <v>0</v>
      </c>
      <c r="BD21" s="22">
        <f>IF(VLOOKUP(tabCustoUnit[[#This Row],[Código do Posto]],PARAMETROS!$A$4:$BJ$255,7,0)&lt;=0,0,
IFERROR((tabCustoUnit[[#This Row],[MODULO 1 - REMUNERAÇÃO ]]*VLOOKUP(tabCustoUnit[[#This Row],[Código do Posto]],PARAMETROS!$A$4:$BJ$255,49,0))/(VLOOKUP(tabCustoUnit[[#This Row],[Código do Posto]],PARAMETROS!$A$4:$BJ$255,7,0)*VLOOKUP(tabCustoUnit[[#This Row],[Código do Posto]],PARAMETROS!$A$4:$BJ$255,8,0)),0)
)</f>
        <v>0</v>
      </c>
      <c r="BE21" s="22">
        <f>tabCustoUnit[[#This Row],[Suspensão Temporária do Contrato de Trabalho]]</f>
        <v>0</v>
      </c>
      <c r="BF21" s="22">
        <f>tabCustoUnit[[#This Row],[Submódulo 4.1]]+tabCustoUnit[[#This Row],[Submódulo 4.2]]+tabCustoUnit[[#This Row],[Submódulo 4.3]]</f>
        <v>9.4372420268569428</v>
      </c>
      <c r="BG21" s="22">
        <f>VLOOKUP(tabCustoUnit[[#This Row],[Código do Posto]],tabParametros[],MATCH(tabCustoUnit[[#Headers],[Uniformes e EPIs]],tabParametros[#Headers],0),0)</f>
        <v>62.806666666666665</v>
      </c>
      <c r="BH21" s="22">
        <f>VLOOKUP(tabCustoUnit[[#This Row],[Código do Posto]],tabParametros[],MATCH(tabCustoUnit[[#Headers],[Materiais de Consumo]],tabParametros[#Headers],0),0)</f>
        <v>12.108481690426325</v>
      </c>
      <c r="BI21" s="22">
        <f>VLOOKUP(tabCustoUnit[[#This Row],[Código do Posto]],tabParametros[],MATCH(tabCustoUnit[[#Headers],[Máquinas e Equipamentos (depreciação)]],tabParametros[#Headers],0),0)</f>
        <v>21.998657016417809</v>
      </c>
      <c r="BJ21" s="22">
        <f>VLOOKUP(tabCustoUnit[[#This Row],[Código do Posto]],tabParametros[],MATCH(tabCustoUnit[[#Headers],[Produtos de Limpeza e Materiais de Higiene Pessoal]],tabParametros[#Headers],0),0)</f>
        <v>235.31984072022155</v>
      </c>
      <c r="BK21" s="22">
        <f>VLOOKUP(tabCustoUnit[[#This Row],[Código do Posto]],tabParametros[],MATCH(tabCustoUnit[[#Headers],[Outros (especificar)]],tabParametros[#Headers],0),0)</f>
        <v>0</v>
      </c>
      <c r="BL21" s="22">
        <f>SUM(tabCustoUnit[[#This Row],[Uniformes e EPIs]:[Outros (especificar)]])</f>
        <v>332.23364609373232</v>
      </c>
      <c r="BM21" s="22">
        <f>tabCustoUnit[[#This Row],[MODULO 1 - REMUNERAÇÃO ]]+tabCustoUnit[[#This Row],[MÓDULO 2 - Total Encargos e Benefícios mensais e diários]]+tabCustoUnit[[#This Row],[MÓDULO 3 – PROVISÃO PARA RESCISÃO]]+tabCustoUnit[[#This Row],[MÓDULO 4 – CUSTO DE REPOSIÇÃO DO PROFISSIONAL AUSENTE]]+tabCustoUnit[[#This Row],[MÓDULO 5 – INSUMOS DIVERSOS]]</f>
        <v>2118.2084999148137</v>
      </c>
      <c r="BN21" s="22">
        <f>VLOOKUP(tabCustoUnit[[#This Row],[Código do Posto]],tabParametros[],MATCH(tabCustoUnit[[#Headers],[Custos Indiretos]],tabParametros[#Headers],0),0)</f>
        <v>189.64880140242613</v>
      </c>
      <c r="BO21" s="22">
        <f>VLOOKUP(tabCustoUnit[[#This Row],[Código do Posto]],tabParametros[],MATCH(tabCustoUnit[[#Headers],[Lucro]],tabParametros[#Headers],0),0)</f>
        <v>159.30499317803796</v>
      </c>
      <c r="BP21" s="26">
        <f>((100/((1-tabCustoUnit[[#This Row],[Resumo de Alíquotas (PIS+CONFINS+ISS)]]))-100)*VLOOKUP(tabCustoUnit[[#This Row],[Código do Posto]],tabParametros[],MATCH(tabCustoUnit[[#Headers],[COFINS]],tabParametros[#Headers],0),0))/(tabCustoUnit[[#This Row],[Resumo de Alíquotas (PIS+CONFINS+ISS)]]*100)</f>
        <v>8.6609686609686695E-2</v>
      </c>
      <c r="BQ21" s="26">
        <f>((100/((100-(tabCustoUnit[[#This Row],[Resumo de Alíquotas (PIS+CONFINS+ISS)]]*100))%)-100)*VLOOKUP(tabCustoUnit[[#This Row],[Código do Posto]],tabParametros[],MATCH(tabCustoUnit[[#Headers],[PIS]],tabParametros[#Headers],0),0))/(tabCustoUnit[[#This Row],[Resumo de Alíquotas (PIS+CONFINS+ISS)]]*100)</f>
        <v>1.880341880341882E-2</v>
      </c>
      <c r="BR21" s="28">
        <f>VLOOKUP(tabCustoUnit[[#This Row],[Código do Posto]],tabParametros[],MATCH(tabCustoUnit[[#Headers],[ISS]],tabParametros[#Headers],0),0)</f>
        <v>0.03</v>
      </c>
      <c r="BS21" s="26">
        <f>(((100/((100-(tabCustoUnit[[#This Row],[Resumo de Alíquotas (PIS+CONFINS+ISS)]]*100))%)-100)*tabCustoUnit[[#This Row],[ISS]])/tabCustoUnit[[#This Row],[Resumo de Alíquotas (PIS+CONFINS+ISS)]])/100</f>
        <v>3.4188034188034219E-2</v>
      </c>
      <c r="BT21" s="26">
        <f>(VLOOKUP(tabCustoUnit[[#This Row],[Código do Posto]],tabParametros[],MATCH(tabCustoUnit[[#Headers],[COFINS]],tabParametros[#Headers],0),0)+
VLOOKUP(tabCustoUnit[[#This Row],[Código do Posto]],tabParametros[],MATCH(tabCustoUnit[[#Headers],[PIS]],tabParametros[#Headers],0),0)+
VLOOKUP(tabCustoUnit[[#This Row],[Código do Posto]],tabParametros[],MATCH(tabCustoUnit[[#Headers],[ISS]],tabParametros[#Headers],0),0))</f>
        <v>0.1225</v>
      </c>
      <c r="BU21" s="138">
        <f>tabCustoUnit[[#This Row],[COFINS]]+tabCustoUnit[[#This Row],[PIS]]+tabCustoUnit[[#This Row],[ISS (Conversão Alíquota s/ fatura)]]</f>
        <v>0.13960113960113973</v>
      </c>
      <c r="BV21" s="22">
        <f>(tabCustoUnit[[#This Row],[TOTAL MÓDULOS 1+2+3+4+5]]+tabCustoUnit[[#This Row],[Custos Indiretos]]+tabCustoUnit[[#This Row],[Lucro]])*tabCustoUnit[[#This Row],[PIS + COFINS + ISS (Total Conversão  Alíquota s/ Fatura)]]</f>
        <v>344.41866789250349</v>
      </c>
      <c r="BW21" s="22">
        <f>tabCustoUnit[[#This Row],[Custos Indiretos]]+tabCustoUnit[[#This Row],[Lucro]]+tabCustoUnit[[#This Row],[Valor dos Tributos (ISS, PIS, CONFINS)]]</f>
        <v>693.37246247296753</v>
      </c>
      <c r="BX21" s="22">
        <f>tabCustoUnit[[#This Row],[TOTAL MÓDULOS 1+2+3+4+5]]+tabCustoUnit[[#This Row],[MÓDULO 6 – CUSTOS INDIRETOS, TRIBUTOS E LUCRO]]</f>
        <v>2811.5809623877813</v>
      </c>
      <c r="BY21" s="22">
        <f>tabCustoUnit[[#This Row],[CUSTO TOTAL MENSAL]]*12</f>
        <v>33738.971548653375</v>
      </c>
      <c r="BZ21" s="24">
        <f>VLOOKUP(tabCustoUnit[[#This Row],[Código do Posto]],tabParametros[],MATCH(tabCustoUnit[[#Headers],[ANO DA CCT]],tabParametros[#Headers],0),0)</f>
        <v>45658</v>
      </c>
      <c r="CA21" s="25" t="str">
        <f>VLOOKUP(tabCustoUnit[[#This Row],[Código do Posto]],tabParametros[],MATCH(tabCustoUnit[[#Headers],[Nº DE PEDIDO DA CCT]],tabParametros[#Headers],0),0)</f>
        <v>-</v>
      </c>
      <c r="CB21" s="25" t="str">
        <f>VLOOKUP(tabCustoUnit[[#This Row],[Código do Posto]],tabParametros[],MATCH(tabCustoUnit[[#Headers],[TERMO ADITIVO ALTERAÇÃO DA CCT]],tabParametros[#Headers],0),0)</f>
        <v>-</v>
      </c>
    </row>
    <row r="22" spans="1:80" x14ac:dyDescent="0.25">
      <c r="A22" s="20" t="s">
        <v>1368</v>
      </c>
      <c r="B22" t="s">
        <v>28</v>
      </c>
      <c r="C22" t="s">
        <v>1247</v>
      </c>
      <c r="D22" t="s">
        <v>1023</v>
      </c>
      <c r="E22" s="20" t="s">
        <v>9</v>
      </c>
      <c r="F22" s="20" t="s">
        <v>10</v>
      </c>
      <c r="G22" s="21">
        <v>544.17999999999995</v>
      </c>
      <c r="H22" s="21">
        <v>0</v>
      </c>
      <c r="I22" s="21">
        <v>0</v>
      </c>
      <c r="J22" s="21">
        <v>0</v>
      </c>
      <c r="K22" s="21">
        <v>0</v>
      </c>
      <c r="L22" s="21">
        <v>0</v>
      </c>
      <c r="M22" s="21">
        <v>0</v>
      </c>
      <c r="N22" s="21">
        <v>19.590499999999999</v>
      </c>
      <c r="O22" s="21">
        <f>SUM(tabCustoUnit[[#This Row],[Salário Base]:[Adicional de Acúmulo de função]])</f>
        <v>563.77049999999997</v>
      </c>
      <c r="P22" s="21">
        <f>tabCustoUnit[[#This Row],[MODULO 1 - REMUNERAÇÃO ]]*SUMIFS(tabParametros[INSS],tabParametros[Código do Posto],tabCustoUnit[[#This Row],[Código do Posto]])</f>
        <v>112.75409999999999</v>
      </c>
      <c r="Q22" s="21">
        <f>tabCustoUnit[[#This Row],[MODULO 1 - REMUNERAÇÃO ]]*SUMIFS(tabParametros[SESI OU SESC],tabParametros[Código do Posto],tabCustoUnit[[#This Row],[Código do Posto]])</f>
        <v>8.4565574999999988</v>
      </c>
      <c r="R22" s="21">
        <f>tabCustoUnit[[#This Row],[MODULO 1 - REMUNERAÇÃO ]]*SUMIFS(tabParametros[SENAI OU SENAC],tabParametros[Código do Posto],tabCustoUnit[[#This Row],[Código do Posto]])</f>
        <v>5.6377049999999995</v>
      </c>
      <c r="S22" s="21">
        <f>tabCustoUnit[[#This Row],[MODULO 1 - REMUNERAÇÃO ]]*SUMIFS(tabParametros[INCRA],tabParametros[Código do Posto],tabCustoUnit[[#This Row],[Código do Posto]])</f>
        <v>1.1275409999999999</v>
      </c>
      <c r="T22" s="21">
        <f>tabCustoUnit[[#This Row],[MODULO 1 - REMUNERAÇÃO ]]*SUMIFS(tabParametros[Salário Educação],tabParametros[Código do Posto],tabCustoUnit[[#This Row],[Código do Posto]])</f>
        <v>14.094262499999999</v>
      </c>
      <c r="U22" s="21">
        <f>tabCustoUnit[[#This Row],[MODULO 1 - REMUNERAÇÃO ]]*SUMIFS(tabParametros[FGTS],tabParametros[Código do Posto],tabCustoUnit[[#This Row],[Código do Posto]])</f>
        <v>45.101639999999996</v>
      </c>
      <c r="V22" s="21">
        <f>tabCustoUnit[[#This Row],[MODULO 1 - REMUNERAÇÃO ]]*SUMIFS(tabParametros[RAT Ajustado],tabParametros[Código do Posto],tabCustoUnit[[#This Row],[Código do Posto]])</f>
        <v>22.550819999999998</v>
      </c>
      <c r="W22" s="21">
        <f>tabCustoUnit[[#This Row],[MODULO 1 - REMUNERAÇÃO ]]*SUMIFS(tabParametros[SEBRAE],tabParametros[Código do Posto],tabCustoUnit[[#This Row],[Código do Posto]])</f>
        <v>3.3826229999999997</v>
      </c>
      <c r="X22" s="21">
        <f>SUM(tabCustoUnit[[#This Row],[INSS]:[SEBRAE]])</f>
        <v>213.10524899999996</v>
      </c>
      <c r="Y22" s="21">
        <f>tabCustoUnit[[#This Row],[MODULO 1 - REMUNERAÇÃO ]]*SUMIFS(tabParametros[13º salário (titular)],tabParametros[Código do Posto],tabCustoUnit[[#This Row],[Código do Posto]])</f>
        <v>46.980874999999997</v>
      </c>
      <c r="Z22" s="21">
        <f>tabCustoUnit[[#This Row],[MODULO 1 - REMUNERAÇÃO ]]*SUMIFS(tabParametros[Férias e Adicional de Férias (titular)],tabParametros[Código do Posto],tabCustoUnit[[#This Row],[Código do Posto]])</f>
        <v>62.641166666666663</v>
      </c>
      <c r="AA22" s="21">
        <f>IFERROR((tabCustoUnit[[#This Row],[Submódulo 2.1]]/tabCustoUnit[[#This Row],[MODULO 1 - REMUNERAÇÃO ]])*SUM(tabCustoUnit[[#This Row],[13º salário (titular)]:[Férias e Adicional de Férias (titular)]]),0)</f>
        <v>41.437131749999992</v>
      </c>
      <c r="AB22" s="21">
        <f>SUM(tabCustoUnit[[#This Row],[13º salário (titular)]:[Incidência do Submódulo 2.1 sobre 13º Salário, Férias e Adicional de Férias]])</f>
        <v>151.05917341666665</v>
      </c>
      <c r="AC22" s="22">
        <f>_xlfn.LET(_xlpm.VT,SUMIF(tabParametros[Código do Posto],tabCustoUnit[[#This Row],[Código do Posto]],tabParametros[Vale - Transporte])*2*20,
IF((_xlpm.VT-tabCustoUnit[[#This Row],[Salário Base]]*0.06)&gt;=0,(_xlpm.VT-tabCustoUnit[[#This Row],[Salário Base]]*0.06),0)
)</f>
        <v>223.3492</v>
      </c>
      <c r="AD22" s="22">
        <f>IF(SUMIF(tabParametros[Código do Posto],tabCustoUnit[[#This Row],[Código do Posto]],tabParametros[Vale - Alimentação])&lt;=0,0,
SUMIF(tabParametros[Código do Posto],tabCustoUnit[[#This Row],[Código do Posto]],tabParametros[Vale - Alimentação])*20-1)</f>
        <v>582</v>
      </c>
      <c r="AE22" s="22">
        <f>SUMIF(tabParametros[Código do Posto],tabCustoUnit[[#This Row],[Código do Posto]],tabParametros[Cesta Básica])</f>
        <v>0</v>
      </c>
      <c r="AF22" s="22">
        <f>SUMIF(tabParametros[Código do Posto],tabCustoUnit[[#This Row],[Código do Posto]],tabParametros[PAF])</f>
        <v>0</v>
      </c>
      <c r="AG22" s="22">
        <f>SUMIF(tabParametros[Código do Posto],tabCustoUnit[[#This Row],[Código do Posto]],tabParametros[PQM])</f>
        <v>0</v>
      </c>
      <c r="AH22" s="22">
        <f>SUMIF(tabParametros[Código do Posto],tabCustoUnit[[#This Row],[Código do Posto]],tabParametros[PAT])</f>
        <v>0</v>
      </c>
      <c r="AI22" s="22">
        <f>SUMIF(tabParametros[Código do Posto],tabCustoUnit[[#This Row],[Código do Posto]],tabParametros[Seguro de Vida])</f>
        <v>3.36</v>
      </c>
      <c r="AJ22" s="22">
        <f>SUMIF(tabParametros[Código do Posto],tabCustoUnit[[#This Row],[Código do Posto]],tabParametros[Despesas de Viagem])</f>
        <v>0</v>
      </c>
      <c r="AK22" s="22">
        <f>SUM(tabCustoUnit[[#This Row],[Vale - Transporte (Descontada parcela do empregado)]:[Despesas de Viagem]])</f>
        <v>808.70920000000001</v>
      </c>
      <c r="AL22" s="22">
        <f>tabCustoUnit[[#This Row],[Submódulo 2.1]]+tabCustoUnit[[#This Row],[Submódulo 2.2]]+tabCustoUnit[[#This Row],[Submódulo 2.3]]</f>
        <v>1172.8736224166666</v>
      </c>
      <c r="AM22" s="22">
        <f>SUMIF(tabParametros[Código do Posto],tabCustoUnit[[#This Row],[Código do Posto]],tabParametros[Aviso Prévio Indenizado (API) e Reflexo do Aviso Prévio Indenizado])*tabCustoUnit[[#This Row],[MODULO 1 - REMUNERAÇÃO ]]</f>
        <v>3.9530273735532404</v>
      </c>
      <c r="AN22" s="22">
        <f>SUMIF(tabParametros[Código do Posto],tabCustoUnit[[#This Row],[Código do Posto]],tabParametros[Incidência do FGTS sobre API e Reflexo do API])*tabCustoUnit[[#This Row],[MODULO 1 - REMUNERAÇÃO ]]</f>
        <v>0.31624218988425928</v>
      </c>
      <c r="AO22" s="22">
        <f>SUMIF(tabParametros[Código do Posto],tabCustoUnit[[#This Row],[Código do Posto]],tabParametros[Multa Rescisória do FGTS sobre o Aviso Prévio Indenizado])*tabCustoUnit[[#This Row],[MODULO 1 - REMUNERAÇÃO ]]</f>
        <v>0.12649687595370371</v>
      </c>
      <c r="AP22" s="22">
        <f>SUMIF(tabParametros[Código do Posto],tabCustoUnit[[#This Row],[Código do Posto]],tabParametros[Aviso Prévio Trabalhado - APT])*tabCustoUnit[[#This Row],[MODULO 1 - REMUNERAÇÃO ]]</f>
        <v>1.9731967500000003</v>
      </c>
      <c r="AQ22" s="22">
        <f>SUMIF(tabParametros[Código do Posto],tabCustoUnit[[#This Row],[Código do Posto]],tabParametros[Incidência dos encargos do submódulo 2.1 sobre Aviso Prévio Trabalhado])*tabCustoUnit[[#This Row],[MODULO 1 - REMUNERAÇÃO ]]</f>
        <v>0.74586837150000018</v>
      </c>
      <c r="AR22" s="22">
        <f>SUMIF(tabParametros[Código do Posto],tabCustoUnit[[#This Row],[Código do Posto]],tabParametros[Multa Rescisória do FGTS])*tabCustoUnit[[#This Row],[MODULO 1 - REMUNERAÇÃO ]]</f>
        <v>17.238849066666663</v>
      </c>
      <c r="AS22" s="22">
        <f>SUMIF(tabParametros[Código do Posto],tabCustoUnit[[#This Row],[Código do Posto]],tabParametros[Indenização Adicional (Art. 9º da Lei nº 7.238/84)])*tabCustoUnit[[#This Row],[MODULO 1 - REMUNERAÇÃO ]]</f>
        <v>0.46980875</v>
      </c>
      <c r="AT22" s="22">
        <f>SUM(tabCustoUnit[[#This Row],[Aviso Prévio Indenizado (API) e Reflexo do Aviso Prévio Indenizado]:[Indenização Adicional (Art. 9º da Lei nº 7.238/84)]])</f>
        <v>24.823489377557866</v>
      </c>
      <c r="AU22" s="22">
        <f>SUMIF(tabParametros[Código do Posto],tabCustoUnit[[#This Row],[Código do Posto]],tabParametros[Ausência por Doença])*tabCustoUnit[[#This Row],[MODULO 1 - REMUNERAÇÃO ]]</f>
        <v>4.7607286666666662</v>
      </c>
      <c r="AV22" s="22">
        <f>SUMIF(tabParametros[Código do Posto],tabCustoUnit[[#This Row],[Código do Posto]],tabParametros[Ausências Legais])*tabCustoUnit[[#This Row],[MODULO 1 - REMUNERAÇÃO ]]</f>
        <v>1.1432012916666665</v>
      </c>
      <c r="AW22" s="22">
        <f>SUMIF(tabParametros[Código do Posto],tabCustoUnit[[#This Row],[Código do Posto]],tabParametros[Licença Paternidade])*tabCustoUnit[[#This Row],[MODULO 1 - REMUNERAÇÃO ]]</f>
        <v>9.6310793749999998E-2</v>
      </c>
      <c r="AX22" s="22">
        <f>SUMIF(tabParametros[Código do Posto],tabCustoUnit[[#This Row],[Código do Posto]],tabParametros[Ausência por Acidente de Trabalho])*tabCustoUnit[[#This Row],[MODULO 1 - REMUNERAÇÃO ]]</f>
        <v>0.1174521875</v>
      </c>
      <c r="AY22" s="22">
        <f>SUMIF(tabParametros[Código do Posto],tabCustoUnit[[#This Row],[Código do Posto]],tabParametros[Férias, Adicional de Férias e 13º  com empregada em gozo de Licença Maternidade])*tabCustoUnit[[#This Row],[MODULO 1 - REMUNERAÇÃO ]]</f>
        <v>0.73081361111111109</v>
      </c>
      <c r="AZ22" s="22">
        <f>SUMIF(tabParametros[Código do Posto],tabCustoUnit[[#This Row],[Código do Posto]],tabParametros[Incidência do Submódulo 2.1 sobre Ausências Legais])*tabCustoUnit[[#This Row],[MODULO 1 - REMUNERAÇÃO ]]</f>
        <v>2.5887354761625003</v>
      </c>
      <c r="BA22" s="22">
        <f>SUM(tabCustoUnit[[#This Row],[Ausência por Doença]:[Incidência do Submódulo 2.1 sobre Ausências Legais]])</f>
        <v>9.4372420268569428</v>
      </c>
      <c r="BB22" s="22">
        <f>SUMIF(tabParametros[Código do Posto],tabCustoUnit[[#This Row],[Código do Posto]],tabParametros[Intervalo para Repouso ou Alimentação])</f>
        <v>0</v>
      </c>
      <c r="BC22" s="22">
        <f>tabCustoUnit[[#This Row],[Intervalo para Repouso ou Alimentação]]</f>
        <v>0</v>
      </c>
      <c r="BD22" s="22">
        <f>IF(VLOOKUP(tabCustoUnit[[#This Row],[Código do Posto]],PARAMETROS!$A$4:$BJ$255,7,0)&lt;=0,0,
IFERROR((tabCustoUnit[[#This Row],[MODULO 1 - REMUNERAÇÃO ]]*VLOOKUP(tabCustoUnit[[#This Row],[Código do Posto]],PARAMETROS!$A$4:$BJ$255,49,0))/(VLOOKUP(tabCustoUnit[[#This Row],[Código do Posto]],PARAMETROS!$A$4:$BJ$255,7,0)*VLOOKUP(tabCustoUnit[[#This Row],[Código do Posto]],PARAMETROS!$A$4:$BJ$255,8,0)),0)
)</f>
        <v>0</v>
      </c>
      <c r="BE22" s="22">
        <f>tabCustoUnit[[#This Row],[Suspensão Temporária do Contrato de Trabalho]]</f>
        <v>0</v>
      </c>
      <c r="BF22" s="22">
        <f>tabCustoUnit[[#This Row],[Submódulo 4.1]]+tabCustoUnit[[#This Row],[Submódulo 4.2]]+tabCustoUnit[[#This Row],[Submódulo 4.3]]</f>
        <v>9.4372420268569428</v>
      </c>
      <c r="BG22" s="22">
        <f>VLOOKUP(tabCustoUnit[[#This Row],[Código do Posto]],tabParametros[],MATCH(tabCustoUnit[[#Headers],[Uniformes e EPIs]],tabParametros[#Headers],0),0)</f>
        <v>62.806666666666665</v>
      </c>
      <c r="BH22" s="22">
        <f>VLOOKUP(tabCustoUnit[[#This Row],[Código do Posto]],tabParametros[],MATCH(tabCustoUnit[[#Headers],[Materiais de Consumo]],tabParametros[#Headers],0),0)</f>
        <v>12.108481690426325</v>
      </c>
      <c r="BI22" s="22">
        <f>VLOOKUP(tabCustoUnit[[#This Row],[Código do Posto]],tabParametros[],MATCH(tabCustoUnit[[#Headers],[Máquinas e Equipamentos (depreciação)]],tabParametros[#Headers],0),0)</f>
        <v>21.998657016417809</v>
      </c>
      <c r="BJ22" s="22">
        <f>VLOOKUP(tabCustoUnit[[#This Row],[Código do Posto]],tabParametros[],MATCH(tabCustoUnit[[#Headers],[Produtos de Limpeza e Materiais de Higiene Pessoal]],tabParametros[#Headers],0),0)</f>
        <v>235.31984072022155</v>
      </c>
      <c r="BK22" s="22">
        <f>VLOOKUP(tabCustoUnit[[#This Row],[Código do Posto]],tabParametros[],MATCH(tabCustoUnit[[#Headers],[Outros (especificar)]],tabParametros[#Headers],0),0)</f>
        <v>0</v>
      </c>
      <c r="BL22" s="22">
        <f>SUM(tabCustoUnit[[#This Row],[Uniformes e EPIs]:[Outros (especificar)]])</f>
        <v>332.23364609373232</v>
      </c>
      <c r="BM22" s="22">
        <f>tabCustoUnit[[#This Row],[MODULO 1 - REMUNERAÇÃO ]]+tabCustoUnit[[#This Row],[MÓDULO 2 - Total Encargos e Benefícios mensais e diários]]+tabCustoUnit[[#This Row],[MÓDULO 3 – PROVISÃO PARA RESCISÃO]]+tabCustoUnit[[#This Row],[MÓDULO 4 – CUSTO DE REPOSIÇÃO DO PROFISSIONAL AUSENTE]]+tabCustoUnit[[#This Row],[MÓDULO 5 – INSUMOS DIVERSOS]]</f>
        <v>2103.1384999148136</v>
      </c>
      <c r="BN22" s="22">
        <f>VLOOKUP(tabCustoUnit[[#This Row],[Código do Posto]],tabParametros[],MATCH(tabCustoUnit[[#Headers],[Custos Indiretos]],tabParametros[#Headers],0),0)</f>
        <v>189.64880140242613</v>
      </c>
      <c r="BO22" s="22">
        <f>VLOOKUP(tabCustoUnit[[#This Row],[Código do Posto]],tabParametros[],MATCH(tabCustoUnit[[#Headers],[Lucro]],tabParametros[#Headers],0),0)</f>
        <v>159.30499317803796</v>
      </c>
      <c r="BP22" s="26">
        <f>((100/((1-tabCustoUnit[[#This Row],[Resumo de Alíquotas (PIS+CONFINS+ISS)]]))-100)*VLOOKUP(tabCustoUnit[[#This Row],[Código do Posto]],tabParametros[],MATCH(tabCustoUnit[[#Headers],[COFINS]],tabParametros[#Headers],0),0))/(tabCustoUnit[[#This Row],[Resumo de Alíquotas (PIS+CONFINS+ISS)]]*100)</f>
        <v>8.6609686609686695E-2</v>
      </c>
      <c r="BQ22" s="26">
        <f>((100/((100-(tabCustoUnit[[#This Row],[Resumo de Alíquotas (PIS+CONFINS+ISS)]]*100))%)-100)*VLOOKUP(tabCustoUnit[[#This Row],[Código do Posto]],tabParametros[],MATCH(tabCustoUnit[[#Headers],[PIS]],tabParametros[#Headers],0),0))/(tabCustoUnit[[#This Row],[Resumo de Alíquotas (PIS+CONFINS+ISS)]]*100)</f>
        <v>1.880341880341882E-2</v>
      </c>
      <c r="BR22" s="28">
        <f>VLOOKUP(tabCustoUnit[[#This Row],[Código do Posto]],tabParametros[],MATCH(tabCustoUnit[[#Headers],[ISS]],tabParametros[#Headers],0),0)</f>
        <v>0.03</v>
      </c>
      <c r="BS22" s="26">
        <f>(((100/((100-(tabCustoUnit[[#This Row],[Resumo de Alíquotas (PIS+CONFINS+ISS)]]*100))%)-100)*tabCustoUnit[[#This Row],[ISS]])/tabCustoUnit[[#This Row],[Resumo de Alíquotas (PIS+CONFINS+ISS)]])/100</f>
        <v>3.4188034188034219E-2</v>
      </c>
      <c r="BT22" s="26">
        <f>(VLOOKUP(tabCustoUnit[[#This Row],[Código do Posto]],tabParametros[],MATCH(tabCustoUnit[[#Headers],[COFINS]],tabParametros[#Headers],0),0)+
VLOOKUP(tabCustoUnit[[#This Row],[Código do Posto]],tabParametros[],MATCH(tabCustoUnit[[#Headers],[PIS]],tabParametros[#Headers],0),0)+
VLOOKUP(tabCustoUnit[[#This Row],[Código do Posto]],tabParametros[],MATCH(tabCustoUnit[[#Headers],[ISS]],tabParametros[#Headers],0),0))</f>
        <v>0.1225</v>
      </c>
      <c r="BU22" s="138">
        <f>tabCustoUnit[[#This Row],[COFINS]]+tabCustoUnit[[#This Row],[PIS]]+tabCustoUnit[[#This Row],[ISS (Conversão Alíquota s/ fatura)]]</f>
        <v>0.13960113960113973</v>
      </c>
      <c r="BV22" s="22">
        <f>(tabCustoUnit[[#This Row],[TOTAL MÓDULOS 1+2+3+4+5]]+tabCustoUnit[[#This Row],[Custos Indiretos]]+tabCustoUnit[[#This Row],[Lucro]])*tabCustoUnit[[#This Row],[PIS + COFINS + ISS (Total Conversão  Alíquota s/ Fatura)]]</f>
        <v>342.31487871871428</v>
      </c>
      <c r="BW22" s="22">
        <f>tabCustoUnit[[#This Row],[Custos Indiretos]]+tabCustoUnit[[#This Row],[Lucro]]+tabCustoUnit[[#This Row],[Valor dos Tributos (ISS, PIS, CONFINS)]]</f>
        <v>691.26867329917832</v>
      </c>
      <c r="BX22" s="22">
        <f>tabCustoUnit[[#This Row],[TOTAL MÓDULOS 1+2+3+4+5]]+tabCustoUnit[[#This Row],[MÓDULO 6 – CUSTOS INDIRETOS, TRIBUTOS E LUCRO]]</f>
        <v>2794.4071732139919</v>
      </c>
      <c r="BY22" s="22">
        <f>tabCustoUnit[[#This Row],[CUSTO TOTAL MENSAL]]*12</f>
        <v>33532.886078567899</v>
      </c>
      <c r="BZ22" s="24">
        <f>VLOOKUP(tabCustoUnit[[#This Row],[Código do Posto]],tabParametros[],MATCH(tabCustoUnit[[#Headers],[ANO DA CCT]],tabParametros[#Headers],0),0)</f>
        <v>45658</v>
      </c>
      <c r="CA22" s="25" t="str">
        <f>VLOOKUP(tabCustoUnit[[#This Row],[Código do Posto]],tabParametros[],MATCH(tabCustoUnit[[#Headers],[Nº DE PEDIDO DA CCT]],tabParametros[#Headers],0),0)</f>
        <v>-</v>
      </c>
      <c r="CB22" s="25" t="str">
        <f>VLOOKUP(tabCustoUnit[[#This Row],[Código do Posto]],tabParametros[],MATCH(tabCustoUnit[[#Headers],[TERMO ADITIVO ALTERAÇÃO DA CCT]],tabParametros[#Headers],0),0)</f>
        <v>-</v>
      </c>
    </row>
    <row r="23" spans="1:80" x14ac:dyDescent="0.25">
      <c r="A23" s="20" t="s">
        <v>1369</v>
      </c>
      <c r="B23" t="s">
        <v>29</v>
      </c>
      <c r="C23" t="s">
        <v>1244</v>
      </c>
      <c r="D23" t="s">
        <v>1015</v>
      </c>
      <c r="E23" s="20" t="s">
        <v>9</v>
      </c>
      <c r="F23" s="20" t="s">
        <v>10</v>
      </c>
      <c r="G23" s="21">
        <v>798.14</v>
      </c>
      <c r="H23" s="21">
        <v>0</v>
      </c>
      <c r="I23" s="21">
        <v>0</v>
      </c>
      <c r="J23" s="21">
        <v>0</v>
      </c>
      <c r="K23" s="21">
        <v>0</v>
      </c>
      <c r="L23" s="21">
        <v>0</v>
      </c>
      <c r="M23" s="21">
        <v>0</v>
      </c>
      <c r="N23" s="21">
        <v>26.120899999999999</v>
      </c>
      <c r="O23" s="21">
        <f>SUM(tabCustoUnit[[#This Row],[Salário Base]:[Adicional de Acúmulo de função]])</f>
        <v>824.26089999999999</v>
      </c>
      <c r="P23" s="21">
        <f>tabCustoUnit[[#This Row],[MODULO 1 - REMUNERAÇÃO ]]*SUMIFS(tabParametros[INSS],tabParametros[Código do Posto],tabCustoUnit[[#This Row],[Código do Posto]])</f>
        <v>164.85218</v>
      </c>
      <c r="Q23" s="21">
        <f>tabCustoUnit[[#This Row],[MODULO 1 - REMUNERAÇÃO ]]*SUMIFS(tabParametros[SESI OU SESC],tabParametros[Código do Posto],tabCustoUnit[[#This Row],[Código do Posto]])</f>
        <v>12.363913499999999</v>
      </c>
      <c r="R23" s="21">
        <f>tabCustoUnit[[#This Row],[MODULO 1 - REMUNERAÇÃO ]]*SUMIFS(tabParametros[SENAI OU SENAC],tabParametros[Código do Posto],tabCustoUnit[[#This Row],[Código do Posto]])</f>
        <v>8.2426089999999999</v>
      </c>
      <c r="S23" s="21">
        <f>tabCustoUnit[[#This Row],[MODULO 1 - REMUNERAÇÃO ]]*SUMIFS(tabParametros[INCRA],tabParametros[Código do Posto],tabCustoUnit[[#This Row],[Código do Posto]])</f>
        <v>1.6485217999999999</v>
      </c>
      <c r="T23" s="21">
        <f>tabCustoUnit[[#This Row],[MODULO 1 - REMUNERAÇÃO ]]*SUMIFS(tabParametros[Salário Educação],tabParametros[Código do Posto],tabCustoUnit[[#This Row],[Código do Posto]])</f>
        <v>20.606522500000001</v>
      </c>
      <c r="U23" s="21">
        <f>tabCustoUnit[[#This Row],[MODULO 1 - REMUNERAÇÃO ]]*SUMIFS(tabParametros[FGTS],tabParametros[Código do Posto],tabCustoUnit[[#This Row],[Código do Posto]])</f>
        <v>65.940871999999999</v>
      </c>
      <c r="V23" s="21">
        <f>tabCustoUnit[[#This Row],[MODULO 1 - REMUNERAÇÃO ]]*SUMIFS(tabParametros[RAT Ajustado],tabParametros[Código do Posto],tabCustoUnit[[#This Row],[Código do Posto]])</f>
        <v>32.970435999999999</v>
      </c>
      <c r="W23" s="21">
        <f>tabCustoUnit[[#This Row],[MODULO 1 - REMUNERAÇÃO ]]*SUMIFS(tabParametros[SEBRAE],tabParametros[Código do Posto],tabCustoUnit[[#This Row],[Código do Posto]])</f>
        <v>4.9455654000000004</v>
      </c>
      <c r="X23" s="21">
        <f>SUM(tabCustoUnit[[#This Row],[INSS]:[SEBRAE]])</f>
        <v>311.57062020000001</v>
      </c>
      <c r="Y23" s="21">
        <f>tabCustoUnit[[#This Row],[MODULO 1 - REMUNERAÇÃO ]]*SUMIFS(tabParametros[13º salário (titular)],tabParametros[Código do Posto],tabCustoUnit[[#This Row],[Código do Posto]])</f>
        <v>68.688408333333328</v>
      </c>
      <c r="Z23" s="21">
        <f>tabCustoUnit[[#This Row],[MODULO 1 - REMUNERAÇÃO ]]*SUMIFS(tabParametros[Férias e Adicional de Férias (titular)],tabParametros[Código do Posto],tabCustoUnit[[#This Row],[Código do Posto]])</f>
        <v>91.584544444444433</v>
      </c>
      <c r="AA23" s="21">
        <f>IFERROR((tabCustoUnit[[#This Row],[Submódulo 2.1]]/tabCustoUnit[[#This Row],[MODULO 1 - REMUNERAÇÃO ]])*SUM(tabCustoUnit[[#This Row],[13º salário (titular)]:[Férias e Adicional de Férias (titular)]]),0)</f>
        <v>60.583176149999993</v>
      </c>
      <c r="AB23" s="21">
        <f>SUM(tabCustoUnit[[#This Row],[13º salário (titular)]:[Incidência do Submódulo 2.1 sobre 13º Salário, Férias e Adicional de Férias]])</f>
        <v>220.85612892777775</v>
      </c>
      <c r="AC23" s="22">
        <f>_xlfn.LET(_xlpm.VT,SUMIF(tabParametros[Código do Posto],tabCustoUnit[[#This Row],[Código do Posto]],tabParametros[Vale - Transporte])*2*20,
IF((_xlpm.VT-tabCustoUnit[[#This Row],[Salário Base]]*0.06)&gt;=0,(_xlpm.VT-tabCustoUnit[[#This Row],[Salário Base]]*0.06),0)
)</f>
        <v>208.11160000000001</v>
      </c>
      <c r="AD23" s="22">
        <f>IF(SUMIF(tabParametros[Código do Posto],tabCustoUnit[[#This Row],[Código do Posto]],tabParametros[Vale - Alimentação])&lt;=0,0,
SUMIF(tabParametros[Código do Posto],tabCustoUnit[[#This Row],[Código do Posto]],tabParametros[Vale - Alimentação])*20-1)</f>
        <v>582</v>
      </c>
      <c r="AE23" s="22">
        <f>SUMIF(tabParametros[Código do Posto],tabCustoUnit[[#This Row],[Código do Posto]],tabParametros[Cesta Básica])</f>
        <v>0</v>
      </c>
      <c r="AF23" s="22">
        <f>SUMIF(tabParametros[Código do Posto],tabCustoUnit[[#This Row],[Código do Posto]],tabParametros[PAF])</f>
        <v>50.74</v>
      </c>
      <c r="AG23" s="22">
        <f>SUMIF(tabParametros[Código do Posto],tabCustoUnit[[#This Row],[Código do Posto]],tabParametros[PQM])</f>
        <v>0</v>
      </c>
      <c r="AH23" s="22">
        <f>SUMIF(tabParametros[Código do Posto],tabCustoUnit[[#This Row],[Código do Posto]],tabParametros[PAT])</f>
        <v>0</v>
      </c>
      <c r="AI23" s="22">
        <f>SUMIF(tabParametros[Código do Posto],tabCustoUnit[[#This Row],[Código do Posto]],tabParametros[Seguro de Vida])</f>
        <v>3.36</v>
      </c>
      <c r="AJ23" s="22">
        <f>SUMIF(tabParametros[Código do Posto],tabCustoUnit[[#This Row],[Código do Posto]],tabParametros[Despesas de Viagem])</f>
        <v>0</v>
      </c>
      <c r="AK23" s="22">
        <f>SUM(tabCustoUnit[[#This Row],[Vale - Transporte (Descontada parcela do empregado)]:[Despesas de Viagem]])</f>
        <v>844.21159999999998</v>
      </c>
      <c r="AL23" s="22">
        <f>tabCustoUnit[[#This Row],[Submódulo 2.1]]+tabCustoUnit[[#This Row],[Submódulo 2.2]]+tabCustoUnit[[#This Row],[Submódulo 2.3]]</f>
        <v>1376.6383491277777</v>
      </c>
      <c r="AM23" s="22">
        <f>SUMIF(tabParametros[Código do Posto],tabCustoUnit[[#This Row],[Código do Posto]],tabParametros[Aviso Prévio Indenizado (API) e Reflexo do Aviso Prévio Indenizado])*tabCustoUnit[[#This Row],[MODULO 1 - REMUNERAÇÃO ]]</f>
        <v>5.7795253576581791</v>
      </c>
      <c r="AN23" s="22">
        <f>SUMIF(tabParametros[Código do Posto],tabCustoUnit[[#This Row],[Código do Posto]],tabParametros[Incidência do FGTS sobre API e Reflexo do API])*tabCustoUnit[[#This Row],[MODULO 1 - REMUNERAÇÃO ]]</f>
        <v>0.46236202861265435</v>
      </c>
      <c r="AO23" s="22">
        <f>SUMIF(tabParametros[Código do Posto],tabCustoUnit[[#This Row],[Código do Posto]],tabParametros[Multa Rescisória do FGTS sobre o Aviso Prévio Indenizado])*tabCustoUnit[[#This Row],[MODULO 1 - REMUNERAÇÃO ]]</f>
        <v>0.18494481144506175</v>
      </c>
      <c r="AP23" s="22">
        <f>SUMIF(tabParametros[Código do Posto],tabCustoUnit[[#This Row],[Código do Posto]],tabParametros[Aviso Prévio Trabalhado - APT])*tabCustoUnit[[#This Row],[MODULO 1 - REMUNERAÇÃO ]]</f>
        <v>2.8849131500000005</v>
      </c>
      <c r="AQ23" s="22">
        <f>SUMIF(tabParametros[Código do Posto],tabCustoUnit[[#This Row],[Código do Posto]],tabParametros[Incidência dos encargos do submódulo 2.1 sobre Aviso Prévio Trabalhado])*tabCustoUnit[[#This Row],[MODULO 1 - REMUNERAÇÃO ]]</f>
        <v>1.0904971707000004</v>
      </c>
      <c r="AR23" s="22">
        <f>SUMIF(tabParametros[Código do Posto],tabCustoUnit[[#This Row],[Código do Posto]],tabParametros[Multa Rescisória do FGTS])*tabCustoUnit[[#This Row],[MODULO 1 - REMUNERAÇÃO ]]</f>
        <v>25.204066631111107</v>
      </c>
      <c r="AS23" s="22">
        <f>SUMIF(tabParametros[Código do Posto],tabCustoUnit[[#This Row],[Código do Posto]],tabParametros[Indenização Adicional (Art. 9º da Lei nº 7.238/84)])*tabCustoUnit[[#This Row],[MODULO 1 - REMUNERAÇÃO ]]</f>
        <v>0.6868840833333334</v>
      </c>
      <c r="AT23" s="22">
        <f>SUM(tabCustoUnit[[#This Row],[Aviso Prévio Indenizado (API) e Reflexo do Aviso Prévio Indenizado]:[Indenização Adicional (Art. 9º da Lei nº 7.238/84)]])</f>
        <v>36.293193232860339</v>
      </c>
      <c r="AU23" s="22">
        <f>SUMIF(tabParametros[Código do Posto],tabCustoUnit[[#This Row],[Código do Posto]],tabParametros[Ausência por Doença])*tabCustoUnit[[#This Row],[MODULO 1 - REMUNERAÇÃO ]]</f>
        <v>6.9604253777777769</v>
      </c>
      <c r="AV23" s="22">
        <f>SUMIF(tabParametros[Código do Posto],tabCustoUnit[[#This Row],[Código do Posto]],tabParametros[Ausências Legais])*tabCustoUnit[[#This Row],[MODULO 1 - REMUNERAÇÃO ]]</f>
        <v>1.671417936111111</v>
      </c>
      <c r="AW23" s="22">
        <f>SUMIF(tabParametros[Código do Posto],tabCustoUnit[[#This Row],[Código do Posto]],tabParametros[Licença Paternidade])*tabCustoUnit[[#This Row],[MODULO 1 - REMUNERAÇÃO ]]</f>
        <v>0.14081123708333332</v>
      </c>
      <c r="AX23" s="22">
        <f>SUMIF(tabParametros[Código do Posto],tabCustoUnit[[#This Row],[Código do Posto]],tabParametros[Ausência por Acidente de Trabalho])*tabCustoUnit[[#This Row],[MODULO 1 - REMUNERAÇÃO ]]</f>
        <v>0.17172102083333335</v>
      </c>
      <c r="AY23" s="22">
        <f>SUMIF(tabParametros[Código do Posto],tabCustoUnit[[#This Row],[Código do Posto]],tabParametros[Férias, Adicional de Férias e 13º  com empregada em gozo de Licença Maternidade])*tabCustoUnit[[#This Row],[MODULO 1 - REMUNERAÇÃO ]]</f>
        <v>1.0684863518518517</v>
      </c>
      <c r="AZ23" s="22">
        <f>SUMIF(tabParametros[Código do Posto],tabCustoUnit[[#This Row],[Código do Posto]],tabParametros[Incidência do Submódulo 2.1 sobre Ausências Legais])*tabCustoUnit[[#This Row],[MODULO 1 - REMUNERAÇÃO ]]</f>
        <v>3.7848618071425006</v>
      </c>
      <c r="BA23" s="22">
        <f>SUM(tabCustoUnit[[#This Row],[Ausência por Doença]:[Incidência do Submódulo 2.1 sobre Ausências Legais]])</f>
        <v>13.797723730799909</v>
      </c>
      <c r="BB23" s="22">
        <f>SUMIF(tabParametros[Código do Posto],tabCustoUnit[[#This Row],[Código do Posto]],tabParametros[Intervalo para Repouso ou Alimentação])</f>
        <v>0</v>
      </c>
      <c r="BC23" s="22">
        <f>tabCustoUnit[[#This Row],[Intervalo para Repouso ou Alimentação]]</f>
        <v>0</v>
      </c>
      <c r="BD23" s="22">
        <f>IF(VLOOKUP(tabCustoUnit[[#This Row],[Código do Posto]],PARAMETROS!$A$4:$BJ$255,7,0)&lt;=0,0,
IFERROR((tabCustoUnit[[#This Row],[MODULO 1 - REMUNERAÇÃO ]]*VLOOKUP(tabCustoUnit[[#This Row],[Código do Posto]],PARAMETROS!$A$4:$BJ$255,49,0))/(VLOOKUP(tabCustoUnit[[#This Row],[Código do Posto]],PARAMETROS!$A$4:$BJ$255,7,0)*VLOOKUP(tabCustoUnit[[#This Row],[Código do Posto]],PARAMETROS!$A$4:$BJ$255,8,0)),0)
)</f>
        <v>0</v>
      </c>
      <c r="BE23" s="22">
        <f>tabCustoUnit[[#This Row],[Suspensão Temporária do Contrato de Trabalho]]</f>
        <v>0</v>
      </c>
      <c r="BF23" s="22">
        <f>tabCustoUnit[[#This Row],[Submódulo 4.1]]+tabCustoUnit[[#This Row],[Submódulo 4.2]]+tabCustoUnit[[#This Row],[Submódulo 4.3]]</f>
        <v>13.797723730799909</v>
      </c>
      <c r="BG23" s="22">
        <f>VLOOKUP(tabCustoUnit[[#This Row],[Código do Posto]],tabParametros[],MATCH(tabCustoUnit[[#Headers],[Uniformes e EPIs]],tabParametros[#Headers],0),0)</f>
        <v>62.806666666666665</v>
      </c>
      <c r="BH23" s="22">
        <f>VLOOKUP(tabCustoUnit[[#This Row],[Código do Posto]],tabParametros[],MATCH(tabCustoUnit[[#Headers],[Materiais de Consumo]],tabParametros[#Headers],0),0)</f>
        <v>17.759106479291944</v>
      </c>
      <c r="BI23" s="22">
        <f>VLOOKUP(tabCustoUnit[[#This Row],[Código do Posto]],tabParametros[],MATCH(tabCustoUnit[[#Headers],[Máquinas e Equipamentos (depreciação)]],tabParametros[#Headers],0),0)</f>
        <v>32.264696957412788</v>
      </c>
      <c r="BJ23" s="22">
        <f>VLOOKUP(tabCustoUnit[[#This Row],[Código do Posto]],tabParametros[],MATCH(tabCustoUnit[[#Headers],[Produtos de Limpeza e Materiais de Higiene Pessoal]],tabParametros[#Headers],0),0)</f>
        <v>345.13576638965827</v>
      </c>
      <c r="BK23" s="22">
        <f>VLOOKUP(tabCustoUnit[[#This Row],[Código do Posto]],tabParametros[],MATCH(tabCustoUnit[[#Headers],[Outros (especificar)]],tabParametros[#Headers],0),0)</f>
        <v>0</v>
      </c>
      <c r="BL23" s="22">
        <f>SUM(tabCustoUnit[[#This Row],[Uniformes e EPIs]:[Outros (especificar)]])</f>
        <v>457.96623649302967</v>
      </c>
      <c r="BM23" s="22">
        <f>tabCustoUnit[[#This Row],[MODULO 1 - REMUNERAÇÃO ]]+tabCustoUnit[[#This Row],[MÓDULO 2 - Total Encargos e Benefícios mensais e diários]]+tabCustoUnit[[#This Row],[MÓDULO 3 – PROVISÃO PARA RESCISÃO]]+tabCustoUnit[[#This Row],[MÓDULO 4 – CUSTO DE REPOSIÇÃO DO PROFISSIONAL AUSENTE]]+tabCustoUnit[[#This Row],[MÓDULO 5 – INSUMOS DIVERSOS]]</f>
        <v>2708.9564025844675</v>
      </c>
      <c r="BN23" s="22">
        <f>VLOOKUP(tabCustoUnit[[#This Row],[Código do Posto]],tabParametros[],MATCH(tabCustoUnit[[#Headers],[Custos Indiretos]],tabParametros[#Headers],0),0)</f>
        <v>189.64880140242613</v>
      </c>
      <c r="BO23" s="22">
        <f>VLOOKUP(tabCustoUnit[[#This Row],[Código do Posto]],tabParametros[],MATCH(tabCustoUnit[[#Headers],[Lucro]],tabParametros[#Headers],0),0)</f>
        <v>159.30499317803796</v>
      </c>
      <c r="BP23" s="26">
        <f>((100/((1-tabCustoUnit[[#This Row],[Resumo de Alíquotas (PIS+CONFINS+ISS)]]))-100)*VLOOKUP(tabCustoUnit[[#This Row],[Código do Posto]],tabParametros[],MATCH(tabCustoUnit[[#Headers],[COFINS]],tabParametros[#Headers],0),0))/(tabCustoUnit[[#This Row],[Resumo de Alíquotas (PIS+CONFINS+ISS)]]*100)</f>
        <v>8.8629737609329504E-2</v>
      </c>
      <c r="BQ23" s="26">
        <f>((100/((100-(tabCustoUnit[[#This Row],[Resumo de Alíquotas (PIS+CONFINS+ISS)]]*100))%)-100)*VLOOKUP(tabCustoUnit[[#This Row],[Código do Posto]],tabParametros[],MATCH(tabCustoUnit[[#Headers],[PIS]],tabParametros[#Headers],0),0))/(tabCustoUnit[[#This Row],[Resumo de Alíquotas (PIS+CONFINS+ISS)]]*100)</f>
        <v>1.9241982507288629E-2</v>
      </c>
      <c r="BR23" s="28">
        <f>VLOOKUP(tabCustoUnit[[#This Row],[Código do Posto]],tabParametros[],MATCH(tabCustoUnit[[#Headers],[ISS]],tabParametros[#Headers],0),0)</f>
        <v>0.05</v>
      </c>
      <c r="BS23" s="26">
        <f>(((100/((100-(tabCustoUnit[[#This Row],[Resumo de Alíquotas (PIS+CONFINS+ISS)]]*100))%)-100)*tabCustoUnit[[#This Row],[ISS]])/tabCustoUnit[[#This Row],[Resumo de Alíquotas (PIS+CONFINS+ISS)]])/100</f>
        <v>5.8309037900874633E-2</v>
      </c>
      <c r="BT23" s="26">
        <f>(VLOOKUP(tabCustoUnit[[#This Row],[Código do Posto]],tabParametros[],MATCH(tabCustoUnit[[#Headers],[COFINS]],tabParametros[#Headers],0),0)+
VLOOKUP(tabCustoUnit[[#This Row],[Código do Posto]],tabParametros[],MATCH(tabCustoUnit[[#Headers],[PIS]],tabParametros[#Headers],0),0)+
VLOOKUP(tabCustoUnit[[#This Row],[Código do Posto]],tabParametros[],MATCH(tabCustoUnit[[#Headers],[ISS]],tabParametros[#Headers],0),0))</f>
        <v>0.14250000000000002</v>
      </c>
      <c r="BU23" s="138">
        <f>tabCustoUnit[[#This Row],[COFINS]]+tabCustoUnit[[#This Row],[PIS]]+tabCustoUnit[[#This Row],[ISS (Conversão Alíquota s/ fatura)]]</f>
        <v>0.16618075801749277</v>
      </c>
      <c r="BV23" s="22">
        <f>(tabCustoUnit[[#This Row],[TOTAL MÓDULOS 1+2+3+4+5]]+tabCustoUnit[[#This Row],[Custos Indiretos]]+tabCustoUnit[[#This Row],[Lucro]])*tabCustoUnit[[#This Row],[PIS + COFINS + ISS (Total Conversão  Alíquota s/ Fatura)]]</f>
        <v>508.16583451428909</v>
      </c>
      <c r="BW23" s="22">
        <f>tabCustoUnit[[#This Row],[Custos Indiretos]]+tabCustoUnit[[#This Row],[Lucro]]+tabCustoUnit[[#This Row],[Valor dos Tributos (ISS, PIS, CONFINS)]]</f>
        <v>857.11962909475324</v>
      </c>
      <c r="BX23" s="22">
        <f>tabCustoUnit[[#This Row],[TOTAL MÓDULOS 1+2+3+4+5]]+tabCustoUnit[[#This Row],[MÓDULO 6 – CUSTOS INDIRETOS, TRIBUTOS E LUCRO]]</f>
        <v>3566.0760316792207</v>
      </c>
      <c r="BY23" s="22">
        <f>tabCustoUnit[[#This Row],[CUSTO TOTAL MENSAL]]*12</f>
        <v>42792.91238015065</v>
      </c>
      <c r="BZ23" s="24">
        <f>VLOOKUP(tabCustoUnit[[#This Row],[Código do Posto]],tabParametros[],MATCH(tabCustoUnit[[#Headers],[ANO DA CCT]],tabParametros[#Headers],0),0)</f>
        <v>45658</v>
      </c>
      <c r="CA23" s="25" t="str">
        <f>VLOOKUP(tabCustoUnit[[#This Row],[Código do Posto]],tabParametros[],MATCH(tabCustoUnit[[#Headers],[Nº DE PEDIDO DA CCT]],tabParametros[#Headers],0),0)</f>
        <v>-</v>
      </c>
      <c r="CB23" s="25" t="str">
        <f>VLOOKUP(tabCustoUnit[[#This Row],[Código do Posto]],tabParametros[],MATCH(tabCustoUnit[[#Headers],[TERMO ADITIVO ALTERAÇÃO DA CCT]],tabParametros[#Headers],0),0)</f>
        <v>-</v>
      </c>
    </row>
    <row r="24" spans="1:80" x14ac:dyDescent="0.25">
      <c r="A24" s="20" t="s">
        <v>1370</v>
      </c>
      <c r="B24" t="s">
        <v>30</v>
      </c>
      <c r="C24" t="s">
        <v>1245</v>
      </c>
      <c r="D24" t="s">
        <v>1018</v>
      </c>
      <c r="E24" s="20" t="s">
        <v>9</v>
      </c>
      <c r="F24" s="20" t="s">
        <v>10</v>
      </c>
      <c r="G24" s="21">
        <v>1596.28</v>
      </c>
      <c r="H24" s="21">
        <v>0</v>
      </c>
      <c r="I24" s="21">
        <v>0</v>
      </c>
      <c r="J24" s="21">
        <v>0</v>
      </c>
      <c r="K24" s="21">
        <v>0</v>
      </c>
      <c r="L24" s="21">
        <v>0</v>
      </c>
      <c r="M24" s="21">
        <v>0</v>
      </c>
      <c r="N24" s="21">
        <v>52.241900000000001</v>
      </c>
      <c r="O24" s="21">
        <f>SUM(tabCustoUnit[[#This Row],[Salário Base]:[Adicional de Acúmulo de função]])</f>
        <v>1648.5219</v>
      </c>
      <c r="P24" s="21">
        <f>tabCustoUnit[[#This Row],[MODULO 1 - REMUNERAÇÃO ]]*SUMIFS(tabParametros[INSS],tabParametros[Código do Posto],tabCustoUnit[[#This Row],[Código do Posto]])</f>
        <v>329.70438000000001</v>
      </c>
      <c r="Q24" s="21">
        <f>tabCustoUnit[[#This Row],[MODULO 1 - REMUNERAÇÃO ]]*SUMIFS(tabParametros[SESI OU SESC],tabParametros[Código do Posto],tabCustoUnit[[#This Row],[Código do Posto]])</f>
        <v>24.727828499999998</v>
      </c>
      <c r="R24" s="21">
        <f>tabCustoUnit[[#This Row],[MODULO 1 - REMUNERAÇÃO ]]*SUMIFS(tabParametros[SENAI OU SENAC],tabParametros[Código do Posto],tabCustoUnit[[#This Row],[Código do Posto]])</f>
        <v>16.485219000000001</v>
      </c>
      <c r="S24" s="21">
        <f>tabCustoUnit[[#This Row],[MODULO 1 - REMUNERAÇÃO ]]*SUMIFS(tabParametros[INCRA],tabParametros[Código do Posto],tabCustoUnit[[#This Row],[Código do Posto]])</f>
        <v>3.2970438</v>
      </c>
      <c r="T24" s="21">
        <f>tabCustoUnit[[#This Row],[MODULO 1 - REMUNERAÇÃO ]]*SUMIFS(tabParametros[Salário Educação],tabParametros[Código do Posto],tabCustoUnit[[#This Row],[Código do Posto]])</f>
        <v>41.213047500000002</v>
      </c>
      <c r="U24" s="21">
        <f>tabCustoUnit[[#This Row],[MODULO 1 - REMUNERAÇÃO ]]*SUMIFS(tabParametros[FGTS],tabParametros[Código do Posto],tabCustoUnit[[#This Row],[Código do Posto]])</f>
        <v>131.88175200000001</v>
      </c>
      <c r="V24" s="21">
        <f>tabCustoUnit[[#This Row],[MODULO 1 - REMUNERAÇÃO ]]*SUMIFS(tabParametros[RAT Ajustado],tabParametros[Código do Posto],tabCustoUnit[[#This Row],[Código do Posto]])</f>
        <v>65.940876000000003</v>
      </c>
      <c r="W24" s="21">
        <f>tabCustoUnit[[#This Row],[MODULO 1 - REMUNERAÇÃO ]]*SUMIFS(tabParametros[SEBRAE],tabParametros[Código do Posto],tabCustoUnit[[#This Row],[Código do Posto]])</f>
        <v>9.8911314000000008</v>
      </c>
      <c r="X24" s="21">
        <f>SUM(tabCustoUnit[[#This Row],[INSS]:[SEBRAE]])</f>
        <v>623.14127819999999</v>
      </c>
      <c r="Y24" s="21">
        <f>tabCustoUnit[[#This Row],[MODULO 1 - REMUNERAÇÃO ]]*SUMIFS(tabParametros[13º salário (titular)],tabParametros[Código do Posto],tabCustoUnit[[#This Row],[Código do Posto]])</f>
        <v>137.376825</v>
      </c>
      <c r="Z24" s="21">
        <f>tabCustoUnit[[#This Row],[MODULO 1 - REMUNERAÇÃO ]]*SUMIFS(tabParametros[Férias e Adicional de Férias (titular)],tabParametros[Código do Posto],tabCustoUnit[[#This Row],[Código do Posto]])</f>
        <v>183.16909999999999</v>
      </c>
      <c r="AA24" s="21">
        <f>IFERROR((tabCustoUnit[[#This Row],[Submódulo 2.1]]/tabCustoUnit[[#This Row],[MODULO 1 - REMUNERAÇÃO ]])*SUM(tabCustoUnit[[#This Row],[13º salário (titular)]:[Férias e Adicional de Férias (titular)]]),0)</f>
        <v>121.16635965</v>
      </c>
      <c r="AB24" s="21">
        <f>SUM(tabCustoUnit[[#This Row],[13º salário (titular)]:[Incidência do Submódulo 2.1 sobre 13º Salário, Férias e Adicional de Férias]])</f>
        <v>441.71228465000002</v>
      </c>
      <c r="AC24" s="22">
        <f>_xlfn.LET(_xlpm.VT,SUMIF(tabParametros[Código do Posto],tabCustoUnit[[#This Row],[Código do Posto]],tabParametros[Vale - Transporte])*2*20,
IF((_xlpm.VT-tabCustoUnit[[#This Row],[Salário Base]]*0.06)&gt;=0,(_xlpm.VT-tabCustoUnit[[#This Row],[Salário Base]]*0.06),0)
)</f>
        <v>160.22320000000002</v>
      </c>
      <c r="AD24" s="22">
        <f>IF(SUMIF(tabParametros[Código do Posto],tabCustoUnit[[#This Row],[Código do Posto]],tabParametros[Vale - Alimentação])&lt;=0,0,
SUMIF(tabParametros[Código do Posto],tabCustoUnit[[#This Row],[Código do Posto]],tabParametros[Vale - Alimentação])*20-1)</f>
        <v>582</v>
      </c>
      <c r="AE24" s="22">
        <f>SUMIF(tabParametros[Código do Posto],tabCustoUnit[[#This Row],[Código do Posto]],tabParametros[Cesta Básica])</f>
        <v>0</v>
      </c>
      <c r="AF24" s="22">
        <f>SUMIF(tabParametros[Código do Posto],tabCustoUnit[[#This Row],[Código do Posto]],tabParametros[PAF])</f>
        <v>51.88</v>
      </c>
      <c r="AG24" s="22">
        <f>SUMIF(tabParametros[Código do Posto],tabCustoUnit[[#This Row],[Código do Posto]],tabParametros[PQM])</f>
        <v>0</v>
      </c>
      <c r="AH24" s="22">
        <f>SUMIF(tabParametros[Código do Posto],tabCustoUnit[[#This Row],[Código do Posto]],tabParametros[PAT])</f>
        <v>0</v>
      </c>
      <c r="AI24" s="22">
        <f>SUMIF(tabParametros[Código do Posto],tabCustoUnit[[#This Row],[Código do Posto]],tabParametros[Seguro de Vida])</f>
        <v>3.36</v>
      </c>
      <c r="AJ24" s="22">
        <f>SUMIF(tabParametros[Código do Posto],tabCustoUnit[[#This Row],[Código do Posto]],tabParametros[Despesas de Viagem])</f>
        <v>0</v>
      </c>
      <c r="AK24" s="22">
        <f>SUM(tabCustoUnit[[#This Row],[Vale - Transporte (Descontada parcela do empregado)]:[Despesas de Viagem]])</f>
        <v>797.46320000000003</v>
      </c>
      <c r="AL24" s="22">
        <f>tabCustoUnit[[#This Row],[Submódulo 2.1]]+tabCustoUnit[[#This Row],[Submódulo 2.2]]+tabCustoUnit[[#This Row],[Submódulo 2.3]]</f>
        <v>1862.31676285</v>
      </c>
      <c r="AM24" s="22">
        <f>SUMIF(tabParametros[Código do Posto],tabCustoUnit[[#This Row],[Código do Posto]],tabParametros[Aviso Prévio Indenizado (API) e Reflexo do Aviso Prévio Indenizado])*tabCustoUnit[[#This Row],[MODULO 1 - REMUNERAÇÃO ]]</f>
        <v>11.559051416493055</v>
      </c>
      <c r="AN24" s="22">
        <f>SUMIF(tabParametros[Código do Posto],tabCustoUnit[[#This Row],[Código do Posto]],tabParametros[Incidência do FGTS sobre API e Reflexo do API])*tabCustoUnit[[#This Row],[MODULO 1 - REMUNERAÇÃO ]]</f>
        <v>0.92472411331944449</v>
      </c>
      <c r="AO24" s="22">
        <f>SUMIF(tabParametros[Código do Posto],tabCustoUnit[[#This Row],[Código do Posto]],tabParametros[Multa Rescisória do FGTS sobre o Aviso Prévio Indenizado])*tabCustoUnit[[#This Row],[MODULO 1 - REMUNERAÇÃO ]]</f>
        <v>0.36988964532777785</v>
      </c>
      <c r="AP24" s="22">
        <f>SUMIF(tabParametros[Código do Posto],tabCustoUnit[[#This Row],[Código do Posto]],tabParametros[Aviso Prévio Trabalhado - APT])*tabCustoUnit[[#This Row],[MODULO 1 - REMUNERAÇÃO ]]</f>
        <v>5.7698266500000006</v>
      </c>
      <c r="AQ24" s="22">
        <f>SUMIF(tabParametros[Código do Posto],tabCustoUnit[[#This Row],[Código do Posto]],tabParametros[Incidência dos encargos do submódulo 2.1 sobre Aviso Prévio Trabalhado])*tabCustoUnit[[#This Row],[MODULO 1 - REMUNERAÇÃO ]]</f>
        <v>2.1809944737000007</v>
      </c>
      <c r="AR24" s="22">
        <f>SUMIF(tabParametros[Código do Posto],tabCustoUnit[[#This Row],[Código do Posto]],tabParametros[Multa Rescisória do FGTS])*tabCustoUnit[[#This Row],[MODULO 1 - REMUNERAÇÃO ]]</f>
        <v>50.40813631999999</v>
      </c>
      <c r="AS24" s="22">
        <f>SUMIF(tabParametros[Código do Posto],tabCustoUnit[[#This Row],[Código do Posto]],tabParametros[Indenização Adicional (Art. 9º da Lei nº 7.238/84)])*tabCustoUnit[[#This Row],[MODULO 1 - REMUNERAÇÃO ]]</f>
        <v>1.3737682500000001</v>
      </c>
      <c r="AT24" s="22">
        <f>SUM(tabCustoUnit[[#This Row],[Aviso Prévio Indenizado (API) e Reflexo do Aviso Prévio Indenizado]:[Indenização Adicional (Art. 9º da Lei nº 7.238/84)]])</f>
        <v>72.586390868840269</v>
      </c>
      <c r="AU24" s="22">
        <f>SUMIF(tabParametros[Código do Posto],tabCustoUnit[[#This Row],[Código do Posto]],tabParametros[Ausência por Doença])*tabCustoUnit[[#This Row],[MODULO 1 - REMUNERAÇÃO ]]</f>
        <v>13.920851599999999</v>
      </c>
      <c r="AV24" s="22">
        <f>SUMIF(tabParametros[Código do Posto],tabCustoUnit[[#This Row],[Código do Posto]],tabParametros[Ausências Legais])*tabCustoUnit[[#This Row],[MODULO 1 - REMUNERAÇÃO ]]</f>
        <v>3.3428360749999997</v>
      </c>
      <c r="AW24" s="22">
        <f>SUMIF(tabParametros[Código do Posto],tabCustoUnit[[#This Row],[Código do Posto]],tabParametros[Licença Paternidade])*tabCustoUnit[[#This Row],[MODULO 1 - REMUNERAÇÃO ]]</f>
        <v>0.28162249125</v>
      </c>
      <c r="AX24" s="22">
        <f>SUMIF(tabParametros[Código do Posto],tabCustoUnit[[#This Row],[Código do Posto]],tabParametros[Ausência por Acidente de Trabalho])*tabCustoUnit[[#This Row],[MODULO 1 - REMUNERAÇÃO ]]</f>
        <v>0.34344206250000003</v>
      </c>
      <c r="AY24" s="22">
        <f>SUMIF(tabParametros[Código do Posto],tabCustoUnit[[#This Row],[Código do Posto]],tabParametros[Férias, Adicional de Férias e 13º  com empregada em gozo de Licença Maternidade])*tabCustoUnit[[#This Row],[MODULO 1 - REMUNERAÇÃO ]]</f>
        <v>2.1369728333333331</v>
      </c>
      <c r="AZ24" s="22">
        <f>SUMIF(tabParametros[Código do Posto],tabCustoUnit[[#This Row],[Código do Posto]],tabParametros[Incidência do Submódulo 2.1 sobre Ausências Legais])*tabCustoUnit[[#This Row],[MODULO 1 - REMUNERAÇÃO ]]</f>
        <v>7.5697240734675013</v>
      </c>
      <c r="BA24" s="22">
        <f>SUM(tabCustoUnit[[#This Row],[Ausência por Doença]:[Incidência do Submódulo 2.1 sobre Ausências Legais]])</f>
        <v>27.595449135550833</v>
      </c>
      <c r="BB24" s="22">
        <f>SUMIF(tabParametros[Código do Posto],tabCustoUnit[[#This Row],[Código do Posto]],tabParametros[Intervalo para Repouso ou Alimentação])</f>
        <v>0</v>
      </c>
      <c r="BC24" s="22">
        <f>tabCustoUnit[[#This Row],[Intervalo para Repouso ou Alimentação]]</f>
        <v>0</v>
      </c>
      <c r="BD24" s="22">
        <f>IF(VLOOKUP(tabCustoUnit[[#This Row],[Código do Posto]],PARAMETROS!$A$4:$BJ$255,7,0)&lt;=0,0,
IFERROR((tabCustoUnit[[#This Row],[MODULO 1 - REMUNERAÇÃO ]]*VLOOKUP(tabCustoUnit[[#This Row],[Código do Posto]],PARAMETROS!$A$4:$BJ$255,49,0))/(VLOOKUP(tabCustoUnit[[#This Row],[Código do Posto]],PARAMETROS!$A$4:$BJ$255,7,0)*VLOOKUP(tabCustoUnit[[#This Row],[Código do Posto]],PARAMETROS!$A$4:$BJ$255,8,0)),0)
)</f>
        <v>0</v>
      </c>
      <c r="BE24" s="22">
        <f>tabCustoUnit[[#This Row],[Suspensão Temporária do Contrato de Trabalho]]</f>
        <v>0</v>
      </c>
      <c r="BF24" s="22">
        <f>tabCustoUnit[[#This Row],[Submódulo 4.1]]+tabCustoUnit[[#This Row],[Submódulo 4.2]]+tabCustoUnit[[#This Row],[Submódulo 4.3]]</f>
        <v>27.595449135550833</v>
      </c>
      <c r="BG24" s="22">
        <f>VLOOKUP(tabCustoUnit[[#This Row],[Código do Posto]],tabParametros[],MATCH(tabCustoUnit[[#Headers],[Uniformes e EPIs]],tabParametros[#Headers],0),0)</f>
        <v>100.80916666666666</v>
      </c>
      <c r="BH24" s="22">
        <f>VLOOKUP(tabCustoUnit[[#This Row],[Código do Posto]],tabParametros[],MATCH(tabCustoUnit[[#Headers],[Materiais de Consumo]],tabParametros[#Headers],0),0)</f>
        <v>35.518212958583888</v>
      </c>
      <c r="BI24" s="22">
        <f>VLOOKUP(tabCustoUnit[[#This Row],[Código do Posto]],tabParametros[],MATCH(tabCustoUnit[[#Headers],[Máquinas e Equipamentos (depreciação)]],tabParametros[#Headers],0),0)</f>
        <v>64.529393914825576</v>
      </c>
      <c r="BJ24" s="22">
        <f>VLOOKUP(tabCustoUnit[[#This Row],[Código do Posto]],tabParametros[],MATCH(tabCustoUnit[[#Headers],[Produtos de Limpeza e Materiais de Higiene Pessoal]],tabParametros[#Headers],0),0)</f>
        <v>690.27153277931654</v>
      </c>
      <c r="BK24" s="22">
        <f>VLOOKUP(tabCustoUnit[[#This Row],[Código do Posto]],tabParametros[],MATCH(tabCustoUnit[[#Headers],[Outros (especificar)]],tabParametros[#Headers],0),0)</f>
        <v>0</v>
      </c>
      <c r="BL24" s="22">
        <f>SUM(tabCustoUnit[[#This Row],[Uniformes e EPIs]:[Outros (especificar)]])</f>
        <v>891.12830631939266</v>
      </c>
      <c r="BM24" s="22">
        <f>tabCustoUnit[[#This Row],[MODULO 1 - REMUNERAÇÃO ]]+tabCustoUnit[[#This Row],[MÓDULO 2 - Total Encargos e Benefícios mensais e diários]]+tabCustoUnit[[#This Row],[MÓDULO 3 – PROVISÃO PARA RESCISÃO]]+tabCustoUnit[[#This Row],[MÓDULO 4 – CUSTO DE REPOSIÇÃO DO PROFISSIONAL AUSENTE]]+tabCustoUnit[[#This Row],[MÓDULO 5 – INSUMOS DIVERSOS]]</f>
        <v>4502.1488091737838</v>
      </c>
      <c r="BN24" s="22">
        <f>VLOOKUP(tabCustoUnit[[#This Row],[Código do Posto]],tabParametros[],MATCH(tabCustoUnit[[#Headers],[Custos Indiretos]],tabParametros[#Headers],0),0)</f>
        <v>189.64880140242613</v>
      </c>
      <c r="BO24" s="22">
        <f>VLOOKUP(tabCustoUnit[[#This Row],[Código do Posto]],tabParametros[],MATCH(tabCustoUnit[[#Headers],[Lucro]],tabParametros[#Headers],0),0)</f>
        <v>159.30499317803796</v>
      </c>
      <c r="BP24" s="26">
        <f>((100/((1-tabCustoUnit[[#This Row],[Resumo de Alíquotas (PIS+CONFINS+ISS)]]))-100)*VLOOKUP(tabCustoUnit[[#This Row],[Código do Posto]],tabParametros[],MATCH(tabCustoUnit[[#Headers],[COFINS]],tabParametros[#Headers],0),0))/(tabCustoUnit[[#This Row],[Resumo de Alíquotas (PIS+CONFINS+ISS)]]*100)</f>
        <v>8.6118980169971604E-2</v>
      </c>
      <c r="BQ24" s="26">
        <f>((100/((100-(tabCustoUnit[[#This Row],[Resumo de Alíquotas (PIS+CONFINS+ISS)]]*100))%)-100)*VLOOKUP(tabCustoUnit[[#This Row],[Código do Posto]],tabParametros[],MATCH(tabCustoUnit[[#Headers],[PIS]],tabParametros[#Headers],0),0))/(tabCustoUnit[[#This Row],[Resumo de Alíquotas (PIS+CONFINS+ISS)]]*100)</f>
        <v>1.8696883852691224E-2</v>
      </c>
      <c r="BR24" s="28">
        <f>VLOOKUP(tabCustoUnit[[#This Row],[Código do Posto]],tabParametros[],MATCH(tabCustoUnit[[#Headers],[ISS]],tabParametros[#Headers],0),0)</f>
        <v>2.5000000000000001E-2</v>
      </c>
      <c r="BS24" s="26">
        <f>(((100/((100-(tabCustoUnit[[#This Row],[Resumo de Alíquotas (PIS+CONFINS+ISS)]]*100))%)-100)*tabCustoUnit[[#This Row],[ISS]])/tabCustoUnit[[#This Row],[Resumo de Alíquotas (PIS+CONFINS+ISS)]])/100</f>
        <v>2.8328611898017008E-2</v>
      </c>
      <c r="BT24" s="26">
        <f>(VLOOKUP(tabCustoUnit[[#This Row],[Código do Posto]],tabParametros[],MATCH(tabCustoUnit[[#Headers],[COFINS]],tabParametros[#Headers],0),0)+
VLOOKUP(tabCustoUnit[[#This Row],[Código do Posto]],tabParametros[],MATCH(tabCustoUnit[[#Headers],[PIS]],tabParametros[#Headers],0),0)+
VLOOKUP(tabCustoUnit[[#This Row],[Código do Posto]],tabParametros[],MATCH(tabCustoUnit[[#Headers],[ISS]],tabParametros[#Headers],0),0))</f>
        <v>0.11749999999999999</v>
      </c>
      <c r="BU24" s="138">
        <f>tabCustoUnit[[#This Row],[COFINS]]+tabCustoUnit[[#This Row],[PIS]]+tabCustoUnit[[#This Row],[ISS (Conversão Alíquota s/ fatura)]]</f>
        <v>0.13314447592067982</v>
      </c>
      <c r="BV24" s="22">
        <f>(tabCustoUnit[[#This Row],[TOTAL MÓDULOS 1+2+3+4+5]]+tabCustoUnit[[#This Row],[Custos Indiretos]]+tabCustoUnit[[#This Row],[Lucro]])*tabCustoUnit[[#This Row],[PIS + COFINS + ISS (Total Conversão  Alíquota s/ Fatura)]]</f>
        <v>645.8975138143046</v>
      </c>
      <c r="BW24" s="22">
        <f>tabCustoUnit[[#This Row],[Custos Indiretos]]+tabCustoUnit[[#This Row],[Lucro]]+tabCustoUnit[[#This Row],[Valor dos Tributos (ISS, PIS, CONFINS)]]</f>
        <v>994.85130839476869</v>
      </c>
      <c r="BX24" s="22">
        <f>tabCustoUnit[[#This Row],[TOTAL MÓDULOS 1+2+3+4+5]]+tabCustoUnit[[#This Row],[MÓDULO 6 – CUSTOS INDIRETOS, TRIBUTOS E LUCRO]]</f>
        <v>5497.000117568552</v>
      </c>
      <c r="BY24" s="22">
        <f>tabCustoUnit[[#This Row],[CUSTO TOTAL MENSAL]]*12</f>
        <v>65964.001410822617</v>
      </c>
      <c r="BZ24" s="24">
        <f>VLOOKUP(tabCustoUnit[[#This Row],[Código do Posto]],tabParametros[],MATCH(tabCustoUnit[[#Headers],[ANO DA CCT]],tabParametros[#Headers],0),0)</f>
        <v>45658</v>
      </c>
      <c r="CA24" s="25" t="str">
        <f>VLOOKUP(tabCustoUnit[[#This Row],[Código do Posto]],tabParametros[],MATCH(tabCustoUnit[[#Headers],[Nº DE PEDIDO DA CCT]],tabParametros[#Headers],0),0)</f>
        <v>-</v>
      </c>
      <c r="CB24" s="25" t="str">
        <f>VLOOKUP(tabCustoUnit[[#This Row],[Código do Posto]],tabParametros[],MATCH(tabCustoUnit[[#Headers],[TERMO ADITIVO ALTERAÇÃO DA CCT]],tabParametros[#Headers],0),0)</f>
        <v>-</v>
      </c>
    </row>
    <row r="25" spans="1:80" x14ac:dyDescent="0.25">
      <c r="A25" s="20" t="s">
        <v>1085</v>
      </c>
      <c r="B25" t="s">
        <v>31</v>
      </c>
      <c r="C25" t="s">
        <v>1267</v>
      </c>
      <c r="D25" t="s">
        <v>1033</v>
      </c>
      <c r="E25" s="20" t="s">
        <v>9</v>
      </c>
      <c r="F25" s="20" t="s">
        <v>10</v>
      </c>
      <c r="G25" s="21">
        <v>1649.12</v>
      </c>
      <c r="H25" s="21">
        <v>0</v>
      </c>
      <c r="I25" s="21">
        <v>0</v>
      </c>
      <c r="J25" s="21">
        <v>0</v>
      </c>
      <c r="K25" s="21">
        <v>0</v>
      </c>
      <c r="L25" s="21">
        <v>0</v>
      </c>
      <c r="M25" s="21">
        <v>0</v>
      </c>
      <c r="N25" s="21">
        <v>53.971200000000003</v>
      </c>
      <c r="O25" s="21">
        <f>SUM(tabCustoUnit[[#This Row],[Salário Base]:[Adicional de Acúmulo de função]])</f>
        <v>1703.0911999999998</v>
      </c>
      <c r="P25" s="21">
        <f>tabCustoUnit[[#This Row],[MODULO 1 - REMUNERAÇÃO ]]*SUMIFS(tabParametros[INSS],tabParametros[Código do Posto],tabCustoUnit[[#This Row],[Código do Posto]])</f>
        <v>340.61824000000001</v>
      </c>
      <c r="Q25" s="21">
        <f>tabCustoUnit[[#This Row],[MODULO 1 - REMUNERAÇÃO ]]*SUMIFS(tabParametros[SESI OU SESC],tabParametros[Código do Posto],tabCustoUnit[[#This Row],[Código do Posto]])</f>
        <v>25.546367999999998</v>
      </c>
      <c r="R25" s="21">
        <f>tabCustoUnit[[#This Row],[MODULO 1 - REMUNERAÇÃO ]]*SUMIFS(tabParametros[SENAI OU SENAC],tabParametros[Código do Posto],tabCustoUnit[[#This Row],[Código do Posto]])</f>
        <v>17.030911999999997</v>
      </c>
      <c r="S25" s="21">
        <f>tabCustoUnit[[#This Row],[MODULO 1 - REMUNERAÇÃO ]]*SUMIFS(tabParametros[INCRA],tabParametros[Código do Posto],tabCustoUnit[[#This Row],[Código do Posto]])</f>
        <v>3.4061823999999996</v>
      </c>
      <c r="T25" s="21">
        <f>tabCustoUnit[[#This Row],[MODULO 1 - REMUNERAÇÃO ]]*SUMIFS(tabParametros[Salário Educação],tabParametros[Código do Posto],tabCustoUnit[[#This Row],[Código do Posto]])</f>
        <v>42.577280000000002</v>
      </c>
      <c r="U25" s="21">
        <f>tabCustoUnit[[#This Row],[MODULO 1 - REMUNERAÇÃO ]]*SUMIFS(tabParametros[FGTS],tabParametros[Código do Posto],tabCustoUnit[[#This Row],[Código do Posto]])</f>
        <v>136.24729599999998</v>
      </c>
      <c r="V25" s="21">
        <f>tabCustoUnit[[#This Row],[MODULO 1 - REMUNERAÇÃO ]]*SUMIFS(tabParametros[RAT Ajustado],tabParametros[Código do Posto],tabCustoUnit[[#This Row],[Código do Posto]])</f>
        <v>68.123647999999989</v>
      </c>
      <c r="W25" s="21">
        <f>tabCustoUnit[[#This Row],[MODULO 1 - REMUNERAÇÃO ]]*SUMIFS(tabParametros[SEBRAE],tabParametros[Código do Posto],tabCustoUnit[[#This Row],[Código do Posto]])</f>
        <v>10.2185472</v>
      </c>
      <c r="X25" s="21">
        <f>SUM(tabCustoUnit[[#This Row],[INSS]:[SEBRAE]])</f>
        <v>643.76847359999999</v>
      </c>
      <c r="Y25" s="21">
        <f>tabCustoUnit[[#This Row],[MODULO 1 - REMUNERAÇÃO ]]*SUMIFS(tabParametros[13º salário (titular)],tabParametros[Código do Posto],tabCustoUnit[[#This Row],[Código do Posto]])</f>
        <v>141.92426666666665</v>
      </c>
      <c r="Z25" s="21">
        <f>tabCustoUnit[[#This Row],[MODULO 1 - REMUNERAÇÃO ]]*SUMIFS(tabParametros[Férias e Adicional de Férias (titular)],tabParametros[Código do Posto],tabCustoUnit[[#This Row],[Código do Posto]])</f>
        <v>189.23235555555553</v>
      </c>
      <c r="AA25" s="21">
        <f>IFERROR((tabCustoUnit[[#This Row],[Submódulo 2.1]]/tabCustoUnit[[#This Row],[MODULO 1 - REMUNERAÇÃO ]])*SUM(tabCustoUnit[[#This Row],[13º salário (titular)]:[Férias e Adicional de Férias (titular)]]),0)</f>
        <v>125.17720319999999</v>
      </c>
      <c r="AB25" s="21">
        <f>SUM(tabCustoUnit[[#This Row],[13º salário (titular)]:[Incidência do Submódulo 2.1 sobre 13º Salário, Férias e Adicional de Férias]])</f>
        <v>456.33382542222216</v>
      </c>
      <c r="AC25" s="22">
        <f>_xlfn.LET(_xlpm.VT,SUMIF(tabParametros[Código do Posto],tabCustoUnit[[#This Row],[Código do Posto]],tabParametros[Vale - Transporte])*2*20,
IF((_xlpm.VT-tabCustoUnit[[#This Row],[Salário Base]]*0.06)&gt;=0,(_xlpm.VT-tabCustoUnit[[#This Row],[Salário Base]]*0.06),0)
)</f>
        <v>351.05279999999999</v>
      </c>
      <c r="AD25" s="22">
        <f>IF(SUMIF(tabParametros[Código do Posto],tabCustoUnit[[#This Row],[Código do Posto]],tabParametros[Vale - Alimentação])&lt;=0,0,
SUMIF(tabParametros[Código do Posto],tabCustoUnit[[#This Row],[Código do Posto]],tabParametros[Vale - Alimentação])*20-1)</f>
        <v>582</v>
      </c>
      <c r="AE25" s="22">
        <f>SUMIF(tabParametros[Código do Posto],tabCustoUnit[[#This Row],[Código do Posto]],tabParametros[Cesta Básica])</f>
        <v>0</v>
      </c>
      <c r="AF25" s="22">
        <f>SUMIF(tabParametros[Código do Posto],tabCustoUnit[[#This Row],[Código do Posto]],tabParametros[PAF])</f>
        <v>95.9</v>
      </c>
      <c r="AG25" s="22">
        <f>SUMIF(tabParametros[Código do Posto],tabCustoUnit[[#This Row],[Código do Posto]],tabParametros[PQM])</f>
        <v>0</v>
      </c>
      <c r="AH25" s="22">
        <f>SUMIF(tabParametros[Código do Posto],tabCustoUnit[[#This Row],[Código do Posto]],tabParametros[PAT])</f>
        <v>0</v>
      </c>
      <c r="AI25" s="22">
        <f>SUMIF(tabParametros[Código do Posto],tabCustoUnit[[#This Row],[Código do Posto]],tabParametros[Seguro de Vida])</f>
        <v>3.36</v>
      </c>
      <c r="AJ25" s="22">
        <f>SUMIF(tabParametros[Código do Posto],tabCustoUnit[[#This Row],[Código do Posto]],tabParametros[Despesas de Viagem])</f>
        <v>10.19</v>
      </c>
      <c r="AK25" s="22">
        <f>SUM(tabCustoUnit[[#This Row],[Vale - Transporte (Descontada parcela do empregado)]:[Despesas de Viagem]])</f>
        <v>1042.5028</v>
      </c>
      <c r="AL25" s="22">
        <f>tabCustoUnit[[#This Row],[Submódulo 2.1]]+tabCustoUnit[[#This Row],[Submódulo 2.2]]+tabCustoUnit[[#This Row],[Submódulo 2.3]]</f>
        <v>2142.605099022222</v>
      </c>
      <c r="AM25" s="22">
        <f>SUMIF(tabParametros[Código do Posto],tabCustoUnit[[#This Row],[Código do Posto]],tabParametros[Aviso Prévio Indenizado (API) e Reflexo do Aviso Prévio Indenizado])*tabCustoUnit[[#This Row],[MODULO 1 - REMUNERAÇÃO ]]</f>
        <v>11.941678632098764</v>
      </c>
      <c r="AN25" s="22">
        <f>SUMIF(tabParametros[Código do Posto],tabCustoUnit[[#This Row],[Código do Posto]],tabParametros[Incidência do FGTS sobre API e Reflexo do API])*tabCustoUnit[[#This Row],[MODULO 1 - REMUNERAÇÃO ]]</f>
        <v>0.9553342905679012</v>
      </c>
      <c r="AO25" s="22">
        <f>SUMIF(tabParametros[Código do Posto],tabCustoUnit[[#This Row],[Código do Posto]],tabParametros[Multa Rescisória do FGTS sobre o Aviso Prévio Indenizado])*tabCustoUnit[[#This Row],[MODULO 1 - REMUNERAÇÃO ]]</f>
        <v>0.38213371622716052</v>
      </c>
      <c r="AP25" s="22">
        <f>SUMIF(tabParametros[Código do Posto],tabCustoUnit[[#This Row],[Código do Posto]],tabParametros[Aviso Prévio Trabalhado - APT])*tabCustoUnit[[#This Row],[MODULO 1 - REMUNERAÇÃO ]]</f>
        <v>5.9608192000000004</v>
      </c>
      <c r="AQ25" s="22">
        <f>SUMIF(tabParametros[Código do Posto],tabCustoUnit[[#This Row],[Código do Posto]],tabParametros[Incidência dos encargos do submódulo 2.1 sobre Aviso Prévio Trabalhado])*tabCustoUnit[[#This Row],[MODULO 1 - REMUNERAÇÃO ]]</f>
        <v>2.2531896576000006</v>
      </c>
      <c r="AR25" s="22">
        <f>SUMIF(tabParametros[Código do Posto],tabCustoUnit[[#This Row],[Código do Posto]],tabParametros[Multa Rescisória do FGTS])*tabCustoUnit[[#This Row],[MODULO 1 - REMUNERAÇÃO ]]</f>
        <v>52.076744248888879</v>
      </c>
      <c r="AS25" s="22">
        <f>SUMIF(tabParametros[Código do Posto],tabCustoUnit[[#This Row],[Código do Posto]],tabParametros[Indenização Adicional (Art. 9º da Lei nº 7.238/84)])*tabCustoUnit[[#This Row],[MODULO 1 - REMUNERAÇÃO ]]</f>
        <v>1.4192426666666667</v>
      </c>
      <c r="AT25" s="22">
        <f>SUM(tabCustoUnit[[#This Row],[Aviso Prévio Indenizado (API) e Reflexo do Aviso Prévio Indenizado]:[Indenização Adicional (Art. 9º da Lei nº 7.238/84)]])</f>
        <v>74.989142412049375</v>
      </c>
      <c r="AU25" s="22">
        <f>SUMIF(tabParametros[Código do Posto],tabCustoUnit[[#This Row],[Código do Posto]],tabParametros[Ausência por Doença])*tabCustoUnit[[#This Row],[MODULO 1 - REMUNERAÇÃO ]]</f>
        <v>14.38165902222222</v>
      </c>
      <c r="AV25" s="22">
        <f>SUMIF(tabParametros[Código do Posto],tabCustoUnit[[#This Row],[Código do Posto]],tabParametros[Ausências Legais])*tabCustoUnit[[#This Row],[MODULO 1 - REMUNERAÇÃO ]]</f>
        <v>3.4534904888888884</v>
      </c>
      <c r="AW25" s="22">
        <f>SUMIF(tabParametros[Código do Posto],tabCustoUnit[[#This Row],[Código do Posto]],tabParametros[Licença Paternidade])*tabCustoUnit[[#This Row],[MODULO 1 - REMUNERAÇÃO ]]</f>
        <v>0.29094474666666664</v>
      </c>
      <c r="AX25" s="22">
        <f>SUMIF(tabParametros[Código do Posto],tabCustoUnit[[#This Row],[Código do Posto]],tabParametros[Ausência por Acidente de Trabalho])*tabCustoUnit[[#This Row],[MODULO 1 - REMUNERAÇÃO ]]</f>
        <v>0.35481066666666666</v>
      </c>
      <c r="AY25" s="22">
        <f>SUMIF(tabParametros[Código do Posto],tabCustoUnit[[#This Row],[Código do Posto]],tabParametros[Férias, Adicional de Férias e 13º  com empregada em gozo de Licença Maternidade])*tabCustoUnit[[#This Row],[MODULO 1 - REMUNERAÇÃO ]]</f>
        <v>2.2077108148148143</v>
      </c>
      <c r="AZ25" s="22">
        <f>SUMIF(tabParametros[Código do Posto],tabCustoUnit[[#This Row],[Código do Posto]],tabParametros[Incidência do Submódulo 2.1 sobre Ausências Legais])*tabCustoUnit[[#This Row],[MODULO 1 - REMUNERAÇÃO ]]</f>
        <v>7.8202967494400006</v>
      </c>
      <c r="BA25" s="22">
        <f>SUM(tabCustoUnit[[#This Row],[Ausência por Doença]:[Incidência do Submódulo 2.1 sobre Ausências Legais]])</f>
        <v>28.508912488699256</v>
      </c>
      <c r="BB25" s="22">
        <f>SUMIF(tabParametros[Código do Posto],tabCustoUnit[[#This Row],[Código do Posto]],tabParametros[Intervalo para Repouso ou Alimentação])</f>
        <v>188.55652571428567</v>
      </c>
      <c r="BC25" s="22">
        <f>tabCustoUnit[[#This Row],[Intervalo para Repouso ou Alimentação]]</f>
        <v>188.55652571428567</v>
      </c>
      <c r="BD25" s="22">
        <f>IF(VLOOKUP(tabCustoUnit[[#This Row],[Código do Posto]],PARAMETROS!$A$4:$BJ$255,7,0)&lt;=0,0,
IFERROR((tabCustoUnit[[#This Row],[MODULO 1 - REMUNERAÇÃO ]]*VLOOKUP(tabCustoUnit[[#This Row],[Código do Posto]],PARAMETROS!$A$4:$BJ$255,49,0))/(VLOOKUP(tabCustoUnit[[#This Row],[Código do Posto]],PARAMETROS!$A$4:$BJ$255,7,0)*VLOOKUP(tabCustoUnit[[#This Row],[Código do Posto]],PARAMETROS!$A$4:$BJ$255,8,0)),0)
)</f>
        <v>0</v>
      </c>
      <c r="BE25" s="22">
        <f>tabCustoUnit[[#This Row],[Suspensão Temporária do Contrato de Trabalho]]</f>
        <v>0</v>
      </c>
      <c r="BF25" s="22">
        <f>tabCustoUnit[[#This Row],[Submódulo 4.1]]+tabCustoUnit[[#This Row],[Submódulo 4.2]]+tabCustoUnit[[#This Row],[Submódulo 4.3]]</f>
        <v>217.06543820298492</v>
      </c>
      <c r="BG25" s="22">
        <f>VLOOKUP(tabCustoUnit[[#This Row],[Código do Posto]],tabParametros[],MATCH(tabCustoUnit[[#Headers],[Uniformes e EPIs]],tabParametros[#Headers],0),0)</f>
        <v>100.80916666666668</v>
      </c>
      <c r="BH25" s="22">
        <f>VLOOKUP(tabCustoUnit[[#This Row],[Código do Posto]],tabParametros[],MATCH(tabCustoUnit[[#Headers],[Materiais de Consumo]],tabParametros[#Headers],0),0)</f>
        <v>35.518212958583888</v>
      </c>
      <c r="BI25" s="22">
        <f>VLOOKUP(tabCustoUnit[[#This Row],[Código do Posto]],tabParametros[],MATCH(tabCustoUnit[[#Headers],[Máquinas e Equipamentos (depreciação)]],tabParametros[#Headers],0),0)</f>
        <v>64.529393914825576</v>
      </c>
      <c r="BJ25" s="22">
        <f>VLOOKUP(tabCustoUnit[[#This Row],[Código do Posto]],tabParametros[],MATCH(tabCustoUnit[[#Headers],[Produtos de Limpeza e Materiais de Higiene Pessoal]],tabParametros[#Headers],0),0)</f>
        <v>690.27153277931654</v>
      </c>
      <c r="BK25" s="22">
        <f>VLOOKUP(tabCustoUnit[[#This Row],[Código do Posto]],tabParametros[],MATCH(tabCustoUnit[[#Headers],[Outros (especificar)]],tabParametros[#Headers],0),0)</f>
        <v>0</v>
      </c>
      <c r="BL25" s="22">
        <f>SUM(tabCustoUnit[[#This Row],[Uniformes e EPIs]:[Outros (especificar)]])</f>
        <v>891.12830631939266</v>
      </c>
      <c r="BM25" s="22">
        <f>tabCustoUnit[[#This Row],[MODULO 1 - REMUNERAÇÃO ]]+tabCustoUnit[[#This Row],[MÓDULO 2 - Total Encargos e Benefícios mensais e diários]]+tabCustoUnit[[#This Row],[MÓDULO 3 – PROVISÃO PARA RESCISÃO]]+tabCustoUnit[[#This Row],[MÓDULO 4 – CUSTO DE REPOSIÇÃO DO PROFISSIONAL AUSENTE]]+tabCustoUnit[[#This Row],[MÓDULO 5 – INSUMOS DIVERSOS]]</f>
        <v>5028.8791859566481</v>
      </c>
      <c r="BN25" s="22">
        <f>VLOOKUP(tabCustoUnit[[#This Row],[Código do Posto]],tabParametros[],MATCH(tabCustoUnit[[#Headers],[Custos Indiretos]],tabParametros[#Headers],0),0)</f>
        <v>189.64880140242613</v>
      </c>
      <c r="BO25" s="22">
        <f>VLOOKUP(tabCustoUnit[[#This Row],[Código do Posto]],tabParametros[],MATCH(tabCustoUnit[[#Headers],[Lucro]],tabParametros[#Headers],0),0)</f>
        <v>159.30499317803796</v>
      </c>
      <c r="BP25" s="26">
        <f>((100/((1-tabCustoUnit[[#This Row],[Resumo de Alíquotas (PIS+CONFINS+ISS)]]))-100)*VLOOKUP(tabCustoUnit[[#This Row],[Código do Posto]],tabParametros[],MATCH(tabCustoUnit[[#Headers],[COFINS]],tabParametros[#Headers],0),0))/(tabCustoUnit[[#This Row],[Resumo de Alíquotas (PIS+CONFINS+ISS)]]*100)</f>
        <v>8.8629737609329504E-2</v>
      </c>
      <c r="BQ25" s="26">
        <f>((100/((100-(tabCustoUnit[[#This Row],[Resumo de Alíquotas (PIS+CONFINS+ISS)]]*100))%)-100)*VLOOKUP(tabCustoUnit[[#This Row],[Código do Posto]],tabParametros[],MATCH(tabCustoUnit[[#Headers],[PIS]],tabParametros[#Headers],0),0))/(tabCustoUnit[[#This Row],[Resumo de Alíquotas (PIS+CONFINS+ISS)]]*100)</f>
        <v>1.9241982507288629E-2</v>
      </c>
      <c r="BR25" s="28">
        <f>VLOOKUP(tabCustoUnit[[#This Row],[Código do Posto]],tabParametros[],MATCH(tabCustoUnit[[#Headers],[ISS]],tabParametros[#Headers],0),0)</f>
        <v>0.05</v>
      </c>
      <c r="BS25" s="26">
        <f>(((100/((100-(tabCustoUnit[[#This Row],[Resumo de Alíquotas (PIS+CONFINS+ISS)]]*100))%)-100)*tabCustoUnit[[#This Row],[ISS]])/tabCustoUnit[[#This Row],[Resumo de Alíquotas (PIS+CONFINS+ISS)]])/100</f>
        <v>5.8309037900874633E-2</v>
      </c>
      <c r="BT25" s="26">
        <f>(VLOOKUP(tabCustoUnit[[#This Row],[Código do Posto]],tabParametros[],MATCH(tabCustoUnit[[#Headers],[COFINS]],tabParametros[#Headers],0),0)+
VLOOKUP(tabCustoUnit[[#This Row],[Código do Posto]],tabParametros[],MATCH(tabCustoUnit[[#Headers],[PIS]],tabParametros[#Headers],0),0)+
VLOOKUP(tabCustoUnit[[#This Row],[Código do Posto]],tabParametros[],MATCH(tabCustoUnit[[#Headers],[ISS]],tabParametros[#Headers],0),0))</f>
        <v>0.14250000000000002</v>
      </c>
      <c r="BU25" s="138">
        <f>tabCustoUnit[[#This Row],[COFINS]]+tabCustoUnit[[#This Row],[PIS]]+tabCustoUnit[[#This Row],[ISS (Conversão Alíquota s/ fatura)]]</f>
        <v>0.16618075801749277</v>
      </c>
      <c r="BV25" s="22">
        <f>(tabCustoUnit[[#This Row],[TOTAL MÓDULOS 1+2+3+4+5]]+tabCustoUnit[[#This Row],[Custos Indiretos]]+tabCustoUnit[[#This Row],[Lucro]])*tabCustoUnit[[#This Row],[PIS + COFINS + ISS (Total Conversão  Alíquota s/ Fatura)]]</f>
        <v>893.6923611971298</v>
      </c>
      <c r="BW25" s="22">
        <f>tabCustoUnit[[#This Row],[Custos Indiretos]]+tabCustoUnit[[#This Row],[Lucro]]+tabCustoUnit[[#This Row],[Valor dos Tributos (ISS, PIS, CONFINS)]]</f>
        <v>1242.6461557775938</v>
      </c>
      <c r="BX25" s="22">
        <f>tabCustoUnit[[#This Row],[TOTAL MÓDULOS 1+2+3+4+5]]+tabCustoUnit[[#This Row],[MÓDULO 6 – CUSTOS INDIRETOS, TRIBUTOS E LUCRO]]</f>
        <v>6271.5253417342419</v>
      </c>
      <c r="BY25" s="22">
        <f>tabCustoUnit[[#This Row],[CUSTO TOTAL MENSAL]]*12</f>
        <v>75258.304100810899</v>
      </c>
      <c r="BZ25" s="24">
        <f>VLOOKUP(tabCustoUnit[[#This Row],[Código do Posto]],tabParametros[],MATCH(tabCustoUnit[[#Headers],[ANO DA CCT]],tabParametros[#Headers],0),0)</f>
        <v>45658</v>
      </c>
      <c r="CA25" s="25" t="str">
        <f>VLOOKUP(tabCustoUnit[[#This Row],[Código do Posto]],tabParametros[],MATCH(tabCustoUnit[[#Headers],[Nº DE PEDIDO DA CCT]],tabParametros[#Headers],0),0)</f>
        <v>-</v>
      </c>
      <c r="CB25" s="25" t="str">
        <f>VLOOKUP(tabCustoUnit[[#This Row],[Código do Posto]],tabParametros[],MATCH(tabCustoUnit[[#Headers],[TERMO ADITIVO ALTERAÇÃO DA CCT]],tabParametros[#Headers],0),0)</f>
        <v>-</v>
      </c>
    </row>
    <row r="26" spans="1:80" x14ac:dyDescent="0.25">
      <c r="A26" s="20" t="s">
        <v>1087</v>
      </c>
      <c r="B26" t="s">
        <v>31</v>
      </c>
      <c r="C26" t="s">
        <v>1278</v>
      </c>
      <c r="D26" t="s">
        <v>1033</v>
      </c>
      <c r="E26" s="20" t="s">
        <v>9</v>
      </c>
      <c r="F26" s="20" t="s">
        <v>10</v>
      </c>
      <c r="G26" s="21">
        <v>1649.12</v>
      </c>
      <c r="H26" s="21">
        <v>0</v>
      </c>
      <c r="I26" s="21">
        <v>0</v>
      </c>
      <c r="J26" s="21">
        <v>332.29770000000002</v>
      </c>
      <c r="K26" s="21">
        <v>0</v>
      </c>
      <c r="L26" s="21">
        <v>0</v>
      </c>
      <c r="M26" s="21">
        <v>0</v>
      </c>
      <c r="N26" s="21">
        <v>53.971200000000003</v>
      </c>
      <c r="O26" s="21">
        <f>SUM(tabCustoUnit[[#This Row],[Salário Base]:[Adicional de Acúmulo de função]])</f>
        <v>2035.3888999999999</v>
      </c>
      <c r="P26" s="21">
        <f>tabCustoUnit[[#This Row],[MODULO 1 - REMUNERAÇÃO ]]*SUMIFS(tabParametros[INSS],tabParametros[Código do Posto],tabCustoUnit[[#This Row],[Código do Posto]])</f>
        <v>407.07778000000002</v>
      </c>
      <c r="Q26" s="21">
        <f>tabCustoUnit[[#This Row],[MODULO 1 - REMUNERAÇÃO ]]*SUMIFS(tabParametros[SESI OU SESC],tabParametros[Código do Posto],tabCustoUnit[[#This Row],[Código do Posto]])</f>
        <v>30.530833499999996</v>
      </c>
      <c r="R26" s="21">
        <f>tabCustoUnit[[#This Row],[MODULO 1 - REMUNERAÇÃO ]]*SUMIFS(tabParametros[SENAI OU SENAC],tabParametros[Código do Posto],tabCustoUnit[[#This Row],[Código do Posto]])</f>
        <v>20.353888999999999</v>
      </c>
      <c r="S26" s="21">
        <f>tabCustoUnit[[#This Row],[MODULO 1 - REMUNERAÇÃO ]]*SUMIFS(tabParametros[INCRA],tabParametros[Código do Posto],tabCustoUnit[[#This Row],[Código do Posto]])</f>
        <v>4.0707778000000001</v>
      </c>
      <c r="T26" s="21">
        <f>tabCustoUnit[[#This Row],[MODULO 1 - REMUNERAÇÃO ]]*SUMIFS(tabParametros[Salário Educação],tabParametros[Código do Posto],tabCustoUnit[[#This Row],[Código do Posto]])</f>
        <v>50.884722500000002</v>
      </c>
      <c r="U26" s="21">
        <f>tabCustoUnit[[#This Row],[MODULO 1 - REMUNERAÇÃO ]]*SUMIFS(tabParametros[FGTS],tabParametros[Código do Posto],tabCustoUnit[[#This Row],[Código do Posto]])</f>
        <v>162.83111199999999</v>
      </c>
      <c r="V26" s="21">
        <f>tabCustoUnit[[#This Row],[MODULO 1 - REMUNERAÇÃO ]]*SUMIFS(tabParametros[RAT Ajustado],tabParametros[Código do Posto],tabCustoUnit[[#This Row],[Código do Posto]])</f>
        <v>81.415555999999995</v>
      </c>
      <c r="W26" s="21">
        <f>tabCustoUnit[[#This Row],[MODULO 1 - REMUNERAÇÃO ]]*SUMIFS(tabParametros[SEBRAE],tabParametros[Código do Posto],tabCustoUnit[[#This Row],[Código do Posto]])</f>
        <v>12.2123334</v>
      </c>
      <c r="X26" s="21">
        <f>SUM(tabCustoUnit[[#This Row],[INSS]:[SEBRAE]])</f>
        <v>769.37700419999999</v>
      </c>
      <c r="Y26" s="21">
        <f>tabCustoUnit[[#This Row],[MODULO 1 - REMUNERAÇÃO ]]*SUMIFS(tabParametros[13º salário (titular)],tabParametros[Código do Posto],tabCustoUnit[[#This Row],[Código do Posto]])</f>
        <v>169.61574166666665</v>
      </c>
      <c r="Z26" s="21">
        <f>tabCustoUnit[[#This Row],[MODULO 1 - REMUNERAÇÃO ]]*SUMIFS(tabParametros[Férias e Adicional de Férias (titular)],tabParametros[Código do Posto],tabCustoUnit[[#This Row],[Código do Posto]])</f>
        <v>226.15432222222219</v>
      </c>
      <c r="AA26" s="21">
        <f>IFERROR((tabCustoUnit[[#This Row],[Submódulo 2.1]]/tabCustoUnit[[#This Row],[MODULO 1 - REMUNERAÇÃO ]])*SUM(tabCustoUnit[[#This Row],[13º salário (titular)]:[Férias e Adicional de Férias (titular)]]),0)</f>
        <v>149.60108414999999</v>
      </c>
      <c r="AB26" s="21">
        <f>SUM(tabCustoUnit[[#This Row],[13º salário (titular)]:[Incidência do Submódulo 2.1 sobre 13º Salário, Férias e Adicional de Férias]])</f>
        <v>545.3711480388888</v>
      </c>
      <c r="AC26" s="22">
        <f>_xlfn.LET(_xlpm.VT,SUMIF(tabParametros[Código do Posto],tabCustoUnit[[#This Row],[Código do Posto]],tabParametros[Vale - Transporte])*2*20,
IF((_xlpm.VT-tabCustoUnit[[#This Row],[Salário Base]]*0.06)&gt;=0,(_xlpm.VT-tabCustoUnit[[#This Row],[Salário Base]]*0.06),0)
)</f>
        <v>351.05279999999999</v>
      </c>
      <c r="AD26" s="22">
        <f>IF(SUMIF(tabParametros[Código do Posto],tabCustoUnit[[#This Row],[Código do Posto]],tabParametros[Vale - Alimentação])&lt;=0,0,
SUMIF(tabParametros[Código do Posto],tabCustoUnit[[#This Row],[Código do Posto]],tabParametros[Vale - Alimentação])*20-1)</f>
        <v>582</v>
      </c>
      <c r="AE26" s="22">
        <f>SUMIF(tabParametros[Código do Posto],tabCustoUnit[[#This Row],[Código do Posto]],tabParametros[Cesta Básica])</f>
        <v>0</v>
      </c>
      <c r="AF26" s="22">
        <f>SUMIF(tabParametros[Código do Posto],tabCustoUnit[[#This Row],[Código do Posto]],tabParametros[PAF])</f>
        <v>95.9</v>
      </c>
      <c r="AG26" s="22">
        <f>SUMIF(tabParametros[Código do Posto],tabCustoUnit[[#This Row],[Código do Posto]],tabParametros[PQM])</f>
        <v>0</v>
      </c>
      <c r="AH26" s="22">
        <f>SUMIF(tabParametros[Código do Posto],tabCustoUnit[[#This Row],[Código do Posto]],tabParametros[PAT])</f>
        <v>0</v>
      </c>
      <c r="AI26" s="22">
        <f>SUMIF(tabParametros[Código do Posto],tabCustoUnit[[#This Row],[Código do Posto]],tabParametros[Seguro de Vida])</f>
        <v>3.36</v>
      </c>
      <c r="AJ26" s="22">
        <f>SUMIF(tabParametros[Código do Posto],tabCustoUnit[[#This Row],[Código do Posto]],tabParametros[Despesas de Viagem])</f>
        <v>10.19</v>
      </c>
      <c r="AK26" s="22">
        <f>SUM(tabCustoUnit[[#This Row],[Vale - Transporte (Descontada parcela do empregado)]:[Despesas de Viagem]])</f>
        <v>1042.5028</v>
      </c>
      <c r="AL26" s="22">
        <f>tabCustoUnit[[#This Row],[Submódulo 2.1]]+tabCustoUnit[[#This Row],[Submódulo 2.2]]+tabCustoUnit[[#This Row],[Submódulo 2.3]]</f>
        <v>2357.2509522388891</v>
      </c>
      <c r="AM26" s="22">
        <f>SUMIF(tabParametros[Código do Posto],tabCustoUnit[[#This Row],[Código do Posto]],tabParametros[Aviso Prévio Indenizado (API) e Reflexo do Aviso Prévio Indenizado])*tabCustoUnit[[#This Row],[MODULO 1 - REMUNERAÇÃO ]]</f>
        <v>14.271672670929783</v>
      </c>
      <c r="AN26" s="22">
        <f>SUMIF(tabParametros[Código do Posto],tabCustoUnit[[#This Row],[Código do Posto]],tabParametros[Incidência do FGTS sobre API e Reflexo do API])*tabCustoUnit[[#This Row],[MODULO 1 - REMUNERAÇÃO ]]</f>
        <v>1.1417338136743829</v>
      </c>
      <c r="AO26" s="22">
        <f>SUMIF(tabParametros[Código do Posto],tabCustoUnit[[#This Row],[Código do Posto]],tabParametros[Multa Rescisória do FGTS sobre o Aviso Prévio Indenizado])*tabCustoUnit[[#This Row],[MODULO 1 - REMUNERAÇÃO ]]</f>
        <v>0.45669352546975317</v>
      </c>
      <c r="AP26" s="22">
        <f>SUMIF(tabParametros[Código do Posto],tabCustoUnit[[#This Row],[Código do Posto]],tabParametros[Aviso Prévio Trabalhado - APT])*tabCustoUnit[[#This Row],[MODULO 1 - REMUNERAÇÃO ]]</f>
        <v>7.1238611500000006</v>
      </c>
      <c r="AQ26" s="22">
        <f>SUMIF(tabParametros[Código do Posto],tabCustoUnit[[#This Row],[Código do Posto]],tabParametros[Incidência dos encargos do submódulo 2.1 sobre Aviso Prévio Trabalhado])*tabCustoUnit[[#This Row],[MODULO 1 - REMUNERAÇÃO ]]</f>
        <v>2.6928195147000005</v>
      </c>
      <c r="AR26" s="22">
        <f>SUMIF(tabParametros[Código do Posto],tabCustoUnit[[#This Row],[Código do Posto]],tabParametros[Multa Rescisória do FGTS])*tabCustoUnit[[#This Row],[MODULO 1 - REMUNERAÇÃO ]]</f>
        <v>62.237669475555542</v>
      </c>
      <c r="AS26" s="22">
        <f>SUMIF(tabParametros[Código do Posto],tabCustoUnit[[#This Row],[Código do Posto]],tabParametros[Indenização Adicional (Art. 9º da Lei nº 7.238/84)])*tabCustoUnit[[#This Row],[MODULO 1 - REMUNERAÇÃO ]]</f>
        <v>1.6961574166666666</v>
      </c>
      <c r="AT26" s="22">
        <f>SUM(tabCustoUnit[[#This Row],[Aviso Prévio Indenizado (API) e Reflexo do Aviso Prévio Indenizado]:[Indenização Adicional (Art. 9º da Lei nº 7.238/84)]])</f>
        <v>89.620607566996128</v>
      </c>
      <c r="AU26" s="22">
        <f>SUMIF(tabParametros[Código do Posto],tabCustoUnit[[#This Row],[Código do Posto]],tabParametros[Ausência por Doença])*tabCustoUnit[[#This Row],[MODULO 1 - REMUNERAÇÃO ]]</f>
        <v>17.187728488888887</v>
      </c>
      <c r="AV26" s="22">
        <f>SUMIF(tabParametros[Código do Posto],tabCustoUnit[[#This Row],[Código do Posto]],tabParametros[Ausências Legais])*tabCustoUnit[[#This Row],[MODULO 1 - REMUNERAÇÃO ]]</f>
        <v>4.1273163805555555</v>
      </c>
      <c r="AW26" s="22">
        <f>SUMIF(tabParametros[Código do Posto],tabCustoUnit[[#This Row],[Código do Posto]],tabParametros[Licença Paternidade])*tabCustoUnit[[#This Row],[MODULO 1 - REMUNERAÇÃO ]]</f>
        <v>0.34771227041666664</v>
      </c>
      <c r="AX26" s="22">
        <f>SUMIF(tabParametros[Código do Posto],tabCustoUnit[[#This Row],[Código do Posto]],tabParametros[Ausência por Acidente de Trabalho])*tabCustoUnit[[#This Row],[MODULO 1 - REMUNERAÇÃO ]]</f>
        <v>0.42403935416666666</v>
      </c>
      <c r="AY26" s="22">
        <f>SUMIF(tabParametros[Código do Posto],tabCustoUnit[[#This Row],[Código do Posto]],tabParametros[Férias, Adicional de Férias e 13º  com empregada em gozo de Licença Maternidade])*tabCustoUnit[[#This Row],[MODULO 1 - REMUNERAÇÃO ]]</f>
        <v>2.6384670925925926</v>
      </c>
      <c r="AZ26" s="22">
        <f>SUMIF(tabParametros[Código do Posto],tabCustoUnit[[#This Row],[Código do Posto]],tabParametros[Incidência do Submódulo 2.1 sobre Ausências Legais])*tabCustoUnit[[#This Row],[MODULO 1 - REMUNERAÇÃO ]]</f>
        <v>9.3461496357425009</v>
      </c>
      <c r="BA26" s="22">
        <f>SUM(tabCustoUnit[[#This Row],[Ausência por Doença]:[Incidência do Submódulo 2.1 sobre Ausências Legais]])</f>
        <v>34.071413222362871</v>
      </c>
      <c r="BB26" s="22">
        <f>SUMIF(tabParametros[Código do Posto],tabCustoUnit[[#This Row],[Código do Posto]],tabParametros[Intervalo para Repouso ou Alimentação])</f>
        <v>225.34662599999996</v>
      </c>
      <c r="BC26" s="22">
        <f>tabCustoUnit[[#This Row],[Intervalo para Repouso ou Alimentação]]</f>
        <v>225.34662599999996</v>
      </c>
      <c r="BD26" s="22">
        <f>IF(VLOOKUP(tabCustoUnit[[#This Row],[Código do Posto]],PARAMETROS!$A$4:$BJ$255,7,0)&lt;=0,0,
IFERROR((tabCustoUnit[[#This Row],[MODULO 1 - REMUNERAÇÃO ]]*VLOOKUP(tabCustoUnit[[#This Row],[Código do Posto]],PARAMETROS!$A$4:$BJ$255,49,0))/(VLOOKUP(tabCustoUnit[[#This Row],[Código do Posto]],PARAMETROS!$A$4:$BJ$255,7,0)*VLOOKUP(tabCustoUnit[[#This Row],[Código do Posto]],PARAMETROS!$A$4:$BJ$255,8,0)),0)
)</f>
        <v>0</v>
      </c>
      <c r="BE26" s="22">
        <f>tabCustoUnit[[#This Row],[Suspensão Temporária do Contrato de Trabalho]]</f>
        <v>0</v>
      </c>
      <c r="BF26" s="22">
        <f>tabCustoUnit[[#This Row],[Submódulo 4.1]]+tabCustoUnit[[#This Row],[Submódulo 4.2]]+tabCustoUnit[[#This Row],[Submódulo 4.3]]</f>
        <v>259.41803922236284</v>
      </c>
      <c r="BG26" s="22">
        <f>VLOOKUP(tabCustoUnit[[#This Row],[Código do Posto]],tabParametros[],MATCH(tabCustoUnit[[#Headers],[Uniformes e EPIs]],tabParametros[#Headers],0),0)</f>
        <v>100.80916666666668</v>
      </c>
      <c r="BH26" s="22">
        <f>VLOOKUP(tabCustoUnit[[#This Row],[Código do Posto]],tabParametros[],MATCH(tabCustoUnit[[#Headers],[Materiais de Consumo]],tabParametros[#Headers],0),0)</f>
        <v>35.518212958583888</v>
      </c>
      <c r="BI26" s="22">
        <f>VLOOKUP(tabCustoUnit[[#This Row],[Código do Posto]],tabParametros[],MATCH(tabCustoUnit[[#Headers],[Máquinas e Equipamentos (depreciação)]],tabParametros[#Headers],0),0)</f>
        <v>64.529393914825576</v>
      </c>
      <c r="BJ26" s="22">
        <f>VLOOKUP(tabCustoUnit[[#This Row],[Código do Posto]],tabParametros[],MATCH(tabCustoUnit[[#Headers],[Produtos de Limpeza e Materiais de Higiene Pessoal]],tabParametros[#Headers],0),0)</f>
        <v>690.27153277931654</v>
      </c>
      <c r="BK26" s="22">
        <f>VLOOKUP(tabCustoUnit[[#This Row],[Código do Posto]],tabParametros[],MATCH(tabCustoUnit[[#Headers],[Outros (especificar)]],tabParametros[#Headers],0),0)</f>
        <v>0</v>
      </c>
      <c r="BL26" s="22">
        <f>SUM(tabCustoUnit[[#This Row],[Uniformes e EPIs]:[Outros (especificar)]])</f>
        <v>891.12830631939266</v>
      </c>
      <c r="BM26" s="22">
        <f>tabCustoUnit[[#This Row],[MODULO 1 - REMUNERAÇÃO ]]+tabCustoUnit[[#This Row],[MÓDULO 2 - Total Encargos e Benefícios mensais e diários]]+tabCustoUnit[[#This Row],[MÓDULO 3 – PROVISÃO PARA RESCISÃO]]+tabCustoUnit[[#This Row],[MÓDULO 4 – CUSTO DE REPOSIÇÃO DO PROFISSIONAL AUSENTE]]+tabCustoUnit[[#This Row],[MÓDULO 5 – INSUMOS DIVERSOS]]</f>
        <v>5632.80680534764</v>
      </c>
      <c r="BN26" s="22">
        <f>VLOOKUP(tabCustoUnit[[#This Row],[Código do Posto]],tabParametros[],MATCH(tabCustoUnit[[#Headers],[Custos Indiretos]],tabParametros[#Headers],0),0)</f>
        <v>189.64880140242613</v>
      </c>
      <c r="BO26" s="22">
        <f>VLOOKUP(tabCustoUnit[[#This Row],[Código do Posto]],tabParametros[],MATCH(tabCustoUnit[[#Headers],[Lucro]],tabParametros[#Headers],0),0)</f>
        <v>159.30499317803796</v>
      </c>
      <c r="BP26" s="26">
        <f>((100/((1-tabCustoUnit[[#This Row],[Resumo de Alíquotas (PIS+CONFINS+ISS)]]))-100)*VLOOKUP(tabCustoUnit[[#This Row],[Código do Posto]],tabParametros[],MATCH(tabCustoUnit[[#Headers],[COFINS]],tabParametros[#Headers],0),0))/(tabCustoUnit[[#This Row],[Resumo de Alíquotas (PIS+CONFINS+ISS)]]*100)</f>
        <v>8.8629737609329504E-2</v>
      </c>
      <c r="BQ26" s="26">
        <f>((100/((100-(tabCustoUnit[[#This Row],[Resumo de Alíquotas (PIS+CONFINS+ISS)]]*100))%)-100)*VLOOKUP(tabCustoUnit[[#This Row],[Código do Posto]],tabParametros[],MATCH(tabCustoUnit[[#Headers],[PIS]],tabParametros[#Headers],0),0))/(tabCustoUnit[[#This Row],[Resumo de Alíquotas (PIS+CONFINS+ISS)]]*100)</f>
        <v>1.9241982507288629E-2</v>
      </c>
      <c r="BR26" s="28">
        <f>VLOOKUP(tabCustoUnit[[#This Row],[Código do Posto]],tabParametros[],MATCH(tabCustoUnit[[#Headers],[ISS]],tabParametros[#Headers],0),0)</f>
        <v>0.05</v>
      </c>
      <c r="BS26" s="26">
        <f>(((100/((100-(tabCustoUnit[[#This Row],[Resumo de Alíquotas (PIS+CONFINS+ISS)]]*100))%)-100)*tabCustoUnit[[#This Row],[ISS]])/tabCustoUnit[[#This Row],[Resumo de Alíquotas (PIS+CONFINS+ISS)]])/100</f>
        <v>5.8309037900874633E-2</v>
      </c>
      <c r="BT26" s="26">
        <f>(VLOOKUP(tabCustoUnit[[#This Row],[Código do Posto]],tabParametros[],MATCH(tabCustoUnit[[#Headers],[COFINS]],tabParametros[#Headers],0),0)+
VLOOKUP(tabCustoUnit[[#This Row],[Código do Posto]],tabParametros[],MATCH(tabCustoUnit[[#Headers],[PIS]],tabParametros[#Headers],0),0)+
VLOOKUP(tabCustoUnit[[#This Row],[Código do Posto]],tabParametros[],MATCH(tabCustoUnit[[#Headers],[ISS]],tabParametros[#Headers],0),0))</f>
        <v>0.14250000000000002</v>
      </c>
      <c r="BU26" s="138">
        <f>tabCustoUnit[[#This Row],[COFINS]]+tabCustoUnit[[#This Row],[PIS]]+tabCustoUnit[[#This Row],[ISS (Conversão Alíquota s/ fatura)]]</f>
        <v>0.16618075801749277</v>
      </c>
      <c r="BV26" s="22">
        <f>(tabCustoUnit[[#This Row],[TOTAL MÓDULOS 1+2+3+4+5]]+tabCustoUnit[[#This Row],[Custos Indiretos]]+tabCustoUnit[[#This Row],[Lucro]])*tabCustoUnit[[#This Row],[PIS + COFINS + ISS (Total Conversão  Alíquota s/ Fatura)]]</f>
        <v>994.05351077522459</v>
      </c>
      <c r="BW26" s="22">
        <f>tabCustoUnit[[#This Row],[Custos Indiretos]]+tabCustoUnit[[#This Row],[Lucro]]+tabCustoUnit[[#This Row],[Valor dos Tributos (ISS, PIS, CONFINS)]]</f>
        <v>1343.0073053556887</v>
      </c>
      <c r="BX26" s="22">
        <f>tabCustoUnit[[#This Row],[TOTAL MÓDULOS 1+2+3+4+5]]+tabCustoUnit[[#This Row],[MÓDULO 6 – CUSTOS INDIRETOS, TRIBUTOS E LUCRO]]</f>
        <v>6975.8141107033289</v>
      </c>
      <c r="BY26" s="22">
        <f>tabCustoUnit[[#This Row],[CUSTO TOTAL MENSAL]]*12</f>
        <v>83709.769328439943</v>
      </c>
      <c r="BZ26" s="24">
        <f>VLOOKUP(tabCustoUnit[[#This Row],[Código do Posto]],tabParametros[],MATCH(tabCustoUnit[[#Headers],[ANO DA CCT]],tabParametros[#Headers],0),0)</f>
        <v>45658</v>
      </c>
      <c r="CA26" s="25" t="str">
        <f>VLOOKUP(tabCustoUnit[[#This Row],[Código do Posto]],tabParametros[],MATCH(tabCustoUnit[[#Headers],[Nº DE PEDIDO DA CCT]],tabParametros[#Headers],0),0)</f>
        <v>-</v>
      </c>
      <c r="CB26" s="25" t="str">
        <f>VLOOKUP(tabCustoUnit[[#This Row],[Código do Posto]],tabParametros[],MATCH(tabCustoUnit[[#Headers],[TERMO ADITIVO ALTERAÇÃO DA CCT]],tabParametros[#Headers],0),0)</f>
        <v>-</v>
      </c>
    </row>
    <row r="27" spans="1:80" x14ac:dyDescent="0.25">
      <c r="A27" s="20" t="s">
        <v>1088</v>
      </c>
      <c r="B27" t="s">
        <v>31</v>
      </c>
      <c r="C27" t="s">
        <v>1247</v>
      </c>
      <c r="D27" t="s">
        <v>1033</v>
      </c>
      <c r="E27" s="20" t="s">
        <v>9</v>
      </c>
      <c r="F27" s="20" t="s">
        <v>10</v>
      </c>
      <c r="G27" s="21">
        <v>562.20000000000005</v>
      </c>
      <c r="H27" s="21">
        <v>0</v>
      </c>
      <c r="I27" s="21">
        <v>0</v>
      </c>
      <c r="J27" s="21">
        <v>0</v>
      </c>
      <c r="K27" s="21">
        <v>0</v>
      </c>
      <c r="L27" s="21">
        <v>0</v>
      </c>
      <c r="M27" s="21">
        <v>0</v>
      </c>
      <c r="N27" s="21">
        <v>20.2392</v>
      </c>
      <c r="O27" s="21">
        <f>SUM(tabCustoUnit[[#This Row],[Salário Base]:[Adicional de Acúmulo de função]])</f>
        <v>582.43920000000003</v>
      </c>
      <c r="P27" s="21">
        <f>tabCustoUnit[[#This Row],[MODULO 1 - REMUNERAÇÃO ]]*SUMIFS(tabParametros[INSS],tabParametros[Código do Posto],tabCustoUnit[[#This Row],[Código do Posto]])</f>
        <v>116.48784000000001</v>
      </c>
      <c r="Q27" s="21">
        <f>tabCustoUnit[[#This Row],[MODULO 1 - REMUNERAÇÃO ]]*SUMIFS(tabParametros[SESI OU SESC],tabParametros[Código do Posto],tabCustoUnit[[#This Row],[Código do Posto]])</f>
        <v>8.7365879999999994</v>
      </c>
      <c r="R27" s="21">
        <f>tabCustoUnit[[#This Row],[MODULO 1 - REMUNERAÇÃO ]]*SUMIFS(tabParametros[SENAI OU SENAC],tabParametros[Código do Posto],tabCustoUnit[[#This Row],[Código do Posto]])</f>
        <v>5.8243920000000005</v>
      </c>
      <c r="S27" s="21">
        <f>tabCustoUnit[[#This Row],[MODULO 1 - REMUNERAÇÃO ]]*SUMIFS(tabParametros[INCRA],tabParametros[Código do Posto],tabCustoUnit[[#This Row],[Código do Posto]])</f>
        <v>1.1648784000000001</v>
      </c>
      <c r="T27" s="21">
        <f>tabCustoUnit[[#This Row],[MODULO 1 - REMUNERAÇÃO ]]*SUMIFS(tabParametros[Salário Educação],tabParametros[Código do Posto],tabCustoUnit[[#This Row],[Código do Posto]])</f>
        <v>14.560980000000001</v>
      </c>
      <c r="U27" s="21">
        <f>tabCustoUnit[[#This Row],[MODULO 1 - REMUNERAÇÃO ]]*SUMIFS(tabParametros[FGTS],tabParametros[Código do Posto],tabCustoUnit[[#This Row],[Código do Posto]])</f>
        <v>46.595136000000004</v>
      </c>
      <c r="V27" s="21">
        <f>tabCustoUnit[[#This Row],[MODULO 1 - REMUNERAÇÃO ]]*SUMIFS(tabParametros[RAT Ajustado],tabParametros[Código do Posto],tabCustoUnit[[#This Row],[Código do Posto]])</f>
        <v>23.297568000000002</v>
      </c>
      <c r="W27" s="21">
        <f>tabCustoUnit[[#This Row],[MODULO 1 - REMUNERAÇÃO ]]*SUMIFS(tabParametros[SEBRAE],tabParametros[Código do Posto],tabCustoUnit[[#This Row],[Código do Posto]])</f>
        <v>3.4946352000000003</v>
      </c>
      <c r="X27" s="21">
        <f>SUM(tabCustoUnit[[#This Row],[INSS]:[SEBRAE]])</f>
        <v>220.16201760000001</v>
      </c>
      <c r="Y27" s="21">
        <f>tabCustoUnit[[#This Row],[MODULO 1 - REMUNERAÇÃO ]]*SUMIFS(tabParametros[13º salário (titular)],tabParametros[Código do Posto],tabCustoUnit[[#This Row],[Código do Posto]])</f>
        <v>48.5366</v>
      </c>
      <c r="Z27" s="21">
        <f>tabCustoUnit[[#This Row],[MODULO 1 - REMUNERAÇÃO ]]*SUMIFS(tabParametros[Férias e Adicional de Férias (titular)],tabParametros[Código do Posto],tabCustoUnit[[#This Row],[Código do Posto]])</f>
        <v>64.715466666666671</v>
      </c>
      <c r="AA27" s="21">
        <f>IFERROR((tabCustoUnit[[#This Row],[Submódulo 2.1]]/tabCustoUnit[[#This Row],[MODULO 1 - REMUNERAÇÃO ]])*SUM(tabCustoUnit[[#This Row],[13º salário (titular)]:[Férias e Adicional de Férias (titular)]]),0)</f>
        <v>42.809281200000008</v>
      </c>
      <c r="AB27" s="21">
        <f>SUM(tabCustoUnit[[#This Row],[13º salário (titular)]:[Incidência do Submódulo 2.1 sobre 13º Salário, Férias e Adicional de Férias]])</f>
        <v>156.06134786666669</v>
      </c>
      <c r="AC27" s="22">
        <f>_xlfn.LET(_xlpm.VT,SUMIF(tabParametros[Código do Posto],tabCustoUnit[[#This Row],[Código do Posto]],tabParametros[Vale - Transporte])*2*20,
IF((_xlpm.VT-tabCustoUnit[[#This Row],[Salário Base]]*0.06)&gt;=0,(_xlpm.VT-tabCustoUnit[[#This Row],[Salário Base]]*0.06),0)
)</f>
        <v>416.26800000000003</v>
      </c>
      <c r="AD27" s="22">
        <f>IF(SUMIF(tabParametros[Código do Posto],tabCustoUnit[[#This Row],[Código do Posto]],tabParametros[Vale - Alimentação])&lt;=0,0,
SUMIF(tabParametros[Código do Posto],tabCustoUnit[[#This Row],[Código do Posto]],tabParametros[Vale - Alimentação])*20-1)</f>
        <v>582</v>
      </c>
      <c r="AE27" s="22">
        <f>SUMIF(tabParametros[Código do Posto],tabCustoUnit[[#This Row],[Código do Posto]],tabParametros[Cesta Básica])</f>
        <v>0</v>
      </c>
      <c r="AF27" s="22">
        <f>SUMIF(tabParametros[Código do Posto],tabCustoUnit[[#This Row],[Código do Posto]],tabParametros[PAF])</f>
        <v>95.9</v>
      </c>
      <c r="AG27" s="22">
        <f>SUMIF(tabParametros[Código do Posto],tabCustoUnit[[#This Row],[Código do Posto]],tabParametros[PQM])</f>
        <v>0</v>
      </c>
      <c r="AH27" s="22">
        <f>SUMIF(tabParametros[Código do Posto],tabCustoUnit[[#This Row],[Código do Posto]],tabParametros[PAT])</f>
        <v>0</v>
      </c>
      <c r="AI27" s="22">
        <f>SUMIF(tabParametros[Código do Posto],tabCustoUnit[[#This Row],[Código do Posto]],tabParametros[Seguro de Vida])</f>
        <v>3.36</v>
      </c>
      <c r="AJ27" s="22">
        <f>SUMIF(tabParametros[Código do Posto],tabCustoUnit[[#This Row],[Código do Posto]],tabParametros[Despesas de Viagem])</f>
        <v>10.19</v>
      </c>
      <c r="AK27" s="22">
        <f>SUM(tabCustoUnit[[#This Row],[Vale - Transporte (Descontada parcela do empregado)]:[Despesas de Viagem]])</f>
        <v>1107.7180000000001</v>
      </c>
      <c r="AL27" s="22">
        <f>tabCustoUnit[[#This Row],[Submódulo 2.1]]+tabCustoUnit[[#This Row],[Submódulo 2.2]]+tabCustoUnit[[#This Row],[Submódulo 2.3]]</f>
        <v>1483.9413654666669</v>
      </c>
      <c r="AM27" s="22">
        <f>SUMIF(tabParametros[Código do Posto],tabCustoUnit[[#This Row],[Código do Posto]],tabParametros[Aviso Prévio Indenizado (API) e Reflexo do Aviso Prévio Indenizado])*tabCustoUnit[[#This Row],[MODULO 1 - REMUNERAÇÃO ]]</f>
        <v>4.0839279476851855</v>
      </c>
      <c r="AN27" s="22">
        <f>SUMIF(tabParametros[Código do Posto],tabCustoUnit[[#This Row],[Código do Posto]],tabParametros[Incidência do FGTS sobre API e Reflexo do API])*tabCustoUnit[[#This Row],[MODULO 1 - REMUNERAÇÃO ]]</f>
        <v>0.32671423581481485</v>
      </c>
      <c r="AO27" s="22">
        <f>SUMIF(tabParametros[Código do Posto],tabCustoUnit[[#This Row],[Código do Posto]],tabParametros[Multa Rescisória do FGTS sobre o Aviso Prévio Indenizado])*tabCustoUnit[[#This Row],[MODULO 1 - REMUNERAÇÃO ]]</f>
        <v>0.13068569432592594</v>
      </c>
      <c r="AP27" s="22">
        <f>SUMIF(tabParametros[Código do Posto],tabCustoUnit[[#This Row],[Código do Posto]],tabParametros[Aviso Prévio Trabalhado - APT])*tabCustoUnit[[#This Row],[MODULO 1 - REMUNERAÇÃO ]]</f>
        <v>2.0385372000000004</v>
      </c>
      <c r="AQ27" s="22">
        <f>SUMIF(tabParametros[Código do Posto],tabCustoUnit[[#This Row],[Código do Posto]],tabParametros[Incidência dos encargos do submódulo 2.1 sobre Aviso Prévio Trabalhado])*tabCustoUnit[[#This Row],[MODULO 1 - REMUNERAÇÃO ]]</f>
        <v>0.77056706160000021</v>
      </c>
      <c r="AR27" s="22">
        <f>SUMIF(tabParametros[Código do Posto],tabCustoUnit[[#This Row],[Código do Posto]],tabParametros[Multa Rescisória do FGTS])*tabCustoUnit[[#This Row],[MODULO 1 - REMUNERAÇÃO ]]</f>
        <v>17.809696426666665</v>
      </c>
      <c r="AS27" s="22">
        <f>SUMIF(tabParametros[Código do Posto],tabCustoUnit[[#This Row],[Código do Posto]],tabParametros[Indenização Adicional (Art. 9º da Lei nº 7.238/84)])*tabCustoUnit[[#This Row],[MODULO 1 - REMUNERAÇÃO ]]</f>
        <v>0.48536600000000008</v>
      </c>
      <c r="AT27" s="22">
        <f>SUM(tabCustoUnit[[#This Row],[Aviso Prévio Indenizado (API) e Reflexo do Aviso Prévio Indenizado]:[Indenização Adicional (Art. 9º da Lei nº 7.238/84)]])</f>
        <v>25.645494566092591</v>
      </c>
      <c r="AU27" s="22">
        <f>SUMIF(tabParametros[Código do Posto],tabCustoUnit[[#This Row],[Código do Posto]],tabParametros[Ausência por Doença])*tabCustoUnit[[#This Row],[MODULO 1 - REMUNERAÇÃO ]]</f>
        <v>4.9183754666666664</v>
      </c>
      <c r="AV27" s="22">
        <f>SUMIF(tabParametros[Código do Posto],tabCustoUnit[[#This Row],[Código do Posto]],tabParametros[Ausências Legais])*tabCustoUnit[[#This Row],[MODULO 1 - REMUNERAÇÃO ]]</f>
        <v>1.1810572666666665</v>
      </c>
      <c r="AW27" s="22">
        <f>SUMIF(tabParametros[Código do Posto],tabCustoUnit[[#This Row],[Código do Posto]],tabParametros[Licença Paternidade])*tabCustoUnit[[#This Row],[MODULO 1 - REMUNERAÇÃO ]]</f>
        <v>9.9500030000000003E-2</v>
      </c>
      <c r="AX27" s="22">
        <f>SUMIF(tabParametros[Código do Posto],tabCustoUnit[[#This Row],[Código do Posto]],tabParametros[Ausência por Acidente de Trabalho])*tabCustoUnit[[#This Row],[MODULO 1 - REMUNERAÇÃO ]]</f>
        <v>0.12134150000000002</v>
      </c>
      <c r="AY27" s="22">
        <f>SUMIF(tabParametros[Código do Posto],tabCustoUnit[[#This Row],[Código do Posto]],tabParametros[Férias, Adicional de Férias e 13º  com empregada em gozo de Licença Maternidade])*tabCustoUnit[[#This Row],[MODULO 1 - REMUNERAÇÃO ]]</f>
        <v>0.75501377777777778</v>
      </c>
      <c r="AZ27" s="22">
        <f>SUMIF(tabParametros[Código do Posto],tabCustoUnit[[#This Row],[Código do Posto]],tabParametros[Incidência do Submódulo 2.1 sobre Ausências Legais])*tabCustoUnit[[#This Row],[MODULO 1 - REMUNERAÇÃO ]]</f>
        <v>2.6744588795400004</v>
      </c>
      <c r="BA27" s="22">
        <f>SUM(tabCustoUnit[[#This Row],[Ausência por Doença]:[Incidência do Submódulo 2.1 sobre Ausências Legais]])</f>
        <v>9.7497469206511109</v>
      </c>
      <c r="BB27" s="22">
        <f>SUMIF(tabParametros[Código do Posto],tabCustoUnit[[#This Row],[Código do Posto]],tabParametros[Intervalo para Repouso ou Alimentação])</f>
        <v>0</v>
      </c>
      <c r="BC27" s="22">
        <f>tabCustoUnit[[#This Row],[Intervalo para Repouso ou Alimentação]]</f>
        <v>0</v>
      </c>
      <c r="BD27" s="22">
        <f>IF(VLOOKUP(tabCustoUnit[[#This Row],[Código do Posto]],PARAMETROS!$A$4:$BJ$255,7,0)&lt;=0,0,
IFERROR((tabCustoUnit[[#This Row],[MODULO 1 - REMUNERAÇÃO ]]*VLOOKUP(tabCustoUnit[[#This Row],[Código do Posto]],PARAMETROS!$A$4:$BJ$255,49,0))/(VLOOKUP(tabCustoUnit[[#This Row],[Código do Posto]],PARAMETROS!$A$4:$BJ$255,7,0)*VLOOKUP(tabCustoUnit[[#This Row],[Código do Posto]],PARAMETROS!$A$4:$BJ$255,8,0)),0)
)</f>
        <v>0</v>
      </c>
      <c r="BE27" s="22">
        <f>tabCustoUnit[[#This Row],[Suspensão Temporária do Contrato de Trabalho]]</f>
        <v>0</v>
      </c>
      <c r="BF27" s="22">
        <f>tabCustoUnit[[#This Row],[Submódulo 4.1]]+tabCustoUnit[[#This Row],[Submódulo 4.2]]+tabCustoUnit[[#This Row],[Submódulo 4.3]]</f>
        <v>9.7497469206511109</v>
      </c>
      <c r="BG27" s="22">
        <f>VLOOKUP(tabCustoUnit[[#This Row],[Código do Posto]],tabParametros[],MATCH(tabCustoUnit[[#Headers],[Uniformes e EPIs]],tabParametros[#Headers],0),0)</f>
        <v>62.806666666666665</v>
      </c>
      <c r="BH27" s="22">
        <f>VLOOKUP(tabCustoUnit[[#This Row],[Código do Posto]],tabParametros[],MATCH(tabCustoUnit[[#Headers],[Materiais de Consumo]],tabParametros[#Headers],0),0)</f>
        <v>12.108481690426325</v>
      </c>
      <c r="BI27" s="22">
        <f>VLOOKUP(tabCustoUnit[[#This Row],[Código do Posto]],tabParametros[],MATCH(tabCustoUnit[[#Headers],[Máquinas e Equipamentos (depreciação)]],tabParametros[#Headers],0),0)</f>
        <v>21.998657016417809</v>
      </c>
      <c r="BJ27" s="22">
        <f>VLOOKUP(tabCustoUnit[[#This Row],[Código do Posto]],tabParametros[],MATCH(tabCustoUnit[[#Headers],[Produtos de Limpeza e Materiais de Higiene Pessoal]],tabParametros[#Headers],0),0)</f>
        <v>235.31984072022155</v>
      </c>
      <c r="BK27" s="22">
        <f>VLOOKUP(tabCustoUnit[[#This Row],[Código do Posto]],tabParametros[],MATCH(tabCustoUnit[[#Headers],[Outros (especificar)]],tabParametros[#Headers],0),0)</f>
        <v>0</v>
      </c>
      <c r="BL27" s="22">
        <f>SUM(tabCustoUnit[[#This Row],[Uniformes e EPIs]:[Outros (especificar)]])</f>
        <v>332.23364609373232</v>
      </c>
      <c r="BM27" s="22">
        <f>tabCustoUnit[[#This Row],[MODULO 1 - REMUNERAÇÃO ]]+tabCustoUnit[[#This Row],[MÓDULO 2 - Total Encargos e Benefícios mensais e diários]]+tabCustoUnit[[#This Row],[MÓDULO 3 – PROVISÃO PARA RESCISÃO]]+tabCustoUnit[[#This Row],[MÓDULO 4 – CUSTO DE REPOSIÇÃO DO PROFISSIONAL AUSENTE]]+tabCustoUnit[[#This Row],[MÓDULO 5 – INSUMOS DIVERSOS]]</f>
        <v>2434.0094530471424</v>
      </c>
      <c r="BN27" s="22">
        <f>VLOOKUP(tabCustoUnit[[#This Row],[Código do Posto]],tabParametros[],MATCH(tabCustoUnit[[#Headers],[Custos Indiretos]],tabParametros[#Headers],0),0)</f>
        <v>189.64880140242613</v>
      </c>
      <c r="BO27" s="22">
        <f>VLOOKUP(tabCustoUnit[[#This Row],[Código do Posto]],tabParametros[],MATCH(tabCustoUnit[[#Headers],[Lucro]],tabParametros[#Headers],0),0)</f>
        <v>159.30499317803796</v>
      </c>
      <c r="BP27" s="26">
        <f>((100/((1-tabCustoUnit[[#This Row],[Resumo de Alíquotas (PIS+CONFINS+ISS)]]))-100)*VLOOKUP(tabCustoUnit[[#This Row],[Código do Posto]],tabParametros[],MATCH(tabCustoUnit[[#Headers],[COFINS]],tabParametros[#Headers],0),0))/(tabCustoUnit[[#This Row],[Resumo de Alíquotas (PIS+CONFINS+ISS)]]*100)</f>
        <v>8.8629737609329504E-2</v>
      </c>
      <c r="BQ27" s="26">
        <f>((100/((100-(tabCustoUnit[[#This Row],[Resumo de Alíquotas (PIS+CONFINS+ISS)]]*100))%)-100)*VLOOKUP(tabCustoUnit[[#This Row],[Código do Posto]],tabParametros[],MATCH(tabCustoUnit[[#Headers],[PIS]],tabParametros[#Headers],0),0))/(tabCustoUnit[[#This Row],[Resumo de Alíquotas (PIS+CONFINS+ISS)]]*100)</f>
        <v>1.9241982507288629E-2</v>
      </c>
      <c r="BR27" s="28">
        <f>VLOOKUP(tabCustoUnit[[#This Row],[Código do Posto]],tabParametros[],MATCH(tabCustoUnit[[#Headers],[ISS]],tabParametros[#Headers],0),0)</f>
        <v>0.05</v>
      </c>
      <c r="BS27" s="26">
        <f>(((100/((100-(tabCustoUnit[[#This Row],[Resumo de Alíquotas (PIS+CONFINS+ISS)]]*100))%)-100)*tabCustoUnit[[#This Row],[ISS]])/tabCustoUnit[[#This Row],[Resumo de Alíquotas (PIS+CONFINS+ISS)]])/100</f>
        <v>5.8309037900874633E-2</v>
      </c>
      <c r="BT27" s="26">
        <f>(VLOOKUP(tabCustoUnit[[#This Row],[Código do Posto]],tabParametros[],MATCH(tabCustoUnit[[#Headers],[COFINS]],tabParametros[#Headers],0),0)+
VLOOKUP(tabCustoUnit[[#This Row],[Código do Posto]],tabParametros[],MATCH(tabCustoUnit[[#Headers],[PIS]],tabParametros[#Headers],0),0)+
VLOOKUP(tabCustoUnit[[#This Row],[Código do Posto]],tabParametros[],MATCH(tabCustoUnit[[#Headers],[ISS]],tabParametros[#Headers],0),0))</f>
        <v>0.14250000000000002</v>
      </c>
      <c r="BU27" s="138">
        <f>tabCustoUnit[[#This Row],[COFINS]]+tabCustoUnit[[#This Row],[PIS]]+tabCustoUnit[[#This Row],[ISS (Conversão Alíquota s/ fatura)]]</f>
        <v>0.16618075801749277</v>
      </c>
      <c r="BV27" s="22">
        <f>(tabCustoUnit[[#This Row],[TOTAL MÓDULOS 1+2+3+4+5]]+tabCustoUnit[[#This Row],[Custos Indiretos]]+tabCustoUnit[[#This Row],[Lucro]])*tabCustoUnit[[#This Row],[PIS + COFINS + ISS (Total Conversão  Alíquota s/ Fatura)]]</f>
        <v>462.47494202557908</v>
      </c>
      <c r="BW27" s="22">
        <f>tabCustoUnit[[#This Row],[Custos Indiretos]]+tabCustoUnit[[#This Row],[Lucro]]+tabCustoUnit[[#This Row],[Valor dos Tributos (ISS, PIS, CONFINS)]]</f>
        <v>811.42873660604323</v>
      </c>
      <c r="BX27" s="22">
        <f>tabCustoUnit[[#This Row],[TOTAL MÓDULOS 1+2+3+4+5]]+tabCustoUnit[[#This Row],[MÓDULO 6 – CUSTOS INDIRETOS, TRIBUTOS E LUCRO]]</f>
        <v>3245.4381896531859</v>
      </c>
      <c r="BY27" s="22">
        <f>tabCustoUnit[[#This Row],[CUSTO TOTAL MENSAL]]*12</f>
        <v>38945.258275838234</v>
      </c>
      <c r="BZ27" s="24">
        <f>VLOOKUP(tabCustoUnit[[#This Row],[Código do Posto]],tabParametros[],MATCH(tabCustoUnit[[#Headers],[ANO DA CCT]],tabParametros[#Headers],0),0)</f>
        <v>45658</v>
      </c>
      <c r="CA27" s="25" t="str">
        <f>VLOOKUP(tabCustoUnit[[#This Row],[Código do Posto]],tabParametros[],MATCH(tabCustoUnit[[#Headers],[Nº DE PEDIDO DA CCT]],tabParametros[#Headers],0),0)</f>
        <v>-</v>
      </c>
      <c r="CB27" s="25" t="str">
        <f>VLOOKUP(tabCustoUnit[[#This Row],[Código do Posto]],tabParametros[],MATCH(tabCustoUnit[[#Headers],[TERMO ADITIVO ALTERAÇÃO DA CCT]],tabParametros[#Headers],0),0)</f>
        <v>-</v>
      </c>
    </row>
    <row r="28" spans="1:80" x14ac:dyDescent="0.25">
      <c r="A28" s="20" t="s">
        <v>1089</v>
      </c>
      <c r="B28" t="s">
        <v>31</v>
      </c>
      <c r="C28" t="s">
        <v>1244</v>
      </c>
      <c r="D28" t="s">
        <v>1033</v>
      </c>
      <c r="E28" s="20" t="s">
        <v>9</v>
      </c>
      <c r="F28" s="20" t="s">
        <v>10</v>
      </c>
      <c r="G28" s="21">
        <v>824.56</v>
      </c>
      <c r="H28" s="21">
        <v>0</v>
      </c>
      <c r="I28" s="21">
        <v>0</v>
      </c>
      <c r="J28" s="21">
        <v>0</v>
      </c>
      <c r="K28" s="21">
        <v>0</v>
      </c>
      <c r="L28" s="21">
        <v>0</v>
      </c>
      <c r="M28" s="21">
        <v>0</v>
      </c>
      <c r="N28" s="21">
        <v>26.985600000000002</v>
      </c>
      <c r="O28" s="21">
        <f>SUM(tabCustoUnit[[#This Row],[Salário Base]:[Adicional de Acúmulo de função]])</f>
        <v>851.54559999999992</v>
      </c>
      <c r="P28" s="21">
        <f>tabCustoUnit[[#This Row],[MODULO 1 - REMUNERAÇÃO ]]*SUMIFS(tabParametros[INSS],tabParametros[Código do Posto],tabCustoUnit[[#This Row],[Código do Posto]])</f>
        <v>170.30912000000001</v>
      </c>
      <c r="Q28" s="21">
        <f>tabCustoUnit[[#This Row],[MODULO 1 - REMUNERAÇÃO ]]*SUMIFS(tabParametros[SESI OU SESC],tabParametros[Código do Posto],tabCustoUnit[[#This Row],[Código do Posto]])</f>
        <v>12.773183999999999</v>
      </c>
      <c r="R28" s="21">
        <f>tabCustoUnit[[#This Row],[MODULO 1 - REMUNERAÇÃO ]]*SUMIFS(tabParametros[SENAI OU SENAC],tabParametros[Código do Posto],tabCustoUnit[[#This Row],[Código do Posto]])</f>
        <v>8.5154559999999986</v>
      </c>
      <c r="S28" s="21">
        <f>tabCustoUnit[[#This Row],[MODULO 1 - REMUNERAÇÃO ]]*SUMIFS(tabParametros[INCRA],tabParametros[Código do Posto],tabCustoUnit[[#This Row],[Código do Posto]])</f>
        <v>1.7030911999999998</v>
      </c>
      <c r="T28" s="21">
        <f>tabCustoUnit[[#This Row],[MODULO 1 - REMUNERAÇÃO ]]*SUMIFS(tabParametros[Salário Educação],tabParametros[Código do Posto],tabCustoUnit[[#This Row],[Código do Posto]])</f>
        <v>21.288640000000001</v>
      </c>
      <c r="U28" s="21">
        <f>tabCustoUnit[[#This Row],[MODULO 1 - REMUNERAÇÃO ]]*SUMIFS(tabParametros[FGTS],tabParametros[Código do Posto],tabCustoUnit[[#This Row],[Código do Posto]])</f>
        <v>68.123647999999989</v>
      </c>
      <c r="V28" s="21">
        <f>tabCustoUnit[[#This Row],[MODULO 1 - REMUNERAÇÃO ]]*SUMIFS(tabParametros[RAT Ajustado],tabParametros[Código do Posto],tabCustoUnit[[#This Row],[Código do Posto]])</f>
        <v>34.061823999999994</v>
      </c>
      <c r="W28" s="21">
        <f>tabCustoUnit[[#This Row],[MODULO 1 - REMUNERAÇÃO ]]*SUMIFS(tabParametros[SEBRAE],tabParametros[Código do Posto],tabCustoUnit[[#This Row],[Código do Posto]])</f>
        <v>5.1092735999999999</v>
      </c>
      <c r="X28" s="21">
        <f>SUM(tabCustoUnit[[#This Row],[INSS]:[SEBRAE]])</f>
        <v>321.8842368</v>
      </c>
      <c r="Y28" s="21">
        <f>tabCustoUnit[[#This Row],[MODULO 1 - REMUNERAÇÃO ]]*SUMIFS(tabParametros[13º salário (titular)],tabParametros[Código do Posto],tabCustoUnit[[#This Row],[Código do Posto]])</f>
        <v>70.962133333333327</v>
      </c>
      <c r="Z28" s="21">
        <f>tabCustoUnit[[#This Row],[MODULO 1 - REMUNERAÇÃO ]]*SUMIFS(tabParametros[Férias e Adicional de Férias (titular)],tabParametros[Código do Posto],tabCustoUnit[[#This Row],[Código do Posto]])</f>
        <v>94.616177777777764</v>
      </c>
      <c r="AA28" s="21">
        <f>IFERROR((tabCustoUnit[[#This Row],[Submódulo 2.1]]/tabCustoUnit[[#This Row],[MODULO 1 - REMUNERAÇÃO ]])*SUM(tabCustoUnit[[#This Row],[13º salário (titular)]:[Férias e Adicional de Férias (titular)]]),0)</f>
        <v>62.588601599999997</v>
      </c>
      <c r="AB28" s="21">
        <f>SUM(tabCustoUnit[[#This Row],[13º salário (titular)]:[Incidência do Submódulo 2.1 sobre 13º Salário, Férias e Adicional de Férias]])</f>
        <v>228.16691271111108</v>
      </c>
      <c r="AC28" s="22">
        <f>_xlfn.LET(_xlpm.VT,SUMIF(tabParametros[Código do Posto],tabCustoUnit[[#This Row],[Código do Posto]],tabParametros[Vale - Transporte])*2*20,
IF((_xlpm.VT-tabCustoUnit[[#This Row],[Salário Base]]*0.06)&gt;=0,(_xlpm.VT-tabCustoUnit[[#This Row],[Salário Base]]*0.06),0)
)</f>
        <v>400.52640000000002</v>
      </c>
      <c r="AD28" s="22">
        <f>IF(SUMIF(tabParametros[Código do Posto],tabCustoUnit[[#This Row],[Código do Posto]],tabParametros[Vale - Alimentação])&lt;=0,0,
SUMIF(tabParametros[Código do Posto],tabCustoUnit[[#This Row],[Código do Posto]],tabParametros[Vale - Alimentação])*20-1)</f>
        <v>582</v>
      </c>
      <c r="AE28" s="22">
        <f>SUMIF(tabParametros[Código do Posto],tabCustoUnit[[#This Row],[Código do Posto]],tabParametros[Cesta Básica])</f>
        <v>0</v>
      </c>
      <c r="AF28" s="22">
        <f>SUMIF(tabParametros[Código do Posto],tabCustoUnit[[#This Row],[Código do Posto]],tabParametros[PAF])</f>
        <v>95.9</v>
      </c>
      <c r="AG28" s="22">
        <f>SUMIF(tabParametros[Código do Posto],tabCustoUnit[[#This Row],[Código do Posto]],tabParametros[PQM])</f>
        <v>0</v>
      </c>
      <c r="AH28" s="22">
        <f>SUMIF(tabParametros[Código do Posto],tabCustoUnit[[#This Row],[Código do Posto]],tabParametros[PAT])</f>
        <v>0</v>
      </c>
      <c r="AI28" s="22">
        <f>SUMIF(tabParametros[Código do Posto],tabCustoUnit[[#This Row],[Código do Posto]],tabParametros[Seguro de Vida])</f>
        <v>3.36</v>
      </c>
      <c r="AJ28" s="22">
        <f>SUMIF(tabParametros[Código do Posto],tabCustoUnit[[#This Row],[Código do Posto]],tabParametros[Despesas de Viagem])</f>
        <v>10.19</v>
      </c>
      <c r="AK28" s="22">
        <f>SUM(tabCustoUnit[[#This Row],[Vale - Transporte (Descontada parcela do empregado)]:[Despesas de Viagem]])</f>
        <v>1091.9764</v>
      </c>
      <c r="AL28" s="22">
        <f>tabCustoUnit[[#This Row],[Submódulo 2.1]]+tabCustoUnit[[#This Row],[Submódulo 2.2]]+tabCustoUnit[[#This Row],[Submódulo 2.3]]</f>
        <v>1642.0275495111111</v>
      </c>
      <c r="AM28" s="22">
        <f>SUMIF(tabParametros[Código do Posto],tabCustoUnit[[#This Row],[Código do Posto]],tabParametros[Aviso Prévio Indenizado (API) e Reflexo do Aviso Prévio Indenizado])*tabCustoUnit[[#This Row],[MODULO 1 - REMUNERAÇÃO ]]</f>
        <v>5.970839316049382</v>
      </c>
      <c r="AN28" s="22">
        <f>SUMIF(tabParametros[Código do Posto],tabCustoUnit[[#This Row],[Código do Posto]],tabParametros[Incidência do FGTS sobre API e Reflexo do API])*tabCustoUnit[[#This Row],[MODULO 1 - REMUNERAÇÃO ]]</f>
        <v>0.4776671452839506</v>
      </c>
      <c r="AO28" s="22">
        <f>SUMIF(tabParametros[Código do Posto],tabCustoUnit[[#This Row],[Código do Posto]],tabParametros[Multa Rescisória do FGTS sobre o Aviso Prévio Indenizado])*tabCustoUnit[[#This Row],[MODULO 1 - REMUNERAÇÃO ]]</f>
        <v>0.19106685811358026</v>
      </c>
      <c r="AP28" s="22">
        <f>SUMIF(tabParametros[Código do Posto],tabCustoUnit[[#This Row],[Código do Posto]],tabParametros[Aviso Prévio Trabalhado - APT])*tabCustoUnit[[#This Row],[MODULO 1 - REMUNERAÇÃO ]]</f>
        <v>2.9804096000000002</v>
      </c>
      <c r="AQ28" s="22">
        <f>SUMIF(tabParametros[Código do Posto],tabCustoUnit[[#This Row],[Código do Posto]],tabParametros[Incidência dos encargos do submódulo 2.1 sobre Aviso Prévio Trabalhado])*tabCustoUnit[[#This Row],[MODULO 1 - REMUNERAÇÃO ]]</f>
        <v>1.1265948288000003</v>
      </c>
      <c r="AR28" s="22">
        <f>SUMIF(tabParametros[Código do Posto],tabCustoUnit[[#This Row],[Código do Posto]],tabParametros[Multa Rescisória do FGTS])*tabCustoUnit[[#This Row],[MODULO 1 - REMUNERAÇÃO ]]</f>
        <v>26.038372124444439</v>
      </c>
      <c r="AS28" s="22">
        <f>SUMIF(tabParametros[Código do Posto],tabCustoUnit[[#This Row],[Código do Posto]],tabParametros[Indenização Adicional (Art. 9º da Lei nº 7.238/84)])*tabCustoUnit[[#This Row],[MODULO 1 - REMUNERAÇÃO ]]</f>
        <v>0.70962133333333333</v>
      </c>
      <c r="AT28" s="22">
        <f>SUM(tabCustoUnit[[#This Row],[Aviso Prévio Indenizado (API) e Reflexo do Aviso Prévio Indenizado]:[Indenização Adicional (Art. 9º da Lei nº 7.238/84)]])</f>
        <v>37.494571206024688</v>
      </c>
      <c r="AU28" s="22">
        <f>SUMIF(tabParametros[Código do Posto],tabCustoUnit[[#This Row],[Código do Posto]],tabParametros[Ausência por Doença])*tabCustoUnit[[#This Row],[MODULO 1 - REMUNERAÇÃO ]]</f>
        <v>7.1908295111111098</v>
      </c>
      <c r="AV28" s="22">
        <f>SUMIF(tabParametros[Código do Posto],tabCustoUnit[[#This Row],[Código do Posto]],tabParametros[Ausências Legais])*tabCustoUnit[[#This Row],[MODULO 1 - REMUNERAÇÃO ]]</f>
        <v>1.7267452444444442</v>
      </c>
      <c r="AW28" s="22">
        <f>SUMIF(tabParametros[Código do Posto],tabCustoUnit[[#This Row],[Código do Posto]],tabParametros[Licença Paternidade])*tabCustoUnit[[#This Row],[MODULO 1 - REMUNERAÇÃO ]]</f>
        <v>0.14547237333333332</v>
      </c>
      <c r="AX28" s="22">
        <f>SUMIF(tabParametros[Código do Posto],tabCustoUnit[[#This Row],[Código do Posto]],tabParametros[Ausência por Acidente de Trabalho])*tabCustoUnit[[#This Row],[MODULO 1 - REMUNERAÇÃO ]]</f>
        <v>0.17740533333333333</v>
      </c>
      <c r="AY28" s="22">
        <f>SUMIF(tabParametros[Código do Posto],tabCustoUnit[[#This Row],[Código do Posto]],tabParametros[Férias, Adicional de Férias e 13º  com empregada em gozo de Licença Maternidade])*tabCustoUnit[[#This Row],[MODULO 1 - REMUNERAÇÃO ]]</f>
        <v>1.1038554074074072</v>
      </c>
      <c r="AZ28" s="22">
        <f>SUMIF(tabParametros[Código do Posto],tabCustoUnit[[#This Row],[Código do Posto]],tabParametros[Incidência do Submódulo 2.1 sobre Ausências Legais])*tabCustoUnit[[#This Row],[MODULO 1 - REMUNERAÇÃO ]]</f>
        <v>3.9101483747200003</v>
      </c>
      <c r="BA28" s="22">
        <f>SUM(tabCustoUnit[[#This Row],[Ausência por Doença]:[Incidência do Submódulo 2.1 sobre Ausências Legais]])</f>
        <v>14.254456244349628</v>
      </c>
      <c r="BB28" s="22">
        <f>SUMIF(tabParametros[Código do Posto],tabCustoUnit[[#This Row],[Código do Posto]],tabParametros[Intervalo para Repouso ou Alimentação])</f>
        <v>0</v>
      </c>
      <c r="BC28" s="22">
        <f>tabCustoUnit[[#This Row],[Intervalo para Repouso ou Alimentação]]</f>
        <v>0</v>
      </c>
      <c r="BD28" s="22">
        <f>IF(VLOOKUP(tabCustoUnit[[#This Row],[Código do Posto]],PARAMETROS!$A$4:$BJ$255,7,0)&lt;=0,0,
IFERROR((tabCustoUnit[[#This Row],[MODULO 1 - REMUNERAÇÃO ]]*VLOOKUP(tabCustoUnit[[#This Row],[Código do Posto]],PARAMETROS!$A$4:$BJ$255,49,0))/(VLOOKUP(tabCustoUnit[[#This Row],[Código do Posto]],PARAMETROS!$A$4:$BJ$255,7,0)*VLOOKUP(tabCustoUnit[[#This Row],[Código do Posto]],PARAMETROS!$A$4:$BJ$255,8,0)),0)
)</f>
        <v>0</v>
      </c>
      <c r="BE28" s="22">
        <f>tabCustoUnit[[#This Row],[Suspensão Temporária do Contrato de Trabalho]]</f>
        <v>0</v>
      </c>
      <c r="BF28" s="22">
        <f>tabCustoUnit[[#This Row],[Submódulo 4.1]]+tabCustoUnit[[#This Row],[Submódulo 4.2]]+tabCustoUnit[[#This Row],[Submódulo 4.3]]</f>
        <v>14.254456244349628</v>
      </c>
      <c r="BG28" s="22">
        <f>VLOOKUP(tabCustoUnit[[#This Row],[Código do Posto]],tabParametros[],MATCH(tabCustoUnit[[#Headers],[Uniformes e EPIs]],tabParametros[#Headers],0),0)</f>
        <v>62.806666666666665</v>
      </c>
      <c r="BH28" s="22">
        <f>VLOOKUP(tabCustoUnit[[#This Row],[Código do Posto]],tabParametros[],MATCH(tabCustoUnit[[#Headers],[Materiais de Consumo]],tabParametros[#Headers],0),0)</f>
        <v>17.759106479291944</v>
      </c>
      <c r="BI28" s="22">
        <f>VLOOKUP(tabCustoUnit[[#This Row],[Código do Posto]],tabParametros[],MATCH(tabCustoUnit[[#Headers],[Máquinas e Equipamentos (depreciação)]],tabParametros[#Headers],0),0)</f>
        <v>32.264696957412788</v>
      </c>
      <c r="BJ28" s="22">
        <f>VLOOKUP(tabCustoUnit[[#This Row],[Código do Posto]],tabParametros[],MATCH(tabCustoUnit[[#Headers],[Produtos de Limpeza e Materiais de Higiene Pessoal]],tabParametros[#Headers],0),0)</f>
        <v>345.13576638965827</v>
      </c>
      <c r="BK28" s="22">
        <f>VLOOKUP(tabCustoUnit[[#This Row],[Código do Posto]],tabParametros[],MATCH(tabCustoUnit[[#Headers],[Outros (especificar)]],tabParametros[#Headers],0),0)</f>
        <v>0</v>
      </c>
      <c r="BL28" s="22">
        <f>SUM(tabCustoUnit[[#This Row],[Uniformes e EPIs]:[Outros (especificar)]])</f>
        <v>457.96623649302967</v>
      </c>
      <c r="BM28" s="22">
        <f>tabCustoUnit[[#This Row],[MODULO 1 - REMUNERAÇÃO ]]+tabCustoUnit[[#This Row],[MÓDULO 2 - Total Encargos e Benefícios mensais e diários]]+tabCustoUnit[[#This Row],[MÓDULO 3 – PROVISÃO PARA RESCISÃO]]+tabCustoUnit[[#This Row],[MÓDULO 4 – CUSTO DE REPOSIÇÃO DO PROFISSIONAL AUSENTE]]+tabCustoUnit[[#This Row],[MÓDULO 5 – INSUMOS DIVERSOS]]</f>
        <v>3003.2884134545152</v>
      </c>
      <c r="BN28" s="22">
        <f>VLOOKUP(tabCustoUnit[[#This Row],[Código do Posto]],tabParametros[],MATCH(tabCustoUnit[[#Headers],[Custos Indiretos]],tabParametros[#Headers],0),0)</f>
        <v>189.64880140242613</v>
      </c>
      <c r="BO28" s="22">
        <f>VLOOKUP(tabCustoUnit[[#This Row],[Código do Posto]],tabParametros[],MATCH(tabCustoUnit[[#Headers],[Lucro]],tabParametros[#Headers],0),0)</f>
        <v>159.30499317803796</v>
      </c>
      <c r="BP28" s="26">
        <f>((100/((1-tabCustoUnit[[#This Row],[Resumo de Alíquotas (PIS+CONFINS+ISS)]]))-100)*VLOOKUP(tabCustoUnit[[#This Row],[Código do Posto]],tabParametros[],MATCH(tabCustoUnit[[#Headers],[COFINS]],tabParametros[#Headers],0),0))/(tabCustoUnit[[#This Row],[Resumo de Alíquotas (PIS+CONFINS+ISS)]]*100)</f>
        <v>8.8629737609329504E-2</v>
      </c>
      <c r="BQ28" s="26">
        <f>((100/((100-(tabCustoUnit[[#This Row],[Resumo de Alíquotas (PIS+CONFINS+ISS)]]*100))%)-100)*VLOOKUP(tabCustoUnit[[#This Row],[Código do Posto]],tabParametros[],MATCH(tabCustoUnit[[#Headers],[PIS]],tabParametros[#Headers],0),0))/(tabCustoUnit[[#This Row],[Resumo de Alíquotas (PIS+CONFINS+ISS)]]*100)</f>
        <v>1.9241982507288629E-2</v>
      </c>
      <c r="BR28" s="28">
        <f>VLOOKUP(tabCustoUnit[[#This Row],[Código do Posto]],tabParametros[],MATCH(tabCustoUnit[[#Headers],[ISS]],tabParametros[#Headers],0),0)</f>
        <v>0.05</v>
      </c>
      <c r="BS28" s="26">
        <f>(((100/((100-(tabCustoUnit[[#This Row],[Resumo de Alíquotas (PIS+CONFINS+ISS)]]*100))%)-100)*tabCustoUnit[[#This Row],[ISS]])/tabCustoUnit[[#This Row],[Resumo de Alíquotas (PIS+CONFINS+ISS)]])/100</f>
        <v>5.8309037900874633E-2</v>
      </c>
      <c r="BT28" s="26">
        <f>(VLOOKUP(tabCustoUnit[[#This Row],[Código do Posto]],tabParametros[],MATCH(tabCustoUnit[[#Headers],[COFINS]],tabParametros[#Headers],0),0)+
VLOOKUP(tabCustoUnit[[#This Row],[Código do Posto]],tabParametros[],MATCH(tabCustoUnit[[#Headers],[PIS]],tabParametros[#Headers],0),0)+
VLOOKUP(tabCustoUnit[[#This Row],[Código do Posto]],tabParametros[],MATCH(tabCustoUnit[[#Headers],[ISS]],tabParametros[#Headers],0),0))</f>
        <v>0.14250000000000002</v>
      </c>
      <c r="BU28" s="138">
        <f>tabCustoUnit[[#This Row],[COFINS]]+tabCustoUnit[[#This Row],[PIS]]+tabCustoUnit[[#This Row],[ISS (Conversão Alíquota s/ fatura)]]</f>
        <v>0.16618075801749277</v>
      </c>
      <c r="BV28" s="22">
        <f>(tabCustoUnit[[#This Row],[TOTAL MÓDULOS 1+2+3+4+5]]+tabCustoUnit[[#This Row],[Custos Indiretos]]+tabCustoUnit[[#This Row],[Lucro]])*tabCustoUnit[[#This Row],[PIS + COFINS + ISS (Total Conversão  Alíquota s/ Fatura)]]</f>
        <v>557.07815118948656</v>
      </c>
      <c r="BW28" s="22">
        <f>tabCustoUnit[[#This Row],[Custos Indiretos]]+tabCustoUnit[[#This Row],[Lucro]]+tabCustoUnit[[#This Row],[Valor dos Tributos (ISS, PIS, CONFINS)]]</f>
        <v>906.03194576995065</v>
      </c>
      <c r="BX28" s="22">
        <f>tabCustoUnit[[#This Row],[TOTAL MÓDULOS 1+2+3+4+5]]+tabCustoUnit[[#This Row],[MÓDULO 6 – CUSTOS INDIRETOS, TRIBUTOS E LUCRO]]</f>
        <v>3909.3203592244658</v>
      </c>
      <c r="BY28" s="22">
        <f>tabCustoUnit[[#This Row],[CUSTO TOTAL MENSAL]]*12</f>
        <v>46911.844310693588</v>
      </c>
      <c r="BZ28" s="24">
        <f>VLOOKUP(tabCustoUnit[[#This Row],[Código do Posto]],tabParametros[],MATCH(tabCustoUnit[[#Headers],[ANO DA CCT]],tabParametros[#Headers],0),0)</f>
        <v>45658</v>
      </c>
      <c r="CA28" s="25" t="str">
        <f>VLOOKUP(tabCustoUnit[[#This Row],[Código do Posto]],tabParametros[],MATCH(tabCustoUnit[[#Headers],[Nº DE PEDIDO DA CCT]],tabParametros[#Headers],0),0)</f>
        <v>-</v>
      </c>
      <c r="CB28" s="25" t="str">
        <f>VLOOKUP(tabCustoUnit[[#This Row],[Código do Posto]],tabParametros[],MATCH(tabCustoUnit[[#Headers],[TERMO ADITIVO ALTERAÇÃO DA CCT]],tabParametros[#Headers],0),0)</f>
        <v>-</v>
      </c>
    </row>
    <row r="29" spans="1:80" x14ac:dyDescent="0.25">
      <c r="A29" s="20" t="s">
        <v>1086</v>
      </c>
      <c r="B29" t="s">
        <v>31</v>
      </c>
      <c r="C29" t="s">
        <v>1246</v>
      </c>
      <c r="D29" t="s">
        <v>1033</v>
      </c>
      <c r="E29" s="20" t="s">
        <v>9</v>
      </c>
      <c r="F29" s="20" t="s">
        <v>10</v>
      </c>
      <c r="G29" s="21">
        <v>1124.3900000000001</v>
      </c>
      <c r="H29" s="21">
        <v>0</v>
      </c>
      <c r="I29" s="21">
        <v>0</v>
      </c>
      <c r="J29" s="21">
        <v>0</v>
      </c>
      <c r="K29" s="21">
        <v>0</v>
      </c>
      <c r="L29" s="21">
        <v>0</v>
      </c>
      <c r="M29" s="21">
        <v>0</v>
      </c>
      <c r="N29" s="21">
        <v>40.478000000000002</v>
      </c>
      <c r="O29" s="21">
        <f>SUM(tabCustoUnit[[#This Row],[Salário Base]:[Adicional de Acúmulo de função]])</f>
        <v>1164.8680000000002</v>
      </c>
      <c r="P29" s="21">
        <f>tabCustoUnit[[#This Row],[MODULO 1 - REMUNERAÇÃO ]]*SUMIFS(tabParametros[INSS],tabParametros[Código do Posto],tabCustoUnit[[#This Row],[Código do Posto]])</f>
        <v>232.97360000000003</v>
      </c>
      <c r="Q29" s="21">
        <f>tabCustoUnit[[#This Row],[MODULO 1 - REMUNERAÇÃO ]]*SUMIFS(tabParametros[SESI OU SESC],tabParametros[Código do Posto],tabCustoUnit[[#This Row],[Código do Posto]])</f>
        <v>17.473020000000002</v>
      </c>
      <c r="R29" s="21">
        <f>tabCustoUnit[[#This Row],[MODULO 1 - REMUNERAÇÃO ]]*SUMIFS(tabParametros[SENAI OU SENAC],tabParametros[Código do Posto],tabCustoUnit[[#This Row],[Código do Posto]])</f>
        <v>11.648680000000002</v>
      </c>
      <c r="S29" s="21">
        <f>tabCustoUnit[[#This Row],[MODULO 1 - REMUNERAÇÃO ]]*SUMIFS(tabParametros[INCRA],tabParametros[Código do Posto],tabCustoUnit[[#This Row],[Código do Posto]])</f>
        <v>2.3297360000000005</v>
      </c>
      <c r="T29" s="21">
        <f>tabCustoUnit[[#This Row],[MODULO 1 - REMUNERAÇÃO ]]*SUMIFS(tabParametros[Salário Educação],tabParametros[Código do Posto],tabCustoUnit[[#This Row],[Código do Posto]])</f>
        <v>29.121700000000004</v>
      </c>
      <c r="U29" s="21">
        <f>tabCustoUnit[[#This Row],[MODULO 1 - REMUNERAÇÃO ]]*SUMIFS(tabParametros[FGTS],tabParametros[Código do Posto],tabCustoUnit[[#This Row],[Código do Posto]])</f>
        <v>93.189440000000019</v>
      </c>
      <c r="V29" s="21">
        <f>tabCustoUnit[[#This Row],[MODULO 1 - REMUNERAÇÃO ]]*SUMIFS(tabParametros[RAT Ajustado],tabParametros[Código do Posto],tabCustoUnit[[#This Row],[Código do Posto]])</f>
        <v>46.594720000000009</v>
      </c>
      <c r="W29" s="21">
        <f>tabCustoUnit[[#This Row],[MODULO 1 - REMUNERAÇÃO ]]*SUMIFS(tabParametros[SEBRAE],tabParametros[Código do Posto],tabCustoUnit[[#This Row],[Código do Posto]])</f>
        <v>6.9892080000000014</v>
      </c>
      <c r="X29" s="21">
        <f>SUM(tabCustoUnit[[#This Row],[INSS]:[SEBRAE]])</f>
        <v>440.32010400000001</v>
      </c>
      <c r="Y29" s="21">
        <f>tabCustoUnit[[#This Row],[MODULO 1 - REMUNERAÇÃO ]]*SUMIFS(tabParametros[13º salário (titular)],tabParametros[Código do Posto],tabCustoUnit[[#This Row],[Código do Posto]])</f>
        <v>97.072333333333347</v>
      </c>
      <c r="Z29" s="21">
        <f>tabCustoUnit[[#This Row],[MODULO 1 - REMUNERAÇÃO ]]*SUMIFS(tabParametros[Férias e Adicional de Férias (titular)],tabParametros[Código do Posto],tabCustoUnit[[#This Row],[Código do Posto]])</f>
        <v>129.42977777777779</v>
      </c>
      <c r="AA29" s="21">
        <f>IFERROR((tabCustoUnit[[#This Row],[Submódulo 2.1]]/tabCustoUnit[[#This Row],[MODULO 1 - REMUNERAÇÃO ]])*SUM(tabCustoUnit[[#This Row],[13º salário (titular)]:[Férias e Adicional de Férias (titular)]]),0)</f>
        <v>85.617797999999993</v>
      </c>
      <c r="AB29" s="21">
        <f>SUM(tabCustoUnit[[#This Row],[13º salário (titular)]:[Incidência do Submódulo 2.1 sobre 13º Salário, Férias e Adicional de Férias]])</f>
        <v>312.11990911111116</v>
      </c>
      <c r="AC29" s="22">
        <f>_xlfn.LET(_xlpm.VT,SUMIF(tabParametros[Código do Posto],tabCustoUnit[[#This Row],[Código do Posto]],tabParametros[Vale - Transporte])*2*20,
IF((_xlpm.VT-tabCustoUnit[[#This Row],[Salário Base]]*0.06)&gt;=0,(_xlpm.VT-tabCustoUnit[[#This Row],[Salário Base]]*0.06),0)
)</f>
        <v>382.53660000000002</v>
      </c>
      <c r="AD29" s="22">
        <f>IF(SUMIF(tabParametros[Código do Posto],tabCustoUnit[[#This Row],[Código do Posto]],tabParametros[Vale - Alimentação])&lt;=0,0,
SUMIF(tabParametros[Código do Posto],tabCustoUnit[[#This Row],[Código do Posto]],tabParametros[Vale - Alimentação])*20-1)</f>
        <v>582</v>
      </c>
      <c r="AE29" s="22">
        <f>SUMIF(tabParametros[Código do Posto],tabCustoUnit[[#This Row],[Código do Posto]],tabParametros[Cesta Básica])</f>
        <v>0</v>
      </c>
      <c r="AF29" s="22">
        <f>SUMIF(tabParametros[Código do Posto],tabCustoUnit[[#This Row],[Código do Posto]],tabParametros[PAF])</f>
        <v>95.9</v>
      </c>
      <c r="AG29" s="22">
        <f>SUMIF(tabParametros[Código do Posto],tabCustoUnit[[#This Row],[Código do Posto]],tabParametros[PQM])</f>
        <v>0</v>
      </c>
      <c r="AH29" s="22">
        <f>SUMIF(tabParametros[Código do Posto],tabCustoUnit[[#This Row],[Código do Posto]],tabParametros[PAT])</f>
        <v>0</v>
      </c>
      <c r="AI29" s="22">
        <f>SUMIF(tabParametros[Código do Posto],tabCustoUnit[[#This Row],[Código do Posto]],tabParametros[Seguro de Vida])</f>
        <v>3.36</v>
      </c>
      <c r="AJ29" s="22">
        <f>SUMIF(tabParametros[Código do Posto],tabCustoUnit[[#This Row],[Código do Posto]],tabParametros[Despesas de Viagem])</f>
        <v>10.19</v>
      </c>
      <c r="AK29" s="22">
        <f>SUM(tabCustoUnit[[#This Row],[Vale - Transporte (Descontada parcela do empregado)]:[Despesas de Viagem]])</f>
        <v>1073.9866</v>
      </c>
      <c r="AL29" s="22">
        <f>tabCustoUnit[[#This Row],[Submódulo 2.1]]+tabCustoUnit[[#This Row],[Submódulo 2.2]]+tabCustoUnit[[#This Row],[Submódulo 2.3]]</f>
        <v>1826.4266131111112</v>
      </c>
      <c r="AM29" s="22">
        <f>SUMIF(tabParametros[Código do Posto],tabCustoUnit[[#This Row],[Código do Posto]],tabParametros[Aviso Prévio Indenizado (API) e Reflexo do Aviso Prévio Indenizado])*tabCustoUnit[[#This Row],[MODULO 1 - REMUNERAÇÃO ]]</f>
        <v>8.1677829729938285</v>
      </c>
      <c r="AN29" s="22">
        <f>SUMIF(tabParametros[Código do Posto],tabCustoUnit[[#This Row],[Código do Posto]],tabParametros[Incidência do FGTS sobre API e Reflexo do API])*tabCustoUnit[[#This Row],[MODULO 1 - REMUNERAÇÃO ]]</f>
        <v>0.65342263783950627</v>
      </c>
      <c r="AO29" s="22">
        <f>SUMIF(tabParametros[Código do Posto],tabCustoUnit[[#This Row],[Código do Posto]],tabParametros[Multa Rescisória do FGTS sobre o Aviso Prévio Indenizado])*tabCustoUnit[[#This Row],[MODULO 1 - REMUNERAÇÃO ]]</f>
        <v>0.26136905513580255</v>
      </c>
      <c r="AP29" s="22">
        <f>SUMIF(tabParametros[Código do Posto],tabCustoUnit[[#This Row],[Código do Posto]],tabParametros[Aviso Prévio Trabalhado - APT])*tabCustoUnit[[#This Row],[MODULO 1 - REMUNERAÇÃO ]]</f>
        <v>4.0770380000000008</v>
      </c>
      <c r="AQ29" s="22">
        <f>SUMIF(tabParametros[Código do Posto],tabCustoUnit[[#This Row],[Código do Posto]],tabParametros[Incidência dos encargos do submódulo 2.1 sobre Aviso Prévio Trabalhado])*tabCustoUnit[[#This Row],[MODULO 1 - REMUNERAÇÃO ]]</f>
        <v>1.5411203640000006</v>
      </c>
      <c r="AR29" s="22">
        <f>SUMIF(tabParametros[Código do Posto],tabCustoUnit[[#This Row],[Código do Posto]],tabParametros[Multa Rescisória do FGTS])*tabCustoUnit[[#This Row],[MODULO 1 - REMUNERAÇÃO ]]</f>
        <v>35.619074844444441</v>
      </c>
      <c r="AS29" s="22">
        <f>SUMIF(tabParametros[Código do Posto],tabCustoUnit[[#This Row],[Código do Posto]],tabParametros[Indenização Adicional (Art. 9º da Lei nº 7.238/84)])*tabCustoUnit[[#This Row],[MODULO 1 - REMUNERAÇÃO ]]</f>
        <v>0.97072333333333349</v>
      </c>
      <c r="AT29" s="22">
        <f>SUM(tabCustoUnit[[#This Row],[Aviso Prévio Indenizado (API) e Reflexo do Aviso Prévio Indenizado]:[Indenização Adicional (Art. 9º da Lei nº 7.238/84)]])</f>
        <v>51.290531207746916</v>
      </c>
      <c r="AU29" s="22">
        <f>SUMIF(tabParametros[Código do Posto],tabCustoUnit[[#This Row],[Código do Posto]],tabParametros[Ausência por Doença])*tabCustoUnit[[#This Row],[MODULO 1 - REMUNERAÇÃO ]]</f>
        <v>9.8366631111111111</v>
      </c>
      <c r="AV29" s="22">
        <f>SUMIF(tabParametros[Código do Posto],tabCustoUnit[[#This Row],[Código do Posto]],tabParametros[Ausências Legais])*tabCustoUnit[[#This Row],[MODULO 1 - REMUNERAÇÃO ]]</f>
        <v>2.3620934444444446</v>
      </c>
      <c r="AW29" s="22">
        <f>SUMIF(tabParametros[Código do Posto],tabCustoUnit[[#This Row],[Código do Posto]],tabParametros[Licença Paternidade])*tabCustoUnit[[#This Row],[MODULO 1 - REMUNERAÇÃO ]]</f>
        <v>0.19899828333333336</v>
      </c>
      <c r="AX29" s="22">
        <f>SUMIF(tabParametros[Código do Posto],tabCustoUnit[[#This Row],[Código do Posto]],tabParametros[Ausência por Acidente de Trabalho])*tabCustoUnit[[#This Row],[MODULO 1 - REMUNERAÇÃO ]]</f>
        <v>0.24268083333333337</v>
      </c>
      <c r="AY29" s="22">
        <f>SUMIF(tabParametros[Código do Posto],tabCustoUnit[[#This Row],[Código do Posto]],tabParametros[Férias, Adicional de Férias e 13º  com empregada em gozo de Licença Maternidade])*tabCustoUnit[[#This Row],[MODULO 1 - REMUNERAÇÃO ]]</f>
        <v>1.5100140740740742</v>
      </c>
      <c r="AZ29" s="22">
        <f>SUMIF(tabParametros[Código do Posto],tabCustoUnit[[#This Row],[Código do Posto]],tabParametros[Incidência do Submódulo 2.1 sobre Ausências Legais])*tabCustoUnit[[#This Row],[MODULO 1 - REMUNERAÇÃO ]]</f>
        <v>5.3488700041000019</v>
      </c>
      <c r="BA29" s="22">
        <f>SUM(tabCustoUnit[[#This Row],[Ausência por Doença]:[Incidência do Submódulo 2.1 sobre Ausências Legais]])</f>
        <v>19.499319750396296</v>
      </c>
      <c r="BB29" s="22">
        <f>SUMIF(tabParametros[Código do Posto],tabCustoUnit[[#This Row],[Código do Posto]],tabParametros[Intervalo para Repouso ou Alimentação])</f>
        <v>0</v>
      </c>
      <c r="BC29" s="22">
        <f>tabCustoUnit[[#This Row],[Intervalo para Repouso ou Alimentação]]</f>
        <v>0</v>
      </c>
      <c r="BD29" s="22">
        <f>IF(VLOOKUP(tabCustoUnit[[#This Row],[Código do Posto]],PARAMETROS!$A$4:$BJ$255,7,0)&lt;=0,0,
IFERROR((tabCustoUnit[[#This Row],[MODULO 1 - REMUNERAÇÃO ]]*VLOOKUP(tabCustoUnit[[#This Row],[Código do Posto]],PARAMETROS!$A$4:$BJ$255,49,0))/(VLOOKUP(tabCustoUnit[[#This Row],[Código do Posto]],PARAMETROS!$A$4:$BJ$255,7,0)*VLOOKUP(tabCustoUnit[[#This Row],[Código do Posto]],PARAMETROS!$A$4:$BJ$255,8,0)),0)
)</f>
        <v>0</v>
      </c>
      <c r="BE29" s="22">
        <f>tabCustoUnit[[#This Row],[Suspensão Temporária do Contrato de Trabalho]]</f>
        <v>0</v>
      </c>
      <c r="BF29" s="22">
        <f>tabCustoUnit[[#This Row],[Submódulo 4.1]]+tabCustoUnit[[#This Row],[Submódulo 4.2]]+tabCustoUnit[[#This Row],[Submódulo 4.3]]</f>
        <v>19.499319750396296</v>
      </c>
      <c r="BG29" s="22">
        <f>VLOOKUP(tabCustoUnit[[#This Row],[Código do Posto]],tabParametros[],MATCH(tabCustoUnit[[#Headers],[Uniformes e EPIs]],tabParametros[#Headers],0),0)</f>
        <v>100.80916666666666</v>
      </c>
      <c r="BH29" s="22">
        <f>VLOOKUP(tabCustoUnit[[#This Row],[Código do Posto]],tabParametros[],MATCH(tabCustoUnit[[#Headers],[Materiais de Consumo]],tabParametros[#Headers],0),0)</f>
        <v>24.216963380852651</v>
      </c>
      <c r="BI29" s="22">
        <f>VLOOKUP(tabCustoUnit[[#This Row],[Código do Posto]],tabParametros[],MATCH(tabCustoUnit[[#Headers],[Máquinas e Equipamentos (depreciação)]],tabParametros[#Headers],0),0)</f>
        <v>43.997314032835618</v>
      </c>
      <c r="BJ29" s="22">
        <f>VLOOKUP(tabCustoUnit[[#This Row],[Código do Posto]],tabParametros[],MATCH(tabCustoUnit[[#Headers],[Produtos de Limpeza e Materiais de Higiene Pessoal]],tabParametros[#Headers],0),0)</f>
        <v>470.6396814404431</v>
      </c>
      <c r="BK29" s="22">
        <f>VLOOKUP(tabCustoUnit[[#This Row],[Código do Posto]],tabParametros[],MATCH(tabCustoUnit[[#Headers],[Outros (especificar)]],tabParametros[#Headers],0),0)</f>
        <v>0</v>
      </c>
      <c r="BL29" s="22">
        <f>SUM(tabCustoUnit[[#This Row],[Uniformes e EPIs]:[Outros (especificar)]])</f>
        <v>639.66312552079808</v>
      </c>
      <c r="BM29" s="22">
        <f>tabCustoUnit[[#This Row],[MODULO 1 - REMUNERAÇÃO ]]+tabCustoUnit[[#This Row],[MÓDULO 2 - Total Encargos e Benefícios mensais e diários]]+tabCustoUnit[[#This Row],[MÓDULO 3 – PROVISÃO PARA RESCISÃO]]+tabCustoUnit[[#This Row],[MÓDULO 4 – CUSTO DE REPOSIÇÃO DO PROFISSIONAL AUSENTE]]+tabCustoUnit[[#This Row],[MÓDULO 5 – INSUMOS DIVERSOS]]</f>
        <v>3701.7475895900525</v>
      </c>
      <c r="BN29" s="22">
        <f>VLOOKUP(tabCustoUnit[[#This Row],[Código do Posto]],tabParametros[],MATCH(tabCustoUnit[[#Headers],[Custos Indiretos]],tabParametros[#Headers],0),0)</f>
        <v>189.64880140242613</v>
      </c>
      <c r="BO29" s="22">
        <f>VLOOKUP(tabCustoUnit[[#This Row],[Código do Posto]],tabParametros[],MATCH(tabCustoUnit[[#Headers],[Lucro]],tabParametros[#Headers],0),0)</f>
        <v>159.30499317803796</v>
      </c>
      <c r="BP29" s="26">
        <f>((100/((1-tabCustoUnit[[#This Row],[Resumo de Alíquotas (PIS+CONFINS+ISS)]]))-100)*VLOOKUP(tabCustoUnit[[#This Row],[Código do Posto]],tabParametros[],MATCH(tabCustoUnit[[#Headers],[COFINS]],tabParametros[#Headers],0),0))/(tabCustoUnit[[#This Row],[Resumo de Alíquotas (PIS+CONFINS+ISS)]]*100)</f>
        <v>8.8629737609329504E-2</v>
      </c>
      <c r="BQ29" s="26">
        <f>((100/((100-(tabCustoUnit[[#This Row],[Resumo de Alíquotas (PIS+CONFINS+ISS)]]*100))%)-100)*VLOOKUP(tabCustoUnit[[#This Row],[Código do Posto]],tabParametros[],MATCH(tabCustoUnit[[#Headers],[PIS]],tabParametros[#Headers],0),0))/(tabCustoUnit[[#This Row],[Resumo de Alíquotas (PIS+CONFINS+ISS)]]*100)</f>
        <v>1.9241982507288629E-2</v>
      </c>
      <c r="BR29" s="28">
        <f>VLOOKUP(tabCustoUnit[[#This Row],[Código do Posto]],tabParametros[],MATCH(tabCustoUnit[[#Headers],[ISS]],tabParametros[#Headers],0),0)</f>
        <v>0.05</v>
      </c>
      <c r="BS29" s="26">
        <f>(((100/((100-(tabCustoUnit[[#This Row],[Resumo de Alíquotas (PIS+CONFINS+ISS)]]*100))%)-100)*tabCustoUnit[[#This Row],[ISS]])/tabCustoUnit[[#This Row],[Resumo de Alíquotas (PIS+CONFINS+ISS)]])/100</f>
        <v>5.8309037900874633E-2</v>
      </c>
      <c r="BT29" s="26">
        <f>(VLOOKUP(tabCustoUnit[[#This Row],[Código do Posto]],tabParametros[],MATCH(tabCustoUnit[[#Headers],[COFINS]],tabParametros[#Headers],0),0)+
VLOOKUP(tabCustoUnit[[#This Row],[Código do Posto]],tabParametros[],MATCH(tabCustoUnit[[#Headers],[PIS]],tabParametros[#Headers],0),0)+
VLOOKUP(tabCustoUnit[[#This Row],[Código do Posto]],tabParametros[],MATCH(tabCustoUnit[[#Headers],[ISS]],tabParametros[#Headers],0),0))</f>
        <v>0.14250000000000002</v>
      </c>
      <c r="BU29" s="138">
        <f>tabCustoUnit[[#This Row],[COFINS]]+tabCustoUnit[[#This Row],[PIS]]+tabCustoUnit[[#This Row],[ISS (Conversão Alíquota s/ fatura)]]</f>
        <v>0.16618075801749277</v>
      </c>
      <c r="BV29" s="22">
        <f>(tabCustoUnit[[#This Row],[TOTAL MÓDULOS 1+2+3+4+5]]+tabCustoUnit[[#This Row],[Custos Indiretos]]+tabCustoUnit[[#This Row],[Lucro]])*tabCustoUnit[[#This Row],[PIS + COFINS + ISS (Total Conversão  Alíquota s/ Fatura)]]</f>
        <v>673.14862652396369</v>
      </c>
      <c r="BW29" s="22">
        <f>tabCustoUnit[[#This Row],[Custos Indiretos]]+tabCustoUnit[[#This Row],[Lucro]]+tabCustoUnit[[#This Row],[Valor dos Tributos (ISS, PIS, CONFINS)]]</f>
        <v>1022.1024211044278</v>
      </c>
      <c r="BX29" s="22">
        <f>tabCustoUnit[[#This Row],[TOTAL MÓDULOS 1+2+3+4+5]]+tabCustoUnit[[#This Row],[MÓDULO 6 – CUSTOS INDIRETOS, TRIBUTOS E LUCRO]]</f>
        <v>4723.8500106944803</v>
      </c>
      <c r="BY29" s="22">
        <f>tabCustoUnit[[#This Row],[CUSTO TOTAL MENSAL]]*12</f>
        <v>56686.200128333759</v>
      </c>
      <c r="BZ29" s="24">
        <f>VLOOKUP(tabCustoUnit[[#This Row],[Código do Posto]],tabParametros[],MATCH(tabCustoUnit[[#Headers],[ANO DA CCT]],tabParametros[#Headers],0),0)</f>
        <v>45658</v>
      </c>
      <c r="CA29" s="25" t="str">
        <f>VLOOKUP(tabCustoUnit[[#This Row],[Código do Posto]],tabParametros[],MATCH(tabCustoUnit[[#Headers],[Nº DE PEDIDO DA CCT]],tabParametros[#Headers],0),0)</f>
        <v>-</v>
      </c>
      <c r="CB29" s="25" t="str">
        <f>VLOOKUP(tabCustoUnit[[#This Row],[Código do Posto]],tabParametros[],MATCH(tabCustoUnit[[#Headers],[TERMO ADITIVO ALTERAÇÃO DA CCT]],tabParametros[#Headers],0),0)</f>
        <v>-</v>
      </c>
    </row>
    <row r="30" spans="1:80" x14ac:dyDescent="0.25">
      <c r="A30" s="20" t="s">
        <v>1270</v>
      </c>
      <c r="B30" t="s">
        <v>31</v>
      </c>
      <c r="C30" t="s">
        <v>1245</v>
      </c>
      <c r="D30" t="s">
        <v>1033</v>
      </c>
      <c r="E30" s="20" t="s">
        <v>9</v>
      </c>
      <c r="F30" s="20" t="s">
        <v>10</v>
      </c>
      <c r="G30" s="21">
        <v>1649.12</v>
      </c>
      <c r="H30" s="21">
        <v>0</v>
      </c>
      <c r="I30" s="21">
        <v>0</v>
      </c>
      <c r="J30" s="21">
        <v>0</v>
      </c>
      <c r="K30" s="21">
        <v>0</v>
      </c>
      <c r="L30" s="21">
        <v>0</v>
      </c>
      <c r="M30" s="21">
        <v>0</v>
      </c>
      <c r="N30" s="21">
        <v>53.971200000000003</v>
      </c>
      <c r="O30" s="21">
        <f>SUM(tabCustoUnit[[#This Row],[Salário Base]:[Adicional de Acúmulo de função]])</f>
        <v>1703.0911999999998</v>
      </c>
      <c r="P30" s="21">
        <f>tabCustoUnit[[#This Row],[MODULO 1 - REMUNERAÇÃO ]]*SUMIFS(tabParametros[INSS],tabParametros[Código do Posto],tabCustoUnit[[#This Row],[Código do Posto]])</f>
        <v>340.61824000000001</v>
      </c>
      <c r="Q30" s="21">
        <f>tabCustoUnit[[#This Row],[MODULO 1 - REMUNERAÇÃO ]]*SUMIFS(tabParametros[SESI OU SESC],tabParametros[Código do Posto],tabCustoUnit[[#This Row],[Código do Posto]])</f>
        <v>25.546367999999998</v>
      </c>
      <c r="R30" s="21">
        <f>tabCustoUnit[[#This Row],[MODULO 1 - REMUNERAÇÃO ]]*SUMIFS(tabParametros[SENAI OU SENAC],tabParametros[Código do Posto],tabCustoUnit[[#This Row],[Código do Posto]])</f>
        <v>17.030911999999997</v>
      </c>
      <c r="S30" s="21">
        <f>tabCustoUnit[[#This Row],[MODULO 1 - REMUNERAÇÃO ]]*SUMIFS(tabParametros[INCRA],tabParametros[Código do Posto],tabCustoUnit[[#This Row],[Código do Posto]])</f>
        <v>3.4061823999999996</v>
      </c>
      <c r="T30" s="21">
        <f>tabCustoUnit[[#This Row],[MODULO 1 - REMUNERAÇÃO ]]*SUMIFS(tabParametros[Salário Educação],tabParametros[Código do Posto],tabCustoUnit[[#This Row],[Código do Posto]])</f>
        <v>42.577280000000002</v>
      </c>
      <c r="U30" s="21">
        <f>tabCustoUnit[[#This Row],[MODULO 1 - REMUNERAÇÃO ]]*SUMIFS(tabParametros[FGTS],tabParametros[Código do Posto],tabCustoUnit[[#This Row],[Código do Posto]])</f>
        <v>136.24729599999998</v>
      </c>
      <c r="V30" s="21">
        <f>tabCustoUnit[[#This Row],[MODULO 1 - REMUNERAÇÃO ]]*SUMIFS(tabParametros[RAT Ajustado],tabParametros[Código do Posto],tabCustoUnit[[#This Row],[Código do Posto]])</f>
        <v>68.123647999999989</v>
      </c>
      <c r="W30" s="21">
        <f>tabCustoUnit[[#This Row],[MODULO 1 - REMUNERAÇÃO ]]*SUMIFS(tabParametros[SEBRAE],tabParametros[Código do Posto],tabCustoUnit[[#This Row],[Código do Posto]])</f>
        <v>10.2185472</v>
      </c>
      <c r="X30" s="21">
        <f>SUM(tabCustoUnit[[#This Row],[INSS]:[SEBRAE]])</f>
        <v>643.76847359999999</v>
      </c>
      <c r="Y30" s="21">
        <f>tabCustoUnit[[#This Row],[MODULO 1 - REMUNERAÇÃO ]]*SUMIFS(tabParametros[13º salário (titular)],tabParametros[Código do Posto],tabCustoUnit[[#This Row],[Código do Posto]])</f>
        <v>141.92426666666665</v>
      </c>
      <c r="Z30" s="21">
        <f>tabCustoUnit[[#This Row],[MODULO 1 - REMUNERAÇÃO ]]*SUMIFS(tabParametros[Férias e Adicional de Férias (titular)],tabParametros[Código do Posto],tabCustoUnit[[#This Row],[Código do Posto]])</f>
        <v>189.23235555555553</v>
      </c>
      <c r="AA30" s="21">
        <f>IFERROR((tabCustoUnit[[#This Row],[Submódulo 2.1]]/tabCustoUnit[[#This Row],[MODULO 1 - REMUNERAÇÃO ]])*SUM(tabCustoUnit[[#This Row],[13º salário (titular)]:[Férias e Adicional de Férias (titular)]]),0)</f>
        <v>125.17720319999999</v>
      </c>
      <c r="AB30" s="21">
        <f>SUM(tabCustoUnit[[#This Row],[13º salário (titular)]:[Incidência do Submódulo 2.1 sobre 13º Salário, Férias e Adicional de Férias]])</f>
        <v>456.33382542222216</v>
      </c>
      <c r="AC30" s="22">
        <f>_xlfn.LET(_xlpm.VT,SUMIF(tabParametros[Código do Posto],tabCustoUnit[[#This Row],[Código do Posto]],tabParametros[Vale - Transporte])*2*20,
IF((_xlpm.VT-tabCustoUnit[[#This Row],[Salário Base]]*0.06)&gt;=0,(_xlpm.VT-tabCustoUnit[[#This Row],[Salário Base]]*0.06),0)
)</f>
        <v>351.05279999999999</v>
      </c>
      <c r="AD30" s="22">
        <f>IF(SUMIF(tabParametros[Código do Posto],tabCustoUnit[[#This Row],[Código do Posto]],tabParametros[Vale - Alimentação])&lt;=0,0,
SUMIF(tabParametros[Código do Posto],tabCustoUnit[[#This Row],[Código do Posto]],tabParametros[Vale - Alimentação])*20-1)</f>
        <v>582</v>
      </c>
      <c r="AE30" s="22">
        <f>SUMIF(tabParametros[Código do Posto],tabCustoUnit[[#This Row],[Código do Posto]],tabParametros[Cesta Básica])</f>
        <v>0</v>
      </c>
      <c r="AF30" s="22">
        <f>SUMIF(tabParametros[Código do Posto],tabCustoUnit[[#This Row],[Código do Posto]],tabParametros[PAF])</f>
        <v>95.9</v>
      </c>
      <c r="AG30" s="22">
        <f>SUMIF(tabParametros[Código do Posto],tabCustoUnit[[#This Row],[Código do Posto]],tabParametros[PQM])</f>
        <v>0</v>
      </c>
      <c r="AH30" s="22">
        <f>SUMIF(tabParametros[Código do Posto],tabCustoUnit[[#This Row],[Código do Posto]],tabParametros[PAT])</f>
        <v>0</v>
      </c>
      <c r="AI30" s="22">
        <f>SUMIF(tabParametros[Código do Posto],tabCustoUnit[[#This Row],[Código do Posto]],tabParametros[Seguro de Vida])</f>
        <v>3.36</v>
      </c>
      <c r="AJ30" s="22">
        <f>SUMIF(tabParametros[Código do Posto],tabCustoUnit[[#This Row],[Código do Posto]],tabParametros[Despesas de Viagem])</f>
        <v>10.19</v>
      </c>
      <c r="AK30" s="22">
        <f>SUM(tabCustoUnit[[#This Row],[Vale - Transporte (Descontada parcela do empregado)]:[Despesas de Viagem]])</f>
        <v>1042.5028</v>
      </c>
      <c r="AL30" s="22">
        <f>tabCustoUnit[[#This Row],[Submódulo 2.1]]+tabCustoUnit[[#This Row],[Submódulo 2.2]]+tabCustoUnit[[#This Row],[Submódulo 2.3]]</f>
        <v>2142.605099022222</v>
      </c>
      <c r="AM30" s="22">
        <f>SUMIF(tabParametros[Código do Posto],tabCustoUnit[[#This Row],[Código do Posto]],tabParametros[Aviso Prévio Indenizado (API) e Reflexo do Aviso Prévio Indenizado])*tabCustoUnit[[#This Row],[MODULO 1 - REMUNERAÇÃO ]]</f>
        <v>11.941678632098764</v>
      </c>
      <c r="AN30" s="22">
        <f>SUMIF(tabParametros[Código do Posto],tabCustoUnit[[#This Row],[Código do Posto]],tabParametros[Incidência do FGTS sobre API e Reflexo do API])*tabCustoUnit[[#This Row],[MODULO 1 - REMUNERAÇÃO ]]</f>
        <v>0.9553342905679012</v>
      </c>
      <c r="AO30" s="22">
        <f>SUMIF(tabParametros[Código do Posto],tabCustoUnit[[#This Row],[Código do Posto]],tabParametros[Multa Rescisória do FGTS sobre o Aviso Prévio Indenizado])*tabCustoUnit[[#This Row],[MODULO 1 - REMUNERAÇÃO ]]</f>
        <v>0.38213371622716052</v>
      </c>
      <c r="AP30" s="22">
        <f>SUMIF(tabParametros[Código do Posto],tabCustoUnit[[#This Row],[Código do Posto]],tabParametros[Aviso Prévio Trabalhado - APT])*tabCustoUnit[[#This Row],[MODULO 1 - REMUNERAÇÃO ]]</f>
        <v>5.9608192000000004</v>
      </c>
      <c r="AQ30" s="22">
        <f>SUMIF(tabParametros[Código do Posto],tabCustoUnit[[#This Row],[Código do Posto]],tabParametros[Incidência dos encargos do submódulo 2.1 sobre Aviso Prévio Trabalhado])*tabCustoUnit[[#This Row],[MODULO 1 - REMUNERAÇÃO ]]</f>
        <v>2.2531896576000006</v>
      </c>
      <c r="AR30" s="22">
        <f>SUMIF(tabParametros[Código do Posto],tabCustoUnit[[#This Row],[Código do Posto]],tabParametros[Multa Rescisória do FGTS])*tabCustoUnit[[#This Row],[MODULO 1 - REMUNERAÇÃO ]]</f>
        <v>52.076744248888879</v>
      </c>
      <c r="AS30" s="22">
        <f>SUMIF(tabParametros[Código do Posto],tabCustoUnit[[#This Row],[Código do Posto]],tabParametros[Indenização Adicional (Art. 9º da Lei nº 7.238/84)])*tabCustoUnit[[#This Row],[MODULO 1 - REMUNERAÇÃO ]]</f>
        <v>1.4192426666666667</v>
      </c>
      <c r="AT30" s="22">
        <f>SUM(tabCustoUnit[[#This Row],[Aviso Prévio Indenizado (API) e Reflexo do Aviso Prévio Indenizado]:[Indenização Adicional (Art. 9º da Lei nº 7.238/84)]])</f>
        <v>74.989142412049375</v>
      </c>
      <c r="AU30" s="22">
        <f>SUMIF(tabParametros[Código do Posto],tabCustoUnit[[#This Row],[Código do Posto]],tabParametros[Ausência por Doença])*tabCustoUnit[[#This Row],[MODULO 1 - REMUNERAÇÃO ]]</f>
        <v>14.38165902222222</v>
      </c>
      <c r="AV30" s="22">
        <f>SUMIF(tabParametros[Código do Posto],tabCustoUnit[[#This Row],[Código do Posto]],tabParametros[Ausências Legais])*tabCustoUnit[[#This Row],[MODULO 1 - REMUNERAÇÃO ]]</f>
        <v>3.4534904888888884</v>
      </c>
      <c r="AW30" s="22">
        <f>SUMIF(tabParametros[Código do Posto],tabCustoUnit[[#This Row],[Código do Posto]],tabParametros[Licença Paternidade])*tabCustoUnit[[#This Row],[MODULO 1 - REMUNERAÇÃO ]]</f>
        <v>0.29094474666666664</v>
      </c>
      <c r="AX30" s="22">
        <f>SUMIF(tabParametros[Código do Posto],tabCustoUnit[[#This Row],[Código do Posto]],tabParametros[Ausência por Acidente de Trabalho])*tabCustoUnit[[#This Row],[MODULO 1 - REMUNERAÇÃO ]]</f>
        <v>0.35481066666666666</v>
      </c>
      <c r="AY30" s="22">
        <f>SUMIF(tabParametros[Código do Posto],tabCustoUnit[[#This Row],[Código do Posto]],tabParametros[Férias, Adicional de Férias e 13º  com empregada em gozo de Licença Maternidade])*tabCustoUnit[[#This Row],[MODULO 1 - REMUNERAÇÃO ]]</f>
        <v>2.2077108148148143</v>
      </c>
      <c r="AZ30" s="22">
        <f>SUMIF(tabParametros[Código do Posto],tabCustoUnit[[#This Row],[Código do Posto]],tabParametros[Incidência do Submódulo 2.1 sobre Ausências Legais])*tabCustoUnit[[#This Row],[MODULO 1 - REMUNERAÇÃO ]]</f>
        <v>7.8202967494400006</v>
      </c>
      <c r="BA30" s="22">
        <f>SUM(tabCustoUnit[[#This Row],[Ausência por Doença]:[Incidência do Submódulo 2.1 sobre Ausências Legais]])</f>
        <v>28.508912488699256</v>
      </c>
      <c r="BB30" s="22">
        <f>SUMIF(tabParametros[Código do Posto],tabCustoUnit[[#This Row],[Código do Posto]],tabParametros[Intervalo para Repouso ou Alimentação])</f>
        <v>0</v>
      </c>
      <c r="BC30" s="22">
        <f>tabCustoUnit[[#This Row],[Intervalo para Repouso ou Alimentação]]</f>
        <v>0</v>
      </c>
      <c r="BD30" s="22">
        <f>IF(VLOOKUP(tabCustoUnit[[#This Row],[Código do Posto]],PARAMETROS!$A$4:$BJ$255,7,0)&lt;=0,0,
IFERROR((tabCustoUnit[[#This Row],[MODULO 1 - REMUNERAÇÃO ]]*VLOOKUP(tabCustoUnit[[#This Row],[Código do Posto]],PARAMETROS!$A$4:$BJ$255,49,0))/(VLOOKUP(tabCustoUnit[[#This Row],[Código do Posto]],PARAMETROS!$A$4:$BJ$255,7,0)*VLOOKUP(tabCustoUnit[[#This Row],[Código do Posto]],PARAMETROS!$A$4:$BJ$255,8,0)),0)
)</f>
        <v>0</v>
      </c>
      <c r="BE30" s="22">
        <f>tabCustoUnit[[#This Row],[Suspensão Temporária do Contrato de Trabalho]]</f>
        <v>0</v>
      </c>
      <c r="BF30" s="22">
        <f>tabCustoUnit[[#This Row],[Submódulo 4.1]]+tabCustoUnit[[#This Row],[Submódulo 4.2]]+tabCustoUnit[[#This Row],[Submódulo 4.3]]</f>
        <v>28.508912488699256</v>
      </c>
      <c r="BG30" s="22">
        <f>VLOOKUP(tabCustoUnit[[#This Row],[Código do Posto]],tabParametros[],MATCH(tabCustoUnit[[#Headers],[Uniformes e EPIs]],tabParametros[#Headers],0),0)</f>
        <v>100.80916666666666</v>
      </c>
      <c r="BH30" s="22">
        <f>VLOOKUP(tabCustoUnit[[#This Row],[Código do Posto]],tabParametros[],MATCH(tabCustoUnit[[#Headers],[Materiais de Consumo]],tabParametros[#Headers],0),0)</f>
        <v>35.518212958583888</v>
      </c>
      <c r="BI30" s="22">
        <f>VLOOKUP(tabCustoUnit[[#This Row],[Código do Posto]],tabParametros[],MATCH(tabCustoUnit[[#Headers],[Máquinas e Equipamentos (depreciação)]],tabParametros[#Headers],0),0)</f>
        <v>64.529393914825576</v>
      </c>
      <c r="BJ30" s="22">
        <f>VLOOKUP(tabCustoUnit[[#This Row],[Código do Posto]],tabParametros[],MATCH(tabCustoUnit[[#Headers],[Produtos de Limpeza e Materiais de Higiene Pessoal]],tabParametros[#Headers],0),0)</f>
        <v>690.27153277931654</v>
      </c>
      <c r="BK30" s="22">
        <f>VLOOKUP(tabCustoUnit[[#This Row],[Código do Posto]],tabParametros[],MATCH(tabCustoUnit[[#Headers],[Outros (especificar)]],tabParametros[#Headers],0),0)</f>
        <v>0</v>
      </c>
      <c r="BL30" s="22">
        <f>SUM(tabCustoUnit[[#This Row],[Uniformes e EPIs]:[Outros (especificar)]])</f>
        <v>891.12830631939266</v>
      </c>
      <c r="BM30" s="22">
        <f>tabCustoUnit[[#This Row],[MODULO 1 - REMUNERAÇÃO ]]+tabCustoUnit[[#This Row],[MÓDULO 2 - Total Encargos e Benefícios mensais e diários]]+tabCustoUnit[[#This Row],[MÓDULO 3 – PROVISÃO PARA RESCISÃO]]+tabCustoUnit[[#This Row],[MÓDULO 4 – CUSTO DE REPOSIÇÃO DO PROFISSIONAL AUSENTE]]+tabCustoUnit[[#This Row],[MÓDULO 5 – INSUMOS DIVERSOS]]</f>
        <v>4840.3226602423629</v>
      </c>
      <c r="BN30" s="22">
        <f>VLOOKUP(tabCustoUnit[[#This Row],[Código do Posto]],tabParametros[],MATCH(tabCustoUnit[[#Headers],[Custos Indiretos]],tabParametros[#Headers],0),0)</f>
        <v>189.64880140242613</v>
      </c>
      <c r="BO30" s="22">
        <f>VLOOKUP(tabCustoUnit[[#This Row],[Código do Posto]],tabParametros[],MATCH(tabCustoUnit[[#Headers],[Lucro]],tabParametros[#Headers],0),0)</f>
        <v>159.30499317803796</v>
      </c>
      <c r="BP30" s="26">
        <f>((100/((1-tabCustoUnit[[#This Row],[Resumo de Alíquotas (PIS+CONFINS+ISS)]]))-100)*VLOOKUP(tabCustoUnit[[#This Row],[Código do Posto]],tabParametros[],MATCH(tabCustoUnit[[#Headers],[COFINS]],tabParametros[#Headers],0),0))/(tabCustoUnit[[#This Row],[Resumo de Alíquotas (PIS+CONFINS+ISS)]]*100)</f>
        <v>8.8629737609329504E-2</v>
      </c>
      <c r="BQ30" s="26">
        <f>((100/((100-(tabCustoUnit[[#This Row],[Resumo de Alíquotas (PIS+CONFINS+ISS)]]*100))%)-100)*VLOOKUP(tabCustoUnit[[#This Row],[Código do Posto]],tabParametros[],MATCH(tabCustoUnit[[#Headers],[PIS]],tabParametros[#Headers],0),0))/(tabCustoUnit[[#This Row],[Resumo de Alíquotas (PIS+CONFINS+ISS)]]*100)</f>
        <v>1.9241982507288629E-2</v>
      </c>
      <c r="BR30" s="28">
        <f>VLOOKUP(tabCustoUnit[[#This Row],[Código do Posto]],tabParametros[],MATCH(tabCustoUnit[[#Headers],[ISS]],tabParametros[#Headers],0),0)</f>
        <v>0.05</v>
      </c>
      <c r="BS30" s="26">
        <f>(((100/((100-(tabCustoUnit[[#This Row],[Resumo de Alíquotas (PIS+CONFINS+ISS)]]*100))%)-100)*tabCustoUnit[[#This Row],[ISS]])/tabCustoUnit[[#This Row],[Resumo de Alíquotas (PIS+CONFINS+ISS)]])/100</f>
        <v>5.8309037900874633E-2</v>
      </c>
      <c r="BT30" s="26">
        <f>(VLOOKUP(tabCustoUnit[[#This Row],[Código do Posto]],tabParametros[],MATCH(tabCustoUnit[[#Headers],[COFINS]],tabParametros[#Headers],0),0)+
VLOOKUP(tabCustoUnit[[#This Row],[Código do Posto]],tabParametros[],MATCH(tabCustoUnit[[#Headers],[PIS]],tabParametros[#Headers],0),0)+
VLOOKUP(tabCustoUnit[[#This Row],[Código do Posto]],tabParametros[],MATCH(tabCustoUnit[[#Headers],[ISS]],tabParametros[#Headers],0),0))</f>
        <v>0.14250000000000002</v>
      </c>
      <c r="BU30" s="138">
        <f>tabCustoUnit[[#This Row],[COFINS]]+tabCustoUnit[[#This Row],[PIS]]+tabCustoUnit[[#This Row],[ISS (Conversão Alíquota s/ fatura)]]</f>
        <v>0.16618075801749277</v>
      </c>
      <c r="BV30" s="22">
        <f>(tabCustoUnit[[#This Row],[TOTAL MÓDULOS 1+2+3+4+5]]+tabCustoUnit[[#This Row],[Custos Indiretos]]+tabCustoUnit[[#This Row],[Lucro]])*tabCustoUnit[[#This Row],[PIS + COFINS + ISS (Total Conversão  Alíquota s/ Fatura)]]</f>
        <v>862.35789482478492</v>
      </c>
      <c r="BW30" s="22">
        <f>tabCustoUnit[[#This Row],[Custos Indiretos]]+tabCustoUnit[[#This Row],[Lucro]]+tabCustoUnit[[#This Row],[Valor dos Tributos (ISS, PIS, CONFINS)]]</f>
        <v>1211.3116894052491</v>
      </c>
      <c r="BX30" s="22">
        <f>tabCustoUnit[[#This Row],[TOTAL MÓDULOS 1+2+3+4+5]]+tabCustoUnit[[#This Row],[MÓDULO 6 – CUSTOS INDIRETOS, TRIBUTOS E LUCRO]]</f>
        <v>6051.634349647612</v>
      </c>
      <c r="BY30" s="22">
        <f>tabCustoUnit[[#This Row],[CUSTO TOTAL MENSAL]]*12</f>
        <v>72619.612195771348</v>
      </c>
      <c r="BZ30" s="24">
        <f>VLOOKUP(tabCustoUnit[[#This Row],[Código do Posto]],tabParametros[],MATCH(tabCustoUnit[[#Headers],[ANO DA CCT]],tabParametros[#Headers],0),0)</f>
        <v>45658</v>
      </c>
      <c r="CA30" s="25" t="str">
        <f>VLOOKUP(tabCustoUnit[[#This Row],[Código do Posto]],tabParametros[],MATCH(tabCustoUnit[[#Headers],[Nº DE PEDIDO DA CCT]],tabParametros[#Headers],0),0)</f>
        <v>-</v>
      </c>
      <c r="CB30" s="25" t="str">
        <f>VLOOKUP(tabCustoUnit[[#This Row],[Código do Posto]],tabParametros[],MATCH(tabCustoUnit[[#Headers],[TERMO ADITIVO ALTERAÇÃO DA CCT]],tabParametros[#Headers],0),0)</f>
        <v>-</v>
      </c>
    </row>
    <row r="31" spans="1:80" x14ac:dyDescent="0.25">
      <c r="A31" s="20" t="s">
        <v>1371</v>
      </c>
      <c r="B31" t="s">
        <v>31</v>
      </c>
      <c r="C31" t="s">
        <v>1245</v>
      </c>
      <c r="D31" t="s">
        <v>1033</v>
      </c>
      <c r="E31" s="20" t="s">
        <v>9</v>
      </c>
      <c r="F31" s="20" t="s">
        <v>33</v>
      </c>
      <c r="G31" s="21">
        <v>1649.12</v>
      </c>
      <c r="H31" s="21">
        <v>0</v>
      </c>
      <c r="I31" s="21">
        <v>0</v>
      </c>
      <c r="J31" s="21">
        <v>0</v>
      </c>
      <c r="K31" s="21">
        <v>0</v>
      </c>
      <c r="L31" s="21">
        <v>0</v>
      </c>
      <c r="M31" s="21">
        <v>0</v>
      </c>
      <c r="N31" s="21">
        <v>53.971200000000003</v>
      </c>
      <c r="O31" s="21">
        <f>SUM(tabCustoUnit[[#This Row],[Salário Base]:[Adicional de Acúmulo de função]])</f>
        <v>1703.0911999999998</v>
      </c>
      <c r="P31" s="21">
        <f>tabCustoUnit[[#This Row],[MODULO 1 - REMUNERAÇÃO ]]*SUMIFS(tabParametros[INSS],tabParametros[Código do Posto],tabCustoUnit[[#This Row],[Código do Posto]])</f>
        <v>340.61824000000001</v>
      </c>
      <c r="Q31" s="21">
        <f>tabCustoUnit[[#This Row],[MODULO 1 - REMUNERAÇÃO ]]*SUMIFS(tabParametros[SESI OU SESC],tabParametros[Código do Posto],tabCustoUnit[[#This Row],[Código do Posto]])</f>
        <v>25.546367999999998</v>
      </c>
      <c r="R31" s="21">
        <f>tabCustoUnit[[#This Row],[MODULO 1 - REMUNERAÇÃO ]]*SUMIFS(tabParametros[SENAI OU SENAC],tabParametros[Código do Posto],tabCustoUnit[[#This Row],[Código do Posto]])</f>
        <v>17.030911999999997</v>
      </c>
      <c r="S31" s="21">
        <f>tabCustoUnit[[#This Row],[MODULO 1 - REMUNERAÇÃO ]]*SUMIFS(tabParametros[INCRA],tabParametros[Código do Posto],tabCustoUnit[[#This Row],[Código do Posto]])</f>
        <v>3.4061823999999996</v>
      </c>
      <c r="T31" s="21">
        <f>tabCustoUnit[[#This Row],[MODULO 1 - REMUNERAÇÃO ]]*SUMIFS(tabParametros[Salário Educação],tabParametros[Código do Posto],tabCustoUnit[[#This Row],[Código do Posto]])</f>
        <v>42.577280000000002</v>
      </c>
      <c r="U31" s="21">
        <f>tabCustoUnit[[#This Row],[MODULO 1 - REMUNERAÇÃO ]]*SUMIFS(tabParametros[FGTS],tabParametros[Código do Posto],tabCustoUnit[[#This Row],[Código do Posto]])</f>
        <v>136.24729599999998</v>
      </c>
      <c r="V31" s="21">
        <f>tabCustoUnit[[#This Row],[MODULO 1 - REMUNERAÇÃO ]]*SUMIFS(tabParametros[RAT Ajustado],tabParametros[Código do Posto],tabCustoUnit[[#This Row],[Código do Posto]])</f>
        <v>68.123647999999989</v>
      </c>
      <c r="W31" s="21">
        <f>tabCustoUnit[[#This Row],[MODULO 1 - REMUNERAÇÃO ]]*SUMIFS(tabParametros[SEBRAE],tabParametros[Código do Posto],tabCustoUnit[[#This Row],[Código do Posto]])</f>
        <v>10.2185472</v>
      </c>
      <c r="X31" s="21">
        <f>SUM(tabCustoUnit[[#This Row],[INSS]:[SEBRAE]])</f>
        <v>643.76847359999999</v>
      </c>
      <c r="Y31" s="21">
        <f>tabCustoUnit[[#This Row],[MODULO 1 - REMUNERAÇÃO ]]*SUMIFS(tabParametros[13º salário (titular)],tabParametros[Código do Posto],tabCustoUnit[[#This Row],[Código do Posto]])</f>
        <v>141.92426666666665</v>
      </c>
      <c r="Z31" s="21">
        <f>tabCustoUnit[[#This Row],[MODULO 1 - REMUNERAÇÃO ]]*SUMIFS(tabParametros[Férias e Adicional de Férias (titular)],tabParametros[Código do Posto],tabCustoUnit[[#This Row],[Código do Posto]])</f>
        <v>189.23235555555553</v>
      </c>
      <c r="AA31" s="21">
        <f>IFERROR((tabCustoUnit[[#This Row],[Submódulo 2.1]]/tabCustoUnit[[#This Row],[MODULO 1 - REMUNERAÇÃO ]])*SUM(tabCustoUnit[[#This Row],[13º salário (titular)]:[Férias e Adicional de Férias (titular)]]),0)</f>
        <v>125.17720319999999</v>
      </c>
      <c r="AB31" s="21">
        <f>SUM(tabCustoUnit[[#This Row],[13º salário (titular)]:[Incidência do Submódulo 2.1 sobre 13º Salário, Férias e Adicional de Férias]])</f>
        <v>456.33382542222216</v>
      </c>
      <c r="AC31" s="22">
        <f>_xlfn.LET(_xlpm.VT,SUMIF(tabParametros[Código do Posto],tabCustoUnit[[#This Row],[Código do Posto]],tabParametros[Vale - Transporte])*2*20,
IF((_xlpm.VT-tabCustoUnit[[#This Row],[Salário Base]]*0.06)&gt;=0,(_xlpm.VT-tabCustoUnit[[#This Row],[Salário Base]]*0.06),0)
)</f>
        <v>351.05279999999999</v>
      </c>
      <c r="AD31" s="22">
        <f>IF(SUMIF(tabParametros[Código do Posto],tabCustoUnit[[#This Row],[Código do Posto]],tabParametros[Vale - Alimentação])&lt;=0,0,
SUMIF(tabParametros[Código do Posto],tabCustoUnit[[#This Row],[Código do Posto]],tabParametros[Vale - Alimentação])*20-1)</f>
        <v>582</v>
      </c>
      <c r="AE31" s="22">
        <f>SUMIF(tabParametros[Código do Posto],tabCustoUnit[[#This Row],[Código do Posto]],tabParametros[Cesta Básica])</f>
        <v>0</v>
      </c>
      <c r="AF31" s="22">
        <f>SUMIF(tabParametros[Código do Posto],tabCustoUnit[[#This Row],[Código do Posto]],tabParametros[PAF])</f>
        <v>95.9</v>
      </c>
      <c r="AG31" s="22">
        <f>SUMIF(tabParametros[Código do Posto],tabCustoUnit[[#This Row],[Código do Posto]],tabParametros[PQM])</f>
        <v>0</v>
      </c>
      <c r="AH31" s="22">
        <f>SUMIF(tabParametros[Código do Posto],tabCustoUnit[[#This Row],[Código do Posto]],tabParametros[PAT])</f>
        <v>0</v>
      </c>
      <c r="AI31" s="22">
        <f>SUMIF(tabParametros[Código do Posto],tabCustoUnit[[#This Row],[Código do Posto]],tabParametros[Seguro de Vida])</f>
        <v>3.36</v>
      </c>
      <c r="AJ31" s="22">
        <f>SUMIF(tabParametros[Código do Posto],tabCustoUnit[[#This Row],[Código do Posto]],tabParametros[Despesas de Viagem])</f>
        <v>10.19</v>
      </c>
      <c r="AK31" s="22">
        <f>SUM(tabCustoUnit[[#This Row],[Vale - Transporte (Descontada parcela do empregado)]:[Despesas de Viagem]])</f>
        <v>1042.5028</v>
      </c>
      <c r="AL31" s="22">
        <f>tabCustoUnit[[#This Row],[Submódulo 2.1]]+tabCustoUnit[[#This Row],[Submódulo 2.2]]+tabCustoUnit[[#This Row],[Submódulo 2.3]]</f>
        <v>2142.605099022222</v>
      </c>
      <c r="AM31" s="22">
        <f>SUMIF(tabParametros[Código do Posto],tabCustoUnit[[#This Row],[Código do Posto]],tabParametros[Aviso Prévio Indenizado (API) e Reflexo do Aviso Prévio Indenizado])*tabCustoUnit[[#This Row],[MODULO 1 - REMUNERAÇÃO ]]</f>
        <v>11.941678632098764</v>
      </c>
      <c r="AN31" s="22">
        <f>SUMIF(tabParametros[Código do Posto],tabCustoUnit[[#This Row],[Código do Posto]],tabParametros[Incidência do FGTS sobre API e Reflexo do API])*tabCustoUnit[[#This Row],[MODULO 1 - REMUNERAÇÃO ]]</f>
        <v>0.9553342905679012</v>
      </c>
      <c r="AO31" s="22">
        <f>SUMIF(tabParametros[Código do Posto],tabCustoUnit[[#This Row],[Código do Posto]],tabParametros[Multa Rescisória do FGTS sobre o Aviso Prévio Indenizado])*tabCustoUnit[[#This Row],[MODULO 1 - REMUNERAÇÃO ]]</f>
        <v>0.38213371622716052</v>
      </c>
      <c r="AP31" s="22">
        <f>SUMIF(tabParametros[Código do Posto],tabCustoUnit[[#This Row],[Código do Posto]],tabParametros[Aviso Prévio Trabalhado - APT])*tabCustoUnit[[#This Row],[MODULO 1 - REMUNERAÇÃO ]]</f>
        <v>5.9608192000000004</v>
      </c>
      <c r="AQ31" s="22">
        <f>SUMIF(tabParametros[Código do Posto],tabCustoUnit[[#This Row],[Código do Posto]],tabParametros[Incidência dos encargos do submódulo 2.1 sobre Aviso Prévio Trabalhado])*tabCustoUnit[[#This Row],[MODULO 1 - REMUNERAÇÃO ]]</f>
        <v>2.2531896576000006</v>
      </c>
      <c r="AR31" s="22">
        <f>SUMIF(tabParametros[Código do Posto],tabCustoUnit[[#This Row],[Código do Posto]],tabParametros[Multa Rescisória do FGTS])*tabCustoUnit[[#This Row],[MODULO 1 - REMUNERAÇÃO ]]</f>
        <v>52.076744248888879</v>
      </c>
      <c r="AS31" s="22">
        <f>SUMIF(tabParametros[Código do Posto],tabCustoUnit[[#This Row],[Código do Posto]],tabParametros[Indenização Adicional (Art. 9º da Lei nº 7.238/84)])*tabCustoUnit[[#This Row],[MODULO 1 - REMUNERAÇÃO ]]</f>
        <v>1.4192426666666667</v>
      </c>
      <c r="AT31" s="22">
        <f>SUM(tabCustoUnit[[#This Row],[Aviso Prévio Indenizado (API) e Reflexo do Aviso Prévio Indenizado]:[Indenização Adicional (Art. 9º da Lei nº 7.238/84)]])</f>
        <v>74.989142412049375</v>
      </c>
      <c r="AU31" s="22">
        <f>SUMIF(tabParametros[Código do Posto],tabCustoUnit[[#This Row],[Código do Posto]],tabParametros[Ausência por Doença])*tabCustoUnit[[#This Row],[MODULO 1 - REMUNERAÇÃO ]]</f>
        <v>14.38165902222222</v>
      </c>
      <c r="AV31" s="22">
        <f>SUMIF(tabParametros[Código do Posto],tabCustoUnit[[#This Row],[Código do Posto]],tabParametros[Ausências Legais])*tabCustoUnit[[#This Row],[MODULO 1 - REMUNERAÇÃO ]]</f>
        <v>3.4534904888888884</v>
      </c>
      <c r="AW31" s="22">
        <f>SUMIF(tabParametros[Código do Posto],tabCustoUnit[[#This Row],[Código do Posto]],tabParametros[Licença Paternidade])*tabCustoUnit[[#This Row],[MODULO 1 - REMUNERAÇÃO ]]</f>
        <v>0.29094474666666664</v>
      </c>
      <c r="AX31" s="22">
        <f>SUMIF(tabParametros[Código do Posto],tabCustoUnit[[#This Row],[Código do Posto]],tabParametros[Ausência por Acidente de Trabalho])*tabCustoUnit[[#This Row],[MODULO 1 - REMUNERAÇÃO ]]</f>
        <v>0.35481066666666666</v>
      </c>
      <c r="AY31" s="22">
        <f>SUMIF(tabParametros[Código do Posto],tabCustoUnit[[#This Row],[Código do Posto]],tabParametros[Férias, Adicional de Férias e 13º  com empregada em gozo de Licença Maternidade])*tabCustoUnit[[#This Row],[MODULO 1 - REMUNERAÇÃO ]]</f>
        <v>2.2077108148148143</v>
      </c>
      <c r="AZ31" s="22">
        <f>SUMIF(tabParametros[Código do Posto],tabCustoUnit[[#This Row],[Código do Posto]],tabParametros[Incidência do Submódulo 2.1 sobre Ausências Legais])*tabCustoUnit[[#This Row],[MODULO 1 - REMUNERAÇÃO ]]</f>
        <v>7.8202967494400006</v>
      </c>
      <c r="BA31" s="22">
        <f>SUM(tabCustoUnit[[#This Row],[Ausência por Doença]:[Incidência do Submódulo 2.1 sobre Ausências Legais]])</f>
        <v>28.508912488699256</v>
      </c>
      <c r="BB31" s="22">
        <f>SUMIF(tabParametros[Código do Posto],tabCustoUnit[[#This Row],[Código do Posto]],tabParametros[Intervalo para Repouso ou Alimentação])</f>
        <v>0</v>
      </c>
      <c r="BC31" s="22">
        <f>tabCustoUnit[[#This Row],[Intervalo para Repouso ou Alimentação]]</f>
        <v>0</v>
      </c>
      <c r="BD31" s="22">
        <f>IF(VLOOKUP(tabCustoUnit[[#This Row],[Código do Posto]],PARAMETROS!$A$4:$BJ$255,7,0)&lt;=0,0,
IFERROR((tabCustoUnit[[#This Row],[MODULO 1 - REMUNERAÇÃO ]]*VLOOKUP(tabCustoUnit[[#This Row],[Código do Posto]],PARAMETROS!$A$4:$BJ$255,49,0))/(VLOOKUP(tabCustoUnit[[#This Row],[Código do Posto]],PARAMETROS!$A$4:$BJ$255,7,0)*VLOOKUP(tabCustoUnit[[#This Row],[Código do Posto]],PARAMETROS!$A$4:$BJ$255,8,0)),0)
)</f>
        <v>0</v>
      </c>
      <c r="BE31" s="22">
        <f>tabCustoUnit[[#This Row],[Suspensão Temporária do Contrato de Trabalho]]</f>
        <v>0</v>
      </c>
      <c r="BF31" s="22">
        <f>tabCustoUnit[[#This Row],[Submódulo 4.1]]+tabCustoUnit[[#This Row],[Submódulo 4.2]]+tabCustoUnit[[#This Row],[Submódulo 4.3]]</f>
        <v>28.508912488699256</v>
      </c>
      <c r="BG31" s="22">
        <f>VLOOKUP(tabCustoUnit[[#This Row],[Código do Posto]],tabParametros[],MATCH(tabCustoUnit[[#Headers],[Uniformes e EPIs]],tabParametros[#Headers],0),0)</f>
        <v>100.80916666666666</v>
      </c>
      <c r="BH31" s="22">
        <f>VLOOKUP(tabCustoUnit[[#This Row],[Código do Posto]],tabParametros[],MATCH(tabCustoUnit[[#Headers],[Materiais de Consumo]],tabParametros[#Headers],0),0)</f>
        <v>35.518212958583888</v>
      </c>
      <c r="BI31" s="22">
        <f>VLOOKUP(tabCustoUnit[[#This Row],[Código do Posto]],tabParametros[],MATCH(tabCustoUnit[[#Headers],[Máquinas e Equipamentos (depreciação)]],tabParametros[#Headers],0),0)</f>
        <v>64.529393914825576</v>
      </c>
      <c r="BJ31" s="22">
        <f>VLOOKUP(tabCustoUnit[[#This Row],[Código do Posto]],tabParametros[],MATCH(tabCustoUnit[[#Headers],[Produtos de Limpeza e Materiais de Higiene Pessoal]],tabParametros[#Headers],0),0)</f>
        <v>690.27153277931654</v>
      </c>
      <c r="BK31" s="22">
        <f>VLOOKUP(tabCustoUnit[[#This Row],[Código do Posto]],tabParametros[],MATCH(tabCustoUnit[[#Headers],[Outros (especificar)]],tabParametros[#Headers],0),0)</f>
        <v>0</v>
      </c>
      <c r="BL31" s="22">
        <f>SUM(tabCustoUnit[[#This Row],[Uniformes e EPIs]:[Outros (especificar)]])</f>
        <v>891.12830631939266</v>
      </c>
      <c r="BM31" s="22">
        <f>tabCustoUnit[[#This Row],[MODULO 1 - REMUNERAÇÃO ]]+tabCustoUnit[[#This Row],[MÓDULO 2 - Total Encargos e Benefícios mensais e diários]]+tabCustoUnit[[#This Row],[MÓDULO 3 – PROVISÃO PARA RESCISÃO]]+tabCustoUnit[[#This Row],[MÓDULO 4 – CUSTO DE REPOSIÇÃO DO PROFISSIONAL AUSENTE]]+tabCustoUnit[[#This Row],[MÓDULO 5 – INSUMOS DIVERSOS]]</f>
        <v>4840.3226602423629</v>
      </c>
      <c r="BN31" s="22">
        <f>VLOOKUP(tabCustoUnit[[#This Row],[Código do Posto]],tabParametros[],MATCH(tabCustoUnit[[#Headers],[Custos Indiretos]],tabParametros[#Headers],0),0)</f>
        <v>189.64880140242613</v>
      </c>
      <c r="BO31" s="22">
        <f>VLOOKUP(tabCustoUnit[[#This Row],[Código do Posto]],tabParametros[],MATCH(tabCustoUnit[[#Headers],[Lucro]],tabParametros[#Headers],0),0)</f>
        <v>159.30499317803796</v>
      </c>
      <c r="BP31" s="26">
        <f>((100/((1-tabCustoUnit[[#This Row],[Resumo de Alíquotas (PIS+CONFINS+ISS)]]))-100)*VLOOKUP(tabCustoUnit[[#This Row],[Código do Posto]],tabParametros[],MATCH(tabCustoUnit[[#Headers],[COFINS]],tabParametros[#Headers],0),0))/(tabCustoUnit[[#This Row],[Resumo de Alíquotas (PIS+CONFINS+ISS)]]*100)</f>
        <v>8.8629737609329504E-2</v>
      </c>
      <c r="BQ31" s="26">
        <f>((100/((100-(tabCustoUnit[[#This Row],[Resumo de Alíquotas (PIS+CONFINS+ISS)]]*100))%)-100)*VLOOKUP(tabCustoUnit[[#This Row],[Código do Posto]],tabParametros[],MATCH(tabCustoUnit[[#Headers],[PIS]],tabParametros[#Headers],0),0))/(tabCustoUnit[[#This Row],[Resumo de Alíquotas (PIS+CONFINS+ISS)]]*100)</f>
        <v>1.9241982507288629E-2</v>
      </c>
      <c r="BR31" s="28">
        <f>VLOOKUP(tabCustoUnit[[#This Row],[Código do Posto]],tabParametros[],MATCH(tabCustoUnit[[#Headers],[ISS]],tabParametros[#Headers],0),0)</f>
        <v>0.05</v>
      </c>
      <c r="BS31" s="26">
        <f>(((100/((100-(tabCustoUnit[[#This Row],[Resumo de Alíquotas (PIS+CONFINS+ISS)]]*100))%)-100)*tabCustoUnit[[#This Row],[ISS]])/tabCustoUnit[[#This Row],[Resumo de Alíquotas (PIS+CONFINS+ISS)]])/100</f>
        <v>5.8309037900874633E-2</v>
      </c>
      <c r="BT31" s="26">
        <f>(VLOOKUP(tabCustoUnit[[#This Row],[Código do Posto]],tabParametros[],MATCH(tabCustoUnit[[#Headers],[COFINS]],tabParametros[#Headers],0),0)+
VLOOKUP(tabCustoUnit[[#This Row],[Código do Posto]],tabParametros[],MATCH(tabCustoUnit[[#Headers],[PIS]],tabParametros[#Headers],0),0)+
VLOOKUP(tabCustoUnit[[#This Row],[Código do Posto]],tabParametros[],MATCH(tabCustoUnit[[#Headers],[ISS]],tabParametros[#Headers],0),0))</f>
        <v>0.14250000000000002</v>
      </c>
      <c r="BU31" s="138">
        <f>tabCustoUnit[[#This Row],[COFINS]]+tabCustoUnit[[#This Row],[PIS]]+tabCustoUnit[[#This Row],[ISS (Conversão Alíquota s/ fatura)]]</f>
        <v>0.16618075801749277</v>
      </c>
      <c r="BV31" s="22">
        <f>(tabCustoUnit[[#This Row],[TOTAL MÓDULOS 1+2+3+4+5]]+tabCustoUnit[[#This Row],[Custos Indiretos]]+tabCustoUnit[[#This Row],[Lucro]])*tabCustoUnit[[#This Row],[PIS + COFINS + ISS (Total Conversão  Alíquota s/ Fatura)]]</f>
        <v>862.35789482478492</v>
      </c>
      <c r="BW31" s="22">
        <f>tabCustoUnit[[#This Row],[Custos Indiretos]]+tabCustoUnit[[#This Row],[Lucro]]+tabCustoUnit[[#This Row],[Valor dos Tributos (ISS, PIS, CONFINS)]]</f>
        <v>1211.3116894052491</v>
      </c>
      <c r="BX31" s="22">
        <f>tabCustoUnit[[#This Row],[TOTAL MÓDULOS 1+2+3+4+5]]+tabCustoUnit[[#This Row],[MÓDULO 6 – CUSTOS INDIRETOS, TRIBUTOS E LUCRO]]</f>
        <v>6051.634349647612</v>
      </c>
      <c r="BY31" s="22">
        <f>tabCustoUnit[[#This Row],[CUSTO TOTAL MENSAL]]*12</f>
        <v>72619.612195771348</v>
      </c>
      <c r="BZ31" s="24">
        <f>VLOOKUP(tabCustoUnit[[#This Row],[Código do Posto]],tabParametros[],MATCH(tabCustoUnit[[#Headers],[ANO DA CCT]],tabParametros[#Headers],0),0)</f>
        <v>45658</v>
      </c>
      <c r="CA31" s="25" t="str">
        <f>VLOOKUP(tabCustoUnit[[#This Row],[Código do Posto]],tabParametros[],MATCH(tabCustoUnit[[#Headers],[Nº DE PEDIDO DA CCT]],tabParametros[#Headers],0),0)</f>
        <v>-</v>
      </c>
      <c r="CB31" s="25" t="str">
        <f>VLOOKUP(tabCustoUnit[[#This Row],[Código do Posto]],tabParametros[],MATCH(tabCustoUnit[[#Headers],[TERMO ADITIVO ALTERAÇÃO DA CCT]],tabParametros[#Headers],0),0)</f>
        <v>-</v>
      </c>
    </row>
    <row r="32" spans="1:80" x14ac:dyDescent="0.25">
      <c r="A32" s="20" t="s">
        <v>1372</v>
      </c>
      <c r="B32" t="s">
        <v>31</v>
      </c>
      <c r="C32" t="s">
        <v>32</v>
      </c>
      <c r="D32" t="s">
        <v>1033</v>
      </c>
      <c r="E32" s="20" t="s">
        <v>9</v>
      </c>
      <c r="F32" s="20" t="s">
        <v>10</v>
      </c>
      <c r="G32" s="21">
        <v>1805.94</v>
      </c>
      <c r="H32" s="21">
        <v>0</v>
      </c>
      <c r="I32" s="21">
        <v>0</v>
      </c>
      <c r="J32" s="21">
        <v>0</v>
      </c>
      <c r="K32" s="21">
        <v>0</v>
      </c>
      <c r="L32" s="21">
        <v>0</v>
      </c>
      <c r="M32" s="21">
        <v>0</v>
      </c>
      <c r="N32" s="21">
        <v>0</v>
      </c>
      <c r="O32" s="21">
        <f>SUM(tabCustoUnit[[#This Row],[Salário Base]:[Adicional de Acúmulo de função]])</f>
        <v>1805.94</v>
      </c>
      <c r="P32" s="21">
        <f>tabCustoUnit[[#This Row],[MODULO 1 - REMUNERAÇÃO ]]*SUMIFS(tabParametros[INSS],tabParametros[Código do Posto],tabCustoUnit[[#This Row],[Código do Posto]])</f>
        <v>361.18800000000005</v>
      </c>
      <c r="Q32" s="21">
        <f>tabCustoUnit[[#This Row],[MODULO 1 - REMUNERAÇÃO ]]*SUMIFS(tabParametros[SESI OU SESC],tabParametros[Código do Posto],tabCustoUnit[[#This Row],[Código do Posto]])</f>
        <v>27.089099999999998</v>
      </c>
      <c r="R32" s="21">
        <f>tabCustoUnit[[#This Row],[MODULO 1 - REMUNERAÇÃO ]]*SUMIFS(tabParametros[SENAI OU SENAC],tabParametros[Código do Posto],tabCustoUnit[[#This Row],[Código do Posto]])</f>
        <v>18.0594</v>
      </c>
      <c r="S32" s="21">
        <f>tabCustoUnit[[#This Row],[MODULO 1 - REMUNERAÇÃO ]]*SUMIFS(tabParametros[INCRA],tabParametros[Código do Posto],tabCustoUnit[[#This Row],[Código do Posto]])</f>
        <v>3.6118800000000002</v>
      </c>
      <c r="T32" s="21">
        <f>tabCustoUnit[[#This Row],[MODULO 1 - REMUNERAÇÃO ]]*SUMIFS(tabParametros[Salário Educação],tabParametros[Código do Posto],tabCustoUnit[[#This Row],[Código do Posto]])</f>
        <v>45.148500000000006</v>
      </c>
      <c r="U32" s="21">
        <f>tabCustoUnit[[#This Row],[MODULO 1 - REMUNERAÇÃO ]]*SUMIFS(tabParametros[FGTS],tabParametros[Código do Posto],tabCustoUnit[[#This Row],[Código do Posto]])</f>
        <v>144.4752</v>
      </c>
      <c r="V32" s="21">
        <f>tabCustoUnit[[#This Row],[MODULO 1 - REMUNERAÇÃO ]]*SUMIFS(tabParametros[RAT Ajustado],tabParametros[Código do Posto],tabCustoUnit[[#This Row],[Código do Posto]])</f>
        <v>72.2376</v>
      </c>
      <c r="W32" s="21">
        <f>tabCustoUnit[[#This Row],[MODULO 1 - REMUNERAÇÃO ]]*SUMIFS(tabParametros[SEBRAE],tabParametros[Código do Posto],tabCustoUnit[[#This Row],[Código do Posto]])</f>
        <v>10.83564</v>
      </c>
      <c r="X32" s="21">
        <f>SUM(tabCustoUnit[[#This Row],[INSS]:[SEBRAE]])</f>
        <v>682.64532000000008</v>
      </c>
      <c r="Y32" s="21">
        <f>tabCustoUnit[[#This Row],[MODULO 1 - REMUNERAÇÃO ]]*SUMIFS(tabParametros[13º salário (titular)],tabParametros[Código do Posto],tabCustoUnit[[#This Row],[Código do Posto]])</f>
        <v>150.495</v>
      </c>
      <c r="Z32" s="21">
        <f>tabCustoUnit[[#This Row],[MODULO 1 - REMUNERAÇÃO ]]*SUMIFS(tabParametros[Férias e Adicional de Férias (titular)],tabParametros[Código do Posto],tabCustoUnit[[#This Row],[Código do Posto]])</f>
        <v>200.66</v>
      </c>
      <c r="AA32" s="21">
        <f>IFERROR((tabCustoUnit[[#This Row],[Submódulo 2.1]]/tabCustoUnit[[#This Row],[MODULO 1 - REMUNERAÇÃO ]])*SUM(tabCustoUnit[[#This Row],[13º salário (titular)]:[Férias e Adicional de Férias (titular)]]),0)</f>
        <v>132.73659000000001</v>
      </c>
      <c r="AB32" s="21">
        <f>SUM(tabCustoUnit[[#This Row],[13º salário (titular)]:[Incidência do Submódulo 2.1 sobre 13º Salário, Férias e Adicional de Férias]])</f>
        <v>483.89158999999995</v>
      </c>
      <c r="AC32" s="22">
        <f>_xlfn.LET(_xlpm.VT,SUMIF(tabParametros[Código do Posto],tabCustoUnit[[#This Row],[Código do Posto]],tabParametros[Vale - Transporte])*2*20,
IF((_xlpm.VT-tabCustoUnit[[#This Row],[Salário Base]]*0.06)&gt;=0,(_xlpm.VT-tabCustoUnit[[#This Row],[Salário Base]]*0.06),0)
)</f>
        <v>341.64359999999999</v>
      </c>
      <c r="AD32" s="22">
        <f>IF(SUMIF(tabParametros[Código do Posto],tabCustoUnit[[#This Row],[Código do Posto]],tabParametros[Vale - Alimentação])&lt;=0,0,
SUMIF(tabParametros[Código do Posto],tabCustoUnit[[#This Row],[Código do Posto]],tabParametros[Vale - Alimentação])*20-1)</f>
        <v>582</v>
      </c>
      <c r="AE32" s="22">
        <f>SUMIF(tabParametros[Código do Posto],tabCustoUnit[[#This Row],[Código do Posto]],tabParametros[Cesta Básica])</f>
        <v>0</v>
      </c>
      <c r="AF32" s="22">
        <f>SUMIF(tabParametros[Código do Posto],tabCustoUnit[[#This Row],[Código do Posto]],tabParametros[PAF])</f>
        <v>95.9</v>
      </c>
      <c r="AG32" s="22">
        <f>SUMIF(tabParametros[Código do Posto],tabCustoUnit[[#This Row],[Código do Posto]],tabParametros[PQM])</f>
        <v>0</v>
      </c>
      <c r="AH32" s="22">
        <f>SUMIF(tabParametros[Código do Posto],tabCustoUnit[[#This Row],[Código do Posto]],tabParametros[PAT])</f>
        <v>0</v>
      </c>
      <c r="AI32" s="22">
        <f>SUMIF(tabParametros[Código do Posto],tabCustoUnit[[#This Row],[Código do Posto]],tabParametros[Seguro de Vida])</f>
        <v>3.36</v>
      </c>
      <c r="AJ32" s="22">
        <f>SUMIF(tabParametros[Código do Posto],tabCustoUnit[[#This Row],[Código do Posto]],tabParametros[Despesas de Viagem])</f>
        <v>10.19</v>
      </c>
      <c r="AK32" s="22">
        <f>SUM(tabCustoUnit[[#This Row],[Vale - Transporte (Descontada parcela do empregado)]:[Despesas de Viagem]])</f>
        <v>1033.0935999999999</v>
      </c>
      <c r="AL32" s="22">
        <f>tabCustoUnit[[#This Row],[Submódulo 2.1]]+tabCustoUnit[[#This Row],[Submódulo 2.2]]+tabCustoUnit[[#This Row],[Submódulo 2.3]]</f>
        <v>2199.63051</v>
      </c>
      <c r="AM32" s="22">
        <f>SUMIF(tabParametros[Código do Posto],tabCustoUnit[[#This Row],[Código do Posto]],tabParametros[Aviso Prévio Indenizado (API) e Reflexo do Aviso Prévio Indenizado])*tabCustoUnit[[#This Row],[MODULO 1 - REMUNERAÇÃO ]]</f>
        <v>12.662830451388889</v>
      </c>
      <c r="AN32" s="22">
        <f>SUMIF(tabParametros[Código do Posto],tabCustoUnit[[#This Row],[Código do Posto]],tabParametros[Incidência do FGTS sobre API e Reflexo do API])*tabCustoUnit[[#This Row],[MODULO 1 - REMUNERAÇÃO ]]</f>
        <v>1.0130264361111112</v>
      </c>
      <c r="AO32" s="22">
        <f>SUMIF(tabParametros[Código do Posto],tabCustoUnit[[#This Row],[Código do Posto]],tabParametros[Multa Rescisória do FGTS sobre o Aviso Prévio Indenizado])*tabCustoUnit[[#This Row],[MODULO 1 - REMUNERAÇÃO ]]</f>
        <v>0.40521057444444453</v>
      </c>
      <c r="AP32" s="22">
        <f>SUMIF(tabParametros[Código do Posto],tabCustoUnit[[#This Row],[Código do Posto]],tabParametros[Aviso Prévio Trabalhado - APT])*tabCustoUnit[[#This Row],[MODULO 1 - REMUNERAÇÃO ]]</f>
        <v>6.3207900000000015</v>
      </c>
      <c r="AQ32" s="22">
        <f>SUMIF(tabParametros[Código do Posto],tabCustoUnit[[#This Row],[Código do Posto]],tabParametros[Incidência dos encargos do submódulo 2.1 sobre Aviso Prévio Trabalhado])*tabCustoUnit[[#This Row],[MODULO 1 - REMUNERAÇÃO ]]</f>
        <v>2.389258620000001</v>
      </c>
      <c r="AR32" s="22">
        <f>SUMIF(tabParametros[Código do Posto],tabCustoUnit[[#This Row],[Código do Posto]],tabParametros[Multa Rescisória do FGTS])*tabCustoUnit[[#This Row],[MODULO 1 - REMUNERAÇÃO ]]</f>
        <v>55.221631999999993</v>
      </c>
      <c r="AS32" s="22">
        <f>SUMIF(tabParametros[Código do Posto],tabCustoUnit[[#This Row],[Código do Posto]],tabParametros[Indenização Adicional (Art. 9º da Lei nº 7.238/84)])*tabCustoUnit[[#This Row],[MODULO 1 - REMUNERAÇÃO ]]</f>
        <v>1.5049500000000002</v>
      </c>
      <c r="AT32" s="22">
        <f>SUM(tabCustoUnit[[#This Row],[Aviso Prévio Indenizado (API) e Reflexo do Aviso Prévio Indenizado]:[Indenização Adicional (Art. 9º da Lei nº 7.238/84)]])</f>
        <v>79.517698081944431</v>
      </c>
      <c r="AU32" s="22">
        <f>SUMIF(tabParametros[Código do Posto],tabCustoUnit[[#This Row],[Código do Posto]],tabParametros[Ausência por Doença])*tabCustoUnit[[#This Row],[MODULO 1 - REMUNERAÇÃO ]]</f>
        <v>15.250159999999999</v>
      </c>
      <c r="AV32" s="22">
        <f>SUMIF(tabParametros[Código do Posto],tabCustoUnit[[#This Row],[Código do Posto]],tabParametros[Ausências Legais])*tabCustoUnit[[#This Row],[MODULO 1 - REMUNERAÇÃO ]]</f>
        <v>3.662045</v>
      </c>
      <c r="AW32" s="22">
        <f>SUMIF(tabParametros[Código do Posto],tabCustoUnit[[#This Row],[Código do Posto]],tabParametros[Licença Paternidade])*tabCustoUnit[[#This Row],[MODULO 1 - REMUNERAÇÃO ]]</f>
        <v>0.30851475</v>
      </c>
      <c r="AX32" s="22">
        <f>SUMIF(tabParametros[Código do Posto],tabCustoUnit[[#This Row],[Código do Posto]],tabParametros[Ausência por Acidente de Trabalho])*tabCustoUnit[[#This Row],[MODULO 1 - REMUNERAÇÃO ]]</f>
        <v>0.37623750000000006</v>
      </c>
      <c r="AY32" s="22">
        <f>SUMIF(tabParametros[Código do Posto],tabCustoUnit[[#This Row],[Código do Posto]],tabParametros[Férias, Adicional de Férias e 13º  com empregada em gozo de Licença Maternidade])*tabCustoUnit[[#This Row],[MODULO 1 - REMUNERAÇÃO ]]</f>
        <v>2.3410333333333333</v>
      </c>
      <c r="AZ32" s="22">
        <f>SUMIF(tabParametros[Código do Posto],tabCustoUnit[[#This Row],[Código do Posto]],tabParametros[Incidência do Submódulo 2.1 sobre Ausências Legais])*tabCustoUnit[[#This Row],[MODULO 1 - REMUNERAÇÃO ]]</f>
        <v>8.2925604405000009</v>
      </c>
      <c r="BA32" s="22">
        <f>SUM(tabCustoUnit[[#This Row],[Ausência por Doença]:[Incidência do Submódulo 2.1 sobre Ausências Legais]])</f>
        <v>30.230551023833332</v>
      </c>
      <c r="BB32" s="22">
        <f>SUMIF(tabParametros[Código do Posto],tabCustoUnit[[#This Row],[Código do Posto]],tabParametros[Intervalo para Repouso ou Alimentação])</f>
        <v>0</v>
      </c>
      <c r="BC32" s="22">
        <f>tabCustoUnit[[#This Row],[Intervalo para Repouso ou Alimentação]]</f>
        <v>0</v>
      </c>
      <c r="BD32" s="22">
        <f>IF(VLOOKUP(tabCustoUnit[[#This Row],[Código do Posto]],PARAMETROS!$A$4:$BJ$255,7,0)&lt;=0,0,
IFERROR((tabCustoUnit[[#This Row],[MODULO 1 - REMUNERAÇÃO ]]*VLOOKUP(tabCustoUnit[[#This Row],[Código do Posto]],PARAMETROS!$A$4:$BJ$255,49,0))/(VLOOKUP(tabCustoUnit[[#This Row],[Código do Posto]],PARAMETROS!$A$4:$BJ$255,7,0)*VLOOKUP(tabCustoUnit[[#This Row],[Código do Posto]],PARAMETROS!$A$4:$BJ$255,8,0)),0)
)</f>
        <v>0</v>
      </c>
      <c r="BE32" s="22">
        <f>tabCustoUnit[[#This Row],[Suspensão Temporária do Contrato de Trabalho]]</f>
        <v>0</v>
      </c>
      <c r="BF32" s="22">
        <f>tabCustoUnit[[#This Row],[Submódulo 4.1]]+tabCustoUnit[[#This Row],[Submódulo 4.2]]+tabCustoUnit[[#This Row],[Submódulo 4.3]]</f>
        <v>30.230551023833332</v>
      </c>
      <c r="BG32" s="22">
        <f>VLOOKUP(tabCustoUnit[[#This Row],[Código do Posto]],tabParametros[],MATCH(tabCustoUnit[[#Headers],[Uniformes e EPIs]],tabParametros[#Headers],0),0)</f>
        <v>114.40250000000002</v>
      </c>
      <c r="BH32" s="22">
        <f>VLOOKUP(tabCustoUnit[[#This Row],[Código do Posto]],tabParametros[],MATCH(tabCustoUnit[[#Headers],[Materiais de Consumo]],tabParametros[#Headers],0),0)</f>
        <v>0</v>
      </c>
      <c r="BI32" s="22">
        <f>VLOOKUP(tabCustoUnit[[#This Row],[Código do Posto]],tabParametros[],MATCH(tabCustoUnit[[#Headers],[Máquinas e Equipamentos (depreciação)]],tabParametros[#Headers],0),0)</f>
        <v>6.2216666666666667</v>
      </c>
      <c r="BJ32" s="22">
        <f>VLOOKUP(tabCustoUnit[[#This Row],[Código do Posto]],tabParametros[],MATCH(tabCustoUnit[[#Headers],[Produtos de Limpeza e Materiais de Higiene Pessoal]],tabParametros[#Headers],0),0)</f>
        <v>0</v>
      </c>
      <c r="BK32" s="22">
        <f>VLOOKUP(tabCustoUnit[[#This Row],[Código do Posto]],tabParametros[],MATCH(tabCustoUnit[[#Headers],[Outros (especificar)]],tabParametros[#Headers],0),0)</f>
        <v>0</v>
      </c>
      <c r="BL32" s="22">
        <f>SUM(tabCustoUnit[[#This Row],[Uniformes e EPIs]:[Outros (especificar)]])</f>
        <v>120.62416666666668</v>
      </c>
      <c r="BM32" s="22">
        <f>tabCustoUnit[[#This Row],[MODULO 1 - REMUNERAÇÃO ]]+tabCustoUnit[[#This Row],[MÓDULO 2 - Total Encargos e Benefícios mensais e diários]]+tabCustoUnit[[#This Row],[MÓDULO 3 – PROVISÃO PARA RESCISÃO]]+tabCustoUnit[[#This Row],[MÓDULO 4 – CUSTO DE REPOSIÇÃO DO PROFISSIONAL AUSENTE]]+tabCustoUnit[[#This Row],[MÓDULO 5 – INSUMOS DIVERSOS]]</f>
        <v>4235.9429257724441</v>
      </c>
      <c r="BN32" s="22">
        <f>VLOOKUP(tabCustoUnit[[#This Row],[Código do Posto]],tabParametros[],MATCH(tabCustoUnit[[#Headers],[Custos Indiretos]],tabParametros[#Headers],0),0)</f>
        <v>189.64880140242613</v>
      </c>
      <c r="BO32" s="22">
        <f>VLOOKUP(tabCustoUnit[[#This Row],[Código do Posto]],tabParametros[],MATCH(tabCustoUnit[[#Headers],[Lucro]],tabParametros[#Headers],0),0)</f>
        <v>159.30499317803796</v>
      </c>
      <c r="BP32" s="26">
        <f>((100/((1-tabCustoUnit[[#This Row],[Resumo de Alíquotas (PIS+CONFINS+ISS)]]))-100)*VLOOKUP(tabCustoUnit[[#This Row],[Código do Posto]],tabParametros[],MATCH(tabCustoUnit[[#Headers],[COFINS]],tabParametros[#Headers],0),0))/(tabCustoUnit[[#This Row],[Resumo de Alíquotas (PIS+CONFINS+ISS)]]*100)</f>
        <v>8.8629737609329504E-2</v>
      </c>
      <c r="BQ32" s="26">
        <f>((100/((100-(tabCustoUnit[[#This Row],[Resumo de Alíquotas (PIS+CONFINS+ISS)]]*100))%)-100)*VLOOKUP(tabCustoUnit[[#This Row],[Código do Posto]],tabParametros[],MATCH(tabCustoUnit[[#Headers],[PIS]],tabParametros[#Headers],0),0))/(tabCustoUnit[[#This Row],[Resumo de Alíquotas (PIS+CONFINS+ISS)]]*100)</f>
        <v>1.9241982507288629E-2</v>
      </c>
      <c r="BR32" s="28">
        <f>VLOOKUP(tabCustoUnit[[#This Row],[Código do Posto]],tabParametros[],MATCH(tabCustoUnit[[#Headers],[ISS]],tabParametros[#Headers],0),0)</f>
        <v>0.05</v>
      </c>
      <c r="BS32" s="26">
        <f>(((100/((100-(tabCustoUnit[[#This Row],[Resumo de Alíquotas (PIS+CONFINS+ISS)]]*100))%)-100)*tabCustoUnit[[#This Row],[ISS]])/tabCustoUnit[[#This Row],[Resumo de Alíquotas (PIS+CONFINS+ISS)]])/100</f>
        <v>5.8309037900874633E-2</v>
      </c>
      <c r="BT32" s="26">
        <f>(VLOOKUP(tabCustoUnit[[#This Row],[Código do Posto]],tabParametros[],MATCH(tabCustoUnit[[#Headers],[COFINS]],tabParametros[#Headers],0),0)+
VLOOKUP(tabCustoUnit[[#This Row],[Código do Posto]],tabParametros[],MATCH(tabCustoUnit[[#Headers],[PIS]],tabParametros[#Headers],0),0)+
VLOOKUP(tabCustoUnit[[#This Row],[Código do Posto]],tabParametros[],MATCH(tabCustoUnit[[#Headers],[ISS]],tabParametros[#Headers],0),0))</f>
        <v>0.14250000000000002</v>
      </c>
      <c r="BU32" s="138">
        <f>tabCustoUnit[[#This Row],[COFINS]]+tabCustoUnit[[#This Row],[PIS]]+tabCustoUnit[[#This Row],[ISS (Conversão Alíquota s/ fatura)]]</f>
        <v>0.16618075801749277</v>
      </c>
      <c r="BV32" s="22">
        <f>(tabCustoUnit[[#This Row],[TOTAL MÓDULOS 1+2+3+4+5]]+tabCustoUnit[[#This Row],[Custos Indiretos]]+tabCustoUnit[[#This Row],[Lucro]])*tabCustoUnit[[#This Row],[PIS + COFINS + ISS (Total Conversão  Alíquota s/ Fatura)]]</f>
        <v>761.92161242016289</v>
      </c>
      <c r="BW32" s="22">
        <f>tabCustoUnit[[#This Row],[Custos Indiretos]]+tabCustoUnit[[#This Row],[Lucro]]+tabCustoUnit[[#This Row],[Valor dos Tributos (ISS, PIS, CONFINS)]]</f>
        <v>1110.8754070006271</v>
      </c>
      <c r="BX32" s="22">
        <f>tabCustoUnit[[#This Row],[TOTAL MÓDULOS 1+2+3+4+5]]+tabCustoUnit[[#This Row],[MÓDULO 6 – CUSTOS INDIRETOS, TRIBUTOS E LUCRO]]</f>
        <v>5346.8183327730712</v>
      </c>
      <c r="BY32" s="22">
        <f>tabCustoUnit[[#This Row],[CUSTO TOTAL MENSAL]]*12</f>
        <v>64161.819993276855</v>
      </c>
      <c r="BZ32" s="24">
        <f>VLOOKUP(tabCustoUnit[[#This Row],[Código do Posto]],tabParametros[],MATCH(tabCustoUnit[[#Headers],[ANO DA CCT]],tabParametros[#Headers],0),0)</f>
        <v>45658</v>
      </c>
      <c r="CA32" s="25" t="str">
        <f>VLOOKUP(tabCustoUnit[[#This Row],[Código do Posto]],tabParametros[],MATCH(tabCustoUnit[[#Headers],[Nº DE PEDIDO DA CCT]],tabParametros[#Headers],0),0)</f>
        <v>-</v>
      </c>
      <c r="CB32" s="25" t="str">
        <f>VLOOKUP(tabCustoUnit[[#This Row],[Código do Posto]],tabParametros[],MATCH(tabCustoUnit[[#Headers],[TERMO ADITIVO ALTERAÇÃO DA CCT]],tabParametros[#Headers],0),0)</f>
        <v>-</v>
      </c>
    </row>
    <row r="33" spans="1:80" x14ac:dyDescent="0.25">
      <c r="A33" s="20" t="s">
        <v>1373</v>
      </c>
      <c r="B33" t="s">
        <v>34</v>
      </c>
      <c r="C33" t="s">
        <v>1244</v>
      </c>
      <c r="D33" t="s">
        <v>1045</v>
      </c>
      <c r="E33" s="20" t="s">
        <v>9</v>
      </c>
      <c r="F33" s="20" t="s">
        <v>10</v>
      </c>
      <c r="G33" s="21">
        <v>824.56</v>
      </c>
      <c r="H33" s="21">
        <v>0</v>
      </c>
      <c r="I33" s="21">
        <v>0</v>
      </c>
      <c r="J33" s="21">
        <v>0</v>
      </c>
      <c r="K33" s="21">
        <v>0</v>
      </c>
      <c r="L33" s="21">
        <v>0</v>
      </c>
      <c r="M33" s="21">
        <v>0</v>
      </c>
      <c r="N33" s="21">
        <v>26.985600000000002</v>
      </c>
      <c r="O33" s="21">
        <f>SUM(tabCustoUnit[[#This Row],[Salário Base]:[Adicional de Acúmulo de função]])</f>
        <v>851.54559999999992</v>
      </c>
      <c r="P33" s="21">
        <f>tabCustoUnit[[#This Row],[MODULO 1 - REMUNERAÇÃO ]]*SUMIFS(tabParametros[INSS],tabParametros[Código do Posto],tabCustoUnit[[#This Row],[Código do Posto]])</f>
        <v>170.30912000000001</v>
      </c>
      <c r="Q33" s="21">
        <f>tabCustoUnit[[#This Row],[MODULO 1 - REMUNERAÇÃO ]]*SUMIFS(tabParametros[SESI OU SESC],tabParametros[Código do Posto],tabCustoUnit[[#This Row],[Código do Posto]])</f>
        <v>12.773183999999999</v>
      </c>
      <c r="R33" s="21">
        <f>tabCustoUnit[[#This Row],[MODULO 1 - REMUNERAÇÃO ]]*SUMIFS(tabParametros[SENAI OU SENAC],tabParametros[Código do Posto],tabCustoUnit[[#This Row],[Código do Posto]])</f>
        <v>8.5154559999999986</v>
      </c>
      <c r="S33" s="21">
        <f>tabCustoUnit[[#This Row],[MODULO 1 - REMUNERAÇÃO ]]*SUMIFS(tabParametros[INCRA],tabParametros[Código do Posto],tabCustoUnit[[#This Row],[Código do Posto]])</f>
        <v>1.7030911999999998</v>
      </c>
      <c r="T33" s="21">
        <f>tabCustoUnit[[#This Row],[MODULO 1 - REMUNERAÇÃO ]]*SUMIFS(tabParametros[Salário Educação],tabParametros[Código do Posto],tabCustoUnit[[#This Row],[Código do Posto]])</f>
        <v>21.288640000000001</v>
      </c>
      <c r="U33" s="21">
        <f>tabCustoUnit[[#This Row],[MODULO 1 - REMUNERAÇÃO ]]*SUMIFS(tabParametros[FGTS],tabParametros[Código do Posto],tabCustoUnit[[#This Row],[Código do Posto]])</f>
        <v>68.123647999999989</v>
      </c>
      <c r="V33" s="21">
        <f>tabCustoUnit[[#This Row],[MODULO 1 - REMUNERAÇÃO ]]*SUMIFS(tabParametros[RAT Ajustado],tabParametros[Código do Posto],tabCustoUnit[[#This Row],[Código do Posto]])</f>
        <v>34.061823999999994</v>
      </c>
      <c r="W33" s="21">
        <f>tabCustoUnit[[#This Row],[MODULO 1 - REMUNERAÇÃO ]]*SUMIFS(tabParametros[SEBRAE],tabParametros[Código do Posto],tabCustoUnit[[#This Row],[Código do Posto]])</f>
        <v>5.1092735999999999</v>
      </c>
      <c r="X33" s="21">
        <f>SUM(tabCustoUnit[[#This Row],[INSS]:[SEBRAE]])</f>
        <v>321.8842368</v>
      </c>
      <c r="Y33" s="21">
        <f>tabCustoUnit[[#This Row],[MODULO 1 - REMUNERAÇÃO ]]*SUMIFS(tabParametros[13º salário (titular)],tabParametros[Código do Posto],tabCustoUnit[[#This Row],[Código do Posto]])</f>
        <v>70.962133333333327</v>
      </c>
      <c r="Z33" s="21">
        <f>tabCustoUnit[[#This Row],[MODULO 1 - REMUNERAÇÃO ]]*SUMIFS(tabParametros[Férias e Adicional de Férias (titular)],tabParametros[Código do Posto],tabCustoUnit[[#This Row],[Código do Posto]])</f>
        <v>94.616177777777764</v>
      </c>
      <c r="AA33" s="21">
        <f>IFERROR((tabCustoUnit[[#This Row],[Submódulo 2.1]]/tabCustoUnit[[#This Row],[MODULO 1 - REMUNERAÇÃO ]])*SUM(tabCustoUnit[[#This Row],[13º salário (titular)]:[Férias e Adicional de Férias (titular)]]),0)</f>
        <v>62.588601599999997</v>
      </c>
      <c r="AB33" s="21">
        <f>SUM(tabCustoUnit[[#This Row],[13º salário (titular)]:[Incidência do Submódulo 2.1 sobre 13º Salário, Férias e Adicional de Férias]])</f>
        <v>228.16691271111108</v>
      </c>
      <c r="AC33" s="22">
        <f>_xlfn.LET(_xlpm.VT,SUMIF(tabParametros[Código do Posto],tabCustoUnit[[#This Row],[Código do Posto]],tabParametros[Vale - Transporte])*2*20,
IF((_xlpm.VT-tabCustoUnit[[#This Row],[Salário Base]]*0.06)&gt;=0,(_xlpm.VT-tabCustoUnit[[#This Row],[Salário Base]]*0.06),0)
)</f>
        <v>206.5264</v>
      </c>
      <c r="AD33" s="22">
        <f>IF(SUMIF(tabParametros[Código do Posto],tabCustoUnit[[#This Row],[Código do Posto]],tabParametros[Vale - Alimentação])&lt;=0,0,
SUMIF(tabParametros[Código do Posto],tabCustoUnit[[#This Row],[Código do Posto]],tabParametros[Vale - Alimentação])*20-1)</f>
        <v>582</v>
      </c>
      <c r="AE33" s="22">
        <f>SUMIF(tabParametros[Código do Posto],tabCustoUnit[[#This Row],[Código do Posto]],tabParametros[Cesta Básica])</f>
        <v>0</v>
      </c>
      <c r="AF33" s="22">
        <f>SUMIF(tabParametros[Código do Posto],tabCustoUnit[[#This Row],[Código do Posto]],tabParametros[PAF])</f>
        <v>77.25</v>
      </c>
      <c r="AG33" s="22">
        <f>SUMIF(tabParametros[Código do Posto],tabCustoUnit[[#This Row],[Código do Posto]],tabParametros[PQM])</f>
        <v>0</v>
      </c>
      <c r="AH33" s="22">
        <f>SUMIF(tabParametros[Código do Posto],tabCustoUnit[[#This Row],[Código do Posto]],tabParametros[PAT])</f>
        <v>0</v>
      </c>
      <c r="AI33" s="22">
        <f>SUMIF(tabParametros[Código do Posto],tabCustoUnit[[#This Row],[Código do Posto]],tabParametros[Seguro de Vida])</f>
        <v>3.36</v>
      </c>
      <c r="AJ33" s="22">
        <f>SUMIF(tabParametros[Código do Posto],tabCustoUnit[[#This Row],[Código do Posto]],tabParametros[Despesas de Viagem])</f>
        <v>0</v>
      </c>
      <c r="AK33" s="22">
        <f>SUM(tabCustoUnit[[#This Row],[Vale - Transporte (Descontada parcela do empregado)]:[Despesas de Viagem]])</f>
        <v>869.13639999999998</v>
      </c>
      <c r="AL33" s="22">
        <f>tabCustoUnit[[#This Row],[Submódulo 2.1]]+tabCustoUnit[[#This Row],[Submódulo 2.2]]+tabCustoUnit[[#This Row],[Submódulo 2.3]]</f>
        <v>1419.1875495111112</v>
      </c>
      <c r="AM33" s="22">
        <f>SUMIF(tabParametros[Código do Posto],tabCustoUnit[[#This Row],[Código do Posto]],tabParametros[Aviso Prévio Indenizado (API) e Reflexo do Aviso Prévio Indenizado])*tabCustoUnit[[#This Row],[MODULO 1 - REMUNERAÇÃO ]]</f>
        <v>5.970839316049382</v>
      </c>
      <c r="AN33" s="22">
        <f>SUMIF(tabParametros[Código do Posto],tabCustoUnit[[#This Row],[Código do Posto]],tabParametros[Incidência do FGTS sobre API e Reflexo do API])*tabCustoUnit[[#This Row],[MODULO 1 - REMUNERAÇÃO ]]</f>
        <v>0.4776671452839506</v>
      </c>
      <c r="AO33" s="22">
        <f>SUMIF(tabParametros[Código do Posto],tabCustoUnit[[#This Row],[Código do Posto]],tabParametros[Multa Rescisória do FGTS sobre o Aviso Prévio Indenizado])*tabCustoUnit[[#This Row],[MODULO 1 - REMUNERAÇÃO ]]</f>
        <v>0.19106685811358026</v>
      </c>
      <c r="AP33" s="22">
        <f>SUMIF(tabParametros[Código do Posto],tabCustoUnit[[#This Row],[Código do Posto]],tabParametros[Aviso Prévio Trabalhado - APT])*tabCustoUnit[[#This Row],[MODULO 1 - REMUNERAÇÃO ]]</f>
        <v>2.9804096000000002</v>
      </c>
      <c r="AQ33" s="22">
        <f>SUMIF(tabParametros[Código do Posto],tabCustoUnit[[#This Row],[Código do Posto]],tabParametros[Incidência dos encargos do submódulo 2.1 sobre Aviso Prévio Trabalhado])*tabCustoUnit[[#This Row],[MODULO 1 - REMUNERAÇÃO ]]</f>
        <v>1.1265948288000003</v>
      </c>
      <c r="AR33" s="22">
        <f>SUMIF(tabParametros[Código do Posto],tabCustoUnit[[#This Row],[Código do Posto]],tabParametros[Multa Rescisória do FGTS])*tabCustoUnit[[#This Row],[MODULO 1 - REMUNERAÇÃO ]]</f>
        <v>26.038372124444439</v>
      </c>
      <c r="AS33" s="22">
        <f>SUMIF(tabParametros[Código do Posto],tabCustoUnit[[#This Row],[Código do Posto]],tabParametros[Indenização Adicional (Art. 9º da Lei nº 7.238/84)])*tabCustoUnit[[#This Row],[MODULO 1 - REMUNERAÇÃO ]]</f>
        <v>0.70962133333333333</v>
      </c>
      <c r="AT33" s="22">
        <f>SUM(tabCustoUnit[[#This Row],[Aviso Prévio Indenizado (API) e Reflexo do Aviso Prévio Indenizado]:[Indenização Adicional (Art. 9º da Lei nº 7.238/84)]])</f>
        <v>37.494571206024688</v>
      </c>
      <c r="AU33" s="22">
        <f>SUMIF(tabParametros[Código do Posto],tabCustoUnit[[#This Row],[Código do Posto]],tabParametros[Ausência por Doença])*tabCustoUnit[[#This Row],[MODULO 1 - REMUNERAÇÃO ]]</f>
        <v>7.1908295111111098</v>
      </c>
      <c r="AV33" s="22">
        <f>SUMIF(tabParametros[Código do Posto],tabCustoUnit[[#This Row],[Código do Posto]],tabParametros[Ausências Legais])*tabCustoUnit[[#This Row],[MODULO 1 - REMUNERAÇÃO ]]</f>
        <v>1.7267452444444442</v>
      </c>
      <c r="AW33" s="22">
        <f>SUMIF(tabParametros[Código do Posto],tabCustoUnit[[#This Row],[Código do Posto]],tabParametros[Licença Paternidade])*tabCustoUnit[[#This Row],[MODULO 1 - REMUNERAÇÃO ]]</f>
        <v>0.14547237333333332</v>
      </c>
      <c r="AX33" s="22">
        <f>SUMIF(tabParametros[Código do Posto],tabCustoUnit[[#This Row],[Código do Posto]],tabParametros[Ausência por Acidente de Trabalho])*tabCustoUnit[[#This Row],[MODULO 1 - REMUNERAÇÃO ]]</f>
        <v>0.17740533333333333</v>
      </c>
      <c r="AY33" s="22">
        <f>SUMIF(tabParametros[Código do Posto],tabCustoUnit[[#This Row],[Código do Posto]],tabParametros[Férias, Adicional de Férias e 13º  com empregada em gozo de Licença Maternidade])*tabCustoUnit[[#This Row],[MODULO 1 - REMUNERAÇÃO ]]</f>
        <v>1.1038554074074072</v>
      </c>
      <c r="AZ33" s="22">
        <f>SUMIF(tabParametros[Código do Posto],tabCustoUnit[[#This Row],[Código do Posto]],tabParametros[Incidência do Submódulo 2.1 sobre Ausências Legais])*tabCustoUnit[[#This Row],[MODULO 1 - REMUNERAÇÃO ]]</f>
        <v>3.9101483747200003</v>
      </c>
      <c r="BA33" s="22">
        <f>SUM(tabCustoUnit[[#This Row],[Ausência por Doença]:[Incidência do Submódulo 2.1 sobre Ausências Legais]])</f>
        <v>14.254456244349628</v>
      </c>
      <c r="BB33" s="22">
        <f>SUMIF(tabParametros[Código do Posto],tabCustoUnit[[#This Row],[Código do Posto]],tabParametros[Intervalo para Repouso ou Alimentação])</f>
        <v>0</v>
      </c>
      <c r="BC33" s="22">
        <f>tabCustoUnit[[#This Row],[Intervalo para Repouso ou Alimentação]]</f>
        <v>0</v>
      </c>
      <c r="BD33" s="22">
        <f>IF(VLOOKUP(tabCustoUnit[[#This Row],[Código do Posto]],PARAMETROS!$A$4:$BJ$255,7,0)&lt;=0,0,
IFERROR((tabCustoUnit[[#This Row],[MODULO 1 - REMUNERAÇÃO ]]*VLOOKUP(tabCustoUnit[[#This Row],[Código do Posto]],PARAMETROS!$A$4:$BJ$255,49,0))/(VLOOKUP(tabCustoUnit[[#This Row],[Código do Posto]],PARAMETROS!$A$4:$BJ$255,7,0)*VLOOKUP(tabCustoUnit[[#This Row],[Código do Posto]],PARAMETROS!$A$4:$BJ$255,8,0)),0)
)</f>
        <v>0</v>
      </c>
      <c r="BE33" s="22">
        <f>tabCustoUnit[[#This Row],[Suspensão Temporária do Contrato de Trabalho]]</f>
        <v>0</v>
      </c>
      <c r="BF33" s="22">
        <f>tabCustoUnit[[#This Row],[Submódulo 4.1]]+tabCustoUnit[[#This Row],[Submódulo 4.2]]+tabCustoUnit[[#This Row],[Submódulo 4.3]]</f>
        <v>14.254456244349628</v>
      </c>
      <c r="BG33" s="22">
        <f>VLOOKUP(tabCustoUnit[[#This Row],[Código do Posto]],tabParametros[],MATCH(tabCustoUnit[[#Headers],[Uniformes e EPIs]],tabParametros[#Headers],0),0)</f>
        <v>62.806666666666665</v>
      </c>
      <c r="BH33" s="22">
        <f>VLOOKUP(tabCustoUnit[[#This Row],[Código do Posto]],tabParametros[],MATCH(tabCustoUnit[[#Headers],[Materiais de Consumo]],tabParametros[#Headers],0),0)</f>
        <v>17.759106479291944</v>
      </c>
      <c r="BI33" s="22">
        <f>VLOOKUP(tabCustoUnit[[#This Row],[Código do Posto]],tabParametros[],MATCH(tabCustoUnit[[#Headers],[Máquinas e Equipamentos (depreciação)]],tabParametros[#Headers],0),0)</f>
        <v>32.264696957412788</v>
      </c>
      <c r="BJ33" s="22">
        <f>VLOOKUP(tabCustoUnit[[#This Row],[Código do Posto]],tabParametros[],MATCH(tabCustoUnit[[#Headers],[Produtos de Limpeza e Materiais de Higiene Pessoal]],tabParametros[#Headers],0),0)</f>
        <v>345.13576638965827</v>
      </c>
      <c r="BK33" s="22">
        <f>VLOOKUP(tabCustoUnit[[#This Row],[Código do Posto]],tabParametros[],MATCH(tabCustoUnit[[#Headers],[Outros (especificar)]],tabParametros[#Headers],0),0)</f>
        <v>0</v>
      </c>
      <c r="BL33" s="22">
        <f>SUM(tabCustoUnit[[#This Row],[Uniformes e EPIs]:[Outros (especificar)]])</f>
        <v>457.96623649302967</v>
      </c>
      <c r="BM33" s="22">
        <f>tabCustoUnit[[#This Row],[MODULO 1 - REMUNERAÇÃO ]]+tabCustoUnit[[#This Row],[MÓDULO 2 - Total Encargos e Benefícios mensais e diários]]+tabCustoUnit[[#This Row],[MÓDULO 3 – PROVISÃO PARA RESCISÃO]]+tabCustoUnit[[#This Row],[MÓDULO 4 – CUSTO DE REPOSIÇÃO DO PROFISSIONAL AUSENTE]]+tabCustoUnit[[#This Row],[MÓDULO 5 – INSUMOS DIVERSOS]]</f>
        <v>2780.448413454515</v>
      </c>
      <c r="BN33" s="22">
        <f>VLOOKUP(tabCustoUnit[[#This Row],[Código do Posto]],tabParametros[],MATCH(tabCustoUnit[[#Headers],[Custos Indiretos]],tabParametros[#Headers],0),0)</f>
        <v>189.64880140242613</v>
      </c>
      <c r="BO33" s="22">
        <f>VLOOKUP(tabCustoUnit[[#This Row],[Código do Posto]],tabParametros[],MATCH(tabCustoUnit[[#Headers],[Lucro]],tabParametros[#Headers],0),0)</f>
        <v>159.30499317803796</v>
      </c>
      <c r="BP33" s="26">
        <f>((100/((1-tabCustoUnit[[#This Row],[Resumo de Alíquotas (PIS+CONFINS+ISS)]]))-100)*VLOOKUP(tabCustoUnit[[#This Row],[Código do Posto]],tabParametros[],MATCH(tabCustoUnit[[#Headers],[COFINS]],tabParametros[#Headers],0),0))/(tabCustoUnit[[#This Row],[Resumo de Alíquotas (PIS+CONFINS+ISS)]]*100)</f>
        <v>8.7406555491661944E-2</v>
      </c>
      <c r="BQ33" s="26">
        <f>((100/((100-(tabCustoUnit[[#This Row],[Resumo de Alíquotas (PIS+CONFINS+ISS)]]*100))%)-100)*VLOOKUP(tabCustoUnit[[#This Row],[Código do Posto]],tabParametros[],MATCH(tabCustoUnit[[#Headers],[PIS]],tabParametros[#Headers],0),0))/(tabCustoUnit[[#This Row],[Resumo de Alíquotas (PIS+CONFINS+ISS)]]*100)</f>
        <v>1.8976423231742381E-2</v>
      </c>
      <c r="BR33" s="28">
        <f>VLOOKUP(tabCustoUnit[[#This Row],[Código do Posto]],tabParametros[],MATCH(tabCustoUnit[[#Headers],[ISS]],tabParametros[#Headers],0),0)</f>
        <v>3.7999999999999999E-2</v>
      </c>
      <c r="BS33" s="26">
        <f>(((100/((100-(tabCustoUnit[[#This Row],[Resumo de Alíquotas (PIS+CONFINS+ISS)]]*100))%)-100)*tabCustoUnit[[#This Row],[ISS]])/tabCustoUnit[[#This Row],[Resumo de Alíquotas (PIS+CONFINS+ISS)]])/100</f>
        <v>4.370327774583093E-2</v>
      </c>
      <c r="BT33" s="26">
        <f>(VLOOKUP(tabCustoUnit[[#This Row],[Código do Posto]],tabParametros[],MATCH(tabCustoUnit[[#Headers],[COFINS]],tabParametros[#Headers],0),0)+
VLOOKUP(tabCustoUnit[[#This Row],[Código do Posto]],tabParametros[],MATCH(tabCustoUnit[[#Headers],[PIS]],tabParametros[#Headers],0),0)+
VLOOKUP(tabCustoUnit[[#This Row],[Código do Posto]],tabParametros[],MATCH(tabCustoUnit[[#Headers],[ISS]],tabParametros[#Headers],0),0))</f>
        <v>0.1305</v>
      </c>
      <c r="BU33" s="138">
        <f>tabCustoUnit[[#This Row],[COFINS]]+tabCustoUnit[[#This Row],[PIS]]+tabCustoUnit[[#This Row],[ISS (Conversão Alíquota s/ fatura)]]</f>
        <v>0.15008625646923526</v>
      </c>
      <c r="BV33" s="22">
        <f>(tabCustoUnit[[#This Row],[TOTAL MÓDULOS 1+2+3+4+5]]+tabCustoUnit[[#This Row],[Custos Indiretos]]+tabCustoUnit[[#This Row],[Lucro]])*tabCustoUnit[[#This Row],[PIS + COFINS + ISS (Total Conversão  Alíquota s/ Fatura)]]</f>
        <v>469.68026239052898</v>
      </c>
      <c r="BW33" s="22">
        <f>tabCustoUnit[[#This Row],[Custos Indiretos]]+tabCustoUnit[[#This Row],[Lucro]]+tabCustoUnit[[#This Row],[Valor dos Tributos (ISS, PIS, CONFINS)]]</f>
        <v>818.63405697099302</v>
      </c>
      <c r="BX33" s="22">
        <f>tabCustoUnit[[#This Row],[TOTAL MÓDULOS 1+2+3+4+5]]+tabCustoUnit[[#This Row],[MÓDULO 6 – CUSTOS INDIRETOS, TRIBUTOS E LUCRO]]</f>
        <v>3599.0824704255083</v>
      </c>
      <c r="BY33" s="22">
        <f>tabCustoUnit[[#This Row],[CUSTO TOTAL MENSAL]]*12</f>
        <v>43188.989645106099</v>
      </c>
      <c r="BZ33" s="24">
        <f>VLOOKUP(tabCustoUnit[[#This Row],[Código do Posto]],tabParametros[],MATCH(tabCustoUnit[[#Headers],[ANO DA CCT]],tabParametros[#Headers],0),0)</f>
        <v>45658</v>
      </c>
      <c r="CA33" s="25" t="str">
        <f>VLOOKUP(tabCustoUnit[[#This Row],[Código do Posto]],tabParametros[],MATCH(tabCustoUnit[[#Headers],[Nº DE PEDIDO DA CCT]],tabParametros[#Headers],0),0)</f>
        <v>-</v>
      </c>
      <c r="CB33" s="25" t="str">
        <f>VLOOKUP(tabCustoUnit[[#This Row],[Código do Posto]],tabParametros[],MATCH(tabCustoUnit[[#Headers],[TERMO ADITIVO ALTERAÇÃO DA CCT]],tabParametros[#Headers],0),0)</f>
        <v>-</v>
      </c>
    </row>
    <row r="34" spans="1:80" x14ac:dyDescent="0.25">
      <c r="A34" s="20" t="s">
        <v>1374</v>
      </c>
      <c r="B34" t="s">
        <v>34</v>
      </c>
      <c r="C34" t="s">
        <v>1245</v>
      </c>
      <c r="D34" t="s">
        <v>1045</v>
      </c>
      <c r="E34" s="20" t="s">
        <v>9</v>
      </c>
      <c r="F34" s="20" t="s">
        <v>10</v>
      </c>
      <c r="G34" s="21">
        <v>1649.12</v>
      </c>
      <c r="H34" s="21">
        <v>0</v>
      </c>
      <c r="I34" s="21">
        <v>0</v>
      </c>
      <c r="J34" s="21">
        <v>0</v>
      </c>
      <c r="K34" s="21">
        <v>0</v>
      </c>
      <c r="L34" s="21">
        <v>0</v>
      </c>
      <c r="M34" s="21">
        <v>0</v>
      </c>
      <c r="N34" s="21">
        <v>53.971200000000003</v>
      </c>
      <c r="O34" s="21">
        <f>SUM(tabCustoUnit[[#This Row],[Salário Base]:[Adicional de Acúmulo de função]])</f>
        <v>1703.0911999999998</v>
      </c>
      <c r="P34" s="21">
        <f>tabCustoUnit[[#This Row],[MODULO 1 - REMUNERAÇÃO ]]*SUMIFS(tabParametros[INSS],tabParametros[Código do Posto],tabCustoUnit[[#This Row],[Código do Posto]])</f>
        <v>340.61824000000001</v>
      </c>
      <c r="Q34" s="21">
        <f>tabCustoUnit[[#This Row],[MODULO 1 - REMUNERAÇÃO ]]*SUMIFS(tabParametros[SESI OU SESC],tabParametros[Código do Posto],tabCustoUnit[[#This Row],[Código do Posto]])</f>
        <v>25.546367999999998</v>
      </c>
      <c r="R34" s="21">
        <f>tabCustoUnit[[#This Row],[MODULO 1 - REMUNERAÇÃO ]]*SUMIFS(tabParametros[SENAI OU SENAC],tabParametros[Código do Posto],tabCustoUnit[[#This Row],[Código do Posto]])</f>
        <v>17.030911999999997</v>
      </c>
      <c r="S34" s="21">
        <f>tabCustoUnit[[#This Row],[MODULO 1 - REMUNERAÇÃO ]]*SUMIFS(tabParametros[INCRA],tabParametros[Código do Posto],tabCustoUnit[[#This Row],[Código do Posto]])</f>
        <v>3.4061823999999996</v>
      </c>
      <c r="T34" s="21">
        <f>tabCustoUnit[[#This Row],[MODULO 1 - REMUNERAÇÃO ]]*SUMIFS(tabParametros[Salário Educação],tabParametros[Código do Posto],tabCustoUnit[[#This Row],[Código do Posto]])</f>
        <v>42.577280000000002</v>
      </c>
      <c r="U34" s="21">
        <f>tabCustoUnit[[#This Row],[MODULO 1 - REMUNERAÇÃO ]]*SUMIFS(tabParametros[FGTS],tabParametros[Código do Posto],tabCustoUnit[[#This Row],[Código do Posto]])</f>
        <v>136.24729599999998</v>
      </c>
      <c r="V34" s="21">
        <f>tabCustoUnit[[#This Row],[MODULO 1 - REMUNERAÇÃO ]]*SUMIFS(tabParametros[RAT Ajustado],tabParametros[Código do Posto],tabCustoUnit[[#This Row],[Código do Posto]])</f>
        <v>68.123647999999989</v>
      </c>
      <c r="W34" s="21">
        <f>tabCustoUnit[[#This Row],[MODULO 1 - REMUNERAÇÃO ]]*SUMIFS(tabParametros[SEBRAE],tabParametros[Código do Posto],tabCustoUnit[[#This Row],[Código do Posto]])</f>
        <v>10.2185472</v>
      </c>
      <c r="X34" s="21">
        <f>SUM(tabCustoUnit[[#This Row],[INSS]:[SEBRAE]])</f>
        <v>643.76847359999999</v>
      </c>
      <c r="Y34" s="21">
        <f>tabCustoUnit[[#This Row],[MODULO 1 - REMUNERAÇÃO ]]*SUMIFS(tabParametros[13º salário (titular)],tabParametros[Código do Posto],tabCustoUnit[[#This Row],[Código do Posto]])</f>
        <v>141.92426666666665</v>
      </c>
      <c r="Z34" s="21">
        <f>tabCustoUnit[[#This Row],[MODULO 1 - REMUNERAÇÃO ]]*SUMIFS(tabParametros[Férias e Adicional de Férias (titular)],tabParametros[Código do Posto],tabCustoUnit[[#This Row],[Código do Posto]])</f>
        <v>189.23235555555553</v>
      </c>
      <c r="AA34" s="21">
        <f>IFERROR((tabCustoUnit[[#This Row],[Submódulo 2.1]]/tabCustoUnit[[#This Row],[MODULO 1 - REMUNERAÇÃO ]])*SUM(tabCustoUnit[[#This Row],[13º salário (titular)]:[Férias e Adicional de Férias (titular)]]),0)</f>
        <v>125.17720319999999</v>
      </c>
      <c r="AB34" s="21">
        <f>SUM(tabCustoUnit[[#This Row],[13º salário (titular)]:[Incidência do Submódulo 2.1 sobre 13º Salário, Férias e Adicional de Férias]])</f>
        <v>456.33382542222216</v>
      </c>
      <c r="AC34" s="22">
        <f>_xlfn.LET(_xlpm.VT,SUMIF(tabParametros[Código do Posto],tabCustoUnit[[#This Row],[Código do Posto]],tabParametros[Vale - Transporte])*2*20,
IF((_xlpm.VT-tabCustoUnit[[#This Row],[Salário Base]]*0.06)&gt;=0,(_xlpm.VT-tabCustoUnit[[#This Row],[Salário Base]]*0.06),0)
)</f>
        <v>157.05279999999999</v>
      </c>
      <c r="AD34" s="22">
        <f>IF(SUMIF(tabParametros[Código do Posto],tabCustoUnit[[#This Row],[Código do Posto]],tabParametros[Vale - Alimentação])&lt;=0,0,
SUMIF(tabParametros[Código do Posto],tabCustoUnit[[#This Row],[Código do Posto]],tabParametros[Vale - Alimentação])*20-1)</f>
        <v>582</v>
      </c>
      <c r="AE34" s="22">
        <f>SUMIF(tabParametros[Código do Posto],tabCustoUnit[[#This Row],[Código do Posto]],tabParametros[Cesta Básica])</f>
        <v>0</v>
      </c>
      <c r="AF34" s="22">
        <f>SUMIF(tabParametros[Código do Posto],tabCustoUnit[[#This Row],[Código do Posto]],tabParametros[PAF])</f>
        <v>77.25</v>
      </c>
      <c r="AG34" s="22">
        <f>SUMIF(tabParametros[Código do Posto],tabCustoUnit[[#This Row],[Código do Posto]],tabParametros[PQM])</f>
        <v>0</v>
      </c>
      <c r="AH34" s="22">
        <f>SUMIF(tabParametros[Código do Posto],tabCustoUnit[[#This Row],[Código do Posto]],tabParametros[PAT])</f>
        <v>0</v>
      </c>
      <c r="AI34" s="22">
        <f>SUMIF(tabParametros[Código do Posto],tabCustoUnit[[#This Row],[Código do Posto]],tabParametros[Seguro de Vida])</f>
        <v>3.36</v>
      </c>
      <c r="AJ34" s="22">
        <f>SUMIF(tabParametros[Código do Posto],tabCustoUnit[[#This Row],[Código do Posto]],tabParametros[Despesas de Viagem])</f>
        <v>0</v>
      </c>
      <c r="AK34" s="22">
        <f>SUM(tabCustoUnit[[#This Row],[Vale - Transporte (Descontada parcela do empregado)]:[Despesas de Viagem]])</f>
        <v>819.66279999999995</v>
      </c>
      <c r="AL34" s="22">
        <f>tabCustoUnit[[#This Row],[Submódulo 2.1]]+tabCustoUnit[[#This Row],[Submódulo 2.2]]+tabCustoUnit[[#This Row],[Submódulo 2.3]]</f>
        <v>1919.7650990222223</v>
      </c>
      <c r="AM34" s="22">
        <f>SUMIF(tabParametros[Código do Posto],tabCustoUnit[[#This Row],[Código do Posto]],tabParametros[Aviso Prévio Indenizado (API) e Reflexo do Aviso Prévio Indenizado])*tabCustoUnit[[#This Row],[MODULO 1 - REMUNERAÇÃO ]]</f>
        <v>11.941678632098764</v>
      </c>
      <c r="AN34" s="22">
        <f>SUMIF(tabParametros[Código do Posto],tabCustoUnit[[#This Row],[Código do Posto]],tabParametros[Incidência do FGTS sobre API e Reflexo do API])*tabCustoUnit[[#This Row],[MODULO 1 - REMUNERAÇÃO ]]</f>
        <v>0.9553342905679012</v>
      </c>
      <c r="AO34" s="22">
        <f>SUMIF(tabParametros[Código do Posto],tabCustoUnit[[#This Row],[Código do Posto]],tabParametros[Multa Rescisória do FGTS sobre o Aviso Prévio Indenizado])*tabCustoUnit[[#This Row],[MODULO 1 - REMUNERAÇÃO ]]</f>
        <v>0.38213371622716052</v>
      </c>
      <c r="AP34" s="22">
        <f>SUMIF(tabParametros[Código do Posto],tabCustoUnit[[#This Row],[Código do Posto]],tabParametros[Aviso Prévio Trabalhado - APT])*tabCustoUnit[[#This Row],[MODULO 1 - REMUNERAÇÃO ]]</f>
        <v>5.9608192000000004</v>
      </c>
      <c r="AQ34" s="22">
        <f>SUMIF(tabParametros[Código do Posto],tabCustoUnit[[#This Row],[Código do Posto]],tabParametros[Incidência dos encargos do submódulo 2.1 sobre Aviso Prévio Trabalhado])*tabCustoUnit[[#This Row],[MODULO 1 - REMUNERAÇÃO ]]</f>
        <v>2.2531896576000006</v>
      </c>
      <c r="AR34" s="22">
        <f>SUMIF(tabParametros[Código do Posto],tabCustoUnit[[#This Row],[Código do Posto]],tabParametros[Multa Rescisória do FGTS])*tabCustoUnit[[#This Row],[MODULO 1 - REMUNERAÇÃO ]]</f>
        <v>52.076744248888879</v>
      </c>
      <c r="AS34" s="22">
        <f>SUMIF(tabParametros[Código do Posto],tabCustoUnit[[#This Row],[Código do Posto]],tabParametros[Indenização Adicional (Art. 9º da Lei nº 7.238/84)])*tabCustoUnit[[#This Row],[MODULO 1 - REMUNERAÇÃO ]]</f>
        <v>1.4192426666666667</v>
      </c>
      <c r="AT34" s="22">
        <f>SUM(tabCustoUnit[[#This Row],[Aviso Prévio Indenizado (API) e Reflexo do Aviso Prévio Indenizado]:[Indenização Adicional (Art. 9º da Lei nº 7.238/84)]])</f>
        <v>74.989142412049375</v>
      </c>
      <c r="AU34" s="22">
        <f>SUMIF(tabParametros[Código do Posto],tabCustoUnit[[#This Row],[Código do Posto]],tabParametros[Ausência por Doença])*tabCustoUnit[[#This Row],[MODULO 1 - REMUNERAÇÃO ]]</f>
        <v>14.38165902222222</v>
      </c>
      <c r="AV34" s="22">
        <f>SUMIF(tabParametros[Código do Posto],tabCustoUnit[[#This Row],[Código do Posto]],tabParametros[Ausências Legais])*tabCustoUnit[[#This Row],[MODULO 1 - REMUNERAÇÃO ]]</f>
        <v>3.4534904888888884</v>
      </c>
      <c r="AW34" s="22">
        <f>SUMIF(tabParametros[Código do Posto],tabCustoUnit[[#This Row],[Código do Posto]],tabParametros[Licença Paternidade])*tabCustoUnit[[#This Row],[MODULO 1 - REMUNERAÇÃO ]]</f>
        <v>0.29094474666666664</v>
      </c>
      <c r="AX34" s="22">
        <f>SUMIF(tabParametros[Código do Posto],tabCustoUnit[[#This Row],[Código do Posto]],tabParametros[Ausência por Acidente de Trabalho])*tabCustoUnit[[#This Row],[MODULO 1 - REMUNERAÇÃO ]]</f>
        <v>0.35481066666666666</v>
      </c>
      <c r="AY34" s="22">
        <f>SUMIF(tabParametros[Código do Posto],tabCustoUnit[[#This Row],[Código do Posto]],tabParametros[Férias, Adicional de Férias e 13º  com empregada em gozo de Licença Maternidade])*tabCustoUnit[[#This Row],[MODULO 1 - REMUNERAÇÃO ]]</f>
        <v>2.2077108148148143</v>
      </c>
      <c r="AZ34" s="22">
        <f>SUMIF(tabParametros[Código do Posto],tabCustoUnit[[#This Row],[Código do Posto]],tabParametros[Incidência do Submódulo 2.1 sobre Ausências Legais])*tabCustoUnit[[#This Row],[MODULO 1 - REMUNERAÇÃO ]]</f>
        <v>7.8202967494400006</v>
      </c>
      <c r="BA34" s="22">
        <f>SUM(tabCustoUnit[[#This Row],[Ausência por Doença]:[Incidência do Submódulo 2.1 sobre Ausências Legais]])</f>
        <v>28.508912488699256</v>
      </c>
      <c r="BB34" s="22">
        <f>SUMIF(tabParametros[Código do Posto],tabCustoUnit[[#This Row],[Código do Posto]],tabParametros[Intervalo para Repouso ou Alimentação])</f>
        <v>0</v>
      </c>
      <c r="BC34" s="22">
        <f>tabCustoUnit[[#This Row],[Intervalo para Repouso ou Alimentação]]</f>
        <v>0</v>
      </c>
      <c r="BD34" s="22">
        <f>IF(VLOOKUP(tabCustoUnit[[#This Row],[Código do Posto]],PARAMETROS!$A$4:$BJ$255,7,0)&lt;=0,0,
IFERROR((tabCustoUnit[[#This Row],[MODULO 1 - REMUNERAÇÃO ]]*VLOOKUP(tabCustoUnit[[#This Row],[Código do Posto]],PARAMETROS!$A$4:$BJ$255,49,0))/(VLOOKUP(tabCustoUnit[[#This Row],[Código do Posto]],PARAMETROS!$A$4:$BJ$255,7,0)*VLOOKUP(tabCustoUnit[[#This Row],[Código do Posto]],PARAMETROS!$A$4:$BJ$255,8,0)),0)
)</f>
        <v>0</v>
      </c>
      <c r="BE34" s="22">
        <f>tabCustoUnit[[#This Row],[Suspensão Temporária do Contrato de Trabalho]]</f>
        <v>0</v>
      </c>
      <c r="BF34" s="22">
        <f>tabCustoUnit[[#This Row],[Submódulo 4.1]]+tabCustoUnit[[#This Row],[Submódulo 4.2]]+tabCustoUnit[[#This Row],[Submódulo 4.3]]</f>
        <v>28.508912488699256</v>
      </c>
      <c r="BG34" s="22">
        <f>VLOOKUP(tabCustoUnit[[#This Row],[Código do Posto]],tabParametros[],MATCH(tabCustoUnit[[#Headers],[Uniformes e EPIs]],tabParametros[#Headers],0),0)</f>
        <v>100.80916666666666</v>
      </c>
      <c r="BH34" s="22">
        <f>VLOOKUP(tabCustoUnit[[#This Row],[Código do Posto]],tabParametros[],MATCH(tabCustoUnit[[#Headers],[Materiais de Consumo]],tabParametros[#Headers],0),0)</f>
        <v>35.518212958583888</v>
      </c>
      <c r="BI34" s="22">
        <f>VLOOKUP(tabCustoUnit[[#This Row],[Código do Posto]],tabParametros[],MATCH(tabCustoUnit[[#Headers],[Máquinas e Equipamentos (depreciação)]],tabParametros[#Headers],0),0)</f>
        <v>64.529393914825576</v>
      </c>
      <c r="BJ34" s="22">
        <f>VLOOKUP(tabCustoUnit[[#This Row],[Código do Posto]],tabParametros[],MATCH(tabCustoUnit[[#Headers],[Produtos de Limpeza e Materiais de Higiene Pessoal]],tabParametros[#Headers],0),0)</f>
        <v>690.27153277931654</v>
      </c>
      <c r="BK34" s="22">
        <f>VLOOKUP(tabCustoUnit[[#This Row],[Código do Posto]],tabParametros[],MATCH(tabCustoUnit[[#Headers],[Outros (especificar)]],tabParametros[#Headers],0),0)</f>
        <v>0</v>
      </c>
      <c r="BL34" s="22">
        <f>SUM(tabCustoUnit[[#This Row],[Uniformes e EPIs]:[Outros (especificar)]])</f>
        <v>891.12830631939266</v>
      </c>
      <c r="BM34" s="22">
        <f>tabCustoUnit[[#This Row],[MODULO 1 - REMUNERAÇÃO ]]+tabCustoUnit[[#This Row],[MÓDULO 2 - Total Encargos e Benefícios mensais e diários]]+tabCustoUnit[[#This Row],[MÓDULO 3 – PROVISÃO PARA RESCISÃO]]+tabCustoUnit[[#This Row],[MÓDULO 4 – CUSTO DE REPOSIÇÃO DO PROFISSIONAL AUSENTE]]+tabCustoUnit[[#This Row],[MÓDULO 5 – INSUMOS DIVERSOS]]</f>
        <v>4617.4826602423636</v>
      </c>
      <c r="BN34" s="22">
        <f>VLOOKUP(tabCustoUnit[[#This Row],[Código do Posto]],tabParametros[],MATCH(tabCustoUnit[[#Headers],[Custos Indiretos]],tabParametros[#Headers],0),0)</f>
        <v>189.64880140242613</v>
      </c>
      <c r="BO34" s="22">
        <f>VLOOKUP(tabCustoUnit[[#This Row],[Código do Posto]],tabParametros[],MATCH(tabCustoUnit[[#Headers],[Lucro]],tabParametros[#Headers],0),0)</f>
        <v>159.30499317803796</v>
      </c>
      <c r="BP34" s="26">
        <f>((100/((1-tabCustoUnit[[#This Row],[Resumo de Alíquotas (PIS+CONFINS+ISS)]]))-100)*VLOOKUP(tabCustoUnit[[#This Row],[Código do Posto]],tabParametros[],MATCH(tabCustoUnit[[#Headers],[COFINS]],tabParametros[#Headers],0),0))/(tabCustoUnit[[#This Row],[Resumo de Alíquotas (PIS+CONFINS+ISS)]]*100)</f>
        <v>8.7406555491661944E-2</v>
      </c>
      <c r="BQ34" s="26">
        <f>((100/((100-(tabCustoUnit[[#This Row],[Resumo de Alíquotas (PIS+CONFINS+ISS)]]*100))%)-100)*VLOOKUP(tabCustoUnit[[#This Row],[Código do Posto]],tabParametros[],MATCH(tabCustoUnit[[#Headers],[PIS]],tabParametros[#Headers],0),0))/(tabCustoUnit[[#This Row],[Resumo de Alíquotas (PIS+CONFINS+ISS)]]*100)</f>
        <v>1.8976423231742381E-2</v>
      </c>
      <c r="BR34" s="28">
        <f>VLOOKUP(tabCustoUnit[[#This Row],[Código do Posto]],tabParametros[],MATCH(tabCustoUnit[[#Headers],[ISS]],tabParametros[#Headers],0),0)</f>
        <v>3.7999999999999999E-2</v>
      </c>
      <c r="BS34" s="26">
        <f>(((100/((100-(tabCustoUnit[[#This Row],[Resumo de Alíquotas (PIS+CONFINS+ISS)]]*100))%)-100)*tabCustoUnit[[#This Row],[ISS]])/tabCustoUnit[[#This Row],[Resumo de Alíquotas (PIS+CONFINS+ISS)]])/100</f>
        <v>4.370327774583093E-2</v>
      </c>
      <c r="BT34" s="26">
        <f>(VLOOKUP(tabCustoUnit[[#This Row],[Código do Posto]],tabParametros[],MATCH(tabCustoUnit[[#Headers],[COFINS]],tabParametros[#Headers],0),0)+
VLOOKUP(tabCustoUnit[[#This Row],[Código do Posto]],tabParametros[],MATCH(tabCustoUnit[[#Headers],[PIS]],tabParametros[#Headers],0),0)+
VLOOKUP(tabCustoUnit[[#This Row],[Código do Posto]],tabParametros[],MATCH(tabCustoUnit[[#Headers],[ISS]],tabParametros[#Headers],0),0))</f>
        <v>0.1305</v>
      </c>
      <c r="BU34" s="138">
        <f>tabCustoUnit[[#This Row],[COFINS]]+tabCustoUnit[[#This Row],[PIS]]+tabCustoUnit[[#This Row],[ISS (Conversão Alíquota s/ fatura)]]</f>
        <v>0.15008625646923526</v>
      </c>
      <c r="BV34" s="22">
        <f>(tabCustoUnit[[#This Row],[TOTAL MÓDULOS 1+2+3+4+5]]+tabCustoUnit[[#This Row],[Custos Indiretos]]+tabCustoUnit[[#This Row],[Lucro]])*tabCustoUnit[[#This Row],[PIS + COFINS + ISS (Total Conversão  Alíquota s/ Fatura)]]</f>
        <v>745.39385549669851</v>
      </c>
      <c r="BW34" s="22">
        <f>tabCustoUnit[[#This Row],[Custos Indiretos]]+tabCustoUnit[[#This Row],[Lucro]]+tabCustoUnit[[#This Row],[Valor dos Tributos (ISS, PIS, CONFINS)]]</f>
        <v>1094.3476500771626</v>
      </c>
      <c r="BX34" s="22">
        <f>tabCustoUnit[[#This Row],[TOTAL MÓDULOS 1+2+3+4+5]]+tabCustoUnit[[#This Row],[MÓDULO 6 – CUSTOS INDIRETOS, TRIBUTOS E LUCRO]]</f>
        <v>5711.8303103195267</v>
      </c>
      <c r="BY34" s="22">
        <f>tabCustoUnit[[#This Row],[CUSTO TOTAL MENSAL]]*12</f>
        <v>68541.963723834313</v>
      </c>
      <c r="BZ34" s="24">
        <f>VLOOKUP(tabCustoUnit[[#This Row],[Código do Posto]],tabParametros[],MATCH(tabCustoUnit[[#Headers],[ANO DA CCT]],tabParametros[#Headers],0),0)</f>
        <v>45658</v>
      </c>
      <c r="CA34" s="25" t="str">
        <f>VLOOKUP(tabCustoUnit[[#This Row],[Código do Posto]],tabParametros[],MATCH(tabCustoUnit[[#Headers],[Nº DE PEDIDO DA CCT]],tabParametros[#Headers],0),0)</f>
        <v>-</v>
      </c>
      <c r="CB34" s="25" t="str">
        <f>VLOOKUP(tabCustoUnit[[#This Row],[Código do Posto]],tabParametros[],MATCH(tabCustoUnit[[#Headers],[TERMO ADITIVO ALTERAÇÃO DA CCT]],tabParametros[#Headers],0),0)</f>
        <v>-</v>
      </c>
    </row>
    <row r="35" spans="1:80" x14ac:dyDescent="0.25">
      <c r="A35" s="20" t="s">
        <v>1375</v>
      </c>
      <c r="B35" t="s">
        <v>35</v>
      </c>
      <c r="C35" t="s">
        <v>1247</v>
      </c>
      <c r="D35" t="s">
        <v>1018</v>
      </c>
      <c r="E35" s="20" t="s">
        <v>9</v>
      </c>
      <c r="F35" s="20" t="s">
        <v>10</v>
      </c>
      <c r="G35" s="21">
        <v>544.17999999999995</v>
      </c>
      <c r="H35" s="21">
        <v>0</v>
      </c>
      <c r="I35" s="21">
        <v>0</v>
      </c>
      <c r="J35" s="21">
        <v>0</v>
      </c>
      <c r="K35" s="21">
        <v>0</v>
      </c>
      <c r="L35" s="21">
        <v>0</v>
      </c>
      <c r="M35" s="21">
        <v>0</v>
      </c>
      <c r="N35" s="21">
        <v>19.590499999999999</v>
      </c>
      <c r="O35" s="21">
        <f>SUM(tabCustoUnit[[#This Row],[Salário Base]:[Adicional de Acúmulo de função]])</f>
        <v>563.77049999999997</v>
      </c>
      <c r="P35" s="21">
        <f>tabCustoUnit[[#This Row],[MODULO 1 - REMUNERAÇÃO ]]*SUMIFS(tabParametros[INSS],tabParametros[Código do Posto],tabCustoUnit[[#This Row],[Código do Posto]])</f>
        <v>112.75409999999999</v>
      </c>
      <c r="Q35" s="21">
        <f>tabCustoUnit[[#This Row],[MODULO 1 - REMUNERAÇÃO ]]*SUMIFS(tabParametros[SESI OU SESC],tabParametros[Código do Posto],tabCustoUnit[[#This Row],[Código do Posto]])</f>
        <v>8.4565574999999988</v>
      </c>
      <c r="R35" s="21">
        <f>tabCustoUnit[[#This Row],[MODULO 1 - REMUNERAÇÃO ]]*SUMIFS(tabParametros[SENAI OU SENAC],tabParametros[Código do Posto],tabCustoUnit[[#This Row],[Código do Posto]])</f>
        <v>5.6377049999999995</v>
      </c>
      <c r="S35" s="21">
        <f>tabCustoUnit[[#This Row],[MODULO 1 - REMUNERAÇÃO ]]*SUMIFS(tabParametros[INCRA],tabParametros[Código do Posto],tabCustoUnit[[#This Row],[Código do Posto]])</f>
        <v>1.1275409999999999</v>
      </c>
      <c r="T35" s="21">
        <f>tabCustoUnit[[#This Row],[MODULO 1 - REMUNERAÇÃO ]]*SUMIFS(tabParametros[Salário Educação],tabParametros[Código do Posto],tabCustoUnit[[#This Row],[Código do Posto]])</f>
        <v>14.094262499999999</v>
      </c>
      <c r="U35" s="21">
        <f>tabCustoUnit[[#This Row],[MODULO 1 - REMUNERAÇÃO ]]*SUMIFS(tabParametros[FGTS],tabParametros[Código do Posto],tabCustoUnit[[#This Row],[Código do Posto]])</f>
        <v>45.101639999999996</v>
      </c>
      <c r="V35" s="21">
        <f>tabCustoUnit[[#This Row],[MODULO 1 - REMUNERAÇÃO ]]*SUMIFS(tabParametros[RAT Ajustado],tabParametros[Código do Posto],tabCustoUnit[[#This Row],[Código do Posto]])</f>
        <v>22.550819999999998</v>
      </c>
      <c r="W35" s="21">
        <f>tabCustoUnit[[#This Row],[MODULO 1 - REMUNERAÇÃO ]]*SUMIFS(tabParametros[SEBRAE],tabParametros[Código do Posto],tabCustoUnit[[#This Row],[Código do Posto]])</f>
        <v>3.3826229999999997</v>
      </c>
      <c r="X35" s="21">
        <f>SUM(tabCustoUnit[[#This Row],[INSS]:[SEBRAE]])</f>
        <v>213.10524899999996</v>
      </c>
      <c r="Y35" s="21">
        <f>tabCustoUnit[[#This Row],[MODULO 1 - REMUNERAÇÃO ]]*SUMIFS(tabParametros[13º salário (titular)],tabParametros[Código do Posto],tabCustoUnit[[#This Row],[Código do Posto]])</f>
        <v>46.980874999999997</v>
      </c>
      <c r="Z35" s="21">
        <f>tabCustoUnit[[#This Row],[MODULO 1 - REMUNERAÇÃO ]]*SUMIFS(tabParametros[Férias e Adicional de Férias (titular)],tabParametros[Código do Posto],tabCustoUnit[[#This Row],[Código do Posto]])</f>
        <v>62.641166666666663</v>
      </c>
      <c r="AA35" s="21">
        <f>IFERROR((tabCustoUnit[[#This Row],[Submódulo 2.1]]/tabCustoUnit[[#This Row],[MODULO 1 - REMUNERAÇÃO ]])*SUM(tabCustoUnit[[#This Row],[13º salário (titular)]:[Férias e Adicional de Férias (titular)]]),0)</f>
        <v>41.437131749999992</v>
      </c>
      <c r="AB35" s="21">
        <f>SUM(tabCustoUnit[[#This Row],[13º salário (titular)]:[Incidência do Submódulo 2.1 sobre 13º Salário, Férias e Adicional de Férias]])</f>
        <v>151.05917341666665</v>
      </c>
      <c r="AC35" s="22">
        <f>_xlfn.LET(_xlpm.VT,SUMIF(tabParametros[Código do Posto],tabCustoUnit[[#This Row],[Código do Posto]],tabParametros[Vale - Transporte])*2*20,
IF((_xlpm.VT-tabCustoUnit[[#This Row],[Salário Base]]*0.06)&gt;=0,(_xlpm.VT-tabCustoUnit[[#This Row],[Salário Base]]*0.06),0)
)</f>
        <v>223.3492</v>
      </c>
      <c r="AD35" s="22">
        <f>IF(SUMIF(tabParametros[Código do Posto],tabCustoUnit[[#This Row],[Código do Posto]],tabParametros[Vale - Alimentação])&lt;=0,0,
SUMIF(tabParametros[Código do Posto],tabCustoUnit[[#This Row],[Código do Posto]],tabParametros[Vale - Alimentação])*20-1)</f>
        <v>582</v>
      </c>
      <c r="AE35" s="22">
        <f>SUMIF(tabParametros[Código do Posto],tabCustoUnit[[#This Row],[Código do Posto]],tabParametros[Cesta Básica])</f>
        <v>0</v>
      </c>
      <c r="AF35" s="22">
        <f>SUMIF(tabParametros[Código do Posto],tabCustoUnit[[#This Row],[Código do Posto]],tabParametros[PAF])</f>
        <v>51.88</v>
      </c>
      <c r="AG35" s="22">
        <f>SUMIF(tabParametros[Código do Posto],tabCustoUnit[[#This Row],[Código do Posto]],tabParametros[PQM])</f>
        <v>0</v>
      </c>
      <c r="AH35" s="22">
        <f>SUMIF(tabParametros[Código do Posto],tabCustoUnit[[#This Row],[Código do Posto]],tabParametros[PAT])</f>
        <v>0</v>
      </c>
      <c r="AI35" s="22">
        <f>SUMIF(tabParametros[Código do Posto],tabCustoUnit[[#This Row],[Código do Posto]],tabParametros[Seguro de Vida])</f>
        <v>3.36</v>
      </c>
      <c r="AJ35" s="22">
        <f>SUMIF(tabParametros[Código do Posto],tabCustoUnit[[#This Row],[Código do Posto]],tabParametros[Despesas de Viagem])</f>
        <v>0</v>
      </c>
      <c r="AK35" s="22">
        <f>SUM(tabCustoUnit[[#This Row],[Vale - Transporte (Descontada parcela do empregado)]:[Despesas de Viagem]])</f>
        <v>860.58920000000001</v>
      </c>
      <c r="AL35" s="22">
        <f>tabCustoUnit[[#This Row],[Submódulo 2.1]]+tabCustoUnit[[#This Row],[Submódulo 2.2]]+tabCustoUnit[[#This Row],[Submódulo 2.3]]</f>
        <v>1224.7536224166665</v>
      </c>
      <c r="AM35" s="22">
        <f>SUMIF(tabParametros[Código do Posto],tabCustoUnit[[#This Row],[Código do Posto]],tabParametros[Aviso Prévio Indenizado (API) e Reflexo do Aviso Prévio Indenizado])*tabCustoUnit[[#This Row],[MODULO 1 - REMUNERAÇÃO ]]</f>
        <v>3.9530273735532404</v>
      </c>
      <c r="AN35" s="22">
        <f>SUMIF(tabParametros[Código do Posto],tabCustoUnit[[#This Row],[Código do Posto]],tabParametros[Incidência do FGTS sobre API e Reflexo do API])*tabCustoUnit[[#This Row],[MODULO 1 - REMUNERAÇÃO ]]</f>
        <v>0.31624218988425928</v>
      </c>
      <c r="AO35" s="22">
        <f>SUMIF(tabParametros[Código do Posto],tabCustoUnit[[#This Row],[Código do Posto]],tabParametros[Multa Rescisória do FGTS sobre o Aviso Prévio Indenizado])*tabCustoUnit[[#This Row],[MODULO 1 - REMUNERAÇÃO ]]</f>
        <v>0.12649687595370371</v>
      </c>
      <c r="AP35" s="22">
        <f>SUMIF(tabParametros[Código do Posto],tabCustoUnit[[#This Row],[Código do Posto]],tabParametros[Aviso Prévio Trabalhado - APT])*tabCustoUnit[[#This Row],[MODULO 1 - REMUNERAÇÃO ]]</f>
        <v>1.9731967500000003</v>
      </c>
      <c r="AQ35" s="22">
        <f>SUMIF(tabParametros[Código do Posto],tabCustoUnit[[#This Row],[Código do Posto]],tabParametros[Incidência dos encargos do submódulo 2.1 sobre Aviso Prévio Trabalhado])*tabCustoUnit[[#This Row],[MODULO 1 - REMUNERAÇÃO ]]</f>
        <v>0.74586837150000018</v>
      </c>
      <c r="AR35" s="22">
        <f>SUMIF(tabParametros[Código do Posto],tabCustoUnit[[#This Row],[Código do Posto]],tabParametros[Multa Rescisória do FGTS])*tabCustoUnit[[#This Row],[MODULO 1 - REMUNERAÇÃO ]]</f>
        <v>17.238849066666663</v>
      </c>
      <c r="AS35" s="22">
        <f>SUMIF(tabParametros[Código do Posto],tabCustoUnit[[#This Row],[Código do Posto]],tabParametros[Indenização Adicional (Art. 9º da Lei nº 7.238/84)])*tabCustoUnit[[#This Row],[MODULO 1 - REMUNERAÇÃO ]]</f>
        <v>0.46980875</v>
      </c>
      <c r="AT35" s="22">
        <f>SUM(tabCustoUnit[[#This Row],[Aviso Prévio Indenizado (API) e Reflexo do Aviso Prévio Indenizado]:[Indenização Adicional (Art. 9º da Lei nº 7.238/84)]])</f>
        <v>24.823489377557866</v>
      </c>
      <c r="AU35" s="22">
        <f>SUMIF(tabParametros[Código do Posto],tabCustoUnit[[#This Row],[Código do Posto]],tabParametros[Ausência por Doença])*tabCustoUnit[[#This Row],[MODULO 1 - REMUNERAÇÃO ]]</f>
        <v>4.7607286666666662</v>
      </c>
      <c r="AV35" s="22">
        <f>SUMIF(tabParametros[Código do Posto],tabCustoUnit[[#This Row],[Código do Posto]],tabParametros[Ausências Legais])*tabCustoUnit[[#This Row],[MODULO 1 - REMUNERAÇÃO ]]</f>
        <v>1.1432012916666665</v>
      </c>
      <c r="AW35" s="22">
        <f>SUMIF(tabParametros[Código do Posto],tabCustoUnit[[#This Row],[Código do Posto]],tabParametros[Licença Paternidade])*tabCustoUnit[[#This Row],[MODULO 1 - REMUNERAÇÃO ]]</f>
        <v>9.6310793749999998E-2</v>
      </c>
      <c r="AX35" s="22">
        <f>SUMIF(tabParametros[Código do Posto],tabCustoUnit[[#This Row],[Código do Posto]],tabParametros[Ausência por Acidente de Trabalho])*tabCustoUnit[[#This Row],[MODULO 1 - REMUNERAÇÃO ]]</f>
        <v>0.1174521875</v>
      </c>
      <c r="AY35" s="22">
        <f>SUMIF(tabParametros[Código do Posto],tabCustoUnit[[#This Row],[Código do Posto]],tabParametros[Férias, Adicional de Férias e 13º  com empregada em gozo de Licença Maternidade])*tabCustoUnit[[#This Row],[MODULO 1 - REMUNERAÇÃO ]]</f>
        <v>0.73081361111111109</v>
      </c>
      <c r="AZ35" s="22">
        <f>SUMIF(tabParametros[Código do Posto],tabCustoUnit[[#This Row],[Código do Posto]],tabParametros[Incidência do Submódulo 2.1 sobre Ausências Legais])*tabCustoUnit[[#This Row],[MODULO 1 - REMUNERAÇÃO ]]</f>
        <v>2.5887354761625003</v>
      </c>
      <c r="BA35" s="22">
        <f>SUM(tabCustoUnit[[#This Row],[Ausência por Doença]:[Incidência do Submódulo 2.1 sobre Ausências Legais]])</f>
        <v>9.4372420268569428</v>
      </c>
      <c r="BB35" s="22">
        <f>SUMIF(tabParametros[Código do Posto],tabCustoUnit[[#This Row],[Código do Posto]],tabParametros[Intervalo para Repouso ou Alimentação])</f>
        <v>0</v>
      </c>
      <c r="BC35" s="22">
        <f>tabCustoUnit[[#This Row],[Intervalo para Repouso ou Alimentação]]</f>
        <v>0</v>
      </c>
      <c r="BD35" s="22">
        <f>IF(VLOOKUP(tabCustoUnit[[#This Row],[Código do Posto]],PARAMETROS!$A$4:$BJ$255,7,0)&lt;=0,0,
IFERROR((tabCustoUnit[[#This Row],[MODULO 1 - REMUNERAÇÃO ]]*VLOOKUP(tabCustoUnit[[#This Row],[Código do Posto]],PARAMETROS!$A$4:$BJ$255,49,0))/(VLOOKUP(tabCustoUnit[[#This Row],[Código do Posto]],PARAMETROS!$A$4:$BJ$255,7,0)*VLOOKUP(tabCustoUnit[[#This Row],[Código do Posto]],PARAMETROS!$A$4:$BJ$255,8,0)),0)
)</f>
        <v>0</v>
      </c>
      <c r="BE35" s="22">
        <f>tabCustoUnit[[#This Row],[Suspensão Temporária do Contrato de Trabalho]]</f>
        <v>0</v>
      </c>
      <c r="BF35" s="22">
        <f>tabCustoUnit[[#This Row],[Submódulo 4.1]]+tabCustoUnit[[#This Row],[Submódulo 4.2]]+tabCustoUnit[[#This Row],[Submódulo 4.3]]</f>
        <v>9.4372420268569428</v>
      </c>
      <c r="BG35" s="22">
        <f>VLOOKUP(tabCustoUnit[[#This Row],[Código do Posto]],tabParametros[],MATCH(tabCustoUnit[[#Headers],[Uniformes e EPIs]],tabParametros[#Headers],0),0)</f>
        <v>62.806666666666665</v>
      </c>
      <c r="BH35" s="22">
        <f>VLOOKUP(tabCustoUnit[[#This Row],[Código do Posto]],tabParametros[],MATCH(tabCustoUnit[[#Headers],[Materiais de Consumo]],tabParametros[#Headers],0),0)</f>
        <v>12.108481690426325</v>
      </c>
      <c r="BI35" s="22">
        <f>VLOOKUP(tabCustoUnit[[#This Row],[Código do Posto]],tabParametros[],MATCH(tabCustoUnit[[#Headers],[Máquinas e Equipamentos (depreciação)]],tabParametros[#Headers],0),0)</f>
        <v>21.998657016417809</v>
      </c>
      <c r="BJ35" s="22">
        <f>VLOOKUP(tabCustoUnit[[#This Row],[Código do Posto]],tabParametros[],MATCH(tabCustoUnit[[#Headers],[Produtos de Limpeza e Materiais de Higiene Pessoal]],tabParametros[#Headers],0),0)</f>
        <v>235.31984072022155</v>
      </c>
      <c r="BK35" s="22">
        <f>VLOOKUP(tabCustoUnit[[#This Row],[Código do Posto]],tabParametros[],MATCH(tabCustoUnit[[#Headers],[Outros (especificar)]],tabParametros[#Headers],0),0)</f>
        <v>0</v>
      </c>
      <c r="BL35" s="22">
        <f>SUM(tabCustoUnit[[#This Row],[Uniformes e EPIs]:[Outros (especificar)]])</f>
        <v>332.23364609373232</v>
      </c>
      <c r="BM35" s="22">
        <f>tabCustoUnit[[#This Row],[MODULO 1 - REMUNERAÇÃO ]]+tabCustoUnit[[#This Row],[MÓDULO 2 - Total Encargos e Benefícios mensais e diários]]+tabCustoUnit[[#This Row],[MÓDULO 3 – PROVISÃO PARA RESCISÃO]]+tabCustoUnit[[#This Row],[MÓDULO 4 – CUSTO DE REPOSIÇÃO DO PROFISSIONAL AUSENTE]]+tabCustoUnit[[#This Row],[MÓDULO 5 – INSUMOS DIVERSOS]]</f>
        <v>2155.0184999148137</v>
      </c>
      <c r="BN35" s="22">
        <f>VLOOKUP(tabCustoUnit[[#This Row],[Código do Posto]],tabParametros[],MATCH(tabCustoUnit[[#Headers],[Custos Indiretos]],tabParametros[#Headers],0),0)</f>
        <v>189.64880140242613</v>
      </c>
      <c r="BO35" s="22">
        <f>VLOOKUP(tabCustoUnit[[#This Row],[Código do Posto]],tabParametros[],MATCH(tabCustoUnit[[#Headers],[Lucro]],tabParametros[#Headers],0),0)</f>
        <v>159.30499317803796</v>
      </c>
      <c r="BP35" s="26">
        <f>((100/((1-tabCustoUnit[[#This Row],[Resumo de Alíquotas (PIS+CONFINS+ISS)]]))-100)*VLOOKUP(tabCustoUnit[[#This Row],[Código do Posto]],tabParametros[],MATCH(tabCustoUnit[[#Headers],[COFINS]],tabParametros[#Headers],0),0))/(tabCustoUnit[[#This Row],[Resumo de Alíquotas (PIS+CONFINS+ISS)]]*100)</f>
        <v>8.5633802816901458E-2</v>
      </c>
      <c r="BQ35" s="26">
        <f>((100/((100-(tabCustoUnit[[#This Row],[Resumo de Alíquotas (PIS+CONFINS+ISS)]]*100))%)-100)*VLOOKUP(tabCustoUnit[[#This Row],[Código do Posto]],tabParametros[],MATCH(tabCustoUnit[[#Headers],[PIS]],tabParametros[#Headers],0),0))/(tabCustoUnit[[#This Row],[Resumo de Alíquotas (PIS+CONFINS+ISS)]]*100)</f>
        <v>1.8591549295774657E-2</v>
      </c>
      <c r="BR35" s="28">
        <f>VLOOKUP(tabCustoUnit[[#This Row],[Código do Posto]],tabParametros[],MATCH(tabCustoUnit[[#Headers],[ISS]],tabParametros[#Headers],0),0)</f>
        <v>0.02</v>
      </c>
      <c r="BS35" s="26">
        <f>(((100/((100-(tabCustoUnit[[#This Row],[Resumo de Alíquotas (PIS+CONFINS+ISS)]]*100))%)-100)*tabCustoUnit[[#This Row],[ISS]])/tabCustoUnit[[#This Row],[Resumo de Alíquotas (PIS+CONFINS+ISS)]])/100</f>
        <v>2.2535211267605645E-2</v>
      </c>
      <c r="BT35" s="26">
        <f>(VLOOKUP(tabCustoUnit[[#This Row],[Código do Posto]],tabParametros[],MATCH(tabCustoUnit[[#Headers],[COFINS]],tabParametros[#Headers],0),0)+
VLOOKUP(tabCustoUnit[[#This Row],[Código do Posto]],tabParametros[],MATCH(tabCustoUnit[[#Headers],[PIS]],tabParametros[#Headers],0),0)+
VLOOKUP(tabCustoUnit[[#This Row],[Código do Posto]],tabParametros[],MATCH(tabCustoUnit[[#Headers],[ISS]],tabParametros[#Headers],0),0))</f>
        <v>0.1125</v>
      </c>
      <c r="BU35" s="138">
        <f>tabCustoUnit[[#This Row],[COFINS]]+tabCustoUnit[[#This Row],[PIS]]+tabCustoUnit[[#This Row],[ISS (Conversão Alíquota s/ fatura)]]</f>
        <v>0.12676056338028174</v>
      </c>
      <c r="BV35" s="22">
        <f>(tabCustoUnit[[#This Row],[TOTAL MÓDULOS 1+2+3+4+5]]+tabCustoUnit[[#This Row],[Custos Indiretos]]+tabCustoUnit[[#This Row],[Lucro]])*tabCustoUnit[[#This Row],[PIS + COFINS + ISS (Total Conversão  Alíquota s/ Fatura)]]</f>
        <v>317.40493873883815</v>
      </c>
      <c r="BW35" s="22">
        <f>tabCustoUnit[[#This Row],[Custos Indiretos]]+tabCustoUnit[[#This Row],[Lucro]]+tabCustoUnit[[#This Row],[Valor dos Tributos (ISS, PIS, CONFINS)]]</f>
        <v>666.35873331930225</v>
      </c>
      <c r="BX35" s="22">
        <f>tabCustoUnit[[#This Row],[TOTAL MÓDULOS 1+2+3+4+5]]+tabCustoUnit[[#This Row],[MÓDULO 6 – CUSTOS INDIRETOS, TRIBUTOS E LUCRO]]</f>
        <v>2821.3772332341159</v>
      </c>
      <c r="BY35" s="22">
        <f>tabCustoUnit[[#This Row],[CUSTO TOTAL MENSAL]]*12</f>
        <v>33856.526798809391</v>
      </c>
      <c r="BZ35" s="24">
        <f>VLOOKUP(tabCustoUnit[[#This Row],[Código do Posto]],tabParametros[],MATCH(tabCustoUnit[[#Headers],[ANO DA CCT]],tabParametros[#Headers],0),0)</f>
        <v>45658</v>
      </c>
      <c r="CA35" s="25" t="str">
        <f>VLOOKUP(tabCustoUnit[[#This Row],[Código do Posto]],tabParametros[],MATCH(tabCustoUnit[[#Headers],[Nº DE PEDIDO DA CCT]],tabParametros[#Headers],0),0)</f>
        <v>-</v>
      </c>
      <c r="CB35" s="25" t="str">
        <f>VLOOKUP(tabCustoUnit[[#This Row],[Código do Posto]],tabParametros[],MATCH(tabCustoUnit[[#Headers],[TERMO ADITIVO ALTERAÇÃO DA CCT]],tabParametros[#Headers],0),0)</f>
        <v>-</v>
      </c>
    </row>
    <row r="36" spans="1:80" x14ac:dyDescent="0.25">
      <c r="A36" s="20" t="s">
        <v>1376</v>
      </c>
      <c r="B36" t="s">
        <v>36</v>
      </c>
      <c r="C36" t="s">
        <v>1244</v>
      </c>
      <c r="D36" t="s">
        <v>1023</v>
      </c>
      <c r="E36" s="20" t="s">
        <v>9</v>
      </c>
      <c r="F36" s="20" t="s">
        <v>10</v>
      </c>
      <c r="G36" s="21">
        <v>798.14</v>
      </c>
      <c r="H36" s="21">
        <v>0</v>
      </c>
      <c r="I36" s="21">
        <v>0</v>
      </c>
      <c r="J36" s="21">
        <v>0</v>
      </c>
      <c r="K36" s="21">
        <v>0</v>
      </c>
      <c r="L36" s="21">
        <v>0</v>
      </c>
      <c r="M36" s="21">
        <v>0</v>
      </c>
      <c r="N36" s="21">
        <v>26.120899999999999</v>
      </c>
      <c r="O36" s="21">
        <f>SUM(tabCustoUnit[[#This Row],[Salário Base]:[Adicional de Acúmulo de função]])</f>
        <v>824.26089999999999</v>
      </c>
      <c r="P36" s="21">
        <f>tabCustoUnit[[#This Row],[MODULO 1 - REMUNERAÇÃO ]]*SUMIFS(tabParametros[INSS],tabParametros[Código do Posto],tabCustoUnit[[#This Row],[Código do Posto]])</f>
        <v>164.85218</v>
      </c>
      <c r="Q36" s="21">
        <f>tabCustoUnit[[#This Row],[MODULO 1 - REMUNERAÇÃO ]]*SUMIFS(tabParametros[SESI OU SESC],tabParametros[Código do Posto],tabCustoUnit[[#This Row],[Código do Posto]])</f>
        <v>12.363913499999999</v>
      </c>
      <c r="R36" s="21">
        <f>tabCustoUnit[[#This Row],[MODULO 1 - REMUNERAÇÃO ]]*SUMIFS(tabParametros[SENAI OU SENAC],tabParametros[Código do Posto],tabCustoUnit[[#This Row],[Código do Posto]])</f>
        <v>8.2426089999999999</v>
      </c>
      <c r="S36" s="21">
        <f>tabCustoUnit[[#This Row],[MODULO 1 - REMUNERAÇÃO ]]*SUMIFS(tabParametros[INCRA],tabParametros[Código do Posto],tabCustoUnit[[#This Row],[Código do Posto]])</f>
        <v>1.6485217999999999</v>
      </c>
      <c r="T36" s="21">
        <f>tabCustoUnit[[#This Row],[MODULO 1 - REMUNERAÇÃO ]]*SUMIFS(tabParametros[Salário Educação],tabParametros[Código do Posto],tabCustoUnit[[#This Row],[Código do Posto]])</f>
        <v>20.606522500000001</v>
      </c>
      <c r="U36" s="21">
        <f>tabCustoUnit[[#This Row],[MODULO 1 - REMUNERAÇÃO ]]*SUMIFS(tabParametros[FGTS],tabParametros[Código do Posto],tabCustoUnit[[#This Row],[Código do Posto]])</f>
        <v>65.940871999999999</v>
      </c>
      <c r="V36" s="21">
        <f>tabCustoUnit[[#This Row],[MODULO 1 - REMUNERAÇÃO ]]*SUMIFS(tabParametros[RAT Ajustado],tabParametros[Código do Posto],tabCustoUnit[[#This Row],[Código do Posto]])</f>
        <v>32.970435999999999</v>
      </c>
      <c r="W36" s="21">
        <f>tabCustoUnit[[#This Row],[MODULO 1 - REMUNERAÇÃO ]]*SUMIFS(tabParametros[SEBRAE],tabParametros[Código do Posto],tabCustoUnit[[#This Row],[Código do Posto]])</f>
        <v>4.9455654000000004</v>
      </c>
      <c r="X36" s="21">
        <f>SUM(tabCustoUnit[[#This Row],[INSS]:[SEBRAE]])</f>
        <v>311.57062020000001</v>
      </c>
      <c r="Y36" s="21">
        <f>tabCustoUnit[[#This Row],[MODULO 1 - REMUNERAÇÃO ]]*SUMIFS(tabParametros[13º salário (titular)],tabParametros[Código do Posto],tabCustoUnit[[#This Row],[Código do Posto]])</f>
        <v>68.688408333333328</v>
      </c>
      <c r="Z36" s="21">
        <f>tabCustoUnit[[#This Row],[MODULO 1 - REMUNERAÇÃO ]]*SUMIFS(tabParametros[Férias e Adicional de Férias (titular)],tabParametros[Código do Posto],tabCustoUnit[[#This Row],[Código do Posto]])</f>
        <v>91.584544444444433</v>
      </c>
      <c r="AA36" s="21">
        <f>IFERROR((tabCustoUnit[[#This Row],[Submódulo 2.1]]/tabCustoUnit[[#This Row],[MODULO 1 - REMUNERAÇÃO ]])*SUM(tabCustoUnit[[#This Row],[13º salário (titular)]:[Férias e Adicional de Férias (titular)]]),0)</f>
        <v>60.583176149999993</v>
      </c>
      <c r="AB36" s="21">
        <f>SUM(tabCustoUnit[[#This Row],[13º salário (titular)]:[Incidência do Submódulo 2.1 sobre 13º Salário, Férias e Adicional de Férias]])</f>
        <v>220.85612892777775</v>
      </c>
      <c r="AC36" s="22">
        <f>_xlfn.LET(_xlpm.VT,SUMIF(tabParametros[Código do Posto],tabCustoUnit[[#This Row],[Código do Posto]],tabParametros[Vale - Transporte])*2*20,
IF((_xlpm.VT-tabCustoUnit[[#This Row],[Salário Base]]*0.06)&gt;=0,(_xlpm.VT-tabCustoUnit[[#This Row],[Salário Base]]*0.06),0)
)</f>
        <v>208.11160000000001</v>
      </c>
      <c r="AD36" s="22">
        <f>IF(SUMIF(tabParametros[Código do Posto],tabCustoUnit[[#This Row],[Código do Posto]],tabParametros[Vale - Alimentação])&lt;=0,0,
SUMIF(tabParametros[Código do Posto],tabCustoUnit[[#This Row],[Código do Posto]],tabParametros[Vale - Alimentação])*20-1)</f>
        <v>582</v>
      </c>
      <c r="AE36" s="22">
        <f>SUMIF(tabParametros[Código do Posto],tabCustoUnit[[#This Row],[Código do Posto]],tabParametros[Cesta Básica])</f>
        <v>0</v>
      </c>
      <c r="AF36" s="22">
        <f>SUMIF(tabParametros[Código do Posto],tabCustoUnit[[#This Row],[Código do Posto]],tabParametros[PAF])</f>
        <v>0</v>
      </c>
      <c r="AG36" s="22">
        <f>SUMIF(tabParametros[Código do Posto],tabCustoUnit[[#This Row],[Código do Posto]],tabParametros[PQM])</f>
        <v>0</v>
      </c>
      <c r="AH36" s="22">
        <f>SUMIF(tabParametros[Código do Posto],tabCustoUnit[[#This Row],[Código do Posto]],tabParametros[PAT])</f>
        <v>0</v>
      </c>
      <c r="AI36" s="22">
        <f>SUMIF(tabParametros[Código do Posto],tabCustoUnit[[#This Row],[Código do Posto]],tabParametros[Seguro de Vida])</f>
        <v>3.36</v>
      </c>
      <c r="AJ36" s="22">
        <f>SUMIF(tabParametros[Código do Posto],tabCustoUnit[[#This Row],[Código do Posto]],tabParametros[Despesas de Viagem])</f>
        <v>0</v>
      </c>
      <c r="AK36" s="22">
        <f>SUM(tabCustoUnit[[#This Row],[Vale - Transporte (Descontada parcela do empregado)]:[Despesas de Viagem]])</f>
        <v>793.47159999999997</v>
      </c>
      <c r="AL36" s="22">
        <f>tabCustoUnit[[#This Row],[Submódulo 2.1]]+tabCustoUnit[[#This Row],[Submódulo 2.2]]+tabCustoUnit[[#This Row],[Submódulo 2.3]]</f>
        <v>1325.8983491277777</v>
      </c>
      <c r="AM36" s="22">
        <f>SUMIF(tabParametros[Código do Posto],tabCustoUnit[[#This Row],[Código do Posto]],tabParametros[Aviso Prévio Indenizado (API) e Reflexo do Aviso Prévio Indenizado])*tabCustoUnit[[#This Row],[MODULO 1 - REMUNERAÇÃO ]]</f>
        <v>5.7795253576581791</v>
      </c>
      <c r="AN36" s="22">
        <f>SUMIF(tabParametros[Código do Posto],tabCustoUnit[[#This Row],[Código do Posto]],tabParametros[Incidência do FGTS sobre API e Reflexo do API])*tabCustoUnit[[#This Row],[MODULO 1 - REMUNERAÇÃO ]]</f>
        <v>0.46236202861265435</v>
      </c>
      <c r="AO36" s="22">
        <f>SUMIF(tabParametros[Código do Posto],tabCustoUnit[[#This Row],[Código do Posto]],tabParametros[Multa Rescisória do FGTS sobre o Aviso Prévio Indenizado])*tabCustoUnit[[#This Row],[MODULO 1 - REMUNERAÇÃO ]]</f>
        <v>0.18494481144506175</v>
      </c>
      <c r="AP36" s="22">
        <f>SUMIF(tabParametros[Código do Posto],tabCustoUnit[[#This Row],[Código do Posto]],tabParametros[Aviso Prévio Trabalhado - APT])*tabCustoUnit[[#This Row],[MODULO 1 - REMUNERAÇÃO ]]</f>
        <v>2.8849131500000005</v>
      </c>
      <c r="AQ36" s="22">
        <f>SUMIF(tabParametros[Código do Posto],tabCustoUnit[[#This Row],[Código do Posto]],tabParametros[Incidência dos encargos do submódulo 2.1 sobre Aviso Prévio Trabalhado])*tabCustoUnit[[#This Row],[MODULO 1 - REMUNERAÇÃO ]]</f>
        <v>1.0904971707000004</v>
      </c>
      <c r="AR36" s="22">
        <f>SUMIF(tabParametros[Código do Posto],tabCustoUnit[[#This Row],[Código do Posto]],tabParametros[Multa Rescisória do FGTS])*tabCustoUnit[[#This Row],[MODULO 1 - REMUNERAÇÃO ]]</f>
        <v>25.204066631111107</v>
      </c>
      <c r="AS36" s="22">
        <f>SUMIF(tabParametros[Código do Posto],tabCustoUnit[[#This Row],[Código do Posto]],tabParametros[Indenização Adicional (Art. 9º da Lei nº 7.238/84)])*tabCustoUnit[[#This Row],[MODULO 1 - REMUNERAÇÃO ]]</f>
        <v>0.6868840833333334</v>
      </c>
      <c r="AT36" s="22">
        <f>SUM(tabCustoUnit[[#This Row],[Aviso Prévio Indenizado (API) e Reflexo do Aviso Prévio Indenizado]:[Indenização Adicional (Art. 9º da Lei nº 7.238/84)]])</f>
        <v>36.293193232860339</v>
      </c>
      <c r="AU36" s="22">
        <f>SUMIF(tabParametros[Código do Posto],tabCustoUnit[[#This Row],[Código do Posto]],tabParametros[Ausência por Doença])*tabCustoUnit[[#This Row],[MODULO 1 - REMUNERAÇÃO ]]</f>
        <v>6.9604253777777769</v>
      </c>
      <c r="AV36" s="22">
        <f>SUMIF(tabParametros[Código do Posto],tabCustoUnit[[#This Row],[Código do Posto]],tabParametros[Ausências Legais])*tabCustoUnit[[#This Row],[MODULO 1 - REMUNERAÇÃO ]]</f>
        <v>1.671417936111111</v>
      </c>
      <c r="AW36" s="22">
        <f>SUMIF(tabParametros[Código do Posto],tabCustoUnit[[#This Row],[Código do Posto]],tabParametros[Licença Paternidade])*tabCustoUnit[[#This Row],[MODULO 1 - REMUNERAÇÃO ]]</f>
        <v>0.14081123708333332</v>
      </c>
      <c r="AX36" s="22">
        <f>SUMIF(tabParametros[Código do Posto],tabCustoUnit[[#This Row],[Código do Posto]],tabParametros[Ausência por Acidente de Trabalho])*tabCustoUnit[[#This Row],[MODULO 1 - REMUNERAÇÃO ]]</f>
        <v>0.17172102083333335</v>
      </c>
      <c r="AY36" s="22">
        <f>SUMIF(tabParametros[Código do Posto],tabCustoUnit[[#This Row],[Código do Posto]],tabParametros[Férias, Adicional de Férias e 13º  com empregada em gozo de Licença Maternidade])*tabCustoUnit[[#This Row],[MODULO 1 - REMUNERAÇÃO ]]</f>
        <v>1.0684863518518517</v>
      </c>
      <c r="AZ36" s="22">
        <f>SUMIF(tabParametros[Código do Posto],tabCustoUnit[[#This Row],[Código do Posto]],tabParametros[Incidência do Submódulo 2.1 sobre Ausências Legais])*tabCustoUnit[[#This Row],[MODULO 1 - REMUNERAÇÃO ]]</f>
        <v>3.7848618071425006</v>
      </c>
      <c r="BA36" s="22">
        <f>SUM(tabCustoUnit[[#This Row],[Ausência por Doença]:[Incidência do Submódulo 2.1 sobre Ausências Legais]])</f>
        <v>13.797723730799909</v>
      </c>
      <c r="BB36" s="22">
        <f>SUMIF(tabParametros[Código do Posto],tabCustoUnit[[#This Row],[Código do Posto]],tabParametros[Intervalo para Repouso ou Alimentação])</f>
        <v>0</v>
      </c>
      <c r="BC36" s="22">
        <f>tabCustoUnit[[#This Row],[Intervalo para Repouso ou Alimentação]]</f>
        <v>0</v>
      </c>
      <c r="BD36" s="22">
        <f>IF(VLOOKUP(tabCustoUnit[[#This Row],[Código do Posto]],PARAMETROS!$A$4:$BJ$255,7,0)&lt;=0,0,
IFERROR((tabCustoUnit[[#This Row],[MODULO 1 - REMUNERAÇÃO ]]*VLOOKUP(tabCustoUnit[[#This Row],[Código do Posto]],PARAMETROS!$A$4:$BJ$255,49,0))/(VLOOKUP(tabCustoUnit[[#This Row],[Código do Posto]],PARAMETROS!$A$4:$BJ$255,7,0)*VLOOKUP(tabCustoUnit[[#This Row],[Código do Posto]],PARAMETROS!$A$4:$BJ$255,8,0)),0)
)</f>
        <v>0</v>
      </c>
      <c r="BE36" s="22">
        <f>tabCustoUnit[[#This Row],[Suspensão Temporária do Contrato de Trabalho]]</f>
        <v>0</v>
      </c>
      <c r="BF36" s="22">
        <f>tabCustoUnit[[#This Row],[Submódulo 4.1]]+tabCustoUnit[[#This Row],[Submódulo 4.2]]+tabCustoUnit[[#This Row],[Submódulo 4.3]]</f>
        <v>13.797723730799909</v>
      </c>
      <c r="BG36" s="22">
        <f>VLOOKUP(tabCustoUnit[[#This Row],[Código do Posto]],tabParametros[],MATCH(tabCustoUnit[[#Headers],[Uniformes e EPIs]],tabParametros[#Headers],0),0)</f>
        <v>62.806666666666665</v>
      </c>
      <c r="BH36" s="22">
        <f>VLOOKUP(tabCustoUnit[[#This Row],[Código do Posto]],tabParametros[],MATCH(tabCustoUnit[[#Headers],[Materiais de Consumo]],tabParametros[#Headers],0),0)</f>
        <v>17.759106479291944</v>
      </c>
      <c r="BI36" s="22">
        <f>VLOOKUP(tabCustoUnit[[#This Row],[Código do Posto]],tabParametros[],MATCH(tabCustoUnit[[#Headers],[Máquinas e Equipamentos (depreciação)]],tabParametros[#Headers],0),0)</f>
        <v>32.264696957412788</v>
      </c>
      <c r="BJ36" s="22">
        <f>VLOOKUP(tabCustoUnit[[#This Row],[Código do Posto]],tabParametros[],MATCH(tabCustoUnit[[#Headers],[Produtos de Limpeza e Materiais de Higiene Pessoal]],tabParametros[#Headers],0),0)</f>
        <v>345.13576638965827</v>
      </c>
      <c r="BK36" s="22">
        <f>VLOOKUP(tabCustoUnit[[#This Row],[Código do Posto]],tabParametros[],MATCH(tabCustoUnit[[#Headers],[Outros (especificar)]],tabParametros[#Headers],0),0)</f>
        <v>0</v>
      </c>
      <c r="BL36" s="22">
        <f>SUM(tabCustoUnit[[#This Row],[Uniformes e EPIs]:[Outros (especificar)]])</f>
        <v>457.96623649302967</v>
      </c>
      <c r="BM36" s="22">
        <f>tabCustoUnit[[#This Row],[MODULO 1 - REMUNERAÇÃO ]]+tabCustoUnit[[#This Row],[MÓDULO 2 - Total Encargos e Benefícios mensais e diários]]+tabCustoUnit[[#This Row],[MÓDULO 3 – PROVISÃO PARA RESCISÃO]]+tabCustoUnit[[#This Row],[MÓDULO 4 – CUSTO DE REPOSIÇÃO DO PROFISSIONAL AUSENTE]]+tabCustoUnit[[#This Row],[MÓDULO 5 – INSUMOS DIVERSOS]]</f>
        <v>2658.2164025844677</v>
      </c>
      <c r="BN36" s="22">
        <f>VLOOKUP(tabCustoUnit[[#This Row],[Código do Posto]],tabParametros[],MATCH(tabCustoUnit[[#Headers],[Custos Indiretos]],tabParametros[#Headers],0),0)</f>
        <v>189.64880140242613</v>
      </c>
      <c r="BO36" s="22">
        <f>VLOOKUP(tabCustoUnit[[#This Row],[Código do Posto]],tabParametros[],MATCH(tabCustoUnit[[#Headers],[Lucro]],tabParametros[#Headers],0),0)</f>
        <v>159.30499317803796</v>
      </c>
      <c r="BP36" s="26">
        <f>((100/((1-tabCustoUnit[[#This Row],[Resumo de Alíquotas (PIS+CONFINS+ISS)]]))-100)*VLOOKUP(tabCustoUnit[[#This Row],[Código do Posto]],tabParametros[],MATCH(tabCustoUnit[[#Headers],[COFINS]],tabParametros[#Headers],0),0))/(tabCustoUnit[[#This Row],[Resumo de Alíquotas (PIS+CONFINS+ISS)]]*100)</f>
        <v>8.7608069164265154E-2</v>
      </c>
      <c r="BQ36" s="26">
        <f>((100/((100-(tabCustoUnit[[#This Row],[Resumo de Alíquotas (PIS+CONFINS+ISS)]]*100))%)-100)*VLOOKUP(tabCustoUnit[[#This Row],[Código do Posto]],tabParametros[],MATCH(tabCustoUnit[[#Headers],[PIS]],tabParametros[#Headers],0),0))/(tabCustoUnit[[#This Row],[Resumo de Alíquotas (PIS+CONFINS+ISS)]]*100)</f>
        <v>1.9020172910662814E-2</v>
      </c>
      <c r="BR36" s="28">
        <f>VLOOKUP(tabCustoUnit[[#This Row],[Código do Posto]],tabParametros[],MATCH(tabCustoUnit[[#Headers],[ISS]],tabParametros[#Headers],0),0)</f>
        <v>0.04</v>
      </c>
      <c r="BS36" s="26">
        <f>(((100/((100-(tabCustoUnit[[#This Row],[Resumo de Alíquotas (PIS+CONFINS+ISS)]]*100))%)-100)*tabCustoUnit[[#This Row],[ISS]])/tabCustoUnit[[#This Row],[Resumo de Alíquotas (PIS+CONFINS+ISS)]])/100</f>
        <v>4.6109510086455294E-2</v>
      </c>
      <c r="BT36" s="26">
        <f>(VLOOKUP(tabCustoUnit[[#This Row],[Código do Posto]],tabParametros[],MATCH(tabCustoUnit[[#Headers],[COFINS]],tabParametros[#Headers],0),0)+
VLOOKUP(tabCustoUnit[[#This Row],[Código do Posto]],tabParametros[],MATCH(tabCustoUnit[[#Headers],[PIS]],tabParametros[#Headers],0),0)+
VLOOKUP(tabCustoUnit[[#This Row],[Código do Posto]],tabParametros[],MATCH(tabCustoUnit[[#Headers],[ISS]],tabParametros[#Headers],0),0))</f>
        <v>0.13250000000000001</v>
      </c>
      <c r="BU36" s="138">
        <f>tabCustoUnit[[#This Row],[COFINS]]+tabCustoUnit[[#This Row],[PIS]]+tabCustoUnit[[#This Row],[ISS (Conversão Alíquota s/ fatura)]]</f>
        <v>0.15273775216138324</v>
      </c>
      <c r="BV36" s="22">
        <f>(tabCustoUnit[[#This Row],[TOTAL MÓDULOS 1+2+3+4+5]]+tabCustoUnit[[#This Row],[Custos Indiretos]]+tabCustoUnit[[#This Row],[Lucro]])*tabCustoUnit[[#This Row],[PIS + COFINS + ISS (Total Conversão  Alíquota s/ Fatura)]]</f>
        <v>459.30841628167536</v>
      </c>
      <c r="BW36" s="22">
        <f>tabCustoUnit[[#This Row],[Custos Indiretos]]+tabCustoUnit[[#This Row],[Lucro]]+tabCustoUnit[[#This Row],[Valor dos Tributos (ISS, PIS, CONFINS)]]</f>
        <v>808.26221086213945</v>
      </c>
      <c r="BX36" s="22">
        <f>tabCustoUnit[[#This Row],[TOTAL MÓDULOS 1+2+3+4+5]]+tabCustoUnit[[#This Row],[MÓDULO 6 – CUSTOS INDIRETOS, TRIBUTOS E LUCRO]]</f>
        <v>3466.4786134466071</v>
      </c>
      <c r="BY36" s="22">
        <f>tabCustoUnit[[#This Row],[CUSTO TOTAL MENSAL]]*12</f>
        <v>41597.743361359288</v>
      </c>
      <c r="BZ36" s="24">
        <f>VLOOKUP(tabCustoUnit[[#This Row],[Código do Posto]],tabParametros[],MATCH(tabCustoUnit[[#Headers],[ANO DA CCT]],tabParametros[#Headers],0),0)</f>
        <v>45658</v>
      </c>
      <c r="CA36" s="25" t="str">
        <f>VLOOKUP(tabCustoUnit[[#This Row],[Código do Posto]],tabParametros[],MATCH(tabCustoUnit[[#Headers],[Nº DE PEDIDO DA CCT]],tabParametros[#Headers],0),0)</f>
        <v>-</v>
      </c>
      <c r="CB36" s="25" t="str">
        <f>VLOOKUP(tabCustoUnit[[#This Row],[Código do Posto]],tabParametros[],MATCH(tabCustoUnit[[#Headers],[TERMO ADITIVO ALTERAÇÃO DA CCT]],tabParametros[#Headers],0),0)</f>
        <v>-</v>
      </c>
    </row>
    <row r="37" spans="1:80" x14ac:dyDescent="0.25">
      <c r="A37" s="20" t="s">
        <v>1377</v>
      </c>
      <c r="B37" t="s">
        <v>37</v>
      </c>
      <c r="C37" t="s">
        <v>1245</v>
      </c>
      <c r="D37" t="s">
        <v>1041</v>
      </c>
      <c r="E37" s="20" t="s">
        <v>9</v>
      </c>
      <c r="F37" s="20" t="s">
        <v>10</v>
      </c>
      <c r="G37" s="21">
        <v>1596.28</v>
      </c>
      <c r="H37" s="21">
        <v>0</v>
      </c>
      <c r="I37" s="21">
        <v>0</v>
      </c>
      <c r="J37" s="21">
        <v>0</v>
      </c>
      <c r="K37" s="21">
        <v>0</v>
      </c>
      <c r="L37" s="21">
        <v>0</v>
      </c>
      <c r="M37" s="21">
        <v>0</v>
      </c>
      <c r="N37" s="21">
        <v>52.241900000000001</v>
      </c>
      <c r="O37" s="21">
        <f>SUM(tabCustoUnit[[#This Row],[Salário Base]:[Adicional de Acúmulo de função]])</f>
        <v>1648.5219</v>
      </c>
      <c r="P37" s="21">
        <f>tabCustoUnit[[#This Row],[MODULO 1 - REMUNERAÇÃO ]]*SUMIFS(tabParametros[INSS],tabParametros[Código do Posto],tabCustoUnit[[#This Row],[Código do Posto]])</f>
        <v>329.70438000000001</v>
      </c>
      <c r="Q37" s="21">
        <f>tabCustoUnit[[#This Row],[MODULO 1 - REMUNERAÇÃO ]]*SUMIFS(tabParametros[SESI OU SESC],tabParametros[Código do Posto],tabCustoUnit[[#This Row],[Código do Posto]])</f>
        <v>24.727828499999998</v>
      </c>
      <c r="R37" s="21">
        <f>tabCustoUnit[[#This Row],[MODULO 1 - REMUNERAÇÃO ]]*SUMIFS(tabParametros[SENAI OU SENAC],tabParametros[Código do Posto],tabCustoUnit[[#This Row],[Código do Posto]])</f>
        <v>16.485219000000001</v>
      </c>
      <c r="S37" s="21">
        <f>tabCustoUnit[[#This Row],[MODULO 1 - REMUNERAÇÃO ]]*SUMIFS(tabParametros[INCRA],tabParametros[Código do Posto],tabCustoUnit[[#This Row],[Código do Posto]])</f>
        <v>3.2970438</v>
      </c>
      <c r="T37" s="21">
        <f>tabCustoUnit[[#This Row],[MODULO 1 - REMUNERAÇÃO ]]*SUMIFS(tabParametros[Salário Educação],tabParametros[Código do Posto],tabCustoUnit[[#This Row],[Código do Posto]])</f>
        <v>41.213047500000002</v>
      </c>
      <c r="U37" s="21">
        <f>tabCustoUnit[[#This Row],[MODULO 1 - REMUNERAÇÃO ]]*SUMIFS(tabParametros[FGTS],tabParametros[Código do Posto],tabCustoUnit[[#This Row],[Código do Posto]])</f>
        <v>131.88175200000001</v>
      </c>
      <c r="V37" s="21">
        <f>tabCustoUnit[[#This Row],[MODULO 1 - REMUNERAÇÃO ]]*SUMIFS(tabParametros[RAT Ajustado],tabParametros[Código do Posto],tabCustoUnit[[#This Row],[Código do Posto]])</f>
        <v>65.940876000000003</v>
      </c>
      <c r="W37" s="21">
        <f>tabCustoUnit[[#This Row],[MODULO 1 - REMUNERAÇÃO ]]*SUMIFS(tabParametros[SEBRAE],tabParametros[Código do Posto],tabCustoUnit[[#This Row],[Código do Posto]])</f>
        <v>9.8911314000000008</v>
      </c>
      <c r="X37" s="21">
        <f>SUM(tabCustoUnit[[#This Row],[INSS]:[SEBRAE]])</f>
        <v>623.14127819999999</v>
      </c>
      <c r="Y37" s="21">
        <f>tabCustoUnit[[#This Row],[MODULO 1 - REMUNERAÇÃO ]]*SUMIFS(tabParametros[13º salário (titular)],tabParametros[Código do Posto],tabCustoUnit[[#This Row],[Código do Posto]])</f>
        <v>137.376825</v>
      </c>
      <c r="Z37" s="21">
        <f>tabCustoUnit[[#This Row],[MODULO 1 - REMUNERAÇÃO ]]*SUMIFS(tabParametros[Férias e Adicional de Férias (titular)],tabParametros[Código do Posto],tabCustoUnit[[#This Row],[Código do Posto]])</f>
        <v>183.16909999999999</v>
      </c>
      <c r="AA37" s="21">
        <f>IFERROR((tabCustoUnit[[#This Row],[Submódulo 2.1]]/tabCustoUnit[[#This Row],[MODULO 1 - REMUNERAÇÃO ]])*SUM(tabCustoUnit[[#This Row],[13º salário (titular)]:[Férias e Adicional de Férias (titular)]]),0)</f>
        <v>121.16635965</v>
      </c>
      <c r="AB37" s="21">
        <f>SUM(tabCustoUnit[[#This Row],[13º salário (titular)]:[Incidência do Submódulo 2.1 sobre 13º Salário, Férias e Adicional de Férias]])</f>
        <v>441.71228465000002</v>
      </c>
      <c r="AC37" s="22">
        <f>_xlfn.LET(_xlpm.VT,SUMIF(tabParametros[Código do Posto],tabCustoUnit[[#This Row],[Código do Posto]],tabParametros[Vale - Transporte])*2*20,
IF((_xlpm.VT-tabCustoUnit[[#This Row],[Salário Base]]*0.06)&gt;=0,(_xlpm.VT-tabCustoUnit[[#This Row],[Salário Base]]*0.06),0)
)</f>
        <v>160.22320000000002</v>
      </c>
      <c r="AD37" s="22">
        <f>IF(SUMIF(tabParametros[Código do Posto],tabCustoUnit[[#This Row],[Código do Posto]],tabParametros[Vale - Alimentação])&lt;=0,0,
SUMIF(tabParametros[Código do Posto],tabCustoUnit[[#This Row],[Código do Posto]],tabParametros[Vale - Alimentação])*20-1)</f>
        <v>582</v>
      </c>
      <c r="AE37" s="22">
        <f>SUMIF(tabParametros[Código do Posto],tabCustoUnit[[#This Row],[Código do Posto]],tabParametros[Cesta Básica])</f>
        <v>0</v>
      </c>
      <c r="AF37" s="22">
        <f>SUMIF(tabParametros[Código do Posto],tabCustoUnit[[#This Row],[Código do Posto]],tabParametros[PAF])</f>
        <v>51.86</v>
      </c>
      <c r="AG37" s="22">
        <f>SUMIF(tabParametros[Código do Posto],tabCustoUnit[[#This Row],[Código do Posto]],tabParametros[PQM])</f>
        <v>0</v>
      </c>
      <c r="AH37" s="22">
        <f>SUMIF(tabParametros[Código do Posto],tabCustoUnit[[#This Row],[Código do Posto]],tabParametros[PAT])</f>
        <v>0</v>
      </c>
      <c r="AI37" s="22">
        <f>SUMIF(tabParametros[Código do Posto],tabCustoUnit[[#This Row],[Código do Posto]],tabParametros[Seguro de Vida])</f>
        <v>3.36</v>
      </c>
      <c r="AJ37" s="22">
        <f>SUMIF(tabParametros[Código do Posto],tabCustoUnit[[#This Row],[Código do Posto]],tabParametros[Despesas de Viagem])</f>
        <v>0</v>
      </c>
      <c r="AK37" s="22">
        <f>SUM(tabCustoUnit[[#This Row],[Vale - Transporte (Descontada parcela do empregado)]:[Despesas de Viagem]])</f>
        <v>797.44320000000005</v>
      </c>
      <c r="AL37" s="22">
        <f>tabCustoUnit[[#This Row],[Submódulo 2.1]]+tabCustoUnit[[#This Row],[Submódulo 2.2]]+tabCustoUnit[[#This Row],[Submódulo 2.3]]</f>
        <v>1862.2967628500001</v>
      </c>
      <c r="AM37" s="22">
        <f>SUMIF(tabParametros[Código do Posto],tabCustoUnit[[#This Row],[Código do Posto]],tabParametros[Aviso Prévio Indenizado (API) e Reflexo do Aviso Prévio Indenizado])*tabCustoUnit[[#This Row],[MODULO 1 - REMUNERAÇÃO ]]</f>
        <v>11.559051416493055</v>
      </c>
      <c r="AN37" s="22">
        <f>SUMIF(tabParametros[Código do Posto],tabCustoUnit[[#This Row],[Código do Posto]],tabParametros[Incidência do FGTS sobre API e Reflexo do API])*tabCustoUnit[[#This Row],[MODULO 1 - REMUNERAÇÃO ]]</f>
        <v>0.92472411331944449</v>
      </c>
      <c r="AO37" s="22">
        <f>SUMIF(tabParametros[Código do Posto],tabCustoUnit[[#This Row],[Código do Posto]],tabParametros[Multa Rescisória do FGTS sobre o Aviso Prévio Indenizado])*tabCustoUnit[[#This Row],[MODULO 1 - REMUNERAÇÃO ]]</f>
        <v>0.36988964532777785</v>
      </c>
      <c r="AP37" s="22">
        <f>SUMIF(tabParametros[Código do Posto],tabCustoUnit[[#This Row],[Código do Posto]],tabParametros[Aviso Prévio Trabalhado - APT])*tabCustoUnit[[#This Row],[MODULO 1 - REMUNERAÇÃO ]]</f>
        <v>5.7698266500000006</v>
      </c>
      <c r="AQ37" s="22">
        <f>SUMIF(tabParametros[Código do Posto],tabCustoUnit[[#This Row],[Código do Posto]],tabParametros[Incidência dos encargos do submódulo 2.1 sobre Aviso Prévio Trabalhado])*tabCustoUnit[[#This Row],[MODULO 1 - REMUNERAÇÃO ]]</f>
        <v>2.1809944737000007</v>
      </c>
      <c r="AR37" s="22">
        <f>SUMIF(tabParametros[Código do Posto],tabCustoUnit[[#This Row],[Código do Posto]],tabParametros[Multa Rescisória do FGTS])*tabCustoUnit[[#This Row],[MODULO 1 - REMUNERAÇÃO ]]</f>
        <v>50.40813631999999</v>
      </c>
      <c r="AS37" s="22">
        <f>SUMIF(tabParametros[Código do Posto],tabCustoUnit[[#This Row],[Código do Posto]],tabParametros[Indenização Adicional (Art. 9º da Lei nº 7.238/84)])*tabCustoUnit[[#This Row],[MODULO 1 - REMUNERAÇÃO ]]</f>
        <v>1.3737682500000001</v>
      </c>
      <c r="AT37" s="22">
        <f>SUM(tabCustoUnit[[#This Row],[Aviso Prévio Indenizado (API) e Reflexo do Aviso Prévio Indenizado]:[Indenização Adicional (Art. 9º da Lei nº 7.238/84)]])</f>
        <v>72.586390868840269</v>
      </c>
      <c r="AU37" s="22">
        <f>SUMIF(tabParametros[Código do Posto],tabCustoUnit[[#This Row],[Código do Posto]],tabParametros[Ausência por Doença])*tabCustoUnit[[#This Row],[MODULO 1 - REMUNERAÇÃO ]]</f>
        <v>13.920851599999999</v>
      </c>
      <c r="AV37" s="22">
        <f>SUMIF(tabParametros[Código do Posto],tabCustoUnit[[#This Row],[Código do Posto]],tabParametros[Ausências Legais])*tabCustoUnit[[#This Row],[MODULO 1 - REMUNERAÇÃO ]]</f>
        <v>3.3428360749999997</v>
      </c>
      <c r="AW37" s="22">
        <f>SUMIF(tabParametros[Código do Posto],tabCustoUnit[[#This Row],[Código do Posto]],tabParametros[Licença Paternidade])*tabCustoUnit[[#This Row],[MODULO 1 - REMUNERAÇÃO ]]</f>
        <v>0.28162249125</v>
      </c>
      <c r="AX37" s="22">
        <f>SUMIF(tabParametros[Código do Posto],tabCustoUnit[[#This Row],[Código do Posto]],tabParametros[Ausência por Acidente de Trabalho])*tabCustoUnit[[#This Row],[MODULO 1 - REMUNERAÇÃO ]]</f>
        <v>0.34344206250000003</v>
      </c>
      <c r="AY37" s="22">
        <f>SUMIF(tabParametros[Código do Posto],tabCustoUnit[[#This Row],[Código do Posto]],tabParametros[Férias, Adicional de Férias e 13º  com empregada em gozo de Licença Maternidade])*tabCustoUnit[[#This Row],[MODULO 1 - REMUNERAÇÃO ]]</f>
        <v>2.1369728333333331</v>
      </c>
      <c r="AZ37" s="22">
        <f>SUMIF(tabParametros[Código do Posto],tabCustoUnit[[#This Row],[Código do Posto]],tabParametros[Incidência do Submódulo 2.1 sobre Ausências Legais])*tabCustoUnit[[#This Row],[MODULO 1 - REMUNERAÇÃO ]]</f>
        <v>7.5697240734675013</v>
      </c>
      <c r="BA37" s="22">
        <f>SUM(tabCustoUnit[[#This Row],[Ausência por Doença]:[Incidência do Submódulo 2.1 sobre Ausências Legais]])</f>
        <v>27.595449135550833</v>
      </c>
      <c r="BB37" s="22">
        <f>SUMIF(tabParametros[Código do Posto],tabCustoUnit[[#This Row],[Código do Posto]],tabParametros[Intervalo para Repouso ou Alimentação])</f>
        <v>0</v>
      </c>
      <c r="BC37" s="22">
        <f>tabCustoUnit[[#This Row],[Intervalo para Repouso ou Alimentação]]</f>
        <v>0</v>
      </c>
      <c r="BD37" s="22">
        <f>IF(VLOOKUP(tabCustoUnit[[#This Row],[Código do Posto]],PARAMETROS!$A$4:$BJ$255,7,0)&lt;=0,0,
IFERROR((tabCustoUnit[[#This Row],[MODULO 1 - REMUNERAÇÃO ]]*VLOOKUP(tabCustoUnit[[#This Row],[Código do Posto]],PARAMETROS!$A$4:$BJ$255,49,0))/(VLOOKUP(tabCustoUnit[[#This Row],[Código do Posto]],PARAMETROS!$A$4:$BJ$255,7,0)*VLOOKUP(tabCustoUnit[[#This Row],[Código do Posto]],PARAMETROS!$A$4:$BJ$255,8,0)),0)
)</f>
        <v>0</v>
      </c>
      <c r="BE37" s="22">
        <f>tabCustoUnit[[#This Row],[Suspensão Temporária do Contrato de Trabalho]]</f>
        <v>0</v>
      </c>
      <c r="BF37" s="22">
        <f>tabCustoUnit[[#This Row],[Submódulo 4.1]]+tabCustoUnit[[#This Row],[Submódulo 4.2]]+tabCustoUnit[[#This Row],[Submódulo 4.3]]</f>
        <v>27.595449135550833</v>
      </c>
      <c r="BG37" s="22">
        <f>VLOOKUP(tabCustoUnit[[#This Row],[Código do Posto]],tabParametros[],MATCH(tabCustoUnit[[#Headers],[Uniformes e EPIs]],tabParametros[#Headers],0),0)</f>
        <v>100.80916666666666</v>
      </c>
      <c r="BH37" s="22">
        <f>VLOOKUP(tabCustoUnit[[#This Row],[Código do Posto]],tabParametros[],MATCH(tabCustoUnit[[#Headers],[Materiais de Consumo]],tabParametros[#Headers],0),0)</f>
        <v>35.518212958583888</v>
      </c>
      <c r="BI37" s="22">
        <f>VLOOKUP(tabCustoUnit[[#This Row],[Código do Posto]],tabParametros[],MATCH(tabCustoUnit[[#Headers],[Máquinas e Equipamentos (depreciação)]],tabParametros[#Headers],0),0)</f>
        <v>64.529393914825576</v>
      </c>
      <c r="BJ37" s="22">
        <f>VLOOKUP(tabCustoUnit[[#This Row],[Código do Posto]],tabParametros[],MATCH(tabCustoUnit[[#Headers],[Produtos de Limpeza e Materiais de Higiene Pessoal]],tabParametros[#Headers],0),0)</f>
        <v>690.27153277931654</v>
      </c>
      <c r="BK37" s="22">
        <f>VLOOKUP(tabCustoUnit[[#This Row],[Código do Posto]],tabParametros[],MATCH(tabCustoUnit[[#Headers],[Outros (especificar)]],tabParametros[#Headers],0),0)</f>
        <v>0</v>
      </c>
      <c r="BL37" s="22">
        <f>SUM(tabCustoUnit[[#This Row],[Uniformes e EPIs]:[Outros (especificar)]])</f>
        <v>891.12830631939266</v>
      </c>
      <c r="BM37" s="22">
        <f>tabCustoUnit[[#This Row],[MODULO 1 - REMUNERAÇÃO ]]+tabCustoUnit[[#This Row],[MÓDULO 2 - Total Encargos e Benefícios mensais e diários]]+tabCustoUnit[[#This Row],[MÓDULO 3 – PROVISÃO PARA RESCISÃO]]+tabCustoUnit[[#This Row],[MÓDULO 4 – CUSTO DE REPOSIÇÃO DO PROFISSIONAL AUSENTE]]+tabCustoUnit[[#This Row],[MÓDULO 5 – INSUMOS DIVERSOS]]</f>
        <v>4502.1288091737833</v>
      </c>
      <c r="BN37" s="22">
        <f>VLOOKUP(tabCustoUnit[[#This Row],[Código do Posto]],tabParametros[],MATCH(tabCustoUnit[[#Headers],[Custos Indiretos]],tabParametros[#Headers],0),0)</f>
        <v>189.64880140242613</v>
      </c>
      <c r="BO37" s="22">
        <f>VLOOKUP(tabCustoUnit[[#This Row],[Código do Posto]],tabParametros[],MATCH(tabCustoUnit[[#Headers],[Lucro]],tabParametros[#Headers],0),0)</f>
        <v>159.30499317803796</v>
      </c>
      <c r="BP37" s="26">
        <f>((100/((1-tabCustoUnit[[#This Row],[Resumo de Alíquotas (PIS+CONFINS+ISS)]]))-100)*VLOOKUP(tabCustoUnit[[#This Row],[Código do Posto]],tabParametros[],MATCH(tabCustoUnit[[#Headers],[COFINS]],tabParametros[#Headers],0),0))/(tabCustoUnit[[#This Row],[Resumo de Alíquotas (PIS+CONFINS+ISS)]]*100)</f>
        <v>8.8629737609329504E-2</v>
      </c>
      <c r="BQ37" s="26">
        <f>((100/((100-(tabCustoUnit[[#This Row],[Resumo de Alíquotas (PIS+CONFINS+ISS)]]*100))%)-100)*VLOOKUP(tabCustoUnit[[#This Row],[Código do Posto]],tabParametros[],MATCH(tabCustoUnit[[#Headers],[PIS]],tabParametros[#Headers],0),0))/(tabCustoUnit[[#This Row],[Resumo de Alíquotas (PIS+CONFINS+ISS)]]*100)</f>
        <v>1.9241982507288629E-2</v>
      </c>
      <c r="BR37" s="28">
        <f>VLOOKUP(tabCustoUnit[[#This Row],[Código do Posto]],tabParametros[],MATCH(tabCustoUnit[[#Headers],[ISS]],tabParametros[#Headers],0),0)</f>
        <v>0.05</v>
      </c>
      <c r="BS37" s="26">
        <f>(((100/((100-(tabCustoUnit[[#This Row],[Resumo de Alíquotas (PIS+CONFINS+ISS)]]*100))%)-100)*tabCustoUnit[[#This Row],[ISS]])/tabCustoUnit[[#This Row],[Resumo de Alíquotas (PIS+CONFINS+ISS)]])/100</f>
        <v>5.8309037900874633E-2</v>
      </c>
      <c r="BT37" s="26">
        <f>(VLOOKUP(tabCustoUnit[[#This Row],[Código do Posto]],tabParametros[],MATCH(tabCustoUnit[[#Headers],[COFINS]],tabParametros[#Headers],0),0)+
VLOOKUP(tabCustoUnit[[#This Row],[Código do Posto]],tabParametros[],MATCH(tabCustoUnit[[#Headers],[PIS]],tabParametros[#Headers],0),0)+
VLOOKUP(tabCustoUnit[[#This Row],[Código do Posto]],tabParametros[],MATCH(tabCustoUnit[[#Headers],[ISS]],tabParametros[#Headers],0),0))</f>
        <v>0.14250000000000002</v>
      </c>
      <c r="BU37" s="138">
        <f>tabCustoUnit[[#This Row],[COFINS]]+tabCustoUnit[[#This Row],[PIS]]+tabCustoUnit[[#This Row],[ISS (Conversão Alíquota s/ fatura)]]</f>
        <v>0.16618075801749277</v>
      </c>
      <c r="BV37" s="22">
        <f>(tabCustoUnit[[#This Row],[TOTAL MÓDULOS 1+2+3+4+5]]+tabCustoUnit[[#This Row],[Custos Indiretos]]+tabCustoUnit[[#This Row],[Lucro]])*tabCustoUnit[[#This Row],[PIS + COFINS + ISS (Total Conversão  Alíquota s/ Fatura)]]</f>
        <v>806.15658429735333</v>
      </c>
      <c r="BW37" s="22">
        <f>tabCustoUnit[[#This Row],[Custos Indiretos]]+tabCustoUnit[[#This Row],[Lucro]]+tabCustoUnit[[#This Row],[Valor dos Tributos (ISS, PIS, CONFINS)]]</f>
        <v>1155.1103788778173</v>
      </c>
      <c r="BX37" s="22">
        <f>tabCustoUnit[[#This Row],[TOTAL MÓDULOS 1+2+3+4+5]]+tabCustoUnit[[#This Row],[MÓDULO 6 – CUSTOS INDIRETOS, TRIBUTOS E LUCRO]]</f>
        <v>5657.2391880516006</v>
      </c>
      <c r="BY37" s="22">
        <f>tabCustoUnit[[#This Row],[CUSTO TOTAL MENSAL]]*12</f>
        <v>67886.870256619208</v>
      </c>
      <c r="BZ37" s="24">
        <f>VLOOKUP(tabCustoUnit[[#This Row],[Código do Posto]],tabParametros[],MATCH(tabCustoUnit[[#Headers],[ANO DA CCT]],tabParametros[#Headers],0),0)</f>
        <v>45658</v>
      </c>
      <c r="CA37" s="25" t="str">
        <f>VLOOKUP(tabCustoUnit[[#This Row],[Código do Posto]],tabParametros[],MATCH(tabCustoUnit[[#Headers],[Nº DE PEDIDO DA CCT]],tabParametros[#Headers],0),0)</f>
        <v>-</v>
      </c>
      <c r="CB37" s="25" t="str">
        <f>VLOOKUP(tabCustoUnit[[#This Row],[Código do Posto]],tabParametros[],MATCH(tabCustoUnit[[#Headers],[TERMO ADITIVO ALTERAÇÃO DA CCT]],tabParametros[#Headers],0),0)</f>
        <v>-</v>
      </c>
    </row>
    <row r="38" spans="1:80" x14ac:dyDescent="0.25">
      <c r="A38" s="20" t="s">
        <v>1378</v>
      </c>
      <c r="B38" t="s">
        <v>38</v>
      </c>
      <c r="C38" t="s">
        <v>1245</v>
      </c>
      <c r="D38" t="s">
        <v>1000</v>
      </c>
      <c r="E38" s="20" t="s">
        <v>9</v>
      </c>
      <c r="F38" s="20" t="s">
        <v>10</v>
      </c>
      <c r="G38" s="21">
        <v>1596.28</v>
      </c>
      <c r="H38" s="21">
        <v>0</v>
      </c>
      <c r="I38" s="21">
        <v>0</v>
      </c>
      <c r="J38" s="21">
        <v>0</v>
      </c>
      <c r="K38" s="21">
        <v>0</v>
      </c>
      <c r="L38" s="21">
        <v>0</v>
      </c>
      <c r="M38" s="21">
        <v>0</v>
      </c>
      <c r="N38" s="21">
        <v>52.241900000000001</v>
      </c>
      <c r="O38" s="21">
        <f>SUM(tabCustoUnit[[#This Row],[Salário Base]:[Adicional de Acúmulo de função]])</f>
        <v>1648.5219</v>
      </c>
      <c r="P38" s="21">
        <f>tabCustoUnit[[#This Row],[MODULO 1 - REMUNERAÇÃO ]]*SUMIFS(tabParametros[INSS],tabParametros[Código do Posto],tabCustoUnit[[#This Row],[Código do Posto]])</f>
        <v>329.70438000000001</v>
      </c>
      <c r="Q38" s="21">
        <f>tabCustoUnit[[#This Row],[MODULO 1 - REMUNERAÇÃO ]]*SUMIFS(tabParametros[SESI OU SESC],tabParametros[Código do Posto],tabCustoUnit[[#This Row],[Código do Posto]])</f>
        <v>24.727828499999998</v>
      </c>
      <c r="R38" s="21">
        <f>tabCustoUnit[[#This Row],[MODULO 1 - REMUNERAÇÃO ]]*SUMIFS(tabParametros[SENAI OU SENAC],tabParametros[Código do Posto],tabCustoUnit[[#This Row],[Código do Posto]])</f>
        <v>16.485219000000001</v>
      </c>
      <c r="S38" s="21">
        <f>tabCustoUnit[[#This Row],[MODULO 1 - REMUNERAÇÃO ]]*SUMIFS(tabParametros[INCRA],tabParametros[Código do Posto],tabCustoUnit[[#This Row],[Código do Posto]])</f>
        <v>3.2970438</v>
      </c>
      <c r="T38" s="21">
        <f>tabCustoUnit[[#This Row],[MODULO 1 - REMUNERAÇÃO ]]*SUMIFS(tabParametros[Salário Educação],tabParametros[Código do Posto],tabCustoUnit[[#This Row],[Código do Posto]])</f>
        <v>41.213047500000002</v>
      </c>
      <c r="U38" s="21">
        <f>tabCustoUnit[[#This Row],[MODULO 1 - REMUNERAÇÃO ]]*SUMIFS(tabParametros[FGTS],tabParametros[Código do Posto],tabCustoUnit[[#This Row],[Código do Posto]])</f>
        <v>131.88175200000001</v>
      </c>
      <c r="V38" s="21">
        <f>tabCustoUnit[[#This Row],[MODULO 1 - REMUNERAÇÃO ]]*SUMIFS(tabParametros[RAT Ajustado],tabParametros[Código do Posto],tabCustoUnit[[#This Row],[Código do Posto]])</f>
        <v>65.940876000000003</v>
      </c>
      <c r="W38" s="21">
        <f>tabCustoUnit[[#This Row],[MODULO 1 - REMUNERAÇÃO ]]*SUMIFS(tabParametros[SEBRAE],tabParametros[Código do Posto],tabCustoUnit[[#This Row],[Código do Posto]])</f>
        <v>9.8911314000000008</v>
      </c>
      <c r="X38" s="21">
        <f>SUM(tabCustoUnit[[#This Row],[INSS]:[SEBRAE]])</f>
        <v>623.14127819999999</v>
      </c>
      <c r="Y38" s="21">
        <f>tabCustoUnit[[#This Row],[MODULO 1 - REMUNERAÇÃO ]]*SUMIFS(tabParametros[13º salário (titular)],tabParametros[Código do Posto],tabCustoUnit[[#This Row],[Código do Posto]])</f>
        <v>137.376825</v>
      </c>
      <c r="Z38" s="21">
        <f>tabCustoUnit[[#This Row],[MODULO 1 - REMUNERAÇÃO ]]*SUMIFS(tabParametros[Férias e Adicional de Férias (titular)],tabParametros[Código do Posto],tabCustoUnit[[#This Row],[Código do Posto]])</f>
        <v>183.16909999999999</v>
      </c>
      <c r="AA38" s="21">
        <f>IFERROR((tabCustoUnit[[#This Row],[Submódulo 2.1]]/tabCustoUnit[[#This Row],[MODULO 1 - REMUNERAÇÃO ]])*SUM(tabCustoUnit[[#This Row],[13º salário (titular)]:[Férias e Adicional de Férias (titular)]]),0)</f>
        <v>121.16635965</v>
      </c>
      <c r="AB38" s="21">
        <f>SUM(tabCustoUnit[[#This Row],[13º salário (titular)]:[Incidência do Submódulo 2.1 sobre 13º Salário, Férias e Adicional de Férias]])</f>
        <v>441.71228465000002</v>
      </c>
      <c r="AC38" s="22">
        <f>_xlfn.LET(_xlpm.VT,SUMIF(tabParametros[Código do Posto],tabCustoUnit[[#This Row],[Código do Posto]],tabParametros[Vale - Transporte])*2*20,
IF((_xlpm.VT-tabCustoUnit[[#This Row],[Salário Base]]*0.06)&gt;=0,(_xlpm.VT-tabCustoUnit[[#This Row],[Salário Base]]*0.06),0)
)</f>
        <v>160.22320000000002</v>
      </c>
      <c r="AD38" s="22">
        <f>IF(SUMIF(tabParametros[Código do Posto],tabCustoUnit[[#This Row],[Código do Posto]],tabParametros[Vale - Alimentação])&lt;=0,0,
SUMIF(tabParametros[Código do Posto],tabCustoUnit[[#This Row],[Código do Posto]],tabParametros[Vale - Alimentação])*20-1)</f>
        <v>582</v>
      </c>
      <c r="AE38" s="22">
        <f>SUMIF(tabParametros[Código do Posto],tabCustoUnit[[#This Row],[Código do Posto]],tabParametros[Cesta Básica])</f>
        <v>0</v>
      </c>
      <c r="AF38" s="22">
        <f>SUMIF(tabParametros[Código do Posto],tabCustoUnit[[#This Row],[Código do Posto]],tabParametros[PAF])</f>
        <v>0</v>
      </c>
      <c r="AG38" s="22">
        <f>SUMIF(tabParametros[Código do Posto],tabCustoUnit[[#This Row],[Código do Posto]],tabParametros[PQM])</f>
        <v>15.07</v>
      </c>
      <c r="AH38" s="22">
        <f>SUMIF(tabParametros[Código do Posto],tabCustoUnit[[#This Row],[Código do Posto]],tabParametros[PAT])</f>
        <v>0</v>
      </c>
      <c r="AI38" s="22">
        <f>SUMIF(tabParametros[Código do Posto],tabCustoUnit[[#This Row],[Código do Posto]],tabParametros[Seguro de Vida])</f>
        <v>3.36</v>
      </c>
      <c r="AJ38" s="22">
        <f>SUMIF(tabParametros[Código do Posto],tabCustoUnit[[#This Row],[Código do Posto]],tabParametros[Despesas de Viagem])</f>
        <v>0</v>
      </c>
      <c r="AK38" s="22">
        <f>SUM(tabCustoUnit[[#This Row],[Vale - Transporte (Descontada parcela do empregado)]:[Despesas de Viagem]])</f>
        <v>760.65320000000008</v>
      </c>
      <c r="AL38" s="22">
        <f>tabCustoUnit[[#This Row],[Submódulo 2.1]]+tabCustoUnit[[#This Row],[Submódulo 2.2]]+tabCustoUnit[[#This Row],[Submódulo 2.3]]</f>
        <v>1825.5067628500001</v>
      </c>
      <c r="AM38" s="22">
        <f>SUMIF(tabParametros[Código do Posto],tabCustoUnit[[#This Row],[Código do Posto]],tabParametros[Aviso Prévio Indenizado (API) e Reflexo do Aviso Prévio Indenizado])*tabCustoUnit[[#This Row],[MODULO 1 - REMUNERAÇÃO ]]</f>
        <v>11.559051416493055</v>
      </c>
      <c r="AN38" s="22">
        <f>SUMIF(tabParametros[Código do Posto],tabCustoUnit[[#This Row],[Código do Posto]],tabParametros[Incidência do FGTS sobre API e Reflexo do API])*tabCustoUnit[[#This Row],[MODULO 1 - REMUNERAÇÃO ]]</f>
        <v>0.92472411331944449</v>
      </c>
      <c r="AO38" s="22">
        <f>SUMIF(tabParametros[Código do Posto],tabCustoUnit[[#This Row],[Código do Posto]],tabParametros[Multa Rescisória do FGTS sobre o Aviso Prévio Indenizado])*tabCustoUnit[[#This Row],[MODULO 1 - REMUNERAÇÃO ]]</f>
        <v>0.36988964532777785</v>
      </c>
      <c r="AP38" s="22">
        <f>SUMIF(tabParametros[Código do Posto],tabCustoUnit[[#This Row],[Código do Posto]],tabParametros[Aviso Prévio Trabalhado - APT])*tabCustoUnit[[#This Row],[MODULO 1 - REMUNERAÇÃO ]]</f>
        <v>5.7698266500000006</v>
      </c>
      <c r="AQ38" s="22">
        <f>SUMIF(tabParametros[Código do Posto],tabCustoUnit[[#This Row],[Código do Posto]],tabParametros[Incidência dos encargos do submódulo 2.1 sobre Aviso Prévio Trabalhado])*tabCustoUnit[[#This Row],[MODULO 1 - REMUNERAÇÃO ]]</f>
        <v>2.1809944737000007</v>
      </c>
      <c r="AR38" s="22">
        <f>SUMIF(tabParametros[Código do Posto],tabCustoUnit[[#This Row],[Código do Posto]],tabParametros[Multa Rescisória do FGTS])*tabCustoUnit[[#This Row],[MODULO 1 - REMUNERAÇÃO ]]</f>
        <v>50.40813631999999</v>
      </c>
      <c r="AS38" s="22">
        <f>SUMIF(tabParametros[Código do Posto],tabCustoUnit[[#This Row],[Código do Posto]],tabParametros[Indenização Adicional (Art. 9º da Lei nº 7.238/84)])*tabCustoUnit[[#This Row],[MODULO 1 - REMUNERAÇÃO ]]</f>
        <v>1.3737682500000001</v>
      </c>
      <c r="AT38" s="22">
        <f>SUM(tabCustoUnit[[#This Row],[Aviso Prévio Indenizado (API) e Reflexo do Aviso Prévio Indenizado]:[Indenização Adicional (Art. 9º da Lei nº 7.238/84)]])</f>
        <v>72.586390868840269</v>
      </c>
      <c r="AU38" s="22">
        <f>SUMIF(tabParametros[Código do Posto],tabCustoUnit[[#This Row],[Código do Posto]],tabParametros[Ausência por Doença])*tabCustoUnit[[#This Row],[MODULO 1 - REMUNERAÇÃO ]]</f>
        <v>13.920851599999999</v>
      </c>
      <c r="AV38" s="22">
        <f>SUMIF(tabParametros[Código do Posto],tabCustoUnit[[#This Row],[Código do Posto]],tabParametros[Ausências Legais])*tabCustoUnit[[#This Row],[MODULO 1 - REMUNERAÇÃO ]]</f>
        <v>3.3428360749999997</v>
      </c>
      <c r="AW38" s="22">
        <f>SUMIF(tabParametros[Código do Posto],tabCustoUnit[[#This Row],[Código do Posto]],tabParametros[Licença Paternidade])*tabCustoUnit[[#This Row],[MODULO 1 - REMUNERAÇÃO ]]</f>
        <v>0.28162249125</v>
      </c>
      <c r="AX38" s="22">
        <f>SUMIF(tabParametros[Código do Posto],tabCustoUnit[[#This Row],[Código do Posto]],tabParametros[Ausência por Acidente de Trabalho])*tabCustoUnit[[#This Row],[MODULO 1 - REMUNERAÇÃO ]]</f>
        <v>0.34344206250000003</v>
      </c>
      <c r="AY38" s="22">
        <f>SUMIF(tabParametros[Código do Posto],tabCustoUnit[[#This Row],[Código do Posto]],tabParametros[Férias, Adicional de Férias e 13º  com empregada em gozo de Licença Maternidade])*tabCustoUnit[[#This Row],[MODULO 1 - REMUNERAÇÃO ]]</f>
        <v>2.1369728333333331</v>
      </c>
      <c r="AZ38" s="22">
        <f>SUMIF(tabParametros[Código do Posto],tabCustoUnit[[#This Row],[Código do Posto]],tabParametros[Incidência do Submódulo 2.1 sobre Ausências Legais])*tabCustoUnit[[#This Row],[MODULO 1 - REMUNERAÇÃO ]]</f>
        <v>7.5697240734675013</v>
      </c>
      <c r="BA38" s="22">
        <f>SUM(tabCustoUnit[[#This Row],[Ausência por Doença]:[Incidência do Submódulo 2.1 sobre Ausências Legais]])</f>
        <v>27.595449135550833</v>
      </c>
      <c r="BB38" s="22">
        <f>SUMIF(tabParametros[Código do Posto],tabCustoUnit[[#This Row],[Código do Posto]],tabParametros[Intervalo para Repouso ou Alimentação])</f>
        <v>0</v>
      </c>
      <c r="BC38" s="22">
        <f>tabCustoUnit[[#This Row],[Intervalo para Repouso ou Alimentação]]</f>
        <v>0</v>
      </c>
      <c r="BD38" s="22">
        <f>IF(VLOOKUP(tabCustoUnit[[#This Row],[Código do Posto]],PARAMETROS!$A$4:$BJ$255,7,0)&lt;=0,0,
IFERROR((tabCustoUnit[[#This Row],[MODULO 1 - REMUNERAÇÃO ]]*VLOOKUP(tabCustoUnit[[#This Row],[Código do Posto]],PARAMETROS!$A$4:$BJ$255,49,0))/(VLOOKUP(tabCustoUnit[[#This Row],[Código do Posto]],PARAMETROS!$A$4:$BJ$255,7,0)*VLOOKUP(tabCustoUnit[[#This Row],[Código do Posto]],PARAMETROS!$A$4:$BJ$255,8,0)),0)
)</f>
        <v>0</v>
      </c>
      <c r="BE38" s="22">
        <f>tabCustoUnit[[#This Row],[Suspensão Temporária do Contrato de Trabalho]]</f>
        <v>0</v>
      </c>
      <c r="BF38" s="22">
        <f>tabCustoUnit[[#This Row],[Submódulo 4.1]]+tabCustoUnit[[#This Row],[Submódulo 4.2]]+tabCustoUnit[[#This Row],[Submódulo 4.3]]</f>
        <v>27.595449135550833</v>
      </c>
      <c r="BG38" s="22">
        <f>VLOOKUP(tabCustoUnit[[#This Row],[Código do Posto]],tabParametros[],MATCH(tabCustoUnit[[#Headers],[Uniformes e EPIs]],tabParametros[#Headers],0),0)</f>
        <v>100.80916666666666</v>
      </c>
      <c r="BH38" s="22">
        <f>VLOOKUP(tabCustoUnit[[#This Row],[Código do Posto]],tabParametros[],MATCH(tabCustoUnit[[#Headers],[Materiais de Consumo]],tabParametros[#Headers],0),0)</f>
        <v>35.518212958583888</v>
      </c>
      <c r="BI38" s="22">
        <f>VLOOKUP(tabCustoUnit[[#This Row],[Código do Posto]],tabParametros[],MATCH(tabCustoUnit[[#Headers],[Máquinas e Equipamentos (depreciação)]],tabParametros[#Headers],0),0)</f>
        <v>64.529393914825576</v>
      </c>
      <c r="BJ38" s="22">
        <f>VLOOKUP(tabCustoUnit[[#This Row],[Código do Posto]],tabParametros[],MATCH(tabCustoUnit[[#Headers],[Produtos de Limpeza e Materiais de Higiene Pessoal]],tabParametros[#Headers],0),0)</f>
        <v>690.27153277931654</v>
      </c>
      <c r="BK38" s="22">
        <f>VLOOKUP(tabCustoUnit[[#This Row],[Código do Posto]],tabParametros[],MATCH(tabCustoUnit[[#Headers],[Outros (especificar)]],tabParametros[#Headers],0),0)</f>
        <v>0</v>
      </c>
      <c r="BL38" s="22">
        <f>SUM(tabCustoUnit[[#This Row],[Uniformes e EPIs]:[Outros (especificar)]])</f>
        <v>891.12830631939266</v>
      </c>
      <c r="BM38" s="22">
        <f>tabCustoUnit[[#This Row],[MODULO 1 - REMUNERAÇÃO ]]+tabCustoUnit[[#This Row],[MÓDULO 2 - Total Encargos e Benefícios mensais e diários]]+tabCustoUnit[[#This Row],[MÓDULO 3 – PROVISÃO PARA RESCISÃO]]+tabCustoUnit[[#This Row],[MÓDULO 4 – CUSTO DE REPOSIÇÃO DO PROFISSIONAL AUSENTE]]+tabCustoUnit[[#This Row],[MÓDULO 5 – INSUMOS DIVERSOS]]</f>
        <v>4465.3388091737834</v>
      </c>
      <c r="BN38" s="22">
        <f>VLOOKUP(tabCustoUnit[[#This Row],[Código do Posto]],tabParametros[],MATCH(tabCustoUnit[[#Headers],[Custos Indiretos]],tabParametros[#Headers],0),0)</f>
        <v>189.64880140242613</v>
      </c>
      <c r="BO38" s="22">
        <f>VLOOKUP(tabCustoUnit[[#This Row],[Código do Posto]],tabParametros[],MATCH(tabCustoUnit[[#Headers],[Lucro]],tabParametros[#Headers],0),0)</f>
        <v>159.30499317803796</v>
      </c>
      <c r="BP38" s="26">
        <f>((100/((1-tabCustoUnit[[#This Row],[Resumo de Alíquotas (PIS+CONFINS+ISS)]]))-100)*VLOOKUP(tabCustoUnit[[#This Row],[Código do Posto]],tabParametros[],MATCH(tabCustoUnit[[#Headers],[COFINS]],tabParametros[#Headers],0),0))/(tabCustoUnit[[#This Row],[Resumo de Alíquotas (PIS+CONFINS+ISS)]]*100)</f>
        <v>8.6609686609686695E-2</v>
      </c>
      <c r="BQ38" s="26">
        <f>((100/((100-(tabCustoUnit[[#This Row],[Resumo de Alíquotas (PIS+CONFINS+ISS)]]*100))%)-100)*VLOOKUP(tabCustoUnit[[#This Row],[Código do Posto]],tabParametros[],MATCH(tabCustoUnit[[#Headers],[PIS]],tabParametros[#Headers],0),0))/(tabCustoUnit[[#This Row],[Resumo de Alíquotas (PIS+CONFINS+ISS)]]*100)</f>
        <v>1.880341880341882E-2</v>
      </c>
      <c r="BR38" s="28">
        <f>VLOOKUP(tabCustoUnit[[#This Row],[Código do Posto]],tabParametros[],MATCH(tabCustoUnit[[#Headers],[ISS]],tabParametros[#Headers],0),0)</f>
        <v>0.03</v>
      </c>
      <c r="BS38" s="26">
        <f>(((100/((100-(tabCustoUnit[[#This Row],[Resumo de Alíquotas (PIS+CONFINS+ISS)]]*100))%)-100)*tabCustoUnit[[#This Row],[ISS]])/tabCustoUnit[[#This Row],[Resumo de Alíquotas (PIS+CONFINS+ISS)]])/100</f>
        <v>3.4188034188034219E-2</v>
      </c>
      <c r="BT38" s="26">
        <f>(VLOOKUP(tabCustoUnit[[#This Row],[Código do Posto]],tabParametros[],MATCH(tabCustoUnit[[#Headers],[COFINS]],tabParametros[#Headers],0),0)+
VLOOKUP(tabCustoUnit[[#This Row],[Código do Posto]],tabParametros[],MATCH(tabCustoUnit[[#Headers],[PIS]],tabParametros[#Headers],0),0)+
VLOOKUP(tabCustoUnit[[#This Row],[Código do Posto]],tabParametros[],MATCH(tabCustoUnit[[#Headers],[ISS]],tabParametros[#Headers],0),0))</f>
        <v>0.1225</v>
      </c>
      <c r="BU38" s="138">
        <f>tabCustoUnit[[#This Row],[COFINS]]+tabCustoUnit[[#This Row],[PIS]]+tabCustoUnit[[#This Row],[ISS (Conversão Alíquota s/ fatura)]]</f>
        <v>0.13960113960113973</v>
      </c>
      <c r="BV38" s="22">
        <f>(tabCustoUnit[[#This Row],[TOTAL MÓDULOS 1+2+3+4+5]]+tabCustoUnit[[#This Row],[Custos Indiretos]]+tabCustoUnit[[#This Row],[Lucro]])*tabCustoUnit[[#This Row],[PIS + COFINS + ISS (Total Conversão  Alíquota s/ Fatura)]]</f>
        <v>672.08073385743126</v>
      </c>
      <c r="BW38" s="22">
        <f>tabCustoUnit[[#This Row],[Custos Indiretos]]+tabCustoUnit[[#This Row],[Lucro]]+tabCustoUnit[[#This Row],[Valor dos Tributos (ISS, PIS, CONFINS)]]</f>
        <v>1021.0345284378953</v>
      </c>
      <c r="BX38" s="22">
        <f>tabCustoUnit[[#This Row],[TOTAL MÓDULOS 1+2+3+4+5]]+tabCustoUnit[[#This Row],[MÓDULO 6 – CUSTOS INDIRETOS, TRIBUTOS E LUCRO]]</f>
        <v>5486.3733376116788</v>
      </c>
      <c r="BY38" s="22">
        <f>tabCustoUnit[[#This Row],[CUSTO TOTAL MENSAL]]*12</f>
        <v>65836.480051340142</v>
      </c>
      <c r="BZ38" s="24">
        <f>VLOOKUP(tabCustoUnit[[#This Row],[Código do Posto]],tabParametros[],MATCH(tabCustoUnit[[#Headers],[ANO DA CCT]],tabParametros[#Headers],0),0)</f>
        <v>45658</v>
      </c>
      <c r="CA38" s="25" t="str">
        <f>VLOOKUP(tabCustoUnit[[#This Row],[Código do Posto]],tabParametros[],MATCH(tabCustoUnit[[#Headers],[Nº DE PEDIDO DA CCT]],tabParametros[#Headers],0),0)</f>
        <v>-</v>
      </c>
      <c r="CB38" s="25" t="str">
        <f>VLOOKUP(tabCustoUnit[[#This Row],[Código do Posto]],tabParametros[],MATCH(tabCustoUnit[[#Headers],[TERMO ADITIVO ALTERAÇÃO DA CCT]],tabParametros[#Headers],0),0)</f>
        <v>-</v>
      </c>
    </row>
    <row r="39" spans="1:80" x14ac:dyDescent="0.25">
      <c r="A39" s="20" t="s">
        <v>1379</v>
      </c>
      <c r="B39" t="s">
        <v>39</v>
      </c>
      <c r="C39" t="s">
        <v>1247</v>
      </c>
      <c r="D39" t="s">
        <v>1023</v>
      </c>
      <c r="E39" s="20" t="s">
        <v>9</v>
      </c>
      <c r="F39" s="20" t="s">
        <v>10</v>
      </c>
      <c r="G39" s="21">
        <v>544.17999999999995</v>
      </c>
      <c r="H39" s="21">
        <v>0</v>
      </c>
      <c r="I39" s="21">
        <v>0</v>
      </c>
      <c r="J39" s="21">
        <v>0</v>
      </c>
      <c r="K39" s="21">
        <v>0</v>
      </c>
      <c r="L39" s="21">
        <v>0</v>
      </c>
      <c r="M39" s="21">
        <v>0</v>
      </c>
      <c r="N39" s="21">
        <v>19.590499999999999</v>
      </c>
      <c r="O39" s="21">
        <f>SUM(tabCustoUnit[[#This Row],[Salário Base]:[Adicional de Acúmulo de função]])</f>
        <v>563.77049999999997</v>
      </c>
      <c r="P39" s="21">
        <f>tabCustoUnit[[#This Row],[MODULO 1 - REMUNERAÇÃO ]]*SUMIFS(tabParametros[INSS],tabParametros[Código do Posto],tabCustoUnit[[#This Row],[Código do Posto]])</f>
        <v>112.75409999999999</v>
      </c>
      <c r="Q39" s="21">
        <f>tabCustoUnit[[#This Row],[MODULO 1 - REMUNERAÇÃO ]]*SUMIFS(tabParametros[SESI OU SESC],tabParametros[Código do Posto],tabCustoUnit[[#This Row],[Código do Posto]])</f>
        <v>8.4565574999999988</v>
      </c>
      <c r="R39" s="21">
        <f>tabCustoUnit[[#This Row],[MODULO 1 - REMUNERAÇÃO ]]*SUMIFS(tabParametros[SENAI OU SENAC],tabParametros[Código do Posto],tabCustoUnit[[#This Row],[Código do Posto]])</f>
        <v>5.6377049999999995</v>
      </c>
      <c r="S39" s="21">
        <f>tabCustoUnit[[#This Row],[MODULO 1 - REMUNERAÇÃO ]]*SUMIFS(tabParametros[INCRA],tabParametros[Código do Posto],tabCustoUnit[[#This Row],[Código do Posto]])</f>
        <v>1.1275409999999999</v>
      </c>
      <c r="T39" s="21">
        <f>tabCustoUnit[[#This Row],[MODULO 1 - REMUNERAÇÃO ]]*SUMIFS(tabParametros[Salário Educação],tabParametros[Código do Posto],tabCustoUnit[[#This Row],[Código do Posto]])</f>
        <v>14.094262499999999</v>
      </c>
      <c r="U39" s="21">
        <f>tabCustoUnit[[#This Row],[MODULO 1 - REMUNERAÇÃO ]]*SUMIFS(tabParametros[FGTS],tabParametros[Código do Posto],tabCustoUnit[[#This Row],[Código do Posto]])</f>
        <v>45.101639999999996</v>
      </c>
      <c r="V39" s="21">
        <f>tabCustoUnit[[#This Row],[MODULO 1 - REMUNERAÇÃO ]]*SUMIFS(tabParametros[RAT Ajustado],tabParametros[Código do Posto],tabCustoUnit[[#This Row],[Código do Posto]])</f>
        <v>22.550819999999998</v>
      </c>
      <c r="W39" s="21">
        <f>tabCustoUnit[[#This Row],[MODULO 1 - REMUNERAÇÃO ]]*SUMIFS(tabParametros[SEBRAE],tabParametros[Código do Posto],tabCustoUnit[[#This Row],[Código do Posto]])</f>
        <v>3.3826229999999997</v>
      </c>
      <c r="X39" s="21">
        <f>SUM(tabCustoUnit[[#This Row],[INSS]:[SEBRAE]])</f>
        <v>213.10524899999996</v>
      </c>
      <c r="Y39" s="21">
        <f>tabCustoUnit[[#This Row],[MODULO 1 - REMUNERAÇÃO ]]*SUMIFS(tabParametros[13º salário (titular)],tabParametros[Código do Posto],tabCustoUnit[[#This Row],[Código do Posto]])</f>
        <v>46.980874999999997</v>
      </c>
      <c r="Z39" s="21">
        <f>tabCustoUnit[[#This Row],[MODULO 1 - REMUNERAÇÃO ]]*SUMIFS(tabParametros[Férias e Adicional de Férias (titular)],tabParametros[Código do Posto],tabCustoUnit[[#This Row],[Código do Posto]])</f>
        <v>62.641166666666663</v>
      </c>
      <c r="AA39" s="21">
        <f>IFERROR((tabCustoUnit[[#This Row],[Submódulo 2.1]]/tabCustoUnit[[#This Row],[MODULO 1 - REMUNERAÇÃO ]])*SUM(tabCustoUnit[[#This Row],[13º salário (titular)]:[Férias e Adicional de Férias (titular)]]),0)</f>
        <v>41.437131749999992</v>
      </c>
      <c r="AB39" s="21">
        <f>SUM(tabCustoUnit[[#This Row],[13º salário (titular)]:[Incidência do Submódulo 2.1 sobre 13º Salário, Férias e Adicional de Férias]])</f>
        <v>151.05917341666665</v>
      </c>
      <c r="AC39" s="22">
        <f>_xlfn.LET(_xlpm.VT,SUMIF(tabParametros[Código do Posto],tabCustoUnit[[#This Row],[Código do Posto]],tabParametros[Vale - Transporte])*2*20,
IF((_xlpm.VT-tabCustoUnit[[#This Row],[Salário Base]]*0.06)&gt;=0,(_xlpm.VT-tabCustoUnit[[#This Row],[Salário Base]]*0.06),0)
)</f>
        <v>223.3492</v>
      </c>
      <c r="AD39" s="22">
        <f>IF(SUMIF(tabParametros[Código do Posto],tabCustoUnit[[#This Row],[Código do Posto]],tabParametros[Vale - Alimentação])&lt;=0,0,
SUMIF(tabParametros[Código do Posto],tabCustoUnit[[#This Row],[Código do Posto]],tabParametros[Vale - Alimentação])*20-1)</f>
        <v>582</v>
      </c>
      <c r="AE39" s="22">
        <f>SUMIF(tabParametros[Código do Posto],tabCustoUnit[[#This Row],[Código do Posto]],tabParametros[Cesta Básica])</f>
        <v>0</v>
      </c>
      <c r="AF39" s="22">
        <f>SUMIF(tabParametros[Código do Posto],tabCustoUnit[[#This Row],[Código do Posto]],tabParametros[PAF])</f>
        <v>0</v>
      </c>
      <c r="AG39" s="22">
        <f>SUMIF(tabParametros[Código do Posto],tabCustoUnit[[#This Row],[Código do Posto]],tabParametros[PQM])</f>
        <v>0</v>
      </c>
      <c r="AH39" s="22">
        <f>SUMIF(tabParametros[Código do Posto],tabCustoUnit[[#This Row],[Código do Posto]],tabParametros[PAT])</f>
        <v>0</v>
      </c>
      <c r="AI39" s="22">
        <f>SUMIF(tabParametros[Código do Posto],tabCustoUnit[[#This Row],[Código do Posto]],tabParametros[Seguro de Vida])</f>
        <v>3.36</v>
      </c>
      <c r="AJ39" s="22">
        <f>SUMIF(tabParametros[Código do Posto],tabCustoUnit[[#This Row],[Código do Posto]],tabParametros[Despesas de Viagem])</f>
        <v>0</v>
      </c>
      <c r="AK39" s="22">
        <f>SUM(tabCustoUnit[[#This Row],[Vale - Transporte (Descontada parcela do empregado)]:[Despesas de Viagem]])</f>
        <v>808.70920000000001</v>
      </c>
      <c r="AL39" s="22">
        <f>tabCustoUnit[[#This Row],[Submódulo 2.1]]+tabCustoUnit[[#This Row],[Submódulo 2.2]]+tabCustoUnit[[#This Row],[Submódulo 2.3]]</f>
        <v>1172.8736224166666</v>
      </c>
      <c r="AM39" s="22">
        <f>SUMIF(tabParametros[Código do Posto],tabCustoUnit[[#This Row],[Código do Posto]],tabParametros[Aviso Prévio Indenizado (API) e Reflexo do Aviso Prévio Indenizado])*tabCustoUnit[[#This Row],[MODULO 1 - REMUNERAÇÃO ]]</f>
        <v>3.9530273735532404</v>
      </c>
      <c r="AN39" s="22">
        <f>SUMIF(tabParametros[Código do Posto],tabCustoUnit[[#This Row],[Código do Posto]],tabParametros[Incidência do FGTS sobre API e Reflexo do API])*tabCustoUnit[[#This Row],[MODULO 1 - REMUNERAÇÃO ]]</f>
        <v>0.31624218988425928</v>
      </c>
      <c r="AO39" s="22">
        <f>SUMIF(tabParametros[Código do Posto],tabCustoUnit[[#This Row],[Código do Posto]],tabParametros[Multa Rescisória do FGTS sobre o Aviso Prévio Indenizado])*tabCustoUnit[[#This Row],[MODULO 1 - REMUNERAÇÃO ]]</f>
        <v>0.12649687595370371</v>
      </c>
      <c r="AP39" s="22">
        <f>SUMIF(tabParametros[Código do Posto],tabCustoUnit[[#This Row],[Código do Posto]],tabParametros[Aviso Prévio Trabalhado - APT])*tabCustoUnit[[#This Row],[MODULO 1 - REMUNERAÇÃO ]]</f>
        <v>1.9731967500000003</v>
      </c>
      <c r="AQ39" s="22">
        <f>SUMIF(tabParametros[Código do Posto],tabCustoUnit[[#This Row],[Código do Posto]],tabParametros[Incidência dos encargos do submódulo 2.1 sobre Aviso Prévio Trabalhado])*tabCustoUnit[[#This Row],[MODULO 1 - REMUNERAÇÃO ]]</f>
        <v>0.74586837150000018</v>
      </c>
      <c r="AR39" s="22">
        <f>SUMIF(tabParametros[Código do Posto],tabCustoUnit[[#This Row],[Código do Posto]],tabParametros[Multa Rescisória do FGTS])*tabCustoUnit[[#This Row],[MODULO 1 - REMUNERAÇÃO ]]</f>
        <v>17.238849066666663</v>
      </c>
      <c r="AS39" s="22">
        <f>SUMIF(tabParametros[Código do Posto],tabCustoUnit[[#This Row],[Código do Posto]],tabParametros[Indenização Adicional (Art. 9º da Lei nº 7.238/84)])*tabCustoUnit[[#This Row],[MODULO 1 - REMUNERAÇÃO ]]</f>
        <v>0.46980875</v>
      </c>
      <c r="AT39" s="22">
        <f>SUM(tabCustoUnit[[#This Row],[Aviso Prévio Indenizado (API) e Reflexo do Aviso Prévio Indenizado]:[Indenização Adicional (Art. 9º da Lei nº 7.238/84)]])</f>
        <v>24.823489377557866</v>
      </c>
      <c r="AU39" s="22">
        <f>SUMIF(tabParametros[Código do Posto],tabCustoUnit[[#This Row],[Código do Posto]],tabParametros[Ausência por Doença])*tabCustoUnit[[#This Row],[MODULO 1 - REMUNERAÇÃO ]]</f>
        <v>4.7607286666666662</v>
      </c>
      <c r="AV39" s="22">
        <f>SUMIF(tabParametros[Código do Posto],tabCustoUnit[[#This Row],[Código do Posto]],tabParametros[Ausências Legais])*tabCustoUnit[[#This Row],[MODULO 1 - REMUNERAÇÃO ]]</f>
        <v>1.1432012916666665</v>
      </c>
      <c r="AW39" s="22">
        <f>SUMIF(tabParametros[Código do Posto],tabCustoUnit[[#This Row],[Código do Posto]],tabParametros[Licença Paternidade])*tabCustoUnit[[#This Row],[MODULO 1 - REMUNERAÇÃO ]]</f>
        <v>9.6310793749999998E-2</v>
      </c>
      <c r="AX39" s="22">
        <f>SUMIF(tabParametros[Código do Posto],tabCustoUnit[[#This Row],[Código do Posto]],tabParametros[Ausência por Acidente de Trabalho])*tabCustoUnit[[#This Row],[MODULO 1 - REMUNERAÇÃO ]]</f>
        <v>0.1174521875</v>
      </c>
      <c r="AY39" s="22">
        <f>SUMIF(tabParametros[Código do Posto],tabCustoUnit[[#This Row],[Código do Posto]],tabParametros[Férias, Adicional de Férias e 13º  com empregada em gozo de Licença Maternidade])*tabCustoUnit[[#This Row],[MODULO 1 - REMUNERAÇÃO ]]</f>
        <v>0.73081361111111109</v>
      </c>
      <c r="AZ39" s="22">
        <f>SUMIF(tabParametros[Código do Posto],tabCustoUnit[[#This Row],[Código do Posto]],tabParametros[Incidência do Submódulo 2.1 sobre Ausências Legais])*tabCustoUnit[[#This Row],[MODULO 1 - REMUNERAÇÃO ]]</f>
        <v>2.5887354761625003</v>
      </c>
      <c r="BA39" s="22">
        <f>SUM(tabCustoUnit[[#This Row],[Ausência por Doença]:[Incidência do Submódulo 2.1 sobre Ausências Legais]])</f>
        <v>9.4372420268569428</v>
      </c>
      <c r="BB39" s="22">
        <f>SUMIF(tabParametros[Código do Posto],tabCustoUnit[[#This Row],[Código do Posto]],tabParametros[Intervalo para Repouso ou Alimentação])</f>
        <v>0</v>
      </c>
      <c r="BC39" s="22">
        <f>tabCustoUnit[[#This Row],[Intervalo para Repouso ou Alimentação]]</f>
        <v>0</v>
      </c>
      <c r="BD39" s="22">
        <f>IF(VLOOKUP(tabCustoUnit[[#This Row],[Código do Posto]],PARAMETROS!$A$4:$BJ$255,7,0)&lt;=0,0,
IFERROR((tabCustoUnit[[#This Row],[MODULO 1 - REMUNERAÇÃO ]]*VLOOKUP(tabCustoUnit[[#This Row],[Código do Posto]],PARAMETROS!$A$4:$BJ$255,49,0))/(VLOOKUP(tabCustoUnit[[#This Row],[Código do Posto]],PARAMETROS!$A$4:$BJ$255,7,0)*VLOOKUP(tabCustoUnit[[#This Row],[Código do Posto]],PARAMETROS!$A$4:$BJ$255,8,0)),0)
)</f>
        <v>0</v>
      </c>
      <c r="BE39" s="22">
        <f>tabCustoUnit[[#This Row],[Suspensão Temporária do Contrato de Trabalho]]</f>
        <v>0</v>
      </c>
      <c r="BF39" s="22">
        <f>tabCustoUnit[[#This Row],[Submódulo 4.1]]+tabCustoUnit[[#This Row],[Submódulo 4.2]]+tabCustoUnit[[#This Row],[Submódulo 4.3]]</f>
        <v>9.4372420268569428</v>
      </c>
      <c r="BG39" s="22">
        <f>VLOOKUP(tabCustoUnit[[#This Row],[Código do Posto]],tabParametros[],MATCH(tabCustoUnit[[#Headers],[Uniformes e EPIs]],tabParametros[#Headers],0),0)</f>
        <v>62.806666666666665</v>
      </c>
      <c r="BH39" s="22">
        <f>VLOOKUP(tabCustoUnit[[#This Row],[Código do Posto]],tabParametros[],MATCH(tabCustoUnit[[#Headers],[Materiais de Consumo]],tabParametros[#Headers],0),0)</f>
        <v>12.108481690426325</v>
      </c>
      <c r="BI39" s="22">
        <f>VLOOKUP(tabCustoUnit[[#This Row],[Código do Posto]],tabParametros[],MATCH(tabCustoUnit[[#Headers],[Máquinas e Equipamentos (depreciação)]],tabParametros[#Headers],0),0)</f>
        <v>21.998657016417809</v>
      </c>
      <c r="BJ39" s="22">
        <f>VLOOKUP(tabCustoUnit[[#This Row],[Código do Posto]],tabParametros[],MATCH(tabCustoUnit[[#Headers],[Produtos de Limpeza e Materiais de Higiene Pessoal]],tabParametros[#Headers],0),0)</f>
        <v>235.31984072022155</v>
      </c>
      <c r="BK39" s="22">
        <f>VLOOKUP(tabCustoUnit[[#This Row],[Código do Posto]],tabParametros[],MATCH(tabCustoUnit[[#Headers],[Outros (especificar)]],tabParametros[#Headers],0),0)</f>
        <v>0</v>
      </c>
      <c r="BL39" s="22">
        <f>SUM(tabCustoUnit[[#This Row],[Uniformes e EPIs]:[Outros (especificar)]])</f>
        <v>332.23364609373232</v>
      </c>
      <c r="BM39" s="22">
        <f>tabCustoUnit[[#This Row],[MODULO 1 - REMUNERAÇÃO ]]+tabCustoUnit[[#This Row],[MÓDULO 2 - Total Encargos e Benefícios mensais e diários]]+tabCustoUnit[[#This Row],[MÓDULO 3 – PROVISÃO PARA RESCISÃO]]+tabCustoUnit[[#This Row],[MÓDULO 4 – CUSTO DE REPOSIÇÃO DO PROFISSIONAL AUSENTE]]+tabCustoUnit[[#This Row],[MÓDULO 5 – INSUMOS DIVERSOS]]</f>
        <v>2103.1384999148136</v>
      </c>
      <c r="BN39" s="22">
        <f>VLOOKUP(tabCustoUnit[[#This Row],[Código do Posto]],tabParametros[],MATCH(tabCustoUnit[[#Headers],[Custos Indiretos]],tabParametros[#Headers],0),0)</f>
        <v>189.64880140242613</v>
      </c>
      <c r="BO39" s="22">
        <f>VLOOKUP(tabCustoUnit[[#This Row],[Código do Posto]],tabParametros[],MATCH(tabCustoUnit[[#Headers],[Lucro]],tabParametros[#Headers],0),0)</f>
        <v>159.30499317803796</v>
      </c>
      <c r="BP39" s="26">
        <f>((100/((1-tabCustoUnit[[#This Row],[Resumo de Alíquotas (PIS+CONFINS+ISS)]]))-100)*VLOOKUP(tabCustoUnit[[#This Row],[Código do Posto]],tabParametros[],MATCH(tabCustoUnit[[#Headers],[COFINS]],tabParametros[#Headers],0),0))/(tabCustoUnit[[#This Row],[Resumo de Alíquotas (PIS+CONFINS+ISS)]]*100)</f>
        <v>8.6609686609686695E-2</v>
      </c>
      <c r="BQ39" s="26">
        <f>((100/((100-(tabCustoUnit[[#This Row],[Resumo de Alíquotas (PIS+CONFINS+ISS)]]*100))%)-100)*VLOOKUP(tabCustoUnit[[#This Row],[Código do Posto]],tabParametros[],MATCH(tabCustoUnit[[#Headers],[PIS]],tabParametros[#Headers],0),0))/(tabCustoUnit[[#This Row],[Resumo de Alíquotas (PIS+CONFINS+ISS)]]*100)</f>
        <v>1.880341880341882E-2</v>
      </c>
      <c r="BR39" s="28">
        <f>VLOOKUP(tabCustoUnit[[#This Row],[Código do Posto]],tabParametros[],MATCH(tabCustoUnit[[#Headers],[ISS]],tabParametros[#Headers],0),0)</f>
        <v>0.03</v>
      </c>
      <c r="BS39" s="26">
        <f>(((100/((100-(tabCustoUnit[[#This Row],[Resumo de Alíquotas (PIS+CONFINS+ISS)]]*100))%)-100)*tabCustoUnit[[#This Row],[ISS]])/tabCustoUnit[[#This Row],[Resumo de Alíquotas (PIS+CONFINS+ISS)]])/100</f>
        <v>3.4188034188034219E-2</v>
      </c>
      <c r="BT39" s="26">
        <f>(VLOOKUP(tabCustoUnit[[#This Row],[Código do Posto]],tabParametros[],MATCH(tabCustoUnit[[#Headers],[COFINS]],tabParametros[#Headers],0),0)+
VLOOKUP(tabCustoUnit[[#This Row],[Código do Posto]],tabParametros[],MATCH(tabCustoUnit[[#Headers],[PIS]],tabParametros[#Headers],0),0)+
VLOOKUP(tabCustoUnit[[#This Row],[Código do Posto]],tabParametros[],MATCH(tabCustoUnit[[#Headers],[ISS]],tabParametros[#Headers],0),0))</f>
        <v>0.1225</v>
      </c>
      <c r="BU39" s="138">
        <f>tabCustoUnit[[#This Row],[COFINS]]+tabCustoUnit[[#This Row],[PIS]]+tabCustoUnit[[#This Row],[ISS (Conversão Alíquota s/ fatura)]]</f>
        <v>0.13960113960113973</v>
      </c>
      <c r="BV39" s="22">
        <f>(tabCustoUnit[[#This Row],[TOTAL MÓDULOS 1+2+3+4+5]]+tabCustoUnit[[#This Row],[Custos Indiretos]]+tabCustoUnit[[#This Row],[Lucro]])*tabCustoUnit[[#This Row],[PIS + COFINS + ISS (Total Conversão  Alíquota s/ Fatura)]]</f>
        <v>342.31487871871428</v>
      </c>
      <c r="BW39" s="22">
        <f>tabCustoUnit[[#This Row],[Custos Indiretos]]+tabCustoUnit[[#This Row],[Lucro]]+tabCustoUnit[[#This Row],[Valor dos Tributos (ISS, PIS, CONFINS)]]</f>
        <v>691.26867329917832</v>
      </c>
      <c r="BX39" s="22">
        <f>tabCustoUnit[[#This Row],[TOTAL MÓDULOS 1+2+3+4+5]]+tabCustoUnit[[#This Row],[MÓDULO 6 – CUSTOS INDIRETOS, TRIBUTOS E LUCRO]]</f>
        <v>2794.4071732139919</v>
      </c>
      <c r="BY39" s="22">
        <f>tabCustoUnit[[#This Row],[CUSTO TOTAL MENSAL]]*12</f>
        <v>33532.886078567899</v>
      </c>
      <c r="BZ39" s="24">
        <f>VLOOKUP(tabCustoUnit[[#This Row],[Código do Posto]],tabParametros[],MATCH(tabCustoUnit[[#Headers],[ANO DA CCT]],tabParametros[#Headers],0),0)</f>
        <v>45658</v>
      </c>
      <c r="CA39" s="25" t="str">
        <f>VLOOKUP(tabCustoUnit[[#This Row],[Código do Posto]],tabParametros[],MATCH(tabCustoUnit[[#Headers],[Nº DE PEDIDO DA CCT]],tabParametros[#Headers],0),0)</f>
        <v>-</v>
      </c>
      <c r="CB39" s="25" t="str">
        <f>VLOOKUP(tabCustoUnit[[#This Row],[Código do Posto]],tabParametros[],MATCH(tabCustoUnit[[#Headers],[TERMO ADITIVO ALTERAÇÃO DA CCT]],tabParametros[#Headers],0),0)</f>
        <v>-</v>
      </c>
    </row>
    <row r="40" spans="1:80" x14ac:dyDescent="0.25">
      <c r="A40" s="20" t="s">
        <v>1380</v>
      </c>
      <c r="B40" t="s">
        <v>40</v>
      </c>
      <c r="C40" t="s">
        <v>1247</v>
      </c>
      <c r="D40" t="s">
        <v>1010</v>
      </c>
      <c r="E40" s="20" t="s">
        <v>9</v>
      </c>
      <c r="F40" s="20" t="s">
        <v>10</v>
      </c>
      <c r="G40" s="21">
        <v>544.17999999999995</v>
      </c>
      <c r="H40" s="21">
        <v>0</v>
      </c>
      <c r="I40" s="21">
        <v>0</v>
      </c>
      <c r="J40" s="21">
        <v>0</v>
      </c>
      <c r="K40" s="21">
        <v>0</v>
      </c>
      <c r="L40" s="21">
        <v>0</v>
      </c>
      <c r="M40" s="21">
        <v>0</v>
      </c>
      <c r="N40" s="21">
        <v>19.590499999999999</v>
      </c>
      <c r="O40" s="21">
        <f>SUM(tabCustoUnit[[#This Row],[Salário Base]:[Adicional de Acúmulo de função]])</f>
        <v>563.77049999999997</v>
      </c>
      <c r="P40" s="21">
        <f>tabCustoUnit[[#This Row],[MODULO 1 - REMUNERAÇÃO ]]*SUMIFS(tabParametros[INSS],tabParametros[Código do Posto],tabCustoUnit[[#This Row],[Código do Posto]])</f>
        <v>112.75409999999999</v>
      </c>
      <c r="Q40" s="21">
        <f>tabCustoUnit[[#This Row],[MODULO 1 - REMUNERAÇÃO ]]*SUMIFS(tabParametros[SESI OU SESC],tabParametros[Código do Posto],tabCustoUnit[[#This Row],[Código do Posto]])</f>
        <v>8.4565574999999988</v>
      </c>
      <c r="R40" s="21">
        <f>tabCustoUnit[[#This Row],[MODULO 1 - REMUNERAÇÃO ]]*SUMIFS(tabParametros[SENAI OU SENAC],tabParametros[Código do Posto],tabCustoUnit[[#This Row],[Código do Posto]])</f>
        <v>5.6377049999999995</v>
      </c>
      <c r="S40" s="21">
        <f>tabCustoUnit[[#This Row],[MODULO 1 - REMUNERAÇÃO ]]*SUMIFS(tabParametros[INCRA],tabParametros[Código do Posto],tabCustoUnit[[#This Row],[Código do Posto]])</f>
        <v>1.1275409999999999</v>
      </c>
      <c r="T40" s="21">
        <f>tabCustoUnit[[#This Row],[MODULO 1 - REMUNERAÇÃO ]]*SUMIFS(tabParametros[Salário Educação],tabParametros[Código do Posto],tabCustoUnit[[#This Row],[Código do Posto]])</f>
        <v>14.094262499999999</v>
      </c>
      <c r="U40" s="21">
        <f>tabCustoUnit[[#This Row],[MODULO 1 - REMUNERAÇÃO ]]*SUMIFS(tabParametros[FGTS],tabParametros[Código do Posto],tabCustoUnit[[#This Row],[Código do Posto]])</f>
        <v>45.101639999999996</v>
      </c>
      <c r="V40" s="21">
        <f>tabCustoUnit[[#This Row],[MODULO 1 - REMUNERAÇÃO ]]*SUMIFS(tabParametros[RAT Ajustado],tabParametros[Código do Posto],tabCustoUnit[[#This Row],[Código do Posto]])</f>
        <v>22.550819999999998</v>
      </c>
      <c r="W40" s="21">
        <f>tabCustoUnit[[#This Row],[MODULO 1 - REMUNERAÇÃO ]]*SUMIFS(tabParametros[SEBRAE],tabParametros[Código do Posto],tabCustoUnit[[#This Row],[Código do Posto]])</f>
        <v>3.3826229999999997</v>
      </c>
      <c r="X40" s="21">
        <f>SUM(tabCustoUnit[[#This Row],[INSS]:[SEBRAE]])</f>
        <v>213.10524899999996</v>
      </c>
      <c r="Y40" s="21">
        <f>tabCustoUnit[[#This Row],[MODULO 1 - REMUNERAÇÃO ]]*SUMIFS(tabParametros[13º salário (titular)],tabParametros[Código do Posto],tabCustoUnit[[#This Row],[Código do Posto]])</f>
        <v>46.980874999999997</v>
      </c>
      <c r="Z40" s="21">
        <f>tabCustoUnit[[#This Row],[MODULO 1 - REMUNERAÇÃO ]]*SUMIFS(tabParametros[Férias e Adicional de Férias (titular)],tabParametros[Código do Posto],tabCustoUnit[[#This Row],[Código do Posto]])</f>
        <v>62.641166666666663</v>
      </c>
      <c r="AA40" s="21">
        <f>IFERROR((tabCustoUnit[[#This Row],[Submódulo 2.1]]/tabCustoUnit[[#This Row],[MODULO 1 - REMUNERAÇÃO ]])*SUM(tabCustoUnit[[#This Row],[13º salário (titular)]:[Férias e Adicional de Férias (titular)]]),0)</f>
        <v>41.437131749999992</v>
      </c>
      <c r="AB40" s="21">
        <f>SUM(tabCustoUnit[[#This Row],[13º salário (titular)]:[Incidência do Submódulo 2.1 sobre 13º Salário, Férias e Adicional de Férias]])</f>
        <v>151.05917341666665</v>
      </c>
      <c r="AC40" s="22">
        <f>_xlfn.LET(_xlpm.VT,SUMIF(tabParametros[Código do Posto],tabCustoUnit[[#This Row],[Código do Posto]],tabParametros[Vale - Transporte])*2*20,
IF((_xlpm.VT-tabCustoUnit[[#This Row],[Salário Base]]*0.06)&gt;=0,(_xlpm.VT-tabCustoUnit[[#This Row],[Salário Base]]*0.06),0)
)</f>
        <v>223.3492</v>
      </c>
      <c r="AD40" s="22">
        <f>IF(SUMIF(tabParametros[Código do Posto],tabCustoUnit[[#This Row],[Código do Posto]],tabParametros[Vale - Alimentação])&lt;=0,0,
SUMIF(tabParametros[Código do Posto],tabCustoUnit[[#This Row],[Código do Posto]],tabParametros[Vale - Alimentação])*20-1)</f>
        <v>582</v>
      </c>
      <c r="AE40" s="22">
        <f>SUMIF(tabParametros[Código do Posto],tabCustoUnit[[#This Row],[Código do Posto]],tabParametros[Cesta Básica])</f>
        <v>0</v>
      </c>
      <c r="AF40" s="22">
        <f>SUMIF(tabParametros[Código do Posto],tabCustoUnit[[#This Row],[Código do Posto]],tabParametros[PAF])</f>
        <v>0</v>
      </c>
      <c r="AG40" s="22">
        <f>SUMIF(tabParametros[Código do Posto],tabCustoUnit[[#This Row],[Código do Posto]],tabParametros[PQM])</f>
        <v>0</v>
      </c>
      <c r="AH40" s="22">
        <f>SUMIF(tabParametros[Código do Posto],tabCustoUnit[[#This Row],[Código do Posto]],tabParametros[PAT])</f>
        <v>0</v>
      </c>
      <c r="AI40" s="22">
        <f>SUMIF(tabParametros[Código do Posto],tabCustoUnit[[#This Row],[Código do Posto]],tabParametros[Seguro de Vida])</f>
        <v>3.36</v>
      </c>
      <c r="AJ40" s="22">
        <f>SUMIF(tabParametros[Código do Posto],tabCustoUnit[[#This Row],[Código do Posto]],tabParametros[Despesas de Viagem])</f>
        <v>0</v>
      </c>
      <c r="AK40" s="22">
        <f>SUM(tabCustoUnit[[#This Row],[Vale - Transporte (Descontada parcela do empregado)]:[Despesas de Viagem]])</f>
        <v>808.70920000000001</v>
      </c>
      <c r="AL40" s="22">
        <f>tabCustoUnit[[#This Row],[Submódulo 2.1]]+tabCustoUnit[[#This Row],[Submódulo 2.2]]+tabCustoUnit[[#This Row],[Submódulo 2.3]]</f>
        <v>1172.8736224166666</v>
      </c>
      <c r="AM40" s="22">
        <f>SUMIF(tabParametros[Código do Posto],tabCustoUnit[[#This Row],[Código do Posto]],tabParametros[Aviso Prévio Indenizado (API) e Reflexo do Aviso Prévio Indenizado])*tabCustoUnit[[#This Row],[MODULO 1 - REMUNERAÇÃO ]]</f>
        <v>3.9530273735532404</v>
      </c>
      <c r="AN40" s="22">
        <f>SUMIF(tabParametros[Código do Posto],tabCustoUnit[[#This Row],[Código do Posto]],tabParametros[Incidência do FGTS sobre API e Reflexo do API])*tabCustoUnit[[#This Row],[MODULO 1 - REMUNERAÇÃO ]]</f>
        <v>0.31624218988425928</v>
      </c>
      <c r="AO40" s="22">
        <f>SUMIF(tabParametros[Código do Posto],tabCustoUnit[[#This Row],[Código do Posto]],tabParametros[Multa Rescisória do FGTS sobre o Aviso Prévio Indenizado])*tabCustoUnit[[#This Row],[MODULO 1 - REMUNERAÇÃO ]]</f>
        <v>0.12649687595370371</v>
      </c>
      <c r="AP40" s="22">
        <f>SUMIF(tabParametros[Código do Posto],tabCustoUnit[[#This Row],[Código do Posto]],tabParametros[Aviso Prévio Trabalhado - APT])*tabCustoUnit[[#This Row],[MODULO 1 - REMUNERAÇÃO ]]</f>
        <v>1.9731967500000003</v>
      </c>
      <c r="AQ40" s="22">
        <f>SUMIF(tabParametros[Código do Posto],tabCustoUnit[[#This Row],[Código do Posto]],tabParametros[Incidência dos encargos do submódulo 2.1 sobre Aviso Prévio Trabalhado])*tabCustoUnit[[#This Row],[MODULO 1 - REMUNERAÇÃO ]]</f>
        <v>0.74586837150000018</v>
      </c>
      <c r="AR40" s="22">
        <f>SUMIF(tabParametros[Código do Posto],tabCustoUnit[[#This Row],[Código do Posto]],tabParametros[Multa Rescisória do FGTS])*tabCustoUnit[[#This Row],[MODULO 1 - REMUNERAÇÃO ]]</f>
        <v>17.238849066666663</v>
      </c>
      <c r="AS40" s="22">
        <f>SUMIF(tabParametros[Código do Posto],tabCustoUnit[[#This Row],[Código do Posto]],tabParametros[Indenização Adicional (Art. 9º da Lei nº 7.238/84)])*tabCustoUnit[[#This Row],[MODULO 1 - REMUNERAÇÃO ]]</f>
        <v>0.46980875</v>
      </c>
      <c r="AT40" s="22">
        <f>SUM(tabCustoUnit[[#This Row],[Aviso Prévio Indenizado (API) e Reflexo do Aviso Prévio Indenizado]:[Indenização Adicional (Art. 9º da Lei nº 7.238/84)]])</f>
        <v>24.823489377557866</v>
      </c>
      <c r="AU40" s="22">
        <f>SUMIF(tabParametros[Código do Posto],tabCustoUnit[[#This Row],[Código do Posto]],tabParametros[Ausência por Doença])*tabCustoUnit[[#This Row],[MODULO 1 - REMUNERAÇÃO ]]</f>
        <v>4.7607286666666662</v>
      </c>
      <c r="AV40" s="22">
        <f>SUMIF(tabParametros[Código do Posto],tabCustoUnit[[#This Row],[Código do Posto]],tabParametros[Ausências Legais])*tabCustoUnit[[#This Row],[MODULO 1 - REMUNERAÇÃO ]]</f>
        <v>1.1432012916666665</v>
      </c>
      <c r="AW40" s="22">
        <f>SUMIF(tabParametros[Código do Posto],tabCustoUnit[[#This Row],[Código do Posto]],tabParametros[Licença Paternidade])*tabCustoUnit[[#This Row],[MODULO 1 - REMUNERAÇÃO ]]</f>
        <v>9.6310793749999998E-2</v>
      </c>
      <c r="AX40" s="22">
        <f>SUMIF(tabParametros[Código do Posto],tabCustoUnit[[#This Row],[Código do Posto]],tabParametros[Ausência por Acidente de Trabalho])*tabCustoUnit[[#This Row],[MODULO 1 - REMUNERAÇÃO ]]</f>
        <v>0.1174521875</v>
      </c>
      <c r="AY40" s="22">
        <f>SUMIF(tabParametros[Código do Posto],tabCustoUnit[[#This Row],[Código do Posto]],tabParametros[Férias, Adicional de Férias e 13º  com empregada em gozo de Licença Maternidade])*tabCustoUnit[[#This Row],[MODULO 1 - REMUNERAÇÃO ]]</f>
        <v>0.73081361111111109</v>
      </c>
      <c r="AZ40" s="22">
        <f>SUMIF(tabParametros[Código do Posto],tabCustoUnit[[#This Row],[Código do Posto]],tabParametros[Incidência do Submódulo 2.1 sobre Ausências Legais])*tabCustoUnit[[#This Row],[MODULO 1 - REMUNERAÇÃO ]]</f>
        <v>2.5887354761625003</v>
      </c>
      <c r="BA40" s="22">
        <f>SUM(tabCustoUnit[[#This Row],[Ausência por Doença]:[Incidência do Submódulo 2.1 sobre Ausências Legais]])</f>
        <v>9.4372420268569428</v>
      </c>
      <c r="BB40" s="22">
        <f>SUMIF(tabParametros[Código do Posto],tabCustoUnit[[#This Row],[Código do Posto]],tabParametros[Intervalo para Repouso ou Alimentação])</f>
        <v>0</v>
      </c>
      <c r="BC40" s="22">
        <f>tabCustoUnit[[#This Row],[Intervalo para Repouso ou Alimentação]]</f>
        <v>0</v>
      </c>
      <c r="BD40" s="22">
        <f>IF(VLOOKUP(tabCustoUnit[[#This Row],[Código do Posto]],PARAMETROS!$A$4:$BJ$255,7,0)&lt;=0,0,
IFERROR((tabCustoUnit[[#This Row],[MODULO 1 - REMUNERAÇÃO ]]*VLOOKUP(tabCustoUnit[[#This Row],[Código do Posto]],PARAMETROS!$A$4:$BJ$255,49,0))/(VLOOKUP(tabCustoUnit[[#This Row],[Código do Posto]],PARAMETROS!$A$4:$BJ$255,7,0)*VLOOKUP(tabCustoUnit[[#This Row],[Código do Posto]],PARAMETROS!$A$4:$BJ$255,8,0)),0)
)</f>
        <v>0</v>
      </c>
      <c r="BE40" s="22">
        <f>tabCustoUnit[[#This Row],[Suspensão Temporária do Contrato de Trabalho]]</f>
        <v>0</v>
      </c>
      <c r="BF40" s="22">
        <f>tabCustoUnit[[#This Row],[Submódulo 4.1]]+tabCustoUnit[[#This Row],[Submódulo 4.2]]+tabCustoUnit[[#This Row],[Submódulo 4.3]]</f>
        <v>9.4372420268569428</v>
      </c>
      <c r="BG40" s="22">
        <f>VLOOKUP(tabCustoUnit[[#This Row],[Código do Posto]],tabParametros[],MATCH(tabCustoUnit[[#Headers],[Uniformes e EPIs]],tabParametros[#Headers],0),0)</f>
        <v>62.806666666666665</v>
      </c>
      <c r="BH40" s="22">
        <f>VLOOKUP(tabCustoUnit[[#This Row],[Código do Posto]],tabParametros[],MATCH(tabCustoUnit[[#Headers],[Materiais de Consumo]],tabParametros[#Headers],0),0)</f>
        <v>12.108481690426325</v>
      </c>
      <c r="BI40" s="22">
        <f>VLOOKUP(tabCustoUnit[[#This Row],[Código do Posto]],tabParametros[],MATCH(tabCustoUnit[[#Headers],[Máquinas e Equipamentos (depreciação)]],tabParametros[#Headers],0),0)</f>
        <v>21.998657016417809</v>
      </c>
      <c r="BJ40" s="22">
        <f>VLOOKUP(tabCustoUnit[[#This Row],[Código do Posto]],tabParametros[],MATCH(tabCustoUnit[[#Headers],[Produtos de Limpeza e Materiais de Higiene Pessoal]],tabParametros[#Headers],0),0)</f>
        <v>235.31984072022155</v>
      </c>
      <c r="BK40" s="22">
        <f>VLOOKUP(tabCustoUnit[[#This Row],[Código do Posto]],tabParametros[],MATCH(tabCustoUnit[[#Headers],[Outros (especificar)]],tabParametros[#Headers],0),0)</f>
        <v>0</v>
      </c>
      <c r="BL40" s="22">
        <f>SUM(tabCustoUnit[[#This Row],[Uniformes e EPIs]:[Outros (especificar)]])</f>
        <v>332.23364609373232</v>
      </c>
      <c r="BM40" s="22">
        <f>tabCustoUnit[[#This Row],[MODULO 1 - REMUNERAÇÃO ]]+tabCustoUnit[[#This Row],[MÓDULO 2 - Total Encargos e Benefícios mensais e diários]]+tabCustoUnit[[#This Row],[MÓDULO 3 – PROVISÃO PARA RESCISÃO]]+tabCustoUnit[[#This Row],[MÓDULO 4 – CUSTO DE REPOSIÇÃO DO PROFISSIONAL AUSENTE]]+tabCustoUnit[[#This Row],[MÓDULO 5 – INSUMOS DIVERSOS]]</f>
        <v>2103.1384999148136</v>
      </c>
      <c r="BN40" s="22">
        <f>VLOOKUP(tabCustoUnit[[#This Row],[Código do Posto]],tabParametros[],MATCH(tabCustoUnit[[#Headers],[Custos Indiretos]],tabParametros[#Headers],0),0)</f>
        <v>189.64880140242613</v>
      </c>
      <c r="BO40" s="22">
        <f>VLOOKUP(tabCustoUnit[[#This Row],[Código do Posto]],tabParametros[],MATCH(tabCustoUnit[[#Headers],[Lucro]],tabParametros[#Headers],0),0)</f>
        <v>159.30499317803796</v>
      </c>
      <c r="BP40" s="26">
        <f>((100/((1-tabCustoUnit[[#This Row],[Resumo de Alíquotas (PIS+CONFINS+ISS)]]))-100)*VLOOKUP(tabCustoUnit[[#This Row],[Código do Posto]],tabParametros[],MATCH(tabCustoUnit[[#Headers],[COFINS]],tabParametros[#Headers],0),0))/(tabCustoUnit[[#This Row],[Resumo de Alíquotas (PIS+CONFINS+ISS)]]*100)</f>
        <v>8.5633802816901458E-2</v>
      </c>
      <c r="BQ40" s="26">
        <f>((100/((100-(tabCustoUnit[[#This Row],[Resumo de Alíquotas (PIS+CONFINS+ISS)]]*100))%)-100)*VLOOKUP(tabCustoUnit[[#This Row],[Código do Posto]],tabParametros[],MATCH(tabCustoUnit[[#Headers],[PIS]],tabParametros[#Headers],0),0))/(tabCustoUnit[[#This Row],[Resumo de Alíquotas (PIS+CONFINS+ISS)]]*100)</f>
        <v>1.8591549295774657E-2</v>
      </c>
      <c r="BR40" s="28">
        <f>VLOOKUP(tabCustoUnit[[#This Row],[Código do Posto]],tabParametros[],MATCH(tabCustoUnit[[#Headers],[ISS]],tabParametros[#Headers],0),0)</f>
        <v>0.02</v>
      </c>
      <c r="BS40" s="26">
        <f>(((100/((100-(tabCustoUnit[[#This Row],[Resumo de Alíquotas (PIS+CONFINS+ISS)]]*100))%)-100)*tabCustoUnit[[#This Row],[ISS]])/tabCustoUnit[[#This Row],[Resumo de Alíquotas (PIS+CONFINS+ISS)]])/100</f>
        <v>2.2535211267605645E-2</v>
      </c>
      <c r="BT40" s="26">
        <f>(VLOOKUP(tabCustoUnit[[#This Row],[Código do Posto]],tabParametros[],MATCH(tabCustoUnit[[#Headers],[COFINS]],tabParametros[#Headers],0),0)+
VLOOKUP(tabCustoUnit[[#This Row],[Código do Posto]],tabParametros[],MATCH(tabCustoUnit[[#Headers],[PIS]],tabParametros[#Headers],0),0)+
VLOOKUP(tabCustoUnit[[#This Row],[Código do Posto]],tabParametros[],MATCH(tabCustoUnit[[#Headers],[ISS]],tabParametros[#Headers],0),0))</f>
        <v>0.1125</v>
      </c>
      <c r="BU40" s="138">
        <f>tabCustoUnit[[#This Row],[COFINS]]+tabCustoUnit[[#This Row],[PIS]]+tabCustoUnit[[#This Row],[ISS (Conversão Alíquota s/ fatura)]]</f>
        <v>0.12676056338028174</v>
      </c>
      <c r="BV40" s="22">
        <f>(tabCustoUnit[[#This Row],[TOTAL MÓDULOS 1+2+3+4+5]]+tabCustoUnit[[#This Row],[Custos Indiretos]]+tabCustoUnit[[#This Row],[Lucro]])*tabCustoUnit[[#This Row],[PIS + COFINS + ISS (Total Conversão  Alíquota s/ Fatura)]]</f>
        <v>310.82860071066915</v>
      </c>
      <c r="BW40" s="22">
        <f>tabCustoUnit[[#This Row],[Custos Indiretos]]+tabCustoUnit[[#This Row],[Lucro]]+tabCustoUnit[[#This Row],[Valor dos Tributos (ISS, PIS, CONFINS)]]</f>
        <v>659.7823952911333</v>
      </c>
      <c r="BX40" s="22">
        <f>tabCustoUnit[[#This Row],[TOTAL MÓDULOS 1+2+3+4+5]]+tabCustoUnit[[#This Row],[MÓDULO 6 – CUSTOS INDIRETOS, TRIBUTOS E LUCRO]]</f>
        <v>2762.9208952059471</v>
      </c>
      <c r="BY40" s="22">
        <f>tabCustoUnit[[#This Row],[CUSTO TOTAL MENSAL]]*12</f>
        <v>33155.050742471365</v>
      </c>
      <c r="BZ40" s="24">
        <f>VLOOKUP(tabCustoUnit[[#This Row],[Código do Posto]],tabParametros[],MATCH(tabCustoUnit[[#Headers],[ANO DA CCT]],tabParametros[#Headers],0),0)</f>
        <v>45658</v>
      </c>
      <c r="CA40" s="25" t="str">
        <f>VLOOKUP(tabCustoUnit[[#This Row],[Código do Posto]],tabParametros[],MATCH(tabCustoUnit[[#Headers],[Nº DE PEDIDO DA CCT]],tabParametros[#Headers],0),0)</f>
        <v>-</v>
      </c>
      <c r="CB40" s="25" t="str">
        <f>VLOOKUP(tabCustoUnit[[#This Row],[Código do Posto]],tabParametros[],MATCH(tabCustoUnit[[#Headers],[TERMO ADITIVO ALTERAÇÃO DA CCT]],tabParametros[#Headers],0),0)</f>
        <v>-</v>
      </c>
    </row>
    <row r="41" spans="1:80" x14ac:dyDescent="0.25">
      <c r="A41" s="20" t="s">
        <v>1381</v>
      </c>
      <c r="B41" t="s">
        <v>1348</v>
      </c>
      <c r="C41" t="s">
        <v>1244</v>
      </c>
      <c r="D41" t="s">
        <v>1000</v>
      </c>
      <c r="E41" s="20" t="s">
        <v>9</v>
      </c>
      <c r="F41" s="20" t="s">
        <v>10</v>
      </c>
      <c r="G41" s="21">
        <v>798.14</v>
      </c>
      <c r="H41" s="21">
        <v>0</v>
      </c>
      <c r="I41" s="21">
        <v>0</v>
      </c>
      <c r="J41" s="21">
        <v>0</v>
      </c>
      <c r="K41" s="21">
        <v>0</v>
      </c>
      <c r="L41" s="21">
        <v>0</v>
      </c>
      <c r="M41" s="21">
        <v>0</v>
      </c>
      <c r="N41" s="21">
        <v>26.120899999999999</v>
      </c>
      <c r="O41" s="21">
        <f>SUM(tabCustoUnit[[#This Row],[Salário Base]:[Adicional de Acúmulo de função]])</f>
        <v>824.26089999999999</v>
      </c>
      <c r="P41" s="21">
        <f>tabCustoUnit[[#This Row],[MODULO 1 - REMUNERAÇÃO ]]*SUMIFS(tabParametros[INSS],tabParametros[Código do Posto],tabCustoUnit[[#This Row],[Código do Posto]])</f>
        <v>164.85218</v>
      </c>
      <c r="Q41" s="21">
        <f>tabCustoUnit[[#This Row],[MODULO 1 - REMUNERAÇÃO ]]*SUMIFS(tabParametros[SESI OU SESC],tabParametros[Código do Posto],tabCustoUnit[[#This Row],[Código do Posto]])</f>
        <v>12.363913499999999</v>
      </c>
      <c r="R41" s="21">
        <f>tabCustoUnit[[#This Row],[MODULO 1 - REMUNERAÇÃO ]]*SUMIFS(tabParametros[SENAI OU SENAC],tabParametros[Código do Posto],tabCustoUnit[[#This Row],[Código do Posto]])</f>
        <v>8.2426089999999999</v>
      </c>
      <c r="S41" s="21">
        <f>tabCustoUnit[[#This Row],[MODULO 1 - REMUNERAÇÃO ]]*SUMIFS(tabParametros[INCRA],tabParametros[Código do Posto],tabCustoUnit[[#This Row],[Código do Posto]])</f>
        <v>1.6485217999999999</v>
      </c>
      <c r="T41" s="21">
        <f>tabCustoUnit[[#This Row],[MODULO 1 - REMUNERAÇÃO ]]*SUMIFS(tabParametros[Salário Educação],tabParametros[Código do Posto],tabCustoUnit[[#This Row],[Código do Posto]])</f>
        <v>20.606522500000001</v>
      </c>
      <c r="U41" s="21">
        <f>tabCustoUnit[[#This Row],[MODULO 1 - REMUNERAÇÃO ]]*SUMIFS(tabParametros[FGTS],tabParametros[Código do Posto],tabCustoUnit[[#This Row],[Código do Posto]])</f>
        <v>65.940871999999999</v>
      </c>
      <c r="V41" s="21">
        <f>tabCustoUnit[[#This Row],[MODULO 1 - REMUNERAÇÃO ]]*SUMIFS(tabParametros[RAT Ajustado],tabParametros[Código do Posto],tabCustoUnit[[#This Row],[Código do Posto]])</f>
        <v>32.970435999999999</v>
      </c>
      <c r="W41" s="21">
        <f>tabCustoUnit[[#This Row],[MODULO 1 - REMUNERAÇÃO ]]*SUMIFS(tabParametros[SEBRAE],tabParametros[Código do Posto],tabCustoUnit[[#This Row],[Código do Posto]])</f>
        <v>4.9455654000000004</v>
      </c>
      <c r="X41" s="21">
        <f>SUM(tabCustoUnit[[#This Row],[INSS]:[SEBRAE]])</f>
        <v>311.57062020000001</v>
      </c>
      <c r="Y41" s="21">
        <f>tabCustoUnit[[#This Row],[MODULO 1 - REMUNERAÇÃO ]]*SUMIFS(tabParametros[13º salário (titular)],tabParametros[Código do Posto],tabCustoUnit[[#This Row],[Código do Posto]])</f>
        <v>68.688408333333328</v>
      </c>
      <c r="Z41" s="21">
        <f>tabCustoUnit[[#This Row],[MODULO 1 - REMUNERAÇÃO ]]*SUMIFS(tabParametros[Férias e Adicional de Férias (titular)],tabParametros[Código do Posto],tabCustoUnit[[#This Row],[Código do Posto]])</f>
        <v>91.584544444444433</v>
      </c>
      <c r="AA41" s="21">
        <f>IFERROR((tabCustoUnit[[#This Row],[Submódulo 2.1]]/tabCustoUnit[[#This Row],[MODULO 1 - REMUNERAÇÃO ]])*SUM(tabCustoUnit[[#This Row],[13º salário (titular)]:[Férias e Adicional de Férias (titular)]]),0)</f>
        <v>60.583176149999993</v>
      </c>
      <c r="AB41" s="21">
        <f>SUM(tabCustoUnit[[#This Row],[13º salário (titular)]:[Incidência do Submódulo 2.1 sobre 13º Salário, Férias e Adicional de Férias]])</f>
        <v>220.85612892777775</v>
      </c>
      <c r="AC41" s="22">
        <f>_xlfn.LET(_xlpm.VT,SUMIF(tabParametros[Código do Posto],tabCustoUnit[[#This Row],[Código do Posto]],tabParametros[Vale - Transporte])*2*20,
IF((_xlpm.VT-tabCustoUnit[[#This Row],[Salário Base]]*0.06)&gt;=0,(_xlpm.VT-tabCustoUnit[[#This Row],[Salário Base]]*0.06),0)
)</f>
        <v>208.11160000000001</v>
      </c>
      <c r="AD41" s="22">
        <f>IF(SUMIF(tabParametros[Código do Posto],tabCustoUnit[[#This Row],[Código do Posto]],tabParametros[Vale - Alimentação])&lt;=0,0,
SUMIF(tabParametros[Código do Posto],tabCustoUnit[[#This Row],[Código do Posto]],tabParametros[Vale - Alimentação])*20-1)</f>
        <v>582</v>
      </c>
      <c r="AE41" s="22">
        <f>SUMIF(tabParametros[Código do Posto],tabCustoUnit[[#This Row],[Código do Posto]],tabParametros[Cesta Básica])</f>
        <v>0</v>
      </c>
      <c r="AF41" s="22">
        <f>SUMIF(tabParametros[Código do Posto],tabCustoUnit[[#This Row],[Código do Posto]],tabParametros[PAF])</f>
        <v>0</v>
      </c>
      <c r="AG41" s="22">
        <f>SUMIF(tabParametros[Código do Posto],tabCustoUnit[[#This Row],[Código do Posto]],tabParametros[PQM])</f>
        <v>15.07</v>
      </c>
      <c r="AH41" s="22">
        <f>SUMIF(tabParametros[Código do Posto],tabCustoUnit[[#This Row],[Código do Posto]],tabParametros[PAT])</f>
        <v>0</v>
      </c>
      <c r="AI41" s="22">
        <f>SUMIF(tabParametros[Código do Posto],tabCustoUnit[[#This Row],[Código do Posto]],tabParametros[Seguro de Vida])</f>
        <v>3.36</v>
      </c>
      <c r="AJ41" s="22">
        <f>SUMIF(tabParametros[Código do Posto],tabCustoUnit[[#This Row],[Código do Posto]],tabParametros[Despesas de Viagem])</f>
        <v>0</v>
      </c>
      <c r="AK41" s="22">
        <f>SUM(tabCustoUnit[[#This Row],[Vale - Transporte (Descontada parcela do empregado)]:[Despesas de Viagem]])</f>
        <v>808.54160000000002</v>
      </c>
      <c r="AL41" s="22">
        <f>tabCustoUnit[[#This Row],[Submódulo 2.1]]+tabCustoUnit[[#This Row],[Submódulo 2.2]]+tabCustoUnit[[#This Row],[Submódulo 2.3]]</f>
        <v>1340.9683491277779</v>
      </c>
      <c r="AM41" s="22">
        <f>SUMIF(tabParametros[Código do Posto],tabCustoUnit[[#This Row],[Código do Posto]],tabParametros[Aviso Prévio Indenizado (API) e Reflexo do Aviso Prévio Indenizado])*tabCustoUnit[[#This Row],[MODULO 1 - REMUNERAÇÃO ]]</f>
        <v>5.7795253576581791</v>
      </c>
      <c r="AN41" s="22">
        <f>SUMIF(tabParametros[Código do Posto],tabCustoUnit[[#This Row],[Código do Posto]],tabParametros[Incidência do FGTS sobre API e Reflexo do API])*tabCustoUnit[[#This Row],[MODULO 1 - REMUNERAÇÃO ]]</f>
        <v>0.46236202861265435</v>
      </c>
      <c r="AO41" s="22">
        <f>SUMIF(tabParametros[Código do Posto],tabCustoUnit[[#This Row],[Código do Posto]],tabParametros[Multa Rescisória do FGTS sobre o Aviso Prévio Indenizado])*tabCustoUnit[[#This Row],[MODULO 1 - REMUNERAÇÃO ]]</f>
        <v>0.18494481144506175</v>
      </c>
      <c r="AP41" s="22">
        <f>SUMIF(tabParametros[Código do Posto],tabCustoUnit[[#This Row],[Código do Posto]],tabParametros[Aviso Prévio Trabalhado - APT])*tabCustoUnit[[#This Row],[MODULO 1 - REMUNERAÇÃO ]]</f>
        <v>2.8849131500000005</v>
      </c>
      <c r="AQ41" s="22">
        <f>SUMIF(tabParametros[Código do Posto],tabCustoUnit[[#This Row],[Código do Posto]],tabParametros[Incidência dos encargos do submódulo 2.1 sobre Aviso Prévio Trabalhado])*tabCustoUnit[[#This Row],[MODULO 1 - REMUNERAÇÃO ]]</f>
        <v>1.0904971707000004</v>
      </c>
      <c r="AR41" s="22">
        <f>SUMIF(tabParametros[Código do Posto],tabCustoUnit[[#This Row],[Código do Posto]],tabParametros[Multa Rescisória do FGTS])*tabCustoUnit[[#This Row],[MODULO 1 - REMUNERAÇÃO ]]</f>
        <v>25.204066631111107</v>
      </c>
      <c r="AS41" s="22">
        <f>SUMIF(tabParametros[Código do Posto],tabCustoUnit[[#This Row],[Código do Posto]],tabParametros[Indenização Adicional (Art. 9º da Lei nº 7.238/84)])*tabCustoUnit[[#This Row],[MODULO 1 - REMUNERAÇÃO ]]</f>
        <v>0.6868840833333334</v>
      </c>
      <c r="AT41" s="22">
        <f>SUM(tabCustoUnit[[#This Row],[Aviso Prévio Indenizado (API) e Reflexo do Aviso Prévio Indenizado]:[Indenização Adicional (Art. 9º da Lei nº 7.238/84)]])</f>
        <v>36.293193232860339</v>
      </c>
      <c r="AU41" s="22">
        <f>SUMIF(tabParametros[Código do Posto],tabCustoUnit[[#This Row],[Código do Posto]],tabParametros[Ausência por Doença])*tabCustoUnit[[#This Row],[MODULO 1 - REMUNERAÇÃO ]]</f>
        <v>6.9604253777777769</v>
      </c>
      <c r="AV41" s="22">
        <f>SUMIF(tabParametros[Código do Posto],tabCustoUnit[[#This Row],[Código do Posto]],tabParametros[Ausências Legais])*tabCustoUnit[[#This Row],[MODULO 1 - REMUNERAÇÃO ]]</f>
        <v>1.671417936111111</v>
      </c>
      <c r="AW41" s="22">
        <f>SUMIF(tabParametros[Código do Posto],tabCustoUnit[[#This Row],[Código do Posto]],tabParametros[Licença Paternidade])*tabCustoUnit[[#This Row],[MODULO 1 - REMUNERAÇÃO ]]</f>
        <v>0.14081123708333332</v>
      </c>
      <c r="AX41" s="22">
        <f>SUMIF(tabParametros[Código do Posto],tabCustoUnit[[#This Row],[Código do Posto]],tabParametros[Ausência por Acidente de Trabalho])*tabCustoUnit[[#This Row],[MODULO 1 - REMUNERAÇÃO ]]</f>
        <v>0.17172102083333335</v>
      </c>
      <c r="AY41" s="22">
        <f>SUMIF(tabParametros[Código do Posto],tabCustoUnit[[#This Row],[Código do Posto]],tabParametros[Férias, Adicional de Férias e 13º  com empregada em gozo de Licença Maternidade])*tabCustoUnit[[#This Row],[MODULO 1 - REMUNERAÇÃO ]]</f>
        <v>1.0684863518518517</v>
      </c>
      <c r="AZ41" s="22">
        <f>SUMIF(tabParametros[Código do Posto],tabCustoUnit[[#This Row],[Código do Posto]],tabParametros[Incidência do Submódulo 2.1 sobre Ausências Legais])*tabCustoUnit[[#This Row],[MODULO 1 - REMUNERAÇÃO ]]</f>
        <v>3.7848618071425006</v>
      </c>
      <c r="BA41" s="22">
        <f>SUM(tabCustoUnit[[#This Row],[Ausência por Doença]:[Incidência do Submódulo 2.1 sobre Ausências Legais]])</f>
        <v>13.797723730799909</v>
      </c>
      <c r="BB41" s="22">
        <f>SUMIF(tabParametros[Código do Posto],tabCustoUnit[[#This Row],[Código do Posto]],tabParametros[Intervalo para Repouso ou Alimentação])</f>
        <v>0</v>
      </c>
      <c r="BC41" s="22">
        <f>tabCustoUnit[[#This Row],[Intervalo para Repouso ou Alimentação]]</f>
        <v>0</v>
      </c>
      <c r="BD41" s="22">
        <f>IF(VLOOKUP(tabCustoUnit[[#This Row],[Código do Posto]],PARAMETROS!$A$4:$BJ$255,7,0)&lt;=0,0,
IFERROR((tabCustoUnit[[#This Row],[MODULO 1 - REMUNERAÇÃO ]]*VLOOKUP(tabCustoUnit[[#This Row],[Código do Posto]],PARAMETROS!$A$4:$BJ$255,49,0))/(VLOOKUP(tabCustoUnit[[#This Row],[Código do Posto]],PARAMETROS!$A$4:$BJ$255,7,0)*VLOOKUP(tabCustoUnit[[#This Row],[Código do Posto]],PARAMETROS!$A$4:$BJ$255,8,0)),0)
)</f>
        <v>0</v>
      </c>
      <c r="BE41" s="22">
        <f>tabCustoUnit[[#This Row],[Suspensão Temporária do Contrato de Trabalho]]</f>
        <v>0</v>
      </c>
      <c r="BF41" s="22">
        <f>tabCustoUnit[[#This Row],[Submódulo 4.1]]+tabCustoUnit[[#This Row],[Submódulo 4.2]]+tabCustoUnit[[#This Row],[Submódulo 4.3]]</f>
        <v>13.797723730799909</v>
      </c>
      <c r="BG41" s="22">
        <f>VLOOKUP(tabCustoUnit[[#This Row],[Código do Posto]],tabParametros[],MATCH(tabCustoUnit[[#Headers],[Uniformes e EPIs]],tabParametros[#Headers],0),0)</f>
        <v>62.806666666666665</v>
      </c>
      <c r="BH41" s="22">
        <f>VLOOKUP(tabCustoUnit[[#This Row],[Código do Posto]],tabParametros[],MATCH(tabCustoUnit[[#Headers],[Materiais de Consumo]],tabParametros[#Headers],0),0)</f>
        <v>17.759106479291944</v>
      </c>
      <c r="BI41" s="22">
        <f>VLOOKUP(tabCustoUnit[[#This Row],[Código do Posto]],tabParametros[],MATCH(tabCustoUnit[[#Headers],[Máquinas e Equipamentos (depreciação)]],tabParametros[#Headers],0),0)</f>
        <v>32.264696957412788</v>
      </c>
      <c r="BJ41" s="22">
        <f>VLOOKUP(tabCustoUnit[[#This Row],[Código do Posto]],tabParametros[],MATCH(tabCustoUnit[[#Headers],[Produtos de Limpeza e Materiais de Higiene Pessoal]],tabParametros[#Headers],0),0)</f>
        <v>345.13576638965827</v>
      </c>
      <c r="BK41" s="22">
        <f>VLOOKUP(tabCustoUnit[[#This Row],[Código do Posto]],tabParametros[],MATCH(tabCustoUnit[[#Headers],[Outros (especificar)]],tabParametros[#Headers],0),0)</f>
        <v>0</v>
      </c>
      <c r="BL41" s="22">
        <f>SUM(tabCustoUnit[[#This Row],[Uniformes e EPIs]:[Outros (especificar)]])</f>
        <v>457.96623649302967</v>
      </c>
      <c r="BM41" s="22">
        <f>tabCustoUnit[[#This Row],[MODULO 1 - REMUNERAÇÃO ]]+tabCustoUnit[[#This Row],[MÓDULO 2 - Total Encargos e Benefícios mensais e diários]]+tabCustoUnit[[#This Row],[MÓDULO 3 – PROVISÃO PARA RESCISÃO]]+tabCustoUnit[[#This Row],[MÓDULO 4 – CUSTO DE REPOSIÇÃO DO PROFISSIONAL AUSENTE]]+tabCustoUnit[[#This Row],[MÓDULO 5 – INSUMOS DIVERSOS]]</f>
        <v>2673.2864025844674</v>
      </c>
      <c r="BN41" s="22">
        <f>VLOOKUP(tabCustoUnit[[#This Row],[Código do Posto]],tabParametros[],MATCH(tabCustoUnit[[#Headers],[Custos Indiretos]],tabParametros[#Headers],0),0)</f>
        <v>189.64880140242613</v>
      </c>
      <c r="BO41" s="22">
        <f>VLOOKUP(tabCustoUnit[[#This Row],[Código do Posto]],tabParametros[],MATCH(tabCustoUnit[[#Headers],[Lucro]],tabParametros[#Headers],0),0)</f>
        <v>159.30499317803796</v>
      </c>
      <c r="BP41" s="26">
        <f>((100/((1-tabCustoUnit[[#This Row],[Resumo de Alíquotas (PIS+CONFINS+ISS)]]))-100)*VLOOKUP(tabCustoUnit[[#This Row],[Código do Posto]],tabParametros[],MATCH(tabCustoUnit[[#Headers],[COFINS]],tabParametros[#Headers],0),0))/(tabCustoUnit[[#This Row],[Resumo de Alíquotas (PIS+CONFINS+ISS)]]*100)</f>
        <v>8.5633802816901458E-2</v>
      </c>
      <c r="BQ41" s="26">
        <f>((100/((100-(tabCustoUnit[[#This Row],[Resumo de Alíquotas (PIS+CONFINS+ISS)]]*100))%)-100)*VLOOKUP(tabCustoUnit[[#This Row],[Código do Posto]],tabParametros[],MATCH(tabCustoUnit[[#Headers],[PIS]],tabParametros[#Headers],0),0))/(tabCustoUnit[[#This Row],[Resumo de Alíquotas (PIS+CONFINS+ISS)]]*100)</f>
        <v>1.8591549295774657E-2</v>
      </c>
      <c r="BR41" s="28">
        <f>VLOOKUP(tabCustoUnit[[#This Row],[Código do Posto]],tabParametros[],MATCH(tabCustoUnit[[#Headers],[ISS]],tabParametros[#Headers],0),0)</f>
        <v>0.02</v>
      </c>
      <c r="BS41" s="26">
        <f>(((100/((100-(tabCustoUnit[[#This Row],[Resumo de Alíquotas (PIS+CONFINS+ISS)]]*100))%)-100)*tabCustoUnit[[#This Row],[ISS]])/tabCustoUnit[[#This Row],[Resumo de Alíquotas (PIS+CONFINS+ISS)]])/100</f>
        <v>2.2535211267605645E-2</v>
      </c>
      <c r="BT41" s="26">
        <f>(VLOOKUP(tabCustoUnit[[#This Row],[Código do Posto]],tabParametros[],MATCH(tabCustoUnit[[#Headers],[COFINS]],tabParametros[#Headers],0),0)+
VLOOKUP(tabCustoUnit[[#This Row],[Código do Posto]],tabParametros[],MATCH(tabCustoUnit[[#Headers],[PIS]],tabParametros[#Headers],0),0)+
VLOOKUP(tabCustoUnit[[#This Row],[Código do Posto]],tabParametros[],MATCH(tabCustoUnit[[#Headers],[ISS]],tabParametros[#Headers],0),0))</f>
        <v>0.1125</v>
      </c>
      <c r="BU41" s="138">
        <f>tabCustoUnit[[#This Row],[COFINS]]+tabCustoUnit[[#This Row],[PIS]]+tabCustoUnit[[#This Row],[ISS (Conversão Alíquota s/ fatura)]]</f>
        <v>0.12676056338028174</v>
      </c>
      <c r="BV41" s="22">
        <f>(tabCustoUnit[[#This Row],[TOTAL MÓDULOS 1+2+3+4+5]]+tabCustoUnit[[#This Row],[Custos Indiretos]]+tabCustoUnit[[#This Row],[Lucro]])*tabCustoUnit[[#This Row],[PIS + COFINS + ISS (Total Conversão  Alíquota s/ Fatura)]]</f>
        <v>383.10087006316047</v>
      </c>
      <c r="BW41" s="22">
        <f>tabCustoUnit[[#This Row],[Custos Indiretos]]+tabCustoUnit[[#This Row],[Lucro]]+tabCustoUnit[[#This Row],[Valor dos Tributos (ISS, PIS, CONFINS)]]</f>
        <v>732.05466464362462</v>
      </c>
      <c r="BX41" s="22">
        <f>tabCustoUnit[[#This Row],[TOTAL MÓDULOS 1+2+3+4+5]]+tabCustoUnit[[#This Row],[MÓDULO 6 – CUSTOS INDIRETOS, TRIBUTOS E LUCRO]]</f>
        <v>3405.341067228092</v>
      </c>
      <c r="BY41" s="22">
        <f>tabCustoUnit[[#This Row],[CUSTO TOTAL MENSAL]]*12</f>
        <v>40864.092806737106</v>
      </c>
      <c r="BZ41" s="24">
        <f>VLOOKUP(tabCustoUnit[[#This Row],[Código do Posto]],tabParametros[],MATCH(tabCustoUnit[[#Headers],[ANO DA CCT]],tabParametros[#Headers],0),0)</f>
        <v>45658</v>
      </c>
      <c r="CA41" s="25" t="str">
        <f>VLOOKUP(tabCustoUnit[[#This Row],[Código do Posto]],tabParametros[],MATCH(tabCustoUnit[[#Headers],[Nº DE PEDIDO DA CCT]],tabParametros[#Headers],0),0)</f>
        <v>-</v>
      </c>
      <c r="CB41" s="25" t="str">
        <f>VLOOKUP(tabCustoUnit[[#This Row],[Código do Posto]],tabParametros[],MATCH(tabCustoUnit[[#Headers],[TERMO ADITIVO ALTERAÇÃO DA CCT]],tabParametros[#Headers],0),0)</f>
        <v>-</v>
      </c>
    </row>
    <row r="42" spans="1:80" x14ac:dyDescent="0.25">
      <c r="A42" s="20" t="s">
        <v>1382</v>
      </c>
      <c r="B42" t="s">
        <v>41</v>
      </c>
      <c r="C42" t="s">
        <v>1244</v>
      </c>
      <c r="D42" t="s">
        <v>1041</v>
      </c>
      <c r="E42" s="20" t="s">
        <v>9</v>
      </c>
      <c r="F42" s="20" t="s">
        <v>10</v>
      </c>
      <c r="G42" s="21">
        <v>798.14</v>
      </c>
      <c r="H42" s="21">
        <v>0</v>
      </c>
      <c r="I42" s="21">
        <v>0</v>
      </c>
      <c r="J42" s="21">
        <v>0</v>
      </c>
      <c r="K42" s="21">
        <v>0</v>
      </c>
      <c r="L42" s="21">
        <v>0</v>
      </c>
      <c r="M42" s="21">
        <v>0</v>
      </c>
      <c r="N42" s="21">
        <v>26.120899999999999</v>
      </c>
      <c r="O42" s="21">
        <f>SUM(tabCustoUnit[[#This Row],[Salário Base]:[Adicional de Acúmulo de função]])</f>
        <v>824.26089999999999</v>
      </c>
      <c r="P42" s="21">
        <f>tabCustoUnit[[#This Row],[MODULO 1 - REMUNERAÇÃO ]]*SUMIFS(tabParametros[INSS],tabParametros[Código do Posto],tabCustoUnit[[#This Row],[Código do Posto]])</f>
        <v>164.85218</v>
      </c>
      <c r="Q42" s="21">
        <f>tabCustoUnit[[#This Row],[MODULO 1 - REMUNERAÇÃO ]]*SUMIFS(tabParametros[SESI OU SESC],tabParametros[Código do Posto],tabCustoUnit[[#This Row],[Código do Posto]])</f>
        <v>12.363913499999999</v>
      </c>
      <c r="R42" s="21">
        <f>tabCustoUnit[[#This Row],[MODULO 1 - REMUNERAÇÃO ]]*SUMIFS(tabParametros[SENAI OU SENAC],tabParametros[Código do Posto],tabCustoUnit[[#This Row],[Código do Posto]])</f>
        <v>8.2426089999999999</v>
      </c>
      <c r="S42" s="21">
        <f>tabCustoUnit[[#This Row],[MODULO 1 - REMUNERAÇÃO ]]*SUMIFS(tabParametros[INCRA],tabParametros[Código do Posto],tabCustoUnit[[#This Row],[Código do Posto]])</f>
        <v>1.6485217999999999</v>
      </c>
      <c r="T42" s="21">
        <f>tabCustoUnit[[#This Row],[MODULO 1 - REMUNERAÇÃO ]]*SUMIFS(tabParametros[Salário Educação],tabParametros[Código do Posto],tabCustoUnit[[#This Row],[Código do Posto]])</f>
        <v>20.606522500000001</v>
      </c>
      <c r="U42" s="21">
        <f>tabCustoUnit[[#This Row],[MODULO 1 - REMUNERAÇÃO ]]*SUMIFS(tabParametros[FGTS],tabParametros[Código do Posto],tabCustoUnit[[#This Row],[Código do Posto]])</f>
        <v>65.940871999999999</v>
      </c>
      <c r="V42" s="21">
        <f>tabCustoUnit[[#This Row],[MODULO 1 - REMUNERAÇÃO ]]*SUMIFS(tabParametros[RAT Ajustado],tabParametros[Código do Posto],tabCustoUnit[[#This Row],[Código do Posto]])</f>
        <v>32.970435999999999</v>
      </c>
      <c r="W42" s="21">
        <f>tabCustoUnit[[#This Row],[MODULO 1 - REMUNERAÇÃO ]]*SUMIFS(tabParametros[SEBRAE],tabParametros[Código do Posto],tabCustoUnit[[#This Row],[Código do Posto]])</f>
        <v>4.9455654000000004</v>
      </c>
      <c r="X42" s="21">
        <f>SUM(tabCustoUnit[[#This Row],[INSS]:[SEBRAE]])</f>
        <v>311.57062020000001</v>
      </c>
      <c r="Y42" s="21">
        <f>tabCustoUnit[[#This Row],[MODULO 1 - REMUNERAÇÃO ]]*SUMIFS(tabParametros[13º salário (titular)],tabParametros[Código do Posto],tabCustoUnit[[#This Row],[Código do Posto]])</f>
        <v>68.688408333333328</v>
      </c>
      <c r="Z42" s="21">
        <f>tabCustoUnit[[#This Row],[MODULO 1 - REMUNERAÇÃO ]]*SUMIFS(tabParametros[Férias e Adicional de Férias (titular)],tabParametros[Código do Posto],tabCustoUnit[[#This Row],[Código do Posto]])</f>
        <v>91.584544444444433</v>
      </c>
      <c r="AA42" s="21">
        <f>IFERROR((tabCustoUnit[[#This Row],[Submódulo 2.1]]/tabCustoUnit[[#This Row],[MODULO 1 - REMUNERAÇÃO ]])*SUM(tabCustoUnit[[#This Row],[13º salário (titular)]:[Férias e Adicional de Férias (titular)]]),0)</f>
        <v>60.583176149999993</v>
      </c>
      <c r="AB42" s="21">
        <f>SUM(tabCustoUnit[[#This Row],[13º salário (titular)]:[Incidência do Submódulo 2.1 sobre 13º Salário, Férias e Adicional de Férias]])</f>
        <v>220.85612892777775</v>
      </c>
      <c r="AC42" s="22">
        <f>_xlfn.LET(_xlpm.VT,SUMIF(tabParametros[Código do Posto],tabCustoUnit[[#This Row],[Código do Posto]],tabParametros[Vale - Transporte])*2*20,
IF((_xlpm.VT-tabCustoUnit[[#This Row],[Salário Base]]*0.06)&gt;=0,(_xlpm.VT-tabCustoUnit[[#This Row],[Salário Base]]*0.06),0)
)</f>
        <v>208.11160000000001</v>
      </c>
      <c r="AD42" s="22">
        <f>IF(SUMIF(tabParametros[Código do Posto],tabCustoUnit[[#This Row],[Código do Posto]],tabParametros[Vale - Alimentação])&lt;=0,0,
SUMIF(tabParametros[Código do Posto],tabCustoUnit[[#This Row],[Código do Posto]],tabParametros[Vale - Alimentação])*20-1)</f>
        <v>582</v>
      </c>
      <c r="AE42" s="22">
        <f>SUMIF(tabParametros[Código do Posto],tabCustoUnit[[#This Row],[Código do Posto]],tabParametros[Cesta Básica])</f>
        <v>0</v>
      </c>
      <c r="AF42" s="22">
        <f>SUMIF(tabParametros[Código do Posto],tabCustoUnit[[#This Row],[Código do Posto]],tabParametros[PAF])</f>
        <v>0</v>
      </c>
      <c r="AG42" s="22">
        <f>SUMIF(tabParametros[Código do Posto],tabCustoUnit[[#This Row],[Código do Posto]],tabParametros[PQM])</f>
        <v>0</v>
      </c>
      <c r="AH42" s="22">
        <f>SUMIF(tabParametros[Código do Posto],tabCustoUnit[[#This Row],[Código do Posto]],tabParametros[PAT])</f>
        <v>0</v>
      </c>
      <c r="AI42" s="22">
        <f>SUMIF(tabParametros[Código do Posto],tabCustoUnit[[#This Row],[Código do Posto]],tabParametros[Seguro de Vida])</f>
        <v>3.36</v>
      </c>
      <c r="AJ42" s="22">
        <f>SUMIF(tabParametros[Código do Posto],tabCustoUnit[[#This Row],[Código do Posto]],tabParametros[Despesas de Viagem])</f>
        <v>0</v>
      </c>
      <c r="AK42" s="22">
        <f>SUM(tabCustoUnit[[#This Row],[Vale - Transporte (Descontada parcela do empregado)]:[Despesas de Viagem]])</f>
        <v>793.47159999999997</v>
      </c>
      <c r="AL42" s="22">
        <f>tabCustoUnit[[#This Row],[Submódulo 2.1]]+tabCustoUnit[[#This Row],[Submódulo 2.2]]+tabCustoUnit[[#This Row],[Submódulo 2.3]]</f>
        <v>1325.8983491277777</v>
      </c>
      <c r="AM42" s="22">
        <f>SUMIF(tabParametros[Código do Posto],tabCustoUnit[[#This Row],[Código do Posto]],tabParametros[Aviso Prévio Indenizado (API) e Reflexo do Aviso Prévio Indenizado])*tabCustoUnit[[#This Row],[MODULO 1 - REMUNERAÇÃO ]]</f>
        <v>5.7795253576581791</v>
      </c>
      <c r="AN42" s="22">
        <f>SUMIF(tabParametros[Código do Posto],tabCustoUnit[[#This Row],[Código do Posto]],tabParametros[Incidência do FGTS sobre API e Reflexo do API])*tabCustoUnit[[#This Row],[MODULO 1 - REMUNERAÇÃO ]]</f>
        <v>0.46236202861265435</v>
      </c>
      <c r="AO42" s="22">
        <f>SUMIF(tabParametros[Código do Posto],tabCustoUnit[[#This Row],[Código do Posto]],tabParametros[Multa Rescisória do FGTS sobre o Aviso Prévio Indenizado])*tabCustoUnit[[#This Row],[MODULO 1 - REMUNERAÇÃO ]]</f>
        <v>0.18494481144506175</v>
      </c>
      <c r="AP42" s="22">
        <f>SUMIF(tabParametros[Código do Posto],tabCustoUnit[[#This Row],[Código do Posto]],tabParametros[Aviso Prévio Trabalhado - APT])*tabCustoUnit[[#This Row],[MODULO 1 - REMUNERAÇÃO ]]</f>
        <v>2.8849131500000005</v>
      </c>
      <c r="AQ42" s="22">
        <f>SUMIF(tabParametros[Código do Posto],tabCustoUnit[[#This Row],[Código do Posto]],tabParametros[Incidência dos encargos do submódulo 2.1 sobre Aviso Prévio Trabalhado])*tabCustoUnit[[#This Row],[MODULO 1 - REMUNERAÇÃO ]]</f>
        <v>1.0904971707000004</v>
      </c>
      <c r="AR42" s="22">
        <f>SUMIF(tabParametros[Código do Posto],tabCustoUnit[[#This Row],[Código do Posto]],tabParametros[Multa Rescisória do FGTS])*tabCustoUnit[[#This Row],[MODULO 1 - REMUNERAÇÃO ]]</f>
        <v>25.204066631111107</v>
      </c>
      <c r="AS42" s="22">
        <f>SUMIF(tabParametros[Código do Posto],tabCustoUnit[[#This Row],[Código do Posto]],tabParametros[Indenização Adicional (Art. 9º da Lei nº 7.238/84)])*tabCustoUnit[[#This Row],[MODULO 1 - REMUNERAÇÃO ]]</f>
        <v>0.6868840833333334</v>
      </c>
      <c r="AT42" s="22">
        <f>SUM(tabCustoUnit[[#This Row],[Aviso Prévio Indenizado (API) e Reflexo do Aviso Prévio Indenizado]:[Indenização Adicional (Art. 9º da Lei nº 7.238/84)]])</f>
        <v>36.293193232860339</v>
      </c>
      <c r="AU42" s="22">
        <f>SUMIF(tabParametros[Código do Posto],tabCustoUnit[[#This Row],[Código do Posto]],tabParametros[Ausência por Doença])*tabCustoUnit[[#This Row],[MODULO 1 - REMUNERAÇÃO ]]</f>
        <v>6.9604253777777769</v>
      </c>
      <c r="AV42" s="22">
        <f>SUMIF(tabParametros[Código do Posto],tabCustoUnit[[#This Row],[Código do Posto]],tabParametros[Ausências Legais])*tabCustoUnit[[#This Row],[MODULO 1 - REMUNERAÇÃO ]]</f>
        <v>1.671417936111111</v>
      </c>
      <c r="AW42" s="22">
        <f>SUMIF(tabParametros[Código do Posto],tabCustoUnit[[#This Row],[Código do Posto]],tabParametros[Licença Paternidade])*tabCustoUnit[[#This Row],[MODULO 1 - REMUNERAÇÃO ]]</f>
        <v>0.14081123708333332</v>
      </c>
      <c r="AX42" s="22">
        <f>SUMIF(tabParametros[Código do Posto],tabCustoUnit[[#This Row],[Código do Posto]],tabParametros[Ausência por Acidente de Trabalho])*tabCustoUnit[[#This Row],[MODULO 1 - REMUNERAÇÃO ]]</f>
        <v>0.17172102083333335</v>
      </c>
      <c r="AY42" s="22">
        <f>SUMIF(tabParametros[Código do Posto],tabCustoUnit[[#This Row],[Código do Posto]],tabParametros[Férias, Adicional de Férias e 13º  com empregada em gozo de Licença Maternidade])*tabCustoUnit[[#This Row],[MODULO 1 - REMUNERAÇÃO ]]</f>
        <v>1.0684863518518517</v>
      </c>
      <c r="AZ42" s="22">
        <f>SUMIF(tabParametros[Código do Posto],tabCustoUnit[[#This Row],[Código do Posto]],tabParametros[Incidência do Submódulo 2.1 sobre Ausências Legais])*tabCustoUnit[[#This Row],[MODULO 1 - REMUNERAÇÃO ]]</f>
        <v>3.7848618071425006</v>
      </c>
      <c r="BA42" s="22">
        <f>SUM(tabCustoUnit[[#This Row],[Ausência por Doença]:[Incidência do Submódulo 2.1 sobre Ausências Legais]])</f>
        <v>13.797723730799909</v>
      </c>
      <c r="BB42" s="22">
        <f>SUMIF(tabParametros[Código do Posto],tabCustoUnit[[#This Row],[Código do Posto]],tabParametros[Intervalo para Repouso ou Alimentação])</f>
        <v>0</v>
      </c>
      <c r="BC42" s="22">
        <f>tabCustoUnit[[#This Row],[Intervalo para Repouso ou Alimentação]]</f>
        <v>0</v>
      </c>
      <c r="BD42" s="22">
        <f>IF(VLOOKUP(tabCustoUnit[[#This Row],[Código do Posto]],PARAMETROS!$A$4:$BJ$255,7,0)&lt;=0,0,
IFERROR((tabCustoUnit[[#This Row],[MODULO 1 - REMUNERAÇÃO ]]*VLOOKUP(tabCustoUnit[[#This Row],[Código do Posto]],PARAMETROS!$A$4:$BJ$255,49,0))/(VLOOKUP(tabCustoUnit[[#This Row],[Código do Posto]],PARAMETROS!$A$4:$BJ$255,7,0)*VLOOKUP(tabCustoUnit[[#This Row],[Código do Posto]],PARAMETROS!$A$4:$BJ$255,8,0)),0)
)</f>
        <v>0</v>
      </c>
      <c r="BE42" s="22">
        <f>tabCustoUnit[[#This Row],[Suspensão Temporária do Contrato de Trabalho]]</f>
        <v>0</v>
      </c>
      <c r="BF42" s="22">
        <f>tabCustoUnit[[#This Row],[Submódulo 4.1]]+tabCustoUnit[[#This Row],[Submódulo 4.2]]+tabCustoUnit[[#This Row],[Submódulo 4.3]]</f>
        <v>13.797723730799909</v>
      </c>
      <c r="BG42" s="22">
        <f>VLOOKUP(tabCustoUnit[[#This Row],[Código do Posto]],tabParametros[],MATCH(tabCustoUnit[[#Headers],[Uniformes e EPIs]],tabParametros[#Headers],0),0)</f>
        <v>62.806666666666665</v>
      </c>
      <c r="BH42" s="22">
        <f>VLOOKUP(tabCustoUnit[[#This Row],[Código do Posto]],tabParametros[],MATCH(tabCustoUnit[[#Headers],[Materiais de Consumo]],tabParametros[#Headers],0),0)</f>
        <v>17.759106479291944</v>
      </c>
      <c r="BI42" s="22">
        <f>VLOOKUP(tabCustoUnit[[#This Row],[Código do Posto]],tabParametros[],MATCH(tabCustoUnit[[#Headers],[Máquinas e Equipamentos (depreciação)]],tabParametros[#Headers],0),0)</f>
        <v>32.264696957412788</v>
      </c>
      <c r="BJ42" s="22">
        <f>VLOOKUP(tabCustoUnit[[#This Row],[Código do Posto]],tabParametros[],MATCH(tabCustoUnit[[#Headers],[Produtos de Limpeza e Materiais de Higiene Pessoal]],tabParametros[#Headers],0),0)</f>
        <v>345.13576638965827</v>
      </c>
      <c r="BK42" s="22">
        <f>VLOOKUP(tabCustoUnit[[#This Row],[Código do Posto]],tabParametros[],MATCH(tabCustoUnit[[#Headers],[Outros (especificar)]],tabParametros[#Headers],0),0)</f>
        <v>0</v>
      </c>
      <c r="BL42" s="22">
        <f>SUM(tabCustoUnit[[#This Row],[Uniformes e EPIs]:[Outros (especificar)]])</f>
        <v>457.96623649302967</v>
      </c>
      <c r="BM42" s="22">
        <f>tabCustoUnit[[#This Row],[MODULO 1 - REMUNERAÇÃO ]]+tabCustoUnit[[#This Row],[MÓDULO 2 - Total Encargos e Benefícios mensais e diários]]+tabCustoUnit[[#This Row],[MÓDULO 3 – PROVISÃO PARA RESCISÃO]]+tabCustoUnit[[#This Row],[MÓDULO 4 – CUSTO DE REPOSIÇÃO DO PROFISSIONAL AUSENTE]]+tabCustoUnit[[#This Row],[MÓDULO 5 – INSUMOS DIVERSOS]]</f>
        <v>2658.2164025844677</v>
      </c>
      <c r="BN42" s="22">
        <f>VLOOKUP(tabCustoUnit[[#This Row],[Código do Posto]],tabParametros[],MATCH(tabCustoUnit[[#Headers],[Custos Indiretos]],tabParametros[#Headers],0),0)</f>
        <v>189.64880140242613</v>
      </c>
      <c r="BO42" s="22">
        <f>VLOOKUP(tabCustoUnit[[#This Row],[Código do Posto]],tabParametros[],MATCH(tabCustoUnit[[#Headers],[Lucro]],tabParametros[#Headers],0),0)</f>
        <v>159.30499317803796</v>
      </c>
      <c r="BP42" s="26">
        <f>((100/((1-tabCustoUnit[[#This Row],[Resumo de Alíquotas (PIS+CONFINS+ISS)]]))-100)*VLOOKUP(tabCustoUnit[[#This Row],[Código do Posto]],tabParametros[],MATCH(tabCustoUnit[[#Headers],[COFINS]],tabParametros[#Headers],0),0))/(tabCustoUnit[[#This Row],[Resumo de Alíquotas (PIS+CONFINS+ISS)]]*100)</f>
        <v>8.6609686609686695E-2</v>
      </c>
      <c r="BQ42" s="26">
        <f>((100/((100-(tabCustoUnit[[#This Row],[Resumo de Alíquotas (PIS+CONFINS+ISS)]]*100))%)-100)*VLOOKUP(tabCustoUnit[[#This Row],[Código do Posto]],tabParametros[],MATCH(tabCustoUnit[[#Headers],[PIS]],tabParametros[#Headers],0),0))/(tabCustoUnit[[#This Row],[Resumo de Alíquotas (PIS+CONFINS+ISS)]]*100)</f>
        <v>1.880341880341882E-2</v>
      </c>
      <c r="BR42" s="28">
        <f>VLOOKUP(tabCustoUnit[[#This Row],[Código do Posto]],tabParametros[],MATCH(tabCustoUnit[[#Headers],[ISS]],tabParametros[#Headers],0),0)</f>
        <v>0.03</v>
      </c>
      <c r="BS42" s="26">
        <f>(((100/((100-(tabCustoUnit[[#This Row],[Resumo de Alíquotas (PIS+CONFINS+ISS)]]*100))%)-100)*tabCustoUnit[[#This Row],[ISS]])/tabCustoUnit[[#This Row],[Resumo de Alíquotas (PIS+CONFINS+ISS)]])/100</f>
        <v>3.4188034188034219E-2</v>
      </c>
      <c r="BT42" s="26">
        <f>(VLOOKUP(tabCustoUnit[[#This Row],[Código do Posto]],tabParametros[],MATCH(tabCustoUnit[[#Headers],[COFINS]],tabParametros[#Headers],0),0)+
VLOOKUP(tabCustoUnit[[#This Row],[Código do Posto]],tabParametros[],MATCH(tabCustoUnit[[#Headers],[PIS]],tabParametros[#Headers],0),0)+
VLOOKUP(tabCustoUnit[[#This Row],[Código do Posto]],tabParametros[],MATCH(tabCustoUnit[[#Headers],[ISS]],tabParametros[#Headers],0),0))</f>
        <v>0.1225</v>
      </c>
      <c r="BU42" s="138">
        <f>tabCustoUnit[[#This Row],[COFINS]]+tabCustoUnit[[#This Row],[PIS]]+tabCustoUnit[[#This Row],[ISS (Conversão Alíquota s/ fatura)]]</f>
        <v>0.13960113960113973</v>
      </c>
      <c r="BV42" s="22">
        <f>(tabCustoUnit[[#This Row],[TOTAL MÓDULOS 1+2+3+4+5]]+tabCustoUnit[[#This Row],[Custos Indiretos]]+tabCustoUnit[[#This Row],[Lucro]])*tabCustoUnit[[#This Row],[PIS + COFINS + ISS (Total Conversão  Alíquota s/ Fatura)]]</f>
        <v>419.80438649880853</v>
      </c>
      <c r="BW42" s="22">
        <f>tabCustoUnit[[#This Row],[Custos Indiretos]]+tabCustoUnit[[#This Row],[Lucro]]+tabCustoUnit[[#This Row],[Valor dos Tributos (ISS, PIS, CONFINS)]]</f>
        <v>768.75818107927262</v>
      </c>
      <c r="BX42" s="22">
        <f>tabCustoUnit[[#This Row],[TOTAL MÓDULOS 1+2+3+4+5]]+tabCustoUnit[[#This Row],[MÓDULO 6 – CUSTOS INDIRETOS, TRIBUTOS E LUCRO]]</f>
        <v>3426.9745836637403</v>
      </c>
      <c r="BY42" s="22">
        <f>tabCustoUnit[[#This Row],[CUSTO TOTAL MENSAL]]*12</f>
        <v>41123.69500396488</v>
      </c>
      <c r="BZ42" s="24">
        <f>VLOOKUP(tabCustoUnit[[#This Row],[Código do Posto]],tabParametros[],MATCH(tabCustoUnit[[#Headers],[ANO DA CCT]],tabParametros[#Headers],0),0)</f>
        <v>45658</v>
      </c>
      <c r="CA42" s="25" t="str">
        <f>VLOOKUP(tabCustoUnit[[#This Row],[Código do Posto]],tabParametros[],MATCH(tabCustoUnit[[#Headers],[Nº DE PEDIDO DA CCT]],tabParametros[#Headers],0),0)</f>
        <v>-</v>
      </c>
      <c r="CB42" s="25" t="str">
        <f>VLOOKUP(tabCustoUnit[[#This Row],[Código do Posto]],tabParametros[],MATCH(tabCustoUnit[[#Headers],[TERMO ADITIVO ALTERAÇÃO DA CCT]],tabParametros[#Headers],0),0)</f>
        <v>-</v>
      </c>
    </row>
    <row r="43" spans="1:80" x14ac:dyDescent="0.25">
      <c r="A43" s="20" t="s">
        <v>1383</v>
      </c>
      <c r="B43" t="s">
        <v>42</v>
      </c>
      <c r="C43" t="s">
        <v>1247</v>
      </c>
      <c r="D43" t="s">
        <v>1000</v>
      </c>
      <c r="E43" s="20" t="s">
        <v>9</v>
      </c>
      <c r="F43" s="20" t="s">
        <v>10</v>
      </c>
      <c r="G43" s="21">
        <v>544.17999999999995</v>
      </c>
      <c r="H43" s="21">
        <v>0</v>
      </c>
      <c r="I43" s="21">
        <v>0</v>
      </c>
      <c r="J43" s="21">
        <v>0</v>
      </c>
      <c r="K43" s="21">
        <v>0</v>
      </c>
      <c r="L43" s="21">
        <v>0</v>
      </c>
      <c r="M43" s="21">
        <v>0</v>
      </c>
      <c r="N43" s="21">
        <v>19.590499999999999</v>
      </c>
      <c r="O43" s="21">
        <f>SUM(tabCustoUnit[[#This Row],[Salário Base]:[Adicional de Acúmulo de função]])</f>
        <v>563.77049999999997</v>
      </c>
      <c r="P43" s="21">
        <f>tabCustoUnit[[#This Row],[MODULO 1 - REMUNERAÇÃO ]]*SUMIFS(tabParametros[INSS],tabParametros[Código do Posto],tabCustoUnit[[#This Row],[Código do Posto]])</f>
        <v>112.75409999999999</v>
      </c>
      <c r="Q43" s="21">
        <f>tabCustoUnit[[#This Row],[MODULO 1 - REMUNERAÇÃO ]]*SUMIFS(tabParametros[SESI OU SESC],tabParametros[Código do Posto],tabCustoUnit[[#This Row],[Código do Posto]])</f>
        <v>8.4565574999999988</v>
      </c>
      <c r="R43" s="21">
        <f>tabCustoUnit[[#This Row],[MODULO 1 - REMUNERAÇÃO ]]*SUMIFS(tabParametros[SENAI OU SENAC],tabParametros[Código do Posto],tabCustoUnit[[#This Row],[Código do Posto]])</f>
        <v>5.6377049999999995</v>
      </c>
      <c r="S43" s="21">
        <f>tabCustoUnit[[#This Row],[MODULO 1 - REMUNERAÇÃO ]]*SUMIFS(tabParametros[INCRA],tabParametros[Código do Posto],tabCustoUnit[[#This Row],[Código do Posto]])</f>
        <v>1.1275409999999999</v>
      </c>
      <c r="T43" s="21">
        <f>tabCustoUnit[[#This Row],[MODULO 1 - REMUNERAÇÃO ]]*SUMIFS(tabParametros[Salário Educação],tabParametros[Código do Posto],tabCustoUnit[[#This Row],[Código do Posto]])</f>
        <v>14.094262499999999</v>
      </c>
      <c r="U43" s="21">
        <f>tabCustoUnit[[#This Row],[MODULO 1 - REMUNERAÇÃO ]]*SUMIFS(tabParametros[FGTS],tabParametros[Código do Posto],tabCustoUnit[[#This Row],[Código do Posto]])</f>
        <v>45.101639999999996</v>
      </c>
      <c r="V43" s="21">
        <f>tabCustoUnit[[#This Row],[MODULO 1 - REMUNERAÇÃO ]]*SUMIFS(tabParametros[RAT Ajustado],tabParametros[Código do Posto],tabCustoUnit[[#This Row],[Código do Posto]])</f>
        <v>22.550819999999998</v>
      </c>
      <c r="W43" s="21">
        <f>tabCustoUnit[[#This Row],[MODULO 1 - REMUNERAÇÃO ]]*SUMIFS(tabParametros[SEBRAE],tabParametros[Código do Posto],tabCustoUnit[[#This Row],[Código do Posto]])</f>
        <v>3.3826229999999997</v>
      </c>
      <c r="X43" s="21">
        <f>SUM(tabCustoUnit[[#This Row],[INSS]:[SEBRAE]])</f>
        <v>213.10524899999996</v>
      </c>
      <c r="Y43" s="21">
        <f>tabCustoUnit[[#This Row],[MODULO 1 - REMUNERAÇÃO ]]*SUMIFS(tabParametros[13º salário (titular)],tabParametros[Código do Posto],tabCustoUnit[[#This Row],[Código do Posto]])</f>
        <v>46.980874999999997</v>
      </c>
      <c r="Z43" s="21">
        <f>tabCustoUnit[[#This Row],[MODULO 1 - REMUNERAÇÃO ]]*SUMIFS(tabParametros[Férias e Adicional de Férias (titular)],tabParametros[Código do Posto],tabCustoUnit[[#This Row],[Código do Posto]])</f>
        <v>62.641166666666663</v>
      </c>
      <c r="AA43" s="21">
        <f>IFERROR((tabCustoUnit[[#This Row],[Submódulo 2.1]]/tabCustoUnit[[#This Row],[MODULO 1 - REMUNERAÇÃO ]])*SUM(tabCustoUnit[[#This Row],[13º salário (titular)]:[Férias e Adicional de Férias (titular)]]),0)</f>
        <v>41.437131749999992</v>
      </c>
      <c r="AB43" s="21">
        <f>SUM(tabCustoUnit[[#This Row],[13º salário (titular)]:[Incidência do Submódulo 2.1 sobre 13º Salário, Férias e Adicional de Férias]])</f>
        <v>151.05917341666665</v>
      </c>
      <c r="AC43" s="22">
        <f>_xlfn.LET(_xlpm.VT,SUMIF(tabParametros[Código do Posto],tabCustoUnit[[#This Row],[Código do Posto]],tabParametros[Vale - Transporte])*2*20,
IF((_xlpm.VT-tabCustoUnit[[#This Row],[Salário Base]]*0.06)&gt;=0,(_xlpm.VT-tabCustoUnit[[#This Row],[Salário Base]]*0.06),0)
)</f>
        <v>223.3492</v>
      </c>
      <c r="AD43" s="22">
        <f>IF(SUMIF(tabParametros[Código do Posto],tabCustoUnit[[#This Row],[Código do Posto]],tabParametros[Vale - Alimentação])&lt;=0,0,
SUMIF(tabParametros[Código do Posto],tabCustoUnit[[#This Row],[Código do Posto]],tabParametros[Vale - Alimentação])*20-1)</f>
        <v>582</v>
      </c>
      <c r="AE43" s="22">
        <f>SUMIF(tabParametros[Código do Posto],tabCustoUnit[[#This Row],[Código do Posto]],tabParametros[Cesta Básica])</f>
        <v>0</v>
      </c>
      <c r="AF43" s="22">
        <f>SUMIF(tabParametros[Código do Posto],tabCustoUnit[[#This Row],[Código do Posto]],tabParametros[PAF])</f>
        <v>0</v>
      </c>
      <c r="AG43" s="22">
        <f>SUMIF(tabParametros[Código do Posto],tabCustoUnit[[#This Row],[Código do Posto]],tabParametros[PQM])</f>
        <v>15.07</v>
      </c>
      <c r="AH43" s="22">
        <f>SUMIF(tabParametros[Código do Posto],tabCustoUnit[[#This Row],[Código do Posto]],tabParametros[PAT])</f>
        <v>0</v>
      </c>
      <c r="AI43" s="22">
        <f>SUMIF(tabParametros[Código do Posto],tabCustoUnit[[#This Row],[Código do Posto]],tabParametros[Seguro de Vida])</f>
        <v>3.36</v>
      </c>
      <c r="AJ43" s="22">
        <f>SUMIF(tabParametros[Código do Posto],tabCustoUnit[[#This Row],[Código do Posto]],tabParametros[Despesas de Viagem])</f>
        <v>0</v>
      </c>
      <c r="AK43" s="22">
        <f>SUM(tabCustoUnit[[#This Row],[Vale - Transporte (Descontada parcela do empregado)]:[Despesas de Viagem]])</f>
        <v>823.77920000000006</v>
      </c>
      <c r="AL43" s="22">
        <f>tabCustoUnit[[#This Row],[Submódulo 2.1]]+tabCustoUnit[[#This Row],[Submódulo 2.2]]+tabCustoUnit[[#This Row],[Submódulo 2.3]]</f>
        <v>1187.9436224166666</v>
      </c>
      <c r="AM43" s="22">
        <f>SUMIF(tabParametros[Código do Posto],tabCustoUnit[[#This Row],[Código do Posto]],tabParametros[Aviso Prévio Indenizado (API) e Reflexo do Aviso Prévio Indenizado])*tabCustoUnit[[#This Row],[MODULO 1 - REMUNERAÇÃO ]]</f>
        <v>3.9530273735532404</v>
      </c>
      <c r="AN43" s="22">
        <f>SUMIF(tabParametros[Código do Posto],tabCustoUnit[[#This Row],[Código do Posto]],tabParametros[Incidência do FGTS sobre API e Reflexo do API])*tabCustoUnit[[#This Row],[MODULO 1 - REMUNERAÇÃO ]]</f>
        <v>0.31624218988425928</v>
      </c>
      <c r="AO43" s="22">
        <f>SUMIF(tabParametros[Código do Posto],tabCustoUnit[[#This Row],[Código do Posto]],tabParametros[Multa Rescisória do FGTS sobre o Aviso Prévio Indenizado])*tabCustoUnit[[#This Row],[MODULO 1 - REMUNERAÇÃO ]]</f>
        <v>0.12649687595370371</v>
      </c>
      <c r="AP43" s="22">
        <f>SUMIF(tabParametros[Código do Posto],tabCustoUnit[[#This Row],[Código do Posto]],tabParametros[Aviso Prévio Trabalhado - APT])*tabCustoUnit[[#This Row],[MODULO 1 - REMUNERAÇÃO ]]</f>
        <v>1.9731967500000003</v>
      </c>
      <c r="AQ43" s="22">
        <f>SUMIF(tabParametros[Código do Posto],tabCustoUnit[[#This Row],[Código do Posto]],tabParametros[Incidência dos encargos do submódulo 2.1 sobre Aviso Prévio Trabalhado])*tabCustoUnit[[#This Row],[MODULO 1 - REMUNERAÇÃO ]]</f>
        <v>0.74586837150000018</v>
      </c>
      <c r="AR43" s="22">
        <f>SUMIF(tabParametros[Código do Posto],tabCustoUnit[[#This Row],[Código do Posto]],tabParametros[Multa Rescisória do FGTS])*tabCustoUnit[[#This Row],[MODULO 1 - REMUNERAÇÃO ]]</f>
        <v>17.238849066666663</v>
      </c>
      <c r="AS43" s="22">
        <f>SUMIF(tabParametros[Código do Posto],tabCustoUnit[[#This Row],[Código do Posto]],tabParametros[Indenização Adicional (Art. 9º da Lei nº 7.238/84)])*tabCustoUnit[[#This Row],[MODULO 1 - REMUNERAÇÃO ]]</f>
        <v>0.46980875</v>
      </c>
      <c r="AT43" s="22">
        <f>SUM(tabCustoUnit[[#This Row],[Aviso Prévio Indenizado (API) e Reflexo do Aviso Prévio Indenizado]:[Indenização Adicional (Art. 9º da Lei nº 7.238/84)]])</f>
        <v>24.823489377557866</v>
      </c>
      <c r="AU43" s="22">
        <f>SUMIF(tabParametros[Código do Posto],tabCustoUnit[[#This Row],[Código do Posto]],tabParametros[Ausência por Doença])*tabCustoUnit[[#This Row],[MODULO 1 - REMUNERAÇÃO ]]</f>
        <v>4.7607286666666662</v>
      </c>
      <c r="AV43" s="22">
        <f>SUMIF(tabParametros[Código do Posto],tabCustoUnit[[#This Row],[Código do Posto]],tabParametros[Ausências Legais])*tabCustoUnit[[#This Row],[MODULO 1 - REMUNERAÇÃO ]]</f>
        <v>1.1432012916666665</v>
      </c>
      <c r="AW43" s="22">
        <f>SUMIF(tabParametros[Código do Posto],tabCustoUnit[[#This Row],[Código do Posto]],tabParametros[Licença Paternidade])*tabCustoUnit[[#This Row],[MODULO 1 - REMUNERAÇÃO ]]</f>
        <v>9.6310793749999998E-2</v>
      </c>
      <c r="AX43" s="22">
        <f>SUMIF(tabParametros[Código do Posto],tabCustoUnit[[#This Row],[Código do Posto]],tabParametros[Ausência por Acidente de Trabalho])*tabCustoUnit[[#This Row],[MODULO 1 - REMUNERAÇÃO ]]</f>
        <v>0.1174521875</v>
      </c>
      <c r="AY43" s="22">
        <f>SUMIF(tabParametros[Código do Posto],tabCustoUnit[[#This Row],[Código do Posto]],tabParametros[Férias, Adicional de Férias e 13º  com empregada em gozo de Licença Maternidade])*tabCustoUnit[[#This Row],[MODULO 1 - REMUNERAÇÃO ]]</f>
        <v>0.73081361111111109</v>
      </c>
      <c r="AZ43" s="22">
        <f>SUMIF(tabParametros[Código do Posto],tabCustoUnit[[#This Row],[Código do Posto]],tabParametros[Incidência do Submódulo 2.1 sobre Ausências Legais])*tabCustoUnit[[#This Row],[MODULO 1 - REMUNERAÇÃO ]]</f>
        <v>2.5887354761625003</v>
      </c>
      <c r="BA43" s="22">
        <f>SUM(tabCustoUnit[[#This Row],[Ausência por Doença]:[Incidência do Submódulo 2.1 sobre Ausências Legais]])</f>
        <v>9.4372420268569428</v>
      </c>
      <c r="BB43" s="22">
        <f>SUMIF(tabParametros[Código do Posto],tabCustoUnit[[#This Row],[Código do Posto]],tabParametros[Intervalo para Repouso ou Alimentação])</f>
        <v>0</v>
      </c>
      <c r="BC43" s="22">
        <f>tabCustoUnit[[#This Row],[Intervalo para Repouso ou Alimentação]]</f>
        <v>0</v>
      </c>
      <c r="BD43" s="22">
        <f>IF(VLOOKUP(tabCustoUnit[[#This Row],[Código do Posto]],PARAMETROS!$A$4:$BJ$255,7,0)&lt;=0,0,
IFERROR((tabCustoUnit[[#This Row],[MODULO 1 - REMUNERAÇÃO ]]*VLOOKUP(tabCustoUnit[[#This Row],[Código do Posto]],PARAMETROS!$A$4:$BJ$255,49,0))/(VLOOKUP(tabCustoUnit[[#This Row],[Código do Posto]],PARAMETROS!$A$4:$BJ$255,7,0)*VLOOKUP(tabCustoUnit[[#This Row],[Código do Posto]],PARAMETROS!$A$4:$BJ$255,8,0)),0)
)</f>
        <v>0</v>
      </c>
      <c r="BE43" s="22">
        <f>tabCustoUnit[[#This Row],[Suspensão Temporária do Contrato de Trabalho]]</f>
        <v>0</v>
      </c>
      <c r="BF43" s="22">
        <f>tabCustoUnit[[#This Row],[Submódulo 4.1]]+tabCustoUnit[[#This Row],[Submódulo 4.2]]+tabCustoUnit[[#This Row],[Submódulo 4.3]]</f>
        <v>9.4372420268569428</v>
      </c>
      <c r="BG43" s="22">
        <f>VLOOKUP(tabCustoUnit[[#This Row],[Código do Posto]],tabParametros[],MATCH(tabCustoUnit[[#Headers],[Uniformes e EPIs]],tabParametros[#Headers],0),0)</f>
        <v>62.806666666666665</v>
      </c>
      <c r="BH43" s="22">
        <f>VLOOKUP(tabCustoUnit[[#This Row],[Código do Posto]],tabParametros[],MATCH(tabCustoUnit[[#Headers],[Materiais de Consumo]],tabParametros[#Headers],0),0)</f>
        <v>12.108481690426325</v>
      </c>
      <c r="BI43" s="22">
        <f>VLOOKUP(tabCustoUnit[[#This Row],[Código do Posto]],tabParametros[],MATCH(tabCustoUnit[[#Headers],[Máquinas e Equipamentos (depreciação)]],tabParametros[#Headers],0),0)</f>
        <v>21.998657016417809</v>
      </c>
      <c r="BJ43" s="22">
        <f>VLOOKUP(tabCustoUnit[[#This Row],[Código do Posto]],tabParametros[],MATCH(tabCustoUnit[[#Headers],[Produtos de Limpeza e Materiais de Higiene Pessoal]],tabParametros[#Headers],0),0)</f>
        <v>235.31984072022155</v>
      </c>
      <c r="BK43" s="22">
        <f>VLOOKUP(tabCustoUnit[[#This Row],[Código do Posto]],tabParametros[],MATCH(tabCustoUnit[[#Headers],[Outros (especificar)]],tabParametros[#Headers],0),0)</f>
        <v>0</v>
      </c>
      <c r="BL43" s="22">
        <f>SUM(tabCustoUnit[[#This Row],[Uniformes e EPIs]:[Outros (especificar)]])</f>
        <v>332.23364609373232</v>
      </c>
      <c r="BM43" s="22">
        <f>tabCustoUnit[[#This Row],[MODULO 1 - REMUNERAÇÃO ]]+tabCustoUnit[[#This Row],[MÓDULO 2 - Total Encargos e Benefícios mensais e diários]]+tabCustoUnit[[#This Row],[MÓDULO 3 – PROVISÃO PARA RESCISÃO]]+tabCustoUnit[[#This Row],[MÓDULO 4 – CUSTO DE REPOSIÇÃO DO PROFISSIONAL AUSENTE]]+tabCustoUnit[[#This Row],[MÓDULO 5 – INSUMOS DIVERSOS]]</f>
        <v>2118.2084999148137</v>
      </c>
      <c r="BN43" s="22">
        <f>VLOOKUP(tabCustoUnit[[#This Row],[Código do Posto]],tabParametros[],MATCH(tabCustoUnit[[#Headers],[Custos Indiretos]],tabParametros[#Headers],0),0)</f>
        <v>189.64880140242613</v>
      </c>
      <c r="BO43" s="22">
        <f>VLOOKUP(tabCustoUnit[[#This Row],[Código do Posto]],tabParametros[],MATCH(tabCustoUnit[[#Headers],[Lucro]],tabParametros[#Headers],0),0)</f>
        <v>159.30499317803796</v>
      </c>
      <c r="BP43" s="26">
        <f>((100/((1-tabCustoUnit[[#This Row],[Resumo de Alíquotas (PIS+CONFINS+ISS)]]))-100)*VLOOKUP(tabCustoUnit[[#This Row],[Código do Posto]],tabParametros[],MATCH(tabCustoUnit[[#Headers],[COFINS]],tabParametros[#Headers],0),0))/(tabCustoUnit[[#This Row],[Resumo de Alíquotas (PIS+CONFINS+ISS)]]*100)</f>
        <v>8.5633802816901458E-2</v>
      </c>
      <c r="BQ43" s="26">
        <f>((100/((100-(tabCustoUnit[[#This Row],[Resumo de Alíquotas (PIS+CONFINS+ISS)]]*100))%)-100)*VLOOKUP(tabCustoUnit[[#This Row],[Código do Posto]],tabParametros[],MATCH(tabCustoUnit[[#Headers],[PIS]],tabParametros[#Headers],0),0))/(tabCustoUnit[[#This Row],[Resumo de Alíquotas (PIS+CONFINS+ISS)]]*100)</f>
        <v>1.8591549295774657E-2</v>
      </c>
      <c r="BR43" s="28">
        <f>VLOOKUP(tabCustoUnit[[#This Row],[Código do Posto]],tabParametros[],MATCH(tabCustoUnit[[#Headers],[ISS]],tabParametros[#Headers],0),0)</f>
        <v>0.02</v>
      </c>
      <c r="BS43" s="26">
        <f>(((100/((100-(tabCustoUnit[[#This Row],[Resumo de Alíquotas (PIS+CONFINS+ISS)]]*100))%)-100)*tabCustoUnit[[#This Row],[ISS]])/tabCustoUnit[[#This Row],[Resumo de Alíquotas (PIS+CONFINS+ISS)]])/100</f>
        <v>2.2535211267605645E-2</v>
      </c>
      <c r="BT43" s="26">
        <f>(VLOOKUP(tabCustoUnit[[#This Row],[Código do Posto]],tabParametros[],MATCH(tabCustoUnit[[#Headers],[COFINS]],tabParametros[#Headers],0),0)+
VLOOKUP(tabCustoUnit[[#This Row],[Código do Posto]],tabParametros[],MATCH(tabCustoUnit[[#Headers],[PIS]],tabParametros[#Headers],0),0)+
VLOOKUP(tabCustoUnit[[#This Row],[Código do Posto]],tabParametros[],MATCH(tabCustoUnit[[#Headers],[ISS]],tabParametros[#Headers],0),0))</f>
        <v>0.1125</v>
      </c>
      <c r="BU43" s="138">
        <f>tabCustoUnit[[#This Row],[COFINS]]+tabCustoUnit[[#This Row],[PIS]]+tabCustoUnit[[#This Row],[ISS (Conversão Alíquota s/ fatura)]]</f>
        <v>0.12676056338028174</v>
      </c>
      <c r="BV43" s="22">
        <f>(tabCustoUnit[[#This Row],[TOTAL MÓDULOS 1+2+3+4+5]]+tabCustoUnit[[#This Row],[Custos Indiretos]]+tabCustoUnit[[#This Row],[Lucro]])*tabCustoUnit[[#This Row],[PIS + COFINS + ISS (Total Conversão  Alíquota s/ Fatura)]]</f>
        <v>312.73888240080998</v>
      </c>
      <c r="BW43" s="22">
        <f>tabCustoUnit[[#This Row],[Custos Indiretos]]+tabCustoUnit[[#This Row],[Lucro]]+tabCustoUnit[[#This Row],[Valor dos Tributos (ISS, PIS, CONFINS)]]</f>
        <v>661.69267698127408</v>
      </c>
      <c r="BX43" s="22">
        <f>tabCustoUnit[[#This Row],[TOTAL MÓDULOS 1+2+3+4+5]]+tabCustoUnit[[#This Row],[MÓDULO 6 – CUSTOS INDIRETOS, TRIBUTOS E LUCRO]]</f>
        <v>2779.9011768960877</v>
      </c>
      <c r="BY43" s="22">
        <f>tabCustoUnit[[#This Row],[CUSTO TOTAL MENSAL]]*12</f>
        <v>33358.81412275305</v>
      </c>
      <c r="BZ43" s="24">
        <f>VLOOKUP(tabCustoUnit[[#This Row],[Código do Posto]],tabParametros[],MATCH(tabCustoUnit[[#Headers],[ANO DA CCT]],tabParametros[#Headers],0),0)</f>
        <v>45658</v>
      </c>
      <c r="CA43" s="25" t="str">
        <f>VLOOKUP(tabCustoUnit[[#This Row],[Código do Posto]],tabParametros[],MATCH(tabCustoUnit[[#Headers],[Nº DE PEDIDO DA CCT]],tabParametros[#Headers],0),0)</f>
        <v>-</v>
      </c>
      <c r="CB43" s="25" t="str">
        <f>VLOOKUP(tabCustoUnit[[#This Row],[Código do Posto]],tabParametros[],MATCH(tabCustoUnit[[#Headers],[TERMO ADITIVO ALTERAÇÃO DA CCT]],tabParametros[#Headers],0),0)</f>
        <v>-</v>
      </c>
    </row>
    <row r="44" spans="1:80" x14ac:dyDescent="0.25">
      <c r="A44" s="20" t="s">
        <v>1384</v>
      </c>
      <c r="B44" t="s">
        <v>43</v>
      </c>
      <c r="C44" t="s">
        <v>1245</v>
      </c>
      <c r="D44" t="s">
        <v>1045</v>
      </c>
      <c r="E44" s="20" t="s">
        <v>9</v>
      </c>
      <c r="F44" s="20" t="s">
        <v>10</v>
      </c>
      <c r="G44" s="21">
        <v>1649.12</v>
      </c>
      <c r="H44" s="21">
        <v>0</v>
      </c>
      <c r="I44" s="21">
        <v>0</v>
      </c>
      <c r="J44" s="21">
        <v>0</v>
      </c>
      <c r="K44" s="21">
        <v>0</v>
      </c>
      <c r="L44" s="21">
        <v>0</v>
      </c>
      <c r="M44" s="21">
        <v>0</v>
      </c>
      <c r="N44" s="21">
        <v>53.971200000000003</v>
      </c>
      <c r="O44" s="21">
        <f>SUM(tabCustoUnit[[#This Row],[Salário Base]:[Adicional de Acúmulo de função]])</f>
        <v>1703.0911999999998</v>
      </c>
      <c r="P44" s="21">
        <f>tabCustoUnit[[#This Row],[MODULO 1 - REMUNERAÇÃO ]]*SUMIFS(tabParametros[INSS],tabParametros[Código do Posto],tabCustoUnit[[#This Row],[Código do Posto]])</f>
        <v>340.61824000000001</v>
      </c>
      <c r="Q44" s="21">
        <f>tabCustoUnit[[#This Row],[MODULO 1 - REMUNERAÇÃO ]]*SUMIFS(tabParametros[SESI OU SESC],tabParametros[Código do Posto],tabCustoUnit[[#This Row],[Código do Posto]])</f>
        <v>25.546367999999998</v>
      </c>
      <c r="R44" s="21">
        <f>tabCustoUnit[[#This Row],[MODULO 1 - REMUNERAÇÃO ]]*SUMIFS(tabParametros[SENAI OU SENAC],tabParametros[Código do Posto],tabCustoUnit[[#This Row],[Código do Posto]])</f>
        <v>17.030911999999997</v>
      </c>
      <c r="S44" s="21">
        <f>tabCustoUnit[[#This Row],[MODULO 1 - REMUNERAÇÃO ]]*SUMIFS(tabParametros[INCRA],tabParametros[Código do Posto],tabCustoUnit[[#This Row],[Código do Posto]])</f>
        <v>3.4061823999999996</v>
      </c>
      <c r="T44" s="21">
        <f>tabCustoUnit[[#This Row],[MODULO 1 - REMUNERAÇÃO ]]*SUMIFS(tabParametros[Salário Educação],tabParametros[Código do Posto],tabCustoUnit[[#This Row],[Código do Posto]])</f>
        <v>42.577280000000002</v>
      </c>
      <c r="U44" s="21">
        <f>tabCustoUnit[[#This Row],[MODULO 1 - REMUNERAÇÃO ]]*SUMIFS(tabParametros[FGTS],tabParametros[Código do Posto],tabCustoUnit[[#This Row],[Código do Posto]])</f>
        <v>136.24729599999998</v>
      </c>
      <c r="V44" s="21">
        <f>tabCustoUnit[[#This Row],[MODULO 1 - REMUNERAÇÃO ]]*SUMIFS(tabParametros[RAT Ajustado],tabParametros[Código do Posto],tabCustoUnit[[#This Row],[Código do Posto]])</f>
        <v>68.123647999999989</v>
      </c>
      <c r="W44" s="21">
        <f>tabCustoUnit[[#This Row],[MODULO 1 - REMUNERAÇÃO ]]*SUMIFS(tabParametros[SEBRAE],tabParametros[Código do Posto],tabCustoUnit[[#This Row],[Código do Posto]])</f>
        <v>10.2185472</v>
      </c>
      <c r="X44" s="21">
        <f>SUM(tabCustoUnit[[#This Row],[INSS]:[SEBRAE]])</f>
        <v>643.76847359999999</v>
      </c>
      <c r="Y44" s="21">
        <f>tabCustoUnit[[#This Row],[MODULO 1 - REMUNERAÇÃO ]]*SUMIFS(tabParametros[13º salário (titular)],tabParametros[Código do Posto],tabCustoUnit[[#This Row],[Código do Posto]])</f>
        <v>141.92426666666665</v>
      </c>
      <c r="Z44" s="21">
        <f>tabCustoUnit[[#This Row],[MODULO 1 - REMUNERAÇÃO ]]*SUMIFS(tabParametros[Férias e Adicional de Férias (titular)],tabParametros[Código do Posto],tabCustoUnit[[#This Row],[Código do Posto]])</f>
        <v>189.23235555555553</v>
      </c>
      <c r="AA44" s="21">
        <f>IFERROR((tabCustoUnit[[#This Row],[Submódulo 2.1]]/tabCustoUnit[[#This Row],[MODULO 1 - REMUNERAÇÃO ]])*SUM(tabCustoUnit[[#This Row],[13º salário (titular)]:[Férias e Adicional de Férias (titular)]]),0)</f>
        <v>125.17720319999999</v>
      </c>
      <c r="AB44" s="21">
        <f>SUM(tabCustoUnit[[#This Row],[13º salário (titular)]:[Incidência do Submódulo 2.1 sobre 13º Salário, Férias e Adicional de Férias]])</f>
        <v>456.33382542222216</v>
      </c>
      <c r="AC44" s="22">
        <f>_xlfn.LET(_xlpm.VT,SUMIF(tabParametros[Código do Posto],tabCustoUnit[[#This Row],[Código do Posto]],tabParametros[Vale - Transporte])*2*20,
IF((_xlpm.VT-tabCustoUnit[[#This Row],[Salário Base]]*0.06)&gt;=0,(_xlpm.VT-tabCustoUnit[[#This Row],[Salário Base]]*0.06),0)
)</f>
        <v>157.05279999999999</v>
      </c>
      <c r="AD44" s="22">
        <f>IF(SUMIF(tabParametros[Código do Posto],tabCustoUnit[[#This Row],[Código do Posto]],tabParametros[Vale - Alimentação])&lt;=0,0,
SUMIF(tabParametros[Código do Posto],tabCustoUnit[[#This Row],[Código do Posto]],tabParametros[Vale - Alimentação])*20-1)</f>
        <v>582</v>
      </c>
      <c r="AE44" s="22">
        <f>SUMIF(tabParametros[Código do Posto],tabCustoUnit[[#This Row],[Código do Posto]],tabParametros[Cesta Básica])</f>
        <v>0</v>
      </c>
      <c r="AF44" s="22">
        <f>SUMIF(tabParametros[Código do Posto],tabCustoUnit[[#This Row],[Código do Posto]],tabParametros[PAF])</f>
        <v>77.25</v>
      </c>
      <c r="AG44" s="22">
        <f>SUMIF(tabParametros[Código do Posto],tabCustoUnit[[#This Row],[Código do Posto]],tabParametros[PQM])</f>
        <v>0</v>
      </c>
      <c r="AH44" s="22">
        <f>SUMIF(tabParametros[Código do Posto],tabCustoUnit[[#This Row],[Código do Posto]],tabParametros[PAT])</f>
        <v>0</v>
      </c>
      <c r="AI44" s="22">
        <f>SUMIF(tabParametros[Código do Posto],tabCustoUnit[[#This Row],[Código do Posto]],tabParametros[Seguro de Vida])</f>
        <v>3.36</v>
      </c>
      <c r="AJ44" s="22">
        <f>SUMIF(tabParametros[Código do Posto],tabCustoUnit[[#This Row],[Código do Posto]],tabParametros[Despesas de Viagem])</f>
        <v>0</v>
      </c>
      <c r="AK44" s="22">
        <f>SUM(tabCustoUnit[[#This Row],[Vale - Transporte (Descontada parcela do empregado)]:[Despesas de Viagem]])</f>
        <v>819.66279999999995</v>
      </c>
      <c r="AL44" s="22">
        <f>tabCustoUnit[[#This Row],[Submódulo 2.1]]+tabCustoUnit[[#This Row],[Submódulo 2.2]]+tabCustoUnit[[#This Row],[Submódulo 2.3]]</f>
        <v>1919.7650990222223</v>
      </c>
      <c r="AM44" s="22">
        <f>SUMIF(tabParametros[Código do Posto],tabCustoUnit[[#This Row],[Código do Posto]],tabParametros[Aviso Prévio Indenizado (API) e Reflexo do Aviso Prévio Indenizado])*tabCustoUnit[[#This Row],[MODULO 1 - REMUNERAÇÃO ]]</f>
        <v>11.941678632098764</v>
      </c>
      <c r="AN44" s="22">
        <f>SUMIF(tabParametros[Código do Posto],tabCustoUnit[[#This Row],[Código do Posto]],tabParametros[Incidência do FGTS sobre API e Reflexo do API])*tabCustoUnit[[#This Row],[MODULO 1 - REMUNERAÇÃO ]]</f>
        <v>0.9553342905679012</v>
      </c>
      <c r="AO44" s="22">
        <f>SUMIF(tabParametros[Código do Posto],tabCustoUnit[[#This Row],[Código do Posto]],tabParametros[Multa Rescisória do FGTS sobre o Aviso Prévio Indenizado])*tabCustoUnit[[#This Row],[MODULO 1 - REMUNERAÇÃO ]]</f>
        <v>0.38213371622716052</v>
      </c>
      <c r="AP44" s="22">
        <f>SUMIF(tabParametros[Código do Posto],tabCustoUnit[[#This Row],[Código do Posto]],tabParametros[Aviso Prévio Trabalhado - APT])*tabCustoUnit[[#This Row],[MODULO 1 - REMUNERAÇÃO ]]</f>
        <v>5.9608192000000004</v>
      </c>
      <c r="AQ44" s="22">
        <f>SUMIF(tabParametros[Código do Posto],tabCustoUnit[[#This Row],[Código do Posto]],tabParametros[Incidência dos encargos do submódulo 2.1 sobre Aviso Prévio Trabalhado])*tabCustoUnit[[#This Row],[MODULO 1 - REMUNERAÇÃO ]]</f>
        <v>2.2531896576000006</v>
      </c>
      <c r="AR44" s="22">
        <f>SUMIF(tabParametros[Código do Posto],tabCustoUnit[[#This Row],[Código do Posto]],tabParametros[Multa Rescisória do FGTS])*tabCustoUnit[[#This Row],[MODULO 1 - REMUNERAÇÃO ]]</f>
        <v>52.076744248888879</v>
      </c>
      <c r="AS44" s="22">
        <f>SUMIF(tabParametros[Código do Posto],tabCustoUnit[[#This Row],[Código do Posto]],tabParametros[Indenização Adicional (Art. 9º da Lei nº 7.238/84)])*tabCustoUnit[[#This Row],[MODULO 1 - REMUNERAÇÃO ]]</f>
        <v>1.4192426666666667</v>
      </c>
      <c r="AT44" s="22">
        <f>SUM(tabCustoUnit[[#This Row],[Aviso Prévio Indenizado (API) e Reflexo do Aviso Prévio Indenizado]:[Indenização Adicional (Art. 9º da Lei nº 7.238/84)]])</f>
        <v>74.989142412049375</v>
      </c>
      <c r="AU44" s="22">
        <f>SUMIF(tabParametros[Código do Posto],tabCustoUnit[[#This Row],[Código do Posto]],tabParametros[Ausência por Doença])*tabCustoUnit[[#This Row],[MODULO 1 - REMUNERAÇÃO ]]</f>
        <v>14.38165902222222</v>
      </c>
      <c r="AV44" s="22">
        <f>SUMIF(tabParametros[Código do Posto],tabCustoUnit[[#This Row],[Código do Posto]],tabParametros[Ausências Legais])*tabCustoUnit[[#This Row],[MODULO 1 - REMUNERAÇÃO ]]</f>
        <v>3.4534904888888884</v>
      </c>
      <c r="AW44" s="22">
        <f>SUMIF(tabParametros[Código do Posto],tabCustoUnit[[#This Row],[Código do Posto]],tabParametros[Licença Paternidade])*tabCustoUnit[[#This Row],[MODULO 1 - REMUNERAÇÃO ]]</f>
        <v>0.29094474666666664</v>
      </c>
      <c r="AX44" s="22">
        <f>SUMIF(tabParametros[Código do Posto],tabCustoUnit[[#This Row],[Código do Posto]],tabParametros[Ausência por Acidente de Trabalho])*tabCustoUnit[[#This Row],[MODULO 1 - REMUNERAÇÃO ]]</f>
        <v>0.35481066666666666</v>
      </c>
      <c r="AY44" s="22">
        <f>SUMIF(tabParametros[Código do Posto],tabCustoUnit[[#This Row],[Código do Posto]],tabParametros[Férias, Adicional de Férias e 13º  com empregada em gozo de Licença Maternidade])*tabCustoUnit[[#This Row],[MODULO 1 - REMUNERAÇÃO ]]</f>
        <v>2.2077108148148143</v>
      </c>
      <c r="AZ44" s="22">
        <f>SUMIF(tabParametros[Código do Posto],tabCustoUnit[[#This Row],[Código do Posto]],tabParametros[Incidência do Submódulo 2.1 sobre Ausências Legais])*tabCustoUnit[[#This Row],[MODULO 1 - REMUNERAÇÃO ]]</f>
        <v>7.8202967494400006</v>
      </c>
      <c r="BA44" s="22">
        <f>SUM(tabCustoUnit[[#This Row],[Ausência por Doença]:[Incidência do Submódulo 2.1 sobre Ausências Legais]])</f>
        <v>28.508912488699256</v>
      </c>
      <c r="BB44" s="22">
        <f>SUMIF(tabParametros[Código do Posto],tabCustoUnit[[#This Row],[Código do Posto]],tabParametros[Intervalo para Repouso ou Alimentação])</f>
        <v>0</v>
      </c>
      <c r="BC44" s="22">
        <f>tabCustoUnit[[#This Row],[Intervalo para Repouso ou Alimentação]]</f>
        <v>0</v>
      </c>
      <c r="BD44" s="22">
        <f>IF(VLOOKUP(tabCustoUnit[[#This Row],[Código do Posto]],PARAMETROS!$A$4:$BJ$255,7,0)&lt;=0,0,
IFERROR((tabCustoUnit[[#This Row],[MODULO 1 - REMUNERAÇÃO ]]*VLOOKUP(tabCustoUnit[[#This Row],[Código do Posto]],PARAMETROS!$A$4:$BJ$255,49,0))/(VLOOKUP(tabCustoUnit[[#This Row],[Código do Posto]],PARAMETROS!$A$4:$BJ$255,7,0)*VLOOKUP(tabCustoUnit[[#This Row],[Código do Posto]],PARAMETROS!$A$4:$BJ$255,8,0)),0)
)</f>
        <v>0</v>
      </c>
      <c r="BE44" s="22">
        <f>tabCustoUnit[[#This Row],[Suspensão Temporária do Contrato de Trabalho]]</f>
        <v>0</v>
      </c>
      <c r="BF44" s="22">
        <f>tabCustoUnit[[#This Row],[Submódulo 4.1]]+tabCustoUnit[[#This Row],[Submódulo 4.2]]+tabCustoUnit[[#This Row],[Submódulo 4.3]]</f>
        <v>28.508912488699256</v>
      </c>
      <c r="BG44" s="22">
        <f>VLOOKUP(tabCustoUnit[[#This Row],[Código do Posto]],tabParametros[],MATCH(tabCustoUnit[[#Headers],[Uniformes e EPIs]],tabParametros[#Headers],0),0)</f>
        <v>100.80916666666666</v>
      </c>
      <c r="BH44" s="22">
        <f>VLOOKUP(tabCustoUnit[[#This Row],[Código do Posto]],tabParametros[],MATCH(tabCustoUnit[[#Headers],[Materiais de Consumo]],tabParametros[#Headers],0),0)</f>
        <v>35.518212958583888</v>
      </c>
      <c r="BI44" s="22">
        <f>VLOOKUP(tabCustoUnit[[#This Row],[Código do Posto]],tabParametros[],MATCH(tabCustoUnit[[#Headers],[Máquinas e Equipamentos (depreciação)]],tabParametros[#Headers],0),0)</f>
        <v>64.529393914825576</v>
      </c>
      <c r="BJ44" s="22">
        <f>VLOOKUP(tabCustoUnit[[#This Row],[Código do Posto]],tabParametros[],MATCH(tabCustoUnit[[#Headers],[Produtos de Limpeza e Materiais de Higiene Pessoal]],tabParametros[#Headers],0),0)</f>
        <v>690.27153277931654</v>
      </c>
      <c r="BK44" s="22">
        <f>VLOOKUP(tabCustoUnit[[#This Row],[Código do Posto]],tabParametros[],MATCH(tabCustoUnit[[#Headers],[Outros (especificar)]],tabParametros[#Headers],0),0)</f>
        <v>0</v>
      </c>
      <c r="BL44" s="22">
        <f>SUM(tabCustoUnit[[#This Row],[Uniformes e EPIs]:[Outros (especificar)]])</f>
        <v>891.12830631939266</v>
      </c>
      <c r="BM44" s="22">
        <f>tabCustoUnit[[#This Row],[MODULO 1 - REMUNERAÇÃO ]]+tabCustoUnit[[#This Row],[MÓDULO 2 - Total Encargos e Benefícios mensais e diários]]+tabCustoUnit[[#This Row],[MÓDULO 3 – PROVISÃO PARA RESCISÃO]]+tabCustoUnit[[#This Row],[MÓDULO 4 – CUSTO DE REPOSIÇÃO DO PROFISSIONAL AUSENTE]]+tabCustoUnit[[#This Row],[MÓDULO 5 – INSUMOS DIVERSOS]]</f>
        <v>4617.4826602423636</v>
      </c>
      <c r="BN44" s="22">
        <f>VLOOKUP(tabCustoUnit[[#This Row],[Código do Posto]],tabParametros[],MATCH(tabCustoUnit[[#Headers],[Custos Indiretos]],tabParametros[#Headers],0),0)</f>
        <v>189.64880140242613</v>
      </c>
      <c r="BO44" s="22">
        <f>VLOOKUP(tabCustoUnit[[#This Row],[Código do Posto]],tabParametros[],MATCH(tabCustoUnit[[#Headers],[Lucro]],tabParametros[#Headers],0),0)</f>
        <v>159.30499317803796</v>
      </c>
      <c r="BP44" s="26">
        <f>((100/((1-tabCustoUnit[[#This Row],[Resumo de Alíquotas (PIS+CONFINS+ISS)]]))-100)*VLOOKUP(tabCustoUnit[[#This Row],[Código do Posto]],tabParametros[],MATCH(tabCustoUnit[[#Headers],[COFINS]],tabParametros[#Headers],0),0))/(tabCustoUnit[[#This Row],[Resumo de Alíquotas (PIS+CONFINS+ISS)]]*100)</f>
        <v>8.8629737609329504E-2</v>
      </c>
      <c r="BQ44" s="26">
        <f>((100/((100-(tabCustoUnit[[#This Row],[Resumo de Alíquotas (PIS+CONFINS+ISS)]]*100))%)-100)*VLOOKUP(tabCustoUnit[[#This Row],[Código do Posto]],tabParametros[],MATCH(tabCustoUnit[[#Headers],[PIS]],tabParametros[#Headers],0),0))/(tabCustoUnit[[#This Row],[Resumo de Alíquotas (PIS+CONFINS+ISS)]]*100)</f>
        <v>1.9241982507288629E-2</v>
      </c>
      <c r="BR44" s="28">
        <f>VLOOKUP(tabCustoUnit[[#This Row],[Código do Posto]],tabParametros[],MATCH(tabCustoUnit[[#Headers],[ISS]],tabParametros[#Headers],0),0)</f>
        <v>0.05</v>
      </c>
      <c r="BS44" s="26">
        <f>(((100/((100-(tabCustoUnit[[#This Row],[Resumo de Alíquotas (PIS+CONFINS+ISS)]]*100))%)-100)*tabCustoUnit[[#This Row],[ISS]])/tabCustoUnit[[#This Row],[Resumo de Alíquotas (PIS+CONFINS+ISS)]])/100</f>
        <v>5.8309037900874633E-2</v>
      </c>
      <c r="BT44" s="26">
        <f>(VLOOKUP(tabCustoUnit[[#This Row],[Código do Posto]],tabParametros[],MATCH(tabCustoUnit[[#Headers],[COFINS]],tabParametros[#Headers],0),0)+
VLOOKUP(tabCustoUnit[[#This Row],[Código do Posto]],tabParametros[],MATCH(tabCustoUnit[[#Headers],[PIS]],tabParametros[#Headers],0),0)+
VLOOKUP(tabCustoUnit[[#This Row],[Código do Posto]],tabParametros[],MATCH(tabCustoUnit[[#Headers],[ISS]],tabParametros[#Headers],0),0))</f>
        <v>0.14250000000000002</v>
      </c>
      <c r="BU44" s="138">
        <f>tabCustoUnit[[#This Row],[COFINS]]+tabCustoUnit[[#This Row],[PIS]]+tabCustoUnit[[#This Row],[ISS (Conversão Alíquota s/ fatura)]]</f>
        <v>0.16618075801749277</v>
      </c>
      <c r="BV44" s="22">
        <f>(tabCustoUnit[[#This Row],[TOTAL MÓDULOS 1+2+3+4+5]]+tabCustoUnit[[#This Row],[Custos Indiretos]]+tabCustoUnit[[#This Row],[Lucro]])*tabCustoUnit[[#This Row],[PIS + COFINS + ISS (Total Conversão  Alíquota s/ Fatura)]]</f>
        <v>825.32617470816695</v>
      </c>
      <c r="BW44" s="22">
        <f>tabCustoUnit[[#This Row],[Custos Indiretos]]+tabCustoUnit[[#This Row],[Lucro]]+tabCustoUnit[[#This Row],[Valor dos Tributos (ISS, PIS, CONFINS)]]</f>
        <v>1174.279969288631</v>
      </c>
      <c r="BX44" s="22">
        <f>tabCustoUnit[[#This Row],[TOTAL MÓDULOS 1+2+3+4+5]]+tabCustoUnit[[#This Row],[MÓDULO 6 – CUSTOS INDIRETOS, TRIBUTOS E LUCRO]]</f>
        <v>5791.7626295309947</v>
      </c>
      <c r="BY44" s="22">
        <f>tabCustoUnit[[#This Row],[CUSTO TOTAL MENSAL]]*12</f>
        <v>69501.151554371929</v>
      </c>
      <c r="BZ44" s="24">
        <f>VLOOKUP(tabCustoUnit[[#This Row],[Código do Posto]],tabParametros[],MATCH(tabCustoUnit[[#Headers],[ANO DA CCT]],tabParametros[#Headers],0),0)</f>
        <v>45658</v>
      </c>
      <c r="CA44" s="25" t="str">
        <f>VLOOKUP(tabCustoUnit[[#This Row],[Código do Posto]],tabParametros[],MATCH(tabCustoUnit[[#Headers],[Nº DE PEDIDO DA CCT]],tabParametros[#Headers],0),0)</f>
        <v>-</v>
      </c>
      <c r="CB44" s="25" t="str">
        <f>VLOOKUP(tabCustoUnit[[#This Row],[Código do Posto]],tabParametros[],MATCH(tabCustoUnit[[#Headers],[TERMO ADITIVO ALTERAÇÃO DA CCT]],tabParametros[#Headers],0),0)</f>
        <v>-</v>
      </c>
    </row>
    <row r="45" spans="1:80" x14ac:dyDescent="0.25">
      <c r="A45" s="20" t="s">
        <v>1385</v>
      </c>
      <c r="B45" t="s">
        <v>44</v>
      </c>
      <c r="C45" t="s">
        <v>1247</v>
      </c>
      <c r="D45" t="s">
        <v>1000</v>
      </c>
      <c r="E45" s="20" t="s">
        <v>9</v>
      </c>
      <c r="F45" s="20" t="s">
        <v>10</v>
      </c>
      <c r="G45" s="21">
        <v>544.17999999999995</v>
      </c>
      <c r="H45" s="21">
        <v>0</v>
      </c>
      <c r="I45" s="21">
        <v>0</v>
      </c>
      <c r="J45" s="21">
        <v>0</v>
      </c>
      <c r="K45" s="21">
        <v>0</v>
      </c>
      <c r="L45" s="21">
        <v>0</v>
      </c>
      <c r="M45" s="21">
        <v>0</v>
      </c>
      <c r="N45" s="21">
        <v>19.590499999999999</v>
      </c>
      <c r="O45" s="21">
        <f>SUM(tabCustoUnit[[#This Row],[Salário Base]:[Adicional de Acúmulo de função]])</f>
        <v>563.77049999999997</v>
      </c>
      <c r="P45" s="21">
        <f>tabCustoUnit[[#This Row],[MODULO 1 - REMUNERAÇÃO ]]*SUMIFS(tabParametros[INSS],tabParametros[Código do Posto],tabCustoUnit[[#This Row],[Código do Posto]])</f>
        <v>112.75409999999999</v>
      </c>
      <c r="Q45" s="21">
        <f>tabCustoUnit[[#This Row],[MODULO 1 - REMUNERAÇÃO ]]*SUMIFS(tabParametros[SESI OU SESC],tabParametros[Código do Posto],tabCustoUnit[[#This Row],[Código do Posto]])</f>
        <v>8.4565574999999988</v>
      </c>
      <c r="R45" s="21">
        <f>tabCustoUnit[[#This Row],[MODULO 1 - REMUNERAÇÃO ]]*SUMIFS(tabParametros[SENAI OU SENAC],tabParametros[Código do Posto],tabCustoUnit[[#This Row],[Código do Posto]])</f>
        <v>5.6377049999999995</v>
      </c>
      <c r="S45" s="21">
        <f>tabCustoUnit[[#This Row],[MODULO 1 - REMUNERAÇÃO ]]*SUMIFS(tabParametros[INCRA],tabParametros[Código do Posto],tabCustoUnit[[#This Row],[Código do Posto]])</f>
        <v>1.1275409999999999</v>
      </c>
      <c r="T45" s="21">
        <f>tabCustoUnit[[#This Row],[MODULO 1 - REMUNERAÇÃO ]]*SUMIFS(tabParametros[Salário Educação],tabParametros[Código do Posto],tabCustoUnit[[#This Row],[Código do Posto]])</f>
        <v>14.094262499999999</v>
      </c>
      <c r="U45" s="21">
        <f>tabCustoUnit[[#This Row],[MODULO 1 - REMUNERAÇÃO ]]*SUMIFS(tabParametros[FGTS],tabParametros[Código do Posto],tabCustoUnit[[#This Row],[Código do Posto]])</f>
        <v>45.101639999999996</v>
      </c>
      <c r="V45" s="21">
        <f>tabCustoUnit[[#This Row],[MODULO 1 - REMUNERAÇÃO ]]*SUMIFS(tabParametros[RAT Ajustado],tabParametros[Código do Posto],tabCustoUnit[[#This Row],[Código do Posto]])</f>
        <v>22.550819999999998</v>
      </c>
      <c r="W45" s="21">
        <f>tabCustoUnit[[#This Row],[MODULO 1 - REMUNERAÇÃO ]]*SUMIFS(tabParametros[SEBRAE],tabParametros[Código do Posto],tabCustoUnit[[#This Row],[Código do Posto]])</f>
        <v>3.3826229999999997</v>
      </c>
      <c r="X45" s="21">
        <f>SUM(tabCustoUnit[[#This Row],[INSS]:[SEBRAE]])</f>
        <v>213.10524899999996</v>
      </c>
      <c r="Y45" s="21">
        <f>tabCustoUnit[[#This Row],[MODULO 1 - REMUNERAÇÃO ]]*SUMIFS(tabParametros[13º salário (titular)],tabParametros[Código do Posto],tabCustoUnit[[#This Row],[Código do Posto]])</f>
        <v>46.980874999999997</v>
      </c>
      <c r="Z45" s="21">
        <f>tabCustoUnit[[#This Row],[MODULO 1 - REMUNERAÇÃO ]]*SUMIFS(tabParametros[Férias e Adicional de Férias (titular)],tabParametros[Código do Posto],tabCustoUnit[[#This Row],[Código do Posto]])</f>
        <v>62.641166666666663</v>
      </c>
      <c r="AA45" s="21">
        <f>IFERROR((tabCustoUnit[[#This Row],[Submódulo 2.1]]/tabCustoUnit[[#This Row],[MODULO 1 - REMUNERAÇÃO ]])*SUM(tabCustoUnit[[#This Row],[13º salário (titular)]:[Férias e Adicional de Férias (titular)]]),0)</f>
        <v>41.437131749999992</v>
      </c>
      <c r="AB45" s="21">
        <f>SUM(tabCustoUnit[[#This Row],[13º salário (titular)]:[Incidência do Submódulo 2.1 sobre 13º Salário, Férias e Adicional de Férias]])</f>
        <v>151.05917341666665</v>
      </c>
      <c r="AC45" s="22">
        <f>_xlfn.LET(_xlpm.VT,SUMIF(tabParametros[Código do Posto],tabCustoUnit[[#This Row],[Código do Posto]],tabParametros[Vale - Transporte])*2*20,
IF((_xlpm.VT-tabCustoUnit[[#This Row],[Salário Base]]*0.06)&gt;=0,(_xlpm.VT-tabCustoUnit[[#This Row],[Salário Base]]*0.06),0)
)</f>
        <v>223.3492</v>
      </c>
      <c r="AD45" s="22">
        <f>IF(SUMIF(tabParametros[Código do Posto],tabCustoUnit[[#This Row],[Código do Posto]],tabParametros[Vale - Alimentação])&lt;=0,0,
SUMIF(tabParametros[Código do Posto],tabCustoUnit[[#This Row],[Código do Posto]],tabParametros[Vale - Alimentação])*20-1)</f>
        <v>582</v>
      </c>
      <c r="AE45" s="22">
        <f>SUMIF(tabParametros[Código do Posto],tabCustoUnit[[#This Row],[Código do Posto]],tabParametros[Cesta Básica])</f>
        <v>0</v>
      </c>
      <c r="AF45" s="22">
        <f>SUMIF(tabParametros[Código do Posto],tabCustoUnit[[#This Row],[Código do Posto]],tabParametros[PAF])</f>
        <v>0</v>
      </c>
      <c r="AG45" s="22">
        <f>SUMIF(tabParametros[Código do Posto],tabCustoUnit[[#This Row],[Código do Posto]],tabParametros[PQM])</f>
        <v>15.07</v>
      </c>
      <c r="AH45" s="22">
        <f>SUMIF(tabParametros[Código do Posto],tabCustoUnit[[#This Row],[Código do Posto]],tabParametros[PAT])</f>
        <v>0</v>
      </c>
      <c r="AI45" s="22">
        <f>SUMIF(tabParametros[Código do Posto],tabCustoUnit[[#This Row],[Código do Posto]],tabParametros[Seguro de Vida])</f>
        <v>3.36</v>
      </c>
      <c r="AJ45" s="22">
        <f>SUMIF(tabParametros[Código do Posto],tabCustoUnit[[#This Row],[Código do Posto]],tabParametros[Despesas de Viagem])</f>
        <v>0</v>
      </c>
      <c r="AK45" s="22">
        <f>SUM(tabCustoUnit[[#This Row],[Vale - Transporte (Descontada parcela do empregado)]:[Despesas de Viagem]])</f>
        <v>823.77920000000006</v>
      </c>
      <c r="AL45" s="22">
        <f>tabCustoUnit[[#This Row],[Submódulo 2.1]]+tabCustoUnit[[#This Row],[Submódulo 2.2]]+tabCustoUnit[[#This Row],[Submódulo 2.3]]</f>
        <v>1187.9436224166666</v>
      </c>
      <c r="AM45" s="22">
        <f>SUMIF(tabParametros[Código do Posto],tabCustoUnit[[#This Row],[Código do Posto]],tabParametros[Aviso Prévio Indenizado (API) e Reflexo do Aviso Prévio Indenizado])*tabCustoUnit[[#This Row],[MODULO 1 - REMUNERAÇÃO ]]</f>
        <v>3.9530273735532404</v>
      </c>
      <c r="AN45" s="22">
        <f>SUMIF(tabParametros[Código do Posto],tabCustoUnit[[#This Row],[Código do Posto]],tabParametros[Incidência do FGTS sobre API e Reflexo do API])*tabCustoUnit[[#This Row],[MODULO 1 - REMUNERAÇÃO ]]</f>
        <v>0.31624218988425928</v>
      </c>
      <c r="AO45" s="22">
        <f>SUMIF(tabParametros[Código do Posto],tabCustoUnit[[#This Row],[Código do Posto]],tabParametros[Multa Rescisória do FGTS sobre o Aviso Prévio Indenizado])*tabCustoUnit[[#This Row],[MODULO 1 - REMUNERAÇÃO ]]</f>
        <v>0.12649687595370371</v>
      </c>
      <c r="AP45" s="22">
        <f>SUMIF(tabParametros[Código do Posto],tabCustoUnit[[#This Row],[Código do Posto]],tabParametros[Aviso Prévio Trabalhado - APT])*tabCustoUnit[[#This Row],[MODULO 1 - REMUNERAÇÃO ]]</f>
        <v>1.9731967500000003</v>
      </c>
      <c r="AQ45" s="22">
        <f>SUMIF(tabParametros[Código do Posto],tabCustoUnit[[#This Row],[Código do Posto]],tabParametros[Incidência dos encargos do submódulo 2.1 sobre Aviso Prévio Trabalhado])*tabCustoUnit[[#This Row],[MODULO 1 - REMUNERAÇÃO ]]</f>
        <v>0.74586837150000018</v>
      </c>
      <c r="AR45" s="22">
        <f>SUMIF(tabParametros[Código do Posto],tabCustoUnit[[#This Row],[Código do Posto]],tabParametros[Multa Rescisória do FGTS])*tabCustoUnit[[#This Row],[MODULO 1 - REMUNERAÇÃO ]]</f>
        <v>17.238849066666663</v>
      </c>
      <c r="AS45" s="22">
        <f>SUMIF(tabParametros[Código do Posto],tabCustoUnit[[#This Row],[Código do Posto]],tabParametros[Indenização Adicional (Art. 9º da Lei nº 7.238/84)])*tabCustoUnit[[#This Row],[MODULO 1 - REMUNERAÇÃO ]]</f>
        <v>0.46980875</v>
      </c>
      <c r="AT45" s="22">
        <f>SUM(tabCustoUnit[[#This Row],[Aviso Prévio Indenizado (API) e Reflexo do Aviso Prévio Indenizado]:[Indenização Adicional (Art. 9º da Lei nº 7.238/84)]])</f>
        <v>24.823489377557866</v>
      </c>
      <c r="AU45" s="22">
        <f>SUMIF(tabParametros[Código do Posto],tabCustoUnit[[#This Row],[Código do Posto]],tabParametros[Ausência por Doença])*tabCustoUnit[[#This Row],[MODULO 1 - REMUNERAÇÃO ]]</f>
        <v>4.7607286666666662</v>
      </c>
      <c r="AV45" s="22">
        <f>SUMIF(tabParametros[Código do Posto],tabCustoUnit[[#This Row],[Código do Posto]],tabParametros[Ausências Legais])*tabCustoUnit[[#This Row],[MODULO 1 - REMUNERAÇÃO ]]</f>
        <v>1.1432012916666665</v>
      </c>
      <c r="AW45" s="22">
        <f>SUMIF(tabParametros[Código do Posto],tabCustoUnit[[#This Row],[Código do Posto]],tabParametros[Licença Paternidade])*tabCustoUnit[[#This Row],[MODULO 1 - REMUNERAÇÃO ]]</f>
        <v>9.6310793749999998E-2</v>
      </c>
      <c r="AX45" s="22">
        <f>SUMIF(tabParametros[Código do Posto],tabCustoUnit[[#This Row],[Código do Posto]],tabParametros[Ausência por Acidente de Trabalho])*tabCustoUnit[[#This Row],[MODULO 1 - REMUNERAÇÃO ]]</f>
        <v>0.1174521875</v>
      </c>
      <c r="AY45" s="22">
        <f>SUMIF(tabParametros[Código do Posto],tabCustoUnit[[#This Row],[Código do Posto]],tabParametros[Férias, Adicional de Férias e 13º  com empregada em gozo de Licença Maternidade])*tabCustoUnit[[#This Row],[MODULO 1 - REMUNERAÇÃO ]]</f>
        <v>0.73081361111111109</v>
      </c>
      <c r="AZ45" s="22">
        <f>SUMIF(tabParametros[Código do Posto],tabCustoUnit[[#This Row],[Código do Posto]],tabParametros[Incidência do Submódulo 2.1 sobre Ausências Legais])*tabCustoUnit[[#This Row],[MODULO 1 - REMUNERAÇÃO ]]</f>
        <v>2.5887354761625003</v>
      </c>
      <c r="BA45" s="22">
        <f>SUM(tabCustoUnit[[#This Row],[Ausência por Doença]:[Incidência do Submódulo 2.1 sobre Ausências Legais]])</f>
        <v>9.4372420268569428</v>
      </c>
      <c r="BB45" s="22">
        <f>SUMIF(tabParametros[Código do Posto],tabCustoUnit[[#This Row],[Código do Posto]],tabParametros[Intervalo para Repouso ou Alimentação])</f>
        <v>0</v>
      </c>
      <c r="BC45" s="22">
        <f>tabCustoUnit[[#This Row],[Intervalo para Repouso ou Alimentação]]</f>
        <v>0</v>
      </c>
      <c r="BD45" s="22">
        <f>IF(VLOOKUP(tabCustoUnit[[#This Row],[Código do Posto]],PARAMETROS!$A$4:$BJ$255,7,0)&lt;=0,0,
IFERROR((tabCustoUnit[[#This Row],[MODULO 1 - REMUNERAÇÃO ]]*VLOOKUP(tabCustoUnit[[#This Row],[Código do Posto]],PARAMETROS!$A$4:$BJ$255,49,0))/(VLOOKUP(tabCustoUnit[[#This Row],[Código do Posto]],PARAMETROS!$A$4:$BJ$255,7,0)*VLOOKUP(tabCustoUnit[[#This Row],[Código do Posto]],PARAMETROS!$A$4:$BJ$255,8,0)),0)
)</f>
        <v>0</v>
      </c>
      <c r="BE45" s="22">
        <f>tabCustoUnit[[#This Row],[Suspensão Temporária do Contrato de Trabalho]]</f>
        <v>0</v>
      </c>
      <c r="BF45" s="22">
        <f>tabCustoUnit[[#This Row],[Submódulo 4.1]]+tabCustoUnit[[#This Row],[Submódulo 4.2]]+tabCustoUnit[[#This Row],[Submódulo 4.3]]</f>
        <v>9.4372420268569428</v>
      </c>
      <c r="BG45" s="22">
        <f>VLOOKUP(tabCustoUnit[[#This Row],[Código do Posto]],tabParametros[],MATCH(tabCustoUnit[[#Headers],[Uniformes e EPIs]],tabParametros[#Headers],0),0)</f>
        <v>62.806666666666665</v>
      </c>
      <c r="BH45" s="22">
        <f>VLOOKUP(tabCustoUnit[[#This Row],[Código do Posto]],tabParametros[],MATCH(tabCustoUnit[[#Headers],[Materiais de Consumo]],tabParametros[#Headers],0),0)</f>
        <v>12.108481690426325</v>
      </c>
      <c r="BI45" s="22">
        <f>VLOOKUP(tabCustoUnit[[#This Row],[Código do Posto]],tabParametros[],MATCH(tabCustoUnit[[#Headers],[Máquinas e Equipamentos (depreciação)]],tabParametros[#Headers],0),0)</f>
        <v>21.998657016417809</v>
      </c>
      <c r="BJ45" s="22">
        <f>VLOOKUP(tabCustoUnit[[#This Row],[Código do Posto]],tabParametros[],MATCH(tabCustoUnit[[#Headers],[Produtos de Limpeza e Materiais de Higiene Pessoal]],tabParametros[#Headers],0),0)</f>
        <v>235.31984072022155</v>
      </c>
      <c r="BK45" s="22">
        <f>VLOOKUP(tabCustoUnit[[#This Row],[Código do Posto]],tabParametros[],MATCH(tabCustoUnit[[#Headers],[Outros (especificar)]],tabParametros[#Headers],0),0)</f>
        <v>0</v>
      </c>
      <c r="BL45" s="22">
        <f>SUM(tabCustoUnit[[#This Row],[Uniformes e EPIs]:[Outros (especificar)]])</f>
        <v>332.23364609373232</v>
      </c>
      <c r="BM45" s="22">
        <f>tabCustoUnit[[#This Row],[MODULO 1 - REMUNERAÇÃO ]]+tabCustoUnit[[#This Row],[MÓDULO 2 - Total Encargos e Benefícios mensais e diários]]+tabCustoUnit[[#This Row],[MÓDULO 3 – PROVISÃO PARA RESCISÃO]]+tabCustoUnit[[#This Row],[MÓDULO 4 – CUSTO DE REPOSIÇÃO DO PROFISSIONAL AUSENTE]]+tabCustoUnit[[#This Row],[MÓDULO 5 – INSUMOS DIVERSOS]]</f>
        <v>2118.2084999148137</v>
      </c>
      <c r="BN45" s="22">
        <f>VLOOKUP(tabCustoUnit[[#This Row],[Código do Posto]],tabParametros[],MATCH(tabCustoUnit[[#Headers],[Custos Indiretos]],tabParametros[#Headers],0),0)</f>
        <v>189.64880140242613</v>
      </c>
      <c r="BO45" s="22">
        <f>VLOOKUP(tabCustoUnit[[#This Row],[Código do Posto]],tabParametros[],MATCH(tabCustoUnit[[#Headers],[Lucro]],tabParametros[#Headers],0),0)</f>
        <v>159.30499317803796</v>
      </c>
      <c r="BP45" s="26">
        <f>((100/((1-tabCustoUnit[[#This Row],[Resumo de Alíquotas (PIS+CONFINS+ISS)]]))-100)*VLOOKUP(tabCustoUnit[[#This Row],[Código do Posto]],tabParametros[],MATCH(tabCustoUnit[[#Headers],[COFINS]],tabParametros[#Headers],0),0))/(tabCustoUnit[[#This Row],[Resumo de Alíquotas (PIS+CONFINS+ISS)]]*100)</f>
        <v>8.5633802816901458E-2</v>
      </c>
      <c r="BQ45" s="26">
        <f>((100/((100-(tabCustoUnit[[#This Row],[Resumo de Alíquotas (PIS+CONFINS+ISS)]]*100))%)-100)*VLOOKUP(tabCustoUnit[[#This Row],[Código do Posto]],tabParametros[],MATCH(tabCustoUnit[[#Headers],[PIS]],tabParametros[#Headers],0),0))/(tabCustoUnit[[#This Row],[Resumo de Alíquotas (PIS+CONFINS+ISS)]]*100)</f>
        <v>1.8591549295774657E-2</v>
      </c>
      <c r="BR45" s="28">
        <f>VLOOKUP(tabCustoUnit[[#This Row],[Código do Posto]],tabParametros[],MATCH(tabCustoUnit[[#Headers],[ISS]],tabParametros[#Headers],0),0)</f>
        <v>0.02</v>
      </c>
      <c r="BS45" s="26">
        <f>(((100/((100-(tabCustoUnit[[#This Row],[Resumo de Alíquotas (PIS+CONFINS+ISS)]]*100))%)-100)*tabCustoUnit[[#This Row],[ISS]])/tabCustoUnit[[#This Row],[Resumo de Alíquotas (PIS+CONFINS+ISS)]])/100</f>
        <v>2.2535211267605645E-2</v>
      </c>
      <c r="BT45" s="26">
        <f>(VLOOKUP(tabCustoUnit[[#This Row],[Código do Posto]],tabParametros[],MATCH(tabCustoUnit[[#Headers],[COFINS]],tabParametros[#Headers],0),0)+
VLOOKUP(tabCustoUnit[[#This Row],[Código do Posto]],tabParametros[],MATCH(tabCustoUnit[[#Headers],[PIS]],tabParametros[#Headers],0),0)+
VLOOKUP(tabCustoUnit[[#This Row],[Código do Posto]],tabParametros[],MATCH(tabCustoUnit[[#Headers],[ISS]],tabParametros[#Headers],0),0))</f>
        <v>0.1125</v>
      </c>
      <c r="BU45" s="138">
        <f>tabCustoUnit[[#This Row],[COFINS]]+tabCustoUnit[[#This Row],[PIS]]+tabCustoUnit[[#This Row],[ISS (Conversão Alíquota s/ fatura)]]</f>
        <v>0.12676056338028174</v>
      </c>
      <c r="BV45" s="22">
        <f>(tabCustoUnit[[#This Row],[TOTAL MÓDULOS 1+2+3+4+5]]+tabCustoUnit[[#This Row],[Custos Indiretos]]+tabCustoUnit[[#This Row],[Lucro]])*tabCustoUnit[[#This Row],[PIS + COFINS + ISS (Total Conversão  Alíquota s/ Fatura)]]</f>
        <v>312.73888240080998</v>
      </c>
      <c r="BW45" s="22">
        <f>tabCustoUnit[[#This Row],[Custos Indiretos]]+tabCustoUnit[[#This Row],[Lucro]]+tabCustoUnit[[#This Row],[Valor dos Tributos (ISS, PIS, CONFINS)]]</f>
        <v>661.69267698127408</v>
      </c>
      <c r="BX45" s="22">
        <f>tabCustoUnit[[#This Row],[TOTAL MÓDULOS 1+2+3+4+5]]+tabCustoUnit[[#This Row],[MÓDULO 6 – CUSTOS INDIRETOS, TRIBUTOS E LUCRO]]</f>
        <v>2779.9011768960877</v>
      </c>
      <c r="BY45" s="22">
        <f>tabCustoUnit[[#This Row],[CUSTO TOTAL MENSAL]]*12</f>
        <v>33358.81412275305</v>
      </c>
      <c r="BZ45" s="24">
        <f>VLOOKUP(tabCustoUnit[[#This Row],[Código do Posto]],tabParametros[],MATCH(tabCustoUnit[[#Headers],[ANO DA CCT]],tabParametros[#Headers],0),0)</f>
        <v>45658</v>
      </c>
      <c r="CA45" s="25" t="str">
        <f>VLOOKUP(tabCustoUnit[[#This Row],[Código do Posto]],tabParametros[],MATCH(tabCustoUnit[[#Headers],[Nº DE PEDIDO DA CCT]],tabParametros[#Headers],0),0)</f>
        <v>-</v>
      </c>
      <c r="CB45" s="25" t="str">
        <f>VLOOKUP(tabCustoUnit[[#This Row],[Código do Posto]],tabParametros[],MATCH(tabCustoUnit[[#Headers],[TERMO ADITIVO ALTERAÇÃO DA CCT]],tabParametros[#Headers],0),0)</f>
        <v>-</v>
      </c>
    </row>
    <row r="46" spans="1:80" x14ac:dyDescent="0.25">
      <c r="A46" s="20" t="s">
        <v>1386</v>
      </c>
      <c r="B46" t="s">
        <v>45</v>
      </c>
      <c r="C46" t="s">
        <v>1244</v>
      </c>
      <c r="D46" t="s">
        <v>1000</v>
      </c>
      <c r="E46" s="20" t="s">
        <v>9</v>
      </c>
      <c r="F46" s="20" t="s">
        <v>10</v>
      </c>
      <c r="G46" s="21">
        <v>798.14</v>
      </c>
      <c r="H46" s="21">
        <v>0</v>
      </c>
      <c r="I46" s="21">
        <v>0</v>
      </c>
      <c r="J46" s="21">
        <v>0</v>
      </c>
      <c r="K46" s="21">
        <v>0</v>
      </c>
      <c r="L46" s="21">
        <v>0</v>
      </c>
      <c r="M46" s="21">
        <v>0</v>
      </c>
      <c r="N46" s="21">
        <v>26.120899999999999</v>
      </c>
      <c r="O46" s="21">
        <f>SUM(tabCustoUnit[[#This Row],[Salário Base]:[Adicional de Acúmulo de função]])</f>
        <v>824.26089999999999</v>
      </c>
      <c r="P46" s="21">
        <f>tabCustoUnit[[#This Row],[MODULO 1 - REMUNERAÇÃO ]]*SUMIFS(tabParametros[INSS],tabParametros[Código do Posto],tabCustoUnit[[#This Row],[Código do Posto]])</f>
        <v>164.85218</v>
      </c>
      <c r="Q46" s="21">
        <f>tabCustoUnit[[#This Row],[MODULO 1 - REMUNERAÇÃO ]]*SUMIFS(tabParametros[SESI OU SESC],tabParametros[Código do Posto],tabCustoUnit[[#This Row],[Código do Posto]])</f>
        <v>12.363913499999999</v>
      </c>
      <c r="R46" s="21">
        <f>tabCustoUnit[[#This Row],[MODULO 1 - REMUNERAÇÃO ]]*SUMIFS(tabParametros[SENAI OU SENAC],tabParametros[Código do Posto],tabCustoUnit[[#This Row],[Código do Posto]])</f>
        <v>8.2426089999999999</v>
      </c>
      <c r="S46" s="21">
        <f>tabCustoUnit[[#This Row],[MODULO 1 - REMUNERAÇÃO ]]*SUMIFS(tabParametros[INCRA],tabParametros[Código do Posto],tabCustoUnit[[#This Row],[Código do Posto]])</f>
        <v>1.6485217999999999</v>
      </c>
      <c r="T46" s="21">
        <f>tabCustoUnit[[#This Row],[MODULO 1 - REMUNERAÇÃO ]]*SUMIFS(tabParametros[Salário Educação],tabParametros[Código do Posto],tabCustoUnit[[#This Row],[Código do Posto]])</f>
        <v>20.606522500000001</v>
      </c>
      <c r="U46" s="21">
        <f>tabCustoUnit[[#This Row],[MODULO 1 - REMUNERAÇÃO ]]*SUMIFS(tabParametros[FGTS],tabParametros[Código do Posto],tabCustoUnit[[#This Row],[Código do Posto]])</f>
        <v>65.940871999999999</v>
      </c>
      <c r="V46" s="21">
        <f>tabCustoUnit[[#This Row],[MODULO 1 - REMUNERAÇÃO ]]*SUMIFS(tabParametros[RAT Ajustado],tabParametros[Código do Posto],tabCustoUnit[[#This Row],[Código do Posto]])</f>
        <v>32.970435999999999</v>
      </c>
      <c r="W46" s="21">
        <f>tabCustoUnit[[#This Row],[MODULO 1 - REMUNERAÇÃO ]]*SUMIFS(tabParametros[SEBRAE],tabParametros[Código do Posto],tabCustoUnit[[#This Row],[Código do Posto]])</f>
        <v>4.9455654000000004</v>
      </c>
      <c r="X46" s="21">
        <f>SUM(tabCustoUnit[[#This Row],[INSS]:[SEBRAE]])</f>
        <v>311.57062020000001</v>
      </c>
      <c r="Y46" s="21">
        <f>tabCustoUnit[[#This Row],[MODULO 1 - REMUNERAÇÃO ]]*SUMIFS(tabParametros[13º salário (titular)],tabParametros[Código do Posto],tabCustoUnit[[#This Row],[Código do Posto]])</f>
        <v>68.688408333333328</v>
      </c>
      <c r="Z46" s="21">
        <f>tabCustoUnit[[#This Row],[MODULO 1 - REMUNERAÇÃO ]]*SUMIFS(tabParametros[Férias e Adicional de Férias (titular)],tabParametros[Código do Posto],tabCustoUnit[[#This Row],[Código do Posto]])</f>
        <v>91.584544444444433</v>
      </c>
      <c r="AA46" s="21">
        <f>IFERROR((tabCustoUnit[[#This Row],[Submódulo 2.1]]/tabCustoUnit[[#This Row],[MODULO 1 - REMUNERAÇÃO ]])*SUM(tabCustoUnit[[#This Row],[13º salário (titular)]:[Férias e Adicional de Férias (titular)]]),0)</f>
        <v>60.583176149999993</v>
      </c>
      <c r="AB46" s="21">
        <f>SUM(tabCustoUnit[[#This Row],[13º salário (titular)]:[Incidência do Submódulo 2.1 sobre 13º Salário, Férias e Adicional de Férias]])</f>
        <v>220.85612892777775</v>
      </c>
      <c r="AC46" s="22">
        <f>_xlfn.LET(_xlpm.VT,SUMIF(tabParametros[Código do Posto],tabCustoUnit[[#This Row],[Código do Posto]],tabParametros[Vale - Transporte])*2*20,
IF((_xlpm.VT-tabCustoUnit[[#This Row],[Salário Base]]*0.06)&gt;=0,(_xlpm.VT-tabCustoUnit[[#This Row],[Salário Base]]*0.06),0)
)</f>
        <v>208.11160000000001</v>
      </c>
      <c r="AD46" s="22">
        <f>IF(SUMIF(tabParametros[Código do Posto],tabCustoUnit[[#This Row],[Código do Posto]],tabParametros[Vale - Alimentação])&lt;=0,0,
SUMIF(tabParametros[Código do Posto],tabCustoUnit[[#This Row],[Código do Posto]],tabParametros[Vale - Alimentação])*20-1)</f>
        <v>582</v>
      </c>
      <c r="AE46" s="22">
        <f>SUMIF(tabParametros[Código do Posto],tabCustoUnit[[#This Row],[Código do Posto]],tabParametros[Cesta Básica])</f>
        <v>0</v>
      </c>
      <c r="AF46" s="22">
        <f>SUMIF(tabParametros[Código do Posto],tabCustoUnit[[#This Row],[Código do Posto]],tabParametros[PAF])</f>
        <v>0</v>
      </c>
      <c r="AG46" s="22">
        <f>SUMIF(tabParametros[Código do Posto],tabCustoUnit[[#This Row],[Código do Posto]],tabParametros[PQM])</f>
        <v>15.07</v>
      </c>
      <c r="AH46" s="22">
        <f>SUMIF(tabParametros[Código do Posto],tabCustoUnit[[#This Row],[Código do Posto]],tabParametros[PAT])</f>
        <v>0</v>
      </c>
      <c r="AI46" s="22">
        <f>SUMIF(tabParametros[Código do Posto],tabCustoUnit[[#This Row],[Código do Posto]],tabParametros[Seguro de Vida])</f>
        <v>3.36</v>
      </c>
      <c r="AJ46" s="22">
        <f>SUMIF(tabParametros[Código do Posto],tabCustoUnit[[#This Row],[Código do Posto]],tabParametros[Despesas de Viagem])</f>
        <v>0</v>
      </c>
      <c r="AK46" s="22">
        <f>SUM(tabCustoUnit[[#This Row],[Vale - Transporte (Descontada parcela do empregado)]:[Despesas de Viagem]])</f>
        <v>808.54160000000002</v>
      </c>
      <c r="AL46" s="22">
        <f>tabCustoUnit[[#This Row],[Submódulo 2.1]]+tabCustoUnit[[#This Row],[Submódulo 2.2]]+tabCustoUnit[[#This Row],[Submódulo 2.3]]</f>
        <v>1340.9683491277779</v>
      </c>
      <c r="AM46" s="22">
        <f>SUMIF(tabParametros[Código do Posto],tabCustoUnit[[#This Row],[Código do Posto]],tabParametros[Aviso Prévio Indenizado (API) e Reflexo do Aviso Prévio Indenizado])*tabCustoUnit[[#This Row],[MODULO 1 - REMUNERAÇÃO ]]</f>
        <v>5.7795253576581791</v>
      </c>
      <c r="AN46" s="22">
        <f>SUMIF(tabParametros[Código do Posto],tabCustoUnit[[#This Row],[Código do Posto]],tabParametros[Incidência do FGTS sobre API e Reflexo do API])*tabCustoUnit[[#This Row],[MODULO 1 - REMUNERAÇÃO ]]</f>
        <v>0.46236202861265435</v>
      </c>
      <c r="AO46" s="22">
        <f>SUMIF(tabParametros[Código do Posto],tabCustoUnit[[#This Row],[Código do Posto]],tabParametros[Multa Rescisória do FGTS sobre o Aviso Prévio Indenizado])*tabCustoUnit[[#This Row],[MODULO 1 - REMUNERAÇÃO ]]</f>
        <v>0.18494481144506175</v>
      </c>
      <c r="AP46" s="22">
        <f>SUMIF(tabParametros[Código do Posto],tabCustoUnit[[#This Row],[Código do Posto]],tabParametros[Aviso Prévio Trabalhado - APT])*tabCustoUnit[[#This Row],[MODULO 1 - REMUNERAÇÃO ]]</f>
        <v>2.8849131500000005</v>
      </c>
      <c r="AQ46" s="22">
        <f>SUMIF(tabParametros[Código do Posto],tabCustoUnit[[#This Row],[Código do Posto]],tabParametros[Incidência dos encargos do submódulo 2.1 sobre Aviso Prévio Trabalhado])*tabCustoUnit[[#This Row],[MODULO 1 - REMUNERAÇÃO ]]</f>
        <v>1.0904971707000004</v>
      </c>
      <c r="AR46" s="22">
        <f>SUMIF(tabParametros[Código do Posto],tabCustoUnit[[#This Row],[Código do Posto]],tabParametros[Multa Rescisória do FGTS])*tabCustoUnit[[#This Row],[MODULO 1 - REMUNERAÇÃO ]]</f>
        <v>25.204066631111107</v>
      </c>
      <c r="AS46" s="22">
        <f>SUMIF(tabParametros[Código do Posto],tabCustoUnit[[#This Row],[Código do Posto]],tabParametros[Indenização Adicional (Art. 9º da Lei nº 7.238/84)])*tabCustoUnit[[#This Row],[MODULO 1 - REMUNERAÇÃO ]]</f>
        <v>0.6868840833333334</v>
      </c>
      <c r="AT46" s="22">
        <f>SUM(tabCustoUnit[[#This Row],[Aviso Prévio Indenizado (API) e Reflexo do Aviso Prévio Indenizado]:[Indenização Adicional (Art. 9º da Lei nº 7.238/84)]])</f>
        <v>36.293193232860339</v>
      </c>
      <c r="AU46" s="22">
        <f>SUMIF(tabParametros[Código do Posto],tabCustoUnit[[#This Row],[Código do Posto]],tabParametros[Ausência por Doença])*tabCustoUnit[[#This Row],[MODULO 1 - REMUNERAÇÃO ]]</f>
        <v>6.9604253777777769</v>
      </c>
      <c r="AV46" s="22">
        <f>SUMIF(tabParametros[Código do Posto],tabCustoUnit[[#This Row],[Código do Posto]],tabParametros[Ausências Legais])*tabCustoUnit[[#This Row],[MODULO 1 - REMUNERAÇÃO ]]</f>
        <v>1.671417936111111</v>
      </c>
      <c r="AW46" s="22">
        <f>SUMIF(tabParametros[Código do Posto],tabCustoUnit[[#This Row],[Código do Posto]],tabParametros[Licença Paternidade])*tabCustoUnit[[#This Row],[MODULO 1 - REMUNERAÇÃO ]]</f>
        <v>0.14081123708333332</v>
      </c>
      <c r="AX46" s="22">
        <f>SUMIF(tabParametros[Código do Posto],tabCustoUnit[[#This Row],[Código do Posto]],tabParametros[Ausência por Acidente de Trabalho])*tabCustoUnit[[#This Row],[MODULO 1 - REMUNERAÇÃO ]]</f>
        <v>0.17172102083333335</v>
      </c>
      <c r="AY46" s="22">
        <f>SUMIF(tabParametros[Código do Posto],tabCustoUnit[[#This Row],[Código do Posto]],tabParametros[Férias, Adicional de Férias e 13º  com empregada em gozo de Licença Maternidade])*tabCustoUnit[[#This Row],[MODULO 1 - REMUNERAÇÃO ]]</f>
        <v>1.0684863518518517</v>
      </c>
      <c r="AZ46" s="22">
        <f>SUMIF(tabParametros[Código do Posto],tabCustoUnit[[#This Row],[Código do Posto]],tabParametros[Incidência do Submódulo 2.1 sobre Ausências Legais])*tabCustoUnit[[#This Row],[MODULO 1 - REMUNERAÇÃO ]]</f>
        <v>3.7848618071425006</v>
      </c>
      <c r="BA46" s="22">
        <f>SUM(tabCustoUnit[[#This Row],[Ausência por Doença]:[Incidência do Submódulo 2.1 sobre Ausências Legais]])</f>
        <v>13.797723730799909</v>
      </c>
      <c r="BB46" s="22">
        <f>SUMIF(tabParametros[Código do Posto],tabCustoUnit[[#This Row],[Código do Posto]],tabParametros[Intervalo para Repouso ou Alimentação])</f>
        <v>0</v>
      </c>
      <c r="BC46" s="22">
        <f>tabCustoUnit[[#This Row],[Intervalo para Repouso ou Alimentação]]</f>
        <v>0</v>
      </c>
      <c r="BD46" s="22">
        <f>IF(VLOOKUP(tabCustoUnit[[#This Row],[Código do Posto]],PARAMETROS!$A$4:$BJ$255,7,0)&lt;=0,0,
IFERROR((tabCustoUnit[[#This Row],[MODULO 1 - REMUNERAÇÃO ]]*VLOOKUP(tabCustoUnit[[#This Row],[Código do Posto]],PARAMETROS!$A$4:$BJ$255,49,0))/(VLOOKUP(tabCustoUnit[[#This Row],[Código do Posto]],PARAMETROS!$A$4:$BJ$255,7,0)*VLOOKUP(tabCustoUnit[[#This Row],[Código do Posto]],PARAMETROS!$A$4:$BJ$255,8,0)),0)
)</f>
        <v>0</v>
      </c>
      <c r="BE46" s="22">
        <f>tabCustoUnit[[#This Row],[Suspensão Temporária do Contrato de Trabalho]]</f>
        <v>0</v>
      </c>
      <c r="BF46" s="22">
        <f>tabCustoUnit[[#This Row],[Submódulo 4.1]]+tabCustoUnit[[#This Row],[Submódulo 4.2]]+tabCustoUnit[[#This Row],[Submódulo 4.3]]</f>
        <v>13.797723730799909</v>
      </c>
      <c r="BG46" s="22">
        <f>VLOOKUP(tabCustoUnit[[#This Row],[Código do Posto]],tabParametros[],MATCH(tabCustoUnit[[#Headers],[Uniformes e EPIs]],tabParametros[#Headers],0),0)</f>
        <v>62.806666666666665</v>
      </c>
      <c r="BH46" s="22">
        <f>VLOOKUP(tabCustoUnit[[#This Row],[Código do Posto]],tabParametros[],MATCH(tabCustoUnit[[#Headers],[Materiais de Consumo]],tabParametros[#Headers],0),0)</f>
        <v>17.759106479291944</v>
      </c>
      <c r="BI46" s="22">
        <f>VLOOKUP(tabCustoUnit[[#This Row],[Código do Posto]],tabParametros[],MATCH(tabCustoUnit[[#Headers],[Máquinas e Equipamentos (depreciação)]],tabParametros[#Headers],0),0)</f>
        <v>32.264696957412788</v>
      </c>
      <c r="BJ46" s="22">
        <f>VLOOKUP(tabCustoUnit[[#This Row],[Código do Posto]],tabParametros[],MATCH(tabCustoUnit[[#Headers],[Produtos de Limpeza e Materiais de Higiene Pessoal]],tabParametros[#Headers],0),0)</f>
        <v>345.13576638965827</v>
      </c>
      <c r="BK46" s="22">
        <f>VLOOKUP(tabCustoUnit[[#This Row],[Código do Posto]],tabParametros[],MATCH(tabCustoUnit[[#Headers],[Outros (especificar)]],tabParametros[#Headers],0),0)</f>
        <v>0</v>
      </c>
      <c r="BL46" s="22">
        <f>SUM(tabCustoUnit[[#This Row],[Uniformes e EPIs]:[Outros (especificar)]])</f>
        <v>457.96623649302967</v>
      </c>
      <c r="BM46" s="22">
        <f>tabCustoUnit[[#This Row],[MODULO 1 - REMUNERAÇÃO ]]+tabCustoUnit[[#This Row],[MÓDULO 2 - Total Encargos e Benefícios mensais e diários]]+tabCustoUnit[[#This Row],[MÓDULO 3 – PROVISÃO PARA RESCISÃO]]+tabCustoUnit[[#This Row],[MÓDULO 4 – CUSTO DE REPOSIÇÃO DO PROFISSIONAL AUSENTE]]+tabCustoUnit[[#This Row],[MÓDULO 5 – INSUMOS DIVERSOS]]</f>
        <v>2673.2864025844674</v>
      </c>
      <c r="BN46" s="22">
        <f>VLOOKUP(tabCustoUnit[[#This Row],[Código do Posto]],tabParametros[],MATCH(tabCustoUnit[[#Headers],[Custos Indiretos]],tabParametros[#Headers],0),0)</f>
        <v>189.64880140242613</v>
      </c>
      <c r="BO46" s="22">
        <f>VLOOKUP(tabCustoUnit[[#This Row],[Código do Posto]],tabParametros[],MATCH(tabCustoUnit[[#Headers],[Lucro]],tabParametros[#Headers],0),0)</f>
        <v>159.30499317803796</v>
      </c>
      <c r="BP46" s="26">
        <f>((100/((1-tabCustoUnit[[#This Row],[Resumo de Alíquotas (PIS+CONFINS+ISS)]]))-100)*VLOOKUP(tabCustoUnit[[#This Row],[Código do Posto]],tabParametros[],MATCH(tabCustoUnit[[#Headers],[COFINS]],tabParametros[#Headers],0),0))/(tabCustoUnit[[#This Row],[Resumo de Alíquotas (PIS+CONFINS+ISS)]]*100)</f>
        <v>8.5633802816901458E-2</v>
      </c>
      <c r="BQ46" s="26">
        <f>((100/((100-(tabCustoUnit[[#This Row],[Resumo de Alíquotas (PIS+CONFINS+ISS)]]*100))%)-100)*VLOOKUP(tabCustoUnit[[#This Row],[Código do Posto]],tabParametros[],MATCH(tabCustoUnit[[#Headers],[PIS]],tabParametros[#Headers],0),0))/(tabCustoUnit[[#This Row],[Resumo de Alíquotas (PIS+CONFINS+ISS)]]*100)</f>
        <v>1.8591549295774657E-2</v>
      </c>
      <c r="BR46" s="28">
        <f>VLOOKUP(tabCustoUnit[[#This Row],[Código do Posto]],tabParametros[],MATCH(tabCustoUnit[[#Headers],[ISS]],tabParametros[#Headers],0),0)</f>
        <v>0.02</v>
      </c>
      <c r="BS46" s="26">
        <f>(((100/((100-(tabCustoUnit[[#This Row],[Resumo de Alíquotas (PIS+CONFINS+ISS)]]*100))%)-100)*tabCustoUnit[[#This Row],[ISS]])/tabCustoUnit[[#This Row],[Resumo de Alíquotas (PIS+CONFINS+ISS)]])/100</f>
        <v>2.2535211267605645E-2</v>
      </c>
      <c r="BT46" s="26">
        <f>(VLOOKUP(tabCustoUnit[[#This Row],[Código do Posto]],tabParametros[],MATCH(tabCustoUnit[[#Headers],[COFINS]],tabParametros[#Headers],0),0)+
VLOOKUP(tabCustoUnit[[#This Row],[Código do Posto]],tabParametros[],MATCH(tabCustoUnit[[#Headers],[PIS]],tabParametros[#Headers],0),0)+
VLOOKUP(tabCustoUnit[[#This Row],[Código do Posto]],tabParametros[],MATCH(tabCustoUnit[[#Headers],[ISS]],tabParametros[#Headers],0),0))</f>
        <v>0.1125</v>
      </c>
      <c r="BU46" s="138">
        <f>tabCustoUnit[[#This Row],[COFINS]]+tabCustoUnit[[#This Row],[PIS]]+tabCustoUnit[[#This Row],[ISS (Conversão Alíquota s/ fatura)]]</f>
        <v>0.12676056338028174</v>
      </c>
      <c r="BV46" s="22">
        <f>(tabCustoUnit[[#This Row],[TOTAL MÓDULOS 1+2+3+4+5]]+tabCustoUnit[[#This Row],[Custos Indiretos]]+tabCustoUnit[[#This Row],[Lucro]])*tabCustoUnit[[#This Row],[PIS + COFINS + ISS (Total Conversão  Alíquota s/ Fatura)]]</f>
        <v>383.10087006316047</v>
      </c>
      <c r="BW46" s="22">
        <f>tabCustoUnit[[#This Row],[Custos Indiretos]]+tabCustoUnit[[#This Row],[Lucro]]+tabCustoUnit[[#This Row],[Valor dos Tributos (ISS, PIS, CONFINS)]]</f>
        <v>732.05466464362462</v>
      </c>
      <c r="BX46" s="22">
        <f>tabCustoUnit[[#This Row],[TOTAL MÓDULOS 1+2+3+4+5]]+tabCustoUnit[[#This Row],[MÓDULO 6 – CUSTOS INDIRETOS, TRIBUTOS E LUCRO]]</f>
        <v>3405.341067228092</v>
      </c>
      <c r="BY46" s="22">
        <f>tabCustoUnit[[#This Row],[CUSTO TOTAL MENSAL]]*12</f>
        <v>40864.092806737106</v>
      </c>
      <c r="BZ46" s="24">
        <f>VLOOKUP(tabCustoUnit[[#This Row],[Código do Posto]],tabParametros[],MATCH(tabCustoUnit[[#Headers],[ANO DA CCT]],tabParametros[#Headers],0),0)</f>
        <v>45658</v>
      </c>
      <c r="CA46" s="25" t="str">
        <f>VLOOKUP(tabCustoUnit[[#This Row],[Código do Posto]],tabParametros[],MATCH(tabCustoUnit[[#Headers],[Nº DE PEDIDO DA CCT]],tabParametros[#Headers],0),0)</f>
        <v>-</v>
      </c>
      <c r="CB46" s="25" t="str">
        <f>VLOOKUP(tabCustoUnit[[#This Row],[Código do Posto]],tabParametros[],MATCH(tabCustoUnit[[#Headers],[TERMO ADITIVO ALTERAÇÃO DA CCT]],tabParametros[#Headers],0),0)</f>
        <v>-</v>
      </c>
    </row>
    <row r="47" spans="1:80" x14ac:dyDescent="0.25">
      <c r="A47" s="20" t="s">
        <v>1387</v>
      </c>
      <c r="B47" t="s">
        <v>46</v>
      </c>
      <c r="C47" t="s">
        <v>1247</v>
      </c>
      <c r="D47" t="s">
        <v>1000</v>
      </c>
      <c r="E47" s="20" t="s">
        <v>9</v>
      </c>
      <c r="F47" s="20" t="s">
        <v>10</v>
      </c>
      <c r="G47" s="21">
        <v>544.17999999999995</v>
      </c>
      <c r="H47" s="21">
        <v>0</v>
      </c>
      <c r="I47" s="21">
        <v>0</v>
      </c>
      <c r="J47" s="21">
        <v>0</v>
      </c>
      <c r="K47" s="21">
        <v>0</v>
      </c>
      <c r="L47" s="21">
        <v>0</v>
      </c>
      <c r="M47" s="21">
        <v>0</v>
      </c>
      <c r="N47" s="21">
        <v>19.590499999999999</v>
      </c>
      <c r="O47" s="21">
        <f>SUM(tabCustoUnit[[#This Row],[Salário Base]:[Adicional de Acúmulo de função]])</f>
        <v>563.77049999999997</v>
      </c>
      <c r="P47" s="21">
        <f>tabCustoUnit[[#This Row],[MODULO 1 - REMUNERAÇÃO ]]*SUMIFS(tabParametros[INSS],tabParametros[Código do Posto],tabCustoUnit[[#This Row],[Código do Posto]])</f>
        <v>112.75409999999999</v>
      </c>
      <c r="Q47" s="21">
        <f>tabCustoUnit[[#This Row],[MODULO 1 - REMUNERAÇÃO ]]*SUMIFS(tabParametros[SESI OU SESC],tabParametros[Código do Posto],tabCustoUnit[[#This Row],[Código do Posto]])</f>
        <v>8.4565574999999988</v>
      </c>
      <c r="R47" s="21">
        <f>tabCustoUnit[[#This Row],[MODULO 1 - REMUNERAÇÃO ]]*SUMIFS(tabParametros[SENAI OU SENAC],tabParametros[Código do Posto],tabCustoUnit[[#This Row],[Código do Posto]])</f>
        <v>5.6377049999999995</v>
      </c>
      <c r="S47" s="21">
        <f>tabCustoUnit[[#This Row],[MODULO 1 - REMUNERAÇÃO ]]*SUMIFS(tabParametros[INCRA],tabParametros[Código do Posto],tabCustoUnit[[#This Row],[Código do Posto]])</f>
        <v>1.1275409999999999</v>
      </c>
      <c r="T47" s="21">
        <f>tabCustoUnit[[#This Row],[MODULO 1 - REMUNERAÇÃO ]]*SUMIFS(tabParametros[Salário Educação],tabParametros[Código do Posto],tabCustoUnit[[#This Row],[Código do Posto]])</f>
        <v>14.094262499999999</v>
      </c>
      <c r="U47" s="21">
        <f>tabCustoUnit[[#This Row],[MODULO 1 - REMUNERAÇÃO ]]*SUMIFS(tabParametros[FGTS],tabParametros[Código do Posto],tabCustoUnit[[#This Row],[Código do Posto]])</f>
        <v>45.101639999999996</v>
      </c>
      <c r="V47" s="21">
        <f>tabCustoUnit[[#This Row],[MODULO 1 - REMUNERAÇÃO ]]*SUMIFS(tabParametros[RAT Ajustado],tabParametros[Código do Posto],tabCustoUnit[[#This Row],[Código do Posto]])</f>
        <v>22.550819999999998</v>
      </c>
      <c r="W47" s="21">
        <f>tabCustoUnit[[#This Row],[MODULO 1 - REMUNERAÇÃO ]]*SUMIFS(tabParametros[SEBRAE],tabParametros[Código do Posto],tabCustoUnit[[#This Row],[Código do Posto]])</f>
        <v>3.3826229999999997</v>
      </c>
      <c r="X47" s="21">
        <f>SUM(tabCustoUnit[[#This Row],[INSS]:[SEBRAE]])</f>
        <v>213.10524899999996</v>
      </c>
      <c r="Y47" s="21">
        <f>tabCustoUnit[[#This Row],[MODULO 1 - REMUNERAÇÃO ]]*SUMIFS(tabParametros[13º salário (titular)],tabParametros[Código do Posto],tabCustoUnit[[#This Row],[Código do Posto]])</f>
        <v>46.980874999999997</v>
      </c>
      <c r="Z47" s="21">
        <f>tabCustoUnit[[#This Row],[MODULO 1 - REMUNERAÇÃO ]]*SUMIFS(tabParametros[Férias e Adicional de Férias (titular)],tabParametros[Código do Posto],tabCustoUnit[[#This Row],[Código do Posto]])</f>
        <v>62.641166666666663</v>
      </c>
      <c r="AA47" s="21">
        <f>IFERROR((tabCustoUnit[[#This Row],[Submódulo 2.1]]/tabCustoUnit[[#This Row],[MODULO 1 - REMUNERAÇÃO ]])*SUM(tabCustoUnit[[#This Row],[13º salário (titular)]:[Férias e Adicional de Férias (titular)]]),0)</f>
        <v>41.437131749999992</v>
      </c>
      <c r="AB47" s="21">
        <f>SUM(tabCustoUnit[[#This Row],[13º salário (titular)]:[Incidência do Submódulo 2.1 sobre 13º Salário, Férias e Adicional de Férias]])</f>
        <v>151.05917341666665</v>
      </c>
      <c r="AC47" s="22">
        <f>_xlfn.LET(_xlpm.VT,SUMIF(tabParametros[Código do Posto],tabCustoUnit[[#This Row],[Código do Posto]],tabParametros[Vale - Transporte])*2*20,
IF((_xlpm.VT-tabCustoUnit[[#This Row],[Salário Base]]*0.06)&gt;=0,(_xlpm.VT-tabCustoUnit[[#This Row],[Salário Base]]*0.06),0)
)</f>
        <v>223.3492</v>
      </c>
      <c r="AD47" s="22">
        <f>IF(SUMIF(tabParametros[Código do Posto],tabCustoUnit[[#This Row],[Código do Posto]],tabParametros[Vale - Alimentação])&lt;=0,0,
SUMIF(tabParametros[Código do Posto],tabCustoUnit[[#This Row],[Código do Posto]],tabParametros[Vale - Alimentação])*20-1)</f>
        <v>582</v>
      </c>
      <c r="AE47" s="22">
        <f>SUMIF(tabParametros[Código do Posto],tabCustoUnit[[#This Row],[Código do Posto]],tabParametros[Cesta Básica])</f>
        <v>0</v>
      </c>
      <c r="AF47" s="22">
        <f>SUMIF(tabParametros[Código do Posto],tabCustoUnit[[#This Row],[Código do Posto]],tabParametros[PAF])</f>
        <v>0</v>
      </c>
      <c r="AG47" s="22">
        <f>SUMIF(tabParametros[Código do Posto],tabCustoUnit[[#This Row],[Código do Posto]],tabParametros[PQM])</f>
        <v>15.07</v>
      </c>
      <c r="AH47" s="22">
        <f>SUMIF(tabParametros[Código do Posto],tabCustoUnit[[#This Row],[Código do Posto]],tabParametros[PAT])</f>
        <v>0</v>
      </c>
      <c r="AI47" s="22">
        <f>SUMIF(tabParametros[Código do Posto],tabCustoUnit[[#This Row],[Código do Posto]],tabParametros[Seguro de Vida])</f>
        <v>3.36</v>
      </c>
      <c r="AJ47" s="22">
        <f>SUMIF(tabParametros[Código do Posto],tabCustoUnit[[#This Row],[Código do Posto]],tabParametros[Despesas de Viagem])</f>
        <v>0</v>
      </c>
      <c r="AK47" s="22">
        <f>SUM(tabCustoUnit[[#This Row],[Vale - Transporte (Descontada parcela do empregado)]:[Despesas de Viagem]])</f>
        <v>823.77920000000006</v>
      </c>
      <c r="AL47" s="22">
        <f>tabCustoUnit[[#This Row],[Submódulo 2.1]]+tabCustoUnit[[#This Row],[Submódulo 2.2]]+tabCustoUnit[[#This Row],[Submódulo 2.3]]</f>
        <v>1187.9436224166666</v>
      </c>
      <c r="AM47" s="22">
        <f>SUMIF(tabParametros[Código do Posto],tabCustoUnit[[#This Row],[Código do Posto]],tabParametros[Aviso Prévio Indenizado (API) e Reflexo do Aviso Prévio Indenizado])*tabCustoUnit[[#This Row],[MODULO 1 - REMUNERAÇÃO ]]</f>
        <v>3.9530273735532404</v>
      </c>
      <c r="AN47" s="22">
        <f>SUMIF(tabParametros[Código do Posto],tabCustoUnit[[#This Row],[Código do Posto]],tabParametros[Incidência do FGTS sobre API e Reflexo do API])*tabCustoUnit[[#This Row],[MODULO 1 - REMUNERAÇÃO ]]</f>
        <v>0.31624218988425928</v>
      </c>
      <c r="AO47" s="22">
        <f>SUMIF(tabParametros[Código do Posto],tabCustoUnit[[#This Row],[Código do Posto]],tabParametros[Multa Rescisória do FGTS sobre o Aviso Prévio Indenizado])*tabCustoUnit[[#This Row],[MODULO 1 - REMUNERAÇÃO ]]</f>
        <v>0.12649687595370371</v>
      </c>
      <c r="AP47" s="22">
        <f>SUMIF(tabParametros[Código do Posto],tabCustoUnit[[#This Row],[Código do Posto]],tabParametros[Aviso Prévio Trabalhado - APT])*tabCustoUnit[[#This Row],[MODULO 1 - REMUNERAÇÃO ]]</f>
        <v>1.9731967500000003</v>
      </c>
      <c r="AQ47" s="22">
        <f>SUMIF(tabParametros[Código do Posto],tabCustoUnit[[#This Row],[Código do Posto]],tabParametros[Incidência dos encargos do submódulo 2.1 sobre Aviso Prévio Trabalhado])*tabCustoUnit[[#This Row],[MODULO 1 - REMUNERAÇÃO ]]</f>
        <v>0.74586837150000018</v>
      </c>
      <c r="AR47" s="22">
        <f>SUMIF(tabParametros[Código do Posto],tabCustoUnit[[#This Row],[Código do Posto]],tabParametros[Multa Rescisória do FGTS])*tabCustoUnit[[#This Row],[MODULO 1 - REMUNERAÇÃO ]]</f>
        <v>17.238849066666663</v>
      </c>
      <c r="AS47" s="22">
        <f>SUMIF(tabParametros[Código do Posto],tabCustoUnit[[#This Row],[Código do Posto]],tabParametros[Indenização Adicional (Art. 9º da Lei nº 7.238/84)])*tabCustoUnit[[#This Row],[MODULO 1 - REMUNERAÇÃO ]]</f>
        <v>0.46980875</v>
      </c>
      <c r="AT47" s="22">
        <f>SUM(tabCustoUnit[[#This Row],[Aviso Prévio Indenizado (API) e Reflexo do Aviso Prévio Indenizado]:[Indenização Adicional (Art. 9º da Lei nº 7.238/84)]])</f>
        <v>24.823489377557866</v>
      </c>
      <c r="AU47" s="22">
        <f>SUMIF(tabParametros[Código do Posto],tabCustoUnit[[#This Row],[Código do Posto]],tabParametros[Ausência por Doença])*tabCustoUnit[[#This Row],[MODULO 1 - REMUNERAÇÃO ]]</f>
        <v>4.7607286666666662</v>
      </c>
      <c r="AV47" s="22">
        <f>SUMIF(tabParametros[Código do Posto],tabCustoUnit[[#This Row],[Código do Posto]],tabParametros[Ausências Legais])*tabCustoUnit[[#This Row],[MODULO 1 - REMUNERAÇÃO ]]</f>
        <v>1.1432012916666665</v>
      </c>
      <c r="AW47" s="22">
        <f>SUMIF(tabParametros[Código do Posto],tabCustoUnit[[#This Row],[Código do Posto]],tabParametros[Licença Paternidade])*tabCustoUnit[[#This Row],[MODULO 1 - REMUNERAÇÃO ]]</f>
        <v>9.6310793749999998E-2</v>
      </c>
      <c r="AX47" s="22">
        <f>SUMIF(tabParametros[Código do Posto],tabCustoUnit[[#This Row],[Código do Posto]],tabParametros[Ausência por Acidente de Trabalho])*tabCustoUnit[[#This Row],[MODULO 1 - REMUNERAÇÃO ]]</f>
        <v>0.1174521875</v>
      </c>
      <c r="AY47" s="22">
        <f>SUMIF(tabParametros[Código do Posto],tabCustoUnit[[#This Row],[Código do Posto]],tabParametros[Férias, Adicional de Férias e 13º  com empregada em gozo de Licença Maternidade])*tabCustoUnit[[#This Row],[MODULO 1 - REMUNERAÇÃO ]]</f>
        <v>0.73081361111111109</v>
      </c>
      <c r="AZ47" s="22">
        <f>SUMIF(tabParametros[Código do Posto],tabCustoUnit[[#This Row],[Código do Posto]],tabParametros[Incidência do Submódulo 2.1 sobre Ausências Legais])*tabCustoUnit[[#This Row],[MODULO 1 - REMUNERAÇÃO ]]</f>
        <v>2.5887354761625003</v>
      </c>
      <c r="BA47" s="22">
        <f>SUM(tabCustoUnit[[#This Row],[Ausência por Doença]:[Incidência do Submódulo 2.1 sobre Ausências Legais]])</f>
        <v>9.4372420268569428</v>
      </c>
      <c r="BB47" s="22">
        <f>SUMIF(tabParametros[Código do Posto],tabCustoUnit[[#This Row],[Código do Posto]],tabParametros[Intervalo para Repouso ou Alimentação])</f>
        <v>0</v>
      </c>
      <c r="BC47" s="22">
        <f>tabCustoUnit[[#This Row],[Intervalo para Repouso ou Alimentação]]</f>
        <v>0</v>
      </c>
      <c r="BD47" s="22">
        <f>IF(VLOOKUP(tabCustoUnit[[#This Row],[Código do Posto]],PARAMETROS!$A$4:$BJ$255,7,0)&lt;=0,0,
IFERROR((tabCustoUnit[[#This Row],[MODULO 1 - REMUNERAÇÃO ]]*VLOOKUP(tabCustoUnit[[#This Row],[Código do Posto]],PARAMETROS!$A$4:$BJ$255,49,0))/(VLOOKUP(tabCustoUnit[[#This Row],[Código do Posto]],PARAMETROS!$A$4:$BJ$255,7,0)*VLOOKUP(tabCustoUnit[[#This Row],[Código do Posto]],PARAMETROS!$A$4:$BJ$255,8,0)),0)
)</f>
        <v>0</v>
      </c>
      <c r="BE47" s="22">
        <f>tabCustoUnit[[#This Row],[Suspensão Temporária do Contrato de Trabalho]]</f>
        <v>0</v>
      </c>
      <c r="BF47" s="22">
        <f>tabCustoUnit[[#This Row],[Submódulo 4.1]]+tabCustoUnit[[#This Row],[Submódulo 4.2]]+tabCustoUnit[[#This Row],[Submódulo 4.3]]</f>
        <v>9.4372420268569428</v>
      </c>
      <c r="BG47" s="22">
        <f>VLOOKUP(tabCustoUnit[[#This Row],[Código do Posto]],tabParametros[],MATCH(tabCustoUnit[[#Headers],[Uniformes e EPIs]],tabParametros[#Headers],0),0)</f>
        <v>62.806666666666665</v>
      </c>
      <c r="BH47" s="22">
        <f>VLOOKUP(tabCustoUnit[[#This Row],[Código do Posto]],tabParametros[],MATCH(tabCustoUnit[[#Headers],[Materiais de Consumo]],tabParametros[#Headers],0),0)</f>
        <v>12.108481690426325</v>
      </c>
      <c r="BI47" s="22">
        <f>VLOOKUP(tabCustoUnit[[#This Row],[Código do Posto]],tabParametros[],MATCH(tabCustoUnit[[#Headers],[Máquinas e Equipamentos (depreciação)]],tabParametros[#Headers],0),0)</f>
        <v>21.998657016417809</v>
      </c>
      <c r="BJ47" s="22">
        <f>VLOOKUP(tabCustoUnit[[#This Row],[Código do Posto]],tabParametros[],MATCH(tabCustoUnit[[#Headers],[Produtos de Limpeza e Materiais de Higiene Pessoal]],tabParametros[#Headers],0),0)</f>
        <v>235.31984072022155</v>
      </c>
      <c r="BK47" s="22">
        <f>VLOOKUP(tabCustoUnit[[#This Row],[Código do Posto]],tabParametros[],MATCH(tabCustoUnit[[#Headers],[Outros (especificar)]],tabParametros[#Headers],0),0)</f>
        <v>0</v>
      </c>
      <c r="BL47" s="22">
        <f>SUM(tabCustoUnit[[#This Row],[Uniformes e EPIs]:[Outros (especificar)]])</f>
        <v>332.23364609373232</v>
      </c>
      <c r="BM47" s="22">
        <f>tabCustoUnit[[#This Row],[MODULO 1 - REMUNERAÇÃO ]]+tabCustoUnit[[#This Row],[MÓDULO 2 - Total Encargos e Benefícios mensais e diários]]+tabCustoUnit[[#This Row],[MÓDULO 3 – PROVISÃO PARA RESCISÃO]]+tabCustoUnit[[#This Row],[MÓDULO 4 – CUSTO DE REPOSIÇÃO DO PROFISSIONAL AUSENTE]]+tabCustoUnit[[#This Row],[MÓDULO 5 – INSUMOS DIVERSOS]]</f>
        <v>2118.2084999148137</v>
      </c>
      <c r="BN47" s="22">
        <f>VLOOKUP(tabCustoUnit[[#This Row],[Código do Posto]],tabParametros[],MATCH(tabCustoUnit[[#Headers],[Custos Indiretos]],tabParametros[#Headers],0),0)</f>
        <v>189.64880140242613</v>
      </c>
      <c r="BO47" s="22">
        <f>VLOOKUP(tabCustoUnit[[#This Row],[Código do Posto]],tabParametros[],MATCH(tabCustoUnit[[#Headers],[Lucro]],tabParametros[#Headers],0),0)</f>
        <v>159.30499317803796</v>
      </c>
      <c r="BP47" s="26">
        <f>((100/((1-tabCustoUnit[[#This Row],[Resumo de Alíquotas (PIS+CONFINS+ISS)]]))-100)*VLOOKUP(tabCustoUnit[[#This Row],[Código do Posto]],tabParametros[],MATCH(tabCustoUnit[[#Headers],[COFINS]],tabParametros[#Headers],0),0))/(tabCustoUnit[[#This Row],[Resumo de Alíquotas (PIS+CONFINS+ISS)]]*100)</f>
        <v>8.6609686609686695E-2</v>
      </c>
      <c r="BQ47" s="26">
        <f>((100/((100-(tabCustoUnit[[#This Row],[Resumo de Alíquotas (PIS+CONFINS+ISS)]]*100))%)-100)*VLOOKUP(tabCustoUnit[[#This Row],[Código do Posto]],tabParametros[],MATCH(tabCustoUnit[[#Headers],[PIS]],tabParametros[#Headers],0),0))/(tabCustoUnit[[#This Row],[Resumo de Alíquotas (PIS+CONFINS+ISS)]]*100)</f>
        <v>1.880341880341882E-2</v>
      </c>
      <c r="BR47" s="28">
        <f>VLOOKUP(tabCustoUnit[[#This Row],[Código do Posto]],tabParametros[],MATCH(tabCustoUnit[[#Headers],[ISS]],tabParametros[#Headers],0),0)</f>
        <v>0.03</v>
      </c>
      <c r="BS47" s="26">
        <f>(((100/((100-(tabCustoUnit[[#This Row],[Resumo de Alíquotas (PIS+CONFINS+ISS)]]*100))%)-100)*tabCustoUnit[[#This Row],[ISS]])/tabCustoUnit[[#This Row],[Resumo de Alíquotas (PIS+CONFINS+ISS)]])/100</f>
        <v>3.4188034188034219E-2</v>
      </c>
      <c r="BT47" s="26">
        <f>(VLOOKUP(tabCustoUnit[[#This Row],[Código do Posto]],tabParametros[],MATCH(tabCustoUnit[[#Headers],[COFINS]],tabParametros[#Headers],0),0)+
VLOOKUP(tabCustoUnit[[#This Row],[Código do Posto]],tabParametros[],MATCH(tabCustoUnit[[#Headers],[PIS]],tabParametros[#Headers],0),0)+
VLOOKUP(tabCustoUnit[[#This Row],[Código do Posto]],tabParametros[],MATCH(tabCustoUnit[[#Headers],[ISS]],tabParametros[#Headers],0),0))</f>
        <v>0.1225</v>
      </c>
      <c r="BU47" s="138">
        <f>tabCustoUnit[[#This Row],[COFINS]]+tabCustoUnit[[#This Row],[PIS]]+tabCustoUnit[[#This Row],[ISS (Conversão Alíquota s/ fatura)]]</f>
        <v>0.13960113960113973</v>
      </c>
      <c r="BV47" s="22">
        <f>(tabCustoUnit[[#This Row],[TOTAL MÓDULOS 1+2+3+4+5]]+tabCustoUnit[[#This Row],[Custos Indiretos]]+tabCustoUnit[[#This Row],[Lucro]])*tabCustoUnit[[#This Row],[PIS + COFINS + ISS (Total Conversão  Alíquota s/ Fatura)]]</f>
        <v>344.41866789250349</v>
      </c>
      <c r="BW47" s="22">
        <f>tabCustoUnit[[#This Row],[Custos Indiretos]]+tabCustoUnit[[#This Row],[Lucro]]+tabCustoUnit[[#This Row],[Valor dos Tributos (ISS, PIS, CONFINS)]]</f>
        <v>693.37246247296753</v>
      </c>
      <c r="BX47" s="22">
        <f>tabCustoUnit[[#This Row],[TOTAL MÓDULOS 1+2+3+4+5]]+tabCustoUnit[[#This Row],[MÓDULO 6 – CUSTOS INDIRETOS, TRIBUTOS E LUCRO]]</f>
        <v>2811.5809623877813</v>
      </c>
      <c r="BY47" s="22">
        <f>tabCustoUnit[[#This Row],[CUSTO TOTAL MENSAL]]*12</f>
        <v>33738.971548653375</v>
      </c>
      <c r="BZ47" s="24">
        <f>VLOOKUP(tabCustoUnit[[#This Row],[Código do Posto]],tabParametros[],MATCH(tabCustoUnit[[#Headers],[ANO DA CCT]],tabParametros[#Headers],0),0)</f>
        <v>45658</v>
      </c>
      <c r="CA47" s="25" t="str">
        <f>VLOOKUP(tabCustoUnit[[#This Row],[Código do Posto]],tabParametros[],MATCH(tabCustoUnit[[#Headers],[Nº DE PEDIDO DA CCT]],tabParametros[#Headers],0),0)</f>
        <v>-</v>
      </c>
      <c r="CB47" s="25" t="str">
        <f>VLOOKUP(tabCustoUnit[[#This Row],[Código do Posto]],tabParametros[],MATCH(tabCustoUnit[[#Headers],[TERMO ADITIVO ALTERAÇÃO DA CCT]],tabParametros[#Headers],0),0)</f>
        <v>-</v>
      </c>
    </row>
    <row r="48" spans="1:80" x14ac:dyDescent="0.25">
      <c r="A48" s="20" t="s">
        <v>1388</v>
      </c>
      <c r="B48" t="s">
        <v>47</v>
      </c>
      <c r="C48" t="s">
        <v>1245</v>
      </c>
      <c r="D48" t="s">
        <v>1002</v>
      </c>
      <c r="E48" s="20" t="s">
        <v>9</v>
      </c>
      <c r="F48" s="20" t="s">
        <v>10</v>
      </c>
      <c r="G48" s="21">
        <v>1649.12</v>
      </c>
      <c r="H48" s="21">
        <v>0</v>
      </c>
      <c r="I48" s="21">
        <v>0</v>
      </c>
      <c r="J48" s="21">
        <v>0</v>
      </c>
      <c r="K48" s="21">
        <v>0</v>
      </c>
      <c r="L48" s="21">
        <v>0</v>
      </c>
      <c r="M48" s="21">
        <v>0</v>
      </c>
      <c r="N48" s="21">
        <v>53.971200000000003</v>
      </c>
      <c r="O48" s="21">
        <f>SUM(tabCustoUnit[[#This Row],[Salário Base]:[Adicional de Acúmulo de função]])</f>
        <v>1703.0911999999998</v>
      </c>
      <c r="P48" s="21">
        <f>tabCustoUnit[[#This Row],[MODULO 1 - REMUNERAÇÃO ]]*SUMIFS(tabParametros[INSS],tabParametros[Código do Posto],tabCustoUnit[[#This Row],[Código do Posto]])</f>
        <v>340.61824000000001</v>
      </c>
      <c r="Q48" s="21">
        <f>tabCustoUnit[[#This Row],[MODULO 1 - REMUNERAÇÃO ]]*SUMIFS(tabParametros[SESI OU SESC],tabParametros[Código do Posto],tabCustoUnit[[#This Row],[Código do Posto]])</f>
        <v>25.546367999999998</v>
      </c>
      <c r="R48" s="21">
        <f>tabCustoUnit[[#This Row],[MODULO 1 - REMUNERAÇÃO ]]*SUMIFS(tabParametros[SENAI OU SENAC],tabParametros[Código do Posto],tabCustoUnit[[#This Row],[Código do Posto]])</f>
        <v>17.030911999999997</v>
      </c>
      <c r="S48" s="21">
        <f>tabCustoUnit[[#This Row],[MODULO 1 - REMUNERAÇÃO ]]*SUMIFS(tabParametros[INCRA],tabParametros[Código do Posto],tabCustoUnit[[#This Row],[Código do Posto]])</f>
        <v>3.4061823999999996</v>
      </c>
      <c r="T48" s="21">
        <f>tabCustoUnit[[#This Row],[MODULO 1 - REMUNERAÇÃO ]]*SUMIFS(tabParametros[Salário Educação],tabParametros[Código do Posto],tabCustoUnit[[#This Row],[Código do Posto]])</f>
        <v>42.577280000000002</v>
      </c>
      <c r="U48" s="21">
        <f>tabCustoUnit[[#This Row],[MODULO 1 - REMUNERAÇÃO ]]*SUMIFS(tabParametros[FGTS],tabParametros[Código do Posto],tabCustoUnit[[#This Row],[Código do Posto]])</f>
        <v>136.24729599999998</v>
      </c>
      <c r="V48" s="21">
        <f>tabCustoUnit[[#This Row],[MODULO 1 - REMUNERAÇÃO ]]*SUMIFS(tabParametros[RAT Ajustado],tabParametros[Código do Posto],tabCustoUnit[[#This Row],[Código do Posto]])</f>
        <v>68.123647999999989</v>
      </c>
      <c r="W48" s="21">
        <f>tabCustoUnit[[#This Row],[MODULO 1 - REMUNERAÇÃO ]]*SUMIFS(tabParametros[SEBRAE],tabParametros[Código do Posto],tabCustoUnit[[#This Row],[Código do Posto]])</f>
        <v>10.2185472</v>
      </c>
      <c r="X48" s="21">
        <f>SUM(tabCustoUnit[[#This Row],[INSS]:[SEBRAE]])</f>
        <v>643.76847359999999</v>
      </c>
      <c r="Y48" s="21">
        <f>tabCustoUnit[[#This Row],[MODULO 1 - REMUNERAÇÃO ]]*SUMIFS(tabParametros[13º salário (titular)],tabParametros[Código do Posto],tabCustoUnit[[#This Row],[Código do Posto]])</f>
        <v>141.92426666666665</v>
      </c>
      <c r="Z48" s="21">
        <f>tabCustoUnit[[#This Row],[MODULO 1 - REMUNERAÇÃO ]]*SUMIFS(tabParametros[Férias e Adicional de Férias (titular)],tabParametros[Código do Posto],tabCustoUnit[[#This Row],[Código do Posto]])</f>
        <v>189.23235555555553</v>
      </c>
      <c r="AA48" s="21">
        <f>IFERROR((tabCustoUnit[[#This Row],[Submódulo 2.1]]/tabCustoUnit[[#This Row],[MODULO 1 - REMUNERAÇÃO ]])*SUM(tabCustoUnit[[#This Row],[13º salário (titular)]:[Férias e Adicional de Férias (titular)]]),0)</f>
        <v>125.17720319999999</v>
      </c>
      <c r="AB48" s="21">
        <f>SUM(tabCustoUnit[[#This Row],[13º salário (titular)]:[Incidência do Submódulo 2.1 sobre 13º Salário, Férias e Adicional de Férias]])</f>
        <v>456.33382542222216</v>
      </c>
      <c r="AC48" s="22">
        <f>_xlfn.LET(_xlpm.VT,SUMIF(tabParametros[Código do Posto],tabCustoUnit[[#This Row],[Código do Posto]],tabParametros[Vale - Transporte])*2*20,
IF((_xlpm.VT-tabCustoUnit[[#This Row],[Salário Base]]*0.06)&gt;=0,(_xlpm.VT-tabCustoUnit[[#This Row],[Salário Base]]*0.06),0)
)</f>
        <v>157.05279999999999</v>
      </c>
      <c r="AD48" s="22">
        <f>IF(SUMIF(tabParametros[Código do Posto],tabCustoUnit[[#This Row],[Código do Posto]],tabParametros[Vale - Alimentação])&lt;=0,0,
SUMIF(tabParametros[Código do Posto],tabCustoUnit[[#This Row],[Código do Posto]],tabParametros[Vale - Alimentação])*20-1)</f>
        <v>582</v>
      </c>
      <c r="AE48" s="22">
        <f>SUMIF(tabParametros[Código do Posto],tabCustoUnit[[#This Row],[Código do Posto]],tabParametros[Cesta Básica])</f>
        <v>0</v>
      </c>
      <c r="AF48" s="22">
        <f>SUMIF(tabParametros[Código do Posto],tabCustoUnit[[#This Row],[Código do Posto]],tabParametros[PAF])</f>
        <v>0</v>
      </c>
      <c r="AG48" s="22">
        <f>SUMIF(tabParametros[Código do Posto],tabCustoUnit[[#This Row],[Código do Posto]],tabParametros[PQM])</f>
        <v>15.07</v>
      </c>
      <c r="AH48" s="22">
        <f>SUMIF(tabParametros[Código do Posto],tabCustoUnit[[#This Row],[Código do Posto]],tabParametros[PAT])</f>
        <v>0</v>
      </c>
      <c r="AI48" s="22">
        <f>SUMIF(tabParametros[Código do Posto],tabCustoUnit[[#This Row],[Código do Posto]],tabParametros[Seguro de Vida])</f>
        <v>3.36</v>
      </c>
      <c r="AJ48" s="22">
        <f>SUMIF(tabParametros[Código do Posto],tabCustoUnit[[#This Row],[Código do Posto]],tabParametros[Despesas de Viagem])</f>
        <v>0</v>
      </c>
      <c r="AK48" s="22">
        <f>SUM(tabCustoUnit[[#This Row],[Vale - Transporte (Descontada parcela do empregado)]:[Despesas de Viagem]])</f>
        <v>757.4828</v>
      </c>
      <c r="AL48" s="22">
        <f>tabCustoUnit[[#This Row],[Submódulo 2.1]]+tabCustoUnit[[#This Row],[Submódulo 2.2]]+tabCustoUnit[[#This Row],[Submódulo 2.3]]</f>
        <v>1857.5850990222223</v>
      </c>
      <c r="AM48" s="22">
        <f>SUMIF(tabParametros[Código do Posto],tabCustoUnit[[#This Row],[Código do Posto]],tabParametros[Aviso Prévio Indenizado (API) e Reflexo do Aviso Prévio Indenizado])*tabCustoUnit[[#This Row],[MODULO 1 - REMUNERAÇÃO ]]</f>
        <v>11.941678632098764</v>
      </c>
      <c r="AN48" s="22">
        <f>SUMIF(tabParametros[Código do Posto],tabCustoUnit[[#This Row],[Código do Posto]],tabParametros[Incidência do FGTS sobre API e Reflexo do API])*tabCustoUnit[[#This Row],[MODULO 1 - REMUNERAÇÃO ]]</f>
        <v>0.9553342905679012</v>
      </c>
      <c r="AO48" s="22">
        <f>SUMIF(tabParametros[Código do Posto],tabCustoUnit[[#This Row],[Código do Posto]],tabParametros[Multa Rescisória do FGTS sobre o Aviso Prévio Indenizado])*tabCustoUnit[[#This Row],[MODULO 1 - REMUNERAÇÃO ]]</f>
        <v>0.38213371622716052</v>
      </c>
      <c r="AP48" s="22">
        <f>SUMIF(tabParametros[Código do Posto],tabCustoUnit[[#This Row],[Código do Posto]],tabParametros[Aviso Prévio Trabalhado - APT])*tabCustoUnit[[#This Row],[MODULO 1 - REMUNERAÇÃO ]]</f>
        <v>5.9608192000000004</v>
      </c>
      <c r="AQ48" s="22">
        <f>SUMIF(tabParametros[Código do Posto],tabCustoUnit[[#This Row],[Código do Posto]],tabParametros[Incidência dos encargos do submódulo 2.1 sobre Aviso Prévio Trabalhado])*tabCustoUnit[[#This Row],[MODULO 1 - REMUNERAÇÃO ]]</f>
        <v>2.2531896576000006</v>
      </c>
      <c r="AR48" s="22">
        <f>SUMIF(tabParametros[Código do Posto],tabCustoUnit[[#This Row],[Código do Posto]],tabParametros[Multa Rescisória do FGTS])*tabCustoUnit[[#This Row],[MODULO 1 - REMUNERAÇÃO ]]</f>
        <v>52.076744248888879</v>
      </c>
      <c r="AS48" s="22">
        <f>SUMIF(tabParametros[Código do Posto],tabCustoUnit[[#This Row],[Código do Posto]],tabParametros[Indenização Adicional (Art. 9º da Lei nº 7.238/84)])*tabCustoUnit[[#This Row],[MODULO 1 - REMUNERAÇÃO ]]</f>
        <v>1.4192426666666667</v>
      </c>
      <c r="AT48" s="22">
        <f>SUM(tabCustoUnit[[#This Row],[Aviso Prévio Indenizado (API) e Reflexo do Aviso Prévio Indenizado]:[Indenização Adicional (Art. 9º da Lei nº 7.238/84)]])</f>
        <v>74.989142412049375</v>
      </c>
      <c r="AU48" s="22">
        <f>SUMIF(tabParametros[Código do Posto],tabCustoUnit[[#This Row],[Código do Posto]],tabParametros[Ausência por Doença])*tabCustoUnit[[#This Row],[MODULO 1 - REMUNERAÇÃO ]]</f>
        <v>14.38165902222222</v>
      </c>
      <c r="AV48" s="22">
        <f>SUMIF(tabParametros[Código do Posto],tabCustoUnit[[#This Row],[Código do Posto]],tabParametros[Ausências Legais])*tabCustoUnit[[#This Row],[MODULO 1 - REMUNERAÇÃO ]]</f>
        <v>3.4534904888888884</v>
      </c>
      <c r="AW48" s="22">
        <f>SUMIF(tabParametros[Código do Posto],tabCustoUnit[[#This Row],[Código do Posto]],tabParametros[Licença Paternidade])*tabCustoUnit[[#This Row],[MODULO 1 - REMUNERAÇÃO ]]</f>
        <v>0.29094474666666664</v>
      </c>
      <c r="AX48" s="22">
        <f>SUMIF(tabParametros[Código do Posto],tabCustoUnit[[#This Row],[Código do Posto]],tabParametros[Ausência por Acidente de Trabalho])*tabCustoUnit[[#This Row],[MODULO 1 - REMUNERAÇÃO ]]</f>
        <v>0.35481066666666666</v>
      </c>
      <c r="AY48" s="22">
        <f>SUMIF(tabParametros[Código do Posto],tabCustoUnit[[#This Row],[Código do Posto]],tabParametros[Férias, Adicional de Férias e 13º  com empregada em gozo de Licença Maternidade])*tabCustoUnit[[#This Row],[MODULO 1 - REMUNERAÇÃO ]]</f>
        <v>2.2077108148148143</v>
      </c>
      <c r="AZ48" s="22">
        <f>SUMIF(tabParametros[Código do Posto],tabCustoUnit[[#This Row],[Código do Posto]],tabParametros[Incidência do Submódulo 2.1 sobre Ausências Legais])*tabCustoUnit[[#This Row],[MODULO 1 - REMUNERAÇÃO ]]</f>
        <v>7.8202967494400006</v>
      </c>
      <c r="BA48" s="22">
        <f>SUM(tabCustoUnit[[#This Row],[Ausência por Doença]:[Incidência do Submódulo 2.1 sobre Ausências Legais]])</f>
        <v>28.508912488699256</v>
      </c>
      <c r="BB48" s="22">
        <f>SUMIF(tabParametros[Código do Posto],tabCustoUnit[[#This Row],[Código do Posto]],tabParametros[Intervalo para Repouso ou Alimentação])</f>
        <v>0</v>
      </c>
      <c r="BC48" s="22">
        <f>tabCustoUnit[[#This Row],[Intervalo para Repouso ou Alimentação]]</f>
        <v>0</v>
      </c>
      <c r="BD48" s="22">
        <f>IF(VLOOKUP(tabCustoUnit[[#This Row],[Código do Posto]],PARAMETROS!$A$4:$BJ$255,7,0)&lt;=0,0,
IFERROR((tabCustoUnit[[#This Row],[MODULO 1 - REMUNERAÇÃO ]]*VLOOKUP(tabCustoUnit[[#This Row],[Código do Posto]],PARAMETROS!$A$4:$BJ$255,49,0))/(VLOOKUP(tabCustoUnit[[#This Row],[Código do Posto]],PARAMETROS!$A$4:$BJ$255,7,0)*VLOOKUP(tabCustoUnit[[#This Row],[Código do Posto]],PARAMETROS!$A$4:$BJ$255,8,0)),0)
)</f>
        <v>0</v>
      </c>
      <c r="BE48" s="22">
        <f>tabCustoUnit[[#This Row],[Suspensão Temporária do Contrato de Trabalho]]</f>
        <v>0</v>
      </c>
      <c r="BF48" s="22">
        <f>tabCustoUnit[[#This Row],[Submódulo 4.1]]+tabCustoUnit[[#This Row],[Submódulo 4.2]]+tabCustoUnit[[#This Row],[Submódulo 4.3]]</f>
        <v>28.508912488699256</v>
      </c>
      <c r="BG48" s="22">
        <f>VLOOKUP(tabCustoUnit[[#This Row],[Código do Posto]],tabParametros[],MATCH(tabCustoUnit[[#Headers],[Uniformes e EPIs]],tabParametros[#Headers],0),0)</f>
        <v>100.80916666666666</v>
      </c>
      <c r="BH48" s="22">
        <f>VLOOKUP(tabCustoUnit[[#This Row],[Código do Posto]],tabParametros[],MATCH(tabCustoUnit[[#Headers],[Materiais de Consumo]],tabParametros[#Headers],0),0)</f>
        <v>35.518212958583888</v>
      </c>
      <c r="BI48" s="22">
        <f>VLOOKUP(tabCustoUnit[[#This Row],[Código do Posto]],tabParametros[],MATCH(tabCustoUnit[[#Headers],[Máquinas e Equipamentos (depreciação)]],tabParametros[#Headers],0),0)</f>
        <v>64.529393914825576</v>
      </c>
      <c r="BJ48" s="22">
        <f>VLOOKUP(tabCustoUnit[[#This Row],[Código do Posto]],tabParametros[],MATCH(tabCustoUnit[[#Headers],[Produtos de Limpeza e Materiais de Higiene Pessoal]],tabParametros[#Headers],0),0)</f>
        <v>690.27153277931654</v>
      </c>
      <c r="BK48" s="22">
        <f>VLOOKUP(tabCustoUnit[[#This Row],[Código do Posto]],tabParametros[],MATCH(tabCustoUnit[[#Headers],[Outros (especificar)]],tabParametros[#Headers],0),0)</f>
        <v>0</v>
      </c>
      <c r="BL48" s="22">
        <f>SUM(tabCustoUnit[[#This Row],[Uniformes e EPIs]:[Outros (especificar)]])</f>
        <v>891.12830631939266</v>
      </c>
      <c r="BM48" s="22">
        <f>tabCustoUnit[[#This Row],[MODULO 1 - REMUNERAÇÃO ]]+tabCustoUnit[[#This Row],[MÓDULO 2 - Total Encargos e Benefícios mensais e diários]]+tabCustoUnit[[#This Row],[MÓDULO 3 – PROVISÃO PARA RESCISÃO]]+tabCustoUnit[[#This Row],[MÓDULO 4 – CUSTO DE REPOSIÇÃO DO PROFISSIONAL AUSENTE]]+tabCustoUnit[[#This Row],[MÓDULO 5 – INSUMOS DIVERSOS]]</f>
        <v>4555.3026602423633</v>
      </c>
      <c r="BN48" s="22">
        <f>VLOOKUP(tabCustoUnit[[#This Row],[Código do Posto]],tabParametros[],MATCH(tabCustoUnit[[#Headers],[Custos Indiretos]],tabParametros[#Headers],0),0)</f>
        <v>189.64880140242613</v>
      </c>
      <c r="BO48" s="22">
        <f>VLOOKUP(tabCustoUnit[[#This Row],[Código do Posto]],tabParametros[],MATCH(tabCustoUnit[[#Headers],[Lucro]],tabParametros[#Headers],0),0)</f>
        <v>159.30499317803796</v>
      </c>
      <c r="BP48" s="26">
        <f>((100/((1-tabCustoUnit[[#This Row],[Resumo de Alíquotas (PIS+CONFINS+ISS)]]))-100)*VLOOKUP(tabCustoUnit[[#This Row],[Código do Posto]],tabParametros[],MATCH(tabCustoUnit[[#Headers],[COFINS]],tabParametros[#Headers],0),0))/(tabCustoUnit[[#This Row],[Resumo de Alíquotas (PIS+CONFINS+ISS)]]*100)</f>
        <v>8.6609686609686695E-2</v>
      </c>
      <c r="BQ48" s="26">
        <f>((100/((100-(tabCustoUnit[[#This Row],[Resumo de Alíquotas (PIS+CONFINS+ISS)]]*100))%)-100)*VLOOKUP(tabCustoUnit[[#This Row],[Código do Posto]],tabParametros[],MATCH(tabCustoUnit[[#Headers],[PIS]],tabParametros[#Headers],0),0))/(tabCustoUnit[[#This Row],[Resumo de Alíquotas (PIS+CONFINS+ISS)]]*100)</f>
        <v>1.880341880341882E-2</v>
      </c>
      <c r="BR48" s="28">
        <f>VLOOKUP(tabCustoUnit[[#This Row],[Código do Posto]],tabParametros[],MATCH(tabCustoUnit[[#Headers],[ISS]],tabParametros[#Headers],0),0)</f>
        <v>0.03</v>
      </c>
      <c r="BS48" s="26">
        <f>(((100/((100-(tabCustoUnit[[#This Row],[Resumo de Alíquotas (PIS+CONFINS+ISS)]]*100))%)-100)*tabCustoUnit[[#This Row],[ISS]])/tabCustoUnit[[#This Row],[Resumo de Alíquotas (PIS+CONFINS+ISS)]])/100</f>
        <v>3.4188034188034219E-2</v>
      </c>
      <c r="BT48" s="26">
        <f>(VLOOKUP(tabCustoUnit[[#This Row],[Código do Posto]],tabParametros[],MATCH(tabCustoUnit[[#Headers],[COFINS]],tabParametros[#Headers],0),0)+
VLOOKUP(tabCustoUnit[[#This Row],[Código do Posto]],tabParametros[],MATCH(tabCustoUnit[[#Headers],[PIS]],tabParametros[#Headers],0),0)+
VLOOKUP(tabCustoUnit[[#This Row],[Código do Posto]],tabParametros[],MATCH(tabCustoUnit[[#Headers],[ISS]],tabParametros[#Headers],0),0))</f>
        <v>0.1225</v>
      </c>
      <c r="BU48" s="138">
        <f>tabCustoUnit[[#This Row],[COFINS]]+tabCustoUnit[[#This Row],[PIS]]+tabCustoUnit[[#This Row],[ISS (Conversão Alíquota s/ fatura)]]</f>
        <v>0.13960113960113973</v>
      </c>
      <c r="BV48" s="22">
        <f>(tabCustoUnit[[#This Row],[TOTAL MÓDULOS 1+2+3+4+5]]+tabCustoUnit[[#This Row],[Custos Indiretos]]+tabCustoUnit[[#This Row],[Lucro]])*tabCustoUnit[[#This Row],[PIS + COFINS + ISS (Total Conversão  Alíquota s/ Fatura)]]</f>
        <v>684.63978998951222</v>
      </c>
      <c r="BW48" s="22">
        <f>tabCustoUnit[[#This Row],[Custos Indiretos]]+tabCustoUnit[[#This Row],[Lucro]]+tabCustoUnit[[#This Row],[Valor dos Tributos (ISS, PIS, CONFINS)]]</f>
        <v>1033.5935845699764</v>
      </c>
      <c r="BX48" s="22">
        <f>tabCustoUnit[[#This Row],[TOTAL MÓDULOS 1+2+3+4+5]]+tabCustoUnit[[#This Row],[MÓDULO 6 – CUSTOS INDIRETOS, TRIBUTOS E LUCRO]]</f>
        <v>5588.8962448123402</v>
      </c>
      <c r="BY48" s="22">
        <f>tabCustoUnit[[#This Row],[CUSTO TOTAL MENSAL]]*12</f>
        <v>67066.754937748075</v>
      </c>
      <c r="BZ48" s="24">
        <f>VLOOKUP(tabCustoUnit[[#This Row],[Código do Posto]],tabParametros[],MATCH(tabCustoUnit[[#Headers],[ANO DA CCT]],tabParametros[#Headers],0),0)</f>
        <v>45658</v>
      </c>
      <c r="CA48" s="25" t="str">
        <f>VLOOKUP(tabCustoUnit[[#This Row],[Código do Posto]],tabParametros[],MATCH(tabCustoUnit[[#Headers],[Nº DE PEDIDO DA CCT]],tabParametros[#Headers],0),0)</f>
        <v>-</v>
      </c>
      <c r="CB48" s="25" t="str">
        <f>VLOOKUP(tabCustoUnit[[#This Row],[Código do Posto]],tabParametros[],MATCH(tabCustoUnit[[#Headers],[TERMO ADITIVO ALTERAÇÃO DA CCT]],tabParametros[#Headers],0),0)</f>
        <v>-</v>
      </c>
    </row>
    <row r="49" spans="1:80" x14ac:dyDescent="0.25">
      <c r="A49" s="20" t="s">
        <v>1389</v>
      </c>
      <c r="B49" t="s">
        <v>48</v>
      </c>
      <c r="C49" t="s">
        <v>1247</v>
      </c>
      <c r="D49" t="s">
        <v>1023</v>
      </c>
      <c r="E49" s="20" t="s">
        <v>9</v>
      </c>
      <c r="F49" s="20" t="s">
        <v>10</v>
      </c>
      <c r="G49" s="21">
        <v>544.17999999999995</v>
      </c>
      <c r="H49" s="21">
        <v>0</v>
      </c>
      <c r="I49" s="21">
        <v>0</v>
      </c>
      <c r="J49" s="21">
        <v>0</v>
      </c>
      <c r="K49" s="21">
        <v>0</v>
      </c>
      <c r="L49" s="21">
        <v>0</v>
      </c>
      <c r="M49" s="21">
        <v>0</v>
      </c>
      <c r="N49" s="21">
        <v>19.590499999999999</v>
      </c>
      <c r="O49" s="21">
        <f>SUM(tabCustoUnit[[#This Row],[Salário Base]:[Adicional de Acúmulo de função]])</f>
        <v>563.77049999999997</v>
      </c>
      <c r="P49" s="21">
        <f>tabCustoUnit[[#This Row],[MODULO 1 - REMUNERAÇÃO ]]*SUMIFS(tabParametros[INSS],tabParametros[Código do Posto],tabCustoUnit[[#This Row],[Código do Posto]])</f>
        <v>112.75409999999999</v>
      </c>
      <c r="Q49" s="21">
        <f>tabCustoUnit[[#This Row],[MODULO 1 - REMUNERAÇÃO ]]*SUMIFS(tabParametros[SESI OU SESC],tabParametros[Código do Posto],tabCustoUnit[[#This Row],[Código do Posto]])</f>
        <v>8.4565574999999988</v>
      </c>
      <c r="R49" s="21">
        <f>tabCustoUnit[[#This Row],[MODULO 1 - REMUNERAÇÃO ]]*SUMIFS(tabParametros[SENAI OU SENAC],tabParametros[Código do Posto],tabCustoUnit[[#This Row],[Código do Posto]])</f>
        <v>5.6377049999999995</v>
      </c>
      <c r="S49" s="21">
        <f>tabCustoUnit[[#This Row],[MODULO 1 - REMUNERAÇÃO ]]*SUMIFS(tabParametros[INCRA],tabParametros[Código do Posto],tabCustoUnit[[#This Row],[Código do Posto]])</f>
        <v>1.1275409999999999</v>
      </c>
      <c r="T49" s="21">
        <f>tabCustoUnit[[#This Row],[MODULO 1 - REMUNERAÇÃO ]]*SUMIFS(tabParametros[Salário Educação],tabParametros[Código do Posto],tabCustoUnit[[#This Row],[Código do Posto]])</f>
        <v>14.094262499999999</v>
      </c>
      <c r="U49" s="21">
        <f>tabCustoUnit[[#This Row],[MODULO 1 - REMUNERAÇÃO ]]*SUMIFS(tabParametros[FGTS],tabParametros[Código do Posto],tabCustoUnit[[#This Row],[Código do Posto]])</f>
        <v>45.101639999999996</v>
      </c>
      <c r="V49" s="21">
        <f>tabCustoUnit[[#This Row],[MODULO 1 - REMUNERAÇÃO ]]*SUMIFS(tabParametros[RAT Ajustado],tabParametros[Código do Posto],tabCustoUnit[[#This Row],[Código do Posto]])</f>
        <v>22.550819999999998</v>
      </c>
      <c r="W49" s="21">
        <f>tabCustoUnit[[#This Row],[MODULO 1 - REMUNERAÇÃO ]]*SUMIFS(tabParametros[SEBRAE],tabParametros[Código do Posto],tabCustoUnit[[#This Row],[Código do Posto]])</f>
        <v>3.3826229999999997</v>
      </c>
      <c r="X49" s="21">
        <f>SUM(tabCustoUnit[[#This Row],[INSS]:[SEBRAE]])</f>
        <v>213.10524899999996</v>
      </c>
      <c r="Y49" s="21">
        <f>tabCustoUnit[[#This Row],[MODULO 1 - REMUNERAÇÃO ]]*SUMIFS(tabParametros[13º salário (titular)],tabParametros[Código do Posto],tabCustoUnit[[#This Row],[Código do Posto]])</f>
        <v>46.980874999999997</v>
      </c>
      <c r="Z49" s="21">
        <f>tabCustoUnit[[#This Row],[MODULO 1 - REMUNERAÇÃO ]]*SUMIFS(tabParametros[Férias e Adicional de Férias (titular)],tabParametros[Código do Posto],tabCustoUnit[[#This Row],[Código do Posto]])</f>
        <v>62.641166666666663</v>
      </c>
      <c r="AA49" s="21">
        <f>IFERROR((tabCustoUnit[[#This Row],[Submódulo 2.1]]/tabCustoUnit[[#This Row],[MODULO 1 - REMUNERAÇÃO ]])*SUM(tabCustoUnit[[#This Row],[13º salário (titular)]:[Férias e Adicional de Férias (titular)]]),0)</f>
        <v>41.437131749999992</v>
      </c>
      <c r="AB49" s="21">
        <f>SUM(tabCustoUnit[[#This Row],[13º salário (titular)]:[Incidência do Submódulo 2.1 sobre 13º Salário, Férias e Adicional de Férias]])</f>
        <v>151.05917341666665</v>
      </c>
      <c r="AC49" s="22">
        <f>_xlfn.LET(_xlpm.VT,SUMIF(tabParametros[Código do Posto],tabCustoUnit[[#This Row],[Código do Posto]],tabParametros[Vale - Transporte])*2*20,
IF((_xlpm.VT-tabCustoUnit[[#This Row],[Salário Base]]*0.06)&gt;=0,(_xlpm.VT-tabCustoUnit[[#This Row],[Salário Base]]*0.06),0)
)</f>
        <v>223.3492</v>
      </c>
      <c r="AD49" s="22">
        <f>IF(SUMIF(tabParametros[Código do Posto],tabCustoUnit[[#This Row],[Código do Posto]],tabParametros[Vale - Alimentação])&lt;=0,0,
SUMIF(tabParametros[Código do Posto],tabCustoUnit[[#This Row],[Código do Posto]],tabParametros[Vale - Alimentação])*20-1)</f>
        <v>582</v>
      </c>
      <c r="AE49" s="22">
        <f>SUMIF(tabParametros[Código do Posto],tabCustoUnit[[#This Row],[Código do Posto]],tabParametros[Cesta Básica])</f>
        <v>0</v>
      </c>
      <c r="AF49" s="22">
        <f>SUMIF(tabParametros[Código do Posto],tabCustoUnit[[#This Row],[Código do Posto]],tabParametros[PAF])</f>
        <v>0</v>
      </c>
      <c r="AG49" s="22">
        <f>SUMIF(tabParametros[Código do Posto],tabCustoUnit[[#This Row],[Código do Posto]],tabParametros[PQM])</f>
        <v>0</v>
      </c>
      <c r="AH49" s="22">
        <f>SUMIF(tabParametros[Código do Posto],tabCustoUnit[[#This Row],[Código do Posto]],tabParametros[PAT])</f>
        <v>0</v>
      </c>
      <c r="AI49" s="22">
        <f>SUMIF(tabParametros[Código do Posto],tabCustoUnit[[#This Row],[Código do Posto]],tabParametros[Seguro de Vida])</f>
        <v>3.36</v>
      </c>
      <c r="AJ49" s="22">
        <f>SUMIF(tabParametros[Código do Posto],tabCustoUnit[[#This Row],[Código do Posto]],tabParametros[Despesas de Viagem])</f>
        <v>0</v>
      </c>
      <c r="AK49" s="22">
        <f>SUM(tabCustoUnit[[#This Row],[Vale - Transporte (Descontada parcela do empregado)]:[Despesas de Viagem]])</f>
        <v>808.70920000000001</v>
      </c>
      <c r="AL49" s="22">
        <f>tabCustoUnit[[#This Row],[Submódulo 2.1]]+tabCustoUnit[[#This Row],[Submódulo 2.2]]+tabCustoUnit[[#This Row],[Submódulo 2.3]]</f>
        <v>1172.8736224166666</v>
      </c>
      <c r="AM49" s="22">
        <f>SUMIF(tabParametros[Código do Posto],tabCustoUnit[[#This Row],[Código do Posto]],tabParametros[Aviso Prévio Indenizado (API) e Reflexo do Aviso Prévio Indenizado])*tabCustoUnit[[#This Row],[MODULO 1 - REMUNERAÇÃO ]]</f>
        <v>3.9530273735532404</v>
      </c>
      <c r="AN49" s="22">
        <f>SUMIF(tabParametros[Código do Posto],tabCustoUnit[[#This Row],[Código do Posto]],tabParametros[Incidência do FGTS sobre API e Reflexo do API])*tabCustoUnit[[#This Row],[MODULO 1 - REMUNERAÇÃO ]]</f>
        <v>0.31624218988425928</v>
      </c>
      <c r="AO49" s="22">
        <f>SUMIF(tabParametros[Código do Posto],tabCustoUnit[[#This Row],[Código do Posto]],tabParametros[Multa Rescisória do FGTS sobre o Aviso Prévio Indenizado])*tabCustoUnit[[#This Row],[MODULO 1 - REMUNERAÇÃO ]]</f>
        <v>0.12649687595370371</v>
      </c>
      <c r="AP49" s="22">
        <f>SUMIF(tabParametros[Código do Posto],tabCustoUnit[[#This Row],[Código do Posto]],tabParametros[Aviso Prévio Trabalhado - APT])*tabCustoUnit[[#This Row],[MODULO 1 - REMUNERAÇÃO ]]</f>
        <v>1.9731967500000003</v>
      </c>
      <c r="AQ49" s="22">
        <f>SUMIF(tabParametros[Código do Posto],tabCustoUnit[[#This Row],[Código do Posto]],tabParametros[Incidência dos encargos do submódulo 2.1 sobre Aviso Prévio Trabalhado])*tabCustoUnit[[#This Row],[MODULO 1 - REMUNERAÇÃO ]]</f>
        <v>0.74586837150000018</v>
      </c>
      <c r="AR49" s="22">
        <f>SUMIF(tabParametros[Código do Posto],tabCustoUnit[[#This Row],[Código do Posto]],tabParametros[Multa Rescisória do FGTS])*tabCustoUnit[[#This Row],[MODULO 1 - REMUNERAÇÃO ]]</f>
        <v>17.238849066666663</v>
      </c>
      <c r="AS49" s="22">
        <f>SUMIF(tabParametros[Código do Posto],tabCustoUnit[[#This Row],[Código do Posto]],tabParametros[Indenização Adicional (Art. 9º da Lei nº 7.238/84)])*tabCustoUnit[[#This Row],[MODULO 1 - REMUNERAÇÃO ]]</f>
        <v>0.46980875</v>
      </c>
      <c r="AT49" s="22">
        <f>SUM(tabCustoUnit[[#This Row],[Aviso Prévio Indenizado (API) e Reflexo do Aviso Prévio Indenizado]:[Indenização Adicional (Art. 9º da Lei nº 7.238/84)]])</f>
        <v>24.823489377557866</v>
      </c>
      <c r="AU49" s="22">
        <f>SUMIF(tabParametros[Código do Posto],tabCustoUnit[[#This Row],[Código do Posto]],tabParametros[Ausência por Doença])*tabCustoUnit[[#This Row],[MODULO 1 - REMUNERAÇÃO ]]</f>
        <v>4.7607286666666662</v>
      </c>
      <c r="AV49" s="22">
        <f>SUMIF(tabParametros[Código do Posto],tabCustoUnit[[#This Row],[Código do Posto]],tabParametros[Ausências Legais])*tabCustoUnit[[#This Row],[MODULO 1 - REMUNERAÇÃO ]]</f>
        <v>1.1432012916666665</v>
      </c>
      <c r="AW49" s="22">
        <f>SUMIF(tabParametros[Código do Posto],tabCustoUnit[[#This Row],[Código do Posto]],tabParametros[Licença Paternidade])*tabCustoUnit[[#This Row],[MODULO 1 - REMUNERAÇÃO ]]</f>
        <v>9.6310793749999998E-2</v>
      </c>
      <c r="AX49" s="22">
        <f>SUMIF(tabParametros[Código do Posto],tabCustoUnit[[#This Row],[Código do Posto]],tabParametros[Ausência por Acidente de Trabalho])*tabCustoUnit[[#This Row],[MODULO 1 - REMUNERAÇÃO ]]</f>
        <v>0.1174521875</v>
      </c>
      <c r="AY49" s="22">
        <f>SUMIF(tabParametros[Código do Posto],tabCustoUnit[[#This Row],[Código do Posto]],tabParametros[Férias, Adicional de Férias e 13º  com empregada em gozo de Licença Maternidade])*tabCustoUnit[[#This Row],[MODULO 1 - REMUNERAÇÃO ]]</f>
        <v>0.73081361111111109</v>
      </c>
      <c r="AZ49" s="22">
        <f>SUMIF(tabParametros[Código do Posto],tabCustoUnit[[#This Row],[Código do Posto]],tabParametros[Incidência do Submódulo 2.1 sobre Ausências Legais])*tabCustoUnit[[#This Row],[MODULO 1 - REMUNERAÇÃO ]]</f>
        <v>2.5887354761625003</v>
      </c>
      <c r="BA49" s="22">
        <f>SUM(tabCustoUnit[[#This Row],[Ausência por Doença]:[Incidência do Submódulo 2.1 sobre Ausências Legais]])</f>
        <v>9.4372420268569428</v>
      </c>
      <c r="BB49" s="22">
        <f>SUMIF(tabParametros[Código do Posto],tabCustoUnit[[#This Row],[Código do Posto]],tabParametros[Intervalo para Repouso ou Alimentação])</f>
        <v>0</v>
      </c>
      <c r="BC49" s="22">
        <f>tabCustoUnit[[#This Row],[Intervalo para Repouso ou Alimentação]]</f>
        <v>0</v>
      </c>
      <c r="BD49" s="22">
        <f>IF(VLOOKUP(tabCustoUnit[[#This Row],[Código do Posto]],PARAMETROS!$A$4:$BJ$255,7,0)&lt;=0,0,
IFERROR((tabCustoUnit[[#This Row],[MODULO 1 - REMUNERAÇÃO ]]*VLOOKUP(tabCustoUnit[[#This Row],[Código do Posto]],PARAMETROS!$A$4:$BJ$255,49,0))/(VLOOKUP(tabCustoUnit[[#This Row],[Código do Posto]],PARAMETROS!$A$4:$BJ$255,7,0)*VLOOKUP(tabCustoUnit[[#This Row],[Código do Posto]],PARAMETROS!$A$4:$BJ$255,8,0)),0)
)</f>
        <v>0</v>
      </c>
      <c r="BE49" s="22">
        <f>tabCustoUnit[[#This Row],[Suspensão Temporária do Contrato de Trabalho]]</f>
        <v>0</v>
      </c>
      <c r="BF49" s="22">
        <f>tabCustoUnit[[#This Row],[Submódulo 4.1]]+tabCustoUnit[[#This Row],[Submódulo 4.2]]+tabCustoUnit[[#This Row],[Submódulo 4.3]]</f>
        <v>9.4372420268569428</v>
      </c>
      <c r="BG49" s="22">
        <f>VLOOKUP(tabCustoUnit[[#This Row],[Código do Posto]],tabParametros[],MATCH(tabCustoUnit[[#Headers],[Uniformes e EPIs]],tabParametros[#Headers],0),0)</f>
        <v>62.806666666666665</v>
      </c>
      <c r="BH49" s="22">
        <f>VLOOKUP(tabCustoUnit[[#This Row],[Código do Posto]],tabParametros[],MATCH(tabCustoUnit[[#Headers],[Materiais de Consumo]],tabParametros[#Headers],0),0)</f>
        <v>12.108481690426325</v>
      </c>
      <c r="BI49" s="22">
        <f>VLOOKUP(tabCustoUnit[[#This Row],[Código do Posto]],tabParametros[],MATCH(tabCustoUnit[[#Headers],[Máquinas e Equipamentos (depreciação)]],tabParametros[#Headers],0),0)</f>
        <v>21.998657016417809</v>
      </c>
      <c r="BJ49" s="22">
        <f>VLOOKUP(tabCustoUnit[[#This Row],[Código do Posto]],tabParametros[],MATCH(tabCustoUnit[[#Headers],[Produtos de Limpeza e Materiais de Higiene Pessoal]],tabParametros[#Headers],0),0)</f>
        <v>235.31984072022155</v>
      </c>
      <c r="BK49" s="22">
        <f>VLOOKUP(tabCustoUnit[[#This Row],[Código do Posto]],tabParametros[],MATCH(tabCustoUnit[[#Headers],[Outros (especificar)]],tabParametros[#Headers],0),0)</f>
        <v>0</v>
      </c>
      <c r="BL49" s="22">
        <f>SUM(tabCustoUnit[[#This Row],[Uniformes e EPIs]:[Outros (especificar)]])</f>
        <v>332.23364609373232</v>
      </c>
      <c r="BM49" s="22">
        <f>tabCustoUnit[[#This Row],[MODULO 1 - REMUNERAÇÃO ]]+tabCustoUnit[[#This Row],[MÓDULO 2 - Total Encargos e Benefícios mensais e diários]]+tabCustoUnit[[#This Row],[MÓDULO 3 – PROVISÃO PARA RESCISÃO]]+tabCustoUnit[[#This Row],[MÓDULO 4 – CUSTO DE REPOSIÇÃO DO PROFISSIONAL AUSENTE]]+tabCustoUnit[[#This Row],[MÓDULO 5 – INSUMOS DIVERSOS]]</f>
        <v>2103.1384999148136</v>
      </c>
      <c r="BN49" s="22">
        <f>VLOOKUP(tabCustoUnit[[#This Row],[Código do Posto]],tabParametros[],MATCH(tabCustoUnit[[#Headers],[Custos Indiretos]],tabParametros[#Headers],0),0)</f>
        <v>189.64880140242613</v>
      </c>
      <c r="BO49" s="22">
        <f>VLOOKUP(tabCustoUnit[[#This Row],[Código do Posto]],tabParametros[],MATCH(tabCustoUnit[[#Headers],[Lucro]],tabParametros[#Headers],0),0)</f>
        <v>159.30499317803796</v>
      </c>
      <c r="BP49" s="26">
        <f>((100/((1-tabCustoUnit[[#This Row],[Resumo de Alíquotas (PIS+CONFINS+ISS)]]))-100)*VLOOKUP(tabCustoUnit[[#This Row],[Código do Posto]],tabParametros[],MATCH(tabCustoUnit[[#Headers],[COFINS]],tabParametros[#Headers],0),0))/(tabCustoUnit[[#This Row],[Resumo de Alíquotas (PIS+CONFINS+ISS)]]*100)</f>
        <v>8.6609686609686695E-2</v>
      </c>
      <c r="BQ49" s="26">
        <f>((100/((100-(tabCustoUnit[[#This Row],[Resumo de Alíquotas (PIS+CONFINS+ISS)]]*100))%)-100)*VLOOKUP(tabCustoUnit[[#This Row],[Código do Posto]],tabParametros[],MATCH(tabCustoUnit[[#Headers],[PIS]],tabParametros[#Headers],0),0))/(tabCustoUnit[[#This Row],[Resumo de Alíquotas (PIS+CONFINS+ISS)]]*100)</f>
        <v>1.880341880341882E-2</v>
      </c>
      <c r="BR49" s="28">
        <f>VLOOKUP(tabCustoUnit[[#This Row],[Código do Posto]],tabParametros[],MATCH(tabCustoUnit[[#Headers],[ISS]],tabParametros[#Headers],0),0)</f>
        <v>0.03</v>
      </c>
      <c r="BS49" s="26">
        <f>(((100/((100-(tabCustoUnit[[#This Row],[Resumo de Alíquotas (PIS+CONFINS+ISS)]]*100))%)-100)*tabCustoUnit[[#This Row],[ISS]])/tabCustoUnit[[#This Row],[Resumo de Alíquotas (PIS+CONFINS+ISS)]])/100</f>
        <v>3.4188034188034219E-2</v>
      </c>
      <c r="BT49" s="26">
        <f>(VLOOKUP(tabCustoUnit[[#This Row],[Código do Posto]],tabParametros[],MATCH(tabCustoUnit[[#Headers],[COFINS]],tabParametros[#Headers],0),0)+
VLOOKUP(tabCustoUnit[[#This Row],[Código do Posto]],tabParametros[],MATCH(tabCustoUnit[[#Headers],[PIS]],tabParametros[#Headers],0),0)+
VLOOKUP(tabCustoUnit[[#This Row],[Código do Posto]],tabParametros[],MATCH(tabCustoUnit[[#Headers],[ISS]],tabParametros[#Headers],0),0))</f>
        <v>0.1225</v>
      </c>
      <c r="BU49" s="138">
        <f>tabCustoUnit[[#This Row],[COFINS]]+tabCustoUnit[[#This Row],[PIS]]+tabCustoUnit[[#This Row],[ISS (Conversão Alíquota s/ fatura)]]</f>
        <v>0.13960113960113973</v>
      </c>
      <c r="BV49" s="22">
        <f>(tabCustoUnit[[#This Row],[TOTAL MÓDULOS 1+2+3+4+5]]+tabCustoUnit[[#This Row],[Custos Indiretos]]+tabCustoUnit[[#This Row],[Lucro]])*tabCustoUnit[[#This Row],[PIS + COFINS + ISS (Total Conversão  Alíquota s/ Fatura)]]</f>
        <v>342.31487871871428</v>
      </c>
      <c r="BW49" s="22">
        <f>tabCustoUnit[[#This Row],[Custos Indiretos]]+tabCustoUnit[[#This Row],[Lucro]]+tabCustoUnit[[#This Row],[Valor dos Tributos (ISS, PIS, CONFINS)]]</f>
        <v>691.26867329917832</v>
      </c>
      <c r="BX49" s="22">
        <f>tabCustoUnit[[#This Row],[TOTAL MÓDULOS 1+2+3+4+5]]+tabCustoUnit[[#This Row],[MÓDULO 6 – CUSTOS INDIRETOS, TRIBUTOS E LUCRO]]</f>
        <v>2794.4071732139919</v>
      </c>
      <c r="BY49" s="22">
        <f>tabCustoUnit[[#This Row],[CUSTO TOTAL MENSAL]]*12</f>
        <v>33532.886078567899</v>
      </c>
      <c r="BZ49" s="24">
        <f>VLOOKUP(tabCustoUnit[[#This Row],[Código do Posto]],tabParametros[],MATCH(tabCustoUnit[[#Headers],[ANO DA CCT]],tabParametros[#Headers],0),0)</f>
        <v>45658</v>
      </c>
      <c r="CA49" s="25" t="str">
        <f>VLOOKUP(tabCustoUnit[[#This Row],[Código do Posto]],tabParametros[],MATCH(tabCustoUnit[[#Headers],[Nº DE PEDIDO DA CCT]],tabParametros[#Headers],0),0)</f>
        <v>-</v>
      </c>
      <c r="CB49" s="25" t="str">
        <f>VLOOKUP(tabCustoUnit[[#This Row],[Código do Posto]],tabParametros[],MATCH(tabCustoUnit[[#Headers],[TERMO ADITIVO ALTERAÇÃO DA CCT]],tabParametros[#Headers],0),0)</f>
        <v>-</v>
      </c>
    </row>
    <row r="50" spans="1:80" x14ac:dyDescent="0.25">
      <c r="A50" s="20" t="s">
        <v>1390</v>
      </c>
      <c r="B50" t="s">
        <v>49</v>
      </c>
      <c r="C50" t="s">
        <v>1247</v>
      </c>
      <c r="D50" t="s">
        <v>1000</v>
      </c>
      <c r="E50" s="20" t="s">
        <v>9</v>
      </c>
      <c r="F50" s="20" t="s">
        <v>10</v>
      </c>
      <c r="G50" s="21">
        <v>544.17999999999995</v>
      </c>
      <c r="H50" s="21">
        <v>0</v>
      </c>
      <c r="I50" s="21">
        <v>0</v>
      </c>
      <c r="J50" s="21">
        <v>0</v>
      </c>
      <c r="K50" s="21">
        <v>0</v>
      </c>
      <c r="L50" s="21">
        <v>0</v>
      </c>
      <c r="M50" s="21">
        <v>0</v>
      </c>
      <c r="N50" s="21">
        <v>19.590499999999999</v>
      </c>
      <c r="O50" s="21">
        <f>SUM(tabCustoUnit[[#This Row],[Salário Base]:[Adicional de Acúmulo de função]])</f>
        <v>563.77049999999997</v>
      </c>
      <c r="P50" s="21">
        <f>tabCustoUnit[[#This Row],[MODULO 1 - REMUNERAÇÃO ]]*SUMIFS(tabParametros[INSS],tabParametros[Código do Posto],tabCustoUnit[[#This Row],[Código do Posto]])</f>
        <v>112.75409999999999</v>
      </c>
      <c r="Q50" s="21">
        <f>tabCustoUnit[[#This Row],[MODULO 1 - REMUNERAÇÃO ]]*SUMIFS(tabParametros[SESI OU SESC],tabParametros[Código do Posto],tabCustoUnit[[#This Row],[Código do Posto]])</f>
        <v>8.4565574999999988</v>
      </c>
      <c r="R50" s="21">
        <f>tabCustoUnit[[#This Row],[MODULO 1 - REMUNERAÇÃO ]]*SUMIFS(tabParametros[SENAI OU SENAC],tabParametros[Código do Posto],tabCustoUnit[[#This Row],[Código do Posto]])</f>
        <v>5.6377049999999995</v>
      </c>
      <c r="S50" s="21">
        <f>tabCustoUnit[[#This Row],[MODULO 1 - REMUNERAÇÃO ]]*SUMIFS(tabParametros[INCRA],tabParametros[Código do Posto],tabCustoUnit[[#This Row],[Código do Posto]])</f>
        <v>1.1275409999999999</v>
      </c>
      <c r="T50" s="21">
        <f>tabCustoUnit[[#This Row],[MODULO 1 - REMUNERAÇÃO ]]*SUMIFS(tabParametros[Salário Educação],tabParametros[Código do Posto],tabCustoUnit[[#This Row],[Código do Posto]])</f>
        <v>14.094262499999999</v>
      </c>
      <c r="U50" s="21">
        <f>tabCustoUnit[[#This Row],[MODULO 1 - REMUNERAÇÃO ]]*SUMIFS(tabParametros[FGTS],tabParametros[Código do Posto],tabCustoUnit[[#This Row],[Código do Posto]])</f>
        <v>45.101639999999996</v>
      </c>
      <c r="V50" s="21">
        <f>tabCustoUnit[[#This Row],[MODULO 1 - REMUNERAÇÃO ]]*SUMIFS(tabParametros[RAT Ajustado],tabParametros[Código do Posto],tabCustoUnit[[#This Row],[Código do Posto]])</f>
        <v>22.550819999999998</v>
      </c>
      <c r="W50" s="21">
        <f>tabCustoUnit[[#This Row],[MODULO 1 - REMUNERAÇÃO ]]*SUMIFS(tabParametros[SEBRAE],tabParametros[Código do Posto],tabCustoUnit[[#This Row],[Código do Posto]])</f>
        <v>3.3826229999999997</v>
      </c>
      <c r="X50" s="21">
        <f>SUM(tabCustoUnit[[#This Row],[INSS]:[SEBRAE]])</f>
        <v>213.10524899999996</v>
      </c>
      <c r="Y50" s="21">
        <f>tabCustoUnit[[#This Row],[MODULO 1 - REMUNERAÇÃO ]]*SUMIFS(tabParametros[13º salário (titular)],tabParametros[Código do Posto],tabCustoUnit[[#This Row],[Código do Posto]])</f>
        <v>46.980874999999997</v>
      </c>
      <c r="Z50" s="21">
        <f>tabCustoUnit[[#This Row],[MODULO 1 - REMUNERAÇÃO ]]*SUMIFS(tabParametros[Férias e Adicional de Férias (titular)],tabParametros[Código do Posto],tabCustoUnit[[#This Row],[Código do Posto]])</f>
        <v>62.641166666666663</v>
      </c>
      <c r="AA50" s="21">
        <f>IFERROR((tabCustoUnit[[#This Row],[Submódulo 2.1]]/tabCustoUnit[[#This Row],[MODULO 1 - REMUNERAÇÃO ]])*SUM(tabCustoUnit[[#This Row],[13º salário (titular)]:[Férias e Adicional de Férias (titular)]]),0)</f>
        <v>41.437131749999992</v>
      </c>
      <c r="AB50" s="21">
        <f>SUM(tabCustoUnit[[#This Row],[13º salário (titular)]:[Incidência do Submódulo 2.1 sobre 13º Salário, Férias e Adicional de Férias]])</f>
        <v>151.05917341666665</v>
      </c>
      <c r="AC50" s="22">
        <f>_xlfn.LET(_xlpm.VT,SUMIF(tabParametros[Código do Posto],tabCustoUnit[[#This Row],[Código do Posto]],tabParametros[Vale - Transporte])*2*20,
IF((_xlpm.VT-tabCustoUnit[[#This Row],[Salário Base]]*0.06)&gt;=0,(_xlpm.VT-tabCustoUnit[[#This Row],[Salário Base]]*0.06),0)
)</f>
        <v>223.3492</v>
      </c>
      <c r="AD50" s="22">
        <f>IF(SUMIF(tabParametros[Código do Posto],tabCustoUnit[[#This Row],[Código do Posto]],tabParametros[Vale - Alimentação])&lt;=0,0,
SUMIF(tabParametros[Código do Posto],tabCustoUnit[[#This Row],[Código do Posto]],tabParametros[Vale - Alimentação])*20-1)</f>
        <v>582</v>
      </c>
      <c r="AE50" s="22">
        <f>SUMIF(tabParametros[Código do Posto],tabCustoUnit[[#This Row],[Código do Posto]],tabParametros[Cesta Básica])</f>
        <v>0</v>
      </c>
      <c r="AF50" s="22">
        <f>SUMIF(tabParametros[Código do Posto],tabCustoUnit[[#This Row],[Código do Posto]],tabParametros[PAF])</f>
        <v>0</v>
      </c>
      <c r="AG50" s="22">
        <f>SUMIF(tabParametros[Código do Posto],tabCustoUnit[[#This Row],[Código do Posto]],tabParametros[PQM])</f>
        <v>15.07</v>
      </c>
      <c r="AH50" s="22">
        <f>SUMIF(tabParametros[Código do Posto],tabCustoUnit[[#This Row],[Código do Posto]],tabParametros[PAT])</f>
        <v>0</v>
      </c>
      <c r="AI50" s="22">
        <f>SUMIF(tabParametros[Código do Posto],tabCustoUnit[[#This Row],[Código do Posto]],tabParametros[Seguro de Vida])</f>
        <v>3.36</v>
      </c>
      <c r="AJ50" s="22">
        <f>SUMIF(tabParametros[Código do Posto],tabCustoUnit[[#This Row],[Código do Posto]],tabParametros[Despesas de Viagem])</f>
        <v>0</v>
      </c>
      <c r="AK50" s="22">
        <f>SUM(tabCustoUnit[[#This Row],[Vale - Transporte (Descontada parcela do empregado)]:[Despesas de Viagem]])</f>
        <v>823.77920000000006</v>
      </c>
      <c r="AL50" s="22">
        <f>tabCustoUnit[[#This Row],[Submódulo 2.1]]+tabCustoUnit[[#This Row],[Submódulo 2.2]]+tabCustoUnit[[#This Row],[Submódulo 2.3]]</f>
        <v>1187.9436224166666</v>
      </c>
      <c r="AM50" s="22">
        <f>SUMIF(tabParametros[Código do Posto],tabCustoUnit[[#This Row],[Código do Posto]],tabParametros[Aviso Prévio Indenizado (API) e Reflexo do Aviso Prévio Indenizado])*tabCustoUnit[[#This Row],[MODULO 1 - REMUNERAÇÃO ]]</f>
        <v>3.9530273735532404</v>
      </c>
      <c r="AN50" s="22">
        <f>SUMIF(tabParametros[Código do Posto],tabCustoUnit[[#This Row],[Código do Posto]],tabParametros[Incidência do FGTS sobre API e Reflexo do API])*tabCustoUnit[[#This Row],[MODULO 1 - REMUNERAÇÃO ]]</f>
        <v>0.31624218988425928</v>
      </c>
      <c r="AO50" s="22">
        <f>SUMIF(tabParametros[Código do Posto],tabCustoUnit[[#This Row],[Código do Posto]],tabParametros[Multa Rescisória do FGTS sobre o Aviso Prévio Indenizado])*tabCustoUnit[[#This Row],[MODULO 1 - REMUNERAÇÃO ]]</f>
        <v>0.12649687595370371</v>
      </c>
      <c r="AP50" s="22">
        <f>SUMIF(tabParametros[Código do Posto],tabCustoUnit[[#This Row],[Código do Posto]],tabParametros[Aviso Prévio Trabalhado - APT])*tabCustoUnit[[#This Row],[MODULO 1 - REMUNERAÇÃO ]]</f>
        <v>1.9731967500000003</v>
      </c>
      <c r="AQ50" s="22">
        <f>SUMIF(tabParametros[Código do Posto],tabCustoUnit[[#This Row],[Código do Posto]],tabParametros[Incidência dos encargos do submódulo 2.1 sobre Aviso Prévio Trabalhado])*tabCustoUnit[[#This Row],[MODULO 1 - REMUNERAÇÃO ]]</f>
        <v>0.74586837150000018</v>
      </c>
      <c r="AR50" s="22">
        <f>SUMIF(tabParametros[Código do Posto],tabCustoUnit[[#This Row],[Código do Posto]],tabParametros[Multa Rescisória do FGTS])*tabCustoUnit[[#This Row],[MODULO 1 - REMUNERAÇÃO ]]</f>
        <v>17.238849066666663</v>
      </c>
      <c r="AS50" s="22">
        <f>SUMIF(tabParametros[Código do Posto],tabCustoUnit[[#This Row],[Código do Posto]],tabParametros[Indenização Adicional (Art. 9º da Lei nº 7.238/84)])*tabCustoUnit[[#This Row],[MODULO 1 - REMUNERAÇÃO ]]</f>
        <v>0.46980875</v>
      </c>
      <c r="AT50" s="22">
        <f>SUM(tabCustoUnit[[#This Row],[Aviso Prévio Indenizado (API) e Reflexo do Aviso Prévio Indenizado]:[Indenização Adicional (Art. 9º da Lei nº 7.238/84)]])</f>
        <v>24.823489377557866</v>
      </c>
      <c r="AU50" s="22">
        <f>SUMIF(tabParametros[Código do Posto],tabCustoUnit[[#This Row],[Código do Posto]],tabParametros[Ausência por Doença])*tabCustoUnit[[#This Row],[MODULO 1 - REMUNERAÇÃO ]]</f>
        <v>4.7607286666666662</v>
      </c>
      <c r="AV50" s="22">
        <f>SUMIF(tabParametros[Código do Posto],tabCustoUnit[[#This Row],[Código do Posto]],tabParametros[Ausências Legais])*tabCustoUnit[[#This Row],[MODULO 1 - REMUNERAÇÃO ]]</f>
        <v>1.1432012916666665</v>
      </c>
      <c r="AW50" s="22">
        <f>SUMIF(tabParametros[Código do Posto],tabCustoUnit[[#This Row],[Código do Posto]],tabParametros[Licença Paternidade])*tabCustoUnit[[#This Row],[MODULO 1 - REMUNERAÇÃO ]]</f>
        <v>9.6310793749999998E-2</v>
      </c>
      <c r="AX50" s="22">
        <f>SUMIF(tabParametros[Código do Posto],tabCustoUnit[[#This Row],[Código do Posto]],tabParametros[Ausência por Acidente de Trabalho])*tabCustoUnit[[#This Row],[MODULO 1 - REMUNERAÇÃO ]]</f>
        <v>0.1174521875</v>
      </c>
      <c r="AY50" s="22">
        <f>SUMIF(tabParametros[Código do Posto],tabCustoUnit[[#This Row],[Código do Posto]],tabParametros[Férias, Adicional de Férias e 13º  com empregada em gozo de Licença Maternidade])*tabCustoUnit[[#This Row],[MODULO 1 - REMUNERAÇÃO ]]</f>
        <v>0.73081361111111109</v>
      </c>
      <c r="AZ50" s="22">
        <f>SUMIF(tabParametros[Código do Posto],tabCustoUnit[[#This Row],[Código do Posto]],tabParametros[Incidência do Submódulo 2.1 sobre Ausências Legais])*tabCustoUnit[[#This Row],[MODULO 1 - REMUNERAÇÃO ]]</f>
        <v>2.5887354761625003</v>
      </c>
      <c r="BA50" s="22">
        <f>SUM(tabCustoUnit[[#This Row],[Ausência por Doença]:[Incidência do Submódulo 2.1 sobre Ausências Legais]])</f>
        <v>9.4372420268569428</v>
      </c>
      <c r="BB50" s="22">
        <f>SUMIF(tabParametros[Código do Posto],tabCustoUnit[[#This Row],[Código do Posto]],tabParametros[Intervalo para Repouso ou Alimentação])</f>
        <v>0</v>
      </c>
      <c r="BC50" s="22">
        <f>tabCustoUnit[[#This Row],[Intervalo para Repouso ou Alimentação]]</f>
        <v>0</v>
      </c>
      <c r="BD50" s="22">
        <f>IF(VLOOKUP(tabCustoUnit[[#This Row],[Código do Posto]],PARAMETROS!$A$4:$BJ$255,7,0)&lt;=0,0,
IFERROR((tabCustoUnit[[#This Row],[MODULO 1 - REMUNERAÇÃO ]]*VLOOKUP(tabCustoUnit[[#This Row],[Código do Posto]],PARAMETROS!$A$4:$BJ$255,49,0))/(VLOOKUP(tabCustoUnit[[#This Row],[Código do Posto]],PARAMETROS!$A$4:$BJ$255,7,0)*VLOOKUP(tabCustoUnit[[#This Row],[Código do Posto]],PARAMETROS!$A$4:$BJ$255,8,0)),0)
)</f>
        <v>0</v>
      </c>
      <c r="BE50" s="22">
        <f>tabCustoUnit[[#This Row],[Suspensão Temporária do Contrato de Trabalho]]</f>
        <v>0</v>
      </c>
      <c r="BF50" s="22">
        <f>tabCustoUnit[[#This Row],[Submódulo 4.1]]+tabCustoUnit[[#This Row],[Submódulo 4.2]]+tabCustoUnit[[#This Row],[Submódulo 4.3]]</f>
        <v>9.4372420268569428</v>
      </c>
      <c r="BG50" s="22">
        <f>VLOOKUP(tabCustoUnit[[#This Row],[Código do Posto]],tabParametros[],MATCH(tabCustoUnit[[#Headers],[Uniformes e EPIs]],tabParametros[#Headers],0),0)</f>
        <v>62.806666666666665</v>
      </c>
      <c r="BH50" s="22">
        <f>VLOOKUP(tabCustoUnit[[#This Row],[Código do Posto]],tabParametros[],MATCH(tabCustoUnit[[#Headers],[Materiais de Consumo]],tabParametros[#Headers],0),0)</f>
        <v>12.108481690426325</v>
      </c>
      <c r="BI50" s="22">
        <f>VLOOKUP(tabCustoUnit[[#This Row],[Código do Posto]],tabParametros[],MATCH(tabCustoUnit[[#Headers],[Máquinas e Equipamentos (depreciação)]],tabParametros[#Headers],0),0)</f>
        <v>21.998657016417809</v>
      </c>
      <c r="BJ50" s="22">
        <f>VLOOKUP(tabCustoUnit[[#This Row],[Código do Posto]],tabParametros[],MATCH(tabCustoUnit[[#Headers],[Produtos de Limpeza e Materiais de Higiene Pessoal]],tabParametros[#Headers],0),0)</f>
        <v>235.31984072022155</v>
      </c>
      <c r="BK50" s="22">
        <f>VLOOKUP(tabCustoUnit[[#This Row],[Código do Posto]],tabParametros[],MATCH(tabCustoUnit[[#Headers],[Outros (especificar)]],tabParametros[#Headers],0),0)</f>
        <v>0</v>
      </c>
      <c r="BL50" s="22">
        <f>SUM(tabCustoUnit[[#This Row],[Uniformes e EPIs]:[Outros (especificar)]])</f>
        <v>332.23364609373232</v>
      </c>
      <c r="BM50" s="22">
        <f>tabCustoUnit[[#This Row],[MODULO 1 - REMUNERAÇÃO ]]+tabCustoUnit[[#This Row],[MÓDULO 2 - Total Encargos e Benefícios mensais e diários]]+tabCustoUnit[[#This Row],[MÓDULO 3 – PROVISÃO PARA RESCISÃO]]+tabCustoUnit[[#This Row],[MÓDULO 4 – CUSTO DE REPOSIÇÃO DO PROFISSIONAL AUSENTE]]+tabCustoUnit[[#This Row],[MÓDULO 5 – INSUMOS DIVERSOS]]</f>
        <v>2118.2084999148137</v>
      </c>
      <c r="BN50" s="22">
        <f>VLOOKUP(tabCustoUnit[[#This Row],[Código do Posto]],tabParametros[],MATCH(tabCustoUnit[[#Headers],[Custos Indiretos]],tabParametros[#Headers],0),0)</f>
        <v>189.64880140242613</v>
      </c>
      <c r="BO50" s="22">
        <f>VLOOKUP(tabCustoUnit[[#This Row],[Código do Posto]],tabParametros[],MATCH(tabCustoUnit[[#Headers],[Lucro]],tabParametros[#Headers],0),0)</f>
        <v>159.30499317803796</v>
      </c>
      <c r="BP50" s="26">
        <f>((100/((1-tabCustoUnit[[#This Row],[Resumo de Alíquotas (PIS+CONFINS+ISS)]]))-100)*VLOOKUP(tabCustoUnit[[#This Row],[Código do Posto]],tabParametros[],MATCH(tabCustoUnit[[#Headers],[COFINS]],tabParametros[#Headers],0),0))/(tabCustoUnit[[#This Row],[Resumo de Alíquotas (PIS+CONFINS+ISS)]]*100)</f>
        <v>8.5633802816901458E-2</v>
      </c>
      <c r="BQ50" s="26">
        <f>((100/((100-(tabCustoUnit[[#This Row],[Resumo de Alíquotas (PIS+CONFINS+ISS)]]*100))%)-100)*VLOOKUP(tabCustoUnit[[#This Row],[Código do Posto]],tabParametros[],MATCH(tabCustoUnit[[#Headers],[PIS]],tabParametros[#Headers],0),0))/(tabCustoUnit[[#This Row],[Resumo de Alíquotas (PIS+CONFINS+ISS)]]*100)</f>
        <v>1.8591549295774657E-2</v>
      </c>
      <c r="BR50" s="28">
        <f>VLOOKUP(tabCustoUnit[[#This Row],[Código do Posto]],tabParametros[],MATCH(tabCustoUnit[[#Headers],[ISS]],tabParametros[#Headers],0),0)</f>
        <v>0.02</v>
      </c>
      <c r="BS50" s="26">
        <f>(((100/((100-(tabCustoUnit[[#This Row],[Resumo de Alíquotas (PIS+CONFINS+ISS)]]*100))%)-100)*tabCustoUnit[[#This Row],[ISS]])/tabCustoUnit[[#This Row],[Resumo de Alíquotas (PIS+CONFINS+ISS)]])/100</f>
        <v>2.2535211267605645E-2</v>
      </c>
      <c r="BT50" s="26">
        <f>(VLOOKUP(tabCustoUnit[[#This Row],[Código do Posto]],tabParametros[],MATCH(tabCustoUnit[[#Headers],[COFINS]],tabParametros[#Headers],0),0)+
VLOOKUP(tabCustoUnit[[#This Row],[Código do Posto]],tabParametros[],MATCH(tabCustoUnit[[#Headers],[PIS]],tabParametros[#Headers],0),0)+
VLOOKUP(tabCustoUnit[[#This Row],[Código do Posto]],tabParametros[],MATCH(tabCustoUnit[[#Headers],[ISS]],tabParametros[#Headers],0),0))</f>
        <v>0.1125</v>
      </c>
      <c r="BU50" s="138">
        <f>tabCustoUnit[[#This Row],[COFINS]]+tabCustoUnit[[#This Row],[PIS]]+tabCustoUnit[[#This Row],[ISS (Conversão Alíquota s/ fatura)]]</f>
        <v>0.12676056338028174</v>
      </c>
      <c r="BV50" s="22">
        <f>(tabCustoUnit[[#This Row],[TOTAL MÓDULOS 1+2+3+4+5]]+tabCustoUnit[[#This Row],[Custos Indiretos]]+tabCustoUnit[[#This Row],[Lucro]])*tabCustoUnit[[#This Row],[PIS + COFINS + ISS (Total Conversão  Alíquota s/ Fatura)]]</f>
        <v>312.73888240080998</v>
      </c>
      <c r="BW50" s="22">
        <f>tabCustoUnit[[#This Row],[Custos Indiretos]]+tabCustoUnit[[#This Row],[Lucro]]+tabCustoUnit[[#This Row],[Valor dos Tributos (ISS, PIS, CONFINS)]]</f>
        <v>661.69267698127408</v>
      </c>
      <c r="BX50" s="22">
        <f>tabCustoUnit[[#This Row],[TOTAL MÓDULOS 1+2+3+4+5]]+tabCustoUnit[[#This Row],[MÓDULO 6 – CUSTOS INDIRETOS, TRIBUTOS E LUCRO]]</f>
        <v>2779.9011768960877</v>
      </c>
      <c r="BY50" s="22">
        <f>tabCustoUnit[[#This Row],[CUSTO TOTAL MENSAL]]*12</f>
        <v>33358.81412275305</v>
      </c>
      <c r="BZ50" s="24">
        <f>VLOOKUP(tabCustoUnit[[#This Row],[Código do Posto]],tabParametros[],MATCH(tabCustoUnit[[#Headers],[ANO DA CCT]],tabParametros[#Headers],0),0)</f>
        <v>45658</v>
      </c>
      <c r="CA50" s="25" t="str">
        <f>VLOOKUP(tabCustoUnit[[#This Row],[Código do Posto]],tabParametros[],MATCH(tabCustoUnit[[#Headers],[Nº DE PEDIDO DA CCT]],tabParametros[#Headers],0),0)</f>
        <v>-</v>
      </c>
      <c r="CB50" s="25" t="str">
        <f>VLOOKUP(tabCustoUnit[[#This Row],[Código do Posto]],tabParametros[],MATCH(tabCustoUnit[[#Headers],[TERMO ADITIVO ALTERAÇÃO DA CCT]],tabParametros[#Headers],0),0)</f>
        <v>-</v>
      </c>
    </row>
    <row r="51" spans="1:80" x14ac:dyDescent="0.25">
      <c r="A51" s="20" t="s">
        <v>1391</v>
      </c>
      <c r="B51" t="s">
        <v>50</v>
      </c>
      <c r="C51" t="s">
        <v>1247</v>
      </c>
      <c r="D51" t="s">
        <v>1000</v>
      </c>
      <c r="E51" s="20" t="s">
        <v>9</v>
      </c>
      <c r="F51" s="20" t="s">
        <v>10</v>
      </c>
      <c r="G51" s="21">
        <v>544.17999999999995</v>
      </c>
      <c r="H51" s="21">
        <v>0</v>
      </c>
      <c r="I51" s="21">
        <v>0</v>
      </c>
      <c r="J51" s="21">
        <v>0</v>
      </c>
      <c r="K51" s="21">
        <v>0</v>
      </c>
      <c r="L51" s="21">
        <v>0</v>
      </c>
      <c r="M51" s="21">
        <v>0</v>
      </c>
      <c r="N51" s="21">
        <v>19.590499999999999</v>
      </c>
      <c r="O51" s="21">
        <f>SUM(tabCustoUnit[[#This Row],[Salário Base]:[Adicional de Acúmulo de função]])</f>
        <v>563.77049999999997</v>
      </c>
      <c r="P51" s="21">
        <f>tabCustoUnit[[#This Row],[MODULO 1 - REMUNERAÇÃO ]]*SUMIFS(tabParametros[INSS],tabParametros[Código do Posto],tabCustoUnit[[#This Row],[Código do Posto]])</f>
        <v>112.75409999999999</v>
      </c>
      <c r="Q51" s="21">
        <f>tabCustoUnit[[#This Row],[MODULO 1 - REMUNERAÇÃO ]]*SUMIFS(tabParametros[SESI OU SESC],tabParametros[Código do Posto],tabCustoUnit[[#This Row],[Código do Posto]])</f>
        <v>8.4565574999999988</v>
      </c>
      <c r="R51" s="21">
        <f>tabCustoUnit[[#This Row],[MODULO 1 - REMUNERAÇÃO ]]*SUMIFS(tabParametros[SENAI OU SENAC],tabParametros[Código do Posto],tabCustoUnit[[#This Row],[Código do Posto]])</f>
        <v>5.6377049999999995</v>
      </c>
      <c r="S51" s="21">
        <f>tabCustoUnit[[#This Row],[MODULO 1 - REMUNERAÇÃO ]]*SUMIFS(tabParametros[INCRA],tabParametros[Código do Posto],tabCustoUnit[[#This Row],[Código do Posto]])</f>
        <v>1.1275409999999999</v>
      </c>
      <c r="T51" s="21">
        <f>tabCustoUnit[[#This Row],[MODULO 1 - REMUNERAÇÃO ]]*SUMIFS(tabParametros[Salário Educação],tabParametros[Código do Posto],tabCustoUnit[[#This Row],[Código do Posto]])</f>
        <v>14.094262499999999</v>
      </c>
      <c r="U51" s="21">
        <f>tabCustoUnit[[#This Row],[MODULO 1 - REMUNERAÇÃO ]]*SUMIFS(tabParametros[FGTS],tabParametros[Código do Posto],tabCustoUnit[[#This Row],[Código do Posto]])</f>
        <v>45.101639999999996</v>
      </c>
      <c r="V51" s="21">
        <f>tabCustoUnit[[#This Row],[MODULO 1 - REMUNERAÇÃO ]]*SUMIFS(tabParametros[RAT Ajustado],tabParametros[Código do Posto],tabCustoUnit[[#This Row],[Código do Posto]])</f>
        <v>22.550819999999998</v>
      </c>
      <c r="W51" s="21">
        <f>tabCustoUnit[[#This Row],[MODULO 1 - REMUNERAÇÃO ]]*SUMIFS(tabParametros[SEBRAE],tabParametros[Código do Posto],tabCustoUnit[[#This Row],[Código do Posto]])</f>
        <v>3.3826229999999997</v>
      </c>
      <c r="X51" s="21">
        <f>SUM(tabCustoUnit[[#This Row],[INSS]:[SEBRAE]])</f>
        <v>213.10524899999996</v>
      </c>
      <c r="Y51" s="21">
        <f>tabCustoUnit[[#This Row],[MODULO 1 - REMUNERAÇÃO ]]*SUMIFS(tabParametros[13º salário (titular)],tabParametros[Código do Posto],tabCustoUnit[[#This Row],[Código do Posto]])</f>
        <v>46.980874999999997</v>
      </c>
      <c r="Z51" s="21">
        <f>tabCustoUnit[[#This Row],[MODULO 1 - REMUNERAÇÃO ]]*SUMIFS(tabParametros[Férias e Adicional de Férias (titular)],tabParametros[Código do Posto],tabCustoUnit[[#This Row],[Código do Posto]])</f>
        <v>62.641166666666663</v>
      </c>
      <c r="AA51" s="21">
        <f>IFERROR((tabCustoUnit[[#This Row],[Submódulo 2.1]]/tabCustoUnit[[#This Row],[MODULO 1 - REMUNERAÇÃO ]])*SUM(tabCustoUnit[[#This Row],[13º salário (titular)]:[Férias e Adicional de Férias (titular)]]),0)</f>
        <v>41.437131749999992</v>
      </c>
      <c r="AB51" s="21">
        <f>SUM(tabCustoUnit[[#This Row],[13º salário (titular)]:[Incidência do Submódulo 2.1 sobre 13º Salário, Férias e Adicional de Férias]])</f>
        <v>151.05917341666665</v>
      </c>
      <c r="AC51" s="22">
        <f>_xlfn.LET(_xlpm.VT,SUMIF(tabParametros[Código do Posto],tabCustoUnit[[#This Row],[Código do Posto]],tabParametros[Vale - Transporte])*2*20,
IF((_xlpm.VT-tabCustoUnit[[#This Row],[Salário Base]]*0.06)&gt;=0,(_xlpm.VT-tabCustoUnit[[#This Row],[Salário Base]]*0.06),0)
)</f>
        <v>223.3492</v>
      </c>
      <c r="AD51" s="22">
        <f>IF(SUMIF(tabParametros[Código do Posto],tabCustoUnit[[#This Row],[Código do Posto]],tabParametros[Vale - Alimentação])&lt;=0,0,
SUMIF(tabParametros[Código do Posto],tabCustoUnit[[#This Row],[Código do Posto]],tabParametros[Vale - Alimentação])*20-1)</f>
        <v>582</v>
      </c>
      <c r="AE51" s="22">
        <f>SUMIF(tabParametros[Código do Posto],tabCustoUnit[[#This Row],[Código do Posto]],tabParametros[Cesta Básica])</f>
        <v>0</v>
      </c>
      <c r="AF51" s="22">
        <f>SUMIF(tabParametros[Código do Posto],tabCustoUnit[[#This Row],[Código do Posto]],tabParametros[PAF])</f>
        <v>0</v>
      </c>
      <c r="AG51" s="22">
        <f>SUMIF(tabParametros[Código do Posto],tabCustoUnit[[#This Row],[Código do Posto]],tabParametros[PQM])</f>
        <v>15.07</v>
      </c>
      <c r="AH51" s="22">
        <f>SUMIF(tabParametros[Código do Posto],tabCustoUnit[[#This Row],[Código do Posto]],tabParametros[PAT])</f>
        <v>0</v>
      </c>
      <c r="AI51" s="22">
        <f>SUMIF(tabParametros[Código do Posto],tabCustoUnit[[#This Row],[Código do Posto]],tabParametros[Seguro de Vida])</f>
        <v>3.36</v>
      </c>
      <c r="AJ51" s="22">
        <f>SUMIF(tabParametros[Código do Posto],tabCustoUnit[[#This Row],[Código do Posto]],tabParametros[Despesas de Viagem])</f>
        <v>0</v>
      </c>
      <c r="AK51" s="22">
        <f>SUM(tabCustoUnit[[#This Row],[Vale - Transporte (Descontada parcela do empregado)]:[Despesas de Viagem]])</f>
        <v>823.77920000000006</v>
      </c>
      <c r="AL51" s="22">
        <f>tabCustoUnit[[#This Row],[Submódulo 2.1]]+tabCustoUnit[[#This Row],[Submódulo 2.2]]+tabCustoUnit[[#This Row],[Submódulo 2.3]]</f>
        <v>1187.9436224166666</v>
      </c>
      <c r="AM51" s="22">
        <f>SUMIF(tabParametros[Código do Posto],tabCustoUnit[[#This Row],[Código do Posto]],tabParametros[Aviso Prévio Indenizado (API) e Reflexo do Aviso Prévio Indenizado])*tabCustoUnit[[#This Row],[MODULO 1 - REMUNERAÇÃO ]]</f>
        <v>3.9530273735532404</v>
      </c>
      <c r="AN51" s="22">
        <f>SUMIF(tabParametros[Código do Posto],tabCustoUnit[[#This Row],[Código do Posto]],tabParametros[Incidência do FGTS sobre API e Reflexo do API])*tabCustoUnit[[#This Row],[MODULO 1 - REMUNERAÇÃO ]]</f>
        <v>0.31624218988425928</v>
      </c>
      <c r="AO51" s="22">
        <f>SUMIF(tabParametros[Código do Posto],tabCustoUnit[[#This Row],[Código do Posto]],tabParametros[Multa Rescisória do FGTS sobre o Aviso Prévio Indenizado])*tabCustoUnit[[#This Row],[MODULO 1 - REMUNERAÇÃO ]]</f>
        <v>0.12649687595370371</v>
      </c>
      <c r="AP51" s="22">
        <f>SUMIF(tabParametros[Código do Posto],tabCustoUnit[[#This Row],[Código do Posto]],tabParametros[Aviso Prévio Trabalhado - APT])*tabCustoUnit[[#This Row],[MODULO 1 - REMUNERAÇÃO ]]</f>
        <v>1.9731967500000003</v>
      </c>
      <c r="AQ51" s="22">
        <f>SUMIF(tabParametros[Código do Posto],tabCustoUnit[[#This Row],[Código do Posto]],tabParametros[Incidência dos encargos do submódulo 2.1 sobre Aviso Prévio Trabalhado])*tabCustoUnit[[#This Row],[MODULO 1 - REMUNERAÇÃO ]]</f>
        <v>0.74586837150000018</v>
      </c>
      <c r="AR51" s="22">
        <f>SUMIF(tabParametros[Código do Posto],tabCustoUnit[[#This Row],[Código do Posto]],tabParametros[Multa Rescisória do FGTS])*tabCustoUnit[[#This Row],[MODULO 1 - REMUNERAÇÃO ]]</f>
        <v>17.238849066666663</v>
      </c>
      <c r="AS51" s="22">
        <f>SUMIF(tabParametros[Código do Posto],tabCustoUnit[[#This Row],[Código do Posto]],tabParametros[Indenização Adicional (Art. 9º da Lei nº 7.238/84)])*tabCustoUnit[[#This Row],[MODULO 1 - REMUNERAÇÃO ]]</f>
        <v>0.46980875</v>
      </c>
      <c r="AT51" s="22">
        <f>SUM(tabCustoUnit[[#This Row],[Aviso Prévio Indenizado (API) e Reflexo do Aviso Prévio Indenizado]:[Indenização Adicional (Art. 9º da Lei nº 7.238/84)]])</f>
        <v>24.823489377557866</v>
      </c>
      <c r="AU51" s="22">
        <f>SUMIF(tabParametros[Código do Posto],tabCustoUnit[[#This Row],[Código do Posto]],tabParametros[Ausência por Doença])*tabCustoUnit[[#This Row],[MODULO 1 - REMUNERAÇÃO ]]</f>
        <v>4.7607286666666662</v>
      </c>
      <c r="AV51" s="22">
        <f>SUMIF(tabParametros[Código do Posto],tabCustoUnit[[#This Row],[Código do Posto]],tabParametros[Ausências Legais])*tabCustoUnit[[#This Row],[MODULO 1 - REMUNERAÇÃO ]]</f>
        <v>1.1432012916666665</v>
      </c>
      <c r="AW51" s="22">
        <f>SUMIF(tabParametros[Código do Posto],tabCustoUnit[[#This Row],[Código do Posto]],tabParametros[Licença Paternidade])*tabCustoUnit[[#This Row],[MODULO 1 - REMUNERAÇÃO ]]</f>
        <v>9.6310793749999998E-2</v>
      </c>
      <c r="AX51" s="22">
        <f>SUMIF(tabParametros[Código do Posto],tabCustoUnit[[#This Row],[Código do Posto]],tabParametros[Ausência por Acidente de Trabalho])*tabCustoUnit[[#This Row],[MODULO 1 - REMUNERAÇÃO ]]</f>
        <v>0.1174521875</v>
      </c>
      <c r="AY51" s="22">
        <f>SUMIF(tabParametros[Código do Posto],tabCustoUnit[[#This Row],[Código do Posto]],tabParametros[Férias, Adicional de Férias e 13º  com empregada em gozo de Licença Maternidade])*tabCustoUnit[[#This Row],[MODULO 1 - REMUNERAÇÃO ]]</f>
        <v>0.73081361111111109</v>
      </c>
      <c r="AZ51" s="22">
        <f>SUMIF(tabParametros[Código do Posto],tabCustoUnit[[#This Row],[Código do Posto]],tabParametros[Incidência do Submódulo 2.1 sobre Ausências Legais])*tabCustoUnit[[#This Row],[MODULO 1 - REMUNERAÇÃO ]]</f>
        <v>2.5887354761625003</v>
      </c>
      <c r="BA51" s="22">
        <f>SUM(tabCustoUnit[[#This Row],[Ausência por Doença]:[Incidência do Submódulo 2.1 sobre Ausências Legais]])</f>
        <v>9.4372420268569428</v>
      </c>
      <c r="BB51" s="22">
        <f>SUMIF(tabParametros[Código do Posto],tabCustoUnit[[#This Row],[Código do Posto]],tabParametros[Intervalo para Repouso ou Alimentação])</f>
        <v>0</v>
      </c>
      <c r="BC51" s="22">
        <f>tabCustoUnit[[#This Row],[Intervalo para Repouso ou Alimentação]]</f>
        <v>0</v>
      </c>
      <c r="BD51" s="22">
        <f>IF(VLOOKUP(tabCustoUnit[[#This Row],[Código do Posto]],PARAMETROS!$A$4:$BJ$255,7,0)&lt;=0,0,
IFERROR((tabCustoUnit[[#This Row],[MODULO 1 - REMUNERAÇÃO ]]*VLOOKUP(tabCustoUnit[[#This Row],[Código do Posto]],PARAMETROS!$A$4:$BJ$255,49,0))/(VLOOKUP(tabCustoUnit[[#This Row],[Código do Posto]],PARAMETROS!$A$4:$BJ$255,7,0)*VLOOKUP(tabCustoUnit[[#This Row],[Código do Posto]],PARAMETROS!$A$4:$BJ$255,8,0)),0)
)</f>
        <v>0</v>
      </c>
      <c r="BE51" s="22">
        <f>tabCustoUnit[[#This Row],[Suspensão Temporária do Contrato de Trabalho]]</f>
        <v>0</v>
      </c>
      <c r="BF51" s="22">
        <f>tabCustoUnit[[#This Row],[Submódulo 4.1]]+tabCustoUnit[[#This Row],[Submódulo 4.2]]+tabCustoUnit[[#This Row],[Submódulo 4.3]]</f>
        <v>9.4372420268569428</v>
      </c>
      <c r="BG51" s="22">
        <f>VLOOKUP(tabCustoUnit[[#This Row],[Código do Posto]],tabParametros[],MATCH(tabCustoUnit[[#Headers],[Uniformes e EPIs]],tabParametros[#Headers],0),0)</f>
        <v>62.806666666666665</v>
      </c>
      <c r="BH51" s="22">
        <f>VLOOKUP(tabCustoUnit[[#This Row],[Código do Posto]],tabParametros[],MATCH(tabCustoUnit[[#Headers],[Materiais de Consumo]],tabParametros[#Headers],0),0)</f>
        <v>12.108481690426325</v>
      </c>
      <c r="BI51" s="22">
        <f>VLOOKUP(tabCustoUnit[[#This Row],[Código do Posto]],tabParametros[],MATCH(tabCustoUnit[[#Headers],[Máquinas e Equipamentos (depreciação)]],tabParametros[#Headers],0),0)</f>
        <v>21.998657016417809</v>
      </c>
      <c r="BJ51" s="22">
        <f>VLOOKUP(tabCustoUnit[[#This Row],[Código do Posto]],tabParametros[],MATCH(tabCustoUnit[[#Headers],[Produtos de Limpeza e Materiais de Higiene Pessoal]],tabParametros[#Headers],0),0)</f>
        <v>235.31984072022155</v>
      </c>
      <c r="BK51" s="22">
        <f>VLOOKUP(tabCustoUnit[[#This Row],[Código do Posto]],tabParametros[],MATCH(tabCustoUnit[[#Headers],[Outros (especificar)]],tabParametros[#Headers],0),0)</f>
        <v>0</v>
      </c>
      <c r="BL51" s="22">
        <f>SUM(tabCustoUnit[[#This Row],[Uniformes e EPIs]:[Outros (especificar)]])</f>
        <v>332.23364609373232</v>
      </c>
      <c r="BM51" s="22">
        <f>tabCustoUnit[[#This Row],[MODULO 1 - REMUNERAÇÃO ]]+tabCustoUnit[[#This Row],[MÓDULO 2 - Total Encargos e Benefícios mensais e diários]]+tabCustoUnit[[#This Row],[MÓDULO 3 – PROVISÃO PARA RESCISÃO]]+tabCustoUnit[[#This Row],[MÓDULO 4 – CUSTO DE REPOSIÇÃO DO PROFISSIONAL AUSENTE]]+tabCustoUnit[[#This Row],[MÓDULO 5 – INSUMOS DIVERSOS]]</f>
        <v>2118.2084999148137</v>
      </c>
      <c r="BN51" s="22">
        <f>VLOOKUP(tabCustoUnit[[#This Row],[Código do Posto]],tabParametros[],MATCH(tabCustoUnit[[#Headers],[Custos Indiretos]],tabParametros[#Headers],0),0)</f>
        <v>189.64880140242613</v>
      </c>
      <c r="BO51" s="22">
        <f>VLOOKUP(tabCustoUnit[[#This Row],[Código do Posto]],tabParametros[],MATCH(tabCustoUnit[[#Headers],[Lucro]],tabParametros[#Headers],0),0)</f>
        <v>159.30499317803796</v>
      </c>
      <c r="BP51" s="26">
        <f>((100/((1-tabCustoUnit[[#This Row],[Resumo de Alíquotas (PIS+CONFINS+ISS)]]))-100)*VLOOKUP(tabCustoUnit[[#This Row],[Código do Posto]],tabParametros[],MATCH(tabCustoUnit[[#Headers],[COFINS]],tabParametros[#Headers],0),0))/(tabCustoUnit[[#This Row],[Resumo de Alíquotas (PIS+CONFINS+ISS)]]*100)</f>
        <v>8.6609686609686695E-2</v>
      </c>
      <c r="BQ51" s="26">
        <f>((100/((100-(tabCustoUnit[[#This Row],[Resumo de Alíquotas (PIS+CONFINS+ISS)]]*100))%)-100)*VLOOKUP(tabCustoUnit[[#This Row],[Código do Posto]],tabParametros[],MATCH(tabCustoUnit[[#Headers],[PIS]],tabParametros[#Headers],0),0))/(tabCustoUnit[[#This Row],[Resumo de Alíquotas (PIS+CONFINS+ISS)]]*100)</f>
        <v>1.880341880341882E-2</v>
      </c>
      <c r="BR51" s="28">
        <f>VLOOKUP(tabCustoUnit[[#This Row],[Código do Posto]],tabParametros[],MATCH(tabCustoUnit[[#Headers],[ISS]],tabParametros[#Headers],0),0)</f>
        <v>0.03</v>
      </c>
      <c r="BS51" s="26">
        <f>(((100/((100-(tabCustoUnit[[#This Row],[Resumo de Alíquotas (PIS+CONFINS+ISS)]]*100))%)-100)*tabCustoUnit[[#This Row],[ISS]])/tabCustoUnit[[#This Row],[Resumo de Alíquotas (PIS+CONFINS+ISS)]])/100</f>
        <v>3.4188034188034219E-2</v>
      </c>
      <c r="BT51" s="26">
        <f>(VLOOKUP(tabCustoUnit[[#This Row],[Código do Posto]],tabParametros[],MATCH(tabCustoUnit[[#Headers],[COFINS]],tabParametros[#Headers],0),0)+
VLOOKUP(tabCustoUnit[[#This Row],[Código do Posto]],tabParametros[],MATCH(tabCustoUnit[[#Headers],[PIS]],tabParametros[#Headers],0),0)+
VLOOKUP(tabCustoUnit[[#This Row],[Código do Posto]],tabParametros[],MATCH(tabCustoUnit[[#Headers],[ISS]],tabParametros[#Headers],0),0))</f>
        <v>0.1225</v>
      </c>
      <c r="BU51" s="138">
        <f>tabCustoUnit[[#This Row],[COFINS]]+tabCustoUnit[[#This Row],[PIS]]+tabCustoUnit[[#This Row],[ISS (Conversão Alíquota s/ fatura)]]</f>
        <v>0.13960113960113973</v>
      </c>
      <c r="BV51" s="22">
        <f>(tabCustoUnit[[#This Row],[TOTAL MÓDULOS 1+2+3+4+5]]+tabCustoUnit[[#This Row],[Custos Indiretos]]+tabCustoUnit[[#This Row],[Lucro]])*tabCustoUnit[[#This Row],[PIS + COFINS + ISS (Total Conversão  Alíquota s/ Fatura)]]</f>
        <v>344.41866789250349</v>
      </c>
      <c r="BW51" s="22">
        <f>tabCustoUnit[[#This Row],[Custos Indiretos]]+tabCustoUnit[[#This Row],[Lucro]]+tabCustoUnit[[#This Row],[Valor dos Tributos (ISS, PIS, CONFINS)]]</f>
        <v>693.37246247296753</v>
      </c>
      <c r="BX51" s="22">
        <f>tabCustoUnit[[#This Row],[TOTAL MÓDULOS 1+2+3+4+5]]+tabCustoUnit[[#This Row],[MÓDULO 6 – CUSTOS INDIRETOS, TRIBUTOS E LUCRO]]</f>
        <v>2811.5809623877813</v>
      </c>
      <c r="BY51" s="22">
        <f>tabCustoUnit[[#This Row],[CUSTO TOTAL MENSAL]]*12</f>
        <v>33738.971548653375</v>
      </c>
      <c r="BZ51" s="24">
        <f>VLOOKUP(tabCustoUnit[[#This Row],[Código do Posto]],tabParametros[],MATCH(tabCustoUnit[[#Headers],[ANO DA CCT]],tabParametros[#Headers],0),0)</f>
        <v>45658</v>
      </c>
      <c r="CA51" s="25" t="str">
        <f>VLOOKUP(tabCustoUnit[[#This Row],[Código do Posto]],tabParametros[],MATCH(tabCustoUnit[[#Headers],[Nº DE PEDIDO DA CCT]],tabParametros[#Headers],0),0)</f>
        <v>-</v>
      </c>
      <c r="CB51" s="25" t="str">
        <f>VLOOKUP(tabCustoUnit[[#This Row],[Código do Posto]],tabParametros[],MATCH(tabCustoUnit[[#Headers],[TERMO ADITIVO ALTERAÇÃO DA CCT]],tabParametros[#Headers],0),0)</f>
        <v>-</v>
      </c>
    </row>
    <row r="52" spans="1:80" x14ac:dyDescent="0.25">
      <c r="A52" s="20" t="s">
        <v>1392</v>
      </c>
      <c r="B52" t="s">
        <v>51</v>
      </c>
      <c r="C52" t="s">
        <v>1244</v>
      </c>
      <c r="D52" t="s">
        <v>1023</v>
      </c>
      <c r="E52" s="20" t="s">
        <v>9</v>
      </c>
      <c r="F52" s="20" t="s">
        <v>10</v>
      </c>
      <c r="G52" s="21">
        <v>798.14</v>
      </c>
      <c r="H52" s="21">
        <v>0</v>
      </c>
      <c r="I52" s="21">
        <v>0</v>
      </c>
      <c r="J52" s="21">
        <v>0</v>
      </c>
      <c r="K52" s="21">
        <v>0</v>
      </c>
      <c r="L52" s="21">
        <v>0</v>
      </c>
      <c r="M52" s="21">
        <v>0</v>
      </c>
      <c r="N52" s="21">
        <v>26.120899999999999</v>
      </c>
      <c r="O52" s="21">
        <f>SUM(tabCustoUnit[[#This Row],[Salário Base]:[Adicional de Acúmulo de função]])</f>
        <v>824.26089999999999</v>
      </c>
      <c r="P52" s="21">
        <f>tabCustoUnit[[#This Row],[MODULO 1 - REMUNERAÇÃO ]]*SUMIFS(tabParametros[INSS],tabParametros[Código do Posto],tabCustoUnit[[#This Row],[Código do Posto]])</f>
        <v>164.85218</v>
      </c>
      <c r="Q52" s="21">
        <f>tabCustoUnit[[#This Row],[MODULO 1 - REMUNERAÇÃO ]]*SUMIFS(tabParametros[SESI OU SESC],tabParametros[Código do Posto],tabCustoUnit[[#This Row],[Código do Posto]])</f>
        <v>12.363913499999999</v>
      </c>
      <c r="R52" s="21">
        <f>tabCustoUnit[[#This Row],[MODULO 1 - REMUNERAÇÃO ]]*SUMIFS(tabParametros[SENAI OU SENAC],tabParametros[Código do Posto],tabCustoUnit[[#This Row],[Código do Posto]])</f>
        <v>8.2426089999999999</v>
      </c>
      <c r="S52" s="21">
        <f>tabCustoUnit[[#This Row],[MODULO 1 - REMUNERAÇÃO ]]*SUMIFS(tabParametros[INCRA],tabParametros[Código do Posto],tabCustoUnit[[#This Row],[Código do Posto]])</f>
        <v>1.6485217999999999</v>
      </c>
      <c r="T52" s="21">
        <f>tabCustoUnit[[#This Row],[MODULO 1 - REMUNERAÇÃO ]]*SUMIFS(tabParametros[Salário Educação],tabParametros[Código do Posto],tabCustoUnit[[#This Row],[Código do Posto]])</f>
        <v>20.606522500000001</v>
      </c>
      <c r="U52" s="21">
        <f>tabCustoUnit[[#This Row],[MODULO 1 - REMUNERAÇÃO ]]*SUMIFS(tabParametros[FGTS],tabParametros[Código do Posto],tabCustoUnit[[#This Row],[Código do Posto]])</f>
        <v>65.940871999999999</v>
      </c>
      <c r="V52" s="21">
        <f>tabCustoUnit[[#This Row],[MODULO 1 - REMUNERAÇÃO ]]*SUMIFS(tabParametros[RAT Ajustado],tabParametros[Código do Posto],tabCustoUnit[[#This Row],[Código do Posto]])</f>
        <v>32.970435999999999</v>
      </c>
      <c r="W52" s="21">
        <f>tabCustoUnit[[#This Row],[MODULO 1 - REMUNERAÇÃO ]]*SUMIFS(tabParametros[SEBRAE],tabParametros[Código do Posto],tabCustoUnit[[#This Row],[Código do Posto]])</f>
        <v>4.9455654000000004</v>
      </c>
      <c r="X52" s="21">
        <f>SUM(tabCustoUnit[[#This Row],[INSS]:[SEBRAE]])</f>
        <v>311.57062020000001</v>
      </c>
      <c r="Y52" s="21">
        <f>tabCustoUnit[[#This Row],[MODULO 1 - REMUNERAÇÃO ]]*SUMIFS(tabParametros[13º salário (titular)],tabParametros[Código do Posto],tabCustoUnit[[#This Row],[Código do Posto]])</f>
        <v>68.688408333333328</v>
      </c>
      <c r="Z52" s="21">
        <f>tabCustoUnit[[#This Row],[MODULO 1 - REMUNERAÇÃO ]]*SUMIFS(tabParametros[Férias e Adicional de Férias (titular)],tabParametros[Código do Posto],tabCustoUnit[[#This Row],[Código do Posto]])</f>
        <v>91.584544444444433</v>
      </c>
      <c r="AA52" s="21">
        <f>IFERROR((tabCustoUnit[[#This Row],[Submódulo 2.1]]/tabCustoUnit[[#This Row],[MODULO 1 - REMUNERAÇÃO ]])*SUM(tabCustoUnit[[#This Row],[13º salário (titular)]:[Férias e Adicional de Férias (titular)]]),0)</f>
        <v>60.583176149999993</v>
      </c>
      <c r="AB52" s="21">
        <f>SUM(tabCustoUnit[[#This Row],[13º salário (titular)]:[Incidência do Submódulo 2.1 sobre 13º Salário, Férias e Adicional de Férias]])</f>
        <v>220.85612892777775</v>
      </c>
      <c r="AC52" s="22">
        <f>_xlfn.LET(_xlpm.VT,SUMIF(tabParametros[Código do Posto],tabCustoUnit[[#This Row],[Código do Posto]],tabParametros[Vale - Transporte])*2*20,
IF((_xlpm.VT-tabCustoUnit[[#This Row],[Salário Base]]*0.06)&gt;=0,(_xlpm.VT-tabCustoUnit[[#This Row],[Salário Base]]*0.06),0)
)</f>
        <v>208.11160000000001</v>
      </c>
      <c r="AD52" s="22">
        <f>IF(SUMIF(tabParametros[Código do Posto],tabCustoUnit[[#This Row],[Código do Posto]],tabParametros[Vale - Alimentação])&lt;=0,0,
SUMIF(tabParametros[Código do Posto],tabCustoUnit[[#This Row],[Código do Posto]],tabParametros[Vale - Alimentação])*20-1)</f>
        <v>582</v>
      </c>
      <c r="AE52" s="22">
        <f>SUMIF(tabParametros[Código do Posto],tabCustoUnit[[#This Row],[Código do Posto]],tabParametros[Cesta Básica])</f>
        <v>0</v>
      </c>
      <c r="AF52" s="22">
        <f>SUMIF(tabParametros[Código do Posto],tabCustoUnit[[#This Row],[Código do Posto]],tabParametros[PAF])</f>
        <v>0</v>
      </c>
      <c r="AG52" s="22">
        <f>SUMIF(tabParametros[Código do Posto],tabCustoUnit[[#This Row],[Código do Posto]],tabParametros[PQM])</f>
        <v>0</v>
      </c>
      <c r="AH52" s="22">
        <f>SUMIF(tabParametros[Código do Posto],tabCustoUnit[[#This Row],[Código do Posto]],tabParametros[PAT])</f>
        <v>0</v>
      </c>
      <c r="AI52" s="22">
        <f>SUMIF(tabParametros[Código do Posto],tabCustoUnit[[#This Row],[Código do Posto]],tabParametros[Seguro de Vida])</f>
        <v>3.36</v>
      </c>
      <c r="AJ52" s="22">
        <f>SUMIF(tabParametros[Código do Posto],tabCustoUnit[[#This Row],[Código do Posto]],tabParametros[Despesas de Viagem])</f>
        <v>0</v>
      </c>
      <c r="AK52" s="22">
        <f>SUM(tabCustoUnit[[#This Row],[Vale - Transporte (Descontada parcela do empregado)]:[Despesas de Viagem]])</f>
        <v>793.47159999999997</v>
      </c>
      <c r="AL52" s="22">
        <f>tabCustoUnit[[#This Row],[Submódulo 2.1]]+tabCustoUnit[[#This Row],[Submódulo 2.2]]+tabCustoUnit[[#This Row],[Submódulo 2.3]]</f>
        <v>1325.8983491277777</v>
      </c>
      <c r="AM52" s="22">
        <f>SUMIF(tabParametros[Código do Posto],tabCustoUnit[[#This Row],[Código do Posto]],tabParametros[Aviso Prévio Indenizado (API) e Reflexo do Aviso Prévio Indenizado])*tabCustoUnit[[#This Row],[MODULO 1 - REMUNERAÇÃO ]]</f>
        <v>5.7795253576581791</v>
      </c>
      <c r="AN52" s="22">
        <f>SUMIF(tabParametros[Código do Posto],tabCustoUnit[[#This Row],[Código do Posto]],tabParametros[Incidência do FGTS sobre API e Reflexo do API])*tabCustoUnit[[#This Row],[MODULO 1 - REMUNERAÇÃO ]]</f>
        <v>0.46236202861265435</v>
      </c>
      <c r="AO52" s="22">
        <f>SUMIF(tabParametros[Código do Posto],tabCustoUnit[[#This Row],[Código do Posto]],tabParametros[Multa Rescisória do FGTS sobre o Aviso Prévio Indenizado])*tabCustoUnit[[#This Row],[MODULO 1 - REMUNERAÇÃO ]]</f>
        <v>0.18494481144506175</v>
      </c>
      <c r="AP52" s="22">
        <f>SUMIF(tabParametros[Código do Posto],tabCustoUnit[[#This Row],[Código do Posto]],tabParametros[Aviso Prévio Trabalhado - APT])*tabCustoUnit[[#This Row],[MODULO 1 - REMUNERAÇÃO ]]</f>
        <v>2.8849131500000005</v>
      </c>
      <c r="AQ52" s="22">
        <f>SUMIF(tabParametros[Código do Posto],tabCustoUnit[[#This Row],[Código do Posto]],tabParametros[Incidência dos encargos do submódulo 2.1 sobre Aviso Prévio Trabalhado])*tabCustoUnit[[#This Row],[MODULO 1 - REMUNERAÇÃO ]]</f>
        <v>1.0904971707000004</v>
      </c>
      <c r="AR52" s="22">
        <f>SUMIF(tabParametros[Código do Posto],tabCustoUnit[[#This Row],[Código do Posto]],tabParametros[Multa Rescisória do FGTS])*tabCustoUnit[[#This Row],[MODULO 1 - REMUNERAÇÃO ]]</f>
        <v>25.204066631111107</v>
      </c>
      <c r="AS52" s="22">
        <f>SUMIF(tabParametros[Código do Posto],tabCustoUnit[[#This Row],[Código do Posto]],tabParametros[Indenização Adicional (Art. 9º da Lei nº 7.238/84)])*tabCustoUnit[[#This Row],[MODULO 1 - REMUNERAÇÃO ]]</f>
        <v>0.6868840833333334</v>
      </c>
      <c r="AT52" s="22">
        <f>SUM(tabCustoUnit[[#This Row],[Aviso Prévio Indenizado (API) e Reflexo do Aviso Prévio Indenizado]:[Indenização Adicional (Art. 9º da Lei nº 7.238/84)]])</f>
        <v>36.293193232860339</v>
      </c>
      <c r="AU52" s="22">
        <f>SUMIF(tabParametros[Código do Posto],tabCustoUnit[[#This Row],[Código do Posto]],tabParametros[Ausência por Doença])*tabCustoUnit[[#This Row],[MODULO 1 - REMUNERAÇÃO ]]</f>
        <v>6.9604253777777769</v>
      </c>
      <c r="AV52" s="22">
        <f>SUMIF(tabParametros[Código do Posto],tabCustoUnit[[#This Row],[Código do Posto]],tabParametros[Ausências Legais])*tabCustoUnit[[#This Row],[MODULO 1 - REMUNERAÇÃO ]]</f>
        <v>1.671417936111111</v>
      </c>
      <c r="AW52" s="22">
        <f>SUMIF(tabParametros[Código do Posto],tabCustoUnit[[#This Row],[Código do Posto]],tabParametros[Licença Paternidade])*tabCustoUnit[[#This Row],[MODULO 1 - REMUNERAÇÃO ]]</f>
        <v>0.14081123708333332</v>
      </c>
      <c r="AX52" s="22">
        <f>SUMIF(tabParametros[Código do Posto],tabCustoUnit[[#This Row],[Código do Posto]],tabParametros[Ausência por Acidente de Trabalho])*tabCustoUnit[[#This Row],[MODULO 1 - REMUNERAÇÃO ]]</f>
        <v>0.17172102083333335</v>
      </c>
      <c r="AY52" s="22">
        <f>SUMIF(tabParametros[Código do Posto],tabCustoUnit[[#This Row],[Código do Posto]],tabParametros[Férias, Adicional de Férias e 13º  com empregada em gozo de Licença Maternidade])*tabCustoUnit[[#This Row],[MODULO 1 - REMUNERAÇÃO ]]</f>
        <v>1.0684863518518517</v>
      </c>
      <c r="AZ52" s="22">
        <f>SUMIF(tabParametros[Código do Posto],tabCustoUnit[[#This Row],[Código do Posto]],tabParametros[Incidência do Submódulo 2.1 sobre Ausências Legais])*tabCustoUnit[[#This Row],[MODULO 1 - REMUNERAÇÃO ]]</f>
        <v>3.7848618071425006</v>
      </c>
      <c r="BA52" s="22">
        <f>SUM(tabCustoUnit[[#This Row],[Ausência por Doença]:[Incidência do Submódulo 2.1 sobre Ausências Legais]])</f>
        <v>13.797723730799909</v>
      </c>
      <c r="BB52" s="22">
        <f>SUMIF(tabParametros[Código do Posto],tabCustoUnit[[#This Row],[Código do Posto]],tabParametros[Intervalo para Repouso ou Alimentação])</f>
        <v>0</v>
      </c>
      <c r="BC52" s="22">
        <f>tabCustoUnit[[#This Row],[Intervalo para Repouso ou Alimentação]]</f>
        <v>0</v>
      </c>
      <c r="BD52" s="22">
        <f>IF(VLOOKUP(tabCustoUnit[[#This Row],[Código do Posto]],PARAMETROS!$A$4:$BJ$255,7,0)&lt;=0,0,
IFERROR((tabCustoUnit[[#This Row],[MODULO 1 - REMUNERAÇÃO ]]*VLOOKUP(tabCustoUnit[[#This Row],[Código do Posto]],PARAMETROS!$A$4:$BJ$255,49,0))/(VLOOKUP(tabCustoUnit[[#This Row],[Código do Posto]],PARAMETROS!$A$4:$BJ$255,7,0)*VLOOKUP(tabCustoUnit[[#This Row],[Código do Posto]],PARAMETROS!$A$4:$BJ$255,8,0)),0)
)</f>
        <v>0</v>
      </c>
      <c r="BE52" s="22">
        <f>tabCustoUnit[[#This Row],[Suspensão Temporária do Contrato de Trabalho]]</f>
        <v>0</v>
      </c>
      <c r="BF52" s="22">
        <f>tabCustoUnit[[#This Row],[Submódulo 4.1]]+tabCustoUnit[[#This Row],[Submódulo 4.2]]+tabCustoUnit[[#This Row],[Submódulo 4.3]]</f>
        <v>13.797723730799909</v>
      </c>
      <c r="BG52" s="22">
        <f>VLOOKUP(tabCustoUnit[[#This Row],[Código do Posto]],tabParametros[],MATCH(tabCustoUnit[[#Headers],[Uniformes e EPIs]],tabParametros[#Headers],0),0)</f>
        <v>62.806666666666665</v>
      </c>
      <c r="BH52" s="22">
        <f>VLOOKUP(tabCustoUnit[[#This Row],[Código do Posto]],tabParametros[],MATCH(tabCustoUnit[[#Headers],[Materiais de Consumo]],tabParametros[#Headers],0),0)</f>
        <v>17.759106479291944</v>
      </c>
      <c r="BI52" s="22">
        <f>VLOOKUP(tabCustoUnit[[#This Row],[Código do Posto]],tabParametros[],MATCH(tabCustoUnit[[#Headers],[Máquinas e Equipamentos (depreciação)]],tabParametros[#Headers],0),0)</f>
        <v>32.264696957412788</v>
      </c>
      <c r="BJ52" s="22">
        <f>VLOOKUP(tabCustoUnit[[#This Row],[Código do Posto]],tabParametros[],MATCH(tabCustoUnit[[#Headers],[Produtos de Limpeza e Materiais de Higiene Pessoal]],tabParametros[#Headers],0),0)</f>
        <v>345.13576638965827</v>
      </c>
      <c r="BK52" s="22">
        <f>VLOOKUP(tabCustoUnit[[#This Row],[Código do Posto]],tabParametros[],MATCH(tabCustoUnit[[#Headers],[Outros (especificar)]],tabParametros[#Headers],0),0)</f>
        <v>0</v>
      </c>
      <c r="BL52" s="22">
        <f>SUM(tabCustoUnit[[#This Row],[Uniformes e EPIs]:[Outros (especificar)]])</f>
        <v>457.96623649302967</v>
      </c>
      <c r="BM52" s="22">
        <f>tabCustoUnit[[#This Row],[MODULO 1 - REMUNERAÇÃO ]]+tabCustoUnit[[#This Row],[MÓDULO 2 - Total Encargos e Benefícios mensais e diários]]+tabCustoUnit[[#This Row],[MÓDULO 3 – PROVISÃO PARA RESCISÃO]]+tabCustoUnit[[#This Row],[MÓDULO 4 – CUSTO DE REPOSIÇÃO DO PROFISSIONAL AUSENTE]]+tabCustoUnit[[#This Row],[MÓDULO 5 – INSUMOS DIVERSOS]]</f>
        <v>2658.2164025844677</v>
      </c>
      <c r="BN52" s="22">
        <f>VLOOKUP(tabCustoUnit[[#This Row],[Código do Posto]],tabParametros[],MATCH(tabCustoUnit[[#Headers],[Custos Indiretos]],tabParametros[#Headers],0),0)</f>
        <v>189.64880140242613</v>
      </c>
      <c r="BO52" s="22">
        <f>VLOOKUP(tabCustoUnit[[#This Row],[Código do Posto]],tabParametros[],MATCH(tabCustoUnit[[#Headers],[Lucro]],tabParametros[#Headers],0),0)</f>
        <v>159.30499317803796</v>
      </c>
      <c r="BP52" s="26">
        <f>((100/((1-tabCustoUnit[[#This Row],[Resumo de Alíquotas (PIS+CONFINS+ISS)]]))-100)*VLOOKUP(tabCustoUnit[[#This Row],[Código do Posto]],tabParametros[],MATCH(tabCustoUnit[[#Headers],[COFINS]],tabParametros[#Headers],0),0))/(tabCustoUnit[[#This Row],[Resumo de Alíquotas (PIS+CONFINS+ISS)]]*100)</f>
        <v>8.6609686609686695E-2</v>
      </c>
      <c r="BQ52" s="26">
        <f>((100/((100-(tabCustoUnit[[#This Row],[Resumo de Alíquotas (PIS+CONFINS+ISS)]]*100))%)-100)*VLOOKUP(tabCustoUnit[[#This Row],[Código do Posto]],tabParametros[],MATCH(tabCustoUnit[[#Headers],[PIS]],tabParametros[#Headers],0),0))/(tabCustoUnit[[#This Row],[Resumo de Alíquotas (PIS+CONFINS+ISS)]]*100)</f>
        <v>1.880341880341882E-2</v>
      </c>
      <c r="BR52" s="28">
        <f>VLOOKUP(tabCustoUnit[[#This Row],[Código do Posto]],tabParametros[],MATCH(tabCustoUnit[[#Headers],[ISS]],tabParametros[#Headers],0),0)</f>
        <v>0.03</v>
      </c>
      <c r="BS52" s="26">
        <f>(((100/((100-(tabCustoUnit[[#This Row],[Resumo de Alíquotas (PIS+CONFINS+ISS)]]*100))%)-100)*tabCustoUnit[[#This Row],[ISS]])/tabCustoUnit[[#This Row],[Resumo de Alíquotas (PIS+CONFINS+ISS)]])/100</f>
        <v>3.4188034188034219E-2</v>
      </c>
      <c r="BT52" s="26">
        <f>(VLOOKUP(tabCustoUnit[[#This Row],[Código do Posto]],tabParametros[],MATCH(tabCustoUnit[[#Headers],[COFINS]],tabParametros[#Headers],0),0)+
VLOOKUP(tabCustoUnit[[#This Row],[Código do Posto]],tabParametros[],MATCH(tabCustoUnit[[#Headers],[PIS]],tabParametros[#Headers],0),0)+
VLOOKUP(tabCustoUnit[[#This Row],[Código do Posto]],tabParametros[],MATCH(tabCustoUnit[[#Headers],[ISS]],tabParametros[#Headers],0),0))</f>
        <v>0.1225</v>
      </c>
      <c r="BU52" s="138">
        <f>tabCustoUnit[[#This Row],[COFINS]]+tabCustoUnit[[#This Row],[PIS]]+tabCustoUnit[[#This Row],[ISS (Conversão Alíquota s/ fatura)]]</f>
        <v>0.13960113960113973</v>
      </c>
      <c r="BV52" s="22">
        <f>(tabCustoUnit[[#This Row],[TOTAL MÓDULOS 1+2+3+4+5]]+tabCustoUnit[[#This Row],[Custos Indiretos]]+tabCustoUnit[[#This Row],[Lucro]])*tabCustoUnit[[#This Row],[PIS + COFINS + ISS (Total Conversão  Alíquota s/ Fatura)]]</f>
        <v>419.80438649880853</v>
      </c>
      <c r="BW52" s="22">
        <f>tabCustoUnit[[#This Row],[Custos Indiretos]]+tabCustoUnit[[#This Row],[Lucro]]+tabCustoUnit[[#This Row],[Valor dos Tributos (ISS, PIS, CONFINS)]]</f>
        <v>768.75818107927262</v>
      </c>
      <c r="BX52" s="22">
        <f>tabCustoUnit[[#This Row],[TOTAL MÓDULOS 1+2+3+4+5]]+tabCustoUnit[[#This Row],[MÓDULO 6 – CUSTOS INDIRETOS, TRIBUTOS E LUCRO]]</f>
        <v>3426.9745836637403</v>
      </c>
      <c r="BY52" s="22">
        <f>tabCustoUnit[[#This Row],[CUSTO TOTAL MENSAL]]*12</f>
        <v>41123.69500396488</v>
      </c>
      <c r="BZ52" s="24">
        <f>VLOOKUP(tabCustoUnit[[#This Row],[Código do Posto]],tabParametros[],MATCH(tabCustoUnit[[#Headers],[ANO DA CCT]],tabParametros[#Headers],0),0)</f>
        <v>45658</v>
      </c>
      <c r="CA52" s="25" t="str">
        <f>VLOOKUP(tabCustoUnit[[#This Row],[Código do Posto]],tabParametros[],MATCH(tabCustoUnit[[#Headers],[Nº DE PEDIDO DA CCT]],tabParametros[#Headers],0),0)</f>
        <v>-</v>
      </c>
      <c r="CB52" s="25" t="str">
        <f>VLOOKUP(tabCustoUnit[[#This Row],[Código do Posto]],tabParametros[],MATCH(tabCustoUnit[[#Headers],[TERMO ADITIVO ALTERAÇÃO DA CCT]],tabParametros[#Headers],0),0)</f>
        <v>-</v>
      </c>
    </row>
    <row r="53" spans="1:80" x14ac:dyDescent="0.25">
      <c r="A53" s="20" t="s">
        <v>1393</v>
      </c>
      <c r="B53" t="s">
        <v>52</v>
      </c>
      <c r="C53" t="s">
        <v>1244</v>
      </c>
      <c r="D53" t="s">
        <v>1023</v>
      </c>
      <c r="E53" s="20" t="s">
        <v>9</v>
      </c>
      <c r="F53" s="20" t="s">
        <v>10</v>
      </c>
      <c r="G53" s="21">
        <v>798.14</v>
      </c>
      <c r="H53" s="21">
        <v>0</v>
      </c>
      <c r="I53" s="21">
        <v>0</v>
      </c>
      <c r="J53" s="21">
        <v>0</v>
      </c>
      <c r="K53" s="21">
        <v>0</v>
      </c>
      <c r="L53" s="21">
        <v>0</v>
      </c>
      <c r="M53" s="21">
        <v>0</v>
      </c>
      <c r="N53" s="21">
        <v>26.120899999999999</v>
      </c>
      <c r="O53" s="21">
        <f>SUM(tabCustoUnit[[#This Row],[Salário Base]:[Adicional de Acúmulo de função]])</f>
        <v>824.26089999999999</v>
      </c>
      <c r="P53" s="21">
        <f>tabCustoUnit[[#This Row],[MODULO 1 - REMUNERAÇÃO ]]*SUMIFS(tabParametros[INSS],tabParametros[Código do Posto],tabCustoUnit[[#This Row],[Código do Posto]])</f>
        <v>164.85218</v>
      </c>
      <c r="Q53" s="21">
        <f>tabCustoUnit[[#This Row],[MODULO 1 - REMUNERAÇÃO ]]*SUMIFS(tabParametros[SESI OU SESC],tabParametros[Código do Posto],tabCustoUnit[[#This Row],[Código do Posto]])</f>
        <v>12.363913499999999</v>
      </c>
      <c r="R53" s="21">
        <f>tabCustoUnit[[#This Row],[MODULO 1 - REMUNERAÇÃO ]]*SUMIFS(tabParametros[SENAI OU SENAC],tabParametros[Código do Posto],tabCustoUnit[[#This Row],[Código do Posto]])</f>
        <v>8.2426089999999999</v>
      </c>
      <c r="S53" s="21">
        <f>tabCustoUnit[[#This Row],[MODULO 1 - REMUNERAÇÃO ]]*SUMIFS(tabParametros[INCRA],tabParametros[Código do Posto],tabCustoUnit[[#This Row],[Código do Posto]])</f>
        <v>1.6485217999999999</v>
      </c>
      <c r="T53" s="21">
        <f>tabCustoUnit[[#This Row],[MODULO 1 - REMUNERAÇÃO ]]*SUMIFS(tabParametros[Salário Educação],tabParametros[Código do Posto],tabCustoUnit[[#This Row],[Código do Posto]])</f>
        <v>20.606522500000001</v>
      </c>
      <c r="U53" s="21">
        <f>tabCustoUnit[[#This Row],[MODULO 1 - REMUNERAÇÃO ]]*SUMIFS(tabParametros[FGTS],tabParametros[Código do Posto],tabCustoUnit[[#This Row],[Código do Posto]])</f>
        <v>65.940871999999999</v>
      </c>
      <c r="V53" s="21">
        <f>tabCustoUnit[[#This Row],[MODULO 1 - REMUNERAÇÃO ]]*SUMIFS(tabParametros[RAT Ajustado],tabParametros[Código do Posto],tabCustoUnit[[#This Row],[Código do Posto]])</f>
        <v>32.970435999999999</v>
      </c>
      <c r="W53" s="21">
        <f>tabCustoUnit[[#This Row],[MODULO 1 - REMUNERAÇÃO ]]*SUMIFS(tabParametros[SEBRAE],tabParametros[Código do Posto],tabCustoUnit[[#This Row],[Código do Posto]])</f>
        <v>4.9455654000000004</v>
      </c>
      <c r="X53" s="21">
        <f>SUM(tabCustoUnit[[#This Row],[INSS]:[SEBRAE]])</f>
        <v>311.57062020000001</v>
      </c>
      <c r="Y53" s="21">
        <f>tabCustoUnit[[#This Row],[MODULO 1 - REMUNERAÇÃO ]]*SUMIFS(tabParametros[13º salário (titular)],tabParametros[Código do Posto],tabCustoUnit[[#This Row],[Código do Posto]])</f>
        <v>68.688408333333328</v>
      </c>
      <c r="Z53" s="21">
        <f>tabCustoUnit[[#This Row],[MODULO 1 - REMUNERAÇÃO ]]*SUMIFS(tabParametros[Férias e Adicional de Férias (titular)],tabParametros[Código do Posto],tabCustoUnit[[#This Row],[Código do Posto]])</f>
        <v>91.584544444444433</v>
      </c>
      <c r="AA53" s="21">
        <f>IFERROR((tabCustoUnit[[#This Row],[Submódulo 2.1]]/tabCustoUnit[[#This Row],[MODULO 1 - REMUNERAÇÃO ]])*SUM(tabCustoUnit[[#This Row],[13º salário (titular)]:[Férias e Adicional de Férias (titular)]]),0)</f>
        <v>60.583176149999993</v>
      </c>
      <c r="AB53" s="21">
        <f>SUM(tabCustoUnit[[#This Row],[13º salário (titular)]:[Incidência do Submódulo 2.1 sobre 13º Salário, Férias e Adicional de Férias]])</f>
        <v>220.85612892777775</v>
      </c>
      <c r="AC53" s="22">
        <f>_xlfn.LET(_xlpm.VT,SUMIF(tabParametros[Código do Posto],tabCustoUnit[[#This Row],[Código do Posto]],tabParametros[Vale - Transporte])*2*20,
IF((_xlpm.VT-tabCustoUnit[[#This Row],[Salário Base]]*0.06)&gt;=0,(_xlpm.VT-tabCustoUnit[[#This Row],[Salário Base]]*0.06),0)
)</f>
        <v>208.11160000000001</v>
      </c>
      <c r="AD53" s="22">
        <f>IF(SUMIF(tabParametros[Código do Posto],tabCustoUnit[[#This Row],[Código do Posto]],tabParametros[Vale - Alimentação])&lt;=0,0,
SUMIF(tabParametros[Código do Posto],tabCustoUnit[[#This Row],[Código do Posto]],tabParametros[Vale - Alimentação])*20-1)</f>
        <v>582</v>
      </c>
      <c r="AE53" s="22">
        <f>SUMIF(tabParametros[Código do Posto],tabCustoUnit[[#This Row],[Código do Posto]],tabParametros[Cesta Básica])</f>
        <v>0</v>
      </c>
      <c r="AF53" s="22">
        <f>SUMIF(tabParametros[Código do Posto],tabCustoUnit[[#This Row],[Código do Posto]],tabParametros[PAF])</f>
        <v>0</v>
      </c>
      <c r="AG53" s="22">
        <f>SUMIF(tabParametros[Código do Posto],tabCustoUnit[[#This Row],[Código do Posto]],tabParametros[PQM])</f>
        <v>0</v>
      </c>
      <c r="AH53" s="22">
        <f>SUMIF(tabParametros[Código do Posto],tabCustoUnit[[#This Row],[Código do Posto]],tabParametros[PAT])</f>
        <v>0</v>
      </c>
      <c r="AI53" s="22">
        <f>SUMIF(tabParametros[Código do Posto],tabCustoUnit[[#This Row],[Código do Posto]],tabParametros[Seguro de Vida])</f>
        <v>3.36</v>
      </c>
      <c r="AJ53" s="22">
        <f>SUMIF(tabParametros[Código do Posto],tabCustoUnit[[#This Row],[Código do Posto]],tabParametros[Despesas de Viagem])</f>
        <v>0</v>
      </c>
      <c r="AK53" s="22">
        <f>SUM(tabCustoUnit[[#This Row],[Vale - Transporte (Descontada parcela do empregado)]:[Despesas de Viagem]])</f>
        <v>793.47159999999997</v>
      </c>
      <c r="AL53" s="22">
        <f>tabCustoUnit[[#This Row],[Submódulo 2.1]]+tabCustoUnit[[#This Row],[Submódulo 2.2]]+tabCustoUnit[[#This Row],[Submódulo 2.3]]</f>
        <v>1325.8983491277777</v>
      </c>
      <c r="AM53" s="22">
        <f>SUMIF(tabParametros[Código do Posto],tabCustoUnit[[#This Row],[Código do Posto]],tabParametros[Aviso Prévio Indenizado (API) e Reflexo do Aviso Prévio Indenizado])*tabCustoUnit[[#This Row],[MODULO 1 - REMUNERAÇÃO ]]</f>
        <v>5.7795253576581791</v>
      </c>
      <c r="AN53" s="22">
        <f>SUMIF(tabParametros[Código do Posto],tabCustoUnit[[#This Row],[Código do Posto]],tabParametros[Incidência do FGTS sobre API e Reflexo do API])*tabCustoUnit[[#This Row],[MODULO 1 - REMUNERAÇÃO ]]</f>
        <v>0.46236202861265435</v>
      </c>
      <c r="AO53" s="22">
        <f>SUMIF(tabParametros[Código do Posto],tabCustoUnit[[#This Row],[Código do Posto]],tabParametros[Multa Rescisória do FGTS sobre o Aviso Prévio Indenizado])*tabCustoUnit[[#This Row],[MODULO 1 - REMUNERAÇÃO ]]</f>
        <v>0.18494481144506175</v>
      </c>
      <c r="AP53" s="22">
        <f>SUMIF(tabParametros[Código do Posto],tabCustoUnit[[#This Row],[Código do Posto]],tabParametros[Aviso Prévio Trabalhado - APT])*tabCustoUnit[[#This Row],[MODULO 1 - REMUNERAÇÃO ]]</f>
        <v>2.8849131500000005</v>
      </c>
      <c r="AQ53" s="22">
        <f>SUMIF(tabParametros[Código do Posto],tabCustoUnit[[#This Row],[Código do Posto]],tabParametros[Incidência dos encargos do submódulo 2.1 sobre Aviso Prévio Trabalhado])*tabCustoUnit[[#This Row],[MODULO 1 - REMUNERAÇÃO ]]</f>
        <v>1.0904971707000004</v>
      </c>
      <c r="AR53" s="22">
        <f>SUMIF(tabParametros[Código do Posto],tabCustoUnit[[#This Row],[Código do Posto]],tabParametros[Multa Rescisória do FGTS])*tabCustoUnit[[#This Row],[MODULO 1 - REMUNERAÇÃO ]]</f>
        <v>25.204066631111107</v>
      </c>
      <c r="AS53" s="22">
        <f>SUMIF(tabParametros[Código do Posto],tabCustoUnit[[#This Row],[Código do Posto]],tabParametros[Indenização Adicional (Art. 9º da Lei nº 7.238/84)])*tabCustoUnit[[#This Row],[MODULO 1 - REMUNERAÇÃO ]]</f>
        <v>0.6868840833333334</v>
      </c>
      <c r="AT53" s="22">
        <f>SUM(tabCustoUnit[[#This Row],[Aviso Prévio Indenizado (API) e Reflexo do Aviso Prévio Indenizado]:[Indenização Adicional (Art. 9º da Lei nº 7.238/84)]])</f>
        <v>36.293193232860339</v>
      </c>
      <c r="AU53" s="22">
        <f>SUMIF(tabParametros[Código do Posto],tabCustoUnit[[#This Row],[Código do Posto]],tabParametros[Ausência por Doença])*tabCustoUnit[[#This Row],[MODULO 1 - REMUNERAÇÃO ]]</f>
        <v>6.9604253777777769</v>
      </c>
      <c r="AV53" s="22">
        <f>SUMIF(tabParametros[Código do Posto],tabCustoUnit[[#This Row],[Código do Posto]],tabParametros[Ausências Legais])*tabCustoUnit[[#This Row],[MODULO 1 - REMUNERAÇÃO ]]</f>
        <v>1.671417936111111</v>
      </c>
      <c r="AW53" s="22">
        <f>SUMIF(tabParametros[Código do Posto],tabCustoUnit[[#This Row],[Código do Posto]],tabParametros[Licença Paternidade])*tabCustoUnit[[#This Row],[MODULO 1 - REMUNERAÇÃO ]]</f>
        <v>0.14081123708333332</v>
      </c>
      <c r="AX53" s="22">
        <f>SUMIF(tabParametros[Código do Posto],tabCustoUnit[[#This Row],[Código do Posto]],tabParametros[Ausência por Acidente de Trabalho])*tabCustoUnit[[#This Row],[MODULO 1 - REMUNERAÇÃO ]]</f>
        <v>0.17172102083333335</v>
      </c>
      <c r="AY53" s="22">
        <f>SUMIF(tabParametros[Código do Posto],tabCustoUnit[[#This Row],[Código do Posto]],tabParametros[Férias, Adicional de Férias e 13º  com empregada em gozo de Licença Maternidade])*tabCustoUnit[[#This Row],[MODULO 1 - REMUNERAÇÃO ]]</f>
        <v>1.0684863518518517</v>
      </c>
      <c r="AZ53" s="22">
        <f>SUMIF(tabParametros[Código do Posto],tabCustoUnit[[#This Row],[Código do Posto]],tabParametros[Incidência do Submódulo 2.1 sobre Ausências Legais])*tabCustoUnit[[#This Row],[MODULO 1 - REMUNERAÇÃO ]]</f>
        <v>3.7848618071425006</v>
      </c>
      <c r="BA53" s="22">
        <f>SUM(tabCustoUnit[[#This Row],[Ausência por Doença]:[Incidência do Submódulo 2.1 sobre Ausências Legais]])</f>
        <v>13.797723730799909</v>
      </c>
      <c r="BB53" s="22">
        <f>SUMIF(tabParametros[Código do Posto],tabCustoUnit[[#This Row],[Código do Posto]],tabParametros[Intervalo para Repouso ou Alimentação])</f>
        <v>0</v>
      </c>
      <c r="BC53" s="22">
        <f>tabCustoUnit[[#This Row],[Intervalo para Repouso ou Alimentação]]</f>
        <v>0</v>
      </c>
      <c r="BD53" s="22">
        <f>IF(VLOOKUP(tabCustoUnit[[#This Row],[Código do Posto]],PARAMETROS!$A$4:$BJ$255,7,0)&lt;=0,0,
IFERROR((tabCustoUnit[[#This Row],[MODULO 1 - REMUNERAÇÃO ]]*VLOOKUP(tabCustoUnit[[#This Row],[Código do Posto]],PARAMETROS!$A$4:$BJ$255,49,0))/(VLOOKUP(tabCustoUnit[[#This Row],[Código do Posto]],PARAMETROS!$A$4:$BJ$255,7,0)*VLOOKUP(tabCustoUnit[[#This Row],[Código do Posto]],PARAMETROS!$A$4:$BJ$255,8,0)),0)
)</f>
        <v>0</v>
      </c>
      <c r="BE53" s="22">
        <f>tabCustoUnit[[#This Row],[Suspensão Temporária do Contrato de Trabalho]]</f>
        <v>0</v>
      </c>
      <c r="BF53" s="22">
        <f>tabCustoUnit[[#This Row],[Submódulo 4.1]]+tabCustoUnit[[#This Row],[Submódulo 4.2]]+tabCustoUnit[[#This Row],[Submódulo 4.3]]</f>
        <v>13.797723730799909</v>
      </c>
      <c r="BG53" s="22">
        <f>VLOOKUP(tabCustoUnit[[#This Row],[Código do Posto]],tabParametros[],MATCH(tabCustoUnit[[#Headers],[Uniformes e EPIs]],tabParametros[#Headers],0),0)</f>
        <v>62.806666666666665</v>
      </c>
      <c r="BH53" s="22">
        <f>VLOOKUP(tabCustoUnit[[#This Row],[Código do Posto]],tabParametros[],MATCH(tabCustoUnit[[#Headers],[Materiais de Consumo]],tabParametros[#Headers],0),0)</f>
        <v>17.759106479291944</v>
      </c>
      <c r="BI53" s="22">
        <f>VLOOKUP(tabCustoUnit[[#This Row],[Código do Posto]],tabParametros[],MATCH(tabCustoUnit[[#Headers],[Máquinas e Equipamentos (depreciação)]],tabParametros[#Headers],0),0)</f>
        <v>32.264696957412788</v>
      </c>
      <c r="BJ53" s="22">
        <f>VLOOKUP(tabCustoUnit[[#This Row],[Código do Posto]],tabParametros[],MATCH(tabCustoUnit[[#Headers],[Produtos de Limpeza e Materiais de Higiene Pessoal]],tabParametros[#Headers],0),0)</f>
        <v>345.13576638965827</v>
      </c>
      <c r="BK53" s="22">
        <f>VLOOKUP(tabCustoUnit[[#This Row],[Código do Posto]],tabParametros[],MATCH(tabCustoUnit[[#Headers],[Outros (especificar)]],tabParametros[#Headers],0),0)</f>
        <v>0</v>
      </c>
      <c r="BL53" s="22">
        <f>SUM(tabCustoUnit[[#This Row],[Uniformes e EPIs]:[Outros (especificar)]])</f>
        <v>457.96623649302967</v>
      </c>
      <c r="BM53" s="22">
        <f>tabCustoUnit[[#This Row],[MODULO 1 - REMUNERAÇÃO ]]+tabCustoUnit[[#This Row],[MÓDULO 2 - Total Encargos e Benefícios mensais e diários]]+tabCustoUnit[[#This Row],[MÓDULO 3 – PROVISÃO PARA RESCISÃO]]+tabCustoUnit[[#This Row],[MÓDULO 4 – CUSTO DE REPOSIÇÃO DO PROFISSIONAL AUSENTE]]+tabCustoUnit[[#This Row],[MÓDULO 5 – INSUMOS DIVERSOS]]</f>
        <v>2658.2164025844677</v>
      </c>
      <c r="BN53" s="22">
        <f>VLOOKUP(tabCustoUnit[[#This Row],[Código do Posto]],tabParametros[],MATCH(tabCustoUnit[[#Headers],[Custos Indiretos]],tabParametros[#Headers],0),0)</f>
        <v>189.64880140242613</v>
      </c>
      <c r="BO53" s="22">
        <f>VLOOKUP(tabCustoUnit[[#This Row],[Código do Posto]],tabParametros[],MATCH(tabCustoUnit[[#Headers],[Lucro]],tabParametros[#Headers],0),0)</f>
        <v>159.30499317803796</v>
      </c>
      <c r="BP53" s="26">
        <f>((100/((1-tabCustoUnit[[#This Row],[Resumo de Alíquotas (PIS+CONFINS+ISS)]]))-100)*VLOOKUP(tabCustoUnit[[#This Row],[Código do Posto]],tabParametros[],MATCH(tabCustoUnit[[#Headers],[COFINS]],tabParametros[#Headers],0),0))/(tabCustoUnit[[#This Row],[Resumo de Alíquotas (PIS+CONFINS+ISS)]]*100)</f>
        <v>8.6609686609686695E-2</v>
      </c>
      <c r="BQ53" s="26">
        <f>((100/((100-(tabCustoUnit[[#This Row],[Resumo de Alíquotas (PIS+CONFINS+ISS)]]*100))%)-100)*VLOOKUP(tabCustoUnit[[#This Row],[Código do Posto]],tabParametros[],MATCH(tabCustoUnit[[#Headers],[PIS]],tabParametros[#Headers],0),0))/(tabCustoUnit[[#This Row],[Resumo de Alíquotas (PIS+CONFINS+ISS)]]*100)</f>
        <v>1.880341880341882E-2</v>
      </c>
      <c r="BR53" s="28">
        <f>VLOOKUP(tabCustoUnit[[#This Row],[Código do Posto]],tabParametros[],MATCH(tabCustoUnit[[#Headers],[ISS]],tabParametros[#Headers],0),0)</f>
        <v>0.03</v>
      </c>
      <c r="BS53" s="26">
        <f>(((100/((100-(tabCustoUnit[[#This Row],[Resumo de Alíquotas (PIS+CONFINS+ISS)]]*100))%)-100)*tabCustoUnit[[#This Row],[ISS]])/tabCustoUnit[[#This Row],[Resumo de Alíquotas (PIS+CONFINS+ISS)]])/100</f>
        <v>3.4188034188034219E-2</v>
      </c>
      <c r="BT53" s="26">
        <f>(VLOOKUP(tabCustoUnit[[#This Row],[Código do Posto]],tabParametros[],MATCH(tabCustoUnit[[#Headers],[COFINS]],tabParametros[#Headers],0),0)+
VLOOKUP(tabCustoUnit[[#This Row],[Código do Posto]],tabParametros[],MATCH(tabCustoUnit[[#Headers],[PIS]],tabParametros[#Headers],0),0)+
VLOOKUP(tabCustoUnit[[#This Row],[Código do Posto]],tabParametros[],MATCH(tabCustoUnit[[#Headers],[ISS]],tabParametros[#Headers],0),0))</f>
        <v>0.1225</v>
      </c>
      <c r="BU53" s="138">
        <f>tabCustoUnit[[#This Row],[COFINS]]+tabCustoUnit[[#This Row],[PIS]]+tabCustoUnit[[#This Row],[ISS (Conversão Alíquota s/ fatura)]]</f>
        <v>0.13960113960113973</v>
      </c>
      <c r="BV53" s="22">
        <f>(tabCustoUnit[[#This Row],[TOTAL MÓDULOS 1+2+3+4+5]]+tabCustoUnit[[#This Row],[Custos Indiretos]]+tabCustoUnit[[#This Row],[Lucro]])*tabCustoUnit[[#This Row],[PIS + COFINS + ISS (Total Conversão  Alíquota s/ Fatura)]]</f>
        <v>419.80438649880853</v>
      </c>
      <c r="BW53" s="22">
        <f>tabCustoUnit[[#This Row],[Custos Indiretos]]+tabCustoUnit[[#This Row],[Lucro]]+tabCustoUnit[[#This Row],[Valor dos Tributos (ISS, PIS, CONFINS)]]</f>
        <v>768.75818107927262</v>
      </c>
      <c r="BX53" s="22">
        <f>tabCustoUnit[[#This Row],[TOTAL MÓDULOS 1+2+3+4+5]]+tabCustoUnit[[#This Row],[MÓDULO 6 – CUSTOS INDIRETOS, TRIBUTOS E LUCRO]]</f>
        <v>3426.9745836637403</v>
      </c>
      <c r="BY53" s="22">
        <f>tabCustoUnit[[#This Row],[CUSTO TOTAL MENSAL]]*12</f>
        <v>41123.69500396488</v>
      </c>
      <c r="BZ53" s="24">
        <f>VLOOKUP(tabCustoUnit[[#This Row],[Código do Posto]],tabParametros[],MATCH(tabCustoUnit[[#Headers],[ANO DA CCT]],tabParametros[#Headers],0),0)</f>
        <v>45658</v>
      </c>
      <c r="CA53" s="25" t="str">
        <f>VLOOKUP(tabCustoUnit[[#This Row],[Código do Posto]],tabParametros[],MATCH(tabCustoUnit[[#Headers],[Nº DE PEDIDO DA CCT]],tabParametros[#Headers],0),0)</f>
        <v>-</v>
      </c>
      <c r="CB53" s="25" t="str">
        <f>VLOOKUP(tabCustoUnit[[#This Row],[Código do Posto]],tabParametros[],MATCH(tabCustoUnit[[#Headers],[TERMO ADITIVO ALTERAÇÃO DA CCT]],tabParametros[#Headers],0),0)</f>
        <v>-</v>
      </c>
    </row>
    <row r="54" spans="1:80" x14ac:dyDescent="0.25">
      <c r="A54" s="20" t="s">
        <v>1394</v>
      </c>
      <c r="B54" t="s">
        <v>52</v>
      </c>
      <c r="C54" t="s">
        <v>1245</v>
      </c>
      <c r="D54" t="s">
        <v>1023</v>
      </c>
      <c r="E54" s="20" t="s">
        <v>9</v>
      </c>
      <c r="F54" s="20" t="s">
        <v>10</v>
      </c>
      <c r="G54" s="21">
        <v>1596.28</v>
      </c>
      <c r="H54" s="21">
        <v>0</v>
      </c>
      <c r="I54" s="21">
        <v>0</v>
      </c>
      <c r="J54" s="21">
        <v>0</v>
      </c>
      <c r="K54" s="21">
        <v>0</v>
      </c>
      <c r="L54" s="21">
        <v>0</v>
      </c>
      <c r="M54" s="21">
        <v>0</v>
      </c>
      <c r="N54" s="21">
        <v>52.241900000000001</v>
      </c>
      <c r="O54" s="21">
        <f>SUM(tabCustoUnit[[#This Row],[Salário Base]:[Adicional de Acúmulo de função]])</f>
        <v>1648.5219</v>
      </c>
      <c r="P54" s="21">
        <f>tabCustoUnit[[#This Row],[MODULO 1 - REMUNERAÇÃO ]]*SUMIFS(tabParametros[INSS],tabParametros[Código do Posto],tabCustoUnit[[#This Row],[Código do Posto]])</f>
        <v>329.70438000000001</v>
      </c>
      <c r="Q54" s="21">
        <f>tabCustoUnit[[#This Row],[MODULO 1 - REMUNERAÇÃO ]]*SUMIFS(tabParametros[SESI OU SESC],tabParametros[Código do Posto],tabCustoUnit[[#This Row],[Código do Posto]])</f>
        <v>24.727828499999998</v>
      </c>
      <c r="R54" s="21">
        <f>tabCustoUnit[[#This Row],[MODULO 1 - REMUNERAÇÃO ]]*SUMIFS(tabParametros[SENAI OU SENAC],tabParametros[Código do Posto],tabCustoUnit[[#This Row],[Código do Posto]])</f>
        <v>16.485219000000001</v>
      </c>
      <c r="S54" s="21">
        <f>tabCustoUnit[[#This Row],[MODULO 1 - REMUNERAÇÃO ]]*SUMIFS(tabParametros[INCRA],tabParametros[Código do Posto],tabCustoUnit[[#This Row],[Código do Posto]])</f>
        <v>3.2970438</v>
      </c>
      <c r="T54" s="21">
        <f>tabCustoUnit[[#This Row],[MODULO 1 - REMUNERAÇÃO ]]*SUMIFS(tabParametros[Salário Educação],tabParametros[Código do Posto],tabCustoUnit[[#This Row],[Código do Posto]])</f>
        <v>41.213047500000002</v>
      </c>
      <c r="U54" s="21">
        <f>tabCustoUnit[[#This Row],[MODULO 1 - REMUNERAÇÃO ]]*SUMIFS(tabParametros[FGTS],tabParametros[Código do Posto],tabCustoUnit[[#This Row],[Código do Posto]])</f>
        <v>131.88175200000001</v>
      </c>
      <c r="V54" s="21">
        <f>tabCustoUnit[[#This Row],[MODULO 1 - REMUNERAÇÃO ]]*SUMIFS(tabParametros[RAT Ajustado],tabParametros[Código do Posto],tabCustoUnit[[#This Row],[Código do Posto]])</f>
        <v>65.940876000000003</v>
      </c>
      <c r="W54" s="21">
        <f>tabCustoUnit[[#This Row],[MODULO 1 - REMUNERAÇÃO ]]*SUMIFS(tabParametros[SEBRAE],tabParametros[Código do Posto],tabCustoUnit[[#This Row],[Código do Posto]])</f>
        <v>9.8911314000000008</v>
      </c>
      <c r="X54" s="21">
        <f>SUM(tabCustoUnit[[#This Row],[INSS]:[SEBRAE]])</f>
        <v>623.14127819999999</v>
      </c>
      <c r="Y54" s="21">
        <f>tabCustoUnit[[#This Row],[MODULO 1 - REMUNERAÇÃO ]]*SUMIFS(tabParametros[13º salário (titular)],tabParametros[Código do Posto],tabCustoUnit[[#This Row],[Código do Posto]])</f>
        <v>137.376825</v>
      </c>
      <c r="Z54" s="21">
        <f>tabCustoUnit[[#This Row],[MODULO 1 - REMUNERAÇÃO ]]*SUMIFS(tabParametros[Férias e Adicional de Férias (titular)],tabParametros[Código do Posto],tabCustoUnit[[#This Row],[Código do Posto]])</f>
        <v>183.16909999999999</v>
      </c>
      <c r="AA54" s="21">
        <f>IFERROR((tabCustoUnit[[#This Row],[Submódulo 2.1]]/tabCustoUnit[[#This Row],[MODULO 1 - REMUNERAÇÃO ]])*SUM(tabCustoUnit[[#This Row],[13º salário (titular)]:[Férias e Adicional de Férias (titular)]]),0)</f>
        <v>121.16635965</v>
      </c>
      <c r="AB54" s="21">
        <f>SUM(tabCustoUnit[[#This Row],[13º salário (titular)]:[Incidência do Submódulo 2.1 sobre 13º Salário, Férias e Adicional de Férias]])</f>
        <v>441.71228465000002</v>
      </c>
      <c r="AC54" s="22">
        <f>_xlfn.LET(_xlpm.VT,SUMIF(tabParametros[Código do Posto],tabCustoUnit[[#This Row],[Código do Posto]],tabParametros[Vale - Transporte])*2*20,
IF((_xlpm.VT-tabCustoUnit[[#This Row],[Salário Base]]*0.06)&gt;=0,(_xlpm.VT-tabCustoUnit[[#This Row],[Salário Base]]*0.06),0)
)</f>
        <v>160.22320000000002</v>
      </c>
      <c r="AD54" s="22">
        <f>IF(SUMIF(tabParametros[Código do Posto],tabCustoUnit[[#This Row],[Código do Posto]],tabParametros[Vale - Alimentação])&lt;=0,0,
SUMIF(tabParametros[Código do Posto],tabCustoUnit[[#This Row],[Código do Posto]],tabParametros[Vale - Alimentação])*20-1)</f>
        <v>582</v>
      </c>
      <c r="AE54" s="22">
        <f>SUMIF(tabParametros[Código do Posto],tabCustoUnit[[#This Row],[Código do Posto]],tabParametros[Cesta Básica])</f>
        <v>0</v>
      </c>
      <c r="AF54" s="22">
        <f>SUMIF(tabParametros[Código do Posto],tabCustoUnit[[#This Row],[Código do Posto]],tabParametros[PAF])</f>
        <v>0</v>
      </c>
      <c r="AG54" s="22">
        <f>SUMIF(tabParametros[Código do Posto],tabCustoUnit[[#This Row],[Código do Posto]],tabParametros[PQM])</f>
        <v>0</v>
      </c>
      <c r="AH54" s="22">
        <f>SUMIF(tabParametros[Código do Posto],tabCustoUnit[[#This Row],[Código do Posto]],tabParametros[PAT])</f>
        <v>0</v>
      </c>
      <c r="AI54" s="22">
        <f>SUMIF(tabParametros[Código do Posto],tabCustoUnit[[#This Row],[Código do Posto]],tabParametros[Seguro de Vida])</f>
        <v>3.36</v>
      </c>
      <c r="AJ54" s="22">
        <f>SUMIF(tabParametros[Código do Posto],tabCustoUnit[[#This Row],[Código do Posto]],tabParametros[Despesas de Viagem])</f>
        <v>0</v>
      </c>
      <c r="AK54" s="22">
        <f>SUM(tabCustoUnit[[#This Row],[Vale - Transporte (Descontada parcela do empregado)]:[Despesas de Viagem]])</f>
        <v>745.58320000000003</v>
      </c>
      <c r="AL54" s="22">
        <f>tabCustoUnit[[#This Row],[Submódulo 2.1]]+tabCustoUnit[[#This Row],[Submódulo 2.2]]+tabCustoUnit[[#This Row],[Submódulo 2.3]]</f>
        <v>1810.4367628499999</v>
      </c>
      <c r="AM54" s="22">
        <f>SUMIF(tabParametros[Código do Posto],tabCustoUnit[[#This Row],[Código do Posto]],tabParametros[Aviso Prévio Indenizado (API) e Reflexo do Aviso Prévio Indenizado])*tabCustoUnit[[#This Row],[MODULO 1 - REMUNERAÇÃO ]]</f>
        <v>11.559051416493055</v>
      </c>
      <c r="AN54" s="22">
        <f>SUMIF(tabParametros[Código do Posto],tabCustoUnit[[#This Row],[Código do Posto]],tabParametros[Incidência do FGTS sobre API e Reflexo do API])*tabCustoUnit[[#This Row],[MODULO 1 - REMUNERAÇÃO ]]</f>
        <v>0.92472411331944449</v>
      </c>
      <c r="AO54" s="22">
        <f>SUMIF(tabParametros[Código do Posto],tabCustoUnit[[#This Row],[Código do Posto]],tabParametros[Multa Rescisória do FGTS sobre o Aviso Prévio Indenizado])*tabCustoUnit[[#This Row],[MODULO 1 - REMUNERAÇÃO ]]</f>
        <v>0.36988964532777785</v>
      </c>
      <c r="AP54" s="22">
        <f>SUMIF(tabParametros[Código do Posto],tabCustoUnit[[#This Row],[Código do Posto]],tabParametros[Aviso Prévio Trabalhado - APT])*tabCustoUnit[[#This Row],[MODULO 1 - REMUNERAÇÃO ]]</f>
        <v>5.7698266500000006</v>
      </c>
      <c r="AQ54" s="22">
        <f>SUMIF(tabParametros[Código do Posto],tabCustoUnit[[#This Row],[Código do Posto]],tabParametros[Incidência dos encargos do submódulo 2.1 sobre Aviso Prévio Trabalhado])*tabCustoUnit[[#This Row],[MODULO 1 - REMUNERAÇÃO ]]</f>
        <v>2.1809944737000007</v>
      </c>
      <c r="AR54" s="22">
        <f>SUMIF(tabParametros[Código do Posto],tabCustoUnit[[#This Row],[Código do Posto]],tabParametros[Multa Rescisória do FGTS])*tabCustoUnit[[#This Row],[MODULO 1 - REMUNERAÇÃO ]]</f>
        <v>50.40813631999999</v>
      </c>
      <c r="AS54" s="22">
        <f>SUMIF(tabParametros[Código do Posto],tabCustoUnit[[#This Row],[Código do Posto]],tabParametros[Indenização Adicional (Art. 9º da Lei nº 7.238/84)])*tabCustoUnit[[#This Row],[MODULO 1 - REMUNERAÇÃO ]]</f>
        <v>1.3737682500000001</v>
      </c>
      <c r="AT54" s="22">
        <f>SUM(tabCustoUnit[[#This Row],[Aviso Prévio Indenizado (API) e Reflexo do Aviso Prévio Indenizado]:[Indenização Adicional (Art. 9º da Lei nº 7.238/84)]])</f>
        <v>72.586390868840269</v>
      </c>
      <c r="AU54" s="22">
        <f>SUMIF(tabParametros[Código do Posto],tabCustoUnit[[#This Row],[Código do Posto]],tabParametros[Ausência por Doença])*tabCustoUnit[[#This Row],[MODULO 1 - REMUNERAÇÃO ]]</f>
        <v>13.920851599999999</v>
      </c>
      <c r="AV54" s="22">
        <f>SUMIF(tabParametros[Código do Posto],tabCustoUnit[[#This Row],[Código do Posto]],tabParametros[Ausências Legais])*tabCustoUnit[[#This Row],[MODULO 1 - REMUNERAÇÃO ]]</f>
        <v>3.3428360749999997</v>
      </c>
      <c r="AW54" s="22">
        <f>SUMIF(tabParametros[Código do Posto],tabCustoUnit[[#This Row],[Código do Posto]],tabParametros[Licença Paternidade])*tabCustoUnit[[#This Row],[MODULO 1 - REMUNERAÇÃO ]]</f>
        <v>0.28162249125</v>
      </c>
      <c r="AX54" s="22">
        <f>SUMIF(tabParametros[Código do Posto],tabCustoUnit[[#This Row],[Código do Posto]],tabParametros[Ausência por Acidente de Trabalho])*tabCustoUnit[[#This Row],[MODULO 1 - REMUNERAÇÃO ]]</f>
        <v>0.34344206250000003</v>
      </c>
      <c r="AY54" s="22">
        <f>SUMIF(tabParametros[Código do Posto],tabCustoUnit[[#This Row],[Código do Posto]],tabParametros[Férias, Adicional de Férias e 13º  com empregada em gozo de Licença Maternidade])*tabCustoUnit[[#This Row],[MODULO 1 - REMUNERAÇÃO ]]</f>
        <v>2.1369728333333331</v>
      </c>
      <c r="AZ54" s="22">
        <f>SUMIF(tabParametros[Código do Posto],tabCustoUnit[[#This Row],[Código do Posto]],tabParametros[Incidência do Submódulo 2.1 sobre Ausências Legais])*tabCustoUnit[[#This Row],[MODULO 1 - REMUNERAÇÃO ]]</f>
        <v>7.5697240734675013</v>
      </c>
      <c r="BA54" s="22">
        <f>SUM(tabCustoUnit[[#This Row],[Ausência por Doença]:[Incidência do Submódulo 2.1 sobre Ausências Legais]])</f>
        <v>27.595449135550833</v>
      </c>
      <c r="BB54" s="22">
        <f>SUMIF(tabParametros[Código do Posto],tabCustoUnit[[#This Row],[Código do Posto]],tabParametros[Intervalo para Repouso ou Alimentação])</f>
        <v>0</v>
      </c>
      <c r="BC54" s="22">
        <f>tabCustoUnit[[#This Row],[Intervalo para Repouso ou Alimentação]]</f>
        <v>0</v>
      </c>
      <c r="BD54" s="22">
        <f>IF(VLOOKUP(tabCustoUnit[[#This Row],[Código do Posto]],PARAMETROS!$A$4:$BJ$255,7,0)&lt;=0,0,
IFERROR((tabCustoUnit[[#This Row],[MODULO 1 - REMUNERAÇÃO ]]*VLOOKUP(tabCustoUnit[[#This Row],[Código do Posto]],PARAMETROS!$A$4:$BJ$255,49,0))/(VLOOKUP(tabCustoUnit[[#This Row],[Código do Posto]],PARAMETROS!$A$4:$BJ$255,7,0)*VLOOKUP(tabCustoUnit[[#This Row],[Código do Posto]],PARAMETROS!$A$4:$BJ$255,8,0)),0)
)</f>
        <v>0</v>
      </c>
      <c r="BE54" s="22">
        <f>tabCustoUnit[[#This Row],[Suspensão Temporária do Contrato de Trabalho]]</f>
        <v>0</v>
      </c>
      <c r="BF54" s="22">
        <f>tabCustoUnit[[#This Row],[Submódulo 4.1]]+tabCustoUnit[[#This Row],[Submódulo 4.2]]+tabCustoUnit[[#This Row],[Submódulo 4.3]]</f>
        <v>27.595449135550833</v>
      </c>
      <c r="BG54" s="22">
        <f>VLOOKUP(tabCustoUnit[[#This Row],[Código do Posto]],tabParametros[],MATCH(tabCustoUnit[[#Headers],[Uniformes e EPIs]],tabParametros[#Headers],0),0)</f>
        <v>100.80916666666666</v>
      </c>
      <c r="BH54" s="22">
        <f>VLOOKUP(tabCustoUnit[[#This Row],[Código do Posto]],tabParametros[],MATCH(tabCustoUnit[[#Headers],[Materiais de Consumo]],tabParametros[#Headers],0),0)</f>
        <v>35.518212958583888</v>
      </c>
      <c r="BI54" s="22">
        <f>VLOOKUP(tabCustoUnit[[#This Row],[Código do Posto]],tabParametros[],MATCH(tabCustoUnit[[#Headers],[Máquinas e Equipamentos (depreciação)]],tabParametros[#Headers],0),0)</f>
        <v>64.529393914825576</v>
      </c>
      <c r="BJ54" s="22">
        <f>VLOOKUP(tabCustoUnit[[#This Row],[Código do Posto]],tabParametros[],MATCH(tabCustoUnit[[#Headers],[Produtos de Limpeza e Materiais de Higiene Pessoal]],tabParametros[#Headers],0),0)</f>
        <v>690.27153277931654</v>
      </c>
      <c r="BK54" s="22">
        <f>VLOOKUP(tabCustoUnit[[#This Row],[Código do Posto]],tabParametros[],MATCH(tabCustoUnit[[#Headers],[Outros (especificar)]],tabParametros[#Headers],0),0)</f>
        <v>0</v>
      </c>
      <c r="BL54" s="22">
        <f>SUM(tabCustoUnit[[#This Row],[Uniformes e EPIs]:[Outros (especificar)]])</f>
        <v>891.12830631939266</v>
      </c>
      <c r="BM54" s="22">
        <f>tabCustoUnit[[#This Row],[MODULO 1 - REMUNERAÇÃO ]]+tabCustoUnit[[#This Row],[MÓDULO 2 - Total Encargos e Benefícios mensais e diários]]+tabCustoUnit[[#This Row],[MÓDULO 3 – PROVISÃO PARA RESCISÃO]]+tabCustoUnit[[#This Row],[MÓDULO 4 – CUSTO DE REPOSIÇÃO DO PROFISSIONAL AUSENTE]]+tabCustoUnit[[#This Row],[MÓDULO 5 – INSUMOS DIVERSOS]]</f>
        <v>4450.2688091737837</v>
      </c>
      <c r="BN54" s="22">
        <f>VLOOKUP(tabCustoUnit[[#This Row],[Código do Posto]],tabParametros[],MATCH(tabCustoUnit[[#Headers],[Custos Indiretos]],tabParametros[#Headers],0),0)</f>
        <v>189.64880140242613</v>
      </c>
      <c r="BO54" s="22">
        <f>VLOOKUP(tabCustoUnit[[#This Row],[Código do Posto]],tabParametros[],MATCH(tabCustoUnit[[#Headers],[Lucro]],tabParametros[#Headers],0),0)</f>
        <v>159.30499317803796</v>
      </c>
      <c r="BP54" s="26">
        <f>((100/((1-tabCustoUnit[[#This Row],[Resumo de Alíquotas (PIS+CONFINS+ISS)]]))-100)*VLOOKUP(tabCustoUnit[[#This Row],[Código do Posto]],tabParametros[],MATCH(tabCustoUnit[[#Headers],[COFINS]],tabParametros[#Headers],0),0))/(tabCustoUnit[[#This Row],[Resumo de Alíquotas (PIS+CONFINS+ISS)]]*100)</f>
        <v>8.6609686609686695E-2</v>
      </c>
      <c r="BQ54" s="26">
        <f>((100/((100-(tabCustoUnit[[#This Row],[Resumo de Alíquotas (PIS+CONFINS+ISS)]]*100))%)-100)*VLOOKUP(tabCustoUnit[[#This Row],[Código do Posto]],tabParametros[],MATCH(tabCustoUnit[[#Headers],[PIS]],tabParametros[#Headers],0),0))/(tabCustoUnit[[#This Row],[Resumo de Alíquotas (PIS+CONFINS+ISS)]]*100)</f>
        <v>1.880341880341882E-2</v>
      </c>
      <c r="BR54" s="28">
        <f>VLOOKUP(tabCustoUnit[[#This Row],[Código do Posto]],tabParametros[],MATCH(tabCustoUnit[[#Headers],[ISS]],tabParametros[#Headers],0),0)</f>
        <v>0.03</v>
      </c>
      <c r="BS54" s="26">
        <f>(((100/((100-(tabCustoUnit[[#This Row],[Resumo de Alíquotas (PIS+CONFINS+ISS)]]*100))%)-100)*tabCustoUnit[[#This Row],[ISS]])/tabCustoUnit[[#This Row],[Resumo de Alíquotas (PIS+CONFINS+ISS)]])/100</f>
        <v>3.4188034188034219E-2</v>
      </c>
      <c r="BT54" s="26">
        <f>(VLOOKUP(tabCustoUnit[[#This Row],[Código do Posto]],tabParametros[],MATCH(tabCustoUnit[[#Headers],[COFINS]],tabParametros[#Headers],0),0)+
VLOOKUP(tabCustoUnit[[#This Row],[Código do Posto]],tabParametros[],MATCH(tabCustoUnit[[#Headers],[PIS]],tabParametros[#Headers],0),0)+
VLOOKUP(tabCustoUnit[[#This Row],[Código do Posto]],tabParametros[],MATCH(tabCustoUnit[[#Headers],[ISS]],tabParametros[#Headers],0),0))</f>
        <v>0.1225</v>
      </c>
      <c r="BU54" s="138">
        <f>tabCustoUnit[[#This Row],[COFINS]]+tabCustoUnit[[#This Row],[PIS]]+tabCustoUnit[[#This Row],[ISS (Conversão Alíquota s/ fatura)]]</f>
        <v>0.13960113960113973</v>
      </c>
      <c r="BV54" s="22">
        <f>(tabCustoUnit[[#This Row],[TOTAL MÓDULOS 1+2+3+4+5]]+tabCustoUnit[[#This Row],[Custos Indiretos]]+tabCustoUnit[[#This Row],[Lucro]])*tabCustoUnit[[#This Row],[PIS + COFINS + ISS (Total Conversão  Alíquota s/ Fatura)]]</f>
        <v>669.97694468364205</v>
      </c>
      <c r="BW54" s="22">
        <f>tabCustoUnit[[#This Row],[Custos Indiretos]]+tabCustoUnit[[#This Row],[Lucro]]+tabCustoUnit[[#This Row],[Valor dos Tributos (ISS, PIS, CONFINS)]]</f>
        <v>1018.9307392641061</v>
      </c>
      <c r="BX54" s="22">
        <f>tabCustoUnit[[#This Row],[TOTAL MÓDULOS 1+2+3+4+5]]+tabCustoUnit[[#This Row],[MÓDULO 6 – CUSTOS INDIRETOS, TRIBUTOS E LUCRO]]</f>
        <v>5469.1995484378895</v>
      </c>
      <c r="BY54" s="22">
        <f>tabCustoUnit[[#This Row],[CUSTO TOTAL MENSAL]]*12</f>
        <v>65630.394581254674</v>
      </c>
      <c r="BZ54" s="24">
        <f>VLOOKUP(tabCustoUnit[[#This Row],[Código do Posto]],tabParametros[],MATCH(tabCustoUnit[[#Headers],[ANO DA CCT]],tabParametros[#Headers],0),0)</f>
        <v>45658</v>
      </c>
      <c r="CA54" s="25" t="str">
        <f>VLOOKUP(tabCustoUnit[[#This Row],[Código do Posto]],tabParametros[],MATCH(tabCustoUnit[[#Headers],[Nº DE PEDIDO DA CCT]],tabParametros[#Headers],0),0)</f>
        <v>-</v>
      </c>
      <c r="CB54" s="25" t="str">
        <f>VLOOKUP(tabCustoUnit[[#This Row],[Código do Posto]],tabParametros[],MATCH(tabCustoUnit[[#Headers],[TERMO ADITIVO ALTERAÇÃO DA CCT]],tabParametros[#Headers],0),0)</f>
        <v>-</v>
      </c>
    </row>
    <row r="55" spans="1:80" x14ac:dyDescent="0.25">
      <c r="A55" s="20" t="s">
        <v>1395</v>
      </c>
      <c r="B55" t="s">
        <v>53</v>
      </c>
      <c r="C55" t="s">
        <v>1247</v>
      </c>
      <c r="D55" t="s">
        <v>992</v>
      </c>
      <c r="E55" s="20" t="s">
        <v>9</v>
      </c>
      <c r="F55" s="20" t="s">
        <v>10</v>
      </c>
      <c r="G55" s="21">
        <v>544.17999999999995</v>
      </c>
      <c r="H55" s="21">
        <v>0</v>
      </c>
      <c r="I55" s="21">
        <v>0</v>
      </c>
      <c r="J55" s="21">
        <v>0</v>
      </c>
      <c r="K55" s="21">
        <v>0</v>
      </c>
      <c r="L55" s="21">
        <v>0</v>
      </c>
      <c r="M55" s="21">
        <v>0</v>
      </c>
      <c r="N55" s="21">
        <v>19.590499999999999</v>
      </c>
      <c r="O55" s="21">
        <f>SUM(tabCustoUnit[[#This Row],[Salário Base]:[Adicional de Acúmulo de função]])</f>
        <v>563.77049999999997</v>
      </c>
      <c r="P55" s="21">
        <f>tabCustoUnit[[#This Row],[MODULO 1 - REMUNERAÇÃO ]]*SUMIFS(tabParametros[INSS],tabParametros[Código do Posto],tabCustoUnit[[#This Row],[Código do Posto]])</f>
        <v>112.75409999999999</v>
      </c>
      <c r="Q55" s="21">
        <f>tabCustoUnit[[#This Row],[MODULO 1 - REMUNERAÇÃO ]]*SUMIFS(tabParametros[SESI OU SESC],tabParametros[Código do Posto],tabCustoUnit[[#This Row],[Código do Posto]])</f>
        <v>8.4565574999999988</v>
      </c>
      <c r="R55" s="21">
        <f>tabCustoUnit[[#This Row],[MODULO 1 - REMUNERAÇÃO ]]*SUMIFS(tabParametros[SENAI OU SENAC],tabParametros[Código do Posto],tabCustoUnit[[#This Row],[Código do Posto]])</f>
        <v>5.6377049999999995</v>
      </c>
      <c r="S55" s="21">
        <f>tabCustoUnit[[#This Row],[MODULO 1 - REMUNERAÇÃO ]]*SUMIFS(tabParametros[INCRA],tabParametros[Código do Posto],tabCustoUnit[[#This Row],[Código do Posto]])</f>
        <v>1.1275409999999999</v>
      </c>
      <c r="T55" s="21">
        <f>tabCustoUnit[[#This Row],[MODULO 1 - REMUNERAÇÃO ]]*SUMIFS(tabParametros[Salário Educação],tabParametros[Código do Posto],tabCustoUnit[[#This Row],[Código do Posto]])</f>
        <v>14.094262499999999</v>
      </c>
      <c r="U55" s="21">
        <f>tabCustoUnit[[#This Row],[MODULO 1 - REMUNERAÇÃO ]]*SUMIFS(tabParametros[FGTS],tabParametros[Código do Posto],tabCustoUnit[[#This Row],[Código do Posto]])</f>
        <v>45.101639999999996</v>
      </c>
      <c r="V55" s="21">
        <f>tabCustoUnit[[#This Row],[MODULO 1 - REMUNERAÇÃO ]]*SUMIFS(tabParametros[RAT Ajustado],tabParametros[Código do Posto],tabCustoUnit[[#This Row],[Código do Posto]])</f>
        <v>22.550819999999998</v>
      </c>
      <c r="W55" s="21">
        <f>tabCustoUnit[[#This Row],[MODULO 1 - REMUNERAÇÃO ]]*SUMIFS(tabParametros[SEBRAE],tabParametros[Código do Posto],tabCustoUnit[[#This Row],[Código do Posto]])</f>
        <v>3.3826229999999997</v>
      </c>
      <c r="X55" s="21">
        <f>SUM(tabCustoUnit[[#This Row],[INSS]:[SEBRAE]])</f>
        <v>213.10524899999996</v>
      </c>
      <c r="Y55" s="21">
        <f>tabCustoUnit[[#This Row],[MODULO 1 - REMUNERAÇÃO ]]*SUMIFS(tabParametros[13º salário (titular)],tabParametros[Código do Posto],tabCustoUnit[[#This Row],[Código do Posto]])</f>
        <v>46.980874999999997</v>
      </c>
      <c r="Z55" s="21">
        <f>tabCustoUnit[[#This Row],[MODULO 1 - REMUNERAÇÃO ]]*SUMIFS(tabParametros[Férias e Adicional de Férias (titular)],tabParametros[Código do Posto],tabCustoUnit[[#This Row],[Código do Posto]])</f>
        <v>62.641166666666663</v>
      </c>
      <c r="AA55" s="21">
        <f>IFERROR((tabCustoUnit[[#This Row],[Submódulo 2.1]]/tabCustoUnit[[#This Row],[MODULO 1 - REMUNERAÇÃO ]])*SUM(tabCustoUnit[[#This Row],[13º salário (titular)]:[Férias e Adicional de Férias (titular)]]),0)</f>
        <v>41.437131749999992</v>
      </c>
      <c r="AB55" s="21">
        <f>SUM(tabCustoUnit[[#This Row],[13º salário (titular)]:[Incidência do Submódulo 2.1 sobre 13º Salário, Férias e Adicional de Férias]])</f>
        <v>151.05917341666665</v>
      </c>
      <c r="AC55" s="22">
        <f>_xlfn.LET(_xlpm.VT,SUMIF(tabParametros[Código do Posto],tabCustoUnit[[#This Row],[Código do Posto]],tabParametros[Vale - Transporte])*2*20,
IF((_xlpm.VT-tabCustoUnit[[#This Row],[Salário Base]]*0.06)&gt;=0,(_xlpm.VT-tabCustoUnit[[#This Row],[Salário Base]]*0.06),0)
)</f>
        <v>223.3492</v>
      </c>
      <c r="AD55" s="22">
        <f>IF(SUMIF(tabParametros[Código do Posto],tabCustoUnit[[#This Row],[Código do Posto]],tabParametros[Vale - Alimentação])&lt;=0,0,
SUMIF(tabParametros[Código do Posto],tabCustoUnit[[#This Row],[Código do Posto]],tabParametros[Vale - Alimentação])*20-1)</f>
        <v>0</v>
      </c>
      <c r="AE55" s="22">
        <f>SUMIF(tabParametros[Código do Posto],tabCustoUnit[[#This Row],[Código do Posto]],tabParametros[Cesta Básica])</f>
        <v>387.79</v>
      </c>
      <c r="AF55" s="22">
        <f>SUMIF(tabParametros[Código do Posto],tabCustoUnit[[#This Row],[Código do Posto]],tabParametros[PAF])</f>
        <v>42.97</v>
      </c>
      <c r="AG55" s="22">
        <f>SUMIF(tabParametros[Código do Posto],tabCustoUnit[[#This Row],[Código do Posto]],tabParametros[PQM])</f>
        <v>0</v>
      </c>
      <c r="AH55" s="22">
        <f>SUMIF(tabParametros[Código do Posto],tabCustoUnit[[#This Row],[Código do Posto]],tabParametros[PAT])</f>
        <v>0</v>
      </c>
      <c r="AI55" s="22">
        <f>SUMIF(tabParametros[Código do Posto],tabCustoUnit[[#This Row],[Código do Posto]],tabParametros[Seguro de Vida])</f>
        <v>3.36</v>
      </c>
      <c r="AJ55" s="22">
        <f>SUMIF(tabParametros[Código do Posto],tabCustoUnit[[#This Row],[Código do Posto]],tabParametros[Despesas de Viagem])</f>
        <v>0</v>
      </c>
      <c r="AK55" s="22">
        <f>SUM(tabCustoUnit[[#This Row],[Vale - Transporte (Descontada parcela do empregado)]:[Despesas de Viagem]])</f>
        <v>657.46920000000011</v>
      </c>
      <c r="AL55" s="22">
        <f>tabCustoUnit[[#This Row],[Submódulo 2.1]]+tabCustoUnit[[#This Row],[Submódulo 2.2]]+tabCustoUnit[[#This Row],[Submódulo 2.3]]</f>
        <v>1021.6336224166668</v>
      </c>
      <c r="AM55" s="22">
        <f>SUMIF(tabParametros[Código do Posto],tabCustoUnit[[#This Row],[Código do Posto]],tabParametros[Aviso Prévio Indenizado (API) e Reflexo do Aviso Prévio Indenizado])*tabCustoUnit[[#This Row],[MODULO 1 - REMUNERAÇÃO ]]</f>
        <v>3.9530273735532404</v>
      </c>
      <c r="AN55" s="22">
        <f>SUMIF(tabParametros[Código do Posto],tabCustoUnit[[#This Row],[Código do Posto]],tabParametros[Incidência do FGTS sobre API e Reflexo do API])*tabCustoUnit[[#This Row],[MODULO 1 - REMUNERAÇÃO ]]</f>
        <v>0.31624218988425928</v>
      </c>
      <c r="AO55" s="22">
        <f>SUMIF(tabParametros[Código do Posto],tabCustoUnit[[#This Row],[Código do Posto]],tabParametros[Multa Rescisória do FGTS sobre o Aviso Prévio Indenizado])*tabCustoUnit[[#This Row],[MODULO 1 - REMUNERAÇÃO ]]</f>
        <v>0.12649687595370371</v>
      </c>
      <c r="AP55" s="22">
        <f>SUMIF(tabParametros[Código do Posto],tabCustoUnit[[#This Row],[Código do Posto]],tabParametros[Aviso Prévio Trabalhado - APT])*tabCustoUnit[[#This Row],[MODULO 1 - REMUNERAÇÃO ]]</f>
        <v>1.9731967500000003</v>
      </c>
      <c r="AQ55" s="22">
        <f>SUMIF(tabParametros[Código do Posto],tabCustoUnit[[#This Row],[Código do Posto]],tabParametros[Incidência dos encargos do submódulo 2.1 sobre Aviso Prévio Trabalhado])*tabCustoUnit[[#This Row],[MODULO 1 - REMUNERAÇÃO ]]</f>
        <v>0.74586837150000018</v>
      </c>
      <c r="AR55" s="22">
        <f>SUMIF(tabParametros[Código do Posto],tabCustoUnit[[#This Row],[Código do Posto]],tabParametros[Multa Rescisória do FGTS])*tabCustoUnit[[#This Row],[MODULO 1 - REMUNERAÇÃO ]]</f>
        <v>17.238849066666663</v>
      </c>
      <c r="AS55" s="22">
        <f>SUMIF(tabParametros[Código do Posto],tabCustoUnit[[#This Row],[Código do Posto]],tabParametros[Indenização Adicional (Art. 9º da Lei nº 7.238/84)])*tabCustoUnit[[#This Row],[MODULO 1 - REMUNERAÇÃO ]]</f>
        <v>0.46980875</v>
      </c>
      <c r="AT55" s="22">
        <f>SUM(tabCustoUnit[[#This Row],[Aviso Prévio Indenizado (API) e Reflexo do Aviso Prévio Indenizado]:[Indenização Adicional (Art. 9º da Lei nº 7.238/84)]])</f>
        <v>24.823489377557866</v>
      </c>
      <c r="AU55" s="22">
        <f>SUMIF(tabParametros[Código do Posto],tabCustoUnit[[#This Row],[Código do Posto]],tabParametros[Ausência por Doença])*tabCustoUnit[[#This Row],[MODULO 1 - REMUNERAÇÃO ]]</f>
        <v>4.7607286666666662</v>
      </c>
      <c r="AV55" s="22">
        <f>SUMIF(tabParametros[Código do Posto],tabCustoUnit[[#This Row],[Código do Posto]],tabParametros[Ausências Legais])*tabCustoUnit[[#This Row],[MODULO 1 - REMUNERAÇÃO ]]</f>
        <v>1.1432012916666665</v>
      </c>
      <c r="AW55" s="22">
        <f>SUMIF(tabParametros[Código do Posto],tabCustoUnit[[#This Row],[Código do Posto]],tabParametros[Licença Paternidade])*tabCustoUnit[[#This Row],[MODULO 1 - REMUNERAÇÃO ]]</f>
        <v>9.6310793749999998E-2</v>
      </c>
      <c r="AX55" s="22">
        <f>SUMIF(tabParametros[Código do Posto],tabCustoUnit[[#This Row],[Código do Posto]],tabParametros[Ausência por Acidente de Trabalho])*tabCustoUnit[[#This Row],[MODULO 1 - REMUNERAÇÃO ]]</f>
        <v>0.1174521875</v>
      </c>
      <c r="AY55" s="22">
        <f>SUMIF(tabParametros[Código do Posto],tabCustoUnit[[#This Row],[Código do Posto]],tabParametros[Férias, Adicional de Férias e 13º  com empregada em gozo de Licença Maternidade])*tabCustoUnit[[#This Row],[MODULO 1 - REMUNERAÇÃO ]]</f>
        <v>0.73081361111111109</v>
      </c>
      <c r="AZ55" s="22">
        <f>SUMIF(tabParametros[Código do Posto],tabCustoUnit[[#This Row],[Código do Posto]],tabParametros[Incidência do Submódulo 2.1 sobre Ausências Legais])*tabCustoUnit[[#This Row],[MODULO 1 - REMUNERAÇÃO ]]</f>
        <v>2.5887354761625003</v>
      </c>
      <c r="BA55" s="22">
        <f>SUM(tabCustoUnit[[#This Row],[Ausência por Doença]:[Incidência do Submódulo 2.1 sobre Ausências Legais]])</f>
        <v>9.4372420268569428</v>
      </c>
      <c r="BB55" s="22">
        <f>SUMIF(tabParametros[Código do Posto],tabCustoUnit[[#This Row],[Código do Posto]],tabParametros[Intervalo para Repouso ou Alimentação])</f>
        <v>0</v>
      </c>
      <c r="BC55" s="22">
        <f>tabCustoUnit[[#This Row],[Intervalo para Repouso ou Alimentação]]</f>
        <v>0</v>
      </c>
      <c r="BD55" s="22">
        <f>IF(VLOOKUP(tabCustoUnit[[#This Row],[Código do Posto]],PARAMETROS!$A$4:$BJ$255,7,0)&lt;=0,0,
IFERROR((tabCustoUnit[[#This Row],[MODULO 1 - REMUNERAÇÃO ]]*VLOOKUP(tabCustoUnit[[#This Row],[Código do Posto]],PARAMETROS!$A$4:$BJ$255,49,0))/(VLOOKUP(tabCustoUnit[[#This Row],[Código do Posto]],PARAMETROS!$A$4:$BJ$255,7,0)*VLOOKUP(tabCustoUnit[[#This Row],[Código do Posto]],PARAMETROS!$A$4:$BJ$255,8,0)),0)
)</f>
        <v>0</v>
      </c>
      <c r="BE55" s="22">
        <f>tabCustoUnit[[#This Row],[Suspensão Temporária do Contrato de Trabalho]]</f>
        <v>0</v>
      </c>
      <c r="BF55" s="22">
        <f>tabCustoUnit[[#This Row],[Submódulo 4.1]]+tabCustoUnit[[#This Row],[Submódulo 4.2]]+tabCustoUnit[[#This Row],[Submódulo 4.3]]</f>
        <v>9.4372420268569428</v>
      </c>
      <c r="BG55" s="22">
        <f>VLOOKUP(tabCustoUnit[[#This Row],[Código do Posto]],tabParametros[],MATCH(tabCustoUnit[[#Headers],[Uniformes e EPIs]],tabParametros[#Headers],0),0)</f>
        <v>62.806666666666665</v>
      </c>
      <c r="BH55" s="22">
        <f>VLOOKUP(tabCustoUnit[[#This Row],[Código do Posto]],tabParametros[],MATCH(tabCustoUnit[[#Headers],[Materiais de Consumo]],tabParametros[#Headers],0),0)</f>
        <v>12.108481690426325</v>
      </c>
      <c r="BI55" s="22">
        <f>VLOOKUP(tabCustoUnit[[#This Row],[Código do Posto]],tabParametros[],MATCH(tabCustoUnit[[#Headers],[Máquinas e Equipamentos (depreciação)]],tabParametros[#Headers],0),0)</f>
        <v>21.998657016417809</v>
      </c>
      <c r="BJ55" s="22">
        <f>VLOOKUP(tabCustoUnit[[#This Row],[Código do Posto]],tabParametros[],MATCH(tabCustoUnit[[#Headers],[Produtos de Limpeza e Materiais de Higiene Pessoal]],tabParametros[#Headers],0),0)</f>
        <v>235.31984072022155</v>
      </c>
      <c r="BK55" s="22">
        <f>VLOOKUP(tabCustoUnit[[#This Row],[Código do Posto]],tabParametros[],MATCH(tabCustoUnit[[#Headers],[Outros (especificar)]],tabParametros[#Headers],0),0)</f>
        <v>0</v>
      </c>
      <c r="BL55" s="22">
        <f>SUM(tabCustoUnit[[#This Row],[Uniformes e EPIs]:[Outros (especificar)]])</f>
        <v>332.23364609373232</v>
      </c>
      <c r="BM55" s="22">
        <f>tabCustoUnit[[#This Row],[MODULO 1 - REMUNERAÇÃO ]]+tabCustoUnit[[#This Row],[MÓDULO 2 - Total Encargos e Benefícios mensais e diários]]+tabCustoUnit[[#This Row],[MÓDULO 3 – PROVISÃO PARA RESCISÃO]]+tabCustoUnit[[#This Row],[MÓDULO 4 – CUSTO DE REPOSIÇÃO DO PROFISSIONAL AUSENTE]]+tabCustoUnit[[#This Row],[MÓDULO 5 – INSUMOS DIVERSOS]]</f>
        <v>1951.8984999148138</v>
      </c>
      <c r="BN55" s="22">
        <f>VLOOKUP(tabCustoUnit[[#This Row],[Código do Posto]],tabParametros[],MATCH(tabCustoUnit[[#Headers],[Custos Indiretos]],tabParametros[#Headers],0),0)</f>
        <v>189.64880140242613</v>
      </c>
      <c r="BO55" s="22">
        <f>VLOOKUP(tabCustoUnit[[#This Row],[Código do Posto]],tabParametros[],MATCH(tabCustoUnit[[#Headers],[Lucro]],tabParametros[#Headers],0),0)</f>
        <v>159.30499317803796</v>
      </c>
      <c r="BP55" s="26">
        <f>((100/((1-tabCustoUnit[[#This Row],[Resumo de Alíquotas (PIS+CONFINS+ISS)]]))-100)*VLOOKUP(tabCustoUnit[[#This Row],[Código do Posto]],tabParametros[],MATCH(tabCustoUnit[[#Headers],[COFINS]],tabParametros[#Headers],0),0))/(tabCustoUnit[[#This Row],[Resumo de Alíquotas (PIS+CONFINS+ISS)]]*100)</f>
        <v>8.6609686609686695E-2</v>
      </c>
      <c r="BQ55" s="26">
        <f>((100/((100-(tabCustoUnit[[#This Row],[Resumo de Alíquotas (PIS+CONFINS+ISS)]]*100))%)-100)*VLOOKUP(tabCustoUnit[[#This Row],[Código do Posto]],tabParametros[],MATCH(tabCustoUnit[[#Headers],[PIS]],tabParametros[#Headers],0),0))/(tabCustoUnit[[#This Row],[Resumo de Alíquotas (PIS+CONFINS+ISS)]]*100)</f>
        <v>1.880341880341882E-2</v>
      </c>
      <c r="BR55" s="28">
        <f>VLOOKUP(tabCustoUnit[[#This Row],[Código do Posto]],tabParametros[],MATCH(tabCustoUnit[[#Headers],[ISS]],tabParametros[#Headers],0),0)</f>
        <v>0.03</v>
      </c>
      <c r="BS55" s="26">
        <f>(((100/((100-(tabCustoUnit[[#This Row],[Resumo de Alíquotas (PIS+CONFINS+ISS)]]*100))%)-100)*tabCustoUnit[[#This Row],[ISS]])/tabCustoUnit[[#This Row],[Resumo de Alíquotas (PIS+CONFINS+ISS)]])/100</f>
        <v>3.4188034188034219E-2</v>
      </c>
      <c r="BT55" s="26">
        <f>(VLOOKUP(tabCustoUnit[[#This Row],[Código do Posto]],tabParametros[],MATCH(tabCustoUnit[[#Headers],[COFINS]],tabParametros[#Headers],0),0)+
VLOOKUP(tabCustoUnit[[#This Row],[Código do Posto]],tabParametros[],MATCH(tabCustoUnit[[#Headers],[PIS]],tabParametros[#Headers],0),0)+
VLOOKUP(tabCustoUnit[[#This Row],[Código do Posto]],tabParametros[],MATCH(tabCustoUnit[[#Headers],[ISS]],tabParametros[#Headers],0),0))</f>
        <v>0.1225</v>
      </c>
      <c r="BU55" s="138">
        <f>tabCustoUnit[[#This Row],[COFINS]]+tabCustoUnit[[#This Row],[PIS]]+tabCustoUnit[[#This Row],[ISS (Conversão Alíquota s/ fatura)]]</f>
        <v>0.13960113960113973</v>
      </c>
      <c r="BV55" s="22">
        <f>(tabCustoUnit[[#This Row],[TOTAL MÓDULOS 1+2+3+4+5]]+tabCustoUnit[[#This Row],[Custos Indiretos]]+tabCustoUnit[[#This Row],[Lucro]])*tabCustoUnit[[#This Row],[PIS + COFINS + ISS (Total Conversão  Alíquota s/ Fatura)]]</f>
        <v>321.20160236543796</v>
      </c>
      <c r="BW55" s="22">
        <f>tabCustoUnit[[#This Row],[Custos Indiretos]]+tabCustoUnit[[#This Row],[Lucro]]+tabCustoUnit[[#This Row],[Valor dos Tributos (ISS, PIS, CONFINS)]]</f>
        <v>670.15539694590211</v>
      </c>
      <c r="BX55" s="22">
        <f>tabCustoUnit[[#This Row],[TOTAL MÓDULOS 1+2+3+4+5]]+tabCustoUnit[[#This Row],[MÓDULO 6 – CUSTOS INDIRETOS, TRIBUTOS E LUCRO]]</f>
        <v>2622.0538968607161</v>
      </c>
      <c r="BY55" s="22">
        <f>tabCustoUnit[[#This Row],[CUSTO TOTAL MENSAL]]*12</f>
        <v>31464.646762328593</v>
      </c>
      <c r="BZ55" s="24">
        <f>VLOOKUP(tabCustoUnit[[#This Row],[Código do Posto]],tabParametros[],MATCH(tabCustoUnit[[#Headers],[ANO DA CCT]],tabParametros[#Headers],0),0)</f>
        <v>45658</v>
      </c>
      <c r="CA55" s="25" t="str">
        <f>VLOOKUP(tabCustoUnit[[#This Row],[Código do Posto]],tabParametros[],MATCH(tabCustoUnit[[#Headers],[Nº DE PEDIDO DA CCT]],tabParametros[#Headers],0),0)</f>
        <v>-</v>
      </c>
      <c r="CB55" s="25" t="str">
        <f>VLOOKUP(tabCustoUnit[[#This Row],[Código do Posto]],tabParametros[],MATCH(tabCustoUnit[[#Headers],[TERMO ADITIVO ALTERAÇÃO DA CCT]],tabParametros[#Headers],0),0)</f>
        <v>-</v>
      </c>
    </row>
    <row r="56" spans="1:80" x14ac:dyDescent="0.25">
      <c r="A56" s="20" t="s">
        <v>1396</v>
      </c>
      <c r="B56" t="s">
        <v>54</v>
      </c>
      <c r="C56" t="s">
        <v>1244</v>
      </c>
      <c r="D56" t="s">
        <v>1023</v>
      </c>
      <c r="E56" s="20" t="s">
        <v>9</v>
      </c>
      <c r="F56" s="20" t="s">
        <v>10</v>
      </c>
      <c r="G56" s="21">
        <v>798.14</v>
      </c>
      <c r="H56" s="21">
        <v>0</v>
      </c>
      <c r="I56" s="21">
        <v>0</v>
      </c>
      <c r="J56" s="21">
        <v>0</v>
      </c>
      <c r="K56" s="21">
        <v>0</v>
      </c>
      <c r="L56" s="21">
        <v>0</v>
      </c>
      <c r="M56" s="21">
        <v>0</v>
      </c>
      <c r="N56" s="21">
        <v>26.120899999999999</v>
      </c>
      <c r="O56" s="21">
        <f>SUM(tabCustoUnit[[#This Row],[Salário Base]:[Adicional de Acúmulo de função]])</f>
        <v>824.26089999999999</v>
      </c>
      <c r="P56" s="21">
        <f>tabCustoUnit[[#This Row],[MODULO 1 - REMUNERAÇÃO ]]*SUMIFS(tabParametros[INSS],tabParametros[Código do Posto],tabCustoUnit[[#This Row],[Código do Posto]])</f>
        <v>164.85218</v>
      </c>
      <c r="Q56" s="21">
        <f>tabCustoUnit[[#This Row],[MODULO 1 - REMUNERAÇÃO ]]*SUMIFS(tabParametros[SESI OU SESC],tabParametros[Código do Posto],tabCustoUnit[[#This Row],[Código do Posto]])</f>
        <v>12.363913499999999</v>
      </c>
      <c r="R56" s="21">
        <f>tabCustoUnit[[#This Row],[MODULO 1 - REMUNERAÇÃO ]]*SUMIFS(tabParametros[SENAI OU SENAC],tabParametros[Código do Posto],tabCustoUnit[[#This Row],[Código do Posto]])</f>
        <v>8.2426089999999999</v>
      </c>
      <c r="S56" s="21">
        <f>tabCustoUnit[[#This Row],[MODULO 1 - REMUNERAÇÃO ]]*SUMIFS(tabParametros[INCRA],tabParametros[Código do Posto],tabCustoUnit[[#This Row],[Código do Posto]])</f>
        <v>1.6485217999999999</v>
      </c>
      <c r="T56" s="21">
        <f>tabCustoUnit[[#This Row],[MODULO 1 - REMUNERAÇÃO ]]*SUMIFS(tabParametros[Salário Educação],tabParametros[Código do Posto],tabCustoUnit[[#This Row],[Código do Posto]])</f>
        <v>20.606522500000001</v>
      </c>
      <c r="U56" s="21">
        <f>tabCustoUnit[[#This Row],[MODULO 1 - REMUNERAÇÃO ]]*SUMIFS(tabParametros[FGTS],tabParametros[Código do Posto],tabCustoUnit[[#This Row],[Código do Posto]])</f>
        <v>65.940871999999999</v>
      </c>
      <c r="V56" s="21">
        <f>tabCustoUnit[[#This Row],[MODULO 1 - REMUNERAÇÃO ]]*SUMIFS(tabParametros[RAT Ajustado],tabParametros[Código do Posto],tabCustoUnit[[#This Row],[Código do Posto]])</f>
        <v>32.970435999999999</v>
      </c>
      <c r="W56" s="21">
        <f>tabCustoUnit[[#This Row],[MODULO 1 - REMUNERAÇÃO ]]*SUMIFS(tabParametros[SEBRAE],tabParametros[Código do Posto],tabCustoUnit[[#This Row],[Código do Posto]])</f>
        <v>4.9455654000000004</v>
      </c>
      <c r="X56" s="21">
        <f>SUM(tabCustoUnit[[#This Row],[INSS]:[SEBRAE]])</f>
        <v>311.57062020000001</v>
      </c>
      <c r="Y56" s="21">
        <f>tabCustoUnit[[#This Row],[MODULO 1 - REMUNERAÇÃO ]]*SUMIFS(tabParametros[13º salário (titular)],tabParametros[Código do Posto],tabCustoUnit[[#This Row],[Código do Posto]])</f>
        <v>68.688408333333328</v>
      </c>
      <c r="Z56" s="21">
        <f>tabCustoUnit[[#This Row],[MODULO 1 - REMUNERAÇÃO ]]*SUMIFS(tabParametros[Férias e Adicional de Férias (titular)],tabParametros[Código do Posto],tabCustoUnit[[#This Row],[Código do Posto]])</f>
        <v>91.584544444444433</v>
      </c>
      <c r="AA56" s="21">
        <f>IFERROR((tabCustoUnit[[#This Row],[Submódulo 2.1]]/tabCustoUnit[[#This Row],[MODULO 1 - REMUNERAÇÃO ]])*SUM(tabCustoUnit[[#This Row],[13º salário (titular)]:[Férias e Adicional de Férias (titular)]]),0)</f>
        <v>60.583176149999993</v>
      </c>
      <c r="AB56" s="21">
        <f>SUM(tabCustoUnit[[#This Row],[13º salário (titular)]:[Incidência do Submódulo 2.1 sobre 13º Salário, Férias e Adicional de Férias]])</f>
        <v>220.85612892777775</v>
      </c>
      <c r="AC56" s="22">
        <f>_xlfn.LET(_xlpm.VT,SUMIF(tabParametros[Código do Posto],tabCustoUnit[[#This Row],[Código do Posto]],tabParametros[Vale - Transporte])*2*20,
IF((_xlpm.VT-tabCustoUnit[[#This Row],[Salário Base]]*0.06)&gt;=0,(_xlpm.VT-tabCustoUnit[[#This Row],[Salário Base]]*0.06),0)
)</f>
        <v>208.11160000000001</v>
      </c>
      <c r="AD56" s="22">
        <f>IF(SUMIF(tabParametros[Código do Posto],tabCustoUnit[[#This Row],[Código do Posto]],tabParametros[Vale - Alimentação])&lt;=0,0,
SUMIF(tabParametros[Código do Posto],tabCustoUnit[[#This Row],[Código do Posto]],tabParametros[Vale - Alimentação])*20-1)</f>
        <v>582</v>
      </c>
      <c r="AE56" s="22">
        <f>SUMIF(tabParametros[Código do Posto],tabCustoUnit[[#This Row],[Código do Posto]],tabParametros[Cesta Básica])</f>
        <v>0</v>
      </c>
      <c r="AF56" s="22">
        <f>SUMIF(tabParametros[Código do Posto],tabCustoUnit[[#This Row],[Código do Posto]],tabParametros[PAF])</f>
        <v>0</v>
      </c>
      <c r="AG56" s="22">
        <f>SUMIF(tabParametros[Código do Posto],tabCustoUnit[[#This Row],[Código do Posto]],tabParametros[PQM])</f>
        <v>0</v>
      </c>
      <c r="AH56" s="22">
        <f>SUMIF(tabParametros[Código do Posto],tabCustoUnit[[#This Row],[Código do Posto]],tabParametros[PAT])</f>
        <v>0</v>
      </c>
      <c r="AI56" s="22">
        <f>SUMIF(tabParametros[Código do Posto],tabCustoUnit[[#This Row],[Código do Posto]],tabParametros[Seguro de Vida])</f>
        <v>3.36</v>
      </c>
      <c r="AJ56" s="22">
        <f>SUMIF(tabParametros[Código do Posto],tabCustoUnit[[#This Row],[Código do Posto]],tabParametros[Despesas de Viagem])</f>
        <v>0</v>
      </c>
      <c r="AK56" s="22">
        <f>SUM(tabCustoUnit[[#This Row],[Vale - Transporte (Descontada parcela do empregado)]:[Despesas de Viagem]])</f>
        <v>793.47159999999997</v>
      </c>
      <c r="AL56" s="22">
        <f>tabCustoUnit[[#This Row],[Submódulo 2.1]]+tabCustoUnit[[#This Row],[Submódulo 2.2]]+tabCustoUnit[[#This Row],[Submódulo 2.3]]</f>
        <v>1325.8983491277777</v>
      </c>
      <c r="AM56" s="22">
        <f>SUMIF(tabParametros[Código do Posto],tabCustoUnit[[#This Row],[Código do Posto]],tabParametros[Aviso Prévio Indenizado (API) e Reflexo do Aviso Prévio Indenizado])*tabCustoUnit[[#This Row],[MODULO 1 - REMUNERAÇÃO ]]</f>
        <v>5.7795253576581791</v>
      </c>
      <c r="AN56" s="22">
        <f>SUMIF(tabParametros[Código do Posto],tabCustoUnit[[#This Row],[Código do Posto]],tabParametros[Incidência do FGTS sobre API e Reflexo do API])*tabCustoUnit[[#This Row],[MODULO 1 - REMUNERAÇÃO ]]</f>
        <v>0.46236202861265435</v>
      </c>
      <c r="AO56" s="22">
        <f>SUMIF(tabParametros[Código do Posto],tabCustoUnit[[#This Row],[Código do Posto]],tabParametros[Multa Rescisória do FGTS sobre o Aviso Prévio Indenizado])*tabCustoUnit[[#This Row],[MODULO 1 - REMUNERAÇÃO ]]</f>
        <v>0.18494481144506175</v>
      </c>
      <c r="AP56" s="22">
        <f>SUMIF(tabParametros[Código do Posto],tabCustoUnit[[#This Row],[Código do Posto]],tabParametros[Aviso Prévio Trabalhado - APT])*tabCustoUnit[[#This Row],[MODULO 1 - REMUNERAÇÃO ]]</f>
        <v>2.8849131500000005</v>
      </c>
      <c r="AQ56" s="22">
        <f>SUMIF(tabParametros[Código do Posto],tabCustoUnit[[#This Row],[Código do Posto]],tabParametros[Incidência dos encargos do submódulo 2.1 sobre Aviso Prévio Trabalhado])*tabCustoUnit[[#This Row],[MODULO 1 - REMUNERAÇÃO ]]</f>
        <v>1.0904971707000004</v>
      </c>
      <c r="AR56" s="22">
        <f>SUMIF(tabParametros[Código do Posto],tabCustoUnit[[#This Row],[Código do Posto]],tabParametros[Multa Rescisória do FGTS])*tabCustoUnit[[#This Row],[MODULO 1 - REMUNERAÇÃO ]]</f>
        <v>25.204066631111107</v>
      </c>
      <c r="AS56" s="22">
        <f>SUMIF(tabParametros[Código do Posto],tabCustoUnit[[#This Row],[Código do Posto]],tabParametros[Indenização Adicional (Art. 9º da Lei nº 7.238/84)])*tabCustoUnit[[#This Row],[MODULO 1 - REMUNERAÇÃO ]]</f>
        <v>0.6868840833333334</v>
      </c>
      <c r="AT56" s="22">
        <f>SUM(tabCustoUnit[[#This Row],[Aviso Prévio Indenizado (API) e Reflexo do Aviso Prévio Indenizado]:[Indenização Adicional (Art. 9º da Lei nº 7.238/84)]])</f>
        <v>36.293193232860339</v>
      </c>
      <c r="AU56" s="22">
        <f>SUMIF(tabParametros[Código do Posto],tabCustoUnit[[#This Row],[Código do Posto]],tabParametros[Ausência por Doença])*tabCustoUnit[[#This Row],[MODULO 1 - REMUNERAÇÃO ]]</f>
        <v>6.9604253777777769</v>
      </c>
      <c r="AV56" s="22">
        <f>SUMIF(tabParametros[Código do Posto],tabCustoUnit[[#This Row],[Código do Posto]],tabParametros[Ausências Legais])*tabCustoUnit[[#This Row],[MODULO 1 - REMUNERAÇÃO ]]</f>
        <v>1.671417936111111</v>
      </c>
      <c r="AW56" s="22">
        <f>SUMIF(tabParametros[Código do Posto],tabCustoUnit[[#This Row],[Código do Posto]],tabParametros[Licença Paternidade])*tabCustoUnit[[#This Row],[MODULO 1 - REMUNERAÇÃO ]]</f>
        <v>0.14081123708333332</v>
      </c>
      <c r="AX56" s="22">
        <f>SUMIF(tabParametros[Código do Posto],tabCustoUnit[[#This Row],[Código do Posto]],tabParametros[Ausência por Acidente de Trabalho])*tabCustoUnit[[#This Row],[MODULO 1 - REMUNERAÇÃO ]]</f>
        <v>0.17172102083333335</v>
      </c>
      <c r="AY56" s="22">
        <f>SUMIF(tabParametros[Código do Posto],tabCustoUnit[[#This Row],[Código do Posto]],tabParametros[Férias, Adicional de Férias e 13º  com empregada em gozo de Licença Maternidade])*tabCustoUnit[[#This Row],[MODULO 1 - REMUNERAÇÃO ]]</f>
        <v>1.0684863518518517</v>
      </c>
      <c r="AZ56" s="22">
        <f>SUMIF(tabParametros[Código do Posto],tabCustoUnit[[#This Row],[Código do Posto]],tabParametros[Incidência do Submódulo 2.1 sobre Ausências Legais])*tabCustoUnit[[#This Row],[MODULO 1 - REMUNERAÇÃO ]]</f>
        <v>3.7848618071425006</v>
      </c>
      <c r="BA56" s="22">
        <f>SUM(tabCustoUnit[[#This Row],[Ausência por Doença]:[Incidência do Submódulo 2.1 sobre Ausências Legais]])</f>
        <v>13.797723730799909</v>
      </c>
      <c r="BB56" s="22">
        <f>SUMIF(tabParametros[Código do Posto],tabCustoUnit[[#This Row],[Código do Posto]],tabParametros[Intervalo para Repouso ou Alimentação])</f>
        <v>0</v>
      </c>
      <c r="BC56" s="22">
        <f>tabCustoUnit[[#This Row],[Intervalo para Repouso ou Alimentação]]</f>
        <v>0</v>
      </c>
      <c r="BD56" s="22">
        <f>IF(VLOOKUP(tabCustoUnit[[#This Row],[Código do Posto]],PARAMETROS!$A$4:$BJ$255,7,0)&lt;=0,0,
IFERROR((tabCustoUnit[[#This Row],[MODULO 1 - REMUNERAÇÃO ]]*VLOOKUP(tabCustoUnit[[#This Row],[Código do Posto]],PARAMETROS!$A$4:$BJ$255,49,0))/(VLOOKUP(tabCustoUnit[[#This Row],[Código do Posto]],PARAMETROS!$A$4:$BJ$255,7,0)*VLOOKUP(tabCustoUnit[[#This Row],[Código do Posto]],PARAMETROS!$A$4:$BJ$255,8,0)),0)
)</f>
        <v>0</v>
      </c>
      <c r="BE56" s="22">
        <f>tabCustoUnit[[#This Row],[Suspensão Temporária do Contrato de Trabalho]]</f>
        <v>0</v>
      </c>
      <c r="BF56" s="22">
        <f>tabCustoUnit[[#This Row],[Submódulo 4.1]]+tabCustoUnit[[#This Row],[Submódulo 4.2]]+tabCustoUnit[[#This Row],[Submódulo 4.3]]</f>
        <v>13.797723730799909</v>
      </c>
      <c r="BG56" s="22">
        <f>VLOOKUP(tabCustoUnit[[#This Row],[Código do Posto]],tabParametros[],MATCH(tabCustoUnit[[#Headers],[Uniformes e EPIs]],tabParametros[#Headers],0),0)</f>
        <v>62.806666666666665</v>
      </c>
      <c r="BH56" s="22">
        <f>VLOOKUP(tabCustoUnit[[#This Row],[Código do Posto]],tabParametros[],MATCH(tabCustoUnit[[#Headers],[Materiais de Consumo]],tabParametros[#Headers],0),0)</f>
        <v>17.759106479291944</v>
      </c>
      <c r="BI56" s="22">
        <f>VLOOKUP(tabCustoUnit[[#This Row],[Código do Posto]],tabParametros[],MATCH(tabCustoUnit[[#Headers],[Máquinas e Equipamentos (depreciação)]],tabParametros[#Headers],0),0)</f>
        <v>32.264696957412788</v>
      </c>
      <c r="BJ56" s="22">
        <f>VLOOKUP(tabCustoUnit[[#This Row],[Código do Posto]],tabParametros[],MATCH(tabCustoUnit[[#Headers],[Produtos de Limpeza e Materiais de Higiene Pessoal]],tabParametros[#Headers],0),0)</f>
        <v>345.13576638965827</v>
      </c>
      <c r="BK56" s="22">
        <f>VLOOKUP(tabCustoUnit[[#This Row],[Código do Posto]],tabParametros[],MATCH(tabCustoUnit[[#Headers],[Outros (especificar)]],tabParametros[#Headers],0),0)</f>
        <v>0</v>
      </c>
      <c r="BL56" s="22">
        <f>SUM(tabCustoUnit[[#This Row],[Uniformes e EPIs]:[Outros (especificar)]])</f>
        <v>457.96623649302967</v>
      </c>
      <c r="BM56" s="22">
        <f>tabCustoUnit[[#This Row],[MODULO 1 - REMUNERAÇÃO ]]+tabCustoUnit[[#This Row],[MÓDULO 2 - Total Encargos e Benefícios mensais e diários]]+tabCustoUnit[[#This Row],[MÓDULO 3 – PROVISÃO PARA RESCISÃO]]+tabCustoUnit[[#This Row],[MÓDULO 4 – CUSTO DE REPOSIÇÃO DO PROFISSIONAL AUSENTE]]+tabCustoUnit[[#This Row],[MÓDULO 5 – INSUMOS DIVERSOS]]</f>
        <v>2658.2164025844677</v>
      </c>
      <c r="BN56" s="22">
        <f>VLOOKUP(tabCustoUnit[[#This Row],[Código do Posto]],tabParametros[],MATCH(tabCustoUnit[[#Headers],[Custos Indiretos]],tabParametros[#Headers],0),0)</f>
        <v>189.64880140242613</v>
      </c>
      <c r="BO56" s="22">
        <f>VLOOKUP(tabCustoUnit[[#This Row],[Código do Posto]],tabParametros[],MATCH(tabCustoUnit[[#Headers],[Lucro]],tabParametros[#Headers],0),0)</f>
        <v>159.30499317803796</v>
      </c>
      <c r="BP56" s="26">
        <f>((100/((1-tabCustoUnit[[#This Row],[Resumo de Alíquotas (PIS+CONFINS+ISS)]]))-100)*VLOOKUP(tabCustoUnit[[#This Row],[Código do Posto]],tabParametros[],MATCH(tabCustoUnit[[#Headers],[COFINS]],tabParametros[#Headers],0),0))/(tabCustoUnit[[#This Row],[Resumo de Alíquotas (PIS+CONFINS+ISS)]]*100)</f>
        <v>8.5633802816901458E-2</v>
      </c>
      <c r="BQ56" s="26">
        <f>((100/((100-(tabCustoUnit[[#This Row],[Resumo de Alíquotas (PIS+CONFINS+ISS)]]*100))%)-100)*VLOOKUP(tabCustoUnit[[#This Row],[Código do Posto]],tabParametros[],MATCH(tabCustoUnit[[#Headers],[PIS]],tabParametros[#Headers],0),0))/(tabCustoUnit[[#This Row],[Resumo de Alíquotas (PIS+CONFINS+ISS)]]*100)</f>
        <v>1.8591549295774657E-2</v>
      </c>
      <c r="BR56" s="28">
        <f>VLOOKUP(tabCustoUnit[[#This Row],[Código do Posto]],tabParametros[],MATCH(tabCustoUnit[[#Headers],[ISS]],tabParametros[#Headers],0),0)</f>
        <v>0.02</v>
      </c>
      <c r="BS56" s="26">
        <f>(((100/((100-(tabCustoUnit[[#This Row],[Resumo de Alíquotas (PIS+CONFINS+ISS)]]*100))%)-100)*tabCustoUnit[[#This Row],[ISS]])/tabCustoUnit[[#This Row],[Resumo de Alíquotas (PIS+CONFINS+ISS)]])/100</f>
        <v>2.2535211267605645E-2</v>
      </c>
      <c r="BT56" s="26">
        <f>(VLOOKUP(tabCustoUnit[[#This Row],[Código do Posto]],tabParametros[],MATCH(tabCustoUnit[[#Headers],[COFINS]],tabParametros[#Headers],0),0)+
VLOOKUP(tabCustoUnit[[#This Row],[Código do Posto]],tabParametros[],MATCH(tabCustoUnit[[#Headers],[PIS]],tabParametros[#Headers],0),0)+
VLOOKUP(tabCustoUnit[[#This Row],[Código do Posto]],tabParametros[],MATCH(tabCustoUnit[[#Headers],[ISS]],tabParametros[#Headers],0),0))</f>
        <v>0.1125</v>
      </c>
      <c r="BU56" s="138">
        <f>tabCustoUnit[[#This Row],[COFINS]]+tabCustoUnit[[#This Row],[PIS]]+tabCustoUnit[[#This Row],[ISS (Conversão Alíquota s/ fatura)]]</f>
        <v>0.12676056338028174</v>
      </c>
      <c r="BV56" s="22">
        <f>(tabCustoUnit[[#This Row],[TOTAL MÓDULOS 1+2+3+4+5]]+tabCustoUnit[[#This Row],[Custos Indiretos]]+tabCustoUnit[[#This Row],[Lucro]])*tabCustoUnit[[#This Row],[PIS + COFINS + ISS (Total Conversão  Alíquota s/ Fatura)]]</f>
        <v>381.19058837301969</v>
      </c>
      <c r="BW56" s="22">
        <f>tabCustoUnit[[#This Row],[Custos Indiretos]]+tabCustoUnit[[#This Row],[Lucro]]+tabCustoUnit[[#This Row],[Valor dos Tributos (ISS, PIS, CONFINS)]]</f>
        <v>730.14438295348373</v>
      </c>
      <c r="BX56" s="22">
        <f>tabCustoUnit[[#This Row],[TOTAL MÓDULOS 1+2+3+4+5]]+tabCustoUnit[[#This Row],[MÓDULO 6 – CUSTOS INDIRETOS, TRIBUTOS E LUCRO]]</f>
        <v>3388.3607855379514</v>
      </c>
      <c r="BY56" s="22">
        <f>tabCustoUnit[[#This Row],[CUSTO TOTAL MENSAL]]*12</f>
        <v>40660.329426455413</v>
      </c>
      <c r="BZ56" s="24">
        <f>VLOOKUP(tabCustoUnit[[#This Row],[Código do Posto]],tabParametros[],MATCH(tabCustoUnit[[#Headers],[ANO DA CCT]],tabParametros[#Headers],0),0)</f>
        <v>45658</v>
      </c>
      <c r="CA56" s="25" t="str">
        <f>VLOOKUP(tabCustoUnit[[#This Row],[Código do Posto]],tabParametros[],MATCH(tabCustoUnit[[#Headers],[Nº DE PEDIDO DA CCT]],tabParametros[#Headers],0),0)</f>
        <v>-</v>
      </c>
      <c r="CB56" s="25" t="str">
        <f>VLOOKUP(tabCustoUnit[[#This Row],[Código do Posto]],tabParametros[],MATCH(tabCustoUnit[[#Headers],[TERMO ADITIVO ALTERAÇÃO DA CCT]],tabParametros[#Headers],0),0)</f>
        <v>-</v>
      </c>
    </row>
    <row r="57" spans="1:80" x14ac:dyDescent="0.25">
      <c r="A57" s="20" t="s">
        <v>1397</v>
      </c>
      <c r="B57" t="s">
        <v>55</v>
      </c>
      <c r="C57" t="s">
        <v>1247</v>
      </c>
      <c r="D57" t="s">
        <v>992</v>
      </c>
      <c r="E57" s="20" t="s">
        <v>9</v>
      </c>
      <c r="F57" s="20" t="s">
        <v>10</v>
      </c>
      <c r="G57" s="21">
        <v>544.17999999999995</v>
      </c>
      <c r="H57" s="21">
        <v>0</v>
      </c>
      <c r="I57" s="21">
        <v>0</v>
      </c>
      <c r="J57" s="21">
        <v>0</v>
      </c>
      <c r="K57" s="21">
        <v>0</v>
      </c>
      <c r="L57" s="21">
        <v>0</v>
      </c>
      <c r="M57" s="21">
        <v>0</v>
      </c>
      <c r="N57" s="21">
        <v>19.590499999999999</v>
      </c>
      <c r="O57" s="21">
        <f>SUM(tabCustoUnit[[#This Row],[Salário Base]:[Adicional de Acúmulo de função]])</f>
        <v>563.77049999999997</v>
      </c>
      <c r="P57" s="21">
        <f>tabCustoUnit[[#This Row],[MODULO 1 - REMUNERAÇÃO ]]*SUMIFS(tabParametros[INSS],tabParametros[Código do Posto],tabCustoUnit[[#This Row],[Código do Posto]])</f>
        <v>112.75409999999999</v>
      </c>
      <c r="Q57" s="21">
        <f>tabCustoUnit[[#This Row],[MODULO 1 - REMUNERAÇÃO ]]*SUMIFS(tabParametros[SESI OU SESC],tabParametros[Código do Posto],tabCustoUnit[[#This Row],[Código do Posto]])</f>
        <v>8.4565574999999988</v>
      </c>
      <c r="R57" s="21">
        <f>tabCustoUnit[[#This Row],[MODULO 1 - REMUNERAÇÃO ]]*SUMIFS(tabParametros[SENAI OU SENAC],tabParametros[Código do Posto],tabCustoUnit[[#This Row],[Código do Posto]])</f>
        <v>5.6377049999999995</v>
      </c>
      <c r="S57" s="21">
        <f>tabCustoUnit[[#This Row],[MODULO 1 - REMUNERAÇÃO ]]*SUMIFS(tabParametros[INCRA],tabParametros[Código do Posto],tabCustoUnit[[#This Row],[Código do Posto]])</f>
        <v>1.1275409999999999</v>
      </c>
      <c r="T57" s="21">
        <f>tabCustoUnit[[#This Row],[MODULO 1 - REMUNERAÇÃO ]]*SUMIFS(tabParametros[Salário Educação],tabParametros[Código do Posto],tabCustoUnit[[#This Row],[Código do Posto]])</f>
        <v>14.094262499999999</v>
      </c>
      <c r="U57" s="21">
        <f>tabCustoUnit[[#This Row],[MODULO 1 - REMUNERAÇÃO ]]*SUMIFS(tabParametros[FGTS],tabParametros[Código do Posto],tabCustoUnit[[#This Row],[Código do Posto]])</f>
        <v>45.101639999999996</v>
      </c>
      <c r="V57" s="21">
        <f>tabCustoUnit[[#This Row],[MODULO 1 - REMUNERAÇÃO ]]*SUMIFS(tabParametros[RAT Ajustado],tabParametros[Código do Posto],tabCustoUnit[[#This Row],[Código do Posto]])</f>
        <v>22.550819999999998</v>
      </c>
      <c r="W57" s="21">
        <f>tabCustoUnit[[#This Row],[MODULO 1 - REMUNERAÇÃO ]]*SUMIFS(tabParametros[SEBRAE],tabParametros[Código do Posto],tabCustoUnit[[#This Row],[Código do Posto]])</f>
        <v>3.3826229999999997</v>
      </c>
      <c r="X57" s="21">
        <f>SUM(tabCustoUnit[[#This Row],[INSS]:[SEBRAE]])</f>
        <v>213.10524899999996</v>
      </c>
      <c r="Y57" s="21">
        <f>tabCustoUnit[[#This Row],[MODULO 1 - REMUNERAÇÃO ]]*SUMIFS(tabParametros[13º salário (titular)],tabParametros[Código do Posto],tabCustoUnit[[#This Row],[Código do Posto]])</f>
        <v>46.980874999999997</v>
      </c>
      <c r="Z57" s="21">
        <f>tabCustoUnit[[#This Row],[MODULO 1 - REMUNERAÇÃO ]]*SUMIFS(tabParametros[Férias e Adicional de Férias (titular)],tabParametros[Código do Posto],tabCustoUnit[[#This Row],[Código do Posto]])</f>
        <v>62.641166666666663</v>
      </c>
      <c r="AA57" s="21">
        <f>IFERROR((tabCustoUnit[[#This Row],[Submódulo 2.1]]/tabCustoUnit[[#This Row],[MODULO 1 - REMUNERAÇÃO ]])*SUM(tabCustoUnit[[#This Row],[13º salário (titular)]:[Férias e Adicional de Férias (titular)]]),0)</f>
        <v>41.437131749999992</v>
      </c>
      <c r="AB57" s="21">
        <f>SUM(tabCustoUnit[[#This Row],[13º salário (titular)]:[Incidência do Submódulo 2.1 sobre 13º Salário, Férias e Adicional de Férias]])</f>
        <v>151.05917341666665</v>
      </c>
      <c r="AC57" s="22">
        <f>_xlfn.LET(_xlpm.VT,SUMIF(tabParametros[Código do Posto],tabCustoUnit[[#This Row],[Código do Posto]],tabParametros[Vale - Transporte])*2*20,
IF((_xlpm.VT-tabCustoUnit[[#This Row],[Salário Base]]*0.06)&gt;=0,(_xlpm.VT-tabCustoUnit[[#This Row],[Salário Base]]*0.06),0)
)</f>
        <v>223.3492</v>
      </c>
      <c r="AD57" s="22">
        <f>IF(SUMIF(tabParametros[Código do Posto],tabCustoUnit[[#This Row],[Código do Posto]],tabParametros[Vale - Alimentação])&lt;=0,0,
SUMIF(tabParametros[Código do Posto],tabCustoUnit[[#This Row],[Código do Posto]],tabParametros[Vale - Alimentação])*20-1)</f>
        <v>0</v>
      </c>
      <c r="AE57" s="22">
        <f>SUMIF(tabParametros[Código do Posto],tabCustoUnit[[#This Row],[Código do Posto]],tabParametros[Cesta Básica])</f>
        <v>387.79</v>
      </c>
      <c r="AF57" s="22">
        <f>SUMIF(tabParametros[Código do Posto],tabCustoUnit[[#This Row],[Código do Posto]],tabParametros[PAF])</f>
        <v>42.97</v>
      </c>
      <c r="AG57" s="22">
        <f>SUMIF(tabParametros[Código do Posto],tabCustoUnit[[#This Row],[Código do Posto]],tabParametros[PQM])</f>
        <v>0</v>
      </c>
      <c r="AH57" s="22">
        <f>SUMIF(tabParametros[Código do Posto],tabCustoUnit[[#This Row],[Código do Posto]],tabParametros[PAT])</f>
        <v>0</v>
      </c>
      <c r="AI57" s="22">
        <f>SUMIF(tabParametros[Código do Posto],tabCustoUnit[[#This Row],[Código do Posto]],tabParametros[Seguro de Vida])</f>
        <v>3.36</v>
      </c>
      <c r="AJ57" s="22">
        <f>SUMIF(tabParametros[Código do Posto],tabCustoUnit[[#This Row],[Código do Posto]],tabParametros[Despesas de Viagem])</f>
        <v>0</v>
      </c>
      <c r="AK57" s="22">
        <f>SUM(tabCustoUnit[[#This Row],[Vale - Transporte (Descontada parcela do empregado)]:[Despesas de Viagem]])</f>
        <v>657.46920000000011</v>
      </c>
      <c r="AL57" s="22">
        <f>tabCustoUnit[[#This Row],[Submódulo 2.1]]+tabCustoUnit[[#This Row],[Submódulo 2.2]]+tabCustoUnit[[#This Row],[Submódulo 2.3]]</f>
        <v>1021.6336224166668</v>
      </c>
      <c r="AM57" s="22">
        <f>SUMIF(tabParametros[Código do Posto],tabCustoUnit[[#This Row],[Código do Posto]],tabParametros[Aviso Prévio Indenizado (API) e Reflexo do Aviso Prévio Indenizado])*tabCustoUnit[[#This Row],[MODULO 1 - REMUNERAÇÃO ]]</f>
        <v>3.9530273735532404</v>
      </c>
      <c r="AN57" s="22">
        <f>SUMIF(tabParametros[Código do Posto],tabCustoUnit[[#This Row],[Código do Posto]],tabParametros[Incidência do FGTS sobre API e Reflexo do API])*tabCustoUnit[[#This Row],[MODULO 1 - REMUNERAÇÃO ]]</f>
        <v>0.31624218988425928</v>
      </c>
      <c r="AO57" s="22">
        <f>SUMIF(tabParametros[Código do Posto],tabCustoUnit[[#This Row],[Código do Posto]],tabParametros[Multa Rescisória do FGTS sobre o Aviso Prévio Indenizado])*tabCustoUnit[[#This Row],[MODULO 1 - REMUNERAÇÃO ]]</f>
        <v>0.12649687595370371</v>
      </c>
      <c r="AP57" s="22">
        <f>SUMIF(tabParametros[Código do Posto],tabCustoUnit[[#This Row],[Código do Posto]],tabParametros[Aviso Prévio Trabalhado - APT])*tabCustoUnit[[#This Row],[MODULO 1 - REMUNERAÇÃO ]]</f>
        <v>1.9731967500000003</v>
      </c>
      <c r="AQ57" s="22">
        <f>SUMIF(tabParametros[Código do Posto],tabCustoUnit[[#This Row],[Código do Posto]],tabParametros[Incidência dos encargos do submódulo 2.1 sobre Aviso Prévio Trabalhado])*tabCustoUnit[[#This Row],[MODULO 1 - REMUNERAÇÃO ]]</f>
        <v>0.74586837150000018</v>
      </c>
      <c r="AR57" s="22">
        <f>SUMIF(tabParametros[Código do Posto],tabCustoUnit[[#This Row],[Código do Posto]],tabParametros[Multa Rescisória do FGTS])*tabCustoUnit[[#This Row],[MODULO 1 - REMUNERAÇÃO ]]</f>
        <v>17.238849066666663</v>
      </c>
      <c r="AS57" s="22">
        <f>SUMIF(tabParametros[Código do Posto],tabCustoUnit[[#This Row],[Código do Posto]],tabParametros[Indenização Adicional (Art. 9º da Lei nº 7.238/84)])*tabCustoUnit[[#This Row],[MODULO 1 - REMUNERAÇÃO ]]</f>
        <v>0.46980875</v>
      </c>
      <c r="AT57" s="22">
        <f>SUM(tabCustoUnit[[#This Row],[Aviso Prévio Indenizado (API) e Reflexo do Aviso Prévio Indenizado]:[Indenização Adicional (Art. 9º da Lei nº 7.238/84)]])</f>
        <v>24.823489377557866</v>
      </c>
      <c r="AU57" s="22">
        <f>SUMIF(tabParametros[Código do Posto],tabCustoUnit[[#This Row],[Código do Posto]],tabParametros[Ausência por Doença])*tabCustoUnit[[#This Row],[MODULO 1 - REMUNERAÇÃO ]]</f>
        <v>4.7607286666666662</v>
      </c>
      <c r="AV57" s="22">
        <f>SUMIF(tabParametros[Código do Posto],tabCustoUnit[[#This Row],[Código do Posto]],tabParametros[Ausências Legais])*tabCustoUnit[[#This Row],[MODULO 1 - REMUNERAÇÃO ]]</f>
        <v>1.1432012916666665</v>
      </c>
      <c r="AW57" s="22">
        <f>SUMIF(tabParametros[Código do Posto],tabCustoUnit[[#This Row],[Código do Posto]],tabParametros[Licença Paternidade])*tabCustoUnit[[#This Row],[MODULO 1 - REMUNERAÇÃO ]]</f>
        <v>9.6310793749999998E-2</v>
      </c>
      <c r="AX57" s="22">
        <f>SUMIF(tabParametros[Código do Posto],tabCustoUnit[[#This Row],[Código do Posto]],tabParametros[Ausência por Acidente de Trabalho])*tabCustoUnit[[#This Row],[MODULO 1 - REMUNERAÇÃO ]]</f>
        <v>0.1174521875</v>
      </c>
      <c r="AY57" s="22">
        <f>SUMIF(tabParametros[Código do Posto],tabCustoUnit[[#This Row],[Código do Posto]],tabParametros[Férias, Adicional de Férias e 13º  com empregada em gozo de Licença Maternidade])*tabCustoUnit[[#This Row],[MODULO 1 - REMUNERAÇÃO ]]</f>
        <v>0.73081361111111109</v>
      </c>
      <c r="AZ57" s="22">
        <f>SUMIF(tabParametros[Código do Posto],tabCustoUnit[[#This Row],[Código do Posto]],tabParametros[Incidência do Submódulo 2.1 sobre Ausências Legais])*tabCustoUnit[[#This Row],[MODULO 1 - REMUNERAÇÃO ]]</f>
        <v>2.5887354761625003</v>
      </c>
      <c r="BA57" s="22">
        <f>SUM(tabCustoUnit[[#This Row],[Ausência por Doença]:[Incidência do Submódulo 2.1 sobre Ausências Legais]])</f>
        <v>9.4372420268569428</v>
      </c>
      <c r="BB57" s="22">
        <f>SUMIF(tabParametros[Código do Posto],tabCustoUnit[[#This Row],[Código do Posto]],tabParametros[Intervalo para Repouso ou Alimentação])</f>
        <v>0</v>
      </c>
      <c r="BC57" s="22">
        <f>tabCustoUnit[[#This Row],[Intervalo para Repouso ou Alimentação]]</f>
        <v>0</v>
      </c>
      <c r="BD57" s="22">
        <f>IF(VLOOKUP(tabCustoUnit[[#This Row],[Código do Posto]],PARAMETROS!$A$4:$BJ$255,7,0)&lt;=0,0,
IFERROR((tabCustoUnit[[#This Row],[MODULO 1 - REMUNERAÇÃO ]]*VLOOKUP(tabCustoUnit[[#This Row],[Código do Posto]],PARAMETROS!$A$4:$BJ$255,49,0))/(VLOOKUP(tabCustoUnit[[#This Row],[Código do Posto]],PARAMETROS!$A$4:$BJ$255,7,0)*VLOOKUP(tabCustoUnit[[#This Row],[Código do Posto]],PARAMETROS!$A$4:$BJ$255,8,0)),0)
)</f>
        <v>0</v>
      </c>
      <c r="BE57" s="22">
        <f>tabCustoUnit[[#This Row],[Suspensão Temporária do Contrato de Trabalho]]</f>
        <v>0</v>
      </c>
      <c r="BF57" s="22">
        <f>tabCustoUnit[[#This Row],[Submódulo 4.1]]+tabCustoUnit[[#This Row],[Submódulo 4.2]]+tabCustoUnit[[#This Row],[Submódulo 4.3]]</f>
        <v>9.4372420268569428</v>
      </c>
      <c r="BG57" s="22">
        <f>VLOOKUP(tabCustoUnit[[#This Row],[Código do Posto]],tabParametros[],MATCH(tabCustoUnit[[#Headers],[Uniformes e EPIs]],tabParametros[#Headers],0),0)</f>
        <v>62.806666666666665</v>
      </c>
      <c r="BH57" s="22">
        <f>VLOOKUP(tabCustoUnit[[#This Row],[Código do Posto]],tabParametros[],MATCH(tabCustoUnit[[#Headers],[Materiais de Consumo]],tabParametros[#Headers],0),0)</f>
        <v>12.108481690426325</v>
      </c>
      <c r="BI57" s="22">
        <f>VLOOKUP(tabCustoUnit[[#This Row],[Código do Posto]],tabParametros[],MATCH(tabCustoUnit[[#Headers],[Máquinas e Equipamentos (depreciação)]],tabParametros[#Headers],0),0)</f>
        <v>21.998657016417809</v>
      </c>
      <c r="BJ57" s="22">
        <f>VLOOKUP(tabCustoUnit[[#This Row],[Código do Posto]],tabParametros[],MATCH(tabCustoUnit[[#Headers],[Produtos de Limpeza e Materiais de Higiene Pessoal]],tabParametros[#Headers],0),0)</f>
        <v>235.31984072022155</v>
      </c>
      <c r="BK57" s="22">
        <f>VLOOKUP(tabCustoUnit[[#This Row],[Código do Posto]],tabParametros[],MATCH(tabCustoUnit[[#Headers],[Outros (especificar)]],tabParametros[#Headers],0),0)</f>
        <v>0</v>
      </c>
      <c r="BL57" s="22">
        <f>SUM(tabCustoUnit[[#This Row],[Uniformes e EPIs]:[Outros (especificar)]])</f>
        <v>332.23364609373232</v>
      </c>
      <c r="BM57" s="22">
        <f>tabCustoUnit[[#This Row],[MODULO 1 - REMUNERAÇÃO ]]+tabCustoUnit[[#This Row],[MÓDULO 2 - Total Encargos e Benefícios mensais e diários]]+tabCustoUnit[[#This Row],[MÓDULO 3 – PROVISÃO PARA RESCISÃO]]+tabCustoUnit[[#This Row],[MÓDULO 4 – CUSTO DE REPOSIÇÃO DO PROFISSIONAL AUSENTE]]+tabCustoUnit[[#This Row],[MÓDULO 5 – INSUMOS DIVERSOS]]</f>
        <v>1951.8984999148138</v>
      </c>
      <c r="BN57" s="22">
        <f>VLOOKUP(tabCustoUnit[[#This Row],[Código do Posto]],tabParametros[],MATCH(tabCustoUnit[[#Headers],[Custos Indiretos]],tabParametros[#Headers],0),0)</f>
        <v>189.64880140242613</v>
      </c>
      <c r="BO57" s="22">
        <f>VLOOKUP(tabCustoUnit[[#This Row],[Código do Posto]],tabParametros[],MATCH(tabCustoUnit[[#Headers],[Lucro]],tabParametros[#Headers],0),0)</f>
        <v>159.30499317803796</v>
      </c>
      <c r="BP57" s="26">
        <f>((100/((1-tabCustoUnit[[#This Row],[Resumo de Alíquotas (PIS+CONFINS+ISS)]]))-100)*VLOOKUP(tabCustoUnit[[#This Row],[Código do Posto]],tabParametros[],MATCH(tabCustoUnit[[#Headers],[COFINS]],tabParametros[#Headers],0),0))/(tabCustoUnit[[#This Row],[Resumo de Alíquotas (PIS+CONFINS+ISS)]]*100)</f>
        <v>8.8629737609329504E-2</v>
      </c>
      <c r="BQ57" s="26">
        <f>((100/((100-(tabCustoUnit[[#This Row],[Resumo de Alíquotas (PIS+CONFINS+ISS)]]*100))%)-100)*VLOOKUP(tabCustoUnit[[#This Row],[Código do Posto]],tabParametros[],MATCH(tabCustoUnit[[#Headers],[PIS]],tabParametros[#Headers],0),0))/(tabCustoUnit[[#This Row],[Resumo de Alíquotas (PIS+CONFINS+ISS)]]*100)</f>
        <v>1.9241982507288629E-2</v>
      </c>
      <c r="BR57" s="28">
        <f>VLOOKUP(tabCustoUnit[[#This Row],[Código do Posto]],tabParametros[],MATCH(tabCustoUnit[[#Headers],[ISS]],tabParametros[#Headers],0),0)</f>
        <v>0.05</v>
      </c>
      <c r="BS57" s="26">
        <f>(((100/((100-(tabCustoUnit[[#This Row],[Resumo de Alíquotas (PIS+CONFINS+ISS)]]*100))%)-100)*tabCustoUnit[[#This Row],[ISS]])/tabCustoUnit[[#This Row],[Resumo de Alíquotas (PIS+CONFINS+ISS)]])/100</f>
        <v>5.8309037900874633E-2</v>
      </c>
      <c r="BT57" s="26">
        <f>(VLOOKUP(tabCustoUnit[[#This Row],[Código do Posto]],tabParametros[],MATCH(tabCustoUnit[[#Headers],[COFINS]],tabParametros[#Headers],0),0)+
VLOOKUP(tabCustoUnit[[#This Row],[Código do Posto]],tabParametros[],MATCH(tabCustoUnit[[#Headers],[PIS]],tabParametros[#Headers],0),0)+
VLOOKUP(tabCustoUnit[[#This Row],[Código do Posto]],tabParametros[],MATCH(tabCustoUnit[[#Headers],[ISS]],tabParametros[#Headers],0),0))</f>
        <v>0.14250000000000002</v>
      </c>
      <c r="BU57" s="138">
        <f>tabCustoUnit[[#This Row],[COFINS]]+tabCustoUnit[[#This Row],[PIS]]+tabCustoUnit[[#This Row],[ISS (Conversão Alíquota s/ fatura)]]</f>
        <v>0.16618075801749277</v>
      </c>
      <c r="BV57" s="22">
        <f>(tabCustoUnit[[#This Row],[TOTAL MÓDULOS 1+2+3+4+5]]+tabCustoUnit[[#This Row],[Custos Indiretos]]+tabCustoUnit[[#This Row],[Lucro]])*tabCustoUnit[[#This Row],[PIS + COFINS + ISS (Total Conversão  Alíquota s/ Fatura)]]</f>
        <v>382.35737838551279</v>
      </c>
      <c r="BW57" s="22">
        <f>tabCustoUnit[[#This Row],[Custos Indiretos]]+tabCustoUnit[[#This Row],[Lucro]]+tabCustoUnit[[#This Row],[Valor dos Tributos (ISS, PIS, CONFINS)]]</f>
        <v>731.31117296597688</v>
      </c>
      <c r="BX57" s="22">
        <f>tabCustoUnit[[#This Row],[TOTAL MÓDULOS 1+2+3+4+5]]+tabCustoUnit[[#This Row],[MÓDULO 6 – CUSTOS INDIRETOS, TRIBUTOS E LUCRO]]</f>
        <v>2683.2096728807905</v>
      </c>
      <c r="BY57" s="22">
        <f>tabCustoUnit[[#This Row],[CUSTO TOTAL MENSAL]]*12</f>
        <v>32198.516074569488</v>
      </c>
      <c r="BZ57" s="24">
        <f>VLOOKUP(tabCustoUnit[[#This Row],[Código do Posto]],tabParametros[],MATCH(tabCustoUnit[[#Headers],[ANO DA CCT]],tabParametros[#Headers],0),0)</f>
        <v>45658</v>
      </c>
      <c r="CA57" s="25" t="str">
        <f>VLOOKUP(tabCustoUnit[[#This Row],[Código do Posto]],tabParametros[],MATCH(tabCustoUnit[[#Headers],[Nº DE PEDIDO DA CCT]],tabParametros[#Headers],0),0)</f>
        <v>-</v>
      </c>
      <c r="CB57" s="25" t="str">
        <f>VLOOKUP(tabCustoUnit[[#This Row],[Código do Posto]],tabParametros[],MATCH(tabCustoUnit[[#Headers],[TERMO ADITIVO ALTERAÇÃO DA CCT]],tabParametros[#Headers],0),0)</f>
        <v>-</v>
      </c>
    </row>
    <row r="58" spans="1:80" x14ac:dyDescent="0.25">
      <c r="A58" s="20" t="s">
        <v>1398</v>
      </c>
      <c r="B58" t="s">
        <v>56</v>
      </c>
      <c r="C58" t="s">
        <v>1246</v>
      </c>
      <c r="D58" t="s">
        <v>1023</v>
      </c>
      <c r="E58" s="20" t="s">
        <v>9</v>
      </c>
      <c r="F58" s="20" t="s">
        <v>10</v>
      </c>
      <c r="G58" s="21">
        <v>1088.3699999999999</v>
      </c>
      <c r="H58" s="21">
        <v>0</v>
      </c>
      <c r="I58" s="21">
        <v>0</v>
      </c>
      <c r="J58" s="21">
        <v>0</v>
      </c>
      <c r="K58" s="21">
        <v>0</v>
      </c>
      <c r="L58" s="21">
        <v>0</v>
      </c>
      <c r="M58" s="21">
        <v>0</v>
      </c>
      <c r="N58" s="21">
        <v>39.1813</v>
      </c>
      <c r="O58" s="21">
        <f>SUM(tabCustoUnit[[#This Row],[Salário Base]:[Adicional de Acúmulo de função]])</f>
        <v>1127.5512999999999</v>
      </c>
      <c r="P58" s="21">
        <f>tabCustoUnit[[#This Row],[MODULO 1 - REMUNERAÇÃO ]]*SUMIFS(tabParametros[INSS],tabParametros[Código do Posto],tabCustoUnit[[#This Row],[Código do Posto]])</f>
        <v>225.51025999999999</v>
      </c>
      <c r="Q58" s="21">
        <f>tabCustoUnit[[#This Row],[MODULO 1 - REMUNERAÇÃO ]]*SUMIFS(tabParametros[SESI OU SESC],tabParametros[Código do Posto],tabCustoUnit[[#This Row],[Código do Posto]])</f>
        <v>16.913269499999998</v>
      </c>
      <c r="R58" s="21">
        <f>tabCustoUnit[[#This Row],[MODULO 1 - REMUNERAÇÃO ]]*SUMIFS(tabParametros[SENAI OU SENAC],tabParametros[Código do Posto],tabCustoUnit[[#This Row],[Código do Posto]])</f>
        <v>11.275512999999998</v>
      </c>
      <c r="S58" s="21">
        <f>tabCustoUnit[[#This Row],[MODULO 1 - REMUNERAÇÃO ]]*SUMIFS(tabParametros[INCRA],tabParametros[Código do Posto],tabCustoUnit[[#This Row],[Código do Posto]])</f>
        <v>2.2551025999999998</v>
      </c>
      <c r="T58" s="21">
        <f>tabCustoUnit[[#This Row],[MODULO 1 - REMUNERAÇÃO ]]*SUMIFS(tabParametros[Salário Educação],tabParametros[Código do Posto],tabCustoUnit[[#This Row],[Código do Posto]])</f>
        <v>28.188782499999999</v>
      </c>
      <c r="U58" s="21">
        <f>tabCustoUnit[[#This Row],[MODULO 1 - REMUNERAÇÃO ]]*SUMIFS(tabParametros[FGTS],tabParametros[Código do Posto],tabCustoUnit[[#This Row],[Código do Posto]])</f>
        <v>90.204103999999987</v>
      </c>
      <c r="V58" s="21">
        <f>tabCustoUnit[[#This Row],[MODULO 1 - REMUNERAÇÃO ]]*SUMIFS(tabParametros[RAT Ajustado],tabParametros[Código do Posto],tabCustoUnit[[#This Row],[Código do Posto]])</f>
        <v>45.102051999999993</v>
      </c>
      <c r="W58" s="21">
        <f>tabCustoUnit[[#This Row],[MODULO 1 - REMUNERAÇÃO ]]*SUMIFS(tabParametros[SEBRAE],tabParametros[Código do Posto],tabCustoUnit[[#This Row],[Código do Posto]])</f>
        <v>6.7653077999999995</v>
      </c>
      <c r="X58" s="21">
        <f>SUM(tabCustoUnit[[#This Row],[INSS]:[SEBRAE]])</f>
        <v>426.21439139999995</v>
      </c>
      <c r="Y58" s="21">
        <f>tabCustoUnit[[#This Row],[MODULO 1 - REMUNERAÇÃO ]]*SUMIFS(tabParametros[13º salário (titular)],tabParametros[Código do Posto],tabCustoUnit[[#This Row],[Código do Posto]])</f>
        <v>93.962608333333321</v>
      </c>
      <c r="Z58" s="21">
        <f>tabCustoUnit[[#This Row],[MODULO 1 - REMUNERAÇÃO ]]*SUMIFS(tabParametros[Férias e Adicional de Férias (titular)],tabParametros[Código do Posto],tabCustoUnit[[#This Row],[Código do Posto]])</f>
        <v>125.28347777777776</v>
      </c>
      <c r="AA58" s="21">
        <f>IFERROR((tabCustoUnit[[#This Row],[Submódulo 2.1]]/tabCustoUnit[[#This Row],[MODULO 1 - REMUNERAÇÃO ]])*SUM(tabCustoUnit[[#This Row],[13º salário (titular)]:[Férias e Adicional de Férias (titular)]]),0)</f>
        <v>82.875020549999988</v>
      </c>
      <c r="AB58" s="21">
        <f>SUM(tabCustoUnit[[#This Row],[13º salário (titular)]:[Incidência do Submódulo 2.1 sobre 13º Salário, Férias e Adicional de Férias]])</f>
        <v>302.12110666111107</v>
      </c>
      <c r="AC58" s="22">
        <f>_xlfn.LET(_xlpm.VT,SUMIF(tabParametros[Código do Posto],tabCustoUnit[[#This Row],[Código do Posto]],tabParametros[Vale - Transporte])*2*20,
IF((_xlpm.VT-tabCustoUnit[[#This Row],[Salário Base]]*0.06)&gt;=0,(_xlpm.VT-tabCustoUnit[[#This Row],[Salário Base]]*0.06),0)
)</f>
        <v>190.69780000000003</v>
      </c>
      <c r="AD58" s="22">
        <f>IF(SUMIF(tabParametros[Código do Posto],tabCustoUnit[[#This Row],[Código do Posto]],tabParametros[Vale - Alimentação])&lt;=0,0,
SUMIF(tabParametros[Código do Posto],tabCustoUnit[[#This Row],[Código do Posto]],tabParametros[Vale - Alimentação])*20-1)</f>
        <v>582</v>
      </c>
      <c r="AE58" s="22">
        <f>SUMIF(tabParametros[Código do Posto],tabCustoUnit[[#This Row],[Código do Posto]],tabParametros[Cesta Básica])</f>
        <v>0</v>
      </c>
      <c r="AF58" s="22">
        <f>SUMIF(tabParametros[Código do Posto],tabCustoUnit[[#This Row],[Código do Posto]],tabParametros[PAF])</f>
        <v>0</v>
      </c>
      <c r="AG58" s="22">
        <f>SUMIF(tabParametros[Código do Posto],tabCustoUnit[[#This Row],[Código do Posto]],tabParametros[PQM])</f>
        <v>0</v>
      </c>
      <c r="AH58" s="22">
        <f>SUMIF(tabParametros[Código do Posto],tabCustoUnit[[#This Row],[Código do Posto]],tabParametros[PAT])</f>
        <v>0</v>
      </c>
      <c r="AI58" s="22">
        <f>SUMIF(tabParametros[Código do Posto],tabCustoUnit[[#This Row],[Código do Posto]],tabParametros[Seguro de Vida])</f>
        <v>3.36</v>
      </c>
      <c r="AJ58" s="22">
        <f>SUMIF(tabParametros[Código do Posto],tabCustoUnit[[#This Row],[Código do Posto]],tabParametros[Despesas de Viagem])</f>
        <v>0</v>
      </c>
      <c r="AK58" s="22">
        <f>SUM(tabCustoUnit[[#This Row],[Vale - Transporte (Descontada parcela do empregado)]:[Despesas de Viagem]])</f>
        <v>776.05780000000004</v>
      </c>
      <c r="AL58" s="22">
        <f>tabCustoUnit[[#This Row],[Submódulo 2.1]]+tabCustoUnit[[#This Row],[Submódulo 2.2]]+tabCustoUnit[[#This Row],[Submódulo 2.3]]</f>
        <v>1504.3932980611112</v>
      </c>
      <c r="AM58" s="22">
        <f>SUMIF(tabParametros[Código do Posto],tabCustoUnit[[#This Row],[Código do Posto]],tabParametros[Aviso Prévio Indenizado (API) e Reflexo do Aviso Prévio Indenizado])*tabCustoUnit[[#This Row],[MODULO 1 - REMUNERAÇÃO ]]</f>
        <v>7.9061269683063262</v>
      </c>
      <c r="AN58" s="22">
        <f>SUMIF(tabParametros[Código do Posto],tabCustoUnit[[#This Row],[Código do Posto]],tabParametros[Incidência do FGTS sobre API e Reflexo do API])*tabCustoUnit[[#This Row],[MODULO 1 - REMUNERAÇÃO ]]</f>
        <v>0.6324901574645061</v>
      </c>
      <c r="AO58" s="22">
        <f>SUMIF(tabParametros[Código do Posto],tabCustoUnit[[#This Row],[Código do Posto]],tabParametros[Multa Rescisória do FGTS sobre o Aviso Prévio Indenizado])*tabCustoUnit[[#This Row],[MODULO 1 - REMUNERAÇÃO ]]</f>
        <v>0.25299606298580246</v>
      </c>
      <c r="AP58" s="22">
        <f>SUMIF(tabParametros[Código do Posto],tabCustoUnit[[#This Row],[Código do Posto]],tabParametros[Aviso Prévio Trabalhado - APT])*tabCustoUnit[[#This Row],[MODULO 1 - REMUNERAÇÃO ]]</f>
        <v>3.94642955</v>
      </c>
      <c r="AQ58" s="22">
        <f>SUMIF(tabParametros[Código do Posto],tabCustoUnit[[#This Row],[Código do Posto]],tabParametros[Incidência dos encargos do submódulo 2.1 sobre Aviso Prévio Trabalhado])*tabCustoUnit[[#This Row],[MODULO 1 - REMUNERAÇÃO ]]</f>
        <v>1.4917503699000003</v>
      </c>
      <c r="AR58" s="22">
        <f>SUMIF(tabParametros[Código do Posto],tabCustoUnit[[#This Row],[Código do Posto]],tabParametros[Multa Rescisória do FGTS])*tabCustoUnit[[#This Row],[MODULO 1 - REMUNERAÇÃO ]]</f>
        <v>34.478013084444434</v>
      </c>
      <c r="AS58" s="22">
        <f>SUMIF(tabParametros[Código do Posto],tabCustoUnit[[#This Row],[Código do Posto]],tabParametros[Indenização Adicional (Art. 9º da Lei nº 7.238/84)])*tabCustoUnit[[#This Row],[MODULO 1 - REMUNERAÇÃO ]]</f>
        <v>0.93962608333333331</v>
      </c>
      <c r="AT58" s="22">
        <f>SUM(tabCustoUnit[[#This Row],[Aviso Prévio Indenizado (API) e Reflexo do Aviso Prévio Indenizado]:[Indenização Adicional (Art. 9º da Lei nº 7.238/84)]])</f>
        <v>49.647432276434401</v>
      </c>
      <c r="AU58" s="22">
        <f>SUMIF(tabParametros[Código do Posto],tabCustoUnit[[#This Row],[Código do Posto]],tabParametros[Ausência por Doença])*tabCustoUnit[[#This Row],[MODULO 1 - REMUNERAÇÃO ]]</f>
        <v>9.5215443111111089</v>
      </c>
      <c r="AV58" s="22">
        <f>SUMIF(tabParametros[Código do Posto],tabCustoUnit[[#This Row],[Código do Posto]],tabParametros[Ausências Legais])*tabCustoUnit[[#This Row],[MODULO 1 - REMUNERAÇÃO ]]</f>
        <v>2.2864234694444439</v>
      </c>
      <c r="AW58" s="22">
        <f>SUMIF(tabParametros[Código do Posto],tabCustoUnit[[#This Row],[Código do Posto]],tabParametros[Licença Paternidade])*tabCustoUnit[[#This Row],[MODULO 1 - REMUNERAÇÃO ]]</f>
        <v>0.19262334708333331</v>
      </c>
      <c r="AX58" s="22">
        <f>SUMIF(tabParametros[Código do Posto],tabCustoUnit[[#This Row],[Código do Posto]],tabParametros[Ausência por Acidente de Trabalho])*tabCustoUnit[[#This Row],[MODULO 1 - REMUNERAÇÃO ]]</f>
        <v>0.23490652083333333</v>
      </c>
      <c r="AY58" s="22">
        <f>SUMIF(tabParametros[Código do Posto],tabCustoUnit[[#This Row],[Código do Posto]],tabParametros[Férias, Adicional de Férias e 13º  com empregada em gozo de Licença Maternidade])*tabCustoUnit[[#This Row],[MODULO 1 - REMUNERAÇÃO ]]</f>
        <v>1.4616405740740739</v>
      </c>
      <c r="AZ58" s="22">
        <f>SUMIF(tabParametros[Código do Posto],tabCustoUnit[[#This Row],[Código do Posto]],tabParametros[Incidência do Submódulo 2.1 sobre Ausências Legais])*tabCustoUnit[[#This Row],[MODULO 1 - REMUNERAÇÃO ]]</f>
        <v>5.1775182481225004</v>
      </c>
      <c r="BA58" s="22">
        <f>SUM(tabCustoUnit[[#This Row],[Ausência por Doença]:[Incidência do Submódulo 2.1 sobre Ausências Legais]])</f>
        <v>18.874656470668793</v>
      </c>
      <c r="BB58" s="22">
        <f>SUMIF(tabParametros[Código do Posto],tabCustoUnit[[#This Row],[Código do Posto]],tabParametros[Intervalo para Repouso ou Alimentação])</f>
        <v>0</v>
      </c>
      <c r="BC58" s="22">
        <f>tabCustoUnit[[#This Row],[Intervalo para Repouso ou Alimentação]]</f>
        <v>0</v>
      </c>
      <c r="BD58" s="22">
        <f>IF(VLOOKUP(tabCustoUnit[[#This Row],[Código do Posto]],PARAMETROS!$A$4:$BJ$255,7,0)&lt;=0,0,
IFERROR((tabCustoUnit[[#This Row],[MODULO 1 - REMUNERAÇÃO ]]*VLOOKUP(tabCustoUnit[[#This Row],[Código do Posto]],PARAMETROS!$A$4:$BJ$255,49,0))/(VLOOKUP(tabCustoUnit[[#This Row],[Código do Posto]],PARAMETROS!$A$4:$BJ$255,7,0)*VLOOKUP(tabCustoUnit[[#This Row],[Código do Posto]],PARAMETROS!$A$4:$BJ$255,8,0)),0)
)</f>
        <v>0</v>
      </c>
      <c r="BE58" s="22">
        <f>tabCustoUnit[[#This Row],[Suspensão Temporária do Contrato de Trabalho]]</f>
        <v>0</v>
      </c>
      <c r="BF58" s="22">
        <f>tabCustoUnit[[#This Row],[Submódulo 4.1]]+tabCustoUnit[[#This Row],[Submódulo 4.2]]+tabCustoUnit[[#This Row],[Submódulo 4.3]]</f>
        <v>18.874656470668793</v>
      </c>
      <c r="BG58" s="22">
        <f>VLOOKUP(tabCustoUnit[[#This Row],[Código do Posto]],tabParametros[],MATCH(tabCustoUnit[[#Headers],[Uniformes e EPIs]],tabParametros[#Headers],0),0)</f>
        <v>100.80916666666666</v>
      </c>
      <c r="BH58" s="22">
        <f>VLOOKUP(tabCustoUnit[[#This Row],[Código do Posto]],tabParametros[],MATCH(tabCustoUnit[[#Headers],[Materiais de Consumo]],tabParametros[#Headers],0),0)</f>
        <v>24.216963380852651</v>
      </c>
      <c r="BI58" s="22">
        <f>VLOOKUP(tabCustoUnit[[#This Row],[Código do Posto]],tabParametros[],MATCH(tabCustoUnit[[#Headers],[Máquinas e Equipamentos (depreciação)]],tabParametros[#Headers],0),0)</f>
        <v>43.997314032835618</v>
      </c>
      <c r="BJ58" s="22">
        <f>VLOOKUP(tabCustoUnit[[#This Row],[Código do Posto]],tabParametros[],MATCH(tabCustoUnit[[#Headers],[Produtos de Limpeza e Materiais de Higiene Pessoal]],tabParametros[#Headers],0),0)</f>
        <v>470.6396814404431</v>
      </c>
      <c r="BK58" s="22">
        <f>VLOOKUP(tabCustoUnit[[#This Row],[Código do Posto]],tabParametros[],MATCH(tabCustoUnit[[#Headers],[Outros (especificar)]],tabParametros[#Headers],0),0)</f>
        <v>0</v>
      </c>
      <c r="BL58" s="22">
        <f>SUM(tabCustoUnit[[#This Row],[Uniformes e EPIs]:[Outros (especificar)]])</f>
        <v>639.66312552079808</v>
      </c>
      <c r="BM58" s="22">
        <f>tabCustoUnit[[#This Row],[MODULO 1 - REMUNERAÇÃO ]]+tabCustoUnit[[#This Row],[MÓDULO 2 - Total Encargos e Benefícios mensais e diários]]+tabCustoUnit[[#This Row],[MÓDULO 3 – PROVISÃO PARA RESCISÃO]]+tabCustoUnit[[#This Row],[MÓDULO 4 – CUSTO DE REPOSIÇÃO DO PROFISSIONAL AUSENTE]]+tabCustoUnit[[#This Row],[MÓDULO 5 – INSUMOS DIVERSOS]]</f>
        <v>3340.1298123290121</v>
      </c>
      <c r="BN58" s="22">
        <f>VLOOKUP(tabCustoUnit[[#This Row],[Código do Posto]],tabParametros[],MATCH(tabCustoUnit[[#Headers],[Custos Indiretos]],tabParametros[#Headers],0),0)</f>
        <v>189.64880140242613</v>
      </c>
      <c r="BO58" s="22">
        <f>VLOOKUP(tabCustoUnit[[#This Row],[Código do Posto]],tabParametros[],MATCH(tabCustoUnit[[#Headers],[Lucro]],tabParametros[#Headers],0),0)</f>
        <v>159.30499317803796</v>
      </c>
      <c r="BP58" s="26">
        <f>((100/((1-tabCustoUnit[[#This Row],[Resumo de Alíquotas (PIS+CONFINS+ISS)]]))-100)*VLOOKUP(tabCustoUnit[[#This Row],[Código do Posto]],tabParametros[],MATCH(tabCustoUnit[[#Headers],[COFINS]],tabParametros[#Headers],0),0))/(tabCustoUnit[[#This Row],[Resumo de Alíquotas (PIS+CONFINS+ISS)]]*100)</f>
        <v>8.5633802816901458E-2</v>
      </c>
      <c r="BQ58" s="26">
        <f>((100/((100-(tabCustoUnit[[#This Row],[Resumo de Alíquotas (PIS+CONFINS+ISS)]]*100))%)-100)*VLOOKUP(tabCustoUnit[[#This Row],[Código do Posto]],tabParametros[],MATCH(tabCustoUnit[[#Headers],[PIS]],tabParametros[#Headers],0),0))/(tabCustoUnit[[#This Row],[Resumo de Alíquotas (PIS+CONFINS+ISS)]]*100)</f>
        <v>1.8591549295774657E-2</v>
      </c>
      <c r="BR58" s="28">
        <f>VLOOKUP(tabCustoUnit[[#This Row],[Código do Posto]],tabParametros[],MATCH(tabCustoUnit[[#Headers],[ISS]],tabParametros[#Headers],0),0)</f>
        <v>0.02</v>
      </c>
      <c r="BS58" s="26">
        <f>(((100/((100-(tabCustoUnit[[#This Row],[Resumo de Alíquotas (PIS+CONFINS+ISS)]]*100))%)-100)*tabCustoUnit[[#This Row],[ISS]])/tabCustoUnit[[#This Row],[Resumo de Alíquotas (PIS+CONFINS+ISS)]])/100</f>
        <v>2.2535211267605645E-2</v>
      </c>
      <c r="BT58" s="26">
        <f>(VLOOKUP(tabCustoUnit[[#This Row],[Código do Posto]],tabParametros[],MATCH(tabCustoUnit[[#Headers],[COFINS]],tabParametros[#Headers],0),0)+
VLOOKUP(tabCustoUnit[[#This Row],[Código do Posto]],tabParametros[],MATCH(tabCustoUnit[[#Headers],[PIS]],tabParametros[#Headers],0),0)+
VLOOKUP(tabCustoUnit[[#This Row],[Código do Posto]],tabParametros[],MATCH(tabCustoUnit[[#Headers],[ISS]],tabParametros[#Headers],0),0))</f>
        <v>0.1125</v>
      </c>
      <c r="BU58" s="138">
        <f>tabCustoUnit[[#This Row],[COFINS]]+tabCustoUnit[[#This Row],[PIS]]+tabCustoUnit[[#This Row],[ISS (Conversão Alíquota s/ fatura)]]</f>
        <v>0.12676056338028174</v>
      </c>
      <c r="BV58" s="22">
        <f>(tabCustoUnit[[#This Row],[TOTAL MÓDULOS 1+2+3+4+5]]+tabCustoUnit[[#This Row],[Custos Indiretos]]+tabCustoUnit[[#This Row],[Lucro]])*tabCustoUnit[[#This Row],[PIS + COFINS + ISS (Total Conversão  Alíquota s/ Fatura)]]</f>
        <v>467.63031636880703</v>
      </c>
      <c r="BW58" s="22">
        <f>tabCustoUnit[[#This Row],[Custos Indiretos]]+tabCustoUnit[[#This Row],[Lucro]]+tabCustoUnit[[#This Row],[Valor dos Tributos (ISS, PIS, CONFINS)]]</f>
        <v>816.58411094927112</v>
      </c>
      <c r="BX58" s="22">
        <f>tabCustoUnit[[#This Row],[TOTAL MÓDULOS 1+2+3+4+5]]+tabCustoUnit[[#This Row],[MÓDULO 6 – CUSTOS INDIRETOS, TRIBUTOS E LUCRO]]</f>
        <v>4156.7139232782829</v>
      </c>
      <c r="BY58" s="22">
        <f>tabCustoUnit[[#This Row],[CUSTO TOTAL MENSAL]]*12</f>
        <v>49880.567079339395</v>
      </c>
      <c r="BZ58" s="24">
        <f>VLOOKUP(tabCustoUnit[[#This Row],[Código do Posto]],tabParametros[],MATCH(tabCustoUnit[[#Headers],[ANO DA CCT]],tabParametros[#Headers],0),0)</f>
        <v>45658</v>
      </c>
      <c r="CA58" s="25" t="str">
        <f>VLOOKUP(tabCustoUnit[[#This Row],[Código do Posto]],tabParametros[],MATCH(tabCustoUnit[[#Headers],[Nº DE PEDIDO DA CCT]],tabParametros[#Headers],0),0)</f>
        <v>-</v>
      </c>
      <c r="CB58" s="25" t="str">
        <f>VLOOKUP(tabCustoUnit[[#This Row],[Código do Posto]],tabParametros[],MATCH(tabCustoUnit[[#Headers],[TERMO ADITIVO ALTERAÇÃO DA CCT]],tabParametros[#Headers],0),0)</f>
        <v>-</v>
      </c>
    </row>
    <row r="59" spans="1:80" x14ac:dyDescent="0.25">
      <c r="A59" s="20" t="s">
        <v>1399</v>
      </c>
      <c r="B59" t="s">
        <v>57</v>
      </c>
      <c r="C59" t="s">
        <v>1244</v>
      </c>
      <c r="D59" t="s">
        <v>1026</v>
      </c>
      <c r="E59" s="20" t="s">
        <v>9</v>
      </c>
      <c r="F59" s="20" t="s">
        <v>10</v>
      </c>
      <c r="G59" s="21">
        <v>798.14</v>
      </c>
      <c r="H59" s="21">
        <v>0</v>
      </c>
      <c r="I59" s="21">
        <v>0</v>
      </c>
      <c r="J59" s="21">
        <v>0</v>
      </c>
      <c r="K59" s="21">
        <v>0</v>
      </c>
      <c r="L59" s="21">
        <v>0</v>
      </c>
      <c r="M59" s="21">
        <v>0</v>
      </c>
      <c r="N59" s="21">
        <v>26.120899999999999</v>
      </c>
      <c r="O59" s="21">
        <f>SUM(tabCustoUnit[[#This Row],[Salário Base]:[Adicional de Acúmulo de função]])</f>
        <v>824.26089999999999</v>
      </c>
      <c r="P59" s="21">
        <f>tabCustoUnit[[#This Row],[MODULO 1 - REMUNERAÇÃO ]]*SUMIFS(tabParametros[INSS],tabParametros[Código do Posto],tabCustoUnit[[#This Row],[Código do Posto]])</f>
        <v>164.85218</v>
      </c>
      <c r="Q59" s="21">
        <f>tabCustoUnit[[#This Row],[MODULO 1 - REMUNERAÇÃO ]]*SUMIFS(tabParametros[SESI OU SESC],tabParametros[Código do Posto],tabCustoUnit[[#This Row],[Código do Posto]])</f>
        <v>12.363913499999999</v>
      </c>
      <c r="R59" s="21">
        <f>tabCustoUnit[[#This Row],[MODULO 1 - REMUNERAÇÃO ]]*SUMIFS(tabParametros[SENAI OU SENAC],tabParametros[Código do Posto],tabCustoUnit[[#This Row],[Código do Posto]])</f>
        <v>8.2426089999999999</v>
      </c>
      <c r="S59" s="21">
        <f>tabCustoUnit[[#This Row],[MODULO 1 - REMUNERAÇÃO ]]*SUMIFS(tabParametros[INCRA],tabParametros[Código do Posto],tabCustoUnit[[#This Row],[Código do Posto]])</f>
        <v>1.6485217999999999</v>
      </c>
      <c r="T59" s="21">
        <f>tabCustoUnit[[#This Row],[MODULO 1 - REMUNERAÇÃO ]]*SUMIFS(tabParametros[Salário Educação],tabParametros[Código do Posto],tabCustoUnit[[#This Row],[Código do Posto]])</f>
        <v>20.606522500000001</v>
      </c>
      <c r="U59" s="21">
        <f>tabCustoUnit[[#This Row],[MODULO 1 - REMUNERAÇÃO ]]*SUMIFS(tabParametros[FGTS],tabParametros[Código do Posto],tabCustoUnit[[#This Row],[Código do Posto]])</f>
        <v>65.940871999999999</v>
      </c>
      <c r="V59" s="21">
        <f>tabCustoUnit[[#This Row],[MODULO 1 - REMUNERAÇÃO ]]*SUMIFS(tabParametros[RAT Ajustado],tabParametros[Código do Posto],tabCustoUnit[[#This Row],[Código do Posto]])</f>
        <v>32.970435999999999</v>
      </c>
      <c r="W59" s="21">
        <f>tabCustoUnit[[#This Row],[MODULO 1 - REMUNERAÇÃO ]]*SUMIFS(tabParametros[SEBRAE],tabParametros[Código do Posto],tabCustoUnit[[#This Row],[Código do Posto]])</f>
        <v>4.9455654000000004</v>
      </c>
      <c r="X59" s="21">
        <f>SUM(tabCustoUnit[[#This Row],[INSS]:[SEBRAE]])</f>
        <v>311.57062020000001</v>
      </c>
      <c r="Y59" s="21">
        <f>tabCustoUnit[[#This Row],[MODULO 1 - REMUNERAÇÃO ]]*SUMIFS(tabParametros[13º salário (titular)],tabParametros[Código do Posto],tabCustoUnit[[#This Row],[Código do Posto]])</f>
        <v>68.688408333333328</v>
      </c>
      <c r="Z59" s="21">
        <f>tabCustoUnit[[#This Row],[MODULO 1 - REMUNERAÇÃO ]]*SUMIFS(tabParametros[Férias e Adicional de Férias (titular)],tabParametros[Código do Posto],tabCustoUnit[[#This Row],[Código do Posto]])</f>
        <v>91.584544444444433</v>
      </c>
      <c r="AA59" s="21">
        <f>IFERROR((tabCustoUnit[[#This Row],[Submódulo 2.1]]/tabCustoUnit[[#This Row],[MODULO 1 - REMUNERAÇÃO ]])*SUM(tabCustoUnit[[#This Row],[13º salário (titular)]:[Férias e Adicional de Férias (titular)]]),0)</f>
        <v>60.583176149999993</v>
      </c>
      <c r="AB59" s="21">
        <f>SUM(tabCustoUnit[[#This Row],[13º salário (titular)]:[Incidência do Submódulo 2.1 sobre 13º Salário, Férias e Adicional de Férias]])</f>
        <v>220.85612892777775</v>
      </c>
      <c r="AC59" s="22">
        <f>_xlfn.LET(_xlpm.VT,SUMIF(tabParametros[Código do Posto],tabCustoUnit[[#This Row],[Código do Posto]],tabParametros[Vale - Transporte])*2*20,
IF((_xlpm.VT-tabCustoUnit[[#This Row],[Salário Base]]*0.06)&gt;=0,(_xlpm.VT-tabCustoUnit[[#This Row],[Salário Base]]*0.06),0)
)</f>
        <v>208.11160000000001</v>
      </c>
      <c r="AD59" s="22">
        <f>IF(SUMIF(tabParametros[Código do Posto],tabCustoUnit[[#This Row],[Código do Posto]],tabParametros[Vale - Alimentação])&lt;=0,0,
SUMIF(tabParametros[Código do Posto],tabCustoUnit[[#This Row],[Código do Posto]],tabParametros[Vale - Alimentação])*20-1)</f>
        <v>582</v>
      </c>
      <c r="AE59" s="22">
        <f>SUMIF(tabParametros[Código do Posto],tabCustoUnit[[#This Row],[Código do Posto]],tabParametros[Cesta Básica])</f>
        <v>0</v>
      </c>
      <c r="AF59" s="22">
        <f>SUMIF(tabParametros[Código do Posto],tabCustoUnit[[#This Row],[Código do Posto]],tabParametros[PAF])</f>
        <v>0</v>
      </c>
      <c r="AG59" s="22">
        <f>SUMIF(tabParametros[Código do Posto],tabCustoUnit[[#This Row],[Código do Posto]],tabParametros[PQM])</f>
        <v>15.07</v>
      </c>
      <c r="AH59" s="22">
        <f>SUMIF(tabParametros[Código do Posto],tabCustoUnit[[#This Row],[Código do Posto]],tabParametros[PAT])</f>
        <v>0</v>
      </c>
      <c r="AI59" s="22">
        <f>SUMIF(tabParametros[Código do Posto],tabCustoUnit[[#This Row],[Código do Posto]],tabParametros[Seguro de Vida])</f>
        <v>3.36</v>
      </c>
      <c r="AJ59" s="22">
        <f>SUMIF(tabParametros[Código do Posto],tabCustoUnit[[#This Row],[Código do Posto]],tabParametros[Despesas de Viagem])</f>
        <v>0</v>
      </c>
      <c r="AK59" s="22">
        <f>SUM(tabCustoUnit[[#This Row],[Vale - Transporte (Descontada parcela do empregado)]:[Despesas de Viagem]])</f>
        <v>808.54160000000002</v>
      </c>
      <c r="AL59" s="22">
        <f>tabCustoUnit[[#This Row],[Submódulo 2.1]]+tabCustoUnit[[#This Row],[Submódulo 2.2]]+tabCustoUnit[[#This Row],[Submódulo 2.3]]</f>
        <v>1340.9683491277779</v>
      </c>
      <c r="AM59" s="22">
        <f>SUMIF(tabParametros[Código do Posto],tabCustoUnit[[#This Row],[Código do Posto]],tabParametros[Aviso Prévio Indenizado (API) e Reflexo do Aviso Prévio Indenizado])*tabCustoUnit[[#This Row],[MODULO 1 - REMUNERAÇÃO ]]</f>
        <v>5.7795253576581791</v>
      </c>
      <c r="AN59" s="22">
        <f>SUMIF(tabParametros[Código do Posto],tabCustoUnit[[#This Row],[Código do Posto]],tabParametros[Incidência do FGTS sobre API e Reflexo do API])*tabCustoUnit[[#This Row],[MODULO 1 - REMUNERAÇÃO ]]</f>
        <v>0.46236202861265435</v>
      </c>
      <c r="AO59" s="22">
        <f>SUMIF(tabParametros[Código do Posto],tabCustoUnit[[#This Row],[Código do Posto]],tabParametros[Multa Rescisória do FGTS sobre o Aviso Prévio Indenizado])*tabCustoUnit[[#This Row],[MODULO 1 - REMUNERAÇÃO ]]</f>
        <v>0.18494481144506175</v>
      </c>
      <c r="AP59" s="22">
        <f>SUMIF(tabParametros[Código do Posto],tabCustoUnit[[#This Row],[Código do Posto]],tabParametros[Aviso Prévio Trabalhado - APT])*tabCustoUnit[[#This Row],[MODULO 1 - REMUNERAÇÃO ]]</f>
        <v>2.8849131500000005</v>
      </c>
      <c r="AQ59" s="22">
        <f>SUMIF(tabParametros[Código do Posto],tabCustoUnit[[#This Row],[Código do Posto]],tabParametros[Incidência dos encargos do submódulo 2.1 sobre Aviso Prévio Trabalhado])*tabCustoUnit[[#This Row],[MODULO 1 - REMUNERAÇÃO ]]</f>
        <v>1.0904971707000004</v>
      </c>
      <c r="AR59" s="22">
        <f>SUMIF(tabParametros[Código do Posto],tabCustoUnit[[#This Row],[Código do Posto]],tabParametros[Multa Rescisória do FGTS])*tabCustoUnit[[#This Row],[MODULO 1 - REMUNERAÇÃO ]]</f>
        <v>25.204066631111107</v>
      </c>
      <c r="AS59" s="22">
        <f>SUMIF(tabParametros[Código do Posto],tabCustoUnit[[#This Row],[Código do Posto]],tabParametros[Indenização Adicional (Art. 9º da Lei nº 7.238/84)])*tabCustoUnit[[#This Row],[MODULO 1 - REMUNERAÇÃO ]]</f>
        <v>0.6868840833333334</v>
      </c>
      <c r="AT59" s="22">
        <f>SUM(tabCustoUnit[[#This Row],[Aviso Prévio Indenizado (API) e Reflexo do Aviso Prévio Indenizado]:[Indenização Adicional (Art. 9º da Lei nº 7.238/84)]])</f>
        <v>36.293193232860339</v>
      </c>
      <c r="AU59" s="22">
        <f>SUMIF(tabParametros[Código do Posto],tabCustoUnit[[#This Row],[Código do Posto]],tabParametros[Ausência por Doença])*tabCustoUnit[[#This Row],[MODULO 1 - REMUNERAÇÃO ]]</f>
        <v>6.9604253777777769</v>
      </c>
      <c r="AV59" s="22">
        <f>SUMIF(tabParametros[Código do Posto],tabCustoUnit[[#This Row],[Código do Posto]],tabParametros[Ausências Legais])*tabCustoUnit[[#This Row],[MODULO 1 - REMUNERAÇÃO ]]</f>
        <v>1.671417936111111</v>
      </c>
      <c r="AW59" s="22">
        <f>SUMIF(tabParametros[Código do Posto],tabCustoUnit[[#This Row],[Código do Posto]],tabParametros[Licença Paternidade])*tabCustoUnit[[#This Row],[MODULO 1 - REMUNERAÇÃO ]]</f>
        <v>0.14081123708333332</v>
      </c>
      <c r="AX59" s="22">
        <f>SUMIF(tabParametros[Código do Posto],tabCustoUnit[[#This Row],[Código do Posto]],tabParametros[Ausência por Acidente de Trabalho])*tabCustoUnit[[#This Row],[MODULO 1 - REMUNERAÇÃO ]]</f>
        <v>0.17172102083333335</v>
      </c>
      <c r="AY59" s="22">
        <f>SUMIF(tabParametros[Código do Posto],tabCustoUnit[[#This Row],[Código do Posto]],tabParametros[Férias, Adicional de Férias e 13º  com empregada em gozo de Licença Maternidade])*tabCustoUnit[[#This Row],[MODULO 1 - REMUNERAÇÃO ]]</f>
        <v>1.0684863518518517</v>
      </c>
      <c r="AZ59" s="22">
        <f>SUMIF(tabParametros[Código do Posto],tabCustoUnit[[#This Row],[Código do Posto]],tabParametros[Incidência do Submódulo 2.1 sobre Ausências Legais])*tabCustoUnit[[#This Row],[MODULO 1 - REMUNERAÇÃO ]]</f>
        <v>3.7848618071425006</v>
      </c>
      <c r="BA59" s="22">
        <f>SUM(tabCustoUnit[[#This Row],[Ausência por Doença]:[Incidência do Submódulo 2.1 sobre Ausências Legais]])</f>
        <v>13.797723730799909</v>
      </c>
      <c r="BB59" s="22">
        <f>SUMIF(tabParametros[Código do Posto],tabCustoUnit[[#This Row],[Código do Posto]],tabParametros[Intervalo para Repouso ou Alimentação])</f>
        <v>0</v>
      </c>
      <c r="BC59" s="22">
        <f>tabCustoUnit[[#This Row],[Intervalo para Repouso ou Alimentação]]</f>
        <v>0</v>
      </c>
      <c r="BD59" s="22">
        <f>IF(VLOOKUP(tabCustoUnit[[#This Row],[Código do Posto]],PARAMETROS!$A$4:$BJ$255,7,0)&lt;=0,0,
IFERROR((tabCustoUnit[[#This Row],[MODULO 1 - REMUNERAÇÃO ]]*VLOOKUP(tabCustoUnit[[#This Row],[Código do Posto]],PARAMETROS!$A$4:$BJ$255,49,0))/(VLOOKUP(tabCustoUnit[[#This Row],[Código do Posto]],PARAMETROS!$A$4:$BJ$255,7,0)*VLOOKUP(tabCustoUnit[[#This Row],[Código do Posto]],PARAMETROS!$A$4:$BJ$255,8,0)),0)
)</f>
        <v>0</v>
      </c>
      <c r="BE59" s="22">
        <f>tabCustoUnit[[#This Row],[Suspensão Temporária do Contrato de Trabalho]]</f>
        <v>0</v>
      </c>
      <c r="BF59" s="22">
        <f>tabCustoUnit[[#This Row],[Submódulo 4.1]]+tabCustoUnit[[#This Row],[Submódulo 4.2]]+tabCustoUnit[[#This Row],[Submódulo 4.3]]</f>
        <v>13.797723730799909</v>
      </c>
      <c r="BG59" s="22">
        <f>VLOOKUP(tabCustoUnit[[#This Row],[Código do Posto]],tabParametros[],MATCH(tabCustoUnit[[#Headers],[Uniformes e EPIs]],tabParametros[#Headers],0),0)</f>
        <v>62.806666666666665</v>
      </c>
      <c r="BH59" s="22">
        <f>VLOOKUP(tabCustoUnit[[#This Row],[Código do Posto]],tabParametros[],MATCH(tabCustoUnit[[#Headers],[Materiais de Consumo]],tabParametros[#Headers],0),0)</f>
        <v>17.759106479291944</v>
      </c>
      <c r="BI59" s="22">
        <f>VLOOKUP(tabCustoUnit[[#This Row],[Código do Posto]],tabParametros[],MATCH(tabCustoUnit[[#Headers],[Máquinas e Equipamentos (depreciação)]],tabParametros[#Headers],0),0)</f>
        <v>32.264696957412788</v>
      </c>
      <c r="BJ59" s="22">
        <f>VLOOKUP(tabCustoUnit[[#This Row],[Código do Posto]],tabParametros[],MATCH(tabCustoUnit[[#Headers],[Produtos de Limpeza e Materiais de Higiene Pessoal]],tabParametros[#Headers],0),0)</f>
        <v>345.13576638965827</v>
      </c>
      <c r="BK59" s="22">
        <f>VLOOKUP(tabCustoUnit[[#This Row],[Código do Posto]],tabParametros[],MATCH(tabCustoUnit[[#Headers],[Outros (especificar)]],tabParametros[#Headers],0),0)</f>
        <v>0</v>
      </c>
      <c r="BL59" s="22">
        <f>SUM(tabCustoUnit[[#This Row],[Uniformes e EPIs]:[Outros (especificar)]])</f>
        <v>457.96623649302967</v>
      </c>
      <c r="BM59" s="22">
        <f>tabCustoUnit[[#This Row],[MODULO 1 - REMUNERAÇÃO ]]+tabCustoUnit[[#This Row],[MÓDULO 2 - Total Encargos e Benefícios mensais e diários]]+tabCustoUnit[[#This Row],[MÓDULO 3 – PROVISÃO PARA RESCISÃO]]+tabCustoUnit[[#This Row],[MÓDULO 4 – CUSTO DE REPOSIÇÃO DO PROFISSIONAL AUSENTE]]+tabCustoUnit[[#This Row],[MÓDULO 5 – INSUMOS DIVERSOS]]</f>
        <v>2673.2864025844674</v>
      </c>
      <c r="BN59" s="22">
        <f>VLOOKUP(tabCustoUnit[[#This Row],[Código do Posto]],tabParametros[],MATCH(tabCustoUnit[[#Headers],[Custos Indiretos]],tabParametros[#Headers],0),0)</f>
        <v>189.64880140242613</v>
      </c>
      <c r="BO59" s="22">
        <f>VLOOKUP(tabCustoUnit[[#This Row],[Código do Posto]],tabParametros[],MATCH(tabCustoUnit[[#Headers],[Lucro]],tabParametros[#Headers],0),0)</f>
        <v>159.30499317803796</v>
      </c>
      <c r="BP59" s="26">
        <f>((100/((1-tabCustoUnit[[#This Row],[Resumo de Alíquotas (PIS+CONFINS+ISS)]]))-100)*VLOOKUP(tabCustoUnit[[#This Row],[Código do Posto]],tabParametros[],MATCH(tabCustoUnit[[#Headers],[COFINS]],tabParametros[#Headers],0),0))/(tabCustoUnit[[#This Row],[Resumo de Alíquotas (PIS+CONFINS+ISS)]]*100)</f>
        <v>8.6609686609686695E-2</v>
      </c>
      <c r="BQ59" s="26">
        <f>((100/((100-(tabCustoUnit[[#This Row],[Resumo de Alíquotas (PIS+CONFINS+ISS)]]*100))%)-100)*VLOOKUP(tabCustoUnit[[#This Row],[Código do Posto]],tabParametros[],MATCH(tabCustoUnit[[#Headers],[PIS]],tabParametros[#Headers],0),0))/(tabCustoUnit[[#This Row],[Resumo de Alíquotas (PIS+CONFINS+ISS)]]*100)</f>
        <v>1.880341880341882E-2</v>
      </c>
      <c r="BR59" s="28">
        <f>VLOOKUP(tabCustoUnit[[#This Row],[Código do Posto]],tabParametros[],MATCH(tabCustoUnit[[#Headers],[ISS]],tabParametros[#Headers],0),0)</f>
        <v>0.03</v>
      </c>
      <c r="BS59" s="26">
        <f>(((100/((100-(tabCustoUnit[[#This Row],[Resumo de Alíquotas (PIS+CONFINS+ISS)]]*100))%)-100)*tabCustoUnit[[#This Row],[ISS]])/tabCustoUnit[[#This Row],[Resumo de Alíquotas (PIS+CONFINS+ISS)]])/100</f>
        <v>3.4188034188034219E-2</v>
      </c>
      <c r="BT59" s="26">
        <f>(VLOOKUP(tabCustoUnit[[#This Row],[Código do Posto]],tabParametros[],MATCH(tabCustoUnit[[#Headers],[COFINS]],tabParametros[#Headers],0),0)+
VLOOKUP(tabCustoUnit[[#This Row],[Código do Posto]],tabParametros[],MATCH(tabCustoUnit[[#Headers],[PIS]],tabParametros[#Headers],0),0)+
VLOOKUP(tabCustoUnit[[#This Row],[Código do Posto]],tabParametros[],MATCH(tabCustoUnit[[#Headers],[ISS]],tabParametros[#Headers],0),0))</f>
        <v>0.1225</v>
      </c>
      <c r="BU59" s="138">
        <f>tabCustoUnit[[#This Row],[COFINS]]+tabCustoUnit[[#This Row],[PIS]]+tabCustoUnit[[#This Row],[ISS (Conversão Alíquota s/ fatura)]]</f>
        <v>0.13960113960113973</v>
      </c>
      <c r="BV59" s="22">
        <f>(tabCustoUnit[[#This Row],[TOTAL MÓDULOS 1+2+3+4+5]]+tabCustoUnit[[#This Row],[Custos Indiretos]]+tabCustoUnit[[#This Row],[Lucro]])*tabCustoUnit[[#This Row],[PIS + COFINS + ISS (Total Conversão  Alíquota s/ Fatura)]]</f>
        <v>421.90817567259768</v>
      </c>
      <c r="BW59" s="22">
        <f>tabCustoUnit[[#This Row],[Custos Indiretos]]+tabCustoUnit[[#This Row],[Lucro]]+tabCustoUnit[[#This Row],[Valor dos Tributos (ISS, PIS, CONFINS)]]</f>
        <v>770.86197025306183</v>
      </c>
      <c r="BX59" s="22">
        <f>tabCustoUnit[[#This Row],[TOTAL MÓDULOS 1+2+3+4+5]]+tabCustoUnit[[#This Row],[MÓDULO 6 – CUSTOS INDIRETOS, TRIBUTOS E LUCRO]]</f>
        <v>3444.1483728375292</v>
      </c>
      <c r="BY59" s="22">
        <f>tabCustoUnit[[#This Row],[CUSTO TOTAL MENSAL]]*12</f>
        <v>41329.780474050349</v>
      </c>
      <c r="BZ59" s="24">
        <f>VLOOKUP(tabCustoUnit[[#This Row],[Código do Posto]],tabParametros[],MATCH(tabCustoUnit[[#Headers],[ANO DA CCT]],tabParametros[#Headers],0),0)</f>
        <v>45658</v>
      </c>
      <c r="CA59" s="25" t="str">
        <f>VLOOKUP(tabCustoUnit[[#This Row],[Código do Posto]],tabParametros[],MATCH(tabCustoUnit[[#Headers],[Nº DE PEDIDO DA CCT]],tabParametros[#Headers],0),0)</f>
        <v>-</v>
      </c>
      <c r="CB59" s="25" t="str">
        <f>VLOOKUP(tabCustoUnit[[#This Row],[Código do Posto]],tabParametros[],MATCH(tabCustoUnit[[#Headers],[TERMO ADITIVO ALTERAÇÃO DA CCT]],tabParametros[#Headers],0),0)</f>
        <v>-</v>
      </c>
    </row>
    <row r="60" spans="1:80" x14ac:dyDescent="0.25">
      <c r="A60" s="20" t="s">
        <v>1400</v>
      </c>
      <c r="B60" t="s">
        <v>58</v>
      </c>
      <c r="C60" t="s">
        <v>1247</v>
      </c>
      <c r="D60" t="s">
        <v>1000</v>
      </c>
      <c r="E60" s="20" t="s">
        <v>9</v>
      </c>
      <c r="F60" s="20" t="s">
        <v>10</v>
      </c>
      <c r="G60" s="21">
        <v>544.17999999999995</v>
      </c>
      <c r="H60" s="21">
        <v>0</v>
      </c>
      <c r="I60" s="21">
        <v>0</v>
      </c>
      <c r="J60" s="21">
        <v>0</v>
      </c>
      <c r="K60" s="21">
        <v>0</v>
      </c>
      <c r="L60" s="21">
        <v>0</v>
      </c>
      <c r="M60" s="21">
        <v>0</v>
      </c>
      <c r="N60" s="21">
        <v>19.590499999999999</v>
      </c>
      <c r="O60" s="21">
        <f>SUM(tabCustoUnit[[#This Row],[Salário Base]:[Adicional de Acúmulo de função]])</f>
        <v>563.77049999999997</v>
      </c>
      <c r="P60" s="21">
        <f>tabCustoUnit[[#This Row],[MODULO 1 - REMUNERAÇÃO ]]*SUMIFS(tabParametros[INSS],tabParametros[Código do Posto],tabCustoUnit[[#This Row],[Código do Posto]])</f>
        <v>112.75409999999999</v>
      </c>
      <c r="Q60" s="21">
        <f>tabCustoUnit[[#This Row],[MODULO 1 - REMUNERAÇÃO ]]*SUMIFS(tabParametros[SESI OU SESC],tabParametros[Código do Posto],tabCustoUnit[[#This Row],[Código do Posto]])</f>
        <v>8.4565574999999988</v>
      </c>
      <c r="R60" s="21">
        <f>tabCustoUnit[[#This Row],[MODULO 1 - REMUNERAÇÃO ]]*SUMIFS(tabParametros[SENAI OU SENAC],tabParametros[Código do Posto],tabCustoUnit[[#This Row],[Código do Posto]])</f>
        <v>5.6377049999999995</v>
      </c>
      <c r="S60" s="21">
        <f>tabCustoUnit[[#This Row],[MODULO 1 - REMUNERAÇÃO ]]*SUMIFS(tabParametros[INCRA],tabParametros[Código do Posto],tabCustoUnit[[#This Row],[Código do Posto]])</f>
        <v>1.1275409999999999</v>
      </c>
      <c r="T60" s="21">
        <f>tabCustoUnit[[#This Row],[MODULO 1 - REMUNERAÇÃO ]]*SUMIFS(tabParametros[Salário Educação],tabParametros[Código do Posto],tabCustoUnit[[#This Row],[Código do Posto]])</f>
        <v>14.094262499999999</v>
      </c>
      <c r="U60" s="21">
        <f>tabCustoUnit[[#This Row],[MODULO 1 - REMUNERAÇÃO ]]*SUMIFS(tabParametros[FGTS],tabParametros[Código do Posto],tabCustoUnit[[#This Row],[Código do Posto]])</f>
        <v>45.101639999999996</v>
      </c>
      <c r="V60" s="21">
        <f>tabCustoUnit[[#This Row],[MODULO 1 - REMUNERAÇÃO ]]*SUMIFS(tabParametros[RAT Ajustado],tabParametros[Código do Posto],tabCustoUnit[[#This Row],[Código do Posto]])</f>
        <v>22.550819999999998</v>
      </c>
      <c r="W60" s="21">
        <f>tabCustoUnit[[#This Row],[MODULO 1 - REMUNERAÇÃO ]]*SUMIFS(tabParametros[SEBRAE],tabParametros[Código do Posto],tabCustoUnit[[#This Row],[Código do Posto]])</f>
        <v>3.3826229999999997</v>
      </c>
      <c r="X60" s="21">
        <f>SUM(tabCustoUnit[[#This Row],[INSS]:[SEBRAE]])</f>
        <v>213.10524899999996</v>
      </c>
      <c r="Y60" s="21">
        <f>tabCustoUnit[[#This Row],[MODULO 1 - REMUNERAÇÃO ]]*SUMIFS(tabParametros[13º salário (titular)],tabParametros[Código do Posto],tabCustoUnit[[#This Row],[Código do Posto]])</f>
        <v>46.980874999999997</v>
      </c>
      <c r="Z60" s="21">
        <f>tabCustoUnit[[#This Row],[MODULO 1 - REMUNERAÇÃO ]]*SUMIFS(tabParametros[Férias e Adicional de Férias (titular)],tabParametros[Código do Posto],tabCustoUnit[[#This Row],[Código do Posto]])</f>
        <v>62.641166666666663</v>
      </c>
      <c r="AA60" s="21">
        <f>IFERROR((tabCustoUnit[[#This Row],[Submódulo 2.1]]/tabCustoUnit[[#This Row],[MODULO 1 - REMUNERAÇÃO ]])*SUM(tabCustoUnit[[#This Row],[13º salário (titular)]:[Férias e Adicional de Férias (titular)]]),0)</f>
        <v>41.437131749999992</v>
      </c>
      <c r="AB60" s="21">
        <f>SUM(tabCustoUnit[[#This Row],[13º salário (titular)]:[Incidência do Submódulo 2.1 sobre 13º Salário, Férias e Adicional de Férias]])</f>
        <v>151.05917341666665</v>
      </c>
      <c r="AC60" s="22">
        <f>_xlfn.LET(_xlpm.VT,SUMIF(tabParametros[Código do Posto],tabCustoUnit[[#This Row],[Código do Posto]],tabParametros[Vale - Transporte])*2*20,
IF((_xlpm.VT-tabCustoUnit[[#This Row],[Salário Base]]*0.06)&gt;=0,(_xlpm.VT-tabCustoUnit[[#This Row],[Salário Base]]*0.06),0)
)</f>
        <v>223.3492</v>
      </c>
      <c r="AD60" s="22">
        <f>IF(SUMIF(tabParametros[Código do Posto],tabCustoUnit[[#This Row],[Código do Posto]],tabParametros[Vale - Alimentação])&lt;=0,0,
SUMIF(tabParametros[Código do Posto],tabCustoUnit[[#This Row],[Código do Posto]],tabParametros[Vale - Alimentação])*20-1)</f>
        <v>582</v>
      </c>
      <c r="AE60" s="22">
        <f>SUMIF(tabParametros[Código do Posto],tabCustoUnit[[#This Row],[Código do Posto]],tabParametros[Cesta Básica])</f>
        <v>0</v>
      </c>
      <c r="AF60" s="22">
        <f>SUMIF(tabParametros[Código do Posto],tabCustoUnit[[#This Row],[Código do Posto]],tabParametros[PAF])</f>
        <v>0</v>
      </c>
      <c r="AG60" s="22">
        <f>SUMIF(tabParametros[Código do Posto],tabCustoUnit[[#This Row],[Código do Posto]],tabParametros[PQM])</f>
        <v>15.07</v>
      </c>
      <c r="AH60" s="22">
        <f>SUMIF(tabParametros[Código do Posto],tabCustoUnit[[#This Row],[Código do Posto]],tabParametros[PAT])</f>
        <v>0</v>
      </c>
      <c r="AI60" s="22">
        <f>SUMIF(tabParametros[Código do Posto],tabCustoUnit[[#This Row],[Código do Posto]],tabParametros[Seguro de Vida])</f>
        <v>3.36</v>
      </c>
      <c r="AJ60" s="22">
        <f>SUMIF(tabParametros[Código do Posto],tabCustoUnit[[#This Row],[Código do Posto]],tabParametros[Despesas de Viagem])</f>
        <v>0</v>
      </c>
      <c r="AK60" s="22">
        <f>SUM(tabCustoUnit[[#This Row],[Vale - Transporte (Descontada parcela do empregado)]:[Despesas de Viagem]])</f>
        <v>823.77920000000006</v>
      </c>
      <c r="AL60" s="22">
        <f>tabCustoUnit[[#This Row],[Submódulo 2.1]]+tabCustoUnit[[#This Row],[Submódulo 2.2]]+tabCustoUnit[[#This Row],[Submódulo 2.3]]</f>
        <v>1187.9436224166666</v>
      </c>
      <c r="AM60" s="22">
        <f>SUMIF(tabParametros[Código do Posto],tabCustoUnit[[#This Row],[Código do Posto]],tabParametros[Aviso Prévio Indenizado (API) e Reflexo do Aviso Prévio Indenizado])*tabCustoUnit[[#This Row],[MODULO 1 - REMUNERAÇÃO ]]</f>
        <v>3.9530273735532404</v>
      </c>
      <c r="AN60" s="22">
        <f>SUMIF(tabParametros[Código do Posto],tabCustoUnit[[#This Row],[Código do Posto]],tabParametros[Incidência do FGTS sobre API e Reflexo do API])*tabCustoUnit[[#This Row],[MODULO 1 - REMUNERAÇÃO ]]</f>
        <v>0.31624218988425928</v>
      </c>
      <c r="AO60" s="22">
        <f>SUMIF(tabParametros[Código do Posto],tabCustoUnit[[#This Row],[Código do Posto]],tabParametros[Multa Rescisória do FGTS sobre o Aviso Prévio Indenizado])*tabCustoUnit[[#This Row],[MODULO 1 - REMUNERAÇÃO ]]</f>
        <v>0.12649687595370371</v>
      </c>
      <c r="AP60" s="22">
        <f>SUMIF(tabParametros[Código do Posto],tabCustoUnit[[#This Row],[Código do Posto]],tabParametros[Aviso Prévio Trabalhado - APT])*tabCustoUnit[[#This Row],[MODULO 1 - REMUNERAÇÃO ]]</f>
        <v>1.9731967500000003</v>
      </c>
      <c r="AQ60" s="22">
        <f>SUMIF(tabParametros[Código do Posto],tabCustoUnit[[#This Row],[Código do Posto]],tabParametros[Incidência dos encargos do submódulo 2.1 sobre Aviso Prévio Trabalhado])*tabCustoUnit[[#This Row],[MODULO 1 - REMUNERAÇÃO ]]</f>
        <v>0.74586837150000018</v>
      </c>
      <c r="AR60" s="22">
        <f>SUMIF(tabParametros[Código do Posto],tabCustoUnit[[#This Row],[Código do Posto]],tabParametros[Multa Rescisória do FGTS])*tabCustoUnit[[#This Row],[MODULO 1 - REMUNERAÇÃO ]]</f>
        <v>17.238849066666663</v>
      </c>
      <c r="AS60" s="22">
        <f>SUMIF(tabParametros[Código do Posto],tabCustoUnit[[#This Row],[Código do Posto]],tabParametros[Indenização Adicional (Art. 9º da Lei nº 7.238/84)])*tabCustoUnit[[#This Row],[MODULO 1 - REMUNERAÇÃO ]]</f>
        <v>0.46980875</v>
      </c>
      <c r="AT60" s="22">
        <f>SUM(tabCustoUnit[[#This Row],[Aviso Prévio Indenizado (API) e Reflexo do Aviso Prévio Indenizado]:[Indenização Adicional (Art. 9º da Lei nº 7.238/84)]])</f>
        <v>24.823489377557866</v>
      </c>
      <c r="AU60" s="22">
        <f>SUMIF(tabParametros[Código do Posto],tabCustoUnit[[#This Row],[Código do Posto]],tabParametros[Ausência por Doença])*tabCustoUnit[[#This Row],[MODULO 1 - REMUNERAÇÃO ]]</f>
        <v>4.7607286666666662</v>
      </c>
      <c r="AV60" s="22">
        <f>SUMIF(tabParametros[Código do Posto],tabCustoUnit[[#This Row],[Código do Posto]],tabParametros[Ausências Legais])*tabCustoUnit[[#This Row],[MODULO 1 - REMUNERAÇÃO ]]</f>
        <v>1.1432012916666665</v>
      </c>
      <c r="AW60" s="22">
        <f>SUMIF(tabParametros[Código do Posto],tabCustoUnit[[#This Row],[Código do Posto]],tabParametros[Licença Paternidade])*tabCustoUnit[[#This Row],[MODULO 1 - REMUNERAÇÃO ]]</f>
        <v>9.6310793749999998E-2</v>
      </c>
      <c r="AX60" s="22">
        <f>SUMIF(tabParametros[Código do Posto],tabCustoUnit[[#This Row],[Código do Posto]],tabParametros[Ausência por Acidente de Trabalho])*tabCustoUnit[[#This Row],[MODULO 1 - REMUNERAÇÃO ]]</f>
        <v>0.1174521875</v>
      </c>
      <c r="AY60" s="22">
        <f>SUMIF(tabParametros[Código do Posto],tabCustoUnit[[#This Row],[Código do Posto]],tabParametros[Férias, Adicional de Férias e 13º  com empregada em gozo de Licença Maternidade])*tabCustoUnit[[#This Row],[MODULO 1 - REMUNERAÇÃO ]]</f>
        <v>0.73081361111111109</v>
      </c>
      <c r="AZ60" s="22">
        <f>SUMIF(tabParametros[Código do Posto],tabCustoUnit[[#This Row],[Código do Posto]],tabParametros[Incidência do Submódulo 2.1 sobre Ausências Legais])*tabCustoUnit[[#This Row],[MODULO 1 - REMUNERAÇÃO ]]</f>
        <v>2.5887354761625003</v>
      </c>
      <c r="BA60" s="22">
        <f>SUM(tabCustoUnit[[#This Row],[Ausência por Doença]:[Incidência do Submódulo 2.1 sobre Ausências Legais]])</f>
        <v>9.4372420268569428</v>
      </c>
      <c r="BB60" s="22">
        <f>SUMIF(tabParametros[Código do Posto],tabCustoUnit[[#This Row],[Código do Posto]],tabParametros[Intervalo para Repouso ou Alimentação])</f>
        <v>0</v>
      </c>
      <c r="BC60" s="22">
        <f>tabCustoUnit[[#This Row],[Intervalo para Repouso ou Alimentação]]</f>
        <v>0</v>
      </c>
      <c r="BD60" s="22">
        <f>IF(VLOOKUP(tabCustoUnit[[#This Row],[Código do Posto]],PARAMETROS!$A$4:$BJ$255,7,0)&lt;=0,0,
IFERROR((tabCustoUnit[[#This Row],[MODULO 1 - REMUNERAÇÃO ]]*VLOOKUP(tabCustoUnit[[#This Row],[Código do Posto]],PARAMETROS!$A$4:$BJ$255,49,0))/(VLOOKUP(tabCustoUnit[[#This Row],[Código do Posto]],PARAMETROS!$A$4:$BJ$255,7,0)*VLOOKUP(tabCustoUnit[[#This Row],[Código do Posto]],PARAMETROS!$A$4:$BJ$255,8,0)),0)
)</f>
        <v>0</v>
      </c>
      <c r="BE60" s="22">
        <f>tabCustoUnit[[#This Row],[Suspensão Temporária do Contrato de Trabalho]]</f>
        <v>0</v>
      </c>
      <c r="BF60" s="22">
        <f>tabCustoUnit[[#This Row],[Submódulo 4.1]]+tabCustoUnit[[#This Row],[Submódulo 4.2]]+tabCustoUnit[[#This Row],[Submódulo 4.3]]</f>
        <v>9.4372420268569428</v>
      </c>
      <c r="BG60" s="22">
        <f>VLOOKUP(tabCustoUnit[[#This Row],[Código do Posto]],tabParametros[],MATCH(tabCustoUnit[[#Headers],[Uniformes e EPIs]],tabParametros[#Headers],0),0)</f>
        <v>62.806666666666665</v>
      </c>
      <c r="BH60" s="22">
        <f>VLOOKUP(tabCustoUnit[[#This Row],[Código do Posto]],tabParametros[],MATCH(tabCustoUnit[[#Headers],[Materiais de Consumo]],tabParametros[#Headers],0),0)</f>
        <v>12.108481690426325</v>
      </c>
      <c r="BI60" s="22">
        <f>VLOOKUP(tabCustoUnit[[#This Row],[Código do Posto]],tabParametros[],MATCH(tabCustoUnit[[#Headers],[Máquinas e Equipamentos (depreciação)]],tabParametros[#Headers],0),0)</f>
        <v>21.998657016417809</v>
      </c>
      <c r="BJ60" s="22">
        <f>VLOOKUP(tabCustoUnit[[#This Row],[Código do Posto]],tabParametros[],MATCH(tabCustoUnit[[#Headers],[Produtos de Limpeza e Materiais de Higiene Pessoal]],tabParametros[#Headers],0),0)</f>
        <v>235.31984072022155</v>
      </c>
      <c r="BK60" s="22">
        <f>VLOOKUP(tabCustoUnit[[#This Row],[Código do Posto]],tabParametros[],MATCH(tabCustoUnit[[#Headers],[Outros (especificar)]],tabParametros[#Headers],0),0)</f>
        <v>0</v>
      </c>
      <c r="BL60" s="22">
        <f>SUM(tabCustoUnit[[#This Row],[Uniformes e EPIs]:[Outros (especificar)]])</f>
        <v>332.23364609373232</v>
      </c>
      <c r="BM60" s="22">
        <f>tabCustoUnit[[#This Row],[MODULO 1 - REMUNERAÇÃO ]]+tabCustoUnit[[#This Row],[MÓDULO 2 - Total Encargos e Benefícios mensais e diários]]+tabCustoUnit[[#This Row],[MÓDULO 3 – PROVISÃO PARA RESCISÃO]]+tabCustoUnit[[#This Row],[MÓDULO 4 – CUSTO DE REPOSIÇÃO DO PROFISSIONAL AUSENTE]]+tabCustoUnit[[#This Row],[MÓDULO 5 – INSUMOS DIVERSOS]]</f>
        <v>2118.2084999148137</v>
      </c>
      <c r="BN60" s="22">
        <f>VLOOKUP(tabCustoUnit[[#This Row],[Código do Posto]],tabParametros[],MATCH(tabCustoUnit[[#Headers],[Custos Indiretos]],tabParametros[#Headers],0),0)</f>
        <v>189.64880140242613</v>
      </c>
      <c r="BO60" s="22">
        <f>VLOOKUP(tabCustoUnit[[#This Row],[Código do Posto]],tabParametros[],MATCH(tabCustoUnit[[#Headers],[Lucro]],tabParametros[#Headers],0),0)</f>
        <v>159.30499317803796</v>
      </c>
      <c r="BP60" s="26">
        <f>((100/((1-tabCustoUnit[[#This Row],[Resumo de Alíquotas (PIS+CONFINS+ISS)]]))-100)*VLOOKUP(tabCustoUnit[[#This Row],[Código do Posto]],tabParametros[],MATCH(tabCustoUnit[[#Headers],[COFINS]],tabParametros[#Headers],0),0))/(tabCustoUnit[[#This Row],[Resumo de Alíquotas (PIS+CONFINS+ISS)]]*100)</f>
        <v>8.8629737609329504E-2</v>
      </c>
      <c r="BQ60" s="26">
        <f>((100/((100-(tabCustoUnit[[#This Row],[Resumo de Alíquotas (PIS+CONFINS+ISS)]]*100))%)-100)*VLOOKUP(tabCustoUnit[[#This Row],[Código do Posto]],tabParametros[],MATCH(tabCustoUnit[[#Headers],[PIS]],tabParametros[#Headers],0),0))/(tabCustoUnit[[#This Row],[Resumo de Alíquotas (PIS+CONFINS+ISS)]]*100)</f>
        <v>1.9241982507288629E-2</v>
      </c>
      <c r="BR60" s="28">
        <f>VLOOKUP(tabCustoUnit[[#This Row],[Código do Posto]],tabParametros[],MATCH(tabCustoUnit[[#Headers],[ISS]],tabParametros[#Headers],0),0)</f>
        <v>0.05</v>
      </c>
      <c r="BS60" s="26">
        <f>(((100/((100-(tabCustoUnit[[#This Row],[Resumo de Alíquotas (PIS+CONFINS+ISS)]]*100))%)-100)*tabCustoUnit[[#This Row],[ISS]])/tabCustoUnit[[#This Row],[Resumo de Alíquotas (PIS+CONFINS+ISS)]])/100</f>
        <v>5.8309037900874633E-2</v>
      </c>
      <c r="BT60" s="26">
        <f>(VLOOKUP(tabCustoUnit[[#This Row],[Código do Posto]],tabParametros[],MATCH(tabCustoUnit[[#Headers],[COFINS]],tabParametros[#Headers],0),0)+
VLOOKUP(tabCustoUnit[[#This Row],[Código do Posto]],tabParametros[],MATCH(tabCustoUnit[[#Headers],[PIS]],tabParametros[#Headers],0),0)+
VLOOKUP(tabCustoUnit[[#This Row],[Código do Posto]],tabParametros[],MATCH(tabCustoUnit[[#Headers],[ISS]],tabParametros[#Headers],0),0))</f>
        <v>0.14250000000000002</v>
      </c>
      <c r="BU60" s="138">
        <f>tabCustoUnit[[#This Row],[COFINS]]+tabCustoUnit[[#This Row],[PIS]]+tabCustoUnit[[#This Row],[ISS (Conversão Alíquota s/ fatura)]]</f>
        <v>0.16618075801749277</v>
      </c>
      <c r="BV60" s="22">
        <f>(tabCustoUnit[[#This Row],[TOTAL MÓDULOS 1+2+3+4+5]]+tabCustoUnit[[#This Row],[Custos Indiretos]]+tabCustoUnit[[#This Row],[Lucro]])*tabCustoUnit[[#This Row],[PIS + COFINS + ISS (Total Conversão  Alíquota s/ Fatura)]]</f>
        <v>409.99490025140199</v>
      </c>
      <c r="BW60" s="22">
        <f>tabCustoUnit[[#This Row],[Custos Indiretos]]+tabCustoUnit[[#This Row],[Lucro]]+tabCustoUnit[[#This Row],[Valor dos Tributos (ISS, PIS, CONFINS)]]</f>
        <v>758.94869483186608</v>
      </c>
      <c r="BX60" s="22">
        <f>tabCustoUnit[[#This Row],[TOTAL MÓDULOS 1+2+3+4+5]]+tabCustoUnit[[#This Row],[MÓDULO 6 – CUSTOS INDIRETOS, TRIBUTOS E LUCRO]]</f>
        <v>2877.15719474668</v>
      </c>
      <c r="BY60" s="22">
        <f>tabCustoUnit[[#This Row],[CUSTO TOTAL MENSAL]]*12</f>
        <v>34525.88633696016</v>
      </c>
      <c r="BZ60" s="24">
        <f>VLOOKUP(tabCustoUnit[[#This Row],[Código do Posto]],tabParametros[],MATCH(tabCustoUnit[[#Headers],[ANO DA CCT]],tabParametros[#Headers],0),0)</f>
        <v>45658</v>
      </c>
      <c r="CA60" s="25" t="str">
        <f>VLOOKUP(tabCustoUnit[[#This Row],[Código do Posto]],tabParametros[],MATCH(tabCustoUnit[[#Headers],[Nº DE PEDIDO DA CCT]],tabParametros[#Headers],0),0)</f>
        <v>-</v>
      </c>
      <c r="CB60" s="25" t="str">
        <f>VLOOKUP(tabCustoUnit[[#This Row],[Código do Posto]],tabParametros[],MATCH(tabCustoUnit[[#Headers],[TERMO ADITIVO ALTERAÇÃO DA CCT]],tabParametros[#Headers],0),0)</f>
        <v>-</v>
      </c>
    </row>
    <row r="61" spans="1:80" x14ac:dyDescent="0.25">
      <c r="A61" s="20" t="s">
        <v>1401</v>
      </c>
      <c r="B61" t="s">
        <v>59</v>
      </c>
      <c r="C61" t="s">
        <v>1245</v>
      </c>
      <c r="D61" t="s">
        <v>1018</v>
      </c>
      <c r="E61" s="20" t="s">
        <v>9</v>
      </c>
      <c r="F61" s="20" t="s">
        <v>10</v>
      </c>
      <c r="G61" s="21">
        <v>1596.28</v>
      </c>
      <c r="H61" s="21">
        <v>0</v>
      </c>
      <c r="I61" s="21">
        <v>0</v>
      </c>
      <c r="J61" s="21">
        <v>0</v>
      </c>
      <c r="K61" s="21">
        <v>0</v>
      </c>
      <c r="L61" s="21">
        <v>0</v>
      </c>
      <c r="M61" s="21">
        <v>0</v>
      </c>
      <c r="N61" s="21">
        <v>52.241900000000001</v>
      </c>
      <c r="O61" s="21">
        <f>SUM(tabCustoUnit[[#This Row],[Salário Base]:[Adicional de Acúmulo de função]])</f>
        <v>1648.5219</v>
      </c>
      <c r="P61" s="21">
        <f>tabCustoUnit[[#This Row],[MODULO 1 - REMUNERAÇÃO ]]*SUMIFS(tabParametros[INSS],tabParametros[Código do Posto],tabCustoUnit[[#This Row],[Código do Posto]])</f>
        <v>329.70438000000001</v>
      </c>
      <c r="Q61" s="21">
        <f>tabCustoUnit[[#This Row],[MODULO 1 - REMUNERAÇÃO ]]*SUMIFS(tabParametros[SESI OU SESC],tabParametros[Código do Posto],tabCustoUnit[[#This Row],[Código do Posto]])</f>
        <v>24.727828499999998</v>
      </c>
      <c r="R61" s="21">
        <f>tabCustoUnit[[#This Row],[MODULO 1 - REMUNERAÇÃO ]]*SUMIFS(tabParametros[SENAI OU SENAC],tabParametros[Código do Posto],tabCustoUnit[[#This Row],[Código do Posto]])</f>
        <v>16.485219000000001</v>
      </c>
      <c r="S61" s="21">
        <f>tabCustoUnit[[#This Row],[MODULO 1 - REMUNERAÇÃO ]]*SUMIFS(tabParametros[INCRA],tabParametros[Código do Posto],tabCustoUnit[[#This Row],[Código do Posto]])</f>
        <v>3.2970438</v>
      </c>
      <c r="T61" s="21">
        <f>tabCustoUnit[[#This Row],[MODULO 1 - REMUNERAÇÃO ]]*SUMIFS(tabParametros[Salário Educação],tabParametros[Código do Posto],tabCustoUnit[[#This Row],[Código do Posto]])</f>
        <v>41.213047500000002</v>
      </c>
      <c r="U61" s="21">
        <f>tabCustoUnit[[#This Row],[MODULO 1 - REMUNERAÇÃO ]]*SUMIFS(tabParametros[FGTS],tabParametros[Código do Posto],tabCustoUnit[[#This Row],[Código do Posto]])</f>
        <v>131.88175200000001</v>
      </c>
      <c r="V61" s="21">
        <f>tabCustoUnit[[#This Row],[MODULO 1 - REMUNERAÇÃO ]]*SUMIFS(tabParametros[RAT Ajustado],tabParametros[Código do Posto],tabCustoUnit[[#This Row],[Código do Posto]])</f>
        <v>65.940876000000003</v>
      </c>
      <c r="W61" s="21">
        <f>tabCustoUnit[[#This Row],[MODULO 1 - REMUNERAÇÃO ]]*SUMIFS(tabParametros[SEBRAE],tabParametros[Código do Posto],tabCustoUnit[[#This Row],[Código do Posto]])</f>
        <v>9.8911314000000008</v>
      </c>
      <c r="X61" s="21">
        <f>SUM(tabCustoUnit[[#This Row],[INSS]:[SEBRAE]])</f>
        <v>623.14127819999999</v>
      </c>
      <c r="Y61" s="21">
        <f>tabCustoUnit[[#This Row],[MODULO 1 - REMUNERAÇÃO ]]*SUMIFS(tabParametros[13º salário (titular)],tabParametros[Código do Posto],tabCustoUnit[[#This Row],[Código do Posto]])</f>
        <v>137.376825</v>
      </c>
      <c r="Z61" s="21">
        <f>tabCustoUnit[[#This Row],[MODULO 1 - REMUNERAÇÃO ]]*SUMIFS(tabParametros[Férias e Adicional de Férias (titular)],tabParametros[Código do Posto],tabCustoUnit[[#This Row],[Código do Posto]])</f>
        <v>183.16909999999999</v>
      </c>
      <c r="AA61" s="21">
        <f>IFERROR((tabCustoUnit[[#This Row],[Submódulo 2.1]]/tabCustoUnit[[#This Row],[MODULO 1 - REMUNERAÇÃO ]])*SUM(tabCustoUnit[[#This Row],[13º salário (titular)]:[Férias e Adicional de Férias (titular)]]),0)</f>
        <v>121.16635965</v>
      </c>
      <c r="AB61" s="21">
        <f>SUM(tabCustoUnit[[#This Row],[13º salário (titular)]:[Incidência do Submódulo 2.1 sobre 13º Salário, Férias e Adicional de Férias]])</f>
        <v>441.71228465000002</v>
      </c>
      <c r="AC61" s="22">
        <f>_xlfn.LET(_xlpm.VT,SUMIF(tabParametros[Código do Posto],tabCustoUnit[[#This Row],[Código do Posto]],tabParametros[Vale - Transporte])*2*20,
IF((_xlpm.VT-tabCustoUnit[[#This Row],[Salário Base]]*0.06)&gt;=0,(_xlpm.VT-tabCustoUnit[[#This Row],[Salário Base]]*0.06),0)
)</f>
        <v>160.22320000000002</v>
      </c>
      <c r="AD61" s="22">
        <f>IF(SUMIF(tabParametros[Código do Posto],tabCustoUnit[[#This Row],[Código do Posto]],tabParametros[Vale - Alimentação])&lt;=0,0,
SUMIF(tabParametros[Código do Posto],tabCustoUnit[[#This Row],[Código do Posto]],tabParametros[Vale - Alimentação])*20-1)</f>
        <v>582</v>
      </c>
      <c r="AE61" s="22">
        <f>SUMIF(tabParametros[Código do Posto],tabCustoUnit[[#This Row],[Código do Posto]],tabParametros[Cesta Básica])</f>
        <v>0</v>
      </c>
      <c r="AF61" s="22">
        <f>SUMIF(tabParametros[Código do Posto],tabCustoUnit[[#This Row],[Código do Posto]],tabParametros[PAF])</f>
        <v>51.88</v>
      </c>
      <c r="AG61" s="22">
        <f>SUMIF(tabParametros[Código do Posto],tabCustoUnit[[#This Row],[Código do Posto]],tabParametros[PQM])</f>
        <v>0</v>
      </c>
      <c r="AH61" s="22">
        <f>SUMIF(tabParametros[Código do Posto],tabCustoUnit[[#This Row],[Código do Posto]],tabParametros[PAT])</f>
        <v>0</v>
      </c>
      <c r="AI61" s="22">
        <f>SUMIF(tabParametros[Código do Posto],tabCustoUnit[[#This Row],[Código do Posto]],tabParametros[Seguro de Vida])</f>
        <v>3.36</v>
      </c>
      <c r="AJ61" s="22">
        <f>SUMIF(tabParametros[Código do Posto],tabCustoUnit[[#This Row],[Código do Posto]],tabParametros[Despesas de Viagem])</f>
        <v>0</v>
      </c>
      <c r="AK61" s="22">
        <f>SUM(tabCustoUnit[[#This Row],[Vale - Transporte (Descontada parcela do empregado)]:[Despesas de Viagem]])</f>
        <v>797.46320000000003</v>
      </c>
      <c r="AL61" s="22">
        <f>tabCustoUnit[[#This Row],[Submódulo 2.1]]+tabCustoUnit[[#This Row],[Submódulo 2.2]]+tabCustoUnit[[#This Row],[Submódulo 2.3]]</f>
        <v>1862.31676285</v>
      </c>
      <c r="AM61" s="22">
        <f>SUMIF(tabParametros[Código do Posto],tabCustoUnit[[#This Row],[Código do Posto]],tabParametros[Aviso Prévio Indenizado (API) e Reflexo do Aviso Prévio Indenizado])*tabCustoUnit[[#This Row],[MODULO 1 - REMUNERAÇÃO ]]</f>
        <v>11.559051416493055</v>
      </c>
      <c r="AN61" s="22">
        <f>SUMIF(tabParametros[Código do Posto],tabCustoUnit[[#This Row],[Código do Posto]],tabParametros[Incidência do FGTS sobre API e Reflexo do API])*tabCustoUnit[[#This Row],[MODULO 1 - REMUNERAÇÃO ]]</f>
        <v>0.92472411331944449</v>
      </c>
      <c r="AO61" s="22">
        <f>SUMIF(tabParametros[Código do Posto],tabCustoUnit[[#This Row],[Código do Posto]],tabParametros[Multa Rescisória do FGTS sobre o Aviso Prévio Indenizado])*tabCustoUnit[[#This Row],[MODULO 1 - REMUNERAÇÃO ]]</f>
        <v>0.36988964532777785</v>
      </c>
      <c r="AP61" s="22">
        <f>SUMIF(tabParametros[Código do Posto],tabCustoUnit[[#This Row],[Código do Posto]],tabParametros[Aviso Prévio Trabalhado - APT])*tabCustoUnit[[#This Row],[MODULO 1 - REMUNERAÇÃO ]]</f>
        <v>5.7698266500000006</v>
      </c>
      <c r="AQ61" s="22">
        <f>SUMIF(tabParametros[Código do Posto],tabCustoUnit[[#This Row],[Código do Posto]],tabParametros[Incidência dos encargos do submódulo 2.1 sobre Aviso Prévio Trabalhado])*tabCustoUnit[[#This Row],[MODULO 1 - REMUNERAÇÃO ]]</f>
        <v>2.1809944737000007</v>
      </c>
      <c r="AR61" s="22">
        <f>SUMIF(tabParametros[Código do Posto],tabCustoUnit[[#This Row],[Código do Posto]],tabParametros[Multa Rescisória do FGTS])*tabCustoUnit[[#This Row],[MODULO 1 - REMUNERAÇÃO ]]</f>
        <v>50.40813631999999</v>
      </c>
      <c r="AS61" s="22">
        <f>SUMIF(tabParametros[Código do Posto],tabCustoUnit[[#This Row],[Código do Posto]],tabParametros[Indenização Adicional (Art. 9º da Lei nº 7.238/84)])*tabCustoUnit[[#This Row],[MODULO 1 - REMUNERAÇÃO ]]</f>
        <v>1.3737682500000001</v>
      </c>
      <c r="AT61" s="22">
        <f>SUM(tabCustoUnit[[#This Row],[Aviso Prévio Indenizado (API) e Reflexo do Aviso Prévio Indenizado]:[Indenização Adicional (Art. 9º da Lei nº 7.238/84)]])</f>
        <v>72.586390868840269</v>
      </c>
      <c r="AU61" s="22">
        <f>SUMIF(tabParametros[Código do Posto],tabCustoUnit[[#This Row],[Código do Posto]],tabParametros[Ausência por Doença])*tabCustoUnit[[#This Row],[MODULO 1 - REMUNERAÇÃO ]]</f>
        <v>13.920851599999999</v>
      </c>
      <c r="AV61" s="22">
        <f>SUMIF(tabParametros[Código do Posto],tabCustoUnit[[#This Row],[Código do Posto]],tabParametros[Ausências Legais])*tabCustoUnit[[#This Row],[MODULO 1 - REMUNERAÇÃO ]]</f>
        <v>3.3428360749999997</v>
      </c>
      <c r="AW61" s="22">
        <f>SUMIF(tabParametros[Código do Posto],tabCustoUnit[[#This Row],[Código do Posto]],tabParametros[Licença Paternidade])*tabCustoUnit[[#This Row],[MODULO 1 - REMUNERAÇÃO ]]</f>
        <v>0.28162249125</v>
      </c>
      <c r="AX61" s="22">
        <f>SUMIF(tabParametros[Código do Posto],tabCustoUnit[[#This Row],[Código do Posto]],tabParametros[Ausência por Acidente de Trabalho])*tabCustoUnit[[#This Row],[MODULO 1 - REMUNERAÇÃO ]]</f>
        <v>0.34344206250000003</v>
      </c>
      <c r="AY61" s="22">
        <f>SUMIF(tabParametros[Código do Posto],tabCustoUnit[[#This Row],[Código do Posto]],tabParametros[Férias, Adicional de Férias e 13º  com empregada em gozo de Licença Maternidade])*tabCustoUnit[[#This Row],[MODULO 1 - REMUNERAÇÃO ]]</f>
        <v>2.1369728333333331</v>
      </c>
      <c r="AZ61" s="22">
        <f>SUMIF(tabParametros[Código do Posto],tabCustoUnit[[#This Row],[Código do Posto]],tabParametros[Incidência do Submódulo 2.1 sobre Ausências Legais])*tabCustoUnit[[#This Row],[MODULO 1 - REMUNERAÇÃO ]]</f>
        <v>7.5697240734675013</v>
      </c>
      <c r="BA61" s="22">
        <f>SUM(tabCustoUnit[[#This Row],[Ausência por Doença]:[Incidência do Submódulo 2.1 sobre Ausências Legais]])</f>
        <v>27.595449135550833</v>
      </c>
      <c r="BB61" s="22">
        <f>SUMIF(tabParametros[Código do Posto],tabCustoUnit[[#This Row],[Código do Posto]],tabParametros[Intervalo para Repouso ou Alimentação])</f>
        <v>0</v>
      </c>
      <c r="BC61" s="22">
        <f>tabCustoUnit[[#This Row],[Intervalo para Repouso ou Alimentação]]</f>
        <v>0</v>
      </c>
      <c r="BD61" s="22">
        <f>IF(VLOOKUP(tabCustoUnit[[#This Row],[Código do Posto]],PARAMETROS!$A$4:$BJ$255,7,0)&lt;=0,0,
IFERROR((tabCustoUnit[[#This Row],[MODULO 1 - REMUNERAÇÃO ]]*VLOOKUP(tabCustoUnit[[#This Row],[Código do Posto]],PARAMETROS!$A$4:$BJ$255,49,0))/(VLOOKUP(tabCustoUnit[[#This Row],[Código do Posto]],PARAMETROS!$A$4:$BJ$255,7,0)*VLOOKUP(tabCustoUnit[[#This Row],[Código do Posto]],PARAMETROS!$A$4:$BJ$255,8,0)),0)
)</f>
        <v>0</v>
      </c>
      <c r="BE61" s="22">
        <f>tabCustoUnit[[#This Row],[Suspensão Temporária do Contrato de Trabalho]]</f>
        <v>0</v>
      </c>
      <c r="BF61" s="22">
        <f>tabCustoUnit[[#This Row],[Submódulo 4.1]]+tabCustoUnit[[#This Row],[Submódulo 4.2]]+tabCustoUnit[[#This Row],[Submódulo 4.3]]</f>
        <v>27.595449135550833</v>
      </c>
      <c r="BG61" s="22">
        <f>VLOOKUP(tabCustoUnit[[#This Row],[Código do Posto]],tabParametros[],MATCH(tabCustoUnit[[#Headers],[Uniformes e EPIs]],tabParametros[#Headers],0),0)</f>
        <v>100.80916666666666</v>
      </c>
      <c r="BH61" s="22">
        <f>VLOOKUP(tabCustoUnit[[#This Row],[Código do Posto]],tabParametros[],MATCH(tabCustoUnit[[#Headers],[Materiais de Consumo]],tabParametros[#Headers],0),0)</f>
        <v>35.518212958583888</v>
      </c>
      <c r="BI61" s="22">
        <f>VLOOKUP(tabCustoUnit[[#This Row],[Código do Posto]],tabParametros[],MATCH(tabCustoUnit[[#Headers],[Máquinas e Equipamentos (depreciação)]],tabParametros[#Headers],0),0)</f>
        <v>64.529393914825576</v>
      </c>
      <c r="BJ61" s="22">
        <f>VLOOKUP(tabCustoUnit[[#This Row],[Código do Posto]],tabParametros[],MATCH(tabCustoUnit[[#Headers],[Produtos de Limpeza e Materiais de Higiene Pessoal]],tabParametros[#Headers],0),0)</f>
        <v>690.27153277931654</v>
      </c>
      <c r="BK61" s="22">
        <f>VLOOKUP(tabCustoUnit[[#This Row],[Código do Posto]],tabParametros[],MATCH(tabCustoUnit[[#Headers],[Outros (especificar)]],tabParametros[#Headers],0),0)</f>
        <v>0</v>
      </c>
      <c r="BL61" s="22">
        <f>SUM(tabCustoUnit[[#This Row],[Uniformes e EPIs]:[Outros (especificar)]])</f>
        <v>891.12830631939266</v>
      </c>
      <c r="BM61" s="22">
        <f>tabCustoUnit[[#This Row],[MODULO 1 - REMUNERAÇÃO ]]+tabCustoUnit[[#This Row],[MÓDULO 2 - Total Encargos e Benefícios mensais e diários]]+tabCustoUnit[[#This Row],[MÓDULO 3 – PROVISÃO PARA RESCISÃO]]+tabCustoUnit[[#This Row],[MÓDULO 4 – CUSTO DE REPOSIÇÃO DO PROFISSIONAL AUSENTE]]+tabCustoUnit[[#This Row],[MÓDULO 5 – INSUMOS DIVERSOS]]</f>
        <v>4502.1488091737838</v>
      </c>
      <c r="BN61" s="22">
        <f>VLOOKUP(tabCustoUnit[[#This Row],[Código do Posto]],tabParametros[],MATCH(tabCustoUnit[[#Headers],[Custos Indiretos]],tabParametros[#Headers],0),0)</f>
        <v>189.64880140242613</v>
      </c>
      <c r="BO61" s="22">
        <f>VLOOKUP(tabCustoUnit[[#This Row],[Código do Posto]],tabParametros[],MATCH(tabCustoUnit[[#Headers],[Lucro]],tabParametros[#Headers],0),0)</f>
        <v>159.30499317803796</v>
      </c>
      <c r="BP61" s="26">
        <f>((100/((1-tabCustoUnit[[#This Row],[Resumo de Alíquotas (PIS+CONFINS+ISS)]]))-100)*VLOOKUP(tabCustoUnit[[#This Row],[Código do Posto]],tabParametros[],MATCH(tabCustoUnit[[#Headers],[COFINS]],tabParametros[#Headers],0),0))/(tabCustoUnit[[#This Row],[Resumo de Alíquotas (PIS+CONFINS+ISS)]]*100)</f>
        <v>8.8629737609329504E-2</v>
      </c>
      <c r="BQ61" s="26">
        <f>((100/((100-(tabCustoUnit[[#This Row],[Resumo de Alíquotas (PIS+CONFINS+ISS)]]*100))%)-100)*VLOOKUP(tabCustoUnit[[#This Row],[Código do Posto]],tabParametros[],MATCH(tabCustoUnit[[#Headers],[PIS]],tabParametros[#Headers],0),0))/(tabCustoUnit[[#This Row],[Resumo de Alíquotas (PIS+CONFINS+ISS)]]*100)</f>
        <v>1.9241982507288629E-2</v>
      </c>
      <c r="BR61" s="28">
        <f>VLOOKUP(tabCustoUnit[[#This Row],[Código do Posto]],tabParametros[],MATCH(tabCustoUnit[[#Headers],[ISS]],tabParametros[#Headers],0),0)</f>
        <v>0.05</v>
      </c>
      <c r="BS61" s="26">
        <f>(((100/((100-(tabCustoUnit[[#This Row],[Resumo de Alíquotas (PIS+CONFINS+ISS)]]*100))%)-100)*tabCustoUnit[[#This Row],[ISS]])/tabCustoUnit[[#This Row],[Resumo de Alíquotas (PIS+CONFINS+ISS)]])/100</f>
        <v>5.8309037900874633E-2</v>
      </c>
      <c r="BT61" s="26">
        <f>(VLOOKUP(tabCustoUnit[[#This Row],[Código do Posto]],tabParametros[],MATCH(tabCustoUnit[[#Headers],[COFINS]],tabParametros[#Headers],0),0)+
VLOOKUP(tabCustoUnit[[#This Row],[Código do Posto]],tabParametros[],MATCH(tabCustoUnit[[#Headers],[PIS]],tabParametros[#Headers],0),0)+
VLOOKUP(tabCustoUnit[[#This Row],[Código do Posto]],tabParametros[],MATCH(tabCustoUnit[[#Headers],[ISS]],tabParametros[#Headers],0),0))</f>
        <v>0.14250000000000002</v>
      </c>
      <c r="BU61" s="138">
        <f>tabCustoUnit[[#This Row],[COFINS]]+tabCustoUnit[[#This Row],[PIS]]+tabCustoUnit[[#This Row],[ISS (Conversão Alíquota s/ fatura)]]</f>
        <v>0.16618075801749277</v>
      </c>
      <c r="BV61" s="22">
        <f>(tabCustoUnit[[#This Row],[TOTAL MÓDULOS 1+2+3+4+5]]+tabCustoUnit[[#This Row],[Custos Indiretos]]+tabCustoUnit[[#This Row],[Lucro]])*tabCustoUnit[[#This Row],[PIS + COFINS + ISS (Total Conversão  Alíquota s/ Fatura)]]</f>
        <v>806.15990791251375</v>
      </c>
      <c r="BW61" s="22">
        <f>tabCustoUnit[[#This Row],[Custos Indiretos]]+tabCustoUnit[[#This Row],[Lucro]]+tabCustoUnit[[#This Row],[Valor dos Tributos (ISS, PIS, CONFINS)]]</f>
        <v>1155.1137024929778</v>
      </c>
      <c r="BX61" s="22">
        <f>tabCustoUnit[[#This Row],[TOTAL MÓDULOS 1+2+3+4+5]]+tabCustoUnit[[#This Row],[MÓDULO 6 – CUSTOS INDIRETOS, TRIBUTOS E LUCRO]]</f>
        <v>5657.2625116667614</v>
      </c>
      <c r="BY61" s="22">
        <f>tabCustoUnit[[#This Row],[CUSTO TOTAL MENSAL]]*12</f>
        <v>67887.150140001133</v>
      </c>
      <c r="BZ61" s="24">
        <f>VLOOKUP(tabCustoUnit[[#This Row],[Código do Posto]],tabParametros[],MATCH(tabCustoUnit[[#Headers],[ANO DA CCT]],tabParametros[#Headers],0),0)</f>
        <v>45658</v>
      </c>
      <c r="CA61" s="25" t="str">
        <f>VLOOKUP(tabCustoUnit[[#This Row],[Código do Posto]],tabParametros[],MATCH(tabCustoUnit[[#Headers],[Nº DE PEDIDO DA CCT]],tabParametros[#Headers],0),0)</f>
        <v>-</v>
      </c>
      <c r="CB61" s="25" t="str">
        <f>VLOOKUP(tabCustoUnit[[#This Row],[Código do Posto]],tabParametros[],MATCH(tabCustoUnit[[#Headers],[TERMO ADITIVO ALTERAÇÃO DA CCT]],tabParametros[#Headers],0),0)</f>
        <v>-</v>
      </c>
    </row>
    <row r="62" spans="1:80" x14ac:dyDescent="0.25">
      <c r="A62" s="20" t="s">
        <v>1402</v>
      </c>
      <c r="B62" t="s">
        <v>60</v>
      </c>
      <c r="C62" t="s">
        <v>1245</v>
      </c>
      <c r="D62" t="s">
        <v>1037</v>
      </c>
      <c r="E62" s="20" t="s">
        <v>9</v>
      </c>
      <c r="F62" s="20" t="s">
        <v>10</v>
      </c>
      <c r="G62" s="21">
        <v>1596.28</v>
      </c>
      <c r="H62" s="21">
        <v>0</v>
      </c>
      <c r="I62" s="21">
        <v>0</v>
      </c>
      <c r="J62" s="21">
        <v>0</v>
      </c>
      <c r="K62" s="21">
        <v>0</v>
      </c>
      <c r="L62" s="21">
        <v>0</v>
      </c>
      <c r="M62" s="21">
        <v>0</v>
      </c>
      <c r="N62" s="21">
        <v>52.241900000000001</v>
      </c>
      <c r="O62" s="21">
        <f>SUM(tabCustoUnit[[#This Row],[Salário Base]:[Adicional de Acúmulo de função]])</f>
        <v>1648.5219</v>
      </c>
      <c r="P62" s="21">
        <f>tabCustoUnit[[#This Row],[MODULO 1 - REMUNERAÇÃO ]]*SUMIFS(tabParametros[INSS],tabParametros[Código do Posto],tabCustoUnit[[#This Row],[Código do Posto]])</f>
        <v>329.70438000000001</v>
      </c>
      <c r="Q62" s="21">
        <f>tabCustoUnit[[#This Row],[MODULO 1 - REMUNERAÇÃO ]]*SUMIFS(tabParametros[SESI OU SESC],tabParametros[Código do Posto],tabCustoUnit[[#This Row],[Código do Posto]])</f>
        <v>24.727828499999998</v>
      </c>
      <c r="R62" s="21">
        <f>tabCustoUnit[[#This Row],[MODULO 1 - REMUNERAÇÃO ]]*SUMIFS(tabParametros[SENAI OU SENAC],tabParametros[Código do Posto],tabCustoUnit[[#This Row],[Código do Posto]])</f>
        <v>16.485219000000001</v>
      </c>
      <c r="S62" s="21">
        <f>tabCustoUnit[[#This Row],[MODULO 1 - REMUNERAÇÃO ]]*SUMIFS(tabParametros[INCRA],tabParametros[Código do Posto],tabCustoUnit[[#This Row],[Código do Posto]])</f>
        <v>3.2970438</v>
      </c>
      <c r="T62" s="21">
        <f>tabCustoUnit[[#This Row],[MODULO 1 - REMUNERAÇÃO ]]*SUMIFS(tabParametros[Salário Educação],tabParametros[Código do Posto],tabCustoUnit[[#This Row],[Código do Posto]])</f>
        <v>41.213047500000002</v>
      </c>
      <c r="U62" s="21">
        <f>tabCustoUnit[[#This Row],[MODULO 1 - REMUNERAÇÃO ]]*SUMIFS(tabParametros[FGTS],tabParametros[Código do Posto],tabCustoUnit[[#This Row],[Código do Posto]])</f>
        <v>131.88175200000001</v>
      </c>
      <c r="V62" s="21">
        <f>tabCustoUnit[[#This Row],[MODULO 1 - REMUNERAÇÃO ]]*SUMIFS(tabParametros[RAT Ajustado],tabParametros[Código do Posto],tabCustoUnit[[#This Row],[Código do Posto]])</f>
        <v>65.940876000000003</v>
      </c>
      <c r="W62" s="21">
        <f>tabCustoUnit[[#This Row],[MODULO 1 - REMUNERAÇÃO ]]*SUMIFS(tabParametros[SEBRAE],tabParametros[Código do Posto],tabCustoUnit[[#This Row],[Código do Posto]])</f>
        <v>9.8911314000000008</v>
      </c>
      <c r="X62" s="21">
        <f>SUM(tabCustoUnit[[#This Row],[INSS]:[SEBRAE]])</f>
        <v>623.14127819999999</v>
      </c>
      <c r="Y62" s="21">
        <f>tabCustoUnit[[#This Row],[MODULO 1 - REMUNERAÇÃO ]]*SUMIFS(tabParametros[13º salário (titular)],tabParametros[Código do Posto],tabCustoUnit[[#This Row],[Código do Posto]])</f>
        <v>137.376825</v>
      </c>
      <c r="Z62" s="21">
        <f>tabCustoUnit[[#This Row],[MODULO 1 - REMUNERAÇÃO ]]*SUMIFS(tabParametros[Férias e Adicional de Férias (titular)],tabParametros[Código do Posto],tabCustoUnit[[#This Row],[Código do Posto]])</f>
        <v>183.16909999999999</v>
      </c>
      <c r="AA62" s="21">
        <f>IFERROR((tabCustoUnit[[#This Row],[Submódulo 2.1]]/tabCustoUnit[[#This Row],[MODULO 1 - REMUNERAÇÃO ]])*SUM(tabCustoUnit[[#This Row],[13º salário (titular)]:[Férias e Adicional de Férias (titular)]]),0)</f>
        <v>121.16635965</v>
      </c>
      <c r="AB62" s="21">
        <f>SUM(tabCustoUnit[[#This Row],[13º salário (titular)]:[Incidência do Submódulo 2.1 sobre 13º Salário, Férias e Adicional de Férias]])</f>
        <v>441.71228465000002</v>
      </c>
      <c r="AC62" s="22">
        <f>_xlfn.LET(_xlpm.VT,SUMIF(tabParametros[Código do Posto],tabCustoUnit[[#This Row],[Código do Posto]],tabParametros[Vale - Transporte])*2*20,
IF((_xlpm.VT-tabCustoUnit[[#This Row],[Salário Base]]*0.06)&gt;=0,(_xlpm.VT-tabCustoUnit[[#This Row],[Salário Base]]*0.06),0)
)</f>
        <v>160.22320000000002</v>
      </c>
      <c r="AD62" s="22">
        <f>IF(SUMIF(tabParametros[Código do Posto],tabCustoUnit[[#This Row],[Código do Posto]],tabParametros[Vale - Alimentação])&lt;=0,0,
SUMIF(tabParametros[Código do Posto],tabCustoUnit[[#This Row],[Código do Posto]],tabParametros[Vale - Alimentação])*20-1)</f>
        <v>582</v>
      </c>
      <c r="AE62" s="22">
        <f>SUMIF(tabParametros[Código do Posto],tabCustoUnit[[#This Row],[Código do Posto]],tabParametros[Cesta Básica])</f>
        <v>0</v>
      </c>
      <c r="AF62" s="22">
        <f>SUMIF(tabParametros[Código do Posto],tabCustoUnit[[#This Row],[Código do Posto]],tabParametros[PAF])</f>
        <v>51.86</v>
      </c>
      <c r="AG62" s="22">
        <f>SUMIF(tabParametros[Código do Posto],tabCustoUnit[[#This Row],[Código do Posto]],tabParametros[PQM])</f>
        <v>0</v>
      </c>
      <c r="AH62" s="22">
        <f>SUMIF(tabParametros[Código do Posto],tabCustoUnit[[#This Row],[Código do Posto]],tabParametros[PAT])</f>
        <v>0</v>
      </c>
      <c r="AI62" s="22">
        <f>SUMIF(tabParametros[Código do Posto],tabCustoUnit[[#This Row],[Código do Posto]],tabParametros[Seguro de Vida])</f>
        <v>3.36</v>
      </c>
      <c r="AJ62" s="22">
        <f>SUMIF(tabParametros[Código do Posto],tabCustoUnit[[#This Row],[Código do Posto]],tabParametros[Despesas de Viagem])</f>
        <v>0</v>
      </c>
      <c r="AK62" s="22">
        <f>SUM(tabCustoUnit[[#This Row],[Vale - Transporte (Descontada parcela do empregado)]:[Despesas de Viagem]])</f>
        <v>797.44320000000005</v>
      </c>
      <c r="AL62" s="22">
        <f>tabCustoUnit[[#This Row],[Submódulo 2.1]]+tabCustoUnit[[#This Row],[Submódulo 2.2]]+tabCustoUnit[[#This Row],[Submódulo 2.3]]</f>
        <v>1862.2967628500001</v>
      </c>
      <c r="AM62" s="22">
        <f>SUMIF(tabParametros[Código do Posto],tabCustoUnit[[#This Row],[Código do Posto]],tabParametros[Aviso Prévio Indenizado (API) e Reflexo do Aviso Prévio Indenizado])*tabCustoUnit[[#This Row],[MODULO 1 - REMUNERAÇÃO ]]</f>
        <v>11.559051416493055</v>
      </c>
      <c r="AN62" s="22">
        <f>SUMIF(tabParametros[Código do Posto],tabCustoUnit[[#This Row],[Código do Posto]],tabParametros[Incidência do FGTS sobre API e Reflexo do API])*tabCustoUnit[[#This Row],[MODULO 1 - REMUNERAÇÃO ]]</f>
        <v>0.92472411331944449</v>
      </c>
      <c r="AO62" s="22">
        <f>SUMIF(tabParametros[Código do Posto],tabCustoUnit[[#This Row],[Código do Posto]],tabParametros[Multa Rescisória do FGTS sobre o Aviso Prévio Indenizado])*tabCustoUnit[[#This Row],[MODULO 1 - REMUNERAÇÃO ]]</f>
        <v>0.36988964532777785</v>
      </c>
      <c r="AP62" s="22">
        <f>SUMIF(tabParametros[Código do Posto],tabCustoUnit[[#This Row],[Código do Posto]],tabParametros[Aviso Prévio Trabalhado - APT])*tabCustoUnit[[#This Row],[MODULO 1 - REMUNERAÇÃO ]]</f>
        <v>5.7698266500000006</v>
      </c>
      <c r="AQ62" s="22">
        <f>SUMIF(tabParametros[Código do Posto],tabCustoUnit[[#This Row],[Código do Posto]],tabParametros[Incidência dos encargos do submódulo 2.1 sobre Aviso Prévio Trabalhado])*tabCustoUnit[[#This Row],[MODULO 1 - REMUNERAÇÃO ]]</f>
        <v>2.1809944737000007</v>
      </c>
      <c r="AR62" s="22">
        <f>SUMIF(tabParametros[Código do Posto],tabCustoUnit[[#This Row],[Código do Posto]],tabParametros[Multa Rescisória do FGTS])*tabCustoUnit[[#This Row],[MODULO 1 - REMUNERAÇÃO ]]</f>
        <v>50.40813631999999</v>
      </c>
      <c r="AS62" s="22">
        <f>SUMIF(tabParametros[Código do Posto],tabCustoUnit[[#This Row],[Código do Posto]],tabParametros[Indenização Adicional (Art. 9º da Lei nº 7.238/84)])*tabCustoUnit[[#This Row],[MODULO 1 - REMUNERAÇÃO ]]</f>
        <v>1.3737682500000001</v>
      </c>
      <c r="AT62" s="22">
        <f>SUM(tabCustoUnit[[#This Row],[Aviso Prévio Indenizado (API) e Reflexo do Aviso Prévio Indenizado]:[Indenização Adicional (Art. 9º da Lei nº 7.238/84)]])</f>
        <v>72.586390868840269</v>
      </c>
      <c r="AU62" s="22">
        <f>SUMIF(tabParametros[Código do Posto],tabCustoUnit[[#This Row],[Código do Posto]],tabParametros[Ausência por Doença])*tabCustoUnit[[#This Row],[MODULO 1 - REMUNERAÇÃO ]]</f>
        <v>13.920851599999999</v>
      </c>
      <c r="AV62" s="22">
        <f>SUMIF(tabParametros[Código do Posto],tabCustoUnit[[#This Row],[Código do Posto]],tabParametros[Ausências Legais])*tabCustoUnit[[#This Row],[MODULO 1 - REMUNERAÇÃO ]]</f>
        <v>3.3428360749999997</v>
      </c>
      <c r="AW62" s="22">
        <f>SUMIF(tabParametros[Código do Posto],tabCustoUnit[[#This Row],[Código do Posto]],tabParametros[Licença Paternidade])*tabCustoUnit[[#This Row],[MODULO 1 - REMUNERAÇÃO ]]</f>
        <v>0.28162249125</v>
      </c>
      <c r="AX62" s="22">
        <f>SUMIF(tabParametros[Código do Posto],tabCustoUnit[[#This Row],[Código do Posto]],tabParametros[Ausência por Acidente de Trabalho])*tabCustoUnit[[#This Row],[MODULO 1 - REMUNERAÇÃO ]]</f>
        <v>0.34344206250000003</v>
      </c>
      <c r="AY62" s="22">
        <f>SUMIF(tabParametros[Código do Posto],tabCustoUnit[[#This Row],[Código do Posto]],tabParametros[Férias, Adicional de Férias e 13º  com empregada em gozo de Licença Maternidade])*tabCustoUnit[[#This Row],[MODULO 1 - REMUNERAÇÃO ]]</f>
        <v>2.1369728333333331</v>
      </c>
      <c r="AZ62" s="22">
        <f>SUMIF(tabParametros[Código do Posto],tabCustoUnit[[#This Row],[Código do Posto]],tabParametros[Incidência do Submódulo 2.1 sobre Ausências Legais])*tabCustoUnit[[#This Row],[MODULO 1 - REMUNERAÇÃO ]]</f>
        <v>7.5697240734675013</v>
      </c>
      <c r="BA62" s="22">
        <f>SUM(tabCustoUnit[[#This Row],[Ausência por Doença]:[Incidência do Submódulo 2.1 sobre Ausências Legais]])</f>
        <v>27.595449135550833</v>
      </c>
      <c r="BB62" s="22">
        <f>SUMIF(tabParametros[Código do Posto],tabCustoUnit[[#This Row],[Código do Posto]],tabParametros[Intervalo para Repouso ou Alimentação])</f>
        <v>0</v>
      </c>
      <c r="BC62" s="22">
        <f>tabCustoUnit[[#This Row],[Intervalo para Repouso ou Alimentação]]</f>
        <v>0</v>
      </c>
      <c r="BD62" s="22">
        <f>IF(VLOOKUP(tabCustoUnit[[#This Row],[Código do Posto]],PARAMETROS!$A$4:$BJ$255,7,0)&lt;=0,0,
IFERROR((tabCustoUnit[[#This Row],[MODULO 1 - REMUNERAÇÃO ]]*VLOOKUP(tabCustoUnit[[#This Row],[Código do Posto]],PARAMETROS!$A$4:$BJ$255,49,0))/(VLOOKUP(tabCustoUnit[[#This Row],[Código do Posto]],PARAMETROS!$A$4:$BJ$255,7,0)*VLOOKUP(tabCustoUnit[[#This Row],[Código do Posto]],PARAMETROS!$A$4:$BJ$255,8,0)),0)
)</f>
        <v>0</v>
      </c>
      <c r="BE62" s="22">
        <f>tabCustoUnit[[#This Row],[Suspensão Temporária do Contrato de Trabalho]]</f>
        <v>0</v>
      </c>
      <c r="BF62" s="22">
        <f>tabCustoUnit[[#This Row],[Submódulo 4.1]]+tabCustoUnit[[#This Row],[Submódulo 4.2]]+tabCustoUnit[[#This Row],[Submódulo 4.3]]</f>
        <v>27.595449135550833</v>
      </c>
      <c r="BG62" s="22">
        <f>VLOOKUP(tabCustoUnit[[#This Row],[Código do Posto]],tabParametros[],MATCH(tabCustoUnit[[#Headers],[Uniformes e EPIs]],tabParametros[#Headers],0),0)</f>
        <v>100.80916666666666</v>
      </c>
      <c r="BH62" s="22">
        <f>VLOOKUP(tabCustoUnit[[#This Row],[Código do Posto]],tabParametros[],MATCH(tabCustoUnit[[#Headers],[Materiais de Consumo]],tabParametros[#Headers],0),0)</f>
        <v>35.518212958583888</v>
      </c>
      <c r="BI62" s="22">
        <f>VLOOKUP(tabCustoUnit[[#This Row],[Código do Posto]],tabParametros[],MATCH(tabCustoUnit[[#Headers],[Máquinas e Equipamentos (depreciação)]],tabParametros[#Headers],0),0)</f>
        <v>64.529393914825576</v>
      </c>
      <c r="BJ62" s="22">
        <f>VLOOKUP(tabCustoUnit[[#This Row],[Código do Posto]],tabParametros[],MATCH(tabCustoUnit[[#Headers],[Produtos de Limpeza e Materiais de Higiene Pessoal]],tabParametros[#Headers],0),0)</f>
        <v>690.27153277931654</v>
      </c>
      <c r="BK62" s="22">
        <f>VLOOKUP(tabCustoUnit[[#This Row],[Código do Posto]],tabParametros[],MATCH(tabCustoUnit[[#Headers],[Outros (especificar)]],tabParametros[#Headers],0),0)</f>
        <v>0</v>
      </c>
      <c r="BL62" s="22">
        <f>SUM(tabCustoUnit[[#This Row],[Uniformes e EPIs]:[Outros (especificar)]])</f>
        <v>891.12830631939266</v>
      </c>
      <c r="BM62" s="22">
        <f>tabCustoUnit[[#This Row],[MODULO 1 - REMUNERAÇÃO ]]+tabCustoUnit[[#This Row],[MÓDULO 2 - Total Encargos e Benefícios mensais e diários]]+tabCustoUnit[[#This Row],[MÓDULO 3 – PROVISÃO PARA RESCISÃO]]+tabCustoUnit[[#This Row],[MÓDULO 4 – CUSTO DE REPOSIÇÃO DO PROFISSIONAL AUSENTE]]+tabCustoUnit[[#This Row],[MÓDULO 5 – INSUMOS DIVERSOS]]</f>
        <v>4502.1288091737833</v>
      </c>
      <c r="BN62" s="22">
        <f>VLOOKUP(tabCustoUnit[[#This Row],[Código do Posto]],tabParametros[],MATCH(tabCustoUnit[[#Headers],[Custos Indiretos]],tabParametros[#Headers],0),0)</f>
        <v>189.64880140242613</v>
      </c>
      <c r="BO62" s="22">
        <f>VLOOKUP(tabCustoUnit[[#This Row],[Código do Posto]],tabParametros[],MATCH(tabCustoUnit[[#Headers],[Lucro]],tabParametros[#Headers],0),0)</f>
        <v>159.30499317803796</v>
      </c>
      <c r="BP62" s="26">
        <f>((100/((1-tabCustoUnit[[#This Row],[Resumo de Alíquotas (PIS+CONFINS+ISS)]]))-100)*VLOOKUP(tabCustoUnit[[#This Row],[Código do Posto]],tabParametros[],MATCH(tabCustoUnit[[#Headers],[COFINS]],tabParametros[#Headers],0),0))/(tabCustoUnit[[#This Row],[Resumo de Alíquotas (PIS+CONFINS+ISS)]]*100)</f>
        <v>8.6609686609686695E-2</v>
      </c>
      <c r="BQ62" s="26">
        <f>((100/((100-(tabCustoUnit[[#This Row],[Resumo de Alíquotas (PIS+CONFINS+ISS)]]*100))%)-100)*VLOOKUP(tabCustoUnit[[#This Row],[Código do Posto]],tabParametros[],MATCH(tabCustoUnit[[#Headers],[PIS]],tabParametros[#Headers],0),0))/(tabCustoUnit[[#This Row],[Resumo de Alíquotas (PIS+CONFINS+ISS)]]*100)</f>
        <v>1.880341880341882E-2</v>
      </c>
      <c r="BR62" s="28">
        <f>VLOOKUP(tabCustoUnit[[#This Row],[Código do Posto]],tabParametros[],MATCH(tabCustoUnit[[#Headers],[ISS]],tabParametros[#Headers],0),0)</f>
        <v>0.03</v>
      </c>
      <c r="BS62" s="26">
        <f>(((100/((100-(tabCustoUnit[[#This Row],[Resumo de Alíquotas (PIS+CONFINS+ISS)]]*100))%)-100)*tabCustoUnit[[#This Row],[ISS]])/tabCustoUnit[[#This Row],[Resumo de Alíquotas (PIS+CONFINS+ISS)]])/100</f>
        <v>3.4188034188034219E-2</v>
      </c>
      <c r="BT62" s="26">
        <f>(VLOOKUP(tabCustoUnit[[#This Row],[Código do Posto]],tabParametros[],MATCH(tabCustoUnit[[#Headers],[COFINS]],tabParametros[#Headers],0),0)+
VLOOKUP(tabCustoUnit[[#This Row],[Código do Posto]],tabParametros[],MATCH(tabCustoUnit[[#Headers],[PIS]],tabParametros[#Headers],0),0)+
VLOOKUP(tabCustoUnit[[#This Row],[Código do Posto]],tabParametros[],MATCH(tabCustoUnit[[#Headers],[ISS]],tabParametros[#Headers],0),0))</f>
        <v>0.1225</v>
      </c>
      <c r="BU62" s="138">
        <f>tabCustoUnit[[#This Row],[COFINS]]+tabCustoUnit[[#This Row],[PIS]]+tabCustoUnit[[#This Row],[ISS (Conversão Alíquota s/ fatura)]]</f>
        <v>0.13960113960113973</v>
      </c>
      <c r="BV62" s="22">
        <f>(tabCustoUnit[[#This Row],[TOTAL MÓDULOS 1+2+3+4+5]]+tabCustoUnit[[#This Row],[Custos Indiretos]]+tabCustoUnit[[#This Row],[Lucro]])*tabCustoUnit[[#This Row],[PIS + COFINS + ISS (Total Conversão  Alíquota s/ Fatura)]]</f>
        <v>677.21665978335716</v>
      </c>
      <c r="BW62" s="22">
        <f>tabCustoUnit[[#This Row],[Custos Indiretos]]+tabCustoUnit[[#This Row],[Lucro]]+tabCustoUnit[[#This Row],[Valor dos Tributos (ISS, PIS, CONFINS)]]</f>
        <v>1026.1704543638211</v>
      </c>
      <c r="BX62" s="22">
        <f>tabCustoUnit[[#This Row],[TOTAL MÓDULOS 1+2+3+4+5]]+tabCustoUnit[[#This Row],[MÓDULO 6 – CUSTOS INDIRETOS, TRIBUTOS E LUCRO]]</f>
        <v>5528.2992635376049</v>
      </c>
      <c r="BY62" s="22">
        <f>tabCustoUnit[[#This Row],[CUSTO TOTAL MENSAL]]*12</f>
        <v>66339.591162451252</v>
      </c>
      <c r="BZ62" s="24">
        <f>VLOOKUP(tabCustoUnit[[#This Row],[Código do Posto]],tabParametros[],MATCH(tabCustoUnit[[#Headers],[ANO DA CCT]],tabParametros[#Headers],0),0)</f>
        <v>45658</v>
      </c>
      <c r="CA62" s="25" t="str">
        <f>VLOOKUP(tabCustoUnit[[#This Row],[Código do Posto]],tabParametros[],MATCH(tabCustoUnit[[#Headers],[Nº DE PEDIDO DA CCT]],tabParametros[#Headers],0),0)</f>
        <v>-</v>
      </c>
      <c r="CB62" s="25" t="str">
        <f>VLOOKUP(tabCustoUnit[[#This Row],[Código do Posto]],tabParametros[],MATCH(tabCustoUnit[[#Headers],[TERMO ADITIVO ALTERAÇÃO DA CCT]],tabParametros[#Headers],0),0)</f>
        <v>-</v>
      </c>
    </row>
    <row r="63" spans="1:80" x14ac:dyDescent="0.25">
      <c r="A63" s="20" t="s">
        <v>1403</v>
      </c>
      <c r="B63" t="s">
        <v>61</v>
      </c>
      <c r="C63" t="s">
        <v>1247</v>
      </c>
      <c r="D63" t="s">
        <v>1026</v>
      </c>
      <c r="E63" s="20" t="s">
        <v>9</v>
      </c>
      <c r="F63" s="20" t="s">
        <v>10</v>
      </c>
      <c r="G63" s="21">
        <v>544.17999999999995</v>
      </c>
      <c r="H63" s="21">
        <v>0</v>
      </c>
      <c r="I63" s="21">
        <v>0</v>
      </c>
      <c r="J63" s="21">
        <v>0</v>
      </c>
      <c r="K63" s="21">
        <v>0</v>
      </c>
      <c r="L63" s="21">
        <v>0</v>
      </c>
      <c r="M63" s="21">
        <v>0</v>
      </c>
      <c r="N63" s="21">
        <v>19.590499999999999</v>
      </c>
      <c r="O63" s="21">
        <f>SUM(tabCustoUnit[[#This Row],[Salário Base]:[Adicional de Acúmulo de função]])</f>
        <v>563.77049999999997</v>
      </c>
      <c r="P63" s="21">
        <f>tabCustoUnit[[#This Row],[MODULO 1 - REMUNERAÇÃO ]]*SUMIFS(tabParametros[INSS],tabParametros[Código do Posto],tabCustoUnit[[#This Row],[Código do Posto]])</f>
        <v>112.75409999999999</v>
      </c>
      <c r="Q63" s="21">
        <f>tabCustoUnit[[#This Row],[MODULO 1 - REMUNERAÇÃO ]]*SUMIFS(tabParametros[SESI OU SESC],tabParametros[Código do Posto],tabCustoUnit[[#This Row],[Código do Posto]])</f>
        <v>8.4565574999999988</v>
      </c>
      <c r="R63" s="21">
        <f>tabCustoUnit[[#This Row],[MODULO 1 - REMUNERAÇÃO ]]*SUMIFS(tabParametros[SENAI OU SENAC],tabParametros[Código do Posto],tabCustoUnit[[#This Row],[Código do Posto]])</f>
        <v>5.6377049999999995</v>
      </c>
      <c r="S63" s="21">
        <f>tabCustoUnit[[#This Row],[MODULO 1 - REMUNERAÇÃO ]]*SUMIFS(tabParametros[INCRA],tabParametros[Código do Posto],tabCustoUnit[[#This Row],[Código do Posto]])</f>
        <v>1.1275409999999999</v>
      </c>
      <c r="T63" s="21">
        <f>tabCustoUnit[[#This Row],[MODULO 1 - REMUNERAÇÃO ]]*SUMIFS(tabParametros[Salário Educação],tabParametros[Código do Posto],tabCustoUnit[[#This Row],[Código do Posto]])</f>
        <v>14.094262499999999</v>
      </c>
      <c r="U63" s="21">
        <f>tabCustoUnit[[#This Row],[MODULO 1 - REMUNERAÇÃO ]]*SUMIFS(tabParametros[FGTS],tabParametros[Código do Posto],tabCustoUnit[[#This Row],[Código do Posto]])</f>
        <v>45.101639999999996</v>
      </c>
      <c r="V63" s="21">
        <f>tabCustoUnit[[#This Row],[MODULO 1 - REMUNERAÇÃO ]]*SUMIFS(tabParametros[RAT Ajustado],tabParametros[Código do Posto],tabCustoUnit[[#This Row],[Código do Posto]])</f>
        <v>22.550819999999998</v>
      </c>
      <c r="W63" s="21">
        <f>tabCustoUnit[[#This Row],[MODULO 1 - REMUNERAÇÃO ]]*SUMIFS(tabParametros[SEBRAE],tabParametros[Código do Posto],tabCustoUnit[[#This Row],[Código do Posto]])</f>
        <v>3.3826229999999997</v>
      </c>
      <c r="X63" s="21">
        <f>SUM(tabCustoUnit[[#This Row],[INSS]:[SEBRAE]])</f>
        <v>213.10524899999996</v>
      </c>
      <c r="Y63" s="21">
        <f>tabCustoUnit[[#This Row],[MODULO 1 - REMUNERAÇÃO ]]*SUMIFS(tabParametros[13º salário (titular)],tabParametros[Código do Posto],tabCustoUnit[[#This Row],[Código do Posto]])</f>
        <v>46.980874999999997</v>
      </c>
      <c r="Z63" s="21">
        <f>tabCustoUnit[[#This Row],[MODULO 1 - REMUNERAÇÃO ]]*SUMIFS(tabParametros[Férias e Adicional de Férias (titular)],tabParametros[Código do Posto],tabCustoUnit[[#This Row],[Código do Posto]])</f>
        <v>62.641166666666663</v>
      </c>
      <c r="AA63" s="21">
        <f>IFERROR((tabCustoUnit[[#This Row],[Submódulo 2.1]]/tabCustoUnit[[#This Row],[MODULO 1 - REMUNERAÇÃO ]])*SUM(tabCustoUnit[[#This Row],[13º salário (titular)]:[Férias e Adicional de Férias (titular)]]),0)</f>
        <v>41.437131749999992</v>
      </c>
      <c r="AB63" s="21">
        <f>SUM(tabCustoUnit[[#This Row],[13º salário (titular)]:[Incidência do Submódulo 2.1 sobre 13º Salário, Férias e Adicional de Férias]])</f>
        <v>151.05917341666665</v>
      </c>
      <c r="AC63" s="22">
        <f>_xlfn.LET(_xlpm.VT,SUMIF(tabParametros[Código do Posto],tabCustoUnit[[#This Row],[Código do Posto]],tabParametros[Vale - Transporte])*2*20,
IF((_xlpm.VT-tabCustoUnit[[#This Row],[Salário Base]]*0.06)&gt;=0,(_xlpm.VT-tabCustoUnit[[#This Row],[Salário Base]]*0.06),0)
)</f>
        <v>223.3492</v>
      </c>
      <c r="AD63" s="22">
        <f>IF(SUMIF(tabParametros[Código do Posto],tabCustoUnit[[#This Row],[Código do Posto]],tabParametros[Vale - Alimentação])&lt;=0,0,
SUMIF(tabParametros[Código do Posto],tabCustoUnit[[#This Row],[Código do Posto]],tabParametros[Vale - Alimentação])*20-1)</f>
        <v>582</v>
      </c>
      <c r="AE63" s="22">
        <f>SUMIF(tabParametros[Código do Posto],tabCustoUnit[[#This Row],[Código do Posto]],tabParametros[Cesta Básica])</f>
        <v>0</v>
      </c>
      <c r="AF63" s="22">
        <f>SUMIF(tabParametros[Código do Posto],tabCustoUnit[[#This Row],[Código do Posto]],tabParametros[PAF])</f>
        <v>0</v>
      </c>
      <c r="AG63" s="22">
        <f>SUMIF(tabParametros[Código do Posto],tabCustoUnit[[#This Row],[Código do Posto]],tabParametros[PQM])</f>
        <v>15.07</v>
      </c>
      <c r="AH63" s="22">
        <f>SUMIF(tabParametros[Código do Posto],tabCustoUnit[[#This Row],[Código do Posto]],tabParametros[PAT])</f>
        <v>0</v>
      </c>
      <c r="AI63" s="22">
        <f>SUMIF(tabParametros[Código do Posto],tabCustoUnit[[#This Row],[Código do Posto]],tabParametros[Seguro de Vida])</f>
        <v>3.36</v>
      </c>
      <c r="AJ63" s="22">
        <f>SUMIF(tabParametros[Código do Posto],tabCustoUnit[[#This Row],[Código do Posto]],tabParametros[Despesas de Viagem])</f>
        <v>0</v>
      </c>
      <c r="AK63" s="22">
        <f>SUM(tabCustoUnit[[#This Row],[Vale - Transporte (Descontada parcela do empregado)]:[Despesas de Viagem]])</f>
        <v>823.77920000000006</v>
      </c>
      <c r="AL63" s="22">
        <f>tabCustoUnit[[#This Row],[Submódulo 2.1]]+tabCustoUnit[[#This Row],[Submódulo 2.2]]+tabCustoUnit[[#This Row],[Submódulo 2.3]]</f>
        <v>1187.9436224166666</v>
      </c>
      <c r="AM63" s="22">
        <f>SUMIF(tabParametros[Código do Posto],tabCustoUnit[[#This Row],[Código do Posto]],tabParametros[Aviso Prévio Indenizado (API) e Reflexo do Aviso Prévio Indenizado])*tabCustoUnit[[#This Row],[MODULO 1 - REMUNERAÇÃO ]]</f>
        <v>3.9530273735532404</v>
      </c>
      <c r="AN63" s="22">
        <f>SUMIF(tabParametros[Código do Posto],tabCustoUnit[[#This Row],[Código do Posto]],tabParametros[Incidência do FGTS sobre API e Reflexo do API])*tabCustoUnit[[#This Row],[MODULO 1 - REMUNERAÇÃO ]]</f>
        <v>0.31624218988425928</v>
      </c>
      <c r="AO63" s="22">
        <f>SUMIF(tabParametros[Código do Posto],tabCustoUnit[[#This Row],[Código do Posto]],tabParametros[Multa Rescisória do FGTS sobre o Aviso Prévio Indenizado])*tabCustoUnit[[#This Row],[MODULO 1 - REMUNERAÇÃO ]]</f>
        <v>0.12649687595370371</v>
      </c>
      <c r="AP63" s="22">
        <f>SUMIF(tabParametros[Código do Posto],tabCustoUnit[[#This Row],[Código do Posto]],tabParametros[Aviso Prévio Trabalhado - APT])*tabCustoUnit[[#This Row],[MODULO 1 - REMUNERAÇÃO ]]</f>
        <v>1.9731967500000003</v>
      </c>
      <c r="AQ63" s="22">
        <f>SUMIF(tabParametros[Código do Posto],tabCustoUnit[[#This Row],[Código do Posto]],tabParametros[Incidência dos encargos do submódulo 2.1 sobre Aviso Prévio Trabalhado])*tabCustoUnit[[#This Row],[MODULO 1 - REMUNERAÇÃO ]]</f>
        <v>0.74586837150000018</v>
      </c>
      <c r="AR63" s="22">
        <f>SUMIF(tabParametros[Código do Posto],tabCustoUnit[[#This Row],[Código do Posto]],tabParametros[Multa Rescisória do FGTS])*tabCustoUnit[[#This Row],[MODULO 1 - REMUNERAÇÃO ]]</f>
        <v>17.238849066666663</v>
      </c>
      <c r="AS63" s="22">
        <f>SUMIF(tabParametros[Código do Posto],tabCustoUnit[[#This Row],[Código do Posto]],tabParametros[Indenização Adicional (Art. 9º da Lei nº 7.238/84)])*tabCustoUnit[[#This Row],[MODULO 1 - REMUNERAÇÃO ]]</f>
        <v>0.46980875</v>
      </c>
      <c r="AT63" s="22">
        <f>SUM(tabCustoUnit[[#This Row],[Aviso Prévio Indenizado (API) e Reflexo do Aviso Prévio Indenizado]:[Indenização Adicional (Art. 9º da Lei nº 7.238/84)]])</f>
        <v>24.823489377557866</v>
      </c>
      <c r="AU63" s="22">
        <f>SUMIF(tabParametros[Código do Posto],tabCustoUnit[[#This Row],[Código do Posto]],tabParametros[Ausência por Doença])*tabCustoUnit[[#This Row],[MODULO 1 - REMUNERAÇÃO ]]</f>
        <v>4.7607286666666662</v>
      </c>
      <c r="AV63" s="22">
        <f>SUMIF(tabParametros[Código do Posto],tabCustoUnit[[#This Row],[Código do Posto]],tabParametros[Ausências Legais])*tabCustoUnit[[#This Row],[MODULO 1 - REMUNERAÇÃO ]]</f>
        <v>1.1432012916666665</v>
      </c>
      <c r="AW63" s="22">
        <f>SUMIF(tabParametros[Código do Posto],tabCustoUnit[[#This Row],[Código do Posto]],tabParametros[Licença Paternidade])*tabCustoUnit[[#This Row],[MODULO 1 - REMUNERAÇÃO ]]</f>
        <v>9.6310793749999998E-2</v>
      </c>
      <c r="AX63" s="22">
        <f>SUMIF(tabParametros[Código do Posto],tabCustoUnit[[#This Row],[Código do Posto]],tabParametros[Ausência por Acidente de Trabalho])*tabCustoUnit[[#This Row],[MODULO 1 - REMUNERAÇÃO ]]</f>
        <v>0.1174521875</v>
      </c>
      <c r="AY63" s="22">
        <f>SUMIF(tabParametros[Código do Posto],tabCustoUnit[[#This Row],[Código do Posto]],tabParametros[Férias, Adicional de Férias e 13º  com empregada em gozo de Licença Maternidade])*tabCustoUnit[[#This Row],[MODULO 1 - REMUNERAÇÃO ]]</f>
        <v>0.73081361111111109</v>
      </c>
      <c r="AZ63" s="22">
        <f>SUMIF(tabParametros[Código do Posto],tabCustoUnit[[#This Row],[Código do Posto]],tabParametros[Incidência do Submódulo 2.1 sobre Ausências Legais])*tabCustoUnit[[#This Row],[MODULO 1 - REMUNERAÇÃO ]]</f>
        <v>2.5887354761625003</v>
      </c>
      <c r="BA63" s="22">
        <f>SUM(tabCustoUnit[[#This Row],[Ausência por Doença]:[Incidência do Submódulo 2.1 sobre Ausências Legais]])</f>
        <v>9.4372420268569428</v>
      </c>
      <c r="BB63" s="22">
        <f>SUMIF(tabParametros[Código do Posto],tabCustoUnit[[#This Row],[Código do Posto]],tabParametros[Intervalo para Repouso ou Alimentação])</f>
        <v>0</v>
      </c>
      <c r="BC63" s="22">
        <f>tabCustoUnit[[#This Row],[Intervalo para Repouso ou Alimentação]]</f>
        <v>0</v>
      </c>
      <c r="BD63" s="22">
        <f>IF(VLOOKUP(tabCustoUnit[[#This Row],[Código do Posto]],PARAMETROS!$A$4:$BJ$255,7,0)&lt;=0,0,
IFERROR((tabCustoUnit[[#This Row],[MODULO 1 - REMUNERAÇÃO ]]*VLOOKUP(tabCustoUnit[[#This Row],[Código do Posto]],PARAMETROS!$A$4:$BJ$255,49,0))/(VLOOKUP(tabCustoUnit[[#This Row],[Código do Posto]],PARAMETROS!$A$4:$BJ$255,7,0)*VLOOKUP(tabCustoUnit[[#This Row],[Código do Posto]],PARAMETROS!$A$4:$BJ$255,8,0)),0)
)</f>
        <v>0</v>
      </c>
      <c r="BE63" s="22">
        <f>tabCustoUnit[[#This Row],[Suspensão Temporária do Contrato de Trabalho]]</f>
        <v>0</v>
      </c>
      <c r="BF63" s="22">
        <f>tabCustoUnit[[#This Row],[Submódulo 4.1]]+tabCustoUnit[[#This Row],[Submódulo 4.2]]+tabCustoUnit[[#This Row],[Submódulo 4.3]]</f>
        <v>9.4372420268569428</v>
      </c>
      <c r="BG63" s="22">
        <f>VLOOKUP(tabCustoUnit[[#This Row],[Código do Posto]],tabParametros[],MATCH(tabCustoUnit[[#Headers],[Uniformes e EPIs]],tabParametros[#Headers],0),0)</f>
        <v>62.806666666666665</v>
      </c>
      <c r="BH63" s="22">
        <f>VLOOKUP(tabCustoUnit[[#This Row],[Código do Posto]],tabParametros[],MATCH(tabCustoUnit[[#Headers],[Materiais de Consumo]],tabParametros[#Headers],0),0)</f>
        <v>12.108481690426325</v>
      </c>
      <c r="BI63" s="22">
        <f>VLOOKUP(tabCustoUnit[[#This Row],[Código do Posto]],tabParametros[],MATCH(tabCustoUnit[[#Headers],[Máquinas e Equipamentos (depreciação)]],tabParametros[#Headers],0),0)</f>
        <v>21.998657016417809</v>
      </c>
      <c r="BJ63" s="22">
        <f>VLOOKUP(tabCustoUnit[[#This Row],[Código do Posto]],tabParametros[],MATCH(tabCustoUnit[[#Headers],[Produtos de Limpeza e Materiais de Higiene Pessoal]],tabParametros[#Headers],0),0)</f>
        <v>235.31984072022155</v>
      </c>
      <c r="BK63" s="22">
        <f>VLOOKUP(tabCustoUnit[[#This Row],[Código do Posto]],tabParametros[],MATCH(tabCustoUnit[[#Headers],[Outros (especificar)]],tabParametros[#Headers],0),0)</f>
        <v>0</v>
      </c>
      <c r="BL63" s="22">
        <f>SUM(tabCustoUnit[[#This Row],[Uniformes e EPIs]:[Outros (especificar)]])</f>
        <v>332.23364609373232</v>
      </c>
      <c r="BM63" s="22">
        <f>tabCustoUnit[[#This Row],[MODULO 1 - REMUNERAÇÃO ]]+tabCustoUnit[[#This Row],[MÓDULO 2 - Total Encargos e Benefícios mensais e diários]]+tabCustoUnit[[#This Row],[MÓDULO 3 – PROVISÃO PARA RESCISÃO]]+tabCustoUnit[[#This Row],[MÓDULO 4 – CUSTO DE REPOSIÇÃO DO PROFISSIONAL AUSENTE]]+tabCustoUnit[[#This Row],[MÓDULO 5 – INSUMOS DIVERSOS]]</f>
        <v>2118.2084999148137</v>
      </c>
      <c r="BN63" s="22">
        <f>VLOOKUP(tabCustoUnit[[#This Row],[Código do Posto]],tabParametros[],MATCH(tabCustoUnit[[#Headers],[Custos Indiretos]],tabParametros[#Headers],0),0)</f>
        <v>189.64880140242613</v>
      </c>
      <c r="BO63" s="22">
        <f>VLOOKUP(tabCustoUnit[[#This Row],[Código do Posto]],tabParametros[],MATCH(tabCustoUnit[[#Headers],[Lucro]],tabParametros[#Headers],0),0)</f>
        <v>159.30499317803796</v>
      </c>
      <c r="BP63" s="26">
        <f>((100/((1-tabCustoUnit[[#This Row],[Resumo de Alíquotas (PIS+CONFINS+ISS)]]))-100)*VLOOKUP(tabCustoUnit[[#This Row],[Código do Posto]],tabParametros[],MATCH(tabCustoUnit[[#Headers],[COFINS]],tabParametros[#Headers],0),0))/(tabCustoUnit[[#This Row],[Resumo de Alíquotas (PIS+CONFINS+ISS)]]*100)</f>
        <v>8.8629737609329504E-2</v>
      </c>
      <c r="BQ63" s="26">
        <f>((100/((100-(tabCustoUnit[[#This Row],[Resumo de Alíquotas (PIS+CONFINS+ISS)]]*100))%)-100)*VLOOKUP(tabCustoUnit[[#This Row],[Código do Posto]],tabParametros[],MATCH(tabCustoUnit[[#Headers],[PIS]],tabParametros[#Headers],0),0))/(tabCustoUnit[[#This Row],[Resumo de Alíquotas (PIS+CONFINS+ISS)]]*100)</f>
        <v>1.9241982507288629E-2</v>
      </c>
      <c r="BR63" s="28">
        <f>VLOOKUP(tabCustoUnit[[#This Row],[Código do Posto]],tabParametros[],MATCH(tabCustoUnit[[#Headers],[ISS]],tabParametros[#Headers],0),0)</f>
        <v>0.05</v>
      </c>
      <c r="BS63" s="26">
        <f>(((100/((100-(tabCustoUnit[[#This Row],[Resumo de Alíquotas (PIS+CONFINS+ISS)]]*100))%)-100)*tabCustoUnit[[#This Row],[ISS]])/tabCustoUnit[[#This Row],[Resumo de Alíquotas (PIS+CONFINS+ISS)]])/100</f>
        <v>5.8309037900874633E-2</v>
      </c>
      <c r="BT63" s="26">
        <f>(VLOOKUP(tabCustoUnit[[#This Row],[Código do Posto]],tabParametros[],MATCH(tabCustoUnit[[#Headers],[COFINS]],tabParametros[#Headers],0),0)+
VLOOKUP(tabCustoUnit[[#This Row],[Código do Posto]],tabParametros[],MATCH(tabCustoUnit[[#Headers],[PIS]],tabParametros[#Headers],0),0)+
VLOOKUP(tabCustoUnit[[#This Row],[Código do Posto]],tabParametros[],MATCH(tabCustoUnit[[#Headers],[ISS]],tabParametros[#Headers],0),0))</f>
        <v>0.14250000000000002</v>
      </c>
      <c r="BU63" s="138">
        <f>tabCustoUnit[[#This Row],[COFINS]]+tabCustoUnit[[#This Row],[PIS]]+tabCustoUnit[[#This Row],[ISS (Conversão Alíquota s/ fatura)]]</f>
        <v>0.16618075801749277</v>
      </c>
      <c r="BV63" s="22">
        <f>(tabCustoUnit[[#This Row],[TOTAL MÓDULOS 1+2+3+4+5]]+tabCustoUnit[[#This Row],[Custos Indiretos]]+tabCustoUnit[[#This Row],[Lucro]])*tabCustoUnit[[#This Row],[PIS + COFINS + ISS (Total Conversão  Alíquota s/ Fatura)]]</f>
        <v>409.99490025140199</v>
      </c>
      <c r="BW63" s="22">
        <f>tabCustoUnit[[#This Row],[Custos Indiretos]]+tabCustoUnit[[#This Row],[Lucro]]+tabCustoUnit[[#This Row],[Valor dos Tributos (ISS, PIS, CONFINS)]]</f>
        <v>758.94869483186608</v>
      </c>
      <c r="BX63" s="22">
        <f>tabCustoUnit[[#This Row],[TOTAL MÓDULOS 1+2+3+4+5]]+tabCustoUnit[[#This Row],[MÓDULO 6 – CUSTOS INDIRETOS, TRIBUTOS E LUCRO]]</f>
        <v>2877.15719474668</v>
      </c>
      <c r="BY63" s="22">
        <f>tabCustoUnit[[#This Row],[CUSTO TOTAL MENSAL]]*12</f>
        <v>34525.88633696016</v>
      </c>
      <c r="BZ63" s="24">
        <f>VLOOKUP(tabCustoUnit[[#This Row],[Código do Posto]],tabParametros[],MATCH(tabCustoUnit[[#Headers],[ANO DA CCT]],tabParametros[#Headers],0),0)</f>
        <v>45658</v>
      </c>
      <c r="CA63" s="25" t="str">
        <f>VLOOKUP(tabCustoUnit[[#This Row],[Código do Posto]],tabParametros[],MATCH(tabCustoUnit[[#Headers],[Nº DE PEDIDO DA CCT]],tabParametros[#Headers],0),0)</f>
        <v>-</v>
      </c>
      <c r="CB63" s="25" t="str">
        <f>VLOOKUP(tabCustoUnit[[#This Row],[Código do Posto]],tabParametros[],MATCH(tabCustoUnit[[#Headers],[TERMO ADITIVO ALTERAÇÃO DA CCT]],tabParametros[#Headers],0),0)</f>
        <v>-</v>
      </c>
    </row>
    <row r="64" spans="1:80" x14ac:dyDescent="0.25">
      <c r="A64" s="20" t="s">
        <v>1404</v>
      </c>
      <c r="B64" t="s">
        <v>62</v>
      </c>
      <c r="C64" t="s">
        <v>1245</v>
      </c>
      <c r="D64" t="s">
        <v>992</v>
      </c>
      <c r="E64" s="20" t="s">
        <v>9</v>
      </c>
      <c r="F64" s="20" t="s">
        <v>10</v>
      </c>
      <c r="G64" s="21">
        <v>1596.28</v>
      </c>
      <c r="H64" s="21">
        <v>0</v>
      </c>
      <c r="I64" s="21">
        <v>0</v>
      </c>
      <c r="J64" s="21">
        <v>0</v>
      </c>
      <c r="K64" s="21">
        <v>0</v>
      </c>
      <c r="L64" s="21">
        <v>0</v>
      </c>
      <c r="M64" s="21">
        <v>0</v>
      </c>
      <c r="N64" s="21">
        <v>52.241900000000001</v>
      </c>
      <c r="O64" s="21">
        <f>SUM(tabCustoUnit[[#This Row],[Salário Base]:[Adicional de Acúmulo de função]])</f>
        <v>1648.5219</v>
      </c>
      <c r="P64" s="21">
        <f>tabCustoUnit[[#This Row],[MODULO 1 - REMUNERAÇÃO ]]*SUMIFS(tabParametros[INSS],tabParametros[Código do Posto],tabCustoUnit[[#This Row],[Código do Posto]])</f>
        <v>329.70438000000001</v>
      </c>
      <c r="Q64" s="21">
        <f>tabCustoUnit[[#This Row],[MODULO 1 - REMUNERAÇÃO ]]*SUMIFS(tabParametros[SESI OU SESC],tabParametros[Código do Posto],tabCustoUnit[[#This Row],[Código do Posto]])</f>
        <v>24.727828499999998</v>
      </c>
      <c r="R64" s="21">
        <f>tabCustoUnit[[#This Row],[MODULO 1 - REMUNERAÇÃO ]]*SUMIFS(tabParametros[SENAI OU SENAC],tabParametros[Código do Posto],tabCustoUnit[[#This Row],[Código do Posto]])</f>
        <v>16.485219000000001</v>
      </c>
      <c r="S64" s="21">
        <f>tabCustoUnit[[#This Row],[MODULO 1 - REMUNERAÇÃO ]]*SUMIFS(tabParametros[INCRA],tabParametros[Código do Posto],tabCustoUnit[[#This Row],[Código do Posto]])</f>
        <v>3.2970438</v>
      </c>
      <c r="T64" s="21">
        <f>tabCustoUnit[[#This Row],[MODULO 1 - REMUNERAÇÃO ]]*SUMIFS(tabParametros[Salário Educação],tabParametros[Código do Posto],tabCustoUnit[[#This Row],[Código do Posto]])</f>
        <v>41.213047500000002</v>
      </c>
      <c r="U64" s="21">
        <f>tabCustoUnit[[#This Row],[MODULO 1 - REMUNERAÇÃO ]]*SUMIFS(tabParametros[FGTS],tabParametros[Código do Posto],tabCustoUnit[[#This Row],[Código do Posto]])</f>
        <v>131.88175200000001</v>
      </c>
      <c r="V64" s="21">
        <f>tabCustoUnit[[#This Row],[MODULO 1 - REMUNERAÇÃO ]]*SUMIFS(tabParametros[RAT Ajustado],tabParametros[Código do Posto],tabCustoUnit[[#This Row],[Código do Posto]])</f>
        <v>65.940876000000003</v>
      </c>
      <c r="W64" s="21">
        <f>tabCustoUnit[[#This Row],[MODULO 1 - REMUNERAÇÃO ]]*SUMIFS(tabParametros[SEBRAE],tabParametros[Código do Posto],tabCustoUnit[[#This Row],[Código do Posto]])</f>
        <v>9.8911314000000008</v>
      </c>
      <c r="X64" s="21">
        <f>SUM(tabCustoUnit[[#This Row],[INSS]:[SEBRAE]])</f>
        <v>623.14127819999999</v>
      </c>
      <c r="Y64" s="21">
        <f>tabCustoUnit[[#This Row],[MODULO 1 - REMUNERAÇÃO ]]*SUMIFS(tabParametros[13º salário (titular)],tabParametros[Código do Posto],tabCustoUnit[[#This Row],[Código do Posto]])</f>
        <v>137.376825</v>
      </c>
      <c r="Z64" s="21">
        <f>tabCustoUnit[[#This Row],[MODULO 1 - REMUNERAÇÃO ]]*SUMIFS(tabParametros[Férias e Adicional de Férias (titular)],tabParametros[Código do Posto],tabCustoUnit[[#This Row],[Código do Posto]])</f>
        <v>183.16909999999999</v>
      </c>
      <c r="AA64" s="21">
        <f>IFERROR((tabCustoUnit[[#This Row],[Submódulo 2.1]]/tabCustoUnit[[#This Row],[MODULO 1 - REMUNERAÇÃO ]])*SUM(tabCustoUnit[[#This Row],[13º salário (titular)]:[Férias e Adicional de Férias (titular)]]),0)</f>
        <v>121.16635965</v>
      </c>
      <c r="AB64" s="21">
        <f>SUM(tabCustoUnit[[#This Row],[13º salário (titular)]:[Incidência do Submódulo 2.1 sobre 13º Salário, Férias e Adicional de Férias]])</f>
        <v>441.71228465000002</v>
      </c>
      <c r="AC64" s="22">
        <f>_xlfn.LET(_xlpm.VT,SUMIF(tabParametros[Código do Posto],tabCustoUnit[[#This Row],[Código do Posto]],tabParametros[Vale - Transporte])*2*20,
IF((_xlpm.VT-tabCustoUnit[[#This Row],[Salário Base]]*0.06)&gt;=0,(_xlpm.VT-tabCustoUnit[[#This Row],[Salário Base]]*0.06),0)
)</f>
        <v>160.22320000000002</v>
      </c>
      <c r="AD64" s="22">
        <f>IF(SUMIF(tabParametros[Código do Posto],tabCustoUnit[[#This Row],[Código do Posto]],tabParametros[Vale - Alimentação])&lt;=0,0,
SUMIF(tabParametros[Código do Posto],tabCustoUnit[[#This Row],[Código do Posto]],tabParametros[Vale - Alimentação])*20-1)</f>
        <v>0</v>
      </c>
      <c r="AE64" s="22">
        <f>SUMIF(tabParametros[Código do Posto],tabCustoUnit[[#This Row],[Código do Posto]],tabParametros[Cesta Básica])</f>
        <v>387.79</v>
      </c>
      <c r="AF64" s="22">
        <f>SUMIF(tabParametros[Código do Posto],tabCustoUnit[[#This Row],[Código do Posto]],tabParametros[PAF])</f>
        <v>42.97</v>
      </c>
      <c r="AG64" s="22">
        <f>SUMIF(tabParametros[Código do Posto],tabCustoUnit[[#This Row],[Código do Posto]],tabParametros[PQM])</f>
        <v>0</v>
      </c>
      <c r="AH64" s="22">
        <f>SUMIF(tabParametros[Código do Posto],tabCustoUnit[[#This Row],[Código do Posto]],tabParametros[PAT])</f>
        <v>0</v>
      </c>
      <c r="AI64" s="22">
        <f>SUMIF(tabParametros[Código do Posto],tabCustoUnit[[#This Row],[Código do Posto]],tabParametros[Seguro de Vida])</f>
        <v>3.36</v>
      </c>
      <c r="AJ64" s="22">
        <f>SUMIF(tabParametros[Código do Posto],tabCustoUnit[[#This Row],[Código do Posto]],tabParametros[Despesas de Viagem])</f>
        <v>0</v>
      </c>
      <c r="AK64" s="22">
        <f>SUM(tabCustoUnit[[#This Row],[Vale - Transporte (Descontada parcela do empregado)]:[Despesas de Viagem]])</f>
        <v>594.34320000000014</v>
      </c>
      <c r="AL64" s="22">
        <f>tabCustoUnit[[#This Row],[Submódulo 2.1]]+tabCustoUnit[[#This Row],[Submódulo 2.2]]+tabCustoUnit[[#This Row],[Submódulo 2.3]]</f>
        <v>1659.1967628500001</v>
      </c>
      <c r="AM64" s="22">
        <f>SUMIF(tabParametros[Código do Posto],tabCustoUnit[[#This Row],[Código do Posto]],tabParametros[Aviso Prévio Indenizado (API) e Reflexo do Aviso Prévio Indenizado])*tabCustoUnit[[#This Row],[MODULO 1 - REMUNERAÇÃO ]]</f>
        <v>11.559051416493055</v>
      </c>
      <c r="AN64" s="22">
        <f>SUMIF(tabParametros[Código do Posto],tabCustoUnit[[#This Row],[Código do Posto]],tabParametros[Incidência do FGTS sobre API e Reflexo do API])*tabCustoUnit[[#This Row],[MODULO 1 - REMUNERAÇÃO ]]</f>
        <v>0.92472411331944449</v>
      </c>
      <c r="AO64" s="22">
        <f>SUMIF(tabParametros[Código do Posto],tabCustoUnit[[#This Row],[Código do Posto]],tabParametros[Multa Rescisória do FGTS sobre o Aviso Prévio Indenizado])*tabCustoUnit[[#This Row],[MODULO 1 - REMUNERAÇÃO ]]</f>
        <v>0.36988964532777785</v>
      </c>
      <c r="AP64" s="22">
        <f>SUMIF(tabParametros[Código do Posto],tabCustoUnit[[#This Row],[Código do Posto]],tabParametros[Aviso Prévio Trabalhado - APT])*tabCustoUnit[[#This Row],[MODULO 1 - REMUNERAÇÃO ]]</f>
        <v>5.7698266500000006</v>
      </c>
      <c r="AQ64" s="22">
        <f>SUMIF(tabParametros[Código do Posto],tabCustoUnit[[#This Row],[Código do Posto]],tabParametros[Incidência dos encargos do submódulo 2.1 sobre Aviso Prévio Trabalhado])*tabCustoUnit[[#This Row],[MODULO 1 - REMUNERAÇÃO ]]</f>
        <v>2.1809944737000007</v>
      </c>
      <c r="AR64" s="22">
        <f>SUMIF(tabParametros[Código do Posto],tabCustoUnit[[#This Row],[Código do Posto]],tabParametros[Multa Rescisória do FGTS])*tabCustoUnit[[#This Row],[MODULO 1 - REMUNERAÇÃO ]]</f>
        <v>50.40813631999999</v>
      </c>
      <c r="AS64" s="22">
        <f>SUMIF(tabParametros[Código do Posto],tabCustoUnit[[#This Row],[Código do Posto]],tabParametros[Indenização Adicional (Art. 9º da Lei nº 7.238/84)])*tabCustoUnit[[#This Row],[MODULO 1 - REMUNERAÇÃO ]]</f>
        <v>1.3737682500000001</v>
      </c>
      <c r="AT64" s="22">
        <f>SUM(tabCustoUnit[[#This Row],[Aviso Prévio Indenizado (API) e Reflexo do Aviso Prévio Indenizado]:[Indenização Adicional (Art. 9º da Lei nº 7.238/84)]])</f>
        <v>72.586390868840269</v>
      </c>
      <c r="AU64" s="22">
        <f>SUMIF(tabParametros[Código do Posto],tabCustoUnit[[#This Row],[Código do Posto]],tabParametros[Ausência por Doença])*tabCustoUnit[[#This Row],[MODULO 1 - REMUNERAÇÃO ]]</f>
        <v>13.920851599999999</v>
      </c>
      <c r="AV64" s="22">
        <f>SUMIF(tabParametros[Código do Posto],tabCustoUnit[[#This Row],[Código do Posto]],tabParametros[Ausências Legais])*tabCustoUnit[[#This Row],[MODULO 1 - REMUNERAÇÃO ]]</f>
        <v>3.3428360749999997</v>
      </c>
      <c r="AW64" s="22">
        <f>SUMIF(tabParametros[Código do Posto],tabCustoUnit[[#This Row],[Código do Posto]],tabParametros[Licença Paternidade])*tabCustoUnit[[#This Row],[MODULO 1 - REMUNERAÇÃO ]]</f>
        <v>0.28162249125</v>
      </c>
      <c r="AX64" s="22">
        <f>SUMIF(tabParametros[Código do Posto],tabCustoUnit[[#This Row],[Código do Posto]],tabParametros[Ausência por Acidente de Trabalho])*tabCustoUnit[[#This Row],[MODULO 1 - REMUNERAÇÃO ]]</f>
        <v>0.34344206250000003</v>
      </c>
      <c r="AY64" s="22">
        <f>SUMIF(tabParametros[Código do Posto],tabCustoUnit[[#This Row],[Código do Posto]],tabParametros[Férias, Adicional de Férias e 13º  com empregada em gozo de Licença Maternidade])*tabCustoUnit[[#This Row],[MODULO 1 - REMUNERAÇÃO ]]</f>
        <v>2.1369728333333331</v>
      </c>
      <c r="AZ64" s="22">
        <f>SUMIF(tabParametros[Código do Posto],tabCustoUnit[[#This Row],[Código do Posto]],tabParametros[Incidência do Submódulo 2.1 sobre Ausências Legais])*tabCustoUnit[[#This Row],[MODULO 1 - REMUNERAÇÃO ]]</f>
        <v>7.5697240734675013</v>
      </c>
      <c r="BA64" s="22">
        <f>SUM(tabCustoUnit[[#This Row],[Ausência por Doença]:[Incidência do Submódulo 2.1 sobre Ausências Legais]])</f>
        <v>27.595449135550833</v>
      </c>
      <c r="BB64" s="22">
        <f>SUMIF(tabParametros[Código do Posto],tabCustoUnit[[#This Row],[Código do Posto]],tabParametros[Intervalo para Repouso ou Alimentação])</f>
        <v>0</v>
      </c>
      <c r="BC64" s="22">
        <f>tabCustoUnit[[#This Row],[Intervalo para Repouso ou Alimentação]]</f>
        <v>0</v>
      </c>
      <c r="BD64" s="22">
        <f>IF(VLOOKUP(tabCustoUnit[[#This Row],[Código do Posto]],PARAMETROS!$A$4:$BJ$255,7,0)&lt;=0,0,
IFERROR((tabCustoUnit[[#This Row],[MODULO 1 - REMUNERAÇÃO ]]*VLOOKUP(tabCustoUnit[[#This Row],[Código do Posto]],PARAMETROS!$A$4:$BJ$255,49,0))/(VLOOKUP(tabCustoUnit[[#This Row],[Código do Posto]],PARAMETROS!$A$4:$BJ$255,7,0)*VLOOKUP(tabCustoUnit[[#This Row],[Código do Posto]],PARAMETROS!$A$4:$BJ$255,8,0)),0)
)</f>
        <v>0</v>
      </c>
      <c r="BE64" s="22">
        <f>tabCustoUnit[[#This Row],[Suspensão Temporária do Contrato de Trabalho]]</f>
        <v>0</v>
      </c>
      <c r="BF64" s="22">
        <f>tabCustoUnit[[#This Row],[Submódulo 4.1]]+tabCustoUnit[[#This Row],[Submódulo 4.2]]+tabCustoUnit[[#This Row],[Submódulo 4.3]]</f>
        <v>27.595449135550833</v>
      </c>
      <c r="BG64" s="22">
        <f>VLOOKUP(tabCustoUnit[[#This Row],[Código do Posto]],tabParametros[],MATCH(tabCustoUnit[[#Headers],[Uniformes e EPIs]],tabParametros[#Headers],0),0)</f>
        <v>100.80916666666666</v>
      </c>
      <c r="BH64" s="22">
        <f>VLOOKUP(tabCustoUnit[[#This Row],[Código do Posto]],tabParametros[],MATCH(tabCustoUnit[[#Headers],[Materiais de Consumo]],tabParametros[#Headers],0),0)</f>
        <v>35.518212958583888</v>
      </c>
      <c r="BI64" s="22">
        <f>VLOOKUP(tabCustoUnit[[#This Row],[Código do Posto]],tabParametros[],MATCH(tabCustoUnit[[#Headers],[Máquinas e Equipamentos (depreciação)]],tabParametros[#Headers],0),0)</f>
        <v>64.529393914825576</v>
      </c>
      <c r="BJ64" s="22">
        <f>VLOOKUP(tabCustoUnit[[#This Row],[Código do Posto]],tabParametros[],MATCH(tabCustoUnit[[#Headers],[Produtos de Limpeza e Materiais de Higiene Pessoal]],tabParametros[#Headers],0),0)</f>
        <v>690.27153277931654</v>
      </c>
      <c r="BK64" s="22">
        <f>VLOOKUP(tabCustoUnit[[#This Row],[Código do Posto]],tabParametros[],MATCH(tabCustoUnit[[#Headers],[Outros (especificar)]],tabParametros[#Headers],0),0)</f>
        <v>0</v>
      </c>
      <c r="BL64" s="22">
        <f>SUM(tabCustoUnit[[#This Row],[Uniformes e EPIs]:[Outros (especificar)]])</f>
        <v>891.12830631939266</v>
      </c>
      <c r="BM64" s="22">
        <f>tabCustoUnit[[#This Row],[MODULO 1 - REMUNERAÇÃO ]]+tabCustoUnit[[#This Row],[MÓDULO 2 - Total Encargos e Benefícios mensais e diários]]+tabCustoUnit[[#This Row],[MÓDULO 3 – PROVISÃO PARA RESCISÃO]]+tabCustoUnit[[#This Row],[MÓDULO 4 – CUSTO DE REPOSIÇÃO DO PROFISSIONAL AUSENTE]]+tabCustoUnit[[#This Row],[MÓDULO 5 – INSUMOS DIVERSOS]]</f>
        <v>4299.0288091737839</v>
      </c>
      <c r="BN64" s="22">
        <f>VLOOKUP(tabCustoUnit[[#This Row],[Código do Posto]],tabParametros[],MATCH(tabCustoUnit[[#Headers],[Custos Indiretos]],tabParametros[#Headers],0),0)</f>
        <v>189.64880140242613</v>
      </c>
      <c r="BO64" s="22">
        <f>VLOOKUP(tabCustoUnit[[#This Row],[Código do Posto]],tabParametros[],MATCH(tabCustoUnit[[#Headers],[Lucro]],tabParametros[#Headers],0),0)</f>
        <v>159.30499317803796</v>
      </c>
      <c r="BP64" s="26">
        <f>((100/((1-tabCustoUnit[[#This Row],[Resumo de Alíquotas (PIS+CONFINS+ISS)]]))-100)*VLOOKUP(tabCustoUnit[[#This Row],[Código do Posto]],tabParametros[],MATCH(tabCustoUnit[[#Headers],[COFINS]],tabParametros[#Headers],0),0))/(tabCustoUnit[[#This Row],[Resumo de Alíquotas (PIS+CONFINS+ISS)]]*100)</f>
        <v>8.6609686609686695E-2</v>
      </c>
      <c r="BQ64" s="26">
        <f>((100/((100-(tabCustoUnit[[#This Row],[Resumo de Alíquotas (PIS+CONFINS+ISS)]]*100))%)-100)*VLOOKUP(tabCustoUnit[[#This Row],[Código do Posto]],tabParametros[],MATCH(tabCustoUnit[[#Headers],[PIS]],tabParametros[#Headers],0),0))/(tabCustoUnit[[#This Row],[Resumo de Alíquotas (PIS+CONFINS+ISS)]]*100)</f>
        <v>1.880341880341882E-2</v>
      </c>
      <c r="BR64" s="28">
        <f>VLOOKUP(tabCustoUnit[[#This Row],[Código do Posto]],tabParametros[],MATCH(tabCustoUnit[[#Headers],[ISS]],tabParametros[#Headers],0),0)</f>
        <v>0.03</v>
      </c>
      <c r="BS64" s="26">
        <f>(((100/((100-(tabCustoUnit[[#This Row],[Resumo de Alíquotas (PIS+CONFINS+ISS)]]*100))%)-100)*tabCustoUnit[[#This Row],[ISS]])/tabCustoUnit[[#This Row],[Resumo de Alíquotas (PIS+CONFINS+ISS)]])/100</f>
        <v>3.4188034188034219E-2</v>
      </c>
      <c r="BT64" s="26">
        <f>(VLOOKUP(tabCustoUnit[[#This Row],[Código do Posto]],tabParametros[],MATCH(tabCustoUnit[[#Headers],[COFINS]],tabParametros[#Headers],0),0)+
VLOOKUP(tabCustoUnit[[#This Row],[Código do Posto]],tabParametros[],MATCH(tabCustoUnit[[#Headers],[PIS]],tabParametros[#Headers],0),0)+
VLOOKUP(tabCustoUnit[[#This Row],[Código do Posto]],tabParametros[],MATCH(tabCustoUnit[[#Headers],[ISS]],tabParametros[#Headers],0),0))</f>
        <v>0.1225</v>
      </c>
      <c r="BU64" s="138">
        <f>tabCustoUnit[[#This Row],[COFINS]]+tabCustoUnit[[#This Row],[PIS]]+tabCustoUnit[[#This Row],[ISS (Conversão Alíquota s/ fatura)]]</f>
        <v>0.13960113960113973</v>
      </c>
      <c r="BV64" s="22">
        <f>(tabCustoUnit[[#This Row],[TOTAL MÓDULOS 1+2+3+4+5]]+tabCustoUnit[[#This Row],[Custos Indiretos]]+tabCustoUnit[[#This Row],[Lucro]])*tabCustoUnit[[#This Row],[PIS + COFINS + ISS (Total Conversão  Alíquota s/ Fatura)]]</f>
        <v>648.86366833036573</v>
      </c>
      <c r="BW64" s="22">
        <f>tabCustoUnit[[#This Row],[Custos Indiretos]]+tabCustoUnit[[#This Row],[Lucro]]+tabCustoUnit[[#This Row],[Valor dos Tributos (ISS, PIS, CONFINS)]]</f>
        <v>997.81746291082982</v>
      </c>
      <c r="BX64" s="22">
        <f>tabCustoUnit[[#This Row],[TOTAL MÓDULOS 1+2+3+4+5]]+tabCustoUnit[[#This Row],[MÓDULO 6 – CUSTOS INDIRETOS, TRIBUTOS E LUCRO]]</f>
        <v>5296.8462720846137</v>
      </c>
      <c r="BY64" s="22">
        <f>tabCustoUnit[[#This Row],[CUSTO TOTAL MENSAL]]*12</f>
        <v>63562.155265015361</v>
      </c>
      <c r="BZ64" s="24">
        <f>VLOOKUP(tabCustoUnit[[#This Row],[Código do Posto]],tabParametros[],MATCH(tabCustoUnit[[#Headers],[ANO DA CCT]],tabParametros[#Headers],0),0)</f>
        <v>45658</v>
      </c>
      <c r="CA64" s="25" t="str">
        <f>VLOOKUP(tabCustoUnit[[#This Row],[Código do Posto]],tabParametros[],MATCH(tabCustoUnit[[#Headers],[Nº DE PEDIDO DA CCT]],tabParametros[#Headers],0),0)</f>
        <v>-</v>
      </c>
      <c r="CB64" s="25" t="str">
        <f>VLOOKUP(tabCustoUnit[[#This Row],[Código do Posto]],tabParametros[],MATCH(tabCustoUnit[[#Headers],[TERMO ADITIVO ALTERAÇÃO DA CCT]],tabParametros[#Headers],0),0)</f>
        <v>-</v>
      </c>
    </row>
    <row r="65" spans="1:80" x14ac:dyDescent="0.25">
      <c r="A65" s="20" t="s">
        <v>1405</v>
      </c>
      <c r="B65" t="s">
        <v>63</v>
      </c>
      <c r="C65" t="s">
        <v>1245</v>
      </c>
      <c r="D65" t="s">
        <v>1023</v>
      </c>
      <c r="E65" s="20" t="s">
        <v>9</v>
      </c>
      <c r="F65" s="20" t="s">
        <v>10</v>
      </c>
      <c r="G65" s="21">
        <v>1596.28</v>
      </c>
      <c r="H65" s="21">
        <v>0</v>
      </c>
      <c r="I65" s="21">
        <v>0</v>
      </c>
      <c r="J65" s="21">
        <v>0</v>
      </c>
      <c r="K65" s="21">
        <v>0</v>
      </c>
      <c r="L65" s="21">
        <v>0</v>
      </c>
      <c r="M65" s="21">
        <v>0</v>
      </c>
      <c r="N65" s="21">
        <v>52.241900000000001</v>
      </c>
      <c r="O65" s="21">
        <f>SUM(tabCustoUnit[[#This Row],[Salário Base]:[Adicional de Acúmulo de função]])</f>
        <v>1648.5219</v>
      </c>
      <c r="P65" s="21">
        <f>tabCustoUnit[[#This Row],[MODULO 1 - REMUNERAÇÃO ]]*SUMIFS(tabParametros[INSS],tabParametros[Código do Posto],tabCustoUnit[[#This Row],[Código do Posto]])</f>
        <v>329.70438000000001</v>
      </c>
      <c r="Q65" s="21">
        <f>tabCustoUnit[[#This Row],[MODULO 1 - REMUNERAÇÃO ]]*SUMIFS(tabParametros[SESI OU SESC],tabParametros[Código do Posto],tabCustoUnit[[#This Row],[Código do Posto]])</f>
        <v>24.727828499999998</v>
      </c>
      <c r="R65" s="21">
        <f>tabCustoUnit[[#This Row],[MODULO 1 - REMUNERAÇÃO ]]*SUMIFS(tabParametros[SENAI OU SENAC],tabParametros[Código do Posto],tabCustoUnit[[#This Row],[Código do Posto]])</f>
        <v>16.485219000000001</v>
      </c>
      <c r="S65" s="21">
        <f>tabCustoUnit[[#This Row],[MODULO 1 - REMUNERAÇÃO ]]*SUMIFS(tabParametros[INCRA],tabParametros[Código do Posto],tabCustoUnit[[#This Row],[Código do Posto]])</f>
        <v>3.2970438</v>
      </c>
      <c r="T65" s="21">
        <f>tabCustoUnit[[#This Row],[MODULO 1 - REMUNERAÇÃO ]]*SUMIFS(tabParametros[Salário Educação],tabParametros[Código do Posto],tabCustoUnit[[#This Row],[Código do Posto]])</f>
        <v>41.213047500000002</v>
      </c>
      <c r="U65" s="21">
        <f>tabCustoUnit[[#This Row],[MODULO 1 - REMUNERAÇÃO ]]*SUMIFS(tabParametros[FGTS],tabParametros[Código do Posto],tabCustoUnit[[#This Row],[Código do Posto]])</f>
        <v>131.88175200000001</v>
      </c>
      <c r="V65" s="21">
        <f>tabCustoUnit[[#This Row],[MODULO 1 - REMUNERAÇÃO ]]*SUMIFS(tabParametros[RAT Ajustado],tabParametros[Código do Posto],tabCustoUnit[[#This Row],[Código do Posto]])</f>
        <v>65.940876000000003</v>
      </c>
      <c r="W65" s="21">
        <f>tabCustoUnit[[#This Row],[MODULO 1 - REMUNERAÇÃO ]]*SUMIFS(tabParametros[SEBRAE],tabParametros[Código do Posto],tabCustoUnit[[#This Row],[Código do Posto]])</f>
        <v>9.8911314000000008</v>
      </c>
      <c r="X65" s="21">
        <f>SUM(tabCustoUnit[[#This Row],[INSS]:[SEBRAE]])</f>
        <v>623.14127819999999</v>
      </c>
      <c r="Y65" s="21">
        <f>tabCustoUnit[[#This Row],[MODULO 1 - REMUNERAÇÃO ]]*SUMIFS(tabParametros[13º salário (titular)],tabParametros[Código do Posto],tabCustoUnit[[#This Row],[Código do Posto]])</f>
        <v>137.376825</v>
      </c>
      <c r="Z65" s="21">
        <f>tabCustoUnit[[#This Row],[MODULO 1 - REMUNERAÇÃO ]]*SUMIFS(tabParametros[Férias e Adicional de Férias (titular)],tabParametros[Código do Posto],tabCustoUnit[[#This Row],[Código do Posto]])</f>
        <v>183.16909999999999</v>
      </c>
      <c r="AA65" s="21">
        <f>IFERROR((tabCustoUnit[[#This Row],[Submódulo 2.1]]/tabCustoUnit[[#This Row],[MODULO 1 - REMUNERAÇÃO ]])*SUM(tabCustoUnit[[#This Row],[13º salário (titular)]:[Férias e Adicional de Férias (titular)]]),0)</f>
        <v>121.16635965</v>
      </c>
      <c r="AB65" s="21">
        <f>SUM(tabCustoUnit[[#This Row],[13º salário (titular)]:[Incidência do Submódulo 2.1 sobre 13º Salário, Férias e Adicional de Férias]])</f>
        <v>441.71228465000002</v>
      </c>
      <c r="AC65" s="22">
        <f>_xlfn.LET(_xlpm.VT,SUMIF(tabParametros[Código do Posto],tabCustoUnit[[#This Row],[Código do Posto]],tabParametros[Vale - Transporte])*2*20,
IF((_xlpm.VT-tabCustoUnit[[#This Row],[Salário Base]]*0.06)&gt;=0,(_xlpm.VT-tabCustoUnit[[#This Row],[Salário Base]]*0.06),0)
)</f>
        <v>160.22320000000002</v>
      </c>
      <c r="AD65" s="22">
        <f>IF(SUMIF(tabParametros[Código do Posto],tabCustoUnit[[#This Row],[Código do Posto]],tabParametros[Vale - Alimentação])&lt;=0,0,
SUMIF(tabParametros[Código do Posto],tabCustoUnit[[#This Row],[Código do Posto]],tabParametros[Vale - Alimentação])*20-1)</f>
        <v>582</v>
      </c>
      <c r="AE65" s="22">
        <f>SUMIF(tabParametros[Código do Posto],tabCustoUnit[[#This Row],[Código do Posto]],tabParametros[Cesta Básica])</f>
        <v>0</v>
      </c>
      <c r="AF65" s="22">
        <f>SUMIF(tabParametros[Código do Posto],tabCustoUnit[[#This Row],[Código do Posto]],tabParametros[PAF])</f>
        <v>0</v>
      </c>
      <c r="AG65" s="22">
        <f>SUMIF(tabParametros[Código do Posto],tabCustoUnit[[#This Row],[Código do Posto]],tabParametros[PQM])</f>
        <v>0</v>
      </c>
      <c r="AH65" s="22">
        <f>SUMIF(tabParametros[Código do Posto],tabCustoUnit[[#This Row],[Código do Posto]],tabParametros[PAT])</f>
        <v>0</v>
      </c>
      <c r="AI65" s="22">
        <f>SUMIF(tabParametros[Código do Posto],tabCustoUnit[[#This Row],[Código do Posto]],tabParametros[Seguro de Vida])</f>
        <v>3.36</v>
      </c>
      <c r="AJ65" s="22">
        <f>SUMIF(tabParametros[Código do Posto],tabCustoUnit[[#This Row],[Código do Posto]],tabParametros[Despesas de Viagem])</f>
        <v>0</v>
      </c>
      <c r="AK65" s="22">
        <f>SUM(tabCustoUnit[[#This Row],[Vale - Transporte (Descontada parcela do empregado)]:[Despesas de Viagem]])</f>
        <v>745.58320000000003</v>
      </c>
      <c r="AL65" s="22">
        <f>tabCustoUnit[[#This Row],[Submódulo 2.1]]+tabCustoUnit[[#This Row],[Submódulo 2.2]]+tabCustoUnit[[#This Row],[Submódulo 2.3]]</f>
        <v>1810.4367628499999</v>
      </c>
      <c r="AM65" s="22">
        <f>SUMIF(tabParametros[Código do Posto],tabCustoUnit[[#This Row],[Código do Posto]],tabParametros[Aviso Prévio Indenizado (API) e Reflexo do Aviso Prévio Indenizado])*tabCustoUnit[[#This Row],[MODULO 1 - REMUNERAÇÃO ]]</f>
        <v>11.559051416493055</v>
      </c>
      <c r="AN65" s="22">
        <f>SUMIF(tabParametros[Código do Posto],tabCustoUnit[[#This Row],[Código do Posto]],tabParametros[Incidência do FGTS sobre API e Reflexo do API])*tabCustoUnit[[#This Row],[MODULO 1 - REMUNERAÇÃO ]]</f>
        <v>0.92472411331944449</v>
      </c>
      <c r="AO65" s="22">
        <f>SUMIF(tabParametros[Código do Posto],tabCustoUnit[[#This Row],[Código do Posto]],tabParametros[Multa Rescisória do FGTS sobre o Aviso Prévio Indenizado])*tabCustoUnit[[#This Row],[MODULO 1 - REMUNERAÇÃO ]]</f>
        <v>0.36988964532777785</v>
      </c>
      <c r="AP65" s="22">
        <f>SUMIF(tabParametros[Código do Posto],tabCustoUnit[[#This Row],[Código do Posto]],tabParametros[Aviso Prévio Trabalhado - APT])*tabCustoUnit[[#This Row],[MODULO 1 - REMUNERAÇÃO ]]</f>
        <v>5.7698266500000006</v>
      </c>
      <c r="AQ65" s="22">
        <f>SUMIF(tabParametros[Código do Posto],tabCustoUnit[[#This Row],[Código do Posto]],tabParametros[Incidência dos encargos do submódulo 2.1 sobre Aviso Prévio Trabalhado])*tabCustoUnit[[#This Row],[MODULO 1 - REMUNERAÇÃO ]]</f>
        <v>2.1809944737000007</v>
      </c>
      <c r="AR65" s="22">
        <f>SUMIF(tabParametros[Código do Posto],tabCustoUnit[[#This Row],[Código do Posto]],tabParametros[Multa Rescisória do FGTS])*tabCustoUnit[[#This Row],[MODULO 1 - REMUNERAÇÃO ]]</f>
        <v>50.40813631999999</v>
      </c>
      <c r="AS65" s="22">
        <f>SUMIF(tabParametros[Código do Posto],tabCustoUnit[[#This Row],[Código do Posto]],tabParametros[Indenização Adicional (Art. 9º da Lei nº 7.238/84)])*tabCustoUnit[[#This Row],[MODULO 1 - REMUNERAÇÃO ]]</f>
        <v>1.3737682500000001</v>
      </c>
      <c r="AT65" s="22">
        <f>SUM(tabCustoUnit[[#This Row],[Aviso Prévio Indenizado (API) e Reflexo do Aviso Prévio Indenizado]:[Indenização Adicional (Art. 9º da Lei nº 7.238/84)]])</f>
        <v>72.586390868840269</v>
      </c>
      <c r="AU65" s="22">
        <f>SUMIF(tabParametros[Código do Posto],tabCustoUnit[[#This Row],[Código do Posto]],tabParametros[Ausência por Doença])*tabCustoUnit[[#This Row],[MODULO 1 - REMUNERAÇÃO ]]</f>
        <v>13.920851599999999</v>
      </c>
      <c r="AV65" s="22">
        <f>SUMIF(tabParametros[Código do Posto],tabCustoUnit[[#This Row],[Código do Posto]],tabParametros[Ausências Legais])*tabCustoUnit[[#This Row],[MODULO 1 - REMUNERAÇÃO ]]</f>
        <v>3.3428360749999997</v>
      </c>
      <c r="AW65" s="22">
        <f>SUMIF(tabParametros[Código do Posto],tabCustoUnit[[#This Row],[Código do Posto]],tabParametros[Licença Paternidade])*tabCustoUnit[[#This Row],[MODULO 1 - REMUNERAÇÃO ]]</f>
        <v>0.28162249125</v>
      </c>
      <c r="AX65" s="22">
        <f>SUMIF(tabParametros[Código do Posto],tabCustoUnit[[#This Row],[Código do Posto]],tabParametros[Ausência por Acidente de Trabalho])*tabCustoUnit[[#This Row],[MODULO 1 - REMUNERAÇÃO ]]</f>
        <v>0.34344206250000003</v>
      </c>
      <c r="AY65" s="22">
        <f>SUMIF(tabParametros[Código do Posto],tabCustoUnit[[#This Row],[Código do Posto]],tabParametros[Férias, Adicional de Férias e 13º  com empregada em gozo de Licença Maternidade])*tabCustoUnit[[#This Row],[MODULO 1 - REMUNERAÇÃO ]]</f>
        <v>2.1369728333333331</v>
      </c>
      <c r="AZ65" s="22">
        <f>SUMIF(tabParametros[Código do Posto],tabCustoUnit[[#This Row],[Código do Posto]],tabParametros[Incidência do Submódulo 2.1 sobre Ausências Legais])*tabCustoUnit[[#This Row],[MODULO 1 - REMUNERAÇÃO ]]</f>
        <v>7.5697240734675013</v>
      </c>
      <c r="BA65" s="22">
        <f>SUM(tabCustoUnit[[#This Row],[Ausência por Doença]:[Incidência do Submódulo 2.1 sobre Ausências Legais]])</f>
        <v>27.595449135550833</v>
      </c>
      <c r="BB65" s="22">
        <f>SUMIF(tabParametros[Código do Posto],tabCustoUnit[[#This Row],[Código do Posto]],tabParametros[Intervalo para Repouso ou Alimentação])</f>
        <v>0</v>
      </c>
      <c r="BC65" s="22">
        <f>tabCustoUnit[[#This Row],[Intervalo para Repouso ou Alimentação]]</f>
        <v>0</v>
      </c>
      <c r="BD65" s="22">
        <f>IF(VLOOKUP(tabCustoUnit[[#This Row],[Código do Posto]],PARAMETROS!$A$4:$BJ$255,7,0)&lt;=0,0,
IFERROR((tabCustoUnit[[#This Row],[MODULO 1 - REMUNERAÇÃO ]]*VLOOKUP(tabCustoUnit[[#This Row],[Código do Posto]],PARAMETROS!$A$4:$BJ$255,49,0))/(VLOOKUP(tabCustoUnit[[#This Row],[Código do Posto]],PARAMETROS!$A$4:$BJ$255,7,0)*VLOOKUP(tabCustoUnit[[#This Row],[Código do Posto]],PARAMETROS!$A$4:$BJ$255,8,0)),0)
)</f>
        <v>0</v>
      </c>
      <c r="BE65" s="22">
        <f>tabCustoUnit[[#This Row],[Suspensão Temporária do Contrato de Trabalho]]</f>
        <v>0</v>
      </c>
      <c r="BF65" s="22">
        <f>tabCustoUnit[[#This Row],[Submódulo 4.1]]+tabCustoUnit[[#This Row],[Submódulo 4.2]]+tabCustoUnit[[#This Row],[Submódulo 4.3]]</f>
        <v>27.595449135550833</v>
      </c>
      <c r="BG65" s="22">
        <f>VLOOKUP(tabCustoUnit[[#This Row],[Código do Posto]],tabParametros[],MATCH(tabCustoUnit[[#Headers],[Uniformes e EPIs]],tabParametros[#Headers],0),0)</f>
        <v>100.80916666666666</v>
      </c>
      <c r="BH65" s="22">
        <f>VLOOKUP(tabCustoUnit[[#This Row],[Código do Posto]],tabParametros[],MATCH(tabCustoUnit[[#Headers],[Materiais de Consumo]],tabParametros[#Headers],0),0)</f>
        <v>35.518212958583888</v>
      </c>
      <c r="BI65" s="22">
        <f>VLOOKUP(tabCustoUnit[[#This Row],[Código do Posto]],tabParametros[],MATCH(tabCustoUnit[[#Headers],[Máquinas e Equipamentos (depreciação)]],tabParametros[#Headers],0),0)</f>
        <v>64.529393914825576</v>
      </c>
      <c r="BJ65" s="22">
        <f>VLOOKUP(tabCustoUnit[[#This Row],[Código do Posto]],tabParametros[],MATCH(tabCustoUnit[[#Headers],[Produtos de Limpeza e Materiais de Higiene Pessoal]],tabParametros[#Headers],0),0)</f>
        <v>690.27153277931654</v>
      </c>
      <c r="BK65" s="22">
        <f>VLOOKUP(tabCustoUnit[[#This Row],[Código do Posto]],tabParametros[],MATCH(tabCustoUnit[[#Headers],[Outros (especificar)]],tabParametros[#Headers],0),0)</f>
        <v>0</v>
      </c>
      <c r="BL65" s="22">
        <f>SUM(tabCustoUnit[[#This Row],[Uniformes e EPIs]:[Outros (especificar)]])</f>
        <v>891.12830631939266</v>
      </c>
      <c r="BM65" s="22">
        <f>tabCustoUnit[[#This Row],[MODULO 1 - REMUNERAÇÃO ]]+tabCustoUnit[[#This Row],[MÓDULO 2 - Total Encargos e Benefícios mensais e diários]]+tabCustoUnit[[#This Row],[MÓDULO 3 – PROVISÃO PARA RESCISÃO]]+tabCustoUnit[[#This Row],[MÓDULO 4 – CUSTO DE REPOSIÇÃO DO PROFISSIONAL AUSENTE]]+tabCustoUnit[[#This Row],[MÓDULO 5 – INSUMOS DIVERSOS]]</f>
        <v>4450.2688091737837</v>
      </c>
      <c r="BN65" s="22">
        <f>VLOOKUP(tabCustoUnit[[#This Row],[Código do Posto]],tabParametros[],MATCH(tabCustoUnit[[#Headers],[Custos Indiretos]],tabParametros[#Headers],0),0)</f>
        <v>189.64880140242613</v>
      </c>
      <c r="BO65" s="22">
        <f>VLOOKUP(tabCustoUnit[[#This Row],[Código do Posto]],tabParametros[],MATCH(tabCustoUnit[[#Headers],[Lucro]],tabParametros[#Headers],0),0)</f>
        <v>159.30499317803796</v>
      </c>
      <c r="BP65" s="26">
        <f>((100/((1-tabCustoUnit[[#This Row],[Resumo de Alíquotas (PIS+CONFINS+ISS)]]))-100)*VLOOKUP(tabCustoUnit[[#This Row],[Código do Posto]],tabParametros[],MATCH(tabCustoUnit[[#Headers],[COFINS]],tabParametros[#Headers],0),0))/(tabCustoUnit[[#This Row],[Resumo de Alíquotas (PIS+CONFINS+ISS)]]*100)</f>
        <v>8.5633802816901458E-2</v>
      </c>
      <c r="BQ65" s="26">
        <f>((100/((100-(tabCustoUnit[[#This Row],[Resumo de Alíquotas (PIS+CONFINS+ISS)]]*100))%)-100)*VLOOKUP(tabCustoUnit[[#This Row],[Código do Posto]],tabParametros[],MATCH(tabCustoUnit[[#Headers],[PIS]],tabParametros[#Headers],0),0))/(tabCustoUnit[[#This Row],[Resumo de Alíquotas (PIS+CONFINS+ISS)]]*100)</f>
        <v>1.8591549295774657E-2</v>
      </c>
      <c r="BR65" s="28">
        <f>VLOOKUP(tabCustoUnit[[#This Row],[Código do Posto]],tabParametros[],MATCH(tabCustoUnit[[#Headers],[ISS]],tabParametros[#Headers],0),0)</f>
        <v>0.02</v>
      </c>
      <c r="BS65" s="26">
        <f>(((100/((100-(tabCustoUnit[[#This Row],[Resumo de Alíquotas (PIS+CONFINS+ISS)]]*100))%)-100)*tabCustoUnit[[#This Row],[ISS]])/tabCustoUnit[[#This Row],[Resumo de Alíquotas (PIS+CONFINS+ISS)]])/100</f>
        <v>2.2535211267605645E-2</v>
      </c>
      <c r="BT65" s="26">
        <f>(VLOOKUP(tabCustoUnit[[#This Row],[Código do Posto]],tabParametros[],MATCH(tabCustoUnit[[#Headers],[COFINS]],tabParametros[#Headers],0),0)+
VLOOKUP(tabCustoUnit[[#This Row],[Código do Posto]],tabParametros[],MATCH(tabCustoUnit[[#Headers],[PIS]],tabParametros[#Headers],0),0)+
VLOOKUP(tabCustoUnit[[#This Row],[Código do Posto]],tabParametros[],MATCH(tabCustoUnit[[#Headers],[ISS]],tabParametros[#Headers],0),0))</f>
        <v>0.1125</v>
      </c>
      <c r="BU65" s="138">
        <f>tabCustoUnit[[#This Row],[COFINS]]+tabCustoUnit[[#This Row],[PIS]]+tabCustoUnit[[#This Row],[ISS (Conversão Alíquota s/ fatura)]]</f>
        <v>0.12676056338028174</v>
      </c>
      <c r="BV65" s="22">
        <f>(tabCustoUnit[[#This Row],[TOTAL MÓDULOS 1+2+3+4+5]]+tabCustoUnit[[#This Row],[Custos Indiretos]]+tabCustoUnit[[#This Row],[Lucro]])*tabCustoUnit[[#This Row],[PIS + COFINS + ISS (Total Conversão  Alíquota s/ Fatura)]]</f>
        <v>608.3521610392711</v>
      </c>
      <c r="BW65" s="22">
        <f>tabCustoUnit[[#This Row],[Custos Indiretos]]+tabCustoUnit[[#This Row],[Lucro]]+tabCustoUnit[[#This Row],[Valor dos Tributos (ISS, PIS, CONFINS)]]</f>
        <v>957.30595561973519</v>
      </c>
      <c r="BX65" s="22">
        <f>tabCustoUnit[[#This Row],[TOTAL MÓDULOS 1+2+3+4+5]]+tabCustoUnit[[#This Row],[MÓDULO 6 – CUSTOS INDIRETOS, TRIBUTOS E LUCRO]]</f>
        <v>5407.5747647935186</v>
      </c>
      <c r="BY65" s="22">
        <f>tabCustoUnit[[#This Row],[CUSTO TOTAL MENSAL]]*12</f>
        <v>64890.897177522224</v>
      </c>
      <c r="BZ65" s="24">
        <f>VLOOKUP(tabCustoUnit[[#This Row],[Código do Posto]],tabParametros[],MATCH(tabCustoUnit[[#Headers],[ANO DA CCT]],tabParametros[#Headers],0),0)</f>
        <v>45658</v>
      </c>
      <c r="CA65" s="25" t="str">
        <f>VLOOKUP(tabCustoUnit[[#This Row],[Código do Posto]],tabParametros[],MATCH(tabCustoUnit[[#Headers],[Nº DE PEDIDO DA CCT]],tabParametros[#Headers],0),0)</f>
        <v>-</v>
      </c>
      <c r="CB65" s="25" t="str">
        <f>VLOOKUP(tabCustoUnit[[#This Row],[Código do Posto]],tabParametros[],MATCH(tabCustoUnit[[#Headers],[TERMO ADITIVO ALTERAÇÃO DA CCT]],tabParametros[#Headers],0),0)</f>
        <v>-</v>
      </c>
    </row>
    <row r="66" spans="1:80" x14ac:dyDescent="0.25">
      <c r="A66" s="20" t="s">
        <v>1406</v>
      </c>
      <c r="B66" t="s">
        <v>64</v>
      </c>
      <c r="C66" t="s">
        <v>1247</v>
      </c>
      <c r="D66" t="s">
        <v>1000</v>
      </c>
      <c r="E66" s="20" t="s">
        <v>9</v>
      </c>
      <c r="F66" s="20" t="s">
        <v>10</v>
      </c>
      <c r="G66" s="21">
        <v>544.17999999999995</v>
      </c>
      <c r="H66" s="21">
        <v>0</v>
      </c>
      <c r="I66" s="21">
        <v>0</v>
      </c>
      <c r="J66" s="21">
        <v>0</v>
      </c>
      <c r="K66" s="21">
        <v>0</v>
      </c>
      <c r="L66" s="21">
        <v>0</v>
      </c>
      <c r="M66" s="21">
        <v>0</v>
      </c>
      <c r="N66" s="21">
        <v>19.590499999999999</v>
      </c>
      <c r="O66" s="21">
        <f>SUM(tabCustoUnit[[#This Row],[Salário Base]:[Adicional de Acúmulo de função]])</f>
        <v>563.77049999999997</v>
      </c>
      <c r="P66" s="21">
        <f>tabCustoUnit[[#This Row],[MODULO 1 - REMUNERAÇÃO ]]*SUMIFS(tabParametros[INSS],tabParametros[Código do Posto],tabCustoUnit[[#This Row],[Código do Posto]])</f>
        <v>112.75409999999999</v>
      </c>
      <c r="Q66" s="21">
        <f>tabCustoUnit[[#This Row],[MODULO 1 - REMUNERAÇÃO ]]*SUMIFS(tabParametros[SESI OU SESC],tabParametros[Código do Posto],tabCustoUnit[[#This Row],[Código do Posto]])</f>
        <v>8.4565574999999988</v>
      </c>
      <c r="R66" s="21">
        <f>tabCustoUnit[[#This Row],[MODULO 1 - REMUNERAÇÃO ]]*SUMIFS(tabParametros[SENAI OU SENAC],tabParametros[Código do Posto],tabCustoUnit[[#This Row],[Código do Posto]])</f>
        <v>5.6377049999999995</v>
      </c>
      <c r="S66" s="21">
        <f>tabCustoUnit[[#This Row],[MODULO 1 - REMUNERAÇÃO ]]*SUMIFS(tabParametros[INCRA],tabParametros[Código do Posto],tabCustoUnit[[#This Row],[Código do Posto]])</f>
        <v>1.1275409999999999</v>
      </c>
      <c r="T66" s="21">
        <f>tabCustoUnit[[#This Row],[MODULO 1 - REMUNERAÇÃO ]]*SUMIFS(tabParametros[Salário Educação],tabParametros[Código do Posto],tabCustoUnit[[#This Row],[Código do Posto]])</f>
        <v>14.094262499999999</v>
      </c>
      <c r="U66" s="21">
        <f>tabCustoUnit[[#This Row],[MODULO 1 - REMUNERAÇÃO ]]*SUMIFS(tabParametros[FGTS],tabParametros[Código do Posto],tabCustoUnit[[#This Row],[Código do Posto]])</f>
        <v>45.101639999999996</v>
      </c>
      <c r="V66" s="21">
        <f>tabCustoUnit[[#This Row],[MODULO 1 - REMUNERAÇÃO ]]*SUMIFS(tabParametros[RAT Ajustado],tabParametros[Código do Posto],tabCustoUnit[[#This Row],[Código do Posto]])</f>
        <v>22.550819999999998</v>
      </c>
      <c r="W66" s="21">
        <f>tabCustoUnit[[#This Row],[MODULO 1 - REMUNERAÇÃO ]]*SUMIFS(tabParametros[SEBRAE],tabParametros[Código do Posto],tabCustoUnit[[#This Row],[Código do Posto]])</f>
        <v>3.3826229999999997</v>
      </c>
      <c r="X66" s="21">
        <f>SUM(tabCustoUnit[[#This Row],[INSS]:[SEBRAE]])</f>
        <v>213.10524899999996</v>
      </c>
      <c r="Y66" s="21">
        <f>tabCustoUnit[[#This Row],[MODULO 1 - REMUNERAÇÃO ]]*SUMIFS(tabParametros[13º salário (titular)],tabParametros[Código do Posto],tabCustoUnit[[#This Row],[Código do Posto]])</f>
        <v>46.980874999999997</v>
      </c>
      <c r="Z66" s="21">
        <f>tabCustoUnit[[#This Row],[MODULO 1 - REMUNERAÇÃO ]]*SUMIFS(tabParametros[Férias e Adicional de Férias (titular)],tabParametros[Código do Posto],tabCustoUnit[[#This Row],[Código do Posto]])</f>
        <v>62.641166666666663</v>
      </c>
      <c r="AA66" s="21">
        <f>IFERROR((tabCustoUnit[[#This Row],[Submódulo 2.1]]/tabCustoUnit[[#This Row],[MODULO 1 - REMUNERAÇÃO ]])*SUM(tabCustoUnit[[#This Row],[13º salário (titular)]:[Férias e Adicional de Férias (titular)]]),0)</f>
        <v>41.437131749999992</v>
      </c>
      <c r="AB66" s="21">
        <f>SUM(tabCustoUnit[[#This Row],[13º salário (titular)]:[Incidência do Submódulo 2.1 sobre 13º Salário, Férias e Adicional de Férias]])</f>
        <v>151.05917341666665</v>
      </c>
      <c r="AC66" s="22">
        <f>_xlfn.LET(_xlpm.VT,SUMIF(tabParametros[Código do Posto],tabCustoUnit[[#This Row],[Código do Posto]],tabParametros[Vale - Transporte])*2*20,
IF((_xlpm.VT-tabCustoUnit[[#This Row],[Salário Base]]*0.06)&gt;=0,(_xlpm.VT-tabCustoUnit[[#This Row],[Salário Base]]*0.06),0)
)</f>
        <v>223.3492</v>
      </c>
      <c r="AD66" s="22">
        <f>IF(SUMIF(tabParametros[Código do Posto],tabCustoUnit[[#This Row],[Código do Posto]],tabParametros[Vale - Alimentação])&lt;=0,0,
SUMIF(tabParametros[Código do Posto],tabCustoUnit[[#This Row],[Código do Posto]],tabParametros[Vale - Alimentação])*20-1)</f>
        <v>582</v>
      </c>
      <c r="AE66" s="22">
        <f>SUMIF(tabParametros[Código do Posto],tabCustoUnit[[#This Row],[Código do Posto]],tabParametros[Cesta Básica])</f>
        <v>0</v>
      </c>
      <c r="AF66" s="22">
        <f>SUMIF(tabParametros[Código do Posto],tabCustoUnit[[#This Row],[Código do Posto]],tabParametros[PAF])</f>
        <v>0</v>
      </c>
      <c r="AG66" s="22">
        <f>SUMIF(tabParametros[Código do Posto],tabCustoUnit[[#This Row],[Código do Posto]],tabParametros[PQM])</f>
        <v>15.07</v>
      </c>
      <c r="AH66" s="22">
        <f>SUMIF(tabParametros[Código do Posto],tabCustoUnit[[#This Row],[Código do Posto]],tabParametros[PAT])</f>
        <v>0</v>
      </c>
      <c r="AI66" s="22">
        <f>SUMIF(tabParametros[Código do Posto],tabCustoUnit[[#This Row],[Código do Posto]],tabParametros[Seguro de Vida])</f>
        <v>3.36</v>
      </c>
      <c r="AJ66" s="22">
        <f>SUMIF(tabParametros[Código do Posto],tabCustoUnit[[#This Row],[Código do Posto]],tabParametros[Despesas de Viagem])</f>
        <v>0</v>
      </c>
      <c r="AK66" s="22">
        <f>SUM(tabCustoUnit[[#This Row],[Vale - Transporte (Descontada parcela do empregado)]:[Despesas de Viagem]])</f>
        <v>823.77920000000006</v>
      </c>
      <c r="AL66" s="22">
        <f>tabCustoUnit[[#This Row],[Submódulo 2.1]]+tabCustoUnit[[#This Row],[Submódulo 2.2]]+tabCustoUnit[[#This Row],[Submódulo 2.3]]</f>
        <v>1187.9436224166666</v>
      </c>
      <c r="AM66" s="22">
        <f>SUMIF(tabParametros[Código do Posto],tabCustoUnit[[#This Row],[Código do Posto]],tabParametros[Aviso Prévio Indenizado (API) e Reflexo do Aviso Prévio Indenizado])*tabCustoUnit[[#This Row],[MODULO 1 - REMUNERAÇÃO ]]</f>
        <v>3.9530273735532404</v>
      </c>
      <c r="AN66" s="22">
        <f>SUMIF(tabParametros[Código do Posto],tabCustoUnit[[#This Row],[Código do Posto]],tabParametros[Incidência do FGTS sobre API e Reflexo do API])*tabCustoUnit[[#This Row],[MODULO 1 - REMUNERAÇÃO ]]</f>
        <v>0.31624218988425928</v>
      </c>
      <c r="AO66" s="22">
        <f>SUMIF(tabParametros[Código do Posto],tabCustoUnit[[#This Row],[Código do Posto]],tabParametros[Multa Rescisória do FGTS sobre o Aviso Prévio Indenizado])*tabCustoUnit[[#This Row],[MODULO 1 - REMUNERAÇÃO ]]</f>
        <v>0.12649687595370371</v>
      </c>
      <c r="AP66" s="22">
        <f>SUMIF(tabParametros[Código do Posto],tabCustoUnit[[#This Row],[Código do Posto]],tabParametros[Aviso Prévio Trabalhado - APT])*tabCustoUnit[[#This Row],[MODULO 1 - REMUNERAÇÃO ]]</f>
        <v>1.9731967500000003</v>
      </c>
      <c r="AQ66" s="22">
        <f>SUMIF(tabParametros[Código do Posto],tabCustoUnit[[#This Row],[Código do Posto]],tabParametros[Incidência dos encargos do submódulo 2.1 sobre Aviso Prévio Trabalhado])*tabCustoUnit[[#This Row],[MODULO 1 - REMUNERAÇÃO ]]</f>
        <v>0.74586837150000018</v>
      </c>
      <c r="AR66" s="22">
        <f>SUMIF(tabParametros[Código do Posto],tabCustoUnit[[#This Row],[Código do Posto]],tabParametros[Multa Rescisória do FGTS])*tabCustoUnit[[#This Row],[MODULO 1 - REMUNERAÇÃO ]]</f>
        <v>17.238849066666663</v>
      </c>
      <c r="AS66" s="22">
        <f>SUMIF(tabParametros[Código do Posto],tabCustoUnit[[#This Row],[Código do Posto]],tabParametros[Indenização Adicional (Art. 9º da Lei nº 7.238/84)])*tabCustoUnit[[#This Row],[MODULO 1 - REMUNERAÇÃO ]]</f>
        <v>0.46980875</v>
      </c>
      <c r="AT66" s="22">
        <f>SUM(tabCustoUnit[[#This Row],[Aviso Prévio Indenizado (API) e Reflexo do Aviso Prévio Indenizado]:[Indenização Adicional (Art. 9º da Lei nº 7.238/84)]])</f>
        <v>24.823489377557866</v>
      </c>
      <c r="AU66" s="22">
        <f>SUMIF(tabParametros[Código do Posto],tabCustoUnit[[#This Row],[Código do Posto]],tabParametros[Ausência por Doença])*tabCustoUnit[[#This Row],[MODULO 1 - REMUNERAÇÃO ]]</f>
        <v>4.7607286666666662</v>
      </c>
      <c r="AV66" s="22">
        <f>SUMIF(tabParametros[Código do Posto],tabCustoUnit[[#This Row],[Código do Posto]],tabParametros[Ausências Legais])*tabCustoUnit[[#This Row],[MODULO 1 - REMUNERAÇÃO ]]</f>
        <v>1.1432012916666665</v>
      </c>
      <c r="AW66" s="22">
        <f>SUMIF(tabParametros[Código do Posto],tabCustoUnit[[#This Row],[Código do Posto]],tabParametros[Licença Paternidade])*tabCustoUnit[[#This Row],[MODULO 1 - REMUNERAÇÃO ]]</f>
        <v>9.6310793749999998E-2</v>
      </c>
      <c r="AX66" s="22">
        <f>SUMIF(tabParametros[Código do Posto],tabCustoUnit[[#This Row],[Código do Posto]],tabParametros[Ausência por Acidente de Trabalho])*tabCustoUnit[[#This Row],[MODULO 1 - REMUNERAÇÃO ]]</f>
        <v>0.1174521875</v>
      </c>
      <c r="AY66" s="22">
        <f>SUMIF(tabParametros[Código do Posto],tabCustoUnit[[#This Row],[Código do Posto]],tabParametros[Férias, Adicional de Férias e 13º  com empregada em gozo de Licença Maternidade])*tabCustoUnit[[#This Row],[MODULO 1 - REMUNERAÇÃO ]]</f>
        <v>0.73081361111111109</v>
      </c>
      <c r="AZ66" s="22">
        <f>SUMIF(tabParametros[Código do Posto],tabCustoUnit[[#This Row],[Código do Posto]],tabParametros[Incidência do Submódulo 2.1 sobre Ausências Legais])*tabCustoUnit[[#This Row],[MODULO 1 - REMUNERAÇÃO ]]</f>
        <v>2.5887354761625003</v>
      </c>
      <c r="BA66" s="22">
        <f>SUM(tabCustoUnit[[#This Row],[Ausência por Doença]:[Incidência do Submódulo 2.1 sobre Ausências Legais]])</f>
        <v>9.4372420268569428</v>
      </c>
      <c r="BB66" s="22">
        <f>SUMIF(tabParametros[Código do Posto],tabCustoUnit[[#This Row],[Código do Posto]],tabParametros[Intervalo para Repouso ou Alimentação])</f>
        <v>0</v>
      </c>
      <c r="BC66" s="22">
        <f>tabCustoUnit[[#This Row],[Intervalo para Repouso ou Alimentação]]</f>
        <v>0</v>
      </c>
      <c r="BD66" s="22">
        <f>IF(VLOOKUP(tabCustoUnit[[#This Row],[Código do Posto]],PARAMETROS!$A$4:$BJ$255,7,0)&lt;=0,0,
IFERROR((tabCustoUnit[[#This Row],[MODULO 1 - REMUNERAÇÃO ]]*VLOOKUP(tabCustoUnit[[#This Row],[Código do Posto]],PARAMETROS!$A$4:$BJ$255,49,0))/(VLOOKUP(tabCustoUnit[[#This Row],[Código do Posto]],PARAMETROS!$A$4:$BJ$255,7,0)*VLOOKUP(tabCustoUnit[[#This Row],[Código do Posto]],PARAMETROS!$A$4:$BJ$255,8,0)),0)
)</f>
        <v>0</v>
      </c>
      <c r="BE66" s="22">
        <f>tabCustoUnit[[#This Row],[Suspensão Temporária do Contrato de Trabalho]]</f>
        <v>0</v>
      </c>
      <c r="BF66" s="22">
        <f>tabCustoUnit[[#This Row],[Submódulo 4.1]]+tabCustoUnit[[#This Row],[Submódulo 4.2]]+tabCustoUnit[[#This Row],[Submódulo 4.3]]</f>
        <v>9.4372420268569428</v>
      </c>
      <c r="BG66" s="22">
        <f>VLOOKUP(tabCustoUnit[[#This Row],[Código do Posto]],tabParametros[],MATCH(tabCustoUnit[[#Headers],[Uniformes e EPIs]],tabParametros[#Headers],0),0)</f>
        <v>62.806666666666665</v>
      </c>
      <c r="BH66" s="22">
        <f>VLOOKUP(tabCustoUnit[[#This Row],[Código do Posto]],tabParametros[],MATCH(tabCustoUnit[[#Headers],[Materiais de Consumo]],tabParametros[#Headers],0),0)</f>
        <v>12.108481690426325</v>
      </c>
      <c r="BI66" s="22">
        <f>VLOOKUP(tabCustoUnit[[#This Row],[Código do Posto]],tabParametros[],MATCH(tabCustoUnit[[#Headers],[Máquinas e Equipamentos (depreciação)]],tabParametros[#Headers],0),0)</f>
        <v>21.998657016417809</v>
      </c>
      <c r="BJ66" s="22">
        <f>VLOOKUP(tabCustoUnit[[#This Row],[Código do Posto]],tabParametros[],MATCH(tabCustoUnit[[#Headers],[Produtos de Limpeza e Materiais de Higiene Pessoal]],tabParametros[#Headers],0),0)</f>
        <v>235.31984072022155</v>
      </c>
      <c r="BK66" s="22">
        <f>VLOOKUP(tabCustoUnit[[#This Row],[Código do Posto]],tabParametros[],MATCH(tabCustoUnit[[#Headers],[Outros (especificar)]],tabParametros[#Headers],0),0)</f>
        <v>0</v>
      </c>
      <c r="BL66" s="22">
        <f>SUM(tabCustoUnit[[#This Row],[Uniformes e EPIs]:[Outros (especificar)]])</f>
        <v>332.23364609373232</v>
      </c>
      <c r="BM66" s="22">
        <f>tabCustoUnit[[#This Row],[MODULO 1 - REMUNERAÇÃO ]]+tabCustoUnit[[#This Row],[MÓDULO 2 - Total Encargos e Benefícios mensais e diários]]+tabCustoUnit[[#This Row],[MÓDULO 3 – PROVISÃO PARA RESCISÃO]]+tabCustoUnit[[#This Row],[MÓDULO 4 – CUSTO DE REPOSIÇÃO DO PROFISSIONAL AUSENTE]]+tabCustoUnit[[#This Row],[MÓDULO 5 – INSUMOS DIVERSOS]]</f>
        <v>2118.2084999148137</v>
      </c>
      <c r="BN66" s="22">
        <f>VLOOKUP(tabCustoUnit[[#This Row],[Código do Posto]],tabParametros[],MATCH(tabCustoUnit[[#Headers],[Custos Indiretos]],tabParametros[#Headers],0),0)</f>
        <v>189.64880140242613</v>
      </c>
      <c r="BO66" s="22">
        <f>VLOOKUP(tabCustoUnit[[#This Row],[Código do Posto]],tabParametros[],MATCH(tabCustoUnit[[#Headers],[Lucro]],tabParametros[#Headers],0),0)</f>
        <v>159.30499317803796</v>
      </c>
      <c r="BP66" s="26">
        <f>((100/((1-tabCustoUnit[[#This Row],[Resumo de Alíquotas (PIS+CONFINS+ISS)]]))-100)*VLOOKUP(tabCustoUnit[[#This Row],[Código do Posto]],tabParametros[],MATCH(tabCustoUnit[[#Headers],[COFINS]],tabParametros[#Headers],0),0))/(tabCustoUnit[[#This Row],[Resumo de Alíquotas (PIS+CONFINS+ISS)]]*100)</f>
        <v>8.8629737609329504E-2</v>
      </c>
      <c r="BQ66" s="26">
        <f>((100/((100-(tabCustoUnit[[#This Row],[Resumo de Alíquotas (PIS+CONFINS+ISS)]]*100))%)-100)*VLOOKUP(tabCustoUnit[[#This Row],[Código do Posto]],tabParametros[],MATCH(tabCustoUnit[[#Headers],[PIS]],tabParametros[#Headers],0),0))/(tabCustoUnit[[#This Row],[Resumo de Alíquotas (PIS+CONFINS+ISS)]]*100)</f>
        <v>1.9241982507288629E-2</v>
      </c>
      <c r="BR66" s="28">
        <f>VLOOKUP(tabCustoUnit[[#This Row],[Código do Posto]],tabParametros[],MATCH(tabCustoUnit[[#Headers],[ISS]],tabParametros[#Headers],0),0)</f>
        <v>0.05</v>
      </c>
      <c r="BS66" s="26">
        <f>(((100/((100-(tabCustoUnit[[#This Row],[Resumo de Alíquotas (PIS+CONFINS+ISS)]]*100))%)-100)*tabCustoUnit[[#This Row],[ISS]])/tabCustoUnit[[#This Row],[Resumo de Alíquotas (PIS+CONFINS+ISS)]])/100</f>
        <v>5.8309037900874633E-2</v>
      </c>
      <c r="BT66" s="26">
        <f>(VLOOKUP(tabCustoUnit[[#This Row],[Código do Posto]],tabParametros[],MATCH(tabCustoUnit[[#Headers],[COFINS]],tabParametros[#Headers],0),0)+
VLOOKUP(tabCustoUnit[[#This Row],[Código do Posto]],tabParametros[],MATCH(tabCustoUnit[[#Headers],[PIS]],tabParametros[#Headers],0),0)+
VLOOKUP(tabCustoUnit[[#This Row],[Código do Posto]],tabParametros[],MATCH(tabCustoUnit[[#Headers],[ISS]],tabParametros[#Headers],0),0))</f>
        <v>0.14250000000000002</v>
      </c>
      <c r="BU66" s="138">
        <f>tabCustoUnit[[#This Row],[COFINS]]+tabCustoUnit[[#This Row],[PIS]]+tabCustoUnit[[#This Row],[ISS (Conversão Alíquota s/ fatura)]]</f>
        <v>0.16618075801749277</v>
      </c>
      <c r="BV66" s="22">
        <f>(tabCustoUnit[[#This Row],[TOTAL MÓDULOS 1+2+3+4+5]]+tabCustoUnit[[#This Row],[Custos Indiretos]]+tabCustoUnit[[#This Row],[Lucro]])*tabCustoUnit[[#This Row],[PIS + COFINS + ISS (Total Conversão  Alíquota s/ Fatura)]]</f>
        <v>409.99490025140199</v>
      </c>
      <c r="BW66" s="22">
        <f>tabCustoUnit[[#This Row],[Custos Indiretos]]+tabCustoUnit[[#This Row],[Lucro]]+tabCustoUnit[[#This Row],[Valor dos Tributos (ISS, PIS, CONFINS)]]</f>
        <v>758.94869483186608</v>
      </c>
      <c r="BX66" s="22">
        <f>tabCustoUnit[[#This Row],[TOTAL MÓDULOS 1+2+3+4+5]]+tabCustoUnit[[#This Row],[MÓDULO 6 – CUSTOS INDIRETOS, TRIBUTOS E LUCRO]]</f>
        <v>2877.15719474668</v>
      </c>
      <c r="BY66" s="22">
        <f>tabCustoUnit[[#This Row],[CUSTO TOTAL MENSAL]]*12</f>
        <v>34525.88633696016</v>
      </c>
      <c r="BZ66" s="24">
        <f>VLOOKUP(tabCustoUnit[[#This Row],[Código do Posto]],tabParametros[],MATCH(tabCustoUnit[[#Headers],[ANO DA CCT]],tabParametros[#Headers],0),0)</f>
        <v>45658</v>
      </c>
      <c r="CA66" s="25" t="str">
        <f>VLOOKUP(tabCustoUnit[[#This Row],[Código do Posto]],tabParametros[],MATCH(tabCustoUnit[[#Headers],[Nº DE PEDIDO DA CCT]],tabParametros[#Headers],0),0)</f>
        <v>-</v>
      </c>
      <c r="CB66" s="25" t="str">
        <f>VLOOKUP(tabCustoUnit[[#This Row],[Código do Posto]],tabParametros[],MATCH(tabCustoUnit[[#Headers],[TERMO ADITIVO ALTERAÇÃO DA CCT]],tabParametros[#Headers],0),0)</f>
        <v>-</v>
      </c>
    </row>
    <row r="67" spans="1:80" x14ac:dyDescent="0.25">
      <c r="A67" s="20" t="s">
        <v>1407</v>
      </c>
      <c r="B67" t="s">
        <v>65</v>
      </c>
      <c r="C67" t="s">
        <v>1245</v>
      </c>
      <c r="D67" t="s">
        <v>1000</v>
      </c>
      <c r="E67" s="20" t="s">
        <v>9</v>
      </c>
      <c r="F67" s="20" t="s">
        <v>10</v>
      </c>
      <c r="G67" s="21">
        <v>1596.28</v>
      </c>
      <c r="H67" s="21">
        <v>0</v>
      </c>
      <c r="I67" s="21">
        <v>0</v>
      </c>
      <c r="J67" s="21">
        <v>0</v>
      </c>
      <c r="K67" s="21">
        <v>0</v>
      </c>
      <c r="L67" s="21">
        <v>0</v>
      </c>
      <c r="M67" s="21">
        <v>0</v>
      </c>
      <c r="N67" s="21">
        <v>52.241900000000001</v>
      </c>
      <c r="O67" s="21">
        <f>SUM(tabCustoUnit[[#This Row],[Salário Base]:[Adicional de Acúmulo de função]])</f>
        <v>1648.5219</v>
      </c>
      <c r="P67" s="21">
        <f>tabCustoUnit[[#This Row],[MODULO 1 - REMUNERAÇÃO ]]*SUMIFS(tabParametros[INSS],tabParametros[Código do Posto],tabCustoUnit[[#This Row],[Código do Posto]])</f>
        <v>329.70438000000001</v>
      </c>
      <c r="Q67" s="21">
        <f>tabCustoUnit[[#This Row],[MODULO 1 - REMUNERAÇÃO ]]*SUMIFS(tabParametros[SESI OU SESC],tabParametros[Código do Posto],tabCustoUnit[[#This Row],[Código do Posto]])</f>
        <v>24.727828499999998</v>
      </c>
      <c r="R67" s="21">
        <f>tabCustoUnit[[#This Row],[MODULO 1 - REMUNERAÇÃO ]]*SUMIFS(tabParametros[SENAI OU SENAC],tabParametros[Código do Posto],tabCustoUnit[[#This Row],[Código do Posto]])</f>
        <v>16.485219000000001</v>
      </c>
      <c r="S67" s="21">
        <f>tabCustoUnit[[#This Row],[MODULO 1 - REMUNERAÇÃO ]]*SUMIFS(tabParametros[INCRA],tabParametros[Código do Posto],tabCustoUnit[[#This Row],[Código do Posto]])</f>
        <v>3.2970438</v>
      </c>
      <c r="T67" s="21">
        <f>tabCustoUnit[[#This Row],[MODULO 1 - REMUNERAÇÃO ]]*SUMIFS(tabParametros[Salário Educação],tabParametros[Código do Posto],tabCustoUnit[[#This Row],[Código do Posto]])</f>
        <v>41.213047500000002</v>
      </c>
      <c r="U67" s="21">
        <f>tabCustoUnit[[#This Row],[MODULO 1 - REMUNERAÇÃO ]]*SUMIFS(tabParametros[FGTS],tabParametros[Código do Posto],tabCustoUnit[[#This Row],[Código do Posto]])</f>
        <v>131.88175200000001</v>
      </c>
      <c r="V67" s="21">
        <f>tabCustoUnit[[#This Row],[MODULO 1 - REMUNERAÇÃO ]]*SUMIFS(tabParametros[RAT Ajustado],tabParametros[Código do Posto],tabCustoUnit[[#This Row],[Código do Posto]])</f>
        <v>65.940876000000003</v>
      </c>
      <c r="W67" s="21">
        <f>tabCustoUnit[[#This Row],[MODULO 1 - REMUNERAÇÃO ]]*SUMIFS(tabParametros[SEBRAE],tabParametros[Código do Posto],tabCustoUnit[[#This Row],[Código do Posto]])</f>
        <v>9.8911314000000008</v>
      </c>
      <c r="X67" s="21">
        <f>SUM(tabCustoUnit[[#This Row],[INSS]:[SEBRAE]])</f>
        <v>623.14127819999999</v>
      </c>
      <c r="Y67" s="21">
        <f>tabCustoUnit[[#This Row],[MODULO 1 - REMUNERAÇÃO ]]*SUMIFS(tabParametros[13º salário (titular)],tabParametros[Código do Posto],tabCustoUnit[[#This Row],[Código do Posto]])</f>
        <v>137.376825</v>
      </c>
      <c r="Z67" s="21">
        <f>tabCustoUnit[[#This Row],[MODULO 1 - REMUNERAÇÃO ]]*SUMIFS(tabParametros[Férias e Adicional de Férias (titular)],tabParametros[Código do Posto],tabCustoUnit[[#This Row],[Código do Posto]])</f>
        <v>183.16909999999999</v>
      </c>
      <c r="AA67" s="21">
        <f>IFERROR((tabCustoUnit[[#This Row],[Submódulo 2.1]]/tabCustoUnit[[#This Row],[MODULO 1 - REMUNERAÇÃO ]])*SUM(tabCustoUnit[[#This Row],[13º salário (titular)]:[Férias e Adicional de Férias (titular)]]),0)</f>
        <v>121.16635965</v>
      </c>
      <c r="AB67" s="21">
        <f>SUM(tabCustoUnit[[#This Row],[13º salário (titular)]:[Incidência do Submódulo 2.1 sobre 13º Salário, Férias e Adicional de Férias]])</f>
        <v>441.71228465000002</v>
      </c>
      <c r="AC67" s="22">
        <f>_xlfn.LET(_xlpm.VT,SUMIF(tabParametros[Código do Posto],tabCustoUnit[[#This Row],[Código do Posto]],tabParametros[Vale - Transporte])*2*20,
IF((_xlpm.VT-tabCustoUnit[[#This Row],[Salário Base]]*0.06)&gt;=0,(_xlpm.VT-tabCustoUnit[[#This Row],[Salário Base]]*0.06),0)
)</f>
        <v>160.22320000000002</v>
      </c>
      <c r="AD67" s="22">
        <f>IF(SUMIF(tabParametros[Código do Posto],tabCustoUnit[[#This Row],[Código do Posto]],tabParametros[Vale - Alimentação])&lt;=0,0,
SUMIF(tabParametros[Código do Posto],tabCustoUnit[[#This Row],[Código do Posto]],tabParametros[Vale - Alimentação])*20-1)</f>
        <v>582</v>
      </c>
      <c r="AE67" s="22">
        <f>SUMIF(tabParametros[Código do Posto],tabCustoUnit[[#This Row],[Código do Posto]],tabParametros[Cesta Básica])</f>
        <v>0</v>
      </c>
      <c r="AF67" s="22">
        <f>SUMIF(tabParametros[Código do Posto],tabCustoUnit[[#This Row],[Código do Posto]],tabParametros[PAF])</f>
        <v>0</v>
      </c>
      <c r="AG67" s="22">
        <f>SUMIF(tabParametros[Código do Posto],tabCustoUnit[[#This Row],[Código do Posto]],tabParametros[PQM])</f>
        <v>15.07</v>
      </c>
      <c r="AH67" s="22">
        <f>SUMIF(tabParametros[Código do Posto],tabCustoUnit[[#This Row],[Código do Posto]],tabParametros[PAT])</f>
        <v>0</v>
      </c>
      <c r="AI67" s="22">
        <f>SUMIF(tabParametros[Código do Posto],tabCustoUnit[[#This Row],[Código do Posto]],tabParametros[Seguro de Vida])</f>
        <v>3.36</v>
      </c>
      <c r="AJ67" s="22">
        <f>SUMIF(tabParametros[Código do Posto],tabCustoUnit[[#This Row],[Código do Posto]],tabParametros[Despesas de Viagem])</f>
        <v>0</v>
      </c>
      <c r="AK67" s="22">
        <f>SUM(tabCustoUnit[[#This Row],[Vale - Transporte (Descontada parcela do empregado)]:[Despesas de Viagem]])</f>
        <v>760.65320000000008</v>
      </c>
      <c r="AL67" s="22">
        <f>tabCustoUnit[[#This Row],[Submódulo 2.1]]+tabCustoUnit[[#This Row],[Submódulo 2.2]]+tabCustoUnit[[#This Row],[Submódulo 2.3]]</f>
        <v>1825.5067628500001</v>
      </c>
      <c r="AM67" s="22">
        <f>SUMIF(tabParametros[Código do Posto],tabCustoUnit[[#This Row],[Código do Posto]],tabParametros[Aviso Prévio Indenizado (API) e Reflexo do Aviso Prévio Indenizado])*tabCustoUnit[[#This Row],[MODULO 1 - REMUNERAÇÃO ]]</f>
        <v>11.559051416493055</v>
      </c>
      <c r="AN67" s="22">
        <f>SUMIF(tabParametros[Código do Posto],tabCustoUnit[[#This Row],[Código do Posto]],tabParametros[Incidência do FGTS sobre API e Reflexo do API])*tabCustoUnit[[#This Row],[MODULO 1 - REMUNERAÇÃO ]]</f>
        <v>0.92472411331944449</v>
      </c>
      <c r="AO67" s="22">
        <f>SUMIF(tabParametros[Código do Posto],tabCustoUnit[[#This Row],[Código do Posto]],tabParametros[Multa Rescisória do FGTS sobre o Aviso Prévio Indenizado])*tabCustoUnit[[#This Row],[MODULO 1 - REMUNERAÇÃO ]]</f>
        <v>0.36988964532777785</v>
      </c>
      <c r="AP67" s="22">
        <f>SUMIF(tabParametros[Código do Posto],tabCustoUnit[[#This Row],[Código do Posto]],tabParametros[Aviso Prévio Trabalhado - APT])*tabCustoUnit[[#This Row],[MODULO 1 - REMUNERAÇÃO ]]</f>
        <v>5.7698266500000006</v>
      </c>
      <c r="AQ67" s="22">
        <f>SUMIF(tabParametros[Código do Posto],tabCustoUnit[[#This Row],[Código do Posto]],tabParametros[Incidência dos encargos do submódulo 2.1 sobre Aviso Prévio Trabalhado])*tabCustoUnit[[#This Row],[MODULO 1 - REMUNERAÇÃO ]]</f>
        <v>2.1809944737000007</v>
      </c>
      <c r="AR67" s="22">
        <f>SUMIF(tabParametros[Código do Posto],tabCustoUnit[[#This Row],[Código do Posto]],tabParametros[Multa Rescisória do FGTS])*tabCustoUnit[[#This Row],[MODULO 1 - REMUNERAÇÃO ]]</f>
        <v>50.40813631999999</v>
      </c>
      <c r="AS67" s="22">
        <f>SUMIF(tabParametros[Código do Posto],tabCustoUnit[[#This Row],[Código do Posto]],tabParametros[Indenização Adicional (Art. 9º da Lei nº 7.238/84)])*tabCustoUnit[[#This Row],[MODULO 1 - REMUNERAÇÃO ]]</f>
        <v>1.3737682500000001</v>
      </c>
      <c r="AT67" s="22">
        <f>SUM(tabCustoUnit[[#This Row],[Aviso Prévio Indenizado (API) e Reflexo do Aviso Prévio Indenizado]:[Indenização Adicional (Art. 9º da Lei nº 7.238/84)]])</f>
        <v>72.586390868840269</v>
      </c>
      <c r="AU67" s="22">
        <f>SUMIF(tabParametros[Código do Posto],tabCustoUnit[[#This Row],[Código do Posto]],tabParametros[Ausência por Doença])*tabCustoUnit[[#This Row],[MODULO 1 - REMUNERAÇÃO ]]</f>
        <v>13.920851599999999</v>
      </c>
      <c r="AV67" s="22">
        <f>SUMIF(tabParametros[Código do Posto],tabCustoUnit[[#This Row],[Código do Posto]],tabParametros[Ausências Legais])*tabCustoUnit[[#This Row],[MODULO 1 - REMUNERAÇÃO ]]</f>
        <v>3.3428360749999997</v>
      </c>
      <c r="AW67" s="22">
        <f>SUMIF(tabParametros[Código do Posto],tabCustoUnit[[#This Row],[Código do Posto]],tabParametros[Licença Paternidade])*tabCustoUnit[[#This Row],[MODULO 1 - REMUNERAÇÃO ]]</f>
        <v>0.28162249125</v>
      </c>
      <c r="AX67" s="22">
        <f>SUMIF(tabParametros[Código do Posto],tabCustoUnit[[#This Row],[Código do Posto]],tabParametros[Ausência por Acidente de Trabalho])*tabCustoUnit[[#This Row],[MODULO 1 - REMUNERAÇÃO ]]</f>
        <v>0.34344206250000003</v>
      </c>
      <c r="AY67" s="22">
        <f>SUMIF(tabParametros[Código do Posto],tabCustoUnit[[#This Row],[Código do Posto]],tabParametros[Férias, Adicional de Férias e 13º  com empregada em gozo de Licença Maternidade])*tabCustoUnit[[#This Row],[MODULO 1 - REMUNERAÇÃO ]]</f>
        <v>2.1369728333333331</v>
      </c>
      <c r="AZ67" s="22">
        <f>SUMIF(tabParametros[Código do Posto],tabCustoUnit[[#This Row],[Código do Posto]],tabParametros[Incidência do Submódulo 2.1 sobre Ausências Legais])*tabCustoUnit[[#This Row],[MODULO 1 - REMUNERAÇÃO ]]</f>
        <v>7.5697240734675013</v>
      </c>
      <c r="BA67" s="22">
        <f>SUM(tabCustoUnit[[#This Row],[Ausência por Doença]:[Incidência do Submódulo 2.1 sobre Ausências Legais]])</f>
        <v>27.595449135550833</v>
      </c>
      <c r="BB67" s="22">
        <f>SUMIF(tabParametros[Código do Posto],tabCustoUnit[[#This Row],[Código do Posto]],tabParametros[Intervalo para Repouso ou Alimentação])</f>
        <v>0</v>
      </c>
      <c r="BC67" s="22">
        <f>tabCustoUnit[[#This Row],[Intervalo para Repouso ou Alimentação]]</f>
        <v>0</v>
      </c>
      <c r="BD67" s="22">
        <f>IF(VLOOKUP(tabCustoUnit[[#This Row],[Código do Posto]],PARAMETROS!$A$4:$BJ$255,7,0)&lt;=0,0,
IFERROR((tabCustoUnit[[#This Row],[MODULO 1 - REMUNERAÇÃO ]]*VLOOKUP(tabCustoUnit[[#This Row],[Código do Posto]],PARAMETROS!$A$4:$BJ$255,49,0))/(VLOOKUP(tabCustoUnit[[#This Row],[Código do Posto]],PARAMETROS!$A$4:$BJ$255,7,0)*VLOOKUP(tabCustoUnit[[#This Row],[Código do Posto]],PARAMETROS!$A$4:$BJ$255,8,0)),0)
)</f>
        <v>0</v>
      </c>
      <c r="BE67" s="22">
        <f>tabCustoUnit[[#This Row],[Suspensão Temporária do Contrato de Trabalho]]</f>
        <v>0</v>
      </c>
      <c r="BF67" s="22">
        <f>tabCustoUnit[[#This Row],[Submódulo 4.1]]+tabCustoUnit[[#This Row],[Submódulo 4.2]]+tabCustoUnit[[#This Row],[Submódulo 4.3]]</f>
        <v>27.595449135550833</v>
      </c>
      <c r="BG67" s="22">
        <f>VLOOKUP(tabCustoUnit[[#This Row],[Código do Posto]],tabParametros[],MATCH(tabCustoUnit[[#Headers],[Uniformes e EPIs]],tabParametros[#Headers],0),0)</f>
        <v>100.80916666666666</v>
      </c>
      <c r="BH67" s="22">
        <f>VLOOKUP(tabCustoUnit[[#This Row],[Código do Posto]],tabParametros[],MATCH(tabCustoUnit[[#Headers],[Materiais de Consumo]],tabParametros[#Headers],0),0)</f>
        <v>35.518212958583888</v>
      </c>
      <c r="BI67" s="22">
        <f>VLOOKUP(tabCustoUnit[[#This Row],[Código do Posto]],tabParametros[],MATCH(tabCustoUnit[[#Headers],[Máquinas e Equipamentos (depreciação)]],tabParametros[#Headers],0),0)</f>
        <v>64.529393914825576</v>
      </c>
      <c r="BJ67" s="22">
        <f>VLOOKUP(tabCustoUnit[[#This Row],[Código do Posto]],tabParametros[],MATCH(tabCustoUnit[[#Headers],[Produtos de Limpeza e Materiais de Higiene Pessoal]],tabParametros[#Headers],0),0)</f>
        <v>690.27153277931654</v>
      </c>
      <c r="BK67" s="22">
        <f>VLOOKUP(tabCustoUnit[[#This Row],[Código do Posto]],tabParametros[],MATCH(tabCustoUnit[[#Headers],[Outros (especificar)]],tabParametros[#Headers],0),0)</f>
        <v>0</v>
      </c>
      <c r="BL67" s="22">
        <f>SUM(tabCustoUnit[[#This Row],[Uniformes e EPIs]:[Outros (especificar)]])</f>
        <v>891.12830631939266</v>
      </c>
      <c r="BM67" s="22">
        <f>tabCustoUnit[[#This Row],[MODULO 1 - REMUNERAÇÃO ]]+tabCustoUnit[[#This Row],[MÓDULO 2 - Total Encargos e Benefícios mensais e diários]]+tabCustoUnit[[#This Row],[MÓDULO 3 – PROVISÃO PARA RESCISÃO]]+tabCustoUnit[[#This Row],[MÓDULO 4 – CUSTO DE REPOSIÇÃO DO PROFISSIONAL AUSENTE]]+tabCustoUnit[[#This Row],[MÓDULO 5 – INSUMOS DIVERSOS]]</f>
        <v>4465.3388091737834</v>
      </c>
      <c r="BN67" s="22">
        <f>VLOOKUP(tabCustoUnit[[#This Row],[Código do Posto]],tabParametros[],MATCH(tabCustoUnit[[#Headers],[Custos Indiretos]],tabParametros[#Headers],0),0)</f>
        <v>189.64880140242613</v>
      </c>
      <c r="BO67" s="22">
        <f>VLOOKUP(tabCustoUnit[[#This Row],[Código do Posto]],tabParametros[],MATCH(tabCustoUnit[[#Headers],[Lucro]],tabParametros[#Headers],0),0)</f>
        <v>159.30499317803796</v>
      </c>
      <c r="BP67" s="26">
        <f>((100/((1-tabCustoUnit[[#This Row],[Resumo de Alíquotas (PIS+CONFINS+ISS)]]))-100)*VLOOKUP(tabCustoUnit[[#This Row],[Código do Posto]],tabParametros[],MATCH(tabCustoUnit[[#Headers],[COFINS]],tabParametros[#Headers],0),0))/(tabCustoUnit[[#This Row],[Resumo de Alíquotas (PIS+CONFINS+ISS)]]*100)</f>
        <v>8.6609686609686695E-2</v>
      </c>
      <c r="BQ67" s="26">
        <f>((100/((100-(tabCustoUnit[[#This Row],[Resumo de Alíquotas (PIS+CONFINS+ISS)]]*100))%)-100)*VLOOKUP(tabCustoUnit[[#This Row],[Código do Posto]],tabParametros[],MATCH(tabCustoUnit[[#Headers],[PIS]],tabParametros[#Headers],0),0))/(tabCustoUnit[[#This Row],[Resumo de Alíquotas (PIS+CONFINS+ISS)]]*100)</f>
        <v>1.880341880341882E-2</v>
      </c>
      <c r="BR67" s="28">
        <f>VLOOKUP(tabCustoUnit[[#This Row],[Código do Posto]],tabParametros[],MATCH(tabCustoUnit[[#Headers],[ISS]],tabParametros[#Headers],0),0)</f>
        <v>0.03</v>
      </c>
      <c r="BS67" s="26">
        <f>(((100/((100-(tabCustoUnit[[#This Row],[Resumo de Alíquotas (PIS+CONFINS+ISS)]]*100))%)-100)*tabCustoUnit[[#This Row],[ISS]])/tabCustoUnit[[#This Row],[Resumo de Alíquotas (PIS+CONFINS+ISS)]])/100</f>
        <v>3.4188034188034219E-2</v>
      </c>
      <c r="BT67" s="26">
        <f>(VLOOKUP(tabCustoUnit[[#This Row],[Código do Posto]],tabParametros[],MATCH(tabCustoUnit[[#Headers],[COFINS]],tabParametros[#Headers],0),0)+
VLOOKUP(tabCustoUnit[[#This Row],[Código do Posto]],tabParametros[],MATCH(tabCustoUnit[[#Headers],[PIS]],tabParametros[#Headers],0),0)+
VLOOKUP(tabCustoUnit[[#This Row],[Código do Posto]],tabParametros[],MATCH(tabCustoUnit[[#Headers],[ISS]],tabParametros[#Headers],0),0))</f>
        <v>0.1225</v>
      </c>
      <c r="BU67" s="138">
        <f>tabCustoUnit[[#This Row],[COFINS]]+tabCustoUnit[[#This Row],[PIS]]+tabCustoUnit[[#This Row],[ISS (Conversão Alíquota s/ fatura)]]</f>
        <v>0.13960113960113973</v>
      </c>
      <c r="BV67" s="22">
        <f>(tabCustoUnit[[#This Row],[TOTAL MÓDULOS 1+2+3+4+5]]+tabCustoUnit[[#This Row],[Custos Indiretos]]+tabCustoUnit[[#This Row],[Lucro]])*tabCustoUnit[[#This Row],[PIS + COFINS + ISS (Total Conversão  Alíquota s/ Fatura)]]</f>
        <v>672.08073385743126</v>
      </c>
      <c r="BW67" s="22">
        <f>tabCustoUnit[[#This Row],[Custos Indiretos]]+tabCustoUnit[[#This Row],[Lucro]]+tabCustoUnit[[#This Row],[Valor dos Tributos (ISS, PIS, CONFINS)]]</f>
        <v>1021.0345284378953</v>
      </c>
      <c r="BX67" s="22">
        <f>tabCustoUnit[[#This Row],[TOTAL MÓDULOS 1+2+3+4+5]]+tabCustoUnit[[#This Row],[MÓDULO 6 – CUSTOS INDIRETOS, TRIBUTOS E LUCRO]]</f>
        <v>5486.3733376116788</v>
      </c>
      <c r="BY67" s="22">
        <f>tabCustoUnit[[#This Row],[CUSTO TOTAL MENSAL]]*12</f>
        <v>65836.480051340142</v>
      </c>
      <c r="BZ67" s="24">
        <f>VLOOKUP(tabCustoUnit[[#This Row],[Código do Posto]],tabParametros[],MATCH(tabCustoUnit[[#Headers],[ANO DA CCT]],tabParametros[#Headers],0),0)</f>
        <v>45658</v>
      </c>
      <c r="CA67" s="25" t="str">
        <f>VLOOKUP(tabCustoUnit[[#This Row],[Código do Posto]],tabParametros[],MATCH(tabCustoUnit[[#Headers],[Nº DE PEDIDO DA CCT]],tabParametros[#Headers],0),0)</f>
        <v>-</v>
      </c>
      <c r="CB67" s="25" t="str">
        <f>VLOOKUP(tabCustoUnit[[#This Row],[Código do Posto]],tabParametros[],MATCH(tabCustoUnit[[#Headers],[TERMO ADITIVO ALTERAÇÃO DA CCT]],tabParametros[#Headers],0),0)</f>
        <v>-</v>
      </c>
    </row>
    <row r="68" spans="1:80" x14ac:dyDescent="0.25">
      <c r="A68" s="20" t="s">
        <v>1408</v>
      </c>
      <c r="B68" t="s">
        <v>66</v>
      </c>
      <c r="C68" t="s">
        <v>1244</v>
      </c>
      <c r="D68" t="s">
        <v>66</v>
      </c>
      <c r="E68" s="20" t="s">
        <v>9</v>
      </c>
      <c r="F68" s="20" t="s">
        <v>10</v>
      </c>
      <c r="G68" s="21">
        <v>798.14</v>
      </c>
      <c r="H68" s="21">
        <v>0</v>
      </c>
      <c r="I68" s="21">
        <v>0</v>
      </c>
      <c r="J68" s="21">
        <v>0</v>
      </c>
      <c r="K68" s="21">
        <v>0</v>
      </c>
      <c r="L68" s="21">
        <v>0</v>
      </c>
      <c r="M68" s="21">
        <v>0</v>
      </c>
      <c r="N68" s="21">
        <v>26.120899999999999</v>
      </c>
      <c r="O68" s="21">
        <f>SUM(tabCustoUnit[[#This Row],[Salário Base]:[Adicional de Acúmulo de função]])</f>
        <v>824.26089999999999</v>
      </c>
      <c r="P68" s="21">
        <f>tabCustoUnit[[#This Row],[MODULO 1 - REMUNERAÇÃO ]]*SUMIFS(tabParametros[INSS],tabParametros[Código do Posto],tabCustoUnit[[#This Row],[Código do Posto]])</f>
        <v>164.85218</v>
      </c>
      <c r="Q68" s="21">
        <f>tabCustoUnit[[#This Row],[MODULO 1 - REMUNERAÇÃO ]]*SUMIFS(tabParametros[SESI OU SESC],tabParametros[Código do Posto],tabCustoUnit[[#This Row],[Código do Posto]])</f>
        <v>12.363913499999999</v>
      </c>
      <c r="R68" s="21">
        <f>tabCustoUnit[[#This Row],[MODULO 1 - REMUNERAÇÃO ]]*SUMIFS(tabParametros[SENAI OU SENAC],tabParametros[Código do Posto],tabCustoUnit[[#This Row],[Código do Posto]])</f>
        <v>8.2426089999999999</v>
      </c>
      <c r="S68" s="21">
        <f>tabCustoUnit[[#This Row],[MODULO 1 - REMUNERAÇÃO ]]*SUMIFS(tabParametros[INCRA],tabParametros[Código do Posto],tabCustoUnit[[#This Row],[Código do Posto]])</f>
        <v>1.6485217999999999</v>
      </c>
      <c r="T68" s="21">
        <f>tabCustoUnit[[#This Row],[MODULO 1 - REMUNERAÇÃO ]]*SUMIFS(tabParametros[Salário Educação],tabParametros[Código do Posto],tabCustoUnit[[#This Row],[Código do Posto]])</f>
        <v>20.606522500000001</v>
      </c>
      <c r="U68" s="21">
        <f>tabCustoUnit[[#This Row],[MODULO 1 - REMUNERAÇÃO ]]*SUMIFS(tabParametros[FGTS],tabParametros[Código do Posto],tabCustoUnit[[#This Row],[Código do Posto]])</f>
        <v>65.940871999999999</v>
      </c>
      <c r="V68" s="21">
        <f>tabCustoUnit[[#This Row],[MODULO 1 - REMUNERAÇÃO ]]*SUMIFS(tabParametros[RAT Ajustado],tabParametros[Código do Posto],tabCustoUnit[[#This Row],[Código do Posto]])</f>
        <v>32.970435999999999</v>
      </c>
      <c r="W68" s="21">
        <f>tabCustoUnit[[#This Row],[MODULO 1 - REMUNERAÇÃO ]]*SUMIFS(tabParametros[SEBRAE],tabParametros[Código do Posto],tabCustoUnit[[#This Row],[Código do Posto]])</f>
        <v>4.9455654000000004</v>
      </c>
      <c r="X68" s="21">
        <f>SUM(tabCustoUnit[[#This Row],[INSS]:[SEBRAE]])</f>
        <v>311.57062020000001</v>
      </c>
      <c r="Y68" s="21">
        <f>tabCustoUnit[[#This Row],[MODULO 1 - REMUNERAÇÃO ]]*SUMIFS(tabParametros[13º salário (titular)],tabParametros[Código do Posto],tabCustoUnit[[#This Row],[Código do Posto]])</f>
        <v>68.688408333333328</v>
      </c>
      <c r="Z68" s="21">
        <f>tabCustoUnit[[#This Row],[MODULO 1 - REMUNERAÇÃO ]]*SUMIFS(tabParametros[Férias e Adicional de Férias (titular)],tabParametros[Código do Posto],tabCustoUnit[[#This Row],[Código do Posto]])</f>
        <v>91.584544444444433</v>
      </c>
      <c r="AA68" s="21">
        <f>IFERROR((tabCustoUnit[[#This Row],[Submódulo 2.1]]/tabCustoUnit[[#This Row],[MODULO 1 - REMUNERAÇÃO ]])*SUM(tabCustoUnit[[#This Row],[13º salário (titular)]:[Férias e Adicional de Férias (titular)]]),0)</f>
        <v>60.583176149999993</v>
      </c>
      <c r="AB68" s="21">
        <f>SUM(tabCustoUnit[[#This Row],[13º salário (titular)]:[Incidência do Submódulo 2.1 sobre 13º Salário, Férias e Adicional de Férias]])</f>
        <v>220.85612892777775</v>
      </c>
      <c r="AC68" s="22">
        <f>_xlfn.LET(_xlpm.VT,SUMIF(tabParametros[Código do Posto],tabCustoUnit[[#This Row],[Código do Posto]],tabParametros[Vale - Transporte])*2*20,
IF((_xlpm.VT-tabCustoUnit[[#This Row],[Salário Base]]*0.06)&gt;=0,(_xlpm.VT-tabCustoUnit[[#This Row],[Salário Base]]*0.06),0)
)</f>
        <v>208.11160000000001</v>
      </c>
      <c r="AD68" s="22">
        <f>IF(SUMIF(tabParametros[Código do Posto],tabCustoUnit[[#This Row],[Código do Posto]],tabParametros[Vale - Alimentação])&lt;=0,0,
SUMIF(tabParametros[Código do Posto],tabCustoUnit[[#This Row],[Código do Posto]],tabParametros[Vale - Alimentação])*20-1)</f>
        <v>582</v>
      </c>
      <c r="AE68" s="22">
        <f>SUMIF(tabParametros[Código do Posto],tabCustoUnit[[#This Row],[Código do Posto]],tabParametros[Cesta Básica])</f>
        <v>0</v>
      </c>
      <c r="AF68" s="22">
        <f>SUMIF(tabParametros[Código do Posto],tabCustoUnit[[#This Row],[Código do Posto]],tabParametros[PAF])</f>
        <v>57.07</v>
      </c>
      <c r="AG68" s="22">
        <f>SUMIF(tabParametros[Código do Posto],tabCustoUnit[[#This Row],[Código do Posto]],tabParametros[PQM])</f>
        <v>0</v>
      </c>
      <c r="AH68" s="22">
        <f>SUMIF(tabParametros[Código do Posto],tabCustoUnit[[#This Row],[Código do Posto]],tabParametros[PAT])</f>
        <v>0</v>
      </c>
      <c r="AI68" s="22">
        <f>SUMIF(tabParametros[Código do Posto],tabCustoUnit[[#This Row],[Código do Posto]],tabParametros[Seguro de Vida])</f>
        <v>3.36</v>
      </c>
      <c r="AJ68" s="22">
        <f>SUMIF(tabParametros[Código do Posto],tabCustoUnit[[#This Row],[Código do Posto]],tabParametros[Despesas de Viagem])</f>
        <v>0</v>
      </c>
      <c r="AK68" s="22">
        <f>SUM(tabCustoUnit[[#This Row],[Vale - Transporte (Descontada parcela do empregado)]:[Despesas de Viagem]])</f>
        <v>850.54160000000002</v>
      </c>
      <c r="AL68" s="22">
        <f>tabCustoUnit[[#This Row],[Submódulo 2.1]]+tabCustoUnit[[#This Row],[Submódulo 2.2]]+tabCustoUnit[[#This Row],[Submódulo 2.3]]</f>
        <v>1382.9683491277779</v>
      </c>
      <c r="AM68" s="22">
        <f>SUMIF(tabParametros[Código do Posto],tabCustoUnit[[#This Row],[Código do Posto]],tabParametros[Aviso Prévio Indenizado (API) e Reflexo do Aviso Prévio Indenizado])*tabCustoUnit[[#This Row],[MODULO 1 - REMUNERAÇÃO ]]</f>
        <v>5.7795253576581791</v>
      </c>
      <c r="AN68" s="22">
        <f>SUMIF(tabParametros[Código do Posto],tabCustoUnit[[#This Row],[Código do Posto]],tabParametros[Incidência do FGTS sobre API e Reflexo do API])*tabCustoUnit[[#This Row],[MODULO 1 - REMUNERAÇÃO ]]</f>
        <v>0.46236202861265435</v>
      </c>
      <c r="AO68" s="22">
        <f>SUMIF(tabParametros[Código do Posto],tabCustoUnit[[#This Row],[Código do Posto]],tabParametros[Multa Rescisória do FGTS sobre o Aviso Prévio Indenizado])*tabCustoUnit[[#This Row],[MODULO 1 - REMUNERAÇÃO ]]</f>
        <v>0.18494481144506175</v>
      </c>
      <c r="AP68" s="22">
        <f>SUMIF(tabParametros[Código do Posto],tabCustoUnit[[#This Row],[Código do Posto]],tabParametros[Aviso Prévio Trabalhado - APT])*tabCustoUnit[[#This Row],[MODULO 1 - REMUNERAÇÃO ]]</f>
        <v>2.8849131500000005</v>
      </c>
      <c r="AQ68" s="22">
        <f>SUMIF(tabParametros[Código do Posto],tabCustoUnit[[#This Row],[Código do Posto]],tabParametros[Incidência dos encargos do submódulo 2.1 sobre Aviso Prévio Trabalhado])*tabCustoUnit[[#This Row],[MODULO 1 - REMUNERAÇÃO ]]</f>
        <v>1.0904971707000004</v>
      </c>
      <c r="AR68" s="22">
        <f>SUMIF(tabParametros[Código do Posto],tabCustoUnit[[#This Row],[Código do Posto]],tabParametros[Multa Rescisória do FGTS])*tabCustoUnit[[#This Row],[MODULO 1 - REMUNERAÇÃO ]]</f>
        <v>25.204066631111107</v>
      </c>
      <c r="AS68" s="22">
        <f>SUMIF(tabParametros[Código do Posto],tabCustoUnit[[#This Row],[Código do Posto]],tabParametros[Indenização Adicional (Art. 9º da Lei nº 7.238/84)])*tabCustoUnit[[#This Row],[MODULO 1 - REMUNERAÇÃO ]]</f>
        <v>0.6868840833333334</v>
      </c>
      <c r="AT68" s="22">
        <f>SUM(tabCustoUnit[[#This Row],[Aviso Prévio Indenizado (API) e Reflexo do Aviso Prévio Indenizado]:[Indenização Adicional (Art. 9º da Lei nº 7.238/84)]])</f>
        <v>36.293193232860339</v>
      </c>
      <c r="AU68" s="22">
        <f>SUMIF(tabParametros[Código do Posto],tabCustoUnit[[#This Row],[Código do Posto]],tabParametros[Ausência por Doença])*tabCustoUnit[[#This Row],[MODULO 1 - REMUNERAÇÃO ]]</f>
        <v>6.9604253777777769</v>
      </c>
      <c r="AV68" s="22">
        <f>SUMIF(tabParametros[Código do Posto],tabCustoUnit[[#This Row],[Código do Posto]],tabParametros[Ausências Legais])*tabCustoUnit[[#This Row],[MODULO 1 - REMUNERAÇÃO ]]</f>
        <v>1.671417936111111</v>
      </c>
      <c r="AW68" s="22">
        <f>SUMIF(tabParametros[Código do Posto],tabCustoUnit[[#This Row],[Código do Posto]],tabParametros[Licença Paternidade])*tabCustoUnit[[#This Row],[MODULO 1 - REMUNERAÇÃO ]]</f>
        <v>0.14081123708333332</v>
      </c>
      <c r="AX68" s="22">
        <f>SUMIF(tabParametros[Código do Posto],tabCustoUnit[[#This Row],[Código do Posto]],tabParametros[Ausência por Acidente de Trabalho])*tabCustoUnit[[#This Row],[MODULO 1 - REMUNERAÇÃO ]]</f>
        <v>0.17172102083333335</v>
      </c>
      <c r="AY68" s="22">
        <f>SUMIF(tabParametros[Código do Posto],tabCustoUnit[[#This Row],[Código do Posto]],tabParametros[Férias, Adicional de Férias e 13º  com empregada em gozo de Licença Maternidade])*tabCustoUnit[[#This Row],[MODULO 1 - REMUNERAÇÃO ]]</f>
        <v>1.0684863518518517</v>
      </c>
      <c r="AZ68" s="22">
        <f>SUMIF(tabParametros[Código do Posto],tabCustoUnit[[#This Row],[Código do Posto]],tabParametros[Incidência do Submódulo 2.1 sobre Ausências Legais])*tabCustoUnit[[#This Row],[MODULO 1 - REMUNERAÇÃO ]]</f>
        <v>3.7848618071425006</v>
      </c>
      <c r="BA68" s="22">
        <f>SUM(tabCustoUnit[[#This Row],[Ausência por Doença]:[Incidência do Submódulo 2.1 sobre Ausências Legais]])</f>
        <v>13.797723730799909</v>
      </c>
      <c r="BB68" s="22">
        <f>SUMIF(tabParametros[Código do Posto],tabCustoUnit[[#This Row],[Código do Posto]],tabParametros[Intervalo para Repouso ou Alimentação])</f>
        <v>0</v>
      </c>
      <c r="BC68" s="22">
        <f>tabCustoUnit[[#This Row],[Intervalo para Repouso ou Alimentação]]</f>
        <v>0</v>
      </c>
      <c r="BD68" s="22">
        <f>IF(VLOOKUP(tabCustoUnit[[#This Row],[Código do Posto]],PARAMETROS!$A$4:$BJ$255,7,0)&lt;=0,0,
IFERROR((tabCustoUnit[[#This Row],[MODULO 1 - REMUNERAÇÃO ]]*VLOOKUP(tabCustoUnit[[#This Row],[Código do Posto]],PARAMETROS!$A$4:$BJ$255,49,0))/(VLOOKUP(tabCustoUnit[[#This Row],[Código do Posto]],PARAMETROS!$A$4:$BJ$255,7,0)*VLOOKUP(tabCustoUnit[[#This Row],[Código do Posto]],PARAMETROS!$A$4:$BJ$255,8,0)),0)
)</f>
        <v>0</v>
      </c>
      <c r="BE68" s="22">
        <f>tabCustoUnit[[#This Row],[Suspensão Temporária do Contrato de Trabalho]]</f>
        <v>0</v>
      </c>
      <c r="BF68" s="22">
        <f>tabCustoUnit[[#This Row],[Submódulo 4.1]]+tabCustoUnit[[#This Row],[Submódulo 4.2]]+tabCustoUnit[[#This Row],[Submódulo 4.3]]</f>
        <v>13.797723730799909</v>
      </c>
      <c r="BG68" s="22">
        <f>VLOOKUP(tabCustoUnit[[#This Row],[Código do Posto]],tabParametros[],MATCH(tabCustoUnit[[#Headers],[Uniformes e EPIs]],tabParametros[#Headers],0),0)</f>
        <v>62.806666666666665</v>
      </c>
      <c r="BH68" s="22">
        <f>VLOOKUP(tabCustoUnit[[#This Row],[Código do Posto]],tabParametros[],MATCH(tabCustoUnit[[#Headers],[Materiais de Consumo]],tabParametros[#Headers],0),0)</f>
        <v>17.759106479291944</v>
      </c>
      <c r="BI68" s="22">
        <f>VLOOKUP(tabCustoUnit[[#This Row],[Código do Posto]],tabParametros[],MATCH(tabCustoUnit[[#Headers],[Máquinas e Equipamentos (depreciação)]],tabParametros[#Headers],0),0)</f>
        <v>32.264696957412788</v>
      </c>
      <c r="BJ68" s="22">
        <f>VLOOKUP(tabCustoUnit[[#This Row],[Código do Posto]],tabParametros[],MATCH(tabCustoUnit[[#Headers],[Produtos de Limpeza e Materiais de Higiene Pessoal]],tabParametros[#Headers],0),0)</f>
        <v>345.13576638965827</v>
      </c>
      <c r="BK68" s="22">
        <f>VLOOKUP(tabCustoUnit[[#This Row],[Código do Posto]],tabParametros[],MATCH(tabCustoUnit[[#Headers],[Outros (especificar)]],tabParametros[#Headers],0),0)</f>
        <v>0</v>
      </c>
      <c r="BL68" s="22">
        <f>SUM(tabCustoUnit[[#This Row],[Uniformes e EPIs]:[Outros (especificar)]])</f>
        <v>457.96623649302967</v>
      </c>
      <c r="BM68" s="22">
        <f>tabCustoUnit[[#This Row],[MODULO 1 - REMUNERAÇÃO ]]+tabCustoUnit[[#This Row],[MÓDULO 2 - Total Encargos e Benefícios mensais e diários]]+tabCustoUnit[[#This Row],[MÓDULO 3 – PROVISÃO PARA RESCISÃO]]+tabCustoUnit[[#This Row],[MÓDULO 4 – CUSTO DE REPOSIÇÃO DO PROFISSIONAL AUSENTE]]+tabCustoUnit[[#This Row],[MÓDULO 5 – INSUMOS DIVERSOS]]</f>
        <v>2715.2864025844674</v>
      </c>
      <c r="BN68" s="22">
        <f>VLOOKUP(tabCustoUnit[[#This Row],[Código do Posto]],tabParametros[],MATCH(tabCustoUnit[[#Headers],[Custos Indiretos]],tabParametros[#Headers],0),0)</f>
        <v>189.64880140242613</v>
      </c>
      <c r="BO68" s="22">
        <f>VLOOKUP(tabCustoUnit[[#This Row],[Código do Posto]],tabParametros[],MATCH(tabCustoUnit[[#Headers],[Lucro]],tabParametros[#Headers],0),0)</f>
        <v>159.30499317803796</v>
      </c>
      <c r="BP68" s="26">
        <f>((100/((1-tabCustoUnit[[#This Row],[Resumo de Alíquotas (PIS+CONFINS+ISS)]]))-100)*VLOOKUP(tabCustoUnit[[#This Row],[Código do Posto]],tabParametros[],MATCH(tabCustoUnit[[#Headers],[COFINS]],tabParametros[#Headers],0),0))/(tabCustoUnit[[#This Row],[Resumo de Alíquotas (PIS+CONFINS+ISS)]]*100)</f>
        <v>8.8629737609329504E-2</v>
      </c>
      <c r="BQ68" s="26">
        <f>((100/((100-(tabCustoUnit[[#This Row],[Resumo de Alíquotas (PIS+CONFINS+ISS)]]*100))%)-100)*VLOOKUP(tabCustoUnit[[#This Row],[Código do Posto]],tabParametros[],MATCH(tabCustoUnit[[#Headers],[PIS]],tabParametros[#Headers],0),0))/(tabCustoUnit[[#This Row],[Resumo de Alíquotas (PIS+CONFINS+ISS)]]*100)</f>
        <v>1.9241982507288629E-2</v>
      </c>
      <c r="BR68" s="28">
        <f>VLOOKUP(tabCustoUnit[[#This Row],[Código do Posto]],tabParametros[],MATCH(tabCustoUnit[[#Headers],[ISS]],tabParametros[#Headers],0),0)</f>
        <v>0.05</v>
      </c>
      <c r="BS68" s="26">
        <f>(((100/((100-(tabCustoUnit[[#This Row],[Resumo de Alíquotas (PIS+CONFINS+ISS)]]*100))%)-100)*tabCustoUnit[[#This Row],[ISS]])/tabCustoUnit[[#This Row],[Resumo de Alíquotas (PIS+CONFINS+ISS)]])/100</f>
        <v>5.8309037900874633E-2</v>
      </c>
      <c r="BT68" s="26">
        <f>(VLOOKUP(tabCustoUnit[[#This Row],[Código do Posto]],tabParametros[],MATCH(tabCustoUnit[[#Headers],[COFINS]],tabParametros[#Headers],0),0)+
VLOOKUP(tabCustoUnit[[#This Row],[Código do Posto]],tabParametros[],MATCH(tabCustoUnit[[#Headers],[PIS]],tabParametros[#Headers],0),0)+
VLOOKUP(tabCustoUnit[[#This Row],[Código do Posto]],tabParametros[],MATCH(tabCustoUnit[[#Headers],[ISS]],tabParametros[#Headers],0),0))</f>
        <v>0.14250000000000002</v>
      </c>
      <c r="BU68" s="138">
        <f>tabCustoUnit[[#This Row],[COFINS]]+tabCustoUnit[[#This Row],[PIS]]+tabCustoUnit[[#This Row],[ISS (Conversão Alíquota s/ fatura)]]</f>
        <v>0.16618075801749277</v>
      </c>
      <c r="BV68" s="22">
        <f>(tabCustoUnit[[#This Row],[TOTAL MÓDULOS 1+2+3+4+5]]+tabCustoUnit[[#This Row],[Custos Indiretos]]+tabCustoUnit[[#This Row],[Lucro]])*tabCustoUnit[[#This Row],[PIS + COFINS + ISS (Total Conversão  Alíquota s/ Fatura)]]</f>
        <v>509.21775871253982</v>
      </c>
      <c r="BW68" s="22">
        <f>tabCustoUnit[[#This Row],[Custos Indiretos]]+tabCustoUnit[[#This Row],[Lucro]]+tabCustoUnit[[#This Row],[Valor dos Tributos (ISS, PIS, CONFINS)]]</f>
        <v>858.17155329300385</v>
      </c>
      <c r="BX68" s="22">
        <f>tabCustoUnit[[#This Row],[TOTAL MÓDULOS 1+2+3+4+5]]+tabCustoUnit[[#This Row],[MÓDULO 6 – CUSTOS INDIRETOS, TRIBUTOS E LUCRO]]</f>
        <v>3573.4579558774712</v>
      </c>
      <c r="BY68" s="22">
        <f>tabCustoUnit[[#This Row],[CUSTO TOTAL MENSAL]]*12</f>
        <v>42881.495470529655</v>
      </c>
      <c r="BZ68" s="24">
        <f>VLOOKUP(tabCustoUnit[[#This Row],[Código do Posto]],tabParametros[],MATCH(tabCustoUnit[[#Headers],[ANO DA CCT]],tabParametros[#Headers],0),0)</f>
        <v>45658</v>
      </c>
      <c r="CA68" s="25" t="str">
        <f>VLOOKUP(tabCustoUnit[[#This Row],[Código do Posto]],tabParametros[],MATCH(tabCustoUnit[[#Headers],[Nº DE PEDIDO DA CCT]],tabParametros[#Headers],0),0)</f>
        <v>-</v>
      </c>
      <c r="CB68" s="25" t="str">
        <f>VLOOKUP(tabCustoUnit[[#This Row],[Código do Posto]],tabParametros[],MATCH(tabCustoUnit[[#Headers],[TERMO ADITIVO ALTERAÇÃO DA CCT]],tabParametros[#Headers],0),0)</f>
        <v>-</v>
      </c>
    </row>
    <row r="69" spans="1:80" x14ac:dyDescent="0.25">
      <c r="A69" s="20" t="s">
        <v>1409</v>
      </c>
      <c r="B69" t="s">
        <v>67</v>
      </c>
      <c r="C69" t="s">
        <v>1244</v>
      </c>
      <c r="D69" t="s">
        <v>67</v>
      </c>
      <c r="E69" s="20" t="s">
        <v>9</v>
      </c>
      <c r="F69" s="20" t="s">
        <v>10</v>
      </c>
      <c r="G69" s="21">
        <v>798.14</v>
      </c>
      <c r="H69" s="21">
        <v>0</v>
      </c>
      <c r="I69" s="21">
        <v>0</v>
      </c>
      <c r="J69" s="21">
        <v>0</v>
      </c>
      <c r="K69" s="21">
        <v>0</v>
      </c>
      <c r="L69" s="21">
        <v>0</v>
      </c>
      <c r="M69" s="21">
        <v>0</v>
      </c>
      <c r="N69" s="21">
        <v>26.120899999999999</v>
      </c>
      <c r="O69" s="21">
        <f>SUM(tabCustoUnit[[#This Row],[Salário Base]:[Adicional de Acúmulo de função]])</f>
        <v>824.26089999999999</v>
      </c>
      <c r="P69" s="21">
        <f>tabCustoUnit[[#This Row],[MODULO 1 - REMUNERAÇÃO ]]*SUMIFS(tabParametros[INSS],tabParametros[Código do Posto],tabCustoUnit[[#This Row],[Código do Posto]])</f>
        <v>164.85218</v>
      </c>
      <c r="Q69" s="21">
        <f>tabCustoUnit[[#This Row],[MODULO 1 - REMUNERAÇÃO ]]*SUMIFS(tabParametros[SESI OU SESC],tabParametros[Código do Posto],tabCustoUnit[[#This Row],[Código do Posto]])</f>
        <v>12.363913499999999</v>
      </c>
      <c r="R69" s="21">
        <f>tabCustoUnit[[#This Row],[MODULO 1 - REMUNERAÇÃO ]]*SUMIFS(tabParametros[SENAI OU SENAC],tabParametros[Código do Posto],tabCustoUnit[[#This Row],[Código do Posto]])</f>
        <v>8.2426089999999999</v>
      </c>
      <c r="S69" s="21">
        <f>tabCustoUnit[[#This Row],[MODULO 1 - REMUNERAÇÃO ]]*SUMIFS(tabParametros[INCRA],tabParametros[Código do Posto],tabCustoUnit[[#This Row],[Código do Posto]])</f>
        <v>1.6485217999999999</v>
      </c>
      <c r="T69" s="21">
        <f>tabCustoUnit[[#This Row],[MODULO 1 - REMUNERAÇÃO ]]*SUMIFS(tabParametros[Salário Educação],tabParametros[Código do Posto],tabCustoUnit[[#This Row],[Código do Posto]])</f>
        <v>20.606522500000001</v>
      </c>
      <c r="U69" s="21">
        <f>tabCustoUnit[[#This Row],[MODULO 1 - REMUNERAÇÃO ]]*SUMIFS(tabParametros[FGTS],tabParametros[Código do Posto],tabCustoUnit[[#This Row],[Código do Posto]])</f>
        <v>65.940871999999999</v>
      </c>
      <c r="V69" s="21">
        <f>tabCustoUnit[[#This Row],[MODULO 1 - REMUNERAÇÃO ]]*SUMIFS(tabParametros[RAT Ajustado],tabParametros[Código do Posto],tabCustoUnit[[#This Row],[Código do Posto]])</f>
        <v>32.970435999999999</v>
      </c>
      <c r="W69" s="21">
        <f>tabCustoUnit[[#This Row],[MODULO 1 - REMUNERAÇÃO ]]*SUMIFS(tabParametros[SEBRAE],tabParametros[Código do Posto],tabCustoUnit[[#This Row],[Código do Posto]])</f>
        <v>4.9455654000000004</v>
      </c>
      <c r="X69" s="21">
        <f>SUM(tabCustoUnit[[#This Row],[INSS]:[SEBRAE]])</f>
        <v>311.57062020000001</v>
      </c>
      <c r="Y69" s="21">
        <f>tabCustoUnit[[#This Row],[MODULO 1 - REMUNERAÇÃO ]]*SUMIFS(tabParametros[13º salário (titular)],tabParametros[Código do Posto],tabCustoUnit[[#This Row],[Código do Posto]])</f>
        <v>68.688408333333328</v>
      </c>
      <c r="Z69" s="21">
        <f>tabCustoUnit[[#This Row],[MODULO 1 - REMUNERAÇÃO ]]*SUMIFS(tabParametros[Férias e Adicional de Férias (titular)],tabParametros[Código do Posto],tabCustoUnit[[#This Row],[Código do Posto]])</f>
        <v>91.584544444444433</v>
      </c>
      <c r="AA69" s="21">
        <f>IFERROR((tabCustoUnit[[#This Row],[Submódulo 2.1]]/tabCustoUnit[[#This Row],[MODULO 1 - REMUNERAÇÃO ]])*SUM(tabCustoUnit[[#This Row],[13º salário (titular)]:[Férias e Adicional de Férias (titular)]]),0)</f>
        <v>60.583176149999993</v>
      </c>
      <c r="AB69" s="21">
        <f>SUM(tabCustoUnit[[#This Row],[13º salário (titular)]:[Incidência do Submódulo 2.1 sobre 13º Salário, Férias e Adicional de Férias]])</f>
        <v>220.85612892777775</v>
      </c>
      <c r="AC69" s="22">
        <f>_xlfn.LET(_xlpm.VT,SUMIF(tabParametros[Código do Posto],tabCustoUnit[[#This Row],[Código do Posto]],tabParametros[Vale - Transporte])*2*20,
IF((_xlpm.VT-tabCustoUnit[[#This Row],[Salário Base]]*0.06)&gt;=0,(_xlpm.VT-tabCustoUnit[[#This Row],[Salário Base]]*0.06),0)
)</f>
        <v>208.11160000000001</v>
      </c>
      <c r="AD69" s="22">
        <f>IF(SUMIF(tabParametros[Código do Posto],tabCustoUnit[[#This Row],[Código do Posto]],tabParametros[Vale - Alimentação])&lt;=0,0,
SUMIF(tabParametros[Código do Posto],tabCustoUnit[[#This Row],[Código do Posto]],tabParametros[Vale - Alimentação])*20-1)</f>
        <v>582</v>
      </c>
      <c r="AE69" s="22">
        <f>SUMIF(tabParametros[Código do Posto],tabCustoUnit[[#This Row],[Código do Posto]],tabParametros[Cesta Básica])</f>
        <v>0</v>
      </c>
      <c r="AF69" s="22">
        <f>SUMIF(tabParametros[Código do Posto],tabCustoUnit[[#This Row],[Código do Posto]],tabParametros[PAF])</f>
        <v>0</v>
      </c>
      <c r="AG69" s="22">
        <f>SUMIF(tabParametros[Código do Posto],tabCustoUnit[[#This Row],[Código do Posto]],tabParametros[PQM])</f>
        <v>15.07</v>
      </c>
      <c r="AH69" s="22">
        <f>SUMIF(tabParametros[Código do Posto],tabCustoUnit[[#This Row],[Código do Posto]],tabParametros[PAT])</f>
        <v>0</v>
      </c>
      <c r="AI69" s="22">
        <f>SUMIF(tabParametros[Código do Posto],tabCustoUnit[[#This Row],[Código do Posto]],tabParametros[Seguro de Vida])</f>
        <v>3.36</v>
      </c>
      <c r="AJ69" s="22">
        <f>SUMIF(tabParametros[Código do Posto],tabCustoUnit[[#This Row],[Código do Posto]],tabParametros[Despesas de Viagem])</f>
        <v>0</v>
      </c>
      <c r="AK69" s="22">
        <f>SUM(tabCustoUnit[[#This Row],[Vale - Transporte (Descontada parcela do empregado)]:[Despesas de Viagem]])</f>
        <v>808.54160000000002</v>
      </c>
      <c r="AL69" s="22">
        <f>tabCustoUnit[[#This Row],[Submódulo 2.1]]+tabCustoUnit[[#This Row],[Submódulo 2.2]]+tabCustoUnit[[#This Row],[Submódulo 2.3]]</f>
        <v>1340.9683491277779</v>
      </c>
      <c r="AM69" s="22">
        <f>SUMIF(tabParametros[Código do Posto],tabCustoUnit[[#This Row],[Código do Posto]],tabParametros[Aviso Prévio Indenizado (API) e Reflexo do Aviso Prévio Indenizado])*tabCustoUnit[[#This Row],[MODULO 1 - REMUNERAÇÃO ]]</f>
        <v>5.7795253576581791</v>
      </c>
      <c r="AN69" s="22">
        <f>SUMIF(tabParametros[Código do Posto],tabCustoUnit[[#This Row],[Código do Posto]],tabParametros[Incidência do FGTS sobre API e Reflexo do API])*tabCustoUnit[[#This Row],[MODULO 1 - REMUNERAÇÃO ]]</f>
        <v>0.46236202861265435</v>
      </c>
      <c r="AO69" s="22">
        <f>SUMIF(tabParametros[Código do Posto],tabCustoUnit[[#This Row],[Código do Posto]],tabParametros[Multa Rescisória do FGTS sobre o Aviso Prévio Indenizado])*tabCustoUnit[[#This Row],[MODULO 1 - REMUNERAÇÃO ]]</f>
        <v>0.18494481144506175</v>
      </c>
      <c r="AP69" s="22">
        <f>SUMIF(tabParametros[Código do Posto],tabCustoUnit[[#This Row],[Código do Posto]],tabParametros[Aviso Prévio Trabalhado - APT])*tabCustoUnit[[#This Row],[MODULO 1 - REMUNERAÇÃO ]]</f>
        <v>2.8849131500000005</v>
      </c>
      <c r="AQ69" s="22">
        <f>SUMIF(tabParametros[Código do Posto],tabCustoUnit[[#This Row],[Código do Posto]],tabParametros[Incidência dos encargos do submódulo 2.1 sobre Aviso Prévio Trabalhado])*tabCustoUnit[[#This Row],[MODULO 1 - REMUNERAÇÃO ]]</f>
        <v>1.0904971707000004</v>
      </c>
      <c r="AR69" s="22">
        <f>SUMIF(tabParametros[Código do Posto],tabCustoUnit[[#This Row],[Código do Posto]],tabParametros[Multa Rescisória do FGTS])*tabCustoUnit[[#This Row],[MODULO 1 - REMUNERAÇÃO ]]</f>
        <v>25.204066631111107</v>
      </c>
      <c r="AS69" s="22">
        <f>SUMIF(tabParametros[Código do Posto],tabCustoUnit[[#This Row],[Código do Posto]],tabParametros[Indenização Adicional (Art. 9º da Lei nº 7.238/84)])*tabCustoUnit[[#This Row],[MODULO 1 - REMUNERAÇÃO ]]</f>
        <v>0.6868840833333334</v>
      </c>
      <c r="AT69" s="22">
        <f>SUM(tabCustoUnit[[#This Row],[Aviso Prévio Indenizado (API) e Reflexo do Aviso Prévio Indenizado]:[Indenização Adicional (Art. 9º da Lei nº 7.238/84)]])</f>
        <v>36.293193232860339</v>
      </c>
      <c r="AU69" s="22">
        <f>SUMIF(tabParametros[Código do Posto],tabCustoUnit[[#This Row],[Código do Posto]],tabParametros[Ausência por Doença])*tabCustoUnit[[#This Row],[MODULO 1 - REMUNERAÇÃO ]]</f>
        <v>6.9604253777777769</v>
      </c>
      <c r="AV69" s="22">
        <f>SUMIF(tabParametros[Código do Posto],tabCustoUnit[[#This Row],[Código do Posto]],tabParametros[Ausências Legais])*tabCustoUnit[[#This Row],[MODULO 1 - REMUNERAÇÃO ]]</f>
        <v>1.671417936111111</v>
      </c>
      <c r="AW69" s="22">
        <f>SUMIF(tabParametros[Código do Posto],tabCustoUnit[[#This Row],[Código do Posto]],tabParametros[Licença Paternidade])*tabCustoUnit[[#This Row],[MODULO 1 - REMUNERAÇÃO ]]</f>
        <v>0.14081123708333332</v>
      </c>
      <c r="AX69" s="22">
        <f>SUMIF(tabParametros[Código do Posto],tabCustoUnit[[#This Row],[Código do Posto]],tabParametros[Ausência por Acidente de Trabalho])*tabCustoUnit[[#This Row],[MODULO 1 - REMUNERAÇÃO ]]</f>
        <v>0.17172102083333335</v>
      </c>
      <c r="AY69" s="22">
        <f>SUMIF(tabParametros[Código do Posto],tabCustoUnit[[#This Row],[Código do Posto]],tabParametros[Férias, Adicional de Férias e 13º  com empregada em gozo de Licença Maternidade])*tabCustoUnit[[#This Row],[MODULO 1 - REMUNERAÇÃO ]]</f>
        <v>1.0684863518518517</v>
      </c>
      <c r="AZ69" s="22">
        <f>SUMIF(tabParametros[Código do Posto],tabCustoUnit[[#This Row],[Código do Posto]],tabParametros[Incidência do Submódulo 2.1 sobre Ausências Legais])*tabCustoUnit[[#This Row],[MODULO 1 - REMUNERAÇÃO ]]</f>
        <v>3.7848618071425006</v>
      </c>
      <c r="BA69" s="22">
        <f>SUM(tabCustoUnit[[#This Row],[Ausência por Doença]:[Incidência do Submódulo 2.1 sobre Ausências Legais]])</f>
        <v>13.797723730799909</v>
      </c>
      <c r="BB69" s="22">
        <f>SUMIF(tabParametros[Código do Posto],tabCustoUnit[[#This Row],[Código do Posto]],tabParametros[Intervalo para Repouso ou Alimentação])</f>
        <v>0</v>
      </c>
      <c r="BC69" s="22">
        <f>tabCustoUnit[[#This Row],[Intervalo para Repouso ou Alimentação]]</f>
        <v>0</v>
      </c>
      <c r="BD69" s="22">
        <f>IF(VLOOKUP(tabCustoUnit[[#This Row],[Código do Posto]],PARAMETROS!$A$4:$BJ$255,7,0)&lt;=0,0,
IFERROR((tabCustoUnit[[#This Row],[MODULO 1 - REMUNERAÇÃO ]]*VLOOKUP(tabCustoUnit[[#This Row],[Código do Posto]],PARAMETROS!$A$4:$BJ$255,49,0))/(VLOOKUP(tabCustoUnit[[#This Row],[Código do Posto]],PARAMETROS!$A$4:$BJ$255,7,0)*VLOOKUP(tabCustoUnit[[#This Row],[Código do Posto]],PARAMETROS!$A$4:$BJ$255,8,0)),0)
)</f>
        <v>0</v>
      </c>
      <c r="BE69" s="22">
        <f>tabCustoUnit[[#This Row],[Suspensão Temporária do Contrato de Trabalho]]</f>
        <v>0</v>
      </c>
      <c r="BF69" s="22">
        <f>tabCustoUnit[[#This Row],[Submódulo 4.1]]+tabCustoUnit[[#This Row],[Submódulo 4.2]]+tabCustoUnit[[#This Row],[Submódulo 4.3]]</f>
        <v>13.797723730799909</v>
      </c>
      <c r="BG69" s="22">
        <f>VLOOKUP(tabCustoUnit[[#This Row],[Código do Posto]],tabParametros[],MATCH(tabCustoUnit[[#Headers],[Uniformes e EPIs]],tabParametros[#Headers],0),0)</f>
        <v>62.806666666666665</v>
      </c>
      <c r="BH69" s="22">
        <f>VLOOKUP(tabCustoUnit[[#This Row],[Código do Posto]],tabParametros[],MATCH(tabCustoUnit[[#Headers],[Materiais de Consumo]],tabParametros[#Headers],0),0)</f>
        <v>17.759106479291944</v>
      </c>
      <c r="BI69" s="22">
        <f>VLOOKUP(tabCustoUnit[[#This Row],[Código do Posto]],tabParametros[],MATCH(tabCustoUnit[[#Headers],[Máquinas e Equipamentos (depreciação)]],tabParametros[#Headers],0),0)</f>
        <v>32.264696957412788</v>
      </c>
      <c r="BJ69" s="22">
        <f>VLOOKUP(tabCustoUnit[[#This Row],[Código do Posto]],tabParametros[],MATCH(tabCustoUnit[[#Headers],[Produtos de Limpeza e Materiais de Higiene Pessoal]],tabParametros[#Headers],0),0)</f>
        <v>345.13576638965827</v>
      </c>
      <c r="BK69" s="22">
        <f>VLOOKUP(tabCustoUnit[[#This Row],[Código do Posto]],tabParametros[],MATCH(tabCustoUnit[[#Headers],[Outros (especificar)]],tabParametros[#Headers],0),0)</f>
        <v>0</v>
      </c>
      <c r="BL69" s="22">
        <f>SUM(tabCustoUnit[[#This Row],[Uniformes e EPIs]:[Outros (especificar)]])</f>
        <v>457.96623649302967</v>
      </c>
      <c r="BM69" s="22">
        <f>tabCustoUnit[[#This Row],[MODULO 1 - REMUNERAÇÃO ]]+tabCustoUnit[[#This Row],[MÓDULO 2 - Total Encargos e Benefícios mensais e diários]]+tabCustoUnit[[#This Row],[MÓDULO 3 – PROVISÃO PARA RESCISÃO]]+tabCustoUnit[[#This Row],[MÓDULO 4 – CUSTO DE REPOSIÇÃO DO PROFISSIONAL AUSENTE]]+tabCustoUnit[[#This Row],[MÓDULO 5 – INSUMOS DIVERSOS]]</f>
        <v>2673.2864025844674</v>
      </c>
      <c r="BN69" s="22">
        <f>VLOOKUP(tabCustoUnit[[#This Row],[Código do Posto]],tabParametros[],MATCH(tabCustoUnit[[#Headers],[Custos Indiretos]],tabParametros[#Headers],0),0)</f>
        <v>189.64880140242613</v>
      </c>
      <c r="BO69" s="22">
        <f>VLOOKUP(tabCustoUnit[[#This Row],[Código do Posto]],tabParametros[],MATCH(tabCustoUnit[[#Headers],[Lucro]],tabParametros[#Headers],0),0)</f>
        <v>159.30499317803796</v>
      </c>
      <c r="BP69" s="26">
        <f>((100/((1-tabCustoUnit[[#This Row],[Resumo de Alíquotas (PIS+CONFINS+ISS)]]))-100)*VLOOKUP(tabCustoUnit[[#This Row],[Código do Posto]],tabParametros[],MATCH(tabCustoUnit[[#Headers],[COFINS]],tabParametros[#Headers],0),0))/(tabCustoUnit[[#This Row],[Resumo de Alíquotas (PIS+CONFINS+ISS)]]*100)</f>
        <v>8.6609686609686695E-2</v>
      </c>
      <c r="BQ69" s="26">
        <f>((100/((100-(tabCustoUnit[[#This Row],[Resumo de Alíquotas (PIS+CONFINS+ISS)]]*100))%)-100)*VLOOKUP(tabCustoUnit[[#This Row],[Código do Posto]],tabParametros[],MATCH(tabCustoUnit[[#Headers],[PIS]],tabParametros[#Headers],0),0))/(tabCustoUnit[[#This Row],[Resumo de Alíquotas (PIS+CONFINS+ISS)]]*100)</f>
        <v>1.880341880341882E-2</v>
      </c>
      <c r="BR69" s="28">
        <f>VLOOKUP(tabCustoUnit[[#This Row],[Código do Posto]],tabParametros[],MATCH(tabCustoUnit[[#Headers],[ISS]],tabParametros[#Headers],0),0)</f>
        <v>0.03</v>
      </c>
      <c r="BS69" s="26">
        <f>(((100/((100-(tabCustoUnit[[#This Row],[Resumo de Alíquotas (PIS+CONFINS+ISS)]]*100))%)-100)*tabCustoUnit[[#This Row],[ISS]])/tabCustoUnit[[#This Row],[Resumo de Alíquotas (PIS+CONFINS+ISS)]])/100</f>
        <v>3.4188034188034219E-2</v>
      </c>
      <c r="BT69" s="26">
        <f>(VLOOKUP(tabCustoUnit[[#This Row],[Código do Posto]],tabParametros[],MATCH(tabCustoUnit[[#Headers],[COFINS]],tabParametros[#Headers],0),0)+
VLOOKUP(tabCustoUnit[[#This Row],[Código do Posto]],tabParametros[],MATCH(tabCustoUnit[[#Headers],[PIS]],tabParametros[#Headers],0),0)+
VLOOKUP(tabCustoUnit[[#This Row],[Código do Posto]],tabParametros[],MATCH(tabCustoUnit[[#Headers],[ISS]],tabParametros[#Headers],0),0))</f>
        <v>0.1225</v>
      </c>
      <c r="BU69" s="138">
        <f>tabCustoUnit[[#This Row],[COFINS]]+tabCustoUnit[[#This Row],[PIS]]+tabCustoUnit[[#This Row],[ISS (Conversão Alíquota s/ fatura)]]</f>
        <v>0.13960113960113973</v>
      </c>
      <c r="BV69" s="22">
        <f>(tabCustoUnit[[#This Row],[TOTAL MÓDULOS 1+2+3+4+5]]+tabCustoUnit[[#This Row],[Custos Indiretos]]+tabCustoUnit[[#This Row],[Lucro]])*tabCustoUnit[[#This Row],[PIS + COFINS + ISS (Total Conversão  Alíquota s/ Fatura)]]</f>
        <v>421.90817567259768</v>
      </c>
      <c r="BW69" s="22">
        <f>tabCustoUnit[[#This Row],[Custos Indiretos]]+tabCustoUnit[[#This Row],[Lucro]]+tabCustoUnit[[#This Row],[Valor dos Tributos (ISS, PIS, CONFINS)]]</f>
        <v>770.86197025306183</v>
      </c>
      <c r="BX69" s="22">
        <f>tabCustoUnit[[#This Row],[TOTAL MÓDULOS 1+2+3+4+5]]+tabCustoUnit[[#This Row],[MÓDULO 6 – CUSTOS INDIRETOS, TRIBUTOS E LUCRO]]</f>
        <v>3444.1483728375292</v>
      </c>
      <c r="BY69" s="22">
        <f>tabCustoUnit[[#This Row],[CUSTO TOTAL MENSAL]]*12</f>
        <v>41329.780474050349</v>
      </c>
      <c r="BZ69" s="24">
        <f>VLOOKUP(tabCustoUnit[[#This Row],[Código do Posto]],tabParametros[],MATCH(tabCustoUnit[[#Headers],[ANO DA CCT]],tabParametros[#Headers],0),0)</f>
        <v>45658</v>
      </c>
      <c r="CA69" s="25" t="str">
        <f>VLOOKUP(tabCustoUnit[[#This Row],[Código do Posto]],tabParametros[],MATCH(tabCustoUnit[[#Headers],[Nº DE PEDIDO DA CCT]],tabParametros[#Headers],0),0)</f>
        <v>-</v>
      </c>
      <c r="CB69" s="25" t="str">
        <f>VLOOKUP(tabCustoUnit[[#This Row],[Código do Posto]],tabParametros[],MATCH(tabCustoUnit[[#Headers],[TERMO ADITIVO ALTERAÇÃO DA CCT]],tabParametros[#Headers],0),0)</f>
        <v>-</v>
      </c>
    </row>
    <row r="70" spans="1:80" x14ac:dyDescent="0.25">
      <c r="A70" s="20" t="s">
        <v>1410</v>
      </c>
      <c r="B70" t="s">
        <v>68</v>
      </c>
      <c r="C70" t="s">
        <v>1247</v>
      </c>
      <c r="D70" t="s">
        <v>1000</v>
      </c>
      <c r="E70" s="20" t="s">
        <v>9</v>
      </c>
      <c r="F70" s="20" t="s">
        <v>10</v>
      </c>
      <c r="G70" s="21">
        <v>544.17999999999995</v>
      </c>
      <c r="H70" s="21">
        <v>0</v>
      </c>
      <c r="I70" s="21">
        <v>0</v>
      </c>
      <c r="J70" s="21">
        <v>0</v>
      </c>
      <c r="K70" s="21">
        <v>0</v>
      </c>
      <c r="L70" s="21">
        <v>0</v>
      </c>
      <c r="M70" s="21">
        <v>0</v>
      </c>
      <c r="N70" s="21">
        <v>19.590499999999999</v>
      </c>
      <c r="O70" s="21">
        <f>SUM(tabCustoUnit[[#This Row],[Salário Base]:[Adicional de Acúmulo de função]])</f>
        <v>563.77049999999997</v>
      </c>
      <c r="P70" s="21">
        <f>tabCustoUnit[[#This Row],[MODULO 1 - REMUNERAÇÃO ]]*SUMIFS(tabParametros[INSS],tabParametros[Código do Posto],tabCustoUnit[[#This Row],[Código do Posto]])</f>
        <v>112.75409999999999</v>
      </c>
      <c r="Q70" s="21">
        <f>tabCustoUnit[[#This Row],[MODULO 1 - REMUNERAÇÃO ]]*SUMIFS(tabParametros[SESI OU SESC],tabParametros[Código do Posto],tabCustoUnit[[#This Row],[Código do Posto]])</f>
        <v>8.4565574999999988</v>
      </c>
      <c r="R70" s="21">
        <f>tabCustoUnit[[#This Row],[MODULO 1 - REMUNERAÇÃO ]]*SUMIFS(tabParametros[SENAI OU SENAC],tabParametros[Código do Posto],tabCustoUnit[[#This Row],[Código do Posto]])</f>
        <v>5.6377049999999995</v>
      </c>
      <c r="S70" s="21">
        <f>tabCustoUnit[[#This Row],[MODULO 1 - REMUNERAÇÃO ]]*SUMIFS(tabParametros[INCRA],tabParametros[Código do Posto],tabCustoUnit[[#This Row],[Código do Posto]])</f>
        <v>1.1275409999999999</v>
      </c>
      <c r="T70" s="21">
        <f>tabCustoUnit[[#This Row],[MODULO 1 - REMUNERAÇÃO ]]*SUMIFS(tabParametros[Salário Educação],tabParametros[Código do Posto],tabCustoUnit[[#This Row],[Código do Posto]])</f>
        <v>14.094262499999999</v>
      </c>
      <c r="U70" s="21">
        <f>tabCustoUnit[[#This Row],[MODULO 1 - REMUNERAÇÃO ]]*SUMIFS(tabParametros[FGTS],tabParametros[Código do Posto],tabCustoUnit[[#This Row],[Código do Posto]])</f>
        <v>45.101639999999996</v>
      </c>
      <c r="V70" s="21">
        <f>tabCustoUnit[[#This Row],[MODULO 1 - REMUNERAÇÃO ]]*SUMIFS(tabParametros[RAT Ajustado],tabParametros[Código do Posto],tabCustoUnit[[#This Row],[Código do Posto]])</f>
        <v>22.550819999999998</v>
      </c>
      <c r="W70" s="21">
        <f>tabCustoUnit[[#This Row],[MODULO 1 - REMUNERAÇÃO ]]*SUMIFS(tabParametros[SEBRAE],tabParametros[Código do Posto],tabCustoUnit[[#This Row],[Código do Posto]])</f>
        <v>3.3826229999999997</v>
      </c>
      <c r="X70" s="21">
        <f>SUM(tabCustoUnit[[#This Row],[INSS]:[SEBRAE]])</f>
        <v>213.10524899999996</v>
      </c>
      <c r="Y70" s="21">
        <f>tabCustoUnit[[#This Row],[MODULO 1 - REMUNERAÇÃO ]]*SUMIFS(tabParametros[13º salário (titular)],tabParametros[Código do Posto],tabCustoUnit[[#This Row],[Código do Posto]])</f>
        <v>46.980874999999997</v>
      </c>
      <c r="Z70" s="21">
        <f>tabCustoUnit[[#This Row],[MODULO 1 - REMUNERAÇÃO ]]*SUMIFS(tabParametros[Férias e Adicional de Férias (titular)],tabParametros[Código do Posto],tabCustoUnit[[#This Row],[Código do Posto]])</f>
        <v>62.641166666666663</v>
      </c>
      <c r="AA70" s="21">
        <f>IFERROR((tabCustoUnit[[#This Row],[Submódulo 2.1]]/tabCustoUnit[[#This Row],[MODULO 1 - REMUNERAÇÃO ]])*SUM(tabCustoUnit[[#This Row],[13º salário (titular)]:[Férias e Adicional de Férias (titular)]]),0)</f>
        <v>41.437131749999992</v>
      </c>
      <c r="AB70" s="21">
        <f>SUM(tabCustoUnit[[#This Row],[13º salário (titular)]:[Incidência do Submódulo 2.1 sobre 13º Salário, Férias e Adicional de Férias]])</f>
        <v>151.05917341666665</v>
      </c>
      <c r="AC70" s="22">
        <f>_xlfn.LET(_xlpm.VT,SUMIF(tabParametros[Código do Posto],tabCustoUnit[[#This Row],[Código do Posto]],tabParametros[Vale - Transporte])*2*20,
IF((_xlpm.VT-tabCustoUnit[[#This Row],[Salário Base]]*0.06)&gt;=0,(_xlpm.VT-tabCustoUnit[[#This Row],[Salário Base]]*0.06),0)
)</f>
        <v>223.3492</v>
      </c>
      <c r="AD70" s="22">
        <f>IF(SUMIF(tabParametros[Código do Posto],tabCustoUnit[[#This Row],[Código do Posto]],tabParametros[Vale - Alimentação])&lt;=0,0,
SUMIF(tabParametros[Código do Posto],tabCustoUnit[[#This Row],[Código do Posto]],tabParametros[Vale - Alimentação])*20-1)</f>
        <v>582</v>
      </c>
      <c r="AE70" s="22">
        <f>SUMIF(tabParametros[Código do Posto],tabCustoUnit[[#This Row],[Código do Posto]],tabParametros[Cesta Básica])</f>
        <v>0</v>
      </c>
      <c r="AF70" s="22">
        <f>SUMIF(tabParametros[Código do Posto],tabCustoUnit[[#This Row],[Código do Posto]],tabParametros[PAF])</f>
        <v>0</v>
      </c>
      <c r="AG70" s="22">
        <f>SUMIF(tabParametros[Código do Posto],tabCustoUnit[[#This Row],[Código do Posto]],tabParametros[PQM])</f>
        <v>15.07</v>
      </c>
      <c r="AH70" s="22">
        <f>SUMIF(tabParametros[Código do Posto],tabCustoUnit[[#This Row],[Código do Posto]],tabParametros[PAT])</f>
        <v>0</v>
      </c>
      <c r="AI70" s="22">
        <f>SUMIF(tabParametros[Código do Posto],tabCustoUnit[[#This Row],[Código do Posto]],tabParametros[Seguro de Vida])</f>
        <v>3.36</v>
      </c>
      <c r="AJ70" s="22">
        <f>SUMIF(tabParametros[Código do Posto],tabCustoUnit[[#This Row],[Código do Posto]],tabParametros[Despesas de Viagem])</f>
        <v>0</v>
      </c>
      <c r="AK70" s="22">
        <f>SUM(tabCustoUnit[[#This Row],[Vale - Transporte (Descontada parcela do empregado)]:[Despesas de Viagem]])</f>
        <v>823.77920000000006</v>
      </c>
      <c r="AL70" s="22">
        <f>tabCustoUnit[[#This Row],[Submódulo 2.1]]+tabCustoUnit[[#This Row],[Submódulo 2.2]]+tabCustoUnit[[#This Row],[Submódulo 2.3]]</f>
        <v>1187.9436224166666</v>
      </c>
      <c r="AM70" s="22">
        <f>SUMIF(tabParametros[Código do Posto],tabCustoUnit[[#This Row],[Código do Posto]],tabParametros[Aviso Prévio Indenizado (API) e Reflexo do Aviso Prévio Indenizado])*tabCustoUnit[[#This Row],[MODULO 1 - REMUNERAÇÃO ]]</f>
        <v>3.9530273735532404</v>
      </c>
      <c r="AN70" s="22">
        <f>SUMIF(tabParametros[Código do Posto],tabCustoUnit[[#This Row],[Código do Posto]],tabParametros[Incidência do FGTS sobre API e Reflexo do API])*tabCustoUnit[[#This Row],[MODULO 1 - REMUNERAÇÃO ]]</f>
        <v>0.31624218988425928</v>
      </c>
      <c r="AO70" s="22">
        <f>SUMIF(tabParametros[Código do Posto],tabCustoUnit[[#This Row],[Código do Posto]],tabParametros[Multa Rescisória do FGTS sobre o Aviso Prévio Indenizado])*tabCustoUnit[[#This Row],[MODULO 1 - REMUNERAÇÃO ]]</f>
        <v>0.12649687595370371</v>
      </c>
      <c r="AP70" s="22">
        <f>SUMIF(tabParametros[Código do Posto],tabCustoUnit[[#This Row],[Código do Posto]],tabParametros[Aviso Prévio Trabalhado - APT])*tabCustoUnit[[#This Row],[MODULO 1 - REMUNERAÇÃO ]]</f>
        <v>1.9731967500000003</v>
      </c>
      <c r="AQ70" s="22">
        <f>SUMIF(tabParametros[Código do Posto],tabCustoUnit[[#This Row],[Código do Posto]],tabParametros[Incidência dos encargos do submódulo 2.1 sobre Aviso Prévio Trabalhado])*tabCustoUnit[[#This Row],[MODULO 1 - REMUNERAÇÃO ]]</f>
        <v>0.74586837150000018</v>
      </c>
      <c r="AR70" s="22">
        <f>SUMIF(tabParametros[Código do Posto],tabCustoUnit[[#This Row],[Código do Posto]],tabParametros[Multa Rescisória do FGTS])*tabCustoUnit[[#This Row],[MODULO 1 - REMUNERAÇÃO ]]</f>
        <v>17.238849066666663</v>
      </c>
      <c r="AS70" s="22">
        <f>SUMIF(tabParametros[Código do Posto],tabCustoUnit[[#This Row],[Código do Posto]],tabParametros[Indenização Adicional (Art. 9º da Lei nº 7.238/84)])*tabCustoUnit[[#This Row],[MODULO 1 - REMUNERAÇÃO ]]</f>
        <v>0.46980875</v>
      </c>
      <c r="AT70" s="22">
        <f>SUM(tabCustoUnit[[#This Row],[Aviso Prévio Indenizado (API) e Reflexo do Aviso Prévio Indenizado]:[Indenização Adicional (Art. 9º da Lei nº 7.238/84)]])</f>
        <v>24.823489377557866</v>
      </c>
      <c r="AU70" s="22">
        <f>SUMIF(tabParametros[Código do Posto],tabCustoUnit[[#This Row],[Código do Posto]],tabParametros[Ausência por Doença])*tabCustoUnit[[#This Row],[MODULO 1 - REMUNERAÇÃO ]]</f>
        <v>4.7607286666666662</v>
      </c>
      <c r="AV70" s="22">
        <f>SUMIF(tabParametros[Código do Posto],tabCustoUnit[[#This Row],[Código do Posto]],tabParametros[Ausências Legais])*tabCustoUnit[[#This Row],[MODULO 1 - REMUNERAÇÃO ]]</f>
        <v>1.1432012916666665</v>
      </c>
      <c r="AW70" s="22">
        <f>SUMIF(tabParametros[Código do Posto],tabCustoUnit[[#This Row],[Código do Posto]],tabParametros[Licença Paternidade])*tabCustoUnit[[#This Row],[MODULO 1 - REMUNERAÇÃO ]]</f>
        <v>9.6310793749999998E-2</v>
      </c>
      <c r="AX70" s="22">
        <f>SUMIF(tabParametros[Código do Posto],tabCustoUnit[[#This Row],[Código do Posto]],tabParametros[Ausência por Acidente de Trabalho])*tabCustoUnit[[#This Row],[MODULO 1 - REMUNERAÇÃO ]]</f>
        <v>0.1174521875</v>
      </c>
      <c r="AY70" s="22">
        <f>SUMIF(tabParametros[Código do Posto],tabCustoUnit[[#This Row],[Código do Posto]],tabParametros[Férias, Adicional de Férias e 13º  com empregada em gozo de Licença Maternidade])*tabCustoUnit[[#This Row],[MODULO 1 - REMUNERAÇÃO ]]</f>
        <v>0.73081361111111109</v>
      </c>
      <c r="AZ70" s="22">
        <f>SUMIF(tabParametros[Código do Posto],tabCustoUnit[[#This Row],[Código do Posto]],tabParametros[Incidência do Submódulo 2.1 sobre Ausências Legais])*tabCustoUnit[[#This Row],[MODULO 1 - REMUNERAÇÃO ]]</f>
        <v>2.5887354761625003</v>
      </c>
      <c r="BA70" s="22">
        <f>SUM(tabCustoUnit[[#This Row],[Ausência por Doença]:[Incidência do Submódulo 2.1 sobre Ausências Legais]])</f>
        <v>9.4372420268569428</v>
      </c>
      <c r="BB70" s="22">
        <f>SUMIF(tabParametros[Código do Posto],tabCustoUnit[[#This Row],[Código do Posto]],tabParametros[Intervalo para Repouso ou Alimentação])</f>
        <v>0</v>
      </c>
      <c r="BC70" s="22">
        <f>tabCustoUnit[[#This Row],[Intervalo para Repouso ou Alimentação]]</f>
        <v>0</v>
      </c>
      <c r="BD70" s="22">
        <f>IF(VLOOKUP(tabCustoUnit[[#This Row],[Código do Posto]],PARAMETROS!$A$4:$BJ$255,7,0)&lt;=0,0,
IFERROR((tabCustoUnit[[#This Row],[MODULO 1 - REMUNERAÇÃO ]]*VLOOKUP(tabCustoUnit[[#This Row],[Código do Posto]],PARAMETROS!$A$4:$BJ$255,49,0))/(VLOOKUP(tabCustoUnit[[#This Row],[Código do Posto]],PARAMETROS!$A$4:$BJ$255,7,0)*VLOOKUP(tabCustoUnit[[#This Row],[Código do Posto]],PARAMETROS!$A$4:$BJ$255,8,0)),0)
)</f>
        <v>0</v>
      </c>
      <c r="BE70" s="22">
        <f>tabCustoUnit[[#This Row],[Suspensão Temporária do Contrato de Trabalho]]</f>
        <v>0</v>
      </c>
      <c r="BF70" s="22">
        <f>tabCustoUnit[[#This Row],[Submódulo 4.1]]+tabCustoUnit[[#This Row],[Submódulo 4.2]]+tabCustoUnit[[#This Row],[Submódulo 4.3]]</f>
        <v>9.4372420268569428</v>
      </c>
      <c r="BG70" s="22">
        <f>VLOOKUP(tabCustoUnit[[#This Row],[Código do Posto]],tabParametros[],MATCH(tabCustoUnit[[#Headers],[Uniformes e EPIs]],tabParametros[#Headers],0),0)</f>
        <v>62.806666666666665</v>
      </c>
      <c r="BH70" s="22">
        <f>VLOOKUP(tabCustoUnit[[#This Row],[Código do Posto]],tabParametros[],MATCH(tabCustoUnit[[#Headers],[Materiais de Consumo]],tabParametros[#Headers],0),0)</f>
        <v>12.108481690426325</v>
      </c>
      <c r="BI70" s="22">
        <f>VLOOKUP(tabCustoUnit[[#This Row],[Código do Posto]],tabParametros[],MATCH(tabCustoUnit[[#Headers],[Máquinas e Equipamentos (depreciação)]],tabParametros[#Headers],0),0)</f>
        <v>21.998657016417809</v>
      </c>
      <c r="BJ70" s="22">
        <f>VLOOKUP(tabCustoUnit[[#This Row],[Código do Posto]],tabParametros[],MATCH(tabCustoUnit[[#Headers],[Produtos de Limpeza e Materiais de Higiene Pessoal]],tabParametros[#Headers],0),0)</f>
        <v>235.31984072022155</v>
      </c>
      <c r="BK70" s="22">
        <f>VLOOKUP(tabCustoUnit[[#This Row],[Código do Posto]],tabParametros[],MATCH(tabCustoUnit[[#Headers],[Outros (especificar)]],tabParametros[#Headers],0),0)</f>
        <v>0</v>
      </c>
      <c r="BL70" s="22">
        <f>SUM(tabCustoUnit[[#This Row],[Uniformes e EPIs]:[Outros (especificar)]])</f>
        <v>332.23364609373232</v>
      </c>
      <c r="BM70" s="22">
        <f>tabCustoUnit[[#This Row],[MODULO 1 - REMUNERAÇÃO ]]+tabCustoUnit[[#This Row],[MÓDULO 2 - Total Encargos e Benefícios mensais e diários]]+tabCustoUnit[[#This Row],[MÓDULO 3 – PROVISÃO PARA RESCISÃO]]+tabCustoUnit[[#This Row],[MÓDULO 4 – CUSTO DE REPOSIÇÃO DO PROFISSIONAL AUSENTE]]+tabCustoUnit[[#This Row],[MÓDULO 5 – INSUMOS DIVERSOS]]</f>
        <v>2118.2084999148137</v>
      </c>
      <c r="BN70" s="22">
        <f>VLOOKUP(tabCustoUnit[[#This Row],[Código do Posto]],tabParametros[],MATCH(tabCustoUnit[[#Headers],[Custos Indiretos]],tabParametros[#Headers],0),0)</f>
        <v>189.64880140242613</v>
      </c>
      <c r="BO70" s="22">
        <f>VLOOKUP(tabCustoUnit[[#This Row],[Código do Posto]],tabParametros[],MATCH(tabCustoUnit[[#Headers],[Lucro]],tabParametros[#Headers],0),0)</f>
        <v>159.30499317803796</v>
      </c>
      <c r="BP70" s="26">
        <f>((100/((1-tabCustoUnit[[#This Row],[Resumo de Alíquotas (PIS+CONFINS+ISS)]]))-100)*VLOOKUP(tabCustoUnit[[#This Row],[Código do Posto]],tabParametros[],MATCH(tabCustoUnit[[#Headers],[COFINS]],tabParametros[#Headers],0),0))/(tabCustoUnit[[#This Row],[Resumo de Alíquotas (PIS+CONFINS+ISS)]]*100)</f>
        <v>8.6609686609686695E-2</v>
      </c>
      <c r="BQ70" s="26">
        <f>((100/((100-(tabCustoUnit[[#This Row],[Resumo de Alíquotas (PIS+CONFINS+ISS)]]*100))%)-100)*VLOOKUP(tabCustoUnit[[#This Row],[Código do Posto]],tabParametros[],MATCH(tabCustoUnit[[#Headers],[PIS]],tabParametros[#Headers],0),0))/(tabCustoUnit[[#This Row],[Resumo de Alíquotas (PIS+CONFINS+ISS)]]*100)</f>
        <v>1.880341880341882E-2</v>
      </c>
      <c r="BR70" s="28">
        <f>VLOOKUP(tabCustoUnit[[#This Row],[Código do Posto]],tabParametros[],MATCH(tabCustoUnit[[#Headers],[ISS]],tabParametros[#Headers],0),0)</f>
        <v>0.03</v>
      </c>
      <c r="BS70" s="26">
        <f>(((100/((100-(tabCustoUnit[[#This Row],[Resumo de Alíquotas (PIS+CONFINS+ISS)]]*100))%)-100)*tabCustoUnit[[#This Row],[ISS]])/tabCustoUnit[[#This Row],[Resumo de Alíquotas (PIS+CONFINS+ISS)]])/100</f>
        <v>3.4188034188034219E-2</v>
      </c>
      <c r="BT70" s="26">
        <f>(VLOOKUP(tabCustoUnit[[#This Row],[Código do Posto]],tabParametros[],MATCH(tabCustoUnit[[#Headers],[COFINS]],tabParametros[#Headers],0),0)+
VLOOKUP(tabCustoUnit[[#This Row],[Código do Posto]],tabParametros[],MATCH(tabCustoUnit[[#Headers],[PIS]],tabParametros[#Headers],0),0)+
VLOOKUP(tabCustoUnit[[#This Row],[Código do Posto]],tabParametros[],MATCH(tabCustoUnit[[#Headers],[ISS]],tabParametros[#Headers],0),0))</f>
        <v>0.1225</v>
      </c>
      <c r="BU70" s="138">
        <f>tabCustoUnit[[#This Row],[COFINS]]+tabCustoUnit[[#This Row],[PIS]]+tabCustoUnit[[#This Row],[ISS (Conversão Alíquota s/ fatura)]]</f>
        <v>0.13960113960113973</v>
      </c>
      <c r="BV70" s="22">
        <f>(tabCustoUnit[[#This Row],[TOTAL MÓDULOS 1+2+3+4+5]]+tabCustoUnit[[#This Row],[Custos Indiretos]]+tabCustoUnit[[#This Row],[Lucro]])*tabCustoUnit[[#This Row],[PIS + COFINS + ISS (Total Conversão  Alíquota s/ Fatura)]]</f>
        <v>344.41866789250349</v>
      </c>
      <c r="BW70" s="22">
        <f>tabCustoUnit[[#This Row],[Custos Indiretos]]+tabCustoUnit[[#This Row],[Lucro]]+tabCustoUnit[[#This Row],[Valor dos Tributos (ISS, PIS, CONFINS)]]</f>
        <v>693.37246247296753</v>
      </c>
      <c r="BX70" s="22">
        <f>tabCustoUnit[[#This Row],[TOTAL MÓDULOS 1+2+3+4+5]]+tabCustoUnit[[#This Row],[MÓDULO 6 – CUSTOS INDIRETOS, TRIBUTOS E LUCRO]]</f>
        <v>2811.5809623877813</v>
      </c>
      <c r="BY70" s="22">
        <f>tabCustoUnit[[#This Row],[CUSTO TOTAL MENSAL]]*12</f>
        <v>33738.971548653375</v>
      </c>
      <c r="BZ70" s="24">
        <f>VLOOKUP(tabCustoUnit[[#This Row],[Código do Posto]],tabParametros[],MATCH(tabCustoUnit[[#Headers],[ANO DA CCT]],tabParametros[#Headers],0),0)</f>
        <v>45658</v>
      </c>
      <c r="CA70" s="25" t="str">
        <f>VLOOKUP(tabCustoUnit[[#This Row],[Código do Posto]],tabParametros[],MATCH(tabCustoUnit[[#Headers],[Nº DE PEDIDO DA CCT]],tabParametros[#Headers],0),0)</f>
        <v>-</v>
      </c>
      <c r="CB70" s="25" t="str">
        <f>VLOOKUP(tabCustoUnit[[#This Row],[Código do Posto]],tabParametros[],MATCH(tabCustoUnit[[#Headers],[TERMO ADITIVO ALTERAÇÃO DA CCT]],tabParametros[#Headers],0),0)</f>
        <v>-</v>
      </c>
    </row>
    <row r="71" spans="1:80" x14ac:dyDescent="0.25">
      <c r="A71" s="20" t="s">
        <v>1411</v>
      </c>
      <c r="B71" t="s">
        <v>69</v>
      </c>
      <c r="C71" t="s">
        <v>1247</v>
      </c>
      <c r="D71" t="s">
        <v>1028</v>
      </c>
      <c r="E71" s="20" t="s">
        <v>9</v>
      </c>
      <c r="F71" s="20" t="s">
        <v>10</v>
      </c>
      <c r="G71" s="21">
        <v>544.17999999999995</v>
      </c>
      <c r="H71" s="21">
        <v>0</v>
      </c>
      <c r="I71" s="21">
        <v>0</v>
      </c>
      <c r="J71" s="21">
        <v>0</v>
      </c>
      <c r="K71" s="21">
        <v>0</v>
      </c>
      <c r="L71" s="21">
        <v>0</v>
      </c>
      <c r="M71" s="21">
        <v>0</v>
      </c>
      <c r="N71" s="21">
        <v>19.590499999999999</v>
      </c>
      <c r="O71" s="21">
        <f>SUM(tabCustoUnit[[#This Row],[Salário Base]:[Adicional de Acúmulo de função]])</f>
        <v>563.77049999999997</v>
      </c>
      <c r="P71" s="21">
        <f>tabCustoUnit[[#This Row],[MODULO 1 - REMUNERAÇÃO ]]*SUMIFS(tabParametros[INSS],tabParametros[Código do Posto],tabCustoUnit[[#This Row],[Código do Posto]])</f>
        <v>112.75409999999999</v>
      </c>
      <c r="Q71" s="21">
        <f>tabCustoUnit[[#This Row],[MODULO 1 - REMUNERAÇÃO ]]*SUMIFS(tabParametros[SESI OU SESC],tabParametros[Código do Posto],tabCustoUnit[[#This Row],[Código do Posto]])</f>
        <v>8.4565574999999988</v>
      </c>
      <c r="R71" s="21">
        <f>tabCustoUnit[[#This Row],[MODULO 1 - REMUNERAÇÃO ]]*SUMIFS(tabParametros[SENAI OU SENAC],tabParametros[Código do Posto],tabCustoUnit[[#This Row],[Código do Posto]])</f>
        <v>5.6377049999999995</v>
      </c>
      <c r="S71" s="21">
        <f>tabCustoUnit[[#This Row],[MODULO 1 - REMUNERAÇÃO ]]*SUMIFS(tabParametros[INCRA],tabParametros[Código do Posto],tabCustoUnit[[#This Row],[Código do Posto]])</f>
        <v>1.1275409999999999</v>
      </c>
      <c r="T71" s="21">
        <f>tabCustoUnit[[#This Row],[MODULO 1 - REMUNERAÇÃO ]]*SUMIFS(tabParametros[Salário Educação],tabParametros[Código do Posto],tabCustoUnit[[#This Row],[Código do Posto]])</f>
        <v>14.094262499999999</v>
      </c>
      <c r="U71" s="21">
        <f>tabCustoUnit[[#This Row],[MODULO 1 - REMUNERAÇÃO ]]*SUMIFS(tabParametros[FGTS],tabParametros[Código do Posto],tabCustoUnit[[#This Row],[Código do Posto]])</f>
        <v>45.101639999999996</v>
      </c>
      <c r="V71" s="21">
        <f>tabCustoUnit[[#This Row],[MODULO 1 - REMUNERAÇÃO ]]*SUMIFS(tabParametros[RAT Ajustado],tabParametros[Código do Posto],tabCustoUnit[[#This Row],[Código do Posto]])</f>
        <v>22.550819999999998</v>
      </c>
      <c r="W71" s="21">
        <f>tabCustoUnit[[#This Row],[MODULO 1 - REMUNERAÇÃO ]]*SUMIFS(tabParametros[SEBRAE],tabParametros[Código do Posto],tabCustoUnit[[#This Row],[Código do Posto]])</f>
        <v>3.3826229999999997</v>
      </c>
      <c r="X71" s="21">
        <f>SUM(tabCustoUnit[[#This Row],[INSS]:[SEBRAE]])</f>
        <v>213.10524899999996</v>
      </c>
      <c r="Y71" s="21">
        <f>tabCustoUnit[[#This Row],[MODULO 1 - REMUNERAÇÃO ]]*SUMIFS(tabParametros[13º salário (titular)],tabParametros[Código do Posto],tabCustoUnit[[#This Row],[Código do Posto]])</f>
        <v>46.980874999999997</v>
      </c>
      <c r="Z71" s="21">
        <f>tabCustoUnit[[#This Row],[MODULO 1 - REMUNERAÇÃO ]]*SUMIFS(tabParametros[Férias e Adicional de Férias (titular)],tabParametros[Código do Posto],tabCustoUnit[[#This Row],[Código do Posto]])</f>
        <v>62.641166666666663</v>
      </c>
      <c r="AA71" s="21">
        <f>IFERROR((tabCustoUnit[[#This Row],[Submódulo 2.1]]/tabCustoUnit[[#This Row],[MODULO 1 - REMUNERAÇÃO ]])*SUM(tabCustoUnit[[#This Row],[13º salário (titular)]:[Férias e Adicional de Férias (titular)]]),0)</f>
        <v>41.437131749999992</v>
      </c>
      <c r="AB71" s="21">
        <f>SUM(tabCustoUnit[[#This Row],[13º salário (titular)]:[Incidência do Submódulo 2.1 sobre 13º Salário, Férias e Adicional de Férias]])</f>
        <v>151.05917341666665</v>
      </c>
      <c r="AC71" s="22">
        <f>_xlfn.LET(_xlpm.VT,SUMIF(tabParametros[Código do Posto],tabCustoUnit[[#This Row],[Código do Posto]],tabParametros[Vale - Transporte])*2*20,
IF((_xlpm.VT-tabCustoUnit[[#This Row],[Salário Base]]*0.06)&gt;=0,(_xlpm.VT-tabCustoUnit[[#This Row],[Salário Base]]*0.06),0)
)</f>
        <v>223.3492</v>
      </c>
      <c r="AD71" s="22">
        <f>IF(SUMIF(tabParametros[Código do Posto],tabCustoUnit[[#This Row],[Código do Posto]],tabParametros[Vale - Alimentação])&lt;=0,0,
SUMIF(tabParametros[Código do Posto],tabCustoUnit[[#This Row],[Código do Posto]],tabParametros[Vale - Alimentação])*20-1)</f>
        <v>582</v>
      </c>
      <c r="AE71" s="22">
        <f>SUMIF(tabParametros[Código do Posto],tabCustoUnit[[#This Row],[Código do Posto]],tabParametros[Cesta Básica])</f>
        <v>0</v>
      </c>
      <c r="AF71" s="22">
        <f>SUMIF(tabParametros[Código do Posto],tabCustoUnit[[#This Row],[Código do Posto]],tabParametros[PAF])</f>
        <v>0</v>
      </c>
      <c r="AG71" s="22">
        <f>SUMIF(tabParametros[Código do Posto],tabCustoUnit[[#This Row],[Código do Posto]],tabParametros[PQM])</f>
        <v>0</v>
      </c>
      <c r="AH71" s="22">
        <f>SUMIF(tabParametros[Código do Posto],tabCustoUnit[[#This Row],[Código do Posto]],tabParametros[PAT])</f>
        <v>0</v>
      </c>
      <c r="AI71" s="22">
        <f>SUMIF(tabParametros[Código do Posto],tabCustoUnit[[#This Row],[Código do Posto]],tabParametros[Seguro de Vida])</f>
        <v>3.36</v>
      </c>
      <c r="AJ71" s="22">
        <f>SUMIF(tabParametros[Código do Posto],tabCustoUnit[[#This Row],[Código do Posto]],tabParametros[Despesas de Viagem])</f>
        <v>0</v>
      </c>
      <c r="AK71" s="22">
        <f>SUM(tabCustoUnit[[#This Row],[Vale - Transporte (Descontada parcela do empregado)]:[Despesas de Viagem]])</f>
        <v>808.70920000000001</v>
      </c>
      <c r="AL71" s="22">
        <f>tabCustoUnit[[#This Row],[Submódulo 2.1]]+tabCustoUnit[[#This Row],[Submódulo 2.2]]+tabCustoUnit[[#This Row],[Submódulo 2.3]]</f>
        <v>1172.8736224166666</v>
      </c>
      <c r="AM71" s="22">
        <f>SUMIF(tabParametros[Código do Posto],tabCustoUnit[[#This Row],[Código do Posto]],tabParametros[Aviso Prévio Indenizado (API) e Reflexo do Aviso Prévio Indenizado])*tabCustoUnit[[#This Row],[MODULO 1 - REMUNERAÇÃO ]]</f>
        <v>3.9530273735532404</v>
      </c>
      <c r="AN71" s="22">
        <f>SUMIF(tabParametros[Código do Posto],tabCustoUnit[[#This Row],[Código do Posto]],tabParametros[Incidência do FGTS sobre API e Reflexo do API])*tabCustoUnit[[#This Row],[MODULO 1 - REMUNERAÇÃO ]]</f>
        <v>0.31624218988425928</v>
      </c>
      <c r="AO71" s="22">
        <f>SUMIF(tabParametros[Código do Posto],tabCustoUnit[[#This Row],[Código do Posto]],tabParametros[Multa Rescisória do FGTS sobre o Aviso Prévio Indenizado])*tabCustoUnit[[#This Row],[MODULO 1 - REMUNERAÇÃO ]]</f>
        <v>0.12649687595370371</v>
      </c>
      <c r="AP71" s="22">
        <f>SUMIF(tabParametros[Código do Posto],tabCustoUnit[[#This Row],[Código do Posto]],tabParametros[Aviso Prévio Trabalhado - APT])*tabCustoUnit[[#This Row],[MODULO 1 - REMUNERAÇÃO ]]</f>
        <v>1.9731967500000003</v>
      </c>
      <c r="AQ71" s="22">
        <f>SUMIF(tabParametros[Código do Posto],tabCustoUnit[[#This Row],[Código do Posto]],tabParametros[Incidência dos encargos do submódulo 2.1 sobre Aviso Prévio Trabalhado])*tabCustoUnit[[#This Row],[MODULO 1 - REMUNERAÇÃO ]]</f>
        <v>0.74586837150000018</v>
      </c>
      <c r="AR71" s="22">
        <f>SUMIF(tabParametros[Código do Posto],tabCustoUnit[[#This Row],[Código do Posto]],tabParametros[Multa Rescisória do FGTS])*tabCustoUnit[[#This Row],[MODULO 1 - REMUNERAÇÃO ]]</f>
        <v>17.238849066666663</v>
      </c>
      <c r="AS71" s="22">
        <f>SUMIF(tabParametros[Código do Posto],tabCustoUnit[[#This Row],[Código do Posto]],tabParametros[Indenização Adicional (Art. 9º da Lei nº 7.238/84)])*tabCustoUnit[[#This Row],[MODULO 1 - REMUNERAÇÃO ]]</f>
        <v>0.46980875</v>
      </c>
      <c r="AT71" s="22">
        <f>SUM(tabCustoUnit[[#This Row],[Aviso Prévio Indenizado (API) e Reflexo do Aviso Prévio Indenizado]:[Indenização Adicional (Art. 9º da Lei nº 7.238/84)]])</f>
        <v>24.823489377557866</v>
      </c>
      <c r="AU71" s="22">
        <f>SUMIF(tabParametros[Código do Posto],tabCustoUnit[[#This Row],[Código do Posto]],tabParametros[Ausência por Doença])*tabCustoUnit[[#This Row],[MODULO 1 - REMUNERAÇÃO ]]</f>
        <v>4.7607286666666662</v>
      </c>
      <c r="AV71" s="22">
        <f>SUMIF(tabParametros[Código do Posto],tabCustoUnit[[#This Row],[Código do Posto]],tabParametros[Ausências Legais])*tabCustoUnit[[#This Row],[MODULO 1 - REMUNERAÇÃO ]]</f>
        <v>1.1432012916666665</v>
      </c>
      <c r="AW71" s="22">
        <f>SUMIF(tabParametros[Código do Posto],tabCustoUnit[[#This Row],[Código do Posto]],tabParametros[Licença Paternidade])*tabCustoUnit[[#This Row],[MODULO 1 - REMUNERAÇÃO ]]</f>
        <v>9.6310793749999998E-2</v>
      </c>
      <c r="AX71" s="22">
        <f>SUMIF(tabParametros[Código do Posto],tabCustoUnit[[#This Row],[Código do Posto]],tabParametros[Ausência por Acidente de Trabalho])*tabCustoUnit[[#This Row],[MODULO 1 - REMUNERAÇÃO ]]</f>
        <v>0.1174521875</v>
      </c>
      <c r="AY71" s="22">
        <f>SUMIF(tabParametros[Código do Posto],tabCustoUnit[[#This Row],[Código do Posto]],tabParametros[Férias, Adicional de Férias e 13º  com empregada em gozo de Licença Maternidade])*tabCustoUnit[[#This Row],[MODULO 1 - REMUNERAÇÃO ]]</f>
        <v>0.73081361111111109</v>
      </c>
      <c r="AZ71" s="22">
        <f>SUMIF(tabParametros[Código do Posto],tabCustoUnit[[#This Row],[Código do Posto]],tabParametros[Incidência do Submódulo 2.1 sobre Ausências Legais])*tabCustoUnit[[#This Row],[MODULO 1 - REMUNERAÇÃO ]]</f>
        <v>2.5887354761625003</v>
      </c>
      <c r="BA71" s="22">
        <f>SUM(tabCustoUnit[[#This Row],[Ausência por Doença]:[Incidência do Submódulo 2.1 sobre Ausências Legais]])</f>
        <v>9.4372420268569428</v>
      </c>
      <c r="BB71" s="22">
        <f>SUMIF(tabParametros[Código do Posto],tabCustoUnit[[#This Row],[Código do Posto]],tabParametros[Intervalo para Repouso ou Alimentação])</f>
        <v>0</v>
      </c>
      <c r="BC71" s="22">
        <f>tabCustoUnit[[#This Row],[Intervalo para Repouso ou Alimentação]]</f>
        <v>0</v>
      </c>
      <c r="BD71" s="22">
        <f>IF(VLOOKUP(tabCustoUnit[[#This Row],[Código do Posto]],PARAMETROS!$A$4:$BJ$255,7,0)&lt;=0,0,
IFERROR((tabCustoUnit[[#This Row],[MODULO 1 - REMUNERAÇÃO ]]*VLOOKUP(tabCustoUnit[[#This Row],[Código do Posto]],PARAMETROS!$A$4:$BJ$255,49,0))/(VLOOKUP(tabCustoUnit[[#This Row],[Código do Posto]],PARAMETROS!$A$4:$BJ$255,7,0)*VLOOKUP(tabCustoUnit[[#This Row],[Código do Posto]],PARAMETROS!$A$4:$BJ$255,8,0)),0)
)</f>
        <v>0</v>
      </c>
      <c r="BE71" s="22">
        <f>tabCustoUnit[[#This Row],[Suspensão Temporária do Contrato de Trabalho]]</f>
        <v>0</v>
      </c>
      <c r="BF71" s="22">
        <f>tabCustoUnit[[#This Row],[Submódulo 4.1]]+tabCustoUnit[[#This Row],[Submódulo 4.2]]+tabCustoUnit[[#This Row],[Submódulo 4.3]]</f>
        <v>9.4372420268569428</v>
      </c>
      <c r="BG71" s="22">
        <f>VLOOKUP(tabCustoUnit[[#This Row],[Código do Posto]],tabParametros[],MATCH(tabCustoUnit[[#Headers],[Uniformes e EPIs]],tabParametros[#Headers],0),0)</f>
        <v>62.806666666666665</v>
      </c>
      <c r="BH71" s="22">
        <f>VLOOKUP(tabCustoUnit[[#This Row],[Código do Posto]],tabParametros[],MATCH(tabCustoUnit[[#Headers],[Materiais de Consumo]],tabParametros[#Headers],0),0)</f>
        <v>12.108481690426325</v>
      </c>
      <c r="BI71" s="22">
        <f>VLOOKUP(tabCustoUnit[[#This Row],[Código do Posto]],tabParametros[],MATCH(tabCustoUnit[[#Headers],[Máquinas e Equipamentos (depreciação)]],tabParametros[#Headers],0),0)</f>
        <v>21.998657016417809</v>
      </c>
      <c r="BJ71" s="22">
        <f>VLOOKUP(tabCustoUnit[[#This Row],[Código do Posto]],tabParametros[],MATCH(tabCustoUnit[[#Headers],[Produtos de Limpeza e Materiais de Higiene Pessoal]],tabParametros[#Headers],0),0)</f>
        <v>235.31984072022155</v>
      </c>
      <c r="BK71" s="22">
        <f>VLOOKUP(tabCustoUnit[[#This Row],[Código do Posto]],tabParametros[],MATCH(tabCustoUnit[[#Headers],[Outros (especificar)]],tabParametros[#Headers],0),0)</f>
        <v>0</v>
      </c>
      <c r="BL71" s="22">
        <f>SUM(tabCustoUnit[[#This Row],[Uniformes e EPIs]:[Outros (especificar)]])</f>
        <v>332.23364609373232</v>
      </c>
      <c r="BM71" s="22">
        <f>tabCustoUnit[[#This Row],[MODULO 1 - REMUNERAÇÃO ]]+tabCustoUnit[[#This Row],[MÓDULO 2 - Total Encargos e Benefícios mensais e diários]]+tabCustoUnit[[#This Row],[MÓDULO 3 – PROVISÃO PARA RESCISÃO]]+tabCustoUnit[[#This Row],[MÓDULO 4 – CUSTO DE REPOSIÇÃO DO PROFISSIONAL AUSENTE]]+tabCustoUnit[[#This Row],[MÓDULO 5 – INSUMOS DIVERSOS]]</f>
        <v>2103.1384999148136</v>
      </c>
      <c r="BN71" s="22">
        <f>VLOOKUP(tabCustoUnit[[#This Row],[Código do Posto]],tabParametros[],MATCH(tabCustoUnit[[#Headers],[Custos Indiretos]],tabParametros[#Headers],0),0)</f>
        <v>189.64880140242613</v>
      </c>
      <c r="BO71" s="22">
        <f>VLOOKUP(tabCustoUnit[[#This Row],[Código do Posto]],tabParametros[],MATCH(tabCustoUnit[[#Headers],[Lucro]],tabParametros[#Headers],0),0)</f>
        <v>159.30499317803796</v>
      </c>
      <c r="BP71" s="26">
        <f>((100/((1-tabCustoUnit[[#This Row],[Resumo de Alíquotas (PIS+CONFINS+ISS)]]))-100)*VLOOKUP(tabCustoUnit[[#This Row],[Código do Posto]],tabParametros[],MATCH(tabCustoUnit[[#Headers],[COFINS]],tabParametros[#Headers],0),0))/(tabCustoUnit[[#This Row],[Resumo de Alíquotas (PIS+CONFINS+ISS)]]*100)</f>
        <v>8.5633802816901458E-2</v>
      </c>
      <c r="BQ71" s="26">
        <f>((100/((100-(tabCustoUnit[[#This Row],[Resumo de Alíquotas (PIS+CONFINS+ISS)]]*100))%)-100)*VLOOKUP(tabCustoUnit[[#This Row],[Código do Posto]],tabParametros[],MATCH(tabCustoUnit[[#Headers],[PIS]],tabParametros[#Headers],0),0))/(tabCustoUnit[[#This Row],[Resumo de Alíquotas (PIS+CONFINS+ISS)]]*100)</f>
        <v>1.8591549295774657E-2</v>
      </c>
      <c r="BR71" s="28">
        <f>VLOOKUP(tabCustoUnit[[#This Row],[Código do Posto]],tabParametros[],MATCH(tabCustoUnit[[#Headers],[ISS]],tabParametros[#Headers],0),0)</f>
        <v>0.02</v>
      </c>
      <c r="BS71" s="26">
        <f>(((100/((100-(tabCustoUnit[[#This Row],[Resumo de Alíquotas (PIS+CONFINS+ISS)]]*100))%)-100)*tabCustoUnit[[#This Row],[ISS]])/tabCustoUnit[[#This Row],[Resumo de Alíquotas (PIS+CONFINS+ISS)]])/100</f>
        <v>2.2535211267605645E-2</v>
      </c>
      <c r="BT71" s="26">
        <f>(VLOOKUP(tabCustoUnit[[#This Row],[Código do Posto]],tabParametros[],MATCH(tabCustoUnit[[#Headers],[COFINS]],tabParametros[#Headers],0),0)+
VLOOKUP(tabCustoUnit[[#This Row],[Código do Posto]],tabParametros[],MATCH(tabCustoUnit[[#Headers],[PIS]],tabParametros[#Headers],0),0)+
VLOOKUP(tabCustoUnit[[#This Row],[Código do Posto]],tabParametros[],MATCH(tabCustoUnit[[#Headers],[ISS]],tabParametros[#Headers],0),0))</f>
        <v>0.1125</v>
      </c>
      <c r="BU71" s="138">
        <f>tabCustoUnit[[#This Row],[COFINS]]+tabCustoUnit[[#This Row],[PIS]]+tabCustoUnit[[#This Row],[ISS (Conversão Alíquota s/ fatura)]]</f>
        <v>0.12676056338028174</v>
      </c>
      <c r="BV71" s="22">
        <f>(tabCustoUnit[[#This Row],[TOTAL MÓDULOS 1+2+3+4+5]]+tabCustoUnit[[#This Row],[Custos Indiretos]]+tabCustoUnit[[#This Row],[Lucro]])*tabCustoUnit[[#This Row],[PIS + COFINS + ISS (Total Conversão  Alíquota s/ Fatura)]]</f>
        <v>310.82860071066915</v>
      </c>
      <c r="BW71" s="22">
        <f>tabCustoUnit[[#This Row],[Custos Indiretos]]+tabCustoUnit[[#This Row],[Lucro]]+tabCustoUnit[[#This Row],[Valor dos Tributos (ISS, PIS, CONFINS)]]</f>
        <v>659.7823952911333</v>
      </c>
      <c r="BX71" s="22">
        <f>tabCustoUnit[[#This Row],[TOTAL MÓDULOS 1+2+3+4+5]]+tabCustoUnit[[#This Row],[MÓDULO 6 – CUSTOS INDIRETOS, TRIBUTOS E LUCRO]]</f>
        <v>2762.9208952059471</v>
      </c>
      <c r="BY71" s="22">
        <f>tabCustoUnit[[#This Row],[CUSTO TOTAL MENSAL]]*12</f>
        <v>33155.050742471365</v>
      </c>
      <c r="BZ71" s="24">
        <f>VLOOKUP(tabCustoUnit[[#This Row],[Código do Posto]],tabParametros[],MATCH(tabCustoUnit[[#Headers],[ANO DA CCT]],tabParametros[#Headers],0),0)</f>
        <v>45658</v>
      </c>
      <c r="CA71" s="25" t="str">
        <f>VLOOKUP(tabCustoUnit[[#This Row],[Código do Posto]],tabParametros[],MATCH(tabCustoUnit[[#Headers],[Nº DE PEDIDO DA CCT]],tabParametros[#Headers],0),0)</f>
        <v>-</v>
      </c>
      <c r="CB71" s="25" t="str">
        <f>VLOOKUP(tabCustoUnit[[#This Row],[Código do Posto]],tabParametros[],MATCH(tabCustoUnit[[#Headers],[TERMO ADITIVO ALTERAÇÃO DA CCT]],tabParametros[#Headers],0),0)</f>
        <v>-</v>
      </c>
    </row>
    <row r="72" spans="1:80" x14ac:dyDescent="0.25">
      <c r="A72" s="20" t="s">
        <v>1412</v>
      </c>
      <c r="B72" t="s">
        <v>70</v>
      </c>
      <c r="C72" t="s">
        <v>1244</v>
      </c>
      <c r="D72" t="s">
        <v>81</v>
      </c>
      <c r="E72" s="20" t="s">
        <v>9</v>
      </c>
      <c r="F72" s="20" t="s">
        <v>10</v>
      </c>
      <c r="G72" s="21">
        <v>798.14</v>
      </c>
      <c r="H72" s="21">
        <v>0</v>
      </c>
      <c r="I72" s="21">
        <v>0</v>
      </c>
      <c r="J72" s="21">
        <v>0</v>
      </c>
      <c r="K72" s="21">
        <v>0</v>
      </c>
      <c r="L72" s="21">
        <v>0</v>
      </c>
      <c r="M72" s="21">
        <v>0</v>
      </c>
      <c r="N72" s="21">
        <v>26.120899999999999</v>
      </c>
      <c r="O72" s="21">
        <f>SUM(tabCustoUnit[[#This Row],[Salário Base]:[Adicional de Acúmulo de função]])</f>
        <v>824.26089999999999</v>
      </c>
      <c r="P72" s="21">
        <f>tabCustoUnit[[#This Row],[MODULO 1 - REMUNERAÇÃO ]]*SUMIFS(tabParametros[INSS],tabParametros[Código do Posto],tabCustoUnit[[#This Row],[Código do Posto]])</f>
        <v>164.85218</v>
      </c>
      <c r="Q72" s="21">
        <f>tabCustoUnit[[#This Row],[MODULO 1 - REMUNERAÇÃO ]]*SUMIFS(tabParametros[SESI OU SESC],tabParametros[Código do Posto],tabCustoUnit[[#This Row],[Código do Posto]])</f>
        <v>12.363913499999999</v>
      </c>
      <c r="R72" s="21">
        <f>tabCustoUnit[[#This Row],[MODULO 1 - REMUNERAÇÃO ]]*SUMIFS(tabParametros[SENAI OU SENAC],tabParametros[Código do Posto],tabCustoUnit[[#This Row],[Código do Posto]])</f>
        <v>8.2426089999999999</v>
      </c>
      <c r="S72" s="21">
        <f>tabCustoUnit[[#This Row],[MODULO 1 - REMUNERAÇÃO ]]*SUMIFS(tabParametros[INCRA],tabParametros[Código do Posto],tabCustoUnit[[#This Row],[Código do Posto]])</f>
        <v>1.6485217999999999</v>
      </c>
      <c r="T72" s="21">
        <f>tabCustoUnit[[#This Row],[MODULO 1 - REMUNERAÇÃO ]]*SUMIFS(tabParametros[Salário Educação],tabParametros[Código do Posto],tabCustoUnit[[#This Row],[Código do Posto]])</f>
        <v>20.606522500000001</v>
      </c>
      <c r="U72" s="21">
        <f>tabCustoUnit[[#This Row],[MODULO 1 - REMUNERAÇÃO ]]*SUMIFS(tabParametros[FGTS],tabParametros[Código do Posto],tabCustoUnit[[#This Row],[Código do Posto]])</f>
        <v>65.940871999999999</v>
      </c>
      <c r="V72" s="21">
        <f>tabCustoUnit[[#This Row],[MODULO 1 - REMUNERAÇÃO ]]*SUMIFS(tabParametros[RAT Ajustado],tabParametros[Código do Posto],tabCustoUnit[[#This Row],[Código do Posto]])</f>
        <v>32.970435999999999</v>
      </c>
      <c r="W72" s="21">
        <f>tabCustoUnit[[#This Row],[MODULO 1 - REMUNERAÇÃO ]]*SUMIFS(tabParametros[SEBRAE],tabParametros[Código do Posto],tabCustoUnit[[#This Row],[Código do Posto]])</f>
        <v>4.9455654000000004</v>
      </c>
      <c r="X72" s="21">
        <f>SUM(tabCustoUnit[[#This Row],[INSS]:[SEBRAE]])</f>
        <v>311.57062020000001</v>
      </c>
      <c r="Y72" s="21">
        <f>tabCustoUnit[[#This Row],[MODULO 1 - REMUNERAÇÃO ]]*SUMIFS(tabParametros[13º salário (titular)],tabParametros[Código do Posto],tabCustoUnit[[#This Row],[Código do Posto]])</f>
        <v>68.688408333333328</v>
      </c>
      <c r="Z72" s="21">
        <f>tabCustoUnit[[#This Row],[MODULO 1 - REMUNERAÇÃO ]]*SUMIFS(tabParametros[Férias e Adicional de Férias (titular)],tabParametros[Código do Posto],tabCustoUnit[[#This Row],[Código do Posto]])</f>
        <v>91.584544444444433</v>
      </c>
      <c r="AA72" s="21">
        <f>IFERROR((tabCustoUnit[[#This Row],[Submódulo 2.1]]/tabCustoUnit[[#This Row],[MODULO 1 - REMUNERAÇÃO ]])*SUM(tabCustoUnit[[#This Row],[13º salário (titular)]:[Férias e Adicional de Férias (titular)]]),0)</f>
        <v>60.583176149999993</v>
      </c>
      <c r="AB72" s="21">
        <f>SUM(tabCustoUnit[[#This Row],[13º salário (titular)]:[Incidência do Submódulo 2.1 sobre 13º Salário, Férias e Adicional de Férias]])</f>
        <v>220.85612892777775</v>
      </c>
      <c r="AC72" s="22">
        <f>_xlfn.LET(_xlpm.VT,SUMIF(tabParametros[Código do Posto],tabCustoUnit[[#This Row],[Código do Posto]],tabParametros[Vale - Transporte])*2*20,
IF((_xlpm.VT-tabCustoUnit[[#This Row],[Salário Base]]*0.06)&gt;=0,(_xlpm.VT-tabCustoUnit[[#This Row],[Salário Base]]*0.06),0)
)</f>
        <v>208.11160000000001</v>
      </c>
      <c r="AD72" s="22">
        <f>IF(SUMIF(tabParametros[Código do Posto],tabCustoUnit[[#This Row],[Código do Posto]],tabParametros[Vale - Alimentação])&lt;=0,0,
SUMIF(tabParametros[Código do Posto],tabCustoUnit[[#This Row],[Código do Posto]],tabParametros[Vale - Alimentação])*20-1)</f>
        <v>582</v>
      </c>
      <c r="AE72" s="22">
        <f>SUMIF(tabParametros[Código do Posto],tabCustoUnit[[#This Row],[Código do Posto]],tabParametros[Cesta Básica])</f>
        <v>0</v>
      </c>
      <c r="AF72" s="22">
        <f>SUMIF(tabParametros[Código do Posto],tabCustoUnit[[#This Row],[Código do Posto]],tabParametros[PAF])</f>
        <v>51.74</v>
      </c>
      <c r="AG72" s="22">
        <f>SUMIF(tabParametros[Código do Posto],tabCustoUnit[[#This Row],[Código do Posto]],tabParametros[PQM])</f>
        <v>0</v>
      </c>
      <c r="AH72" s="22">
        <f>SUMIF(tabParametros[Código do Posto],tabCustoUnit[[#This Row],[Código do Posto]],tabParametros[PAT])</f>
        <v>0</v>
      </c>
      <c r="AI72" s="22">
        <f>SUMIF(tabParametros[Código do Posto],tabCustoUnit[[#This Row],[Código do Posto]],tabParametros[Seguro de Vida])</f>
        <v>3.36</v>
      </c>
      <c r="AJ72" s="22">
        <f>SUMIF(tabParametros[Código do Posto],tabCustoUnit[[#This Row],[Código do Posto]],tabParametros[Despesas de Viagem])</f>
        <v>0</v>
      </c>
      <c r="AK72" s="22">
        <f>SUM(tabCustoUnit[[#This Row],[Vale - Transporte (Descontada parcela do empregado)]:[Despesas de Viagem]])</f>
        <v>845.21159999999998</v>
      </c>
      <c r="AL72" s="22">
        <f>tabCustoUnit[[#This Row],[Submódulo 2.1]]+tabCustoUnit[[#This Row],[Submódulo 2.2]]+tabCustoUnit[[#This Row],[Submódulo 2.3]]</f>
        <v>1377.6383491277777</v>
      </c>
      <c r="AM72" s="22">
        <f>SUMIF(tabParametros[Código do Posto],tabCustoUnit[[#This Row],[Código do Posto]],tabParametros[Aviso Prévio Indenizado (API) e Reflexo do Aviso Prévio Indenizado])*tabCustoUnit[[#This Row],[MODULO 1 - REMUNERAÇÃO ]]</f>
        <v>5.7795253576581791</v>
      </c>
      <c r="AN72" s="22">
        <f>SUMIF(tabParametros[Código do Posto],tabCustoUnit[[#This Row],[Código do Posto]],tabParametros[Incidência do FGTS sobre API e Reflexo do API])*tabCustoUnit[[#This Row],[MODULO 1 - REMUNERAÇÃO ]]</f>
        <v>0.46236202861265435</v>
      </c>
      <c r="AO72" s="22">
        <f>SUMIF(tabParametros[Código do Posto],tabCustoUnit[[#This Row],[Código do Posto]],tabParametros[Multa Rescisória do FGTS sobre o Aviso Prévio Indenizado])*tabCustoUnit[[#This Row],[MODULO 1 - REMUNERAÇÃO ]]</f>
        <v>0.18494481144506175</v>
      </c>
      <c r="AP72" s="22">
        <f>SUMIF(tabParametros[Código do Posto],tabCustoUnit[[#This Row],[Código do Posto]],tabParametros[Aviso Prévio Trabalhado - APT])*tabCustoUnit[[#This Row],[MODULO 1 - REMUNERAÇÃO ]]</f>
        <v>2.8849131500000005</v>
      </c>
      <c r="AQ72" s="22">
        <f>SUMIF(tabParametros[Código do Posto],tabCustoUnit[[#This Row],[Código do Posto]],tabParametros[Incidência dos encargos do submódulo 2.1 sobre Aviso Prévio Trabalhado])*tabCustoUnit[[#This Row],[MODULO 1 - REMUNERAÇÃO ]]</f>
        <v>1.0904971707000004</v>
      </c>
      <c r="AR72" s="22">
        <f>SUMIF(tabParametros[Código do Posto],tabCustoUnit[[#This Row],[Código do Posto]],tabParametros[Multa Rescisória do FGTS])*tabCustoUnit[[#This Row],[MODULO 1 - REMUNERAÇÃO ]]</f>
        <v>25.204066631111107</v>
      </c>
      <c r="AS72" s="22">
        <f>SUMIF(tabParametros[Código do Posto],tabCustoUnit[[#This Row],[Código do Posto]],tabParametros[Indenização Adicional (Art. 9º da Lei nº 7.238/84)])*tabCustoUnit[[#This Row],[MODULO 1 - REMUNERAÇÃO ]]</f>
        <v>0.6868840833333334</v>
      </c>
      <c r="AT72" s="22">
        <f>SUM(tabCustoUnit[[#This Row],[Aviso Prévio Indenizado (API) e Reflexo do Aviso Prévio Indenizado]:[Indenização Adicional (Art. 9º da Lei nº 7.238/84)]])</f>
        <v>36.293193232860339</v>
      </c>
      <c r="AU72" s="22">
        <f>SUMIF(tabParametros[Código do Posto],tabCustoUnit[[#This Row],[Código do Posto]],tabParametros[Ausência por Doença])*tabCustoUnit[[#This Row],[MODULO 1 - REMUNERAÇÃO ]]</f>
        <v>6.9604253777777769</v>
      </c>
      <c r="AV72" s="22">
        <f>SUMIF(tabParametros[Código do Posto],tabCustoUnit[[#This Row],[Código do Posto]],tabParametros[Ausências Legais])*tabCustoUnit[[#This Row],[MODULO 1 - REMUNERAÇÃO ]]</f>
        <v>1.671417936111111</v>
      </c>
      <c r="AW72" s="22">
        <f>SUMIF(tabParametros[Código do Posto],tabCustoUnit[[#This Row],[Código do Posto]],tabParametros[Licença Paternidade])*tabCustoUnit[[#This Row],[MODULO 1 - REMUNERAÇÃO ]]</f>
        <v>0.14081123708333332</v>
      </c>
      <c r="AX72" s="22">
        <f>SUMIF(tabParametros[Código do Posto],tabCustoUnit[[#This Row],[Código do Posto]],tabParametros[Ausência por Acidente de Trabalho])*tabCustoUnit[[#This Row],[MODULO 1 - REMUNERAÇÃO ]]</f>
        <v>0.17172102083333335</v>
      </c>
      <c r="AY72" s="22">
        <f>SUMIF(tabParametros[Código do Posto],tabCustoUnit[[#This Row],[Código do Posto]],tabParametros[Férias, Adicional de Férias e 13º  com empregada em gozo de Licença Maternidade])*tabCustoUnit[[#This Row],[MODULO 1 - REMUNERAÇÃO ]]</f>
        <v>1.0684863518518517</v>
      </c>
      <c r="AZ72" s="22">
        <f>SUMIF(tabParametros[Código do Posto],tabCustoUnit[[#This Row],[Código do Posto]],tabParametros[Incidência do Submódulo 2.1 sobre Ausências Legais])*tabCustoUnit[[#This Row],[MODULO 1 - REMUNERAÇÃO ]]</f>
        <v>3.7848618071425006</v>
      </c>
      <c r="BA72" s="22">
        <f>SUM(tabCustoUnit[[#This Row],[Ausência por Doença]:[Incidência do Submódulo 2.1 sobre Ausências Legais]])</f>
        <v>13.797723730799909</v>
      </c>
      <c r="BB72" s="22">
        <f>SUMIF(tabParametros[Código do Posto],tabCustoUnit[[#This Row],[Código do Posto]],tabParametros[Intervalo para Repouso ou Alimentação])</f>
        <v>0</v>
      </c>
      <c r="BC72" s="22">
        <f>tabCustoUnit[[#This Row],[Intervalo para Repouso ou Alimentação]]</f>
        <v>0</v>
      </c>
      <c r="BD72" s="22">
        <f>IF(VLOOKUP(tabCustoUnit[[#This Row],[Código do Posto]],PARAMETROS!$A$4:$BJ$255,7,0)&lt;=0,0,
IFERROR((tabCustoUnit[[#This Row],[MODULO 1 - REMUNERAÇÃO ]]*VLOOKUP(tabCustoUnit[[#This Row],[Código do Posto]],PARAMETROS!$A$4:$BJ$255,49,0))/(VLOOKUP(tabCustoUnit[[#This Row],[Código do Posto]],PARAMETROS!$A$4:$BJ$255,7,0)*VLOOKUP(tabCustoUnit[[#This Row],[Código do Posto]],PARAMETROS!$A$4:$BJ$255,8,0)),0)
)</f>
        <v>0</v>
      </c>
      <c r="BE72" s="22">
        <f>tabCustoUnit[[#This Row],[Suspensão Temporária do Contrato de Trabalho]]</f>
        <v>0</v>
      </c>
      <c r="BF72" s="22">
        <f>tabCustoUnit[[#This Row],[Submódulo 4.1]]+tabCustoUnit[[#This Row],[Submódulo 4.2]]+tabCustoUnit[[#This Row],[Submódulo 4.3]]</f>
        <v>13.797723730799909</v>
      </c>
      <c r="BG72" s="22">
        <f>VLOOKUP(tabCustoUnit[[#This Row],[Código do Posto]],tabParametros[],MATCH(tabCustoUnit[[#Headers],[Uniformes e EPIs]],tabParametros[#Headers],0),0)</f>
        <v>62.806666666666665</v>
      </c>
      <c r="BH72" s="22">
        <f>VLOOKUP(tabCustoUnit[[#This Row],[Código do Posto]],tabParametros[],MATCH(tabCustoUnit[[#Headers],[Materiais de Consumo]],tabParametros[#Headers],0),0)</f>
        <v>17.759106479291944</v>
      </c>
      <c r="BI72" s="22">
        <f>VLOOKUP(tabCustoUnit[[#This Row],[Código do Posto]],tabParametros[],MATCH(tabCustoUnit[[#Headers],[Máquinas e Equipamentos (depreciação)]],tabParametros[#Headers],0),0)</f>
        <v>32.264696957412788</v>
      </c>
      <c r="BJ72" s="22">
        <f>VLOOKUP(tabCustoUnit[[#This Row],[Código do Posto]],tabParametros[],MATCH(tabCustoUnit[[#Headers],[Produtos de Limpeza e Materiais de Higiene Pessoal]],tabParametros[#Headers],0),0)</f>
        <v>345.13576638965827</v>
      </c>
      <c r="BK72" s="22">
        <f>VLOOKUP(tabCustoUnit[[#This Row],[Código do Posto]],tabParametros[],MATCH(tabCustoUnit[[#Headers],[Outros (especificar)]],tabParametros[#Headers],0),0)</f>
        <v>0</v>
      </c>
      <c r="BL72" s="22">
        <f>SUM(tabCustoUnit[[#This Row],[Uniformes e EPIs]:[Outros (especificar)]])</f>
        <v>457.96623649302967</v>
      </c>
      <c r="BM72" s="22">
        <f>tabCustoUnit[[#This Row],[MODULO 1 - REMUNERAÇÃO ]]+tabCustoUnit[[#This Row],[MÓDULO 2 - Total Encargos e Benefícios mensais e diários]]+tabCustoUnit[[#This Row],[MÓDULO 3 – PROVISÃO PARA RESCISÃO]]+tabCustoUnit[[#This Row],[MÓDULO 4 – CUSTO DE REPOSIÇÃO DO PROFISSIONAL AUSENTE]]+tabCustoUnit[[#This Row],[MÓDULO 5 – INSUMOS DIVERSOS]]</f>
        <v>2709.9564025844675</v>
      </c>
      <c r="BN72" s="22">
        <f>VLOOKUP(tabCustoUnit[[#This Row],[Código do Posto]],tabParametros[],MATCH(tabCustoUnit[[#Headers],[Custos Indiretos]],tabParametros[#Headers],0),0)</f>
        <v>189.64880140242613</v>
      </c>
      <c r="BO72" s="22">
        <f>VLOOKUP(tabCustoUnit[[#This Row],[Código do Posto]],tabParametros[],MATCH(tabCustoUnit[[#Headers],[Lucro]],tabParametros[#Headers],0),0)</f>
        <v>159.30499317803796</v>
      </c>
      <c r="BP72" s="26">
        <f>((100/((1-tabCustoUnit[[#This Row],[Resumo de Alíquotas (PIS+CONFINS+ISS)]]))-100)*VLOOKUP(tabCustoUnit[[#This Row],[Código do Posto]],tabParametros[],MATCH(tabCustoUnit[[#Headers],[COFINS]],tabParametros[#Headers],0),0))/(tabCustoUnit[[#This Row],[Resumo de Alíquotas (PIS+CONFINS+ISS)]]*100)</f>
        <v>8.6609686609686695E-2</v>
      </c>
      <c r="BQ72" s="26">
        <f>((100/((100-(tabCustoUnit[[#This Row],[Resumo de Alíquotas (PIS+CONFINS+ISS)]]*100))%)-100)*VLOOKUP(tabCustoUnit[[#This Row],[Código do Posto]],tabParametros[],MATCH(tabCustoUnit[[#Headers],[PIS]],tabParametros[#Headers],0),0))/(tabCustoUnit[[#This Row],[Resumo de Alíquotas (PIS+CONFINS+ISS)]]*100)</f>
        <v>1.880341880341882E-2</v>
      </c>
      <c r="BR72" s="28">
        <f>VLOOKUP(tabCustoUnit[[#This Row],[Código do Posto]],tabParametros[],MATCH(tabCustoUnit[[#Headers],[ISS]],tabParametros[#Headers],0),0)</f>
        <v>0.03</v>
      </c>
      <c r="BS72" s="26">
        <f>(((100/((100-(tabCustoUnit[[#This Row],[Resumo de Alíquotas (PIS+CONFINS+ISS)]]*100))%)-100)*tabCustoUnit[[#This Row],[ISS]])/tabCustoUnit[[#This Row],[Resumo de Alíquotas (PIS+CONFINS+ISS)]])/100</f>
        <v>3.4188034188034219E-2</v>
      </c>
      <c r="BT72" s="26">
        <f>(VLOOKUP(tabCustoUnit[[#This Row],[Código do Posto]],tabParametros[],MATCH(tabCustoUnit[[#Headers],[COFINS]],tabParametros[#Headers],0),0)+
VLOOKUP(tabCustoUnit[[#This Row],[Código do Posto]],tabParametros[],MATCH(tabCustoUnit[[#Headers],[PIS]],tabParametros[#Headers],0),0)+
VLOOKUP(tabCustoUnit[[#This Row],[Código do Posto]],tabParametros[],MATCH(tabCustoUnit[[#Headers],[ISS]],tabParametros[#Headers],0),0))</f>
        <v>0.1225</v>
      </c>
      <c r="BU72" s="138">
        <f>tabCustoUnit[[#This Row],[COFINS]]+tabCustoUnit[[#This Row],[PIS]]+tabCustoUnit[[#This Row],[ISS (Conversão Alíquota s/ fatura)]]</f>
        <v>0.13960113960113973</v>
      </c>
      <c r="BV72" s="22">
        <f>(tabCustoUnit[[#This Row],[TOTAL MÓDULOS 1+2+3+4+5]]+tabCustoUnit[[#This Row],[Custos Indiretos]]+tabCustoUnit[[#This Row],[Lucro]])*tabCustoUnit[[#This Row],[PIS + COFINS + ISS (Total Conversão  Alíquota s/ Fatura)]]</f>
        <v>427.02734946177151</v>
      </c>
      <c r="BW72" s="22">
        <f>tabCustoUnit[[#This Row],[Custos Indiretos]]+tabCustoUnit[[#This Row],[Lucro]]+tabCustoUnit[[#This Row],[Valor dos Tributos (ISS, PIS, CONFINS)]]</f>
        <v>775.98114404223566</v>
      </c>
      <c r="BX72" s="22">
        <f>tabCustoUnit[[#This Row],[TOTAL MÓDULOS 1+2+3+4+5]]+tabCustoUnit[[#This Row],[MÓDULO 6 – CUSTOS INDIRETOS, TRIBUTOS E LUCRO]]</f>
        <v>3485.9375466267029</v>
      </c>
      <c r="BY72" s="22">
        <f>tabCustoUnit[[#This Row],[CUSTO TOTAL MENSAL]]*12</f>
        <v>41831.250559520435</v>
      </c>
      <c r="BZ72" s="24">
        <f>VLOOKUP(tabCustoUnit[[#This Row],[Código do Posto]],tabParametros[],MATCH(tabCustoUnit[[#Headers],[ANO DA CCT]],tabParametros[#Headers],0),0)</f>
        <v>45658</v>
      </c>
      <c r="CA72" s="25" t="str">
        <f>VLOOKUP(tabCustoUnit[[#This Row],[Código do Posto]],tabParametros[],MATCH(tabCustoUnit[[#Headers],[Nº DE PEDIDO DA CCT]],tabParametros[#Headers],0),0)</f>
        <v>-</v>
      </c>
      <c r="CB72" s="25" t="str">
        <f>VLOOKUP(tabCustoUnit[[#This Row],[Código do Posto]],tabParametros[],MATCH(tabCustoUnit[[#Headers],[TERMO ADITIVO ALTERAÇÃO DA CCT]],tabParametros[#Headers],0),0)</f>
        <v>-</v>
      </c>
    </row>
    <row r="73" spans="1:80" x14ac:dyDescent="0.25">
      <c r="A73" s="20" t="s">
        <v>1413</v>
      </c>
      <c r="B73" t="s">
        <v>71</v>
      </c>
      <c r="C73" t="s">
        <v>1245</v>
      </c>
      <c r="D73" t="s">
        <v>1020</v>
      </c>
      <c r="E73" s="20" t="s">
        <v>9</v>
      </c>
      <c r="F73" s="20" t="s">
        <v>10</v>
      </c>
      <c r="G73" s="21">
        <v>1596.28</v>
      </c>
      <c r="H73" s="21">
        <v>0</v>
      </c>
      <c r="I73" s="21">
        <v>0</v>
      </c>
      <c r="J73" s="21">
        <v>0</v>
      </c>
      <c r="K73" s="21">
        <v>0</v>
      </c>
      <c r="L73" s="21">
        <v>0</v>
      </c>
      <c r="M73" s="21">
        <v>0</v>
      </c>
      <c r="N73" s="21">
        <v>52.241900000000001</v>
      </c>
      <c r="O73" s="21">
        <f>SUM(tabCustoUnit[[#This Row],[Salário Base]:[Adicional de Acúmulo de função]])</f>
        <v>1648.5219</v>
      </c>
      <c r="P73" s="21">
        <f>tabCustoUnit[[#This Row],[MODULO 1 - REMUNERAÇÃO ]]*SUMIFS(tabParametros[INSS],tabParametros[Código do Posto],tabCustoUnit[[#This Row],[Código do Posto]])</f>
        <v>329.70438000000001</v>
      </c>
      <c r="Q73" s="21">
        <f>tabCustoUnit[[#This Row],[MODULO 1 - REMUNERAÇÃO ]]*SUMIFS(tabParametros[SESI OU SESC],tabParametros[Código do Posto],tabCustoUnit[[#This Row],[Código do Posto]])</f>
        <v>24.727828499999998</v>
      </c>
      <c r="R73" s="21">
        <f>tabCustoUnit[[#This Row],[MODULO 1 - REMUNERAÇÃO ]]*SUMIFS(tabParametros[SENAI OU SENAC],tabParametros[Código do Posto],tabCustoUnit[[#This Row],[Código do Posto]])</f>
        <v>16.485219000000001</v>
      </c>
      <c r="S73" s="21">
        <f>tabCustoUnit[[#This Row],[MODULO 1 - REMUNERAÇÃO ]]*SUMIFS(tabParametros[INCRA],tabParametros[Código do Posto],tabCustoUnit[[#This Row],[Código do Posto]])</f>
        <v>3.2970438</v>
      </c>
      <c r="T73" s="21">
        <f>tabCustoUnit[[#This Row],[MODULO 1 - REMUNERAÇÃO ]]*SUMIFS(tabParametros[Salário Educação],tabParametros[Código do Posto],tabCustoUnit[[#This Row],[Código do Posto]])</f>
        <v>41.213047500000002</v>
      </c>
      <c r="U73" s="21">
        <f>tabCustoUnit[[#This Row],[MODULO 1 - REMUNERAÇÃO ]]*SUMIFS(tabParametros[FGTS],tabParametros[Código do Posto],tabCustoUnit[[#This Row],[Código do Posto]])</f>
        <v>131.88175200000001</v>
      </c>
      <c r="V73" s="21">
        <f>tabCustoUnit[[#This Row],[MODULO 1 - REMUNERAÇÃO ]]*SUMIFS(tabParametros[RAT Ajustado],tabParametros[Código do Posto],tabCustoUnit[[#This Row],[Código do Posto]])</f>
        <v>65.940876000000003</v>
      </c>
      <c r="W73" s="21">
        <f>tabCustoUnit[[#This Row],[MODULO 1 - REMUNERAÇÃO ]]*SUMIFS(tabParametros[SEBRAE],tabParametros[Código do Posto],tabCustoUnit[[#This Row],[Código do Posto]])</f>
        <v>9.8911314000000008</v>
      </c>
      <c r="X73" s="21">
        <f>SUM(tabCustoUnit[[#This Row],[INSS]:[SEBRAE]])</f>
        <v>623.14127819999999</v>
      </c>
      <c r="Y73" s="21">
        <f>tabCustoUnit[[#This Row],[MODULO 1 - REMUNERAÇÃO ]]*SUMIFS(tabParametros[13º salário (titular)],tabParametros[Código do Posto],tabCustoUnit[[#This Row],[Código do Posto]])</f>
        <v>137.376825</v>
      </c>
      <c r="Z73" s="21">
        <f>tabCustoUnit[[#This Row],[MODULO 1 - REMUNERAÇÃO ]]*SUMIFS(tabParametros[Férias e Adicional de Férias (titular)],tabParametros[Código do Posto],tabCustoUnit[[#This Row],[Código do Posto]])</f>
        <v>183.16909999999999</v>
      </c>
      <c r="AA73" s="21">
        <f>IFERROR((tabCustoUnit[[#This Row],[Submódulo 2.1]]/tabCustoUnit[[#This Row],[MODULO 1 - REMUNERAÇÃO ]])*SUM(tabCustoUnit[[#This Row],[13º salário (titular)]:[Férias e Adicional de Férias (titular)]]),0)</f>
        <v>121.16635965</v>
      </c>
      <c r="AB73" s="21">
        <f>SUM(tabCustoUnit[[#This Row],[13º salário (titular)]:[Incidência do Submódulo 2.1 sobre 13º Salário, Férias e Adicional de Férias]])</f>
        <v>441.71228465000002</v>
      </c>
      <c r="AC73" s="22">
        <f>_xlfn.LET(_xlpm.VT,SUMIF(tabParametros[Código do Posto],tabCustoUnit[[#This Row],[Código do Posto]],tabParametros[Vale - Transporte])*2*20,
IF((_xlpm.VT-tabCustoUnit[[#This Row],[Salário Base]]*0.06)&gt;=0,(_xlpm.VT-tabCustoUnit[[#This Row],[Salário Base]]*0.06),0)
)</f>
        <v>160.22320000000002</v>
      </c>
      <c r="AD73" s="22">
        <f>IF(SUMIF(tabParametros[Código do Posto],tabCustoUnit[[#This Row],[Código do Posto]],tabParametros[Vale - Alimentação])&lt;=0,0,
SUMIF(tabParametros[Código do Posto],tabCustoUnit[[#This Row],[Código do Posto]],tabParametros[Vale - Alimentação])*20-1)</f>
        <v>582</v>
      </c>
      <c r="AE73" s="22">
        <f>SUMIF(tabParametros[Código do Posto],tabCustoUnit[[#This Row],[Código do Posto]],tabParametros[Cesta Básica])</f>
        <v>0</v>
      </c>
      <c r="AF73" s="22">
        <f>SUMIF(tabParametros[Código do Posto],tabCustoUnit[[#This Row],[Código do Posto]],tabParametros[PAF])</f>
        <v>51.87</v>
      </c>
      <c r="AG73" s="22">
        <f>SUMIF(tabParametros[Código do Posto],tabCustoUnit[[#This Row],[Código do Posto]],tabParametros[PQM])</f>
        <v>0</v>
      </c>
      <c r="AH73" s="22">
        <f>SUMIF(tabParametros[Código do Posto],tabCustoUnit[[#This Row],[Código do Posto]],tabParametros[PAT])</f>
        <v>0</v>
      </c>
      <c r="AI73" s="22">
        <f>SUMIF(tabParametros[Código do Posto],tabCustoUnit[[#This Row],[Código do Posto]],tabParametros[Seguro de Vida])</f>
        <v>3.36</v>
      </c>
      <c r="AJ73" s="22">
        <f>SUMIF(tabParametros[Código do Posto],tabCustoUnit[[#This Row],[Código do Posto]],tabParametros[Despesas de Viagem])</f>
        <v>0</v>
      </c>
      <c r="AK73" s="22">
        <f>SUM(tabCustoUnit[[#This Row],[Vale - Transporte (Descontada parcela do empregado)]:[Despesas de Viagem]])</f>
        <v>797.45320000000004</v>
      </c>
      <c r="AL73" s="22">
        <f>tabCustoUnit[[#This Row],[Submódulo 2.1]]+tabCustoUnit[[#This Row],[Submódulo 2.2]]+tabCustoUnit[[#This Row],[Submódulo 2.3]]</f>
        <v>1862.3067628499998</v>
      </c>
      <c r="AM73" s="22">
        <f>SUMIF(tabParametros[Código do Posto],tabCustoUnit[[#This Row],[Código do Posto]],tabParametros[Aviso Prévio Indenizado (API) e Reflexo do Aviso Prévio Indenizado])*tabCustoUnit[[#This Row],[MODULO 1 - REMUNERAÇÃO ]]</f>
        <v>11.559051416493055</v>
      </c>
      <c r="AN73" s="22">
        <f>SUMIF(tabParametros[Código do Posto],tabCustoUnit[[#This Row],[Código do Posto]],tabParametros[Incidência do FGTS sobre API e Reflexo do API])*tabCustoUnit[[#This Row],[MODULO 1 - REMUNERAÇÃO ]]</f>
        <v>0.92472411331944449</v>
      </c>
      <c r="AO73" s="22">
        <f>SUMIF(tabParametros[Código do Posto],tabCustoUnit[[#This Row],[Código do Posto]],tabParametros[Multa Rescisória do FGTS sobre o Aviso Prévio Indenizado])*tabCustoUnit[[#This Row],[MODULO 1 - REMUNERAÇÃO ]]</f>
        <v>0.36988964532777785</v>
      </c>
      <c r="AP73" s="22">
        <f>SUMIF(tabParametros[Código do Posto],tabCustoUnit[[#This Row],[Código do Posto]],tabParametros[Aviso Prévio Trabalhado - APT])*tabCustoUnit[[#This Row],[MODULO 1 - REMUNERAÇÃO ]]</f>
        <v>5.7698266500000006</v>
      </c>
      <c r="AQ73" s="22">
        <f>SUMIF(tabParametros[Código do Posto],tabCustoUnit[[#This Row],[Código do Posto]],tabParametros[Incidência dos encargos do submódulo 2.1 sobre Aviso Prévio Trabalhado])*tabCustoUnit[[#This Row],[MODULO 1 - REMUNERAÇÃO ]]</f>
        <v>2.1809944737000007</v>
      </c>
      <c r="AR73" s="22">
        <f>SUMIF(tabParametros[Código do Posto],tabCustoUnit[[#This Row],[Código do Posto]],tabParametros[Multa Rescisória do FGTS])*tabCustoUnit[[#This Row],[MODULO 1 - REMUNERAÇÃO ]]</f>
        <v>50.40813631999999</v>
      </c>
      <c r="AS73" s="22">
        <f>SUMIF(tabParametros[Código do Posto],tabCustoUnit[[#This Row],[Código do Posto]],tabParametros[Indenização Adicional (Art. 9º da Lei nº 7.238/84)])*tabCustoUnit[[#This Row],[MODULO 1 - REMUNERAÇÃO ]]</f>
        <v>1.3737682500000001</v>
      </c>
      <c r="AT73" s="22">
        <f>SUM(tabCustoUnit[[#This Row],[Aviso Prévio Indenizado (API) e Reflexo do Aviso Prévio Indenizado]:[Indenização Adicional (Art. 9º da Lei nº 7.238/84)]])</f>
        <v>72.586390868840269</v>
      </c>
      <c r="AU73" s="22">
        <f>SUMIF(tabParametros[Código do Posto],tabCustoUnit[[#This Row],[Código do Posto]],tabParametros[Ausência por Doença])*tabCustoUnit[[#This Row],[MODULO 1 - REMUNERAÇÃO ]]</f>
        <v>13.920851599999999</v>
      </c>
      <c r="AV73" s="22">
        <f>SUMIF(tabParametros[Código do Posto],tabCustoUnit[[#This Row],[Código do Posto]],tabParametros[Ausências Legais])*tabCustoUnit[[#This Row],[MODULO 1 - REMUNERAÇÃO ]]</f>
        <v>3.3428360749999997</v>
      </c>
      <c r="AW73" s="22">
        <f>SUMIF(tabParametros[Código do Posto],tabCustoUnit[[#This Row],[Código do Posto]],tabParametros[Licença Paternidade])*tabCustoUnit[[#This Row],[MODULO 1 - REMUNERAÇÃO ]]</f>
        <v>0.28162249125</v>
      </c>
      <c r="AX73" s="22">
        <f>SUMIF(tabParametros[Código do Posto],tabCustoUnit[[#This Row],[Código do Posto]],tabParametros[Ausência por Acidente de Trabalho])*tabCustoUnit[[#This Row],[MODULO 1 - REMUNERAÇÃO ]]</f>
        <v>0.34344206250000003</v>
      </c>
      <c r="AY73" s="22">
        <f>SUMIF(tabParametros[Código do Posto],tabCustoUnit[[#This Row],[Código do Posto]],tabParametros[Férias, Adicional de Férias e 13º  com empregada em gozo de Licença Maternidade])*tabCustoUnit[[#This Row],[MODULO 1 - REMUNERAÇÃO ]]</f>
        <v>2.1369728333333331</v>
      </c>
      <c r="AZ73" s="22">
        <f>SUMIF(tabParametros[Código do Posto],tabCustoUnit[[#This Row],[Código do Posto]],tabParametros[Incidência do Submódulo 2.1 sobre Ausências Legais])*tabCustoUnit[[#This Row],[MODULO 1 - REMUNERAÇÃO ]]</f>
        <v>7.5697240734675013</v>
      </c>
      <c r="BA73" s="22">
        <f>SUM(tabCustoUnit[[#This Row],[Ausência por Doença]:[Incidência do Submódulo 2.1 sobre Ausências Legais]])</f>
        <v>27.595449135550833</v>
      </c>
      <c r="BB73" s="22">
        <f>SUMIF(tabParametros[Código do Posto],tabCustoUnit[[#This Row],[Código do Posto]],tabParametros[Intervalo para Repouso ou Alimentação])</f>
        <v>0</v>
      </c>
      <c r="BC73" s="22">
        <f>tabCustoUnit[[#This Row],[Intervalo para Repouso ou Alimentação]]</f>
        <v>0</v>
      </c>
      <c r="BD73" s="22">
        <f>IF(VLOOKUP(tabCustoUnit[[#This Row],[Código do Posto]],PARAMETROS!$A$4:$BJ$255,7,0)&lt;=0,0,
IFERROR((tabCustoUnit[[#This Row],[MODULO 1 - REMUNERAÇÃO ]]*VLOOKUP(tabCustoUnit[[#This Row],[Código do Posto]],PARAMETROS!$A$4:$BJ$255,49,0))/(VLOOKUP(tabCustoUnit[[#This Row],[Código do Posto]],PARAMETROS!$A$4:$BJ$255,7,0)*VLOOKUP(tabCustoUnit[[#This Row],[Código do Posto]],PARAMETROS!$A$4:$BJ$255,8,0)),0)
)</f>
        <v>0</v>
      </c>
      <c r="BE73" s="22">
        <f>tabCustoUnit[[#This Row],[Suspensão Temporária do Contrato de Trabalho]]</f>
        <v>0</v>
      </c>
      <c r="BF73" s="22">
        <f>tabCustoUnit[[#This Row],[Submódulo 4.1]]+tabCustoUnit[[#This Row],[Submódulo 4.2]]+tabCustoUnit[[#This Row],[Submódulo 4.3]]</f>
        <v>27.595449135550833</v>
      </c>
      <c r="BG73" s="22">
        <f>VLOOKUP(tabCustoUnit[[#This Row],[Código do Posto]],tabParametros[],MATCH(tabCustoUnit[[#Headers],[Uniformes e EPIs]],tabParametros[#Headers],0),0)</f>
        <v>100.80916666666666</v>
      </c>
      <c r="BH73" s="22">
        <f>VLOOKUP(tabCustoUnit[[#This Row],[Código do Posto]],tabParametros[],MATCH(tabCustoUnit[[#Headers],[Materiais de Consumo]],tabParametros[#Headers],0),0)</f>
        <v>35.518212958583888</v>
      </c>
      <c r="BI73" s="22">
        <f>VLOOKUP(tabCustoUnit[[#This Row],[Código do Posto]],tabParametros[],MATCH(tabCustoUnit[[#Headers],[Máquinas e Equipamentos (depreciação)]],tabParametros[#Headers],0),0)</f>
        <v>64.529393914825576</v>
      </c>
      <c r="BJ73" s="22">
        <f>VLOOKUP(tabCustoUnit[[#This Row],[Código do Posto]],tabParametros[],MATCH(tabCustoUnit[[#Headers],[Produtos de Limpeza e Materiais de Higiene Pessoal]],tabParametros[#Headers],0),0)</f>
        <v>690.27153277931654</v>
      </c>
      <c r="BK73" s="22">
        <f>VLOOKUP(tabCustoUnit[[#This Row],[Código do Posto]],tabParametros[],MATCH(tabCustoUnit[[#Headers],[Outros (especificar)]],tabParametros[#Headers],0),0)</f>
        <v>0</v>
      </c>
      <c r="BL73" s="22">
        <f>SUM(tabCustoUnit[[#This Row],[Uniformes e EPIs]:[Outros (especificar)]])</f>
        <v>891.12830631939266</v>
      </c>
      <c r="BM73" s="22">
        <f>tabCustoUnit[[#This Row],[MODULO 1 - REMUNERAÇÃO ]]+tabCustoUnit[[#This Row],[MÓDULO 2 - Total Encargos e Benefícios mensais e diários]]+tabCustoUnit[[#This Row],[MÓDULO 3 – PROVISÃO PARA RESCISÃO]]+tabCustoUnit[[#This Row],[MÓDULO 4 – CUSTO DE REPOSIÇÃO DO PROFISSIONAL AUSENTE]]+tabCustoUnit[[#This Row],[MÓDULO 5 – INSUMOS DIVERSOS]]</f>
        <v>4502.1388091737836</v>
      </c>
      <c r="BN73" s="22">
        <f>VLOOKUP(tabCustoUnit[[#This Row],[Código do Posto]],tabParametros[],MATCH(tabCustoUnit[[#Headers],[Custos Indiretos]],tabParametros[#Headers],0),0)</f>
        <v>189.64880140242613</v>
      </c>
      <c r="BO73" s="22">
        <f>VLOOKUP(tabCustoUnit[[#This Row],[Código do Posto]],tabParametros[],MATCH(tabCustoUnit[[#Headers],[Lucro]],tabParametros[#Headers],0),0)</f>
        <v>159.30499317803796</v>
      </c>
      <c r="BP73" s="26">
        <f>((100/((1-tabCustoUnit[[#This Row],[Resumo de Alíquotas (PIS+CONFINS+ISS)]]))-100)*VLOOKUP(tabCustoUnit[[#This Row],[Código do Posto]],tabParametros[],MATCH(tabCustoUnit[[#Headers],[COFINS]],tabParametros[#Headers],0),0))/(tabCustoUnit[[#This Row],[Resumo de Alíquotas (PIS+CONFINS+ISS)]]*100)</f>
        <v>8.8629737609329504E-2</v>
      </c>
      <c r="BQ73" s="26">
        <f>((100/((100-(tabCustoUnit[[#This Row],[Resumo de Alíquotas (PIS+CONFINS+ISS)]]*100))%)-100)*VLOOKUP(tabCustoUnit[[#This Row],[Código do Posto]],tabParametros[],MATCH(tabCustoUnit[[#Headers],[PIS]],tabParametros[#Headers],0),0))/(tabCustoUnit[[#This Row],[Resumo de Alíquotas (PIS+CONFINS+ISS)]]*100)</f>
        <v>1.9241982507288629E-2</v>
      </c>
      <c r="BR73" s="28">
        <f>VLOOKUP(tabCustoUnit[[#This Row],[Código do Posto]],tabParametros[],MATCH(tabCustoUnit[[#Headers],[ISS]],tabParametros[#Headers],0),0)</f>
        <v>0.05</v>
      </c>
      <c r="BS73" s="26">
        <f>(((100/((100-(tabCustoUnit[[#This Row],[Resumo de Alíquotas (PIS+CONFINS+ISS)]]*100))%)-100)*tabCustoUnit[[#This Row],[ISS]])/tabCustoUnit[[#This Row],[Resumo de Alíquotas (PIS+CONFINS+ISS)]])/100</f>
        <v>5.8309037900874633E-2</v>
      </c>
      <c r="BT73" s="26">
        <f>(VLOOKUP(tabCustoUnit[[#This Row],[Código do Posto]],tabParametros[],MATCH(tabCustoUnit[[#Headers],[COFINS]],tabParametros[#Headers],0),0)+
VLOOKUP(tabCustoUnit[[#This Row],[Código do Posto]],tabParametros[],MATCH(tabCustoUnit[[#Headers],[PIS]],tabParametros[#Headers],0),0)+
VLOOKUP(tabCustoUnit[[#This Row],[Código do Posto]],tabParametros[],MATCH(tabCustoUnit[[#Headers],[ISS]],tabParametros[#Headers],0),0))</f>
        <v>0.14250000000000002</v>
      </c>
      <c r="BU73" s="138">
        <f>tabCustoUnit[[#This Row],[COFINS]]+tabCustoUnit[[#This Row],[PIS]]+tabCustoUnit[[#This Row],[ISS (Conversão Alíquota s/ fatura)]]</f>
        <v>0.16618075801749277</v>
      </c>
      <c r="BV73" s="22">
        <f>(tabCustoUnit[[#This Row],[TOTAL MÓDULOS 1+2+3+4+5]]+tabCustoUnit[[#This Row],[Custos Indiretos]]+tabCustoUnit[[#This Row],[Lucro]])*tabCustoUnit[[#This Row],[PIS + COFINS + ISS (Total Conversão  Alíquota s/ Fatura)]]</f>
        <v>806.1582461049336</v>
      </c>
      <c r="BW73" s="22">
        <f>tabCustoUnit[[#This Row],[Custos Indiretos]]+tabCustoUnit[[#This Row],[Lucro]]+tabCustoUnit[[#This Row],[Valor dos Tributos (ISS, PIS, CONFINS)]]</f>
        <v>1155.1120406853977</v>
      </c>
      <c r="BX73" s="22">
        <f>tabCustoUnit[[#This Row],[TOTAL MÓDULOS 1+2+3+4+5]]+tabCustoUnit[[#This Row],[MÓDULO 6 – CUSTOS INDIRETOS, TRIBUTOS E LUCRO]]</f>
        <v>5657.2508498591815</v>
      </c>
      <c r="BY73" s="22">
        <f>tabCustoUnit[[#This Row],[CUSTO TOTAL MENSAL]]*12</f>
        <v>67887.010198310178</v>
      </c>
      <c r="BZ73" s="24">
        <f>VLOOKUP(tabCustoUnit[[#This Row],[Código do Posto]],tabParametros[],MATCH(tabCustoUnit[[#Headers],[ANO DA CCT]],tabParametros[#Headers],0),0)</f>
        <v>45658</v>
      </c>
      <c r="CA73" s="25" t="str">
        <f>VLOOKUP(tabCustoUnit[[#This Row],[Código do Posto]],tabParametros[],MATCH(tabCustoUnit[[#Headers],[Nº DE PEDIDO DA CCT]],tabParametros[#Headers],0),0)</f>
        <v>-</v>
      </c>
      <c r="CB73" s="25" t="str">
        <f>VLOOKUP(tabCustoUnit[[#This Row],[Código do Posto]],tabParametros[],MATCH(tabCustoUnit[[#Headers],[TERMO ADITIVO ALTERAÇÃO DA CCT]],tabParametros[#Headers],0),0)</f>
        <v>-</v>
      </c>
    </row>
    <row r="74" spans="1:80" x14ac:dyDescent="0.25">
      <c r="A74" s="20" t="s">
        <v>1414</v>
      </c>
      <c r="B74" t="s">
        <v>72</v>
      </c>
      <c r="C74" t="s">
        <v>1247</v>
      </c>
      <c r="D74" t="s">
        <v>992</v>
      </c>
      <c r="E74" s="20" t="s">
        <v>9</v>
      </c>
      <c r="F74" s="20" t="s">
        <v>10</v>
      </c>
      <c r="G74" s="21">
        <v>544.17999999999995</v>
      </c>
      <c r="H74" s="21">
        <v>0</v>
      </c>
      <c r="I74" s="21">
        <v>0</v>
      </c>
      <c r="J74" s="21">
        <v>0</v>
      </c>
      <c r="K74" s="21">
        <v>0</v>
      </c>
      <c r="L74" s="21">
        <v>0</v>
      </c>
      <c r="M74" s="21">
        <v>0</v>
      </c>
      <c r="N74" s="21">
        <v>19.590499999999999</v>
      </c>
      <c r="O74" s="21">
        <f>SUM(tabCustoUnit[[#This Row],[Salário Base]:[Adicional de Acúmulo de função]])</f>
        <v>563.77049999999997</v>
      </c>
      <c r="P74" s="21">
        <f>tabCustoUnit[[#This Row],[MODULO 1 - REMUNERAÇÃO ]]*SUMIFS(tabParametros[INSS],tabParametros[Código do Posto],tabCustoUnit[[#This Row],[Código do Posto]])</f>
        <v>112.75409999999999</v>
      </c>
      <c r="Q74" s="21">
        <f>tabCustoUnit[[#This Row],[MODULO 1 - REMUNERAÇÃO ]]*SUMIFS(tabParametros[SESI OU SESC],tabParametros[Código do Posto],tabCustoUnit[[#This Row],[Código do Posto]])</f>
        <v>8.4565574999999988</v>
      </c>
      <c r="R74" s="21">
        <f>tabCustoUnit[[#This Row],[MODULO 1 - REMUNERAÇÃO ]]*SUMIFS(tabParametros[SENAI OU SENAC],tabParametros[Código do Posto],tabCustoUnit[[#This Row],[Código do Posto]])</f>
        <v>5.6377049999999995</v>
      </c>
      <c r="S74" s="21">
        <f>tabCustoUnit[[#This Row],[MODULO 1 - REMUNERAÇÃO ]]*SUMIFS(tabParametros[INCRA],tabParametros[Código do Posto],tabCustoUnit[[#This Row],[Código do Posto]])</f>
        <v>1.1275409999999999</v>
      </c>
      <c r="T74" s="21">
        <f>tabCustoUnit[[#This Row],[MODULO 1 - REMUNERAÇÃO ]]*SUMIFS(tabParametros[Salário Educação],tabParametros[Código do Posto],tabCustoUnit[[#This Row],[Código do Posto]])</f>
        <v>14.094262499999999</v>
      </c>
      <c r="U74" s="21">
        <f>tabCustoUnit[[#This Row],[MODULO 1 - REMUNERAÇÃO ]]*SUMIFS(tabParametros[FGTS],tabParametros[Código do Posto],tabCustoUnit[[#This Row],[Código do Posto]])</f>
        <v>45.101639999999996</v>
      </c>
      <c r="V74" s="21">
        <f>tabCustoUnit[[#This Row],[MODULO 1 - REMUNERAÇÃO ]]*SUMIFS(tabParametros[RAT Ajustado],tabParametros[Código do Posto],tabCustoUnit[[#This Row],[Código do Posto]])</f>
        <v>22.550819999999998</v>
      </c>
      <c r="W74" s="21">
        <f>tabCustoUnit[[#This Row],[MODULO 1 - REMUNERAÇÃO ]]*SUMIFS(tabParametros[SEBRAE],tabParametros[Código do Posto],tabCustoUnit[[#This Row],[Código do Posto]])</f>
        <v>3.3826229999999997</v>
      </c>
      <c r="X74" s="21">
        <f>SUM(tabCustoUnit[[#This Row],[INSS]:[SEBRAE]])</f>
        <v>213.10524899999996</v>
      </c>
      <c r="Y74" s="21">
        <f>tabCustoUnit[[#This Row],[MODULO 1 - REMUNERAÇÃO ]]*SUMIFS(tabParametros[13º salário (titular)],tabParametros[Código do Posto],tabCustoUnit[[#This Row],[Código do Posto]])</f>
        <v>46.980874999999997</v>
      </c>
      <c r="Z74" s="21">
        <f>tabCustoUnit[[#This Row],[MODULO 1 - REMUNERAÇÃO ]]*SUMIFS(tabParametros[Férias e Adicional de Férias (titular)],tabParametros[Código do Posto],tabCustoUnit[[#This Row],[Código do Posto]])</f>
        <v>62.641166666666663</v>
      </c>
      <c r="AA74" s="21">
        <f>IFERROR((tabCustoUnit[[#This Row],[Submódulo 2.1]]/tabCustoUnit[[#This Row],[MODULO 1 - REMUNERAÇÃO ]])*SUM(tabCustoUnit[[#This Row],[13º salário (titular)]:[Férias e Adicional de Férias (titular)]]),0)</f>
        <v>41.437131749999992</v>
      </c>
      <c r="AB74" s="21">
        <f>SUM(tabCustoUnit[[#This Row],[13º salário (titular)]:[Incidência do Submódulo 2.1 sobre 13º Salário, Férias e Adicional de Férias]])</f>
        <v>151.05917341666665</v>
      </c>
      <c r="AC74" s="22">
        <f>_xlfn.LET(_xlpm.VT,SUMIF(tabParametros[Código do Posto],tabCustoUnit[[#This Row],[Código do Posto]],tabParametros[Vale - Transporte])*2*20,
IF((_xlpm.VT-tabCustoUnit[[#This Row],[Salário Base]]*0.06)&gt;=0,(_xlpm.VT-tabCustoUnit[[#This Row],[Salário Base]]*0.06),0)
)</f>
        <v>223.3492</v>
      </c>
      <c r="AD74" s="22">
        <f>IF(SUMIF(tabParametros[Código do Posto],tabCustoUnit[[#This Row],[Código do Posto]],tabParametros[Vale - Alimentação])&lt;=0,0,
SUMIF(tabParametros[Código do Posto],tabCustoUnit[[#This Row],[Código do Posto]],tabParametros[Vale - Alimentação])*20-1)</f>
        <v>0</v>
      </c>
      <c r="AE74" s="22">
        <f>SUMIF(tabParametros[Código do Posto],tabCustoUnit[[#This Row],[Código do Posto]],tabParametros[Cesta Básica])</f>
        <v>387.79</v>
      </c>
      <c r="AF74" s="22">
        <f>SUMIF(tabParametros[Código do Posto],tabCustoUnit[[#This Row],[Código do Posto]],tabParametros[PAF])</f>
        <v>42.97</v>
      </c>
      <c r="AG74" s="22">
        <f>SUMIF(tabParametros[Código do Posto],tabCustoUnit[[#This Row],[Código do Posto]],tabParametros[PQM])</f>
        <v>0</v>
      </c>
      <c r="AH74" s="22">
        <f>SUMIF(tabParametros[Código do Posto],tabCustoUnit[[#This Row],[Código do Posto]],tabParametros[PAT])</f>
        <v>0</v>
      </c>
      <c r="AI74" s="22">
        <f>SUMIF(tabParametros[Código do Posto],tabCustoUnit[[#This Row],[Código do Posto]],tabParametros[Seguro de Vida])</f>
        <v>3.36</v>
      </c>
      <c r="AJ74" s="22">
        <f>SUMIF(tabParametros[Código do Posto],tabCustoUnit[[#This Row],[Código do Posto]],tabParametros[Despesas de Viagem])</f>
        <v>0</v>
      </c>
      <c r="AK74" s="22">
        <f>SUM(tabCustoUnit[[#This Row],[Vale - Transporte (Descontada parcela do empregado)]:[Despesas de Viagem]])</f>
        <v>657.46920000000011</v>
      </c>
      <c r="AL74" s="22">
        <f>tabCustoUnit[[#This Row],[Submódulo 2.1]]+tabCustoUnit[[#This Row],[Submódulo 2.2]]+tabCustoUnit[[#This Row],[Submódulo 2.3]]</f>
        <v>1021.6336224166668</v>
      </c>
      <c r="AM74" s="22">
        <f>SUMIF(tabParametros[Código do Posto],tabCustoUnit[[#This Row],[Código do Posto]],tabParametros[Aviso Prévio Indenizado (API) e Reflexo do Aviso Prévio Indenizado])*tabCustoUnit[[#This Row],[MODULO 1 - REMUNERAÇÃO ]]</f>
        <v>3.9530273735532404</v>
      </c>
      <c r="AN74" s="22">
        <f>SUMIF(tabParametros[Código do Posto],tabCustoUnit[[#This Row],[Código do Posto]],tabParametros[Incidência do FGTS sobre API e Reflexo do API])*tabCustoUnit[[#This Row],[MODULO 1 - REMUNERAÇÃO ]]</f>
        <v>0.31624218988425928</v>
      </c>
      <c r="AO74" s="22">
        <f>SUMIF(tabParametros[Código do Posto],tabCustoUnit[[#This Row],[Código do Posto]],tabParametros[Multa Rescisória do FGTS sobre o Aviso Prévio Indenizado])*tabCustoUnit[[#This Row],[MODULO 1 - REMUNERAÇÃO ]]</f>
        <v>0.12649687595370371</v>
      </c>
      <c r="AP74" s="22">
        <f>SUMIF(tabParametros[Código do Posto],tabCustoUnit[[#This Row],[Código do Posto]],tabParametros[Aviso Prévio Trabalhado - APT])*tabCustoUnit[[#This Row],[MODULO 1 - REMUNERAÇÃO ]]</f>
        <v>1.9731967500000003</v>
      </c>
      <c r="AQ74" s="22">
        <f>SUMIF(tabParametros[Código do Posto],tabCustoUnit[[#This Row],[Código do Posto]],tabParametros[Incidência dos encargos do submódulo 2.1 sobre Aviso Prévio Trabalhado])*tabCustoUnit[[#This Row],[MODULO 1 - REMUNERAÇÃO ]]</f>
        <v>0.74586837150000018</v>
      </c>
      <c r="AR74" s="22">
        <f>SUMIF(tabParametros[Código do Posto],tabCustoUnit[[#This Row],[Código do Posto]],tabParametros[Multa Rescisória do FGTS])*tabCustoUnit[[#This Row],[MODULO 1 - REMUNERAÇÃO ]]</f>
        <v>17.238849066666663</v>
      </c>
      <c r="AS74" s="22">
        <f>SUMIF(tabParametros[Código do Posto],tabCustoUnit[[#This Row],[Código do Posto]],tabParametros[Indenização Adicional (Art. 9º da Lei nº 7.238/84)])*tabCustoUnit[[#This Row],[MODULO 1 - REMUNERAÇÃO ]]</f>
        <v>0.46980875</v>
      </c>
      <c r="AT74" s="22">
        <f>SUM(tabCustoUnit[[#This Row],[Aviso Prévio Indenizado (API) e Reflexo do Aviso Prévio Indenizado]:[Indenização Adicional (Art. 9º da Lei nº 7.238/84)]])</f>
        <v>24.823489377557866</v>
      </c>
      <c r="AU74" s="22">
        <f>SUMIF(tabParametros[Código do Posto],tabCustoUnit[[#This Row],[Código do Posto]],tabParametros[Ausência por Doença])*tabCustoUnit[[#This Row],[MODULO 1 - REMUNERAÇÃO ]]</f>
        <v>4.7607286666666662</v>
      </c>
      <c r="AV74" s="22">
        <f>SUMIF(tabParametros[Código do Posto],tabCustoUnit[[#This Row],[Código do Posto]],tabParametros[Ausências Legais])*tabCustoUnit[[#This Row],[MODULO 1 - REMUNERAÇÃO ]]</f>
        <v>1.1432012916666665</v>
      </c>
      <c r="AW74" s="22">
        <f>SUMIF(tabParametros[Código do Posto],tabCustoUnit[[#This Row],[Código do Posto]],tabParametros[Licença Paternidade])*tabCustoUnit[[#This Row],[MODULO 1 - REMUNERAÇÃO ]]</f>
        <v>9.6310793749999998E-2</v>
      </c>
      <c r="AX74" s="22">
        <f>SUMIF(tabParametros[Código do Posto],tabCustoUnit[[#This Row],[Código do Posto]],tabParametros[Ausência por Acidente de Trabalho])*tabCustoUnit[[#This Row],[MODULO 1 - REMUNERAÇÃO ]]</f>
        <v>0.1174521875</v>
      </c>
      <c r="AY74" s="22">
        <f>SUMIF(tabParametros[Código do Posto],tabCustoUnit[[#This Row],[Código do Posto]],tabParametros[Férias, Adicional de Férias e 13º  com empregada em gozo de Licença Maternidade])*tabCustoUnit[[#This Row],[MODULO 1 - REMUNERAÇÃO ]]</f>
        <v>0.73081361111111109</v>
      </c>
      <c r="AZ74" s="22">
        <f>SUMIF(tabParametros[Código do Posto],tabCustoUnit[[#This Row],[Código do Posto]],tabParametros[Incidência do Submódulo 2.1 sobre Ausências Legais])*tabCustoUnit[[#This Row],[MODULO 1 - REMUNERAÇÃO ]]</f>
        <v>2.5887354761625003</v>
      </c>
      <c r="BA74" s="22">
        <f>SUM(tabCustoUnit[[#This Row],[Ausência por Doença]:[Incidência do Submódulo 2.1 sobre Ausências Legais]])</f>
        <v>9.4372420268569428</v>
      </c>
      <c r="BB74" s="22">
        <f>SUMIF(tabParametros[Código do Posto],tabCustoUnit[[#This Row],[Código do Posto]],tabParametros[Intervalo para Repouso ou Alimentação])</f>
        <v>0</v>
      </c>
      <c r="BC74" s="22">
        <f>tabCustoUnit[[#This Row],[Intervalo para Repouso ou Alimentação]]</f>
        <v>0</v>
      </c>
      <c r="BD74" s="22">
        <f>IF(VLOOKUP(tabCustoUnit[[#This Row],[Código do Posto]],PARAMETROS!$A$4:$BJ$255,7,0)&lt;=0,0,
IFERROR((tabCustoUnit[[#This Row],[MODULO 1 - REMUNERAÇÃO ]]*VLOOKUP(tabCustoUnit[[#This Row],[Código do Posto]],PARAMETROS!$A$4:$BJ$255,49,0))/(VLOOKUP(tabCustoUnit[[#This Row],[Código do Posto]],PARAMETROS!$A$4:$BJ$255,7,0)*VLOOKUP(tabCustoUnit[[#This Row],[Código do Posto]],PARAMETROS!$A$4:$BJ$255,8,0)),0)
)</f>
        <v>0</v>
      </c>
      <c r="BE74" s="22">
        <f>tabCustoUnit[[#This Row],[Suspensão Temporária do Contrato de Trabalho]]</f>
        <v>0</v>
      </c>
      <c r="BF74" s="22">
        <f>tabCustoUnit[[#This Row],[Submódulo 4.1]]+tabCustoUnit[[#This Row],[Submódulo 4.2]]+tabCustoUnit[[#This Row],[Submódulo 4.3]]</f>
        <v>9.4372420268569428</v>
      </c>
      <c r="BG74" s="22">
        <f>VLOOKUP(tabCustoUnit[[#This Row],[Código do Posto]],tabParametros[],MATCH(tabCustoUnit[[#Headers],[Uniformes e EPIs]],tabParametros[#Headers],0),0)</f>
        <v>62.806666666666665</v>
      </c>
      <c r="BH74" s="22">
        <f>VLOOKUP(tabCustoUnit[[#This Row],[Código do Posto]],tabParametros[],MATCH(tabCustoUnit[[#Headers],[Materiais de Consumo]],tabParametros[#Headers],0),0)</f>
        <v>12.108481690426325</v>
      </c>
      <c r="BI74" s="22">
        <f>VLOOKUP(tabCustoUnit[[#This Row],[Código do Posto]],tabParametros[],MATCH(tabCustoUnit[[#Headers],[Máquinas e Equipamentos (depreciação)]],tabParametros[#Headers],0),0)</f>
        <v>21.998657016417809</v>
      </c>
      <c r="BJ74" s="22">
        <f>VLOOKUP(tabCustoUnit[[#This Row],[Código do Posto]],tabParametros[],MATCH(tabCustoUnit[[#Headers],[Produtos de Limpeza e Materiais de Higiene Pessoal]],tabParametros[#Headers],0),0)</f>
        <v>235.31984072022155</v>
      </c>
      <c r="BK74" s="22">
        <f>VLOOKUP(tabCustoUnit[[#This Row],[Código do Posto]],tabParametros[],MATCH(tabCustoUnit[[#Headers],[Outros (especificar)]],tabParametros[#Headers],0),0)</f>
        <v>0</v>
      </c>
      <c r="BL74" s="22">
        <f>SUM(tabCustoUnit[[#This Row],[Uniformes e EPIs]:[Outros (especificar)]])</f>
        <v>332.23364609373232</v>
      </c>
      <c r="BM74" s="22">
        <f>tabCustoUnit[[#This Row],[MODULO 1 - REMUNERAÇÃO ]]+tabCustoUnit[[#This Row],[MÓDULO 2 - Total Encargos e Benefícios mensais e diários]]+tabCustoUnit[[#This Row],[MÓDULO 3 – PROVISÃO PARA RESCISÃO]]+tabCustoUnit[[#This Row],[MÓDULO 4 – CUSTO DE REPOSIÇÃO DO PROFISSIONAL AUSENTE]]+tabCustoUnit[[#This Row],[MÓDULO 5 – INSUMOS DIVERSOS]]</f>
        <v>1951.8984999148138</v>
      </c>
      <c r="BN74" s="22">
        <f>VLOOKUP(tabCustoUnit[[#This Row],[Código do Posto]],tabParametros[],MATCH(tabCustoUnit[[#Headers],[Custos Indiretos]],tabParametros[#Headers],0),0)</f>
        <v>189.64880140242613</v>
      </c>
      <c r="BO74" s="22">
        <f>VLOOKUP(tabCustoUnit[[#This Row],[Código do Posto]],tabParametros[],MATCH(tabCustoUnit[[#Headers],[Lucro]],tabParametros[#Headers],0),0)</f>
        <v>159.30499317803796</v>
      </c>
      <c r="BP74" s="26">
        <f>((100/((1-tabCustoUnit[[#This Row],[Resumo de Alíquotas (PIS+CONFINS+ISS)]]))-100)*VLOOKUP(tabCustoUnit[[#This Row],[Código do Posto]],tabParametros[],MATCH(tabCustoUnit[[#Headers],[COFINS]],tabParametros[#Headers],0),0))/(tabCustoUnit[[#This Row],[Resumo de Alíquotas (PIS+CONFINS+ISS)]]*100)</f>
        <v>8.8629737609329504E-2</v>
      </c>
      <c r="BQ74" s="26">
        <f>((100/((100-(tabCustoUnit[[#This Row],[Resumo de Alíquotas (PIS+CONFINS+ISS)]]*100))%)-100)*VLOOKUP(tabCustoUnit[[#This Row],[Código do Posto]],tabParametros[],MATCH(tabCustoUnit[[#Headers],[PIS]],tabParametros[#Headers],0),0))/(tabCustoUnit[[#This Row],[Resumo de Alíquotas (PIS+CONFINS+ISS)]]*100)</f>
        <v>1.9241982507288629E-2</v>
      </c>
      <c r="BR74" s="28">
        <f>VLOOKUP(tabCustoUnit[[#This Row],[Código do Posto]],tabParametros[],MATCH(tabCustoUnit[[#Headers],[ISS]],tabParametros[#Headers],0),0)</f>
        <v>0.05</v>
      </c>
      <c r="BS74" s="26">
        <f>(((100/((100-(tabCustoUnit[[#This Row],[Resumo de Alíquotas (PIS+CONFINS+ISS)]]*100))%)-100)*tabCustoUnit[[#This Row],[ISS]])/tabCustoUnit[[#This Row],[Resumo de Alíquotas (PIS+CONFINS+ISS)]])/100</f>
        <v>5.8309037900874633E-2</v>
      </c>
      <c r="BT74" s="26">
        <f>(VLOOKUP(tabCustoUnit[[#This Row],[Código do Posto]],tabParametros[],MATCH(tabCustoUnit[[#Headers],[COFINS]],tabParametros[#Headers],0),0)+
VLOOKUP(tabCustoUnit[[#This Row],[Código do Posto]],tabParametros[],MATCH(tabCustoUnit[[#Headers],[PIS]],tabParametros[#Headers],0),0)+
VLOOKUP(tabCustoUnit[[#This Row],[Código do Posto]],tabParametros[],MATCH(tabCustoUnit[[#Headers],[ISS]],tabParametros[#Headers],0),0))</f>
        <v>0.14250000000000002</v>
      </c>
      <c r="BU74" s="138">
        <f>tabCustoUnit[[#This Row],[COFINS]]+tabCustoUnit[[#This Row],[PIS]]+tabCustoUnit[[#This Row],[ISS (Conversão Alíquota s/ fatura)]]</f>
        <v>0.16618075801749277</v>
      </c>
      <c r="BV74" s="22">
        <f>(tabCustoUnit[[#This Row],[TOTAL MÓDULOS 1+2+3+4+5]]+tabCustoUnit[[#This Row],[Custos Indiretos]]+tabCustoUnit[[#This Row],[Lucro]])*tabCustoUnit[[#This Row],[PIS + COFINS + ISS (Total Conversão  Alíquota s/ Fatura)]]</f>
        <v>382.35737838551279</v>
      </c>
      <c r="BW74" s="22">
        <f>tabCustoUnit[[#This Row],[Custos Indiretos]]+tabCustoUnit[[#This Row],[Lucro]]+tabCustoUnit[[#This Row],[Valor dos Tributos (ISS, PIS, CONFINS)]]</f>
        <v>731.31117296597688</v>
      </c>
      <c r="BX74" s="22">
        <f>tabCustoUnit[[#This Row],[TOTAL MÓDULOS 1+2+3+4+5]]+tabCustoUnit[[#This Row],[MÓDULO 6 – CUSTOS INDIRETOS, TRIBUTOS E LUCRO]]</f>
        <v>2683.2096728807905</v>
      </c>
      <c r="BY74" s="22">
        <f>tabCustoUnit[[#This Row],[CUSTO TOTAL MENSAL]]*12</f>
        <v>32198.516074569488</v>
      </c>
      <c r="BZ74" s="24">
        <f>VLOOKUP(tabCustoUnit[[#This Row],[Código do Posto]],tabParametros[],MATCH(tabCustoUnit[[#Headers],[ANO DA CCT]],tabParametros[#Headers],0),0)</f>
        <v>45658</v>
      </c>
      <c r="CA74" s="25" t="str">
        <f>VLOOKUP(tabCustoUnit[[#This Row],[Código do Posto]],tabParametros[],MATCH(tabCustoUnit[[#Headers],[Nº DE PEDIDO DA CCT]],tabParametros[#Headers],0),0)</f>
        <v>-</v>
      </c>
      <c r="CB74" s="25" t="str">
        <f>VLOOKUP(tabCustoUnit[[#This Row],[Código do Posto]],tabParametros[],MATCH(tabCustoUnit[[#Headers],[TERMO ADITIVO ALTERAÇÃO DA CCT]],tabParametros[#Headers],0),0)</f>
        <v>-</v>
      </c>
    </row>
    <row r="75" spans="1:80" x14ac:dyDescent="0.25">
      <c r="A75" s="20" t="s">
        <v>1415</v>
      </c>
      <c r="B75" t="s">
        <v>73</v>
      </c>
      <c r="C75" t="s">
        <v>1244</v>
      </c>
      <c r="D75" t="s">
        <v>1020</v>
      </c>
      <c r="E75" s="20" t="s">
        <v>9</v>
      </c>
      <c r="F75" s="20" t="s">
        <v>10</v>
      </c>
      <c r="G75" s="21">
        <v>798.14</v>
      </c>
      <c r="H75" s="21">
        <v>0</v>
      </c>
      <c r="I75" s="21">
        <v>0</v>
      </c>
      <c r="J75" s="21">
        <v>0</v>
      </c>
      <c r="K75" s="21">
        <v>0</v>
      </c>
      <c r="L75" s="21">
        <v>0</v>
      </c>
      <c r="M75" s="21">
        <v>0</v>
      </c>
      <c r="N75" s="21">
        <v>26.120899999999999</v>
      </c>
      <c r="O75" s="21">
        <f>SUM(tabCustoUnit[[#This Row],[Salário Base]:[Adicional de Acúmulo de função]])</f>
        <v>824.26089999999999</v>
      </c>
      <c r="P75" s="21">
        <f>tabCustoUnit[[#This Row],[MODULO 1 - REMUNERAÇÃO ]]*SUMIFS(tabParametros[INSS],tabParametros[Código do Posto],tabCustoUnit[[#This Row],[Código do Posto]])</f>
        <v>164.85218</v>
      </c>
      <c r="Q75" s="21">
        <f>tabCustoUnit[[#This Row],[MODULO 1 - REMUNERAÇÃO ]]*SUMIFS(tabParametros[SESI OU SESC],tabParametros[Código do Posto],tabCustoUnit[[#This Row],[Código do Posto]])</f>
        <v>12.363913499999999</v>
      </c>
      <c r="R75" s="21">
        <f>tabCustoUnit[[#This Row],[MODULO 1 - REMUNERAÇÃO ]]*SUMIFS(tabParametros[SENAI OU SENAC],tabParametros[Código do Posto],tabCustoUnit[[#This Row],[Código do Posto]])</f>
        <v>8.2426089999999999</v>
      </c>
      <c r="S75" s="21">
        <f>tabCustoUnit[[#This Row],[MODULO 1 - REMUNERAÇÃO ]]*SUMIFS(tabParametros[INCRA],tabParametros[Código do Posto],tabCustoUnit[[#This Row],[Código do Posto]])</f>
        <v>1.6485217999999999</v>
      </c>
      <c r="T75" s="21">
        <f>tabCustoUnit[[#This Row],[MODULO 1 - REMUNERAÇÃO ]]*SUMIFS(tabParametros[Salário Educação],tabParametros[Código do Posto],tabCustoUnit[[#This Row],[Código do Posto]])</f>
        <v>20.606522500000001</v>
      </c>
      <c r="U75" s="21">
        <f>tabCustoUnit[[#This Row],[MODULO 1 - REMUNERAÇÃO ]]*SUMIFS(tabParametros[FGTS],tabParametros[Código do Posto],tabCustoUnit[[#This Row],[Código do Posto]])</f>
        <v>65.940871999999999</v>
      </c>
      <c r="V75" s="21">
        <f>tabCustoUnit[[#This Row],[MODULO 1 - REMUNERAÇÃO ]]*SUMIFS(tabParametros[RAT Ajustado],tabParametros[Código do Posto],tabCustoUnit[[#This Row],[Código do Posto]])</f>
        <v>32.970435999999999</v>
      </c>
      <c r="W75" s="21">
        <f>tabCustoUnit[[#This Row],[MODULO 1 - REMUNERAÇÃO ]]*SUMIFS(tabParametros[SEBRAE],tabParametros[Código do Posto],tabCustoUnit[[#This Row],[Código do Posto]])</f>
        <v>4.9455654000000004</v>
      </c>
      <c r="X75" s="21">
        <f>SUM(tabCustoUnit[[#This Row],[INSS]:[SEBRAE]])</f>
        <v>311.57062020000001</v>
      </c>
      <c r="Y75" s="21">
        <f>tabCustoUnit[[#This Row],[MODULO 1 - REMUNERAÇÃO ]]*SUMIFS(tabParametros[13º salário (titular)],tabParametros[Código do Posto],tabCustoUnit[[#This Row],[Código do Posto]])</f>
        <v>68.688408333333328</v>
      </c>
      <c r="Z75" s="21">
        <f>tabCustoUnit[[#This Row],[MODULO 1 - REMUNERAÇÃO ]]*SUMIFS(tabParametros[Férias e Adicional de Férias (titular)],tabParametros[Código do Posto],tabCustoUnit[[#This Row],[Código do Posto]])</f>
        <v>91.584544444444433</v>
      </c>
      <c r="AA75" s="21">
        <f>IFERROR((tabCustoUnit[[#This Row],[Submódulo 2.1]]/tabCustoUnit[[#This Row],[MODULO 1 - REMUNERAÇÃO ]])*SUM(tabCustoUnit[[#This Row],[13º salário (titular)]:[Férias e Adicional de Férias (titular)]]),0)</f>
        <v>60.583176149999993</v>
      </c>
      <c r="AB75" s="21">
        <f>SUM(tabCustoUnit[[#This Row],[13º salário (titular)]:[Incidência do Submódulo 2.1 sobre 13º Salário, Férias e Adicional de Férias]])</f>
        <v>220.85612892777775</v>
      </c>
      <c r="AC75" s="22">
        <f>_xlfn.LET(_xlpm.VT,SUMIF(tabParametros[Código do Posto],tabCustoUnit[[#This Row],[Código do Posto]],tabParametros[Vale - Transporte])*2*20,
IF((_xlpm.VT-tabCustoUnit[[#This Row],[Salário Base]]*0.06)&gt;=0,(_xlpm.VT-tabCustoUnit[[#This Row],[Salário Base]]*0.06),0)
)</f>
        <v>208.11160000000001</v>
      </c>
      <c r="AD75" s="22">
        <f>IF(SUMIF(tabParametros[Código do Posto],tabCustoUnit[[#This Row],[Código do Posto]],tabParametros[Vale - Alimentação])&lt;=0,0,
SUMIF(tabParametros[Código do Posto],tabCustoUnit[[#This Row],[Código do Posto]],tabParametros[Vale - Alimentação])*20-1)</f>
        <v>582</v>
      </c>
      <c r="AE75" s="22">
        <f>SUMIF(tabParametros[Código do Posto],tabCustoUnit[[#This Row],[Código do Posto]],tabParametros[Cesta Básica])</f>
        <v>0</v>
      </c>
      <c r="AF75" s="22">
        <f>SUMIF(tabParametros[Código do Posto],tabCustoUnit[[#This Row],[Código do Posto]],tabParametros[PAF])</f>
        <v>0</v>
      </c>
      <c r="AG75" s="22">
        <f>SUMIF(tabParametros[Código do Posto],tabCustoUnit[[#This Row],[Código do Posto]],tabParametros[PQM])</f>
        <v>0</v>
      </c>
      <c r="AH75" s="22">
        <f>SUMIF(tabParametros[Código do Posto],tabCustoUnit[[#This Row],[Código do Posto]],tabParametros[PAT])</f>
        <v>0</v>
      </c>
      <c r="AI75" s="22">
        <f>SUMIF(tabParametros[Código do Posto],tabCustoUnit[[#This Row],[Código do Posto]],tabParametros[Seguro de Vida])</f>
        <v>3.36</v>
      </c>
      <c r="AJ75" s="22">
        <f>SUMIF(tabParametros[Código do Posto],tabCustoUnit[[#This Row],[Código do Posto]],tabParametros[Despesas de Viagem])</f>
        <v>0</v>
      </c>
      <c r="AK75" s="22">
        <f>SUM(tabCustoUnit[[#This Row],[Vale - Transporte (Descontada parcela do empregado)]:[Despesas de Viagem]])</f>
        <v>793.47159999999997</v>
      </c>
      <c r="AL75" s="22">
        <f>tabCustoUnit[[#This Row],[Submódulo 2.1]]+tabCustoUnit[[#This Row],[Submódulo 2.2]]+tabCustoUnit[[#This Row],[Submódulo 2.3]]</f>
        <v>1325.8983491277777</v>
      </c>
      <c r="AM75" s="22">
        <f>SUMIF(tabParametros[Código do Posto],tabCustoUnit[[#This Row],[Código do Posto]],tabParametros[Aviso Prévio Indenizado (API) e Reflexo do Aviso Prévio Indenizado])*tabCustoUnit[[#This Row],[MODULO 1 - REMUNERAÇÃO ]]</f>
        <v>5.7795253576581791</v>
      </c>
      <c r="AN75" s="22">
        <f>SUMIF(tabParametros[Código do Posto],tabCustoUnit[[#This Row],[Código do Posto]],tabParametros[Incidência do FGTS sobre API e Reflexo do API])*tabCustoUnit[[#This Row],[MODULO 1 - REMUNERAÇÃO ]]</f>
        <v>0.46236202861265435</v>
      </c>
      <c r="AO75" s="22">
        <f>SUMIF(tabParametros[Código do Posto],tabCustoUnit[[#This Row],[Código do Posto]],tabParametros[Multa Rescisória do FGTS sobre o Aviso Prévio Indenizado])*tabCustoUnit[[#This Row],[MODULO 1 - REMUNERAÇÃO ]]</f>
        <v>0.18494481144506175</v>
      </c>
      <c r="AP75" s="22">
        <f>SUMIF(tabParametros[Código do Posto],tabCustoUnit[[#This Row],[Código do Posto]],tabParametros[Aviso Prévio Trabalhado - APT])*tabCustoUnit[[#This Row],[MODULO 1 - REMUNERAÇÃO ]]</f>
        <v>2.8849131500000005</v>
      </c>
      <c r="AQ75" s="22">
        <f>SUMIF(tabParametros[Código do Posto],tabCustoUnit[[#This Row],[Código do Posto]],tabParametros[Incidência dos encargos do submódulo 2.1 sobre Aviso Prévio Trabalhado])*tabCustoUnit[[#This Row],[MODULO 1 - REMUNERAÇÃO ]]</f>
        <v>1.0904971707000004</v>
      </c>
      <c r="AR75" s="22">
        <f>SUMIF(tabParametros[Código do Posto],tabCustoUnit[[#This Row],[Código do Posto]],tabParametros[Multa Rescisória do FGTS])*tabCustoUnit[[#This Row],[MODULO 1 - REMUNERAÇÃO ]]</f>
        <v>25.204066631111107</v>
      </c>
      <c r="AS75" s="22">
        <f>SUMIF(tabParametros[Código do Posto],tabCustoUnit[[#This Row],[Código do Posto]],tabParametros[Indenização Adicional (Art. 9º da Lei nº 7.238/84)])*tabCustoUnit[[#This Row],[MODULO 1 - REMUNERAÇÃO ]]</f>
        <v>0.6868840833333334</v>
      </c>
      <c r="AT75" s="22">
        <f>SUM(tabCustoUnit[[#This Row],[Aviso Prévio Indenizado (API) e Reflexo do Aviso Prévio Indenizado]:[Indenização Adicional (Art. 9º da Lei nº 7.238/84)]])</f>
        <v>36.293193232860339</v>
      </c>
      <c r="AU75" s="22">
        <f>SUMIF(tabParametros[Código do Posto],tabCustoUnit[[#This Row],[Código do Posto]],tabParametros[Ausência por Doença])*tabCustoUnit[[#This Row],[MODULO 1 - REMUNERAÇÃO ]]</f>
        <v>6.9604253777777769</v>
      </c>
      <c r="AV75" s="22">
        <f>SUMIF(tabParametros[Código do Posto],tabCustoUnit[[#This Row],[Código do Posto]],tabParametros[Ausências Legais])*tabCustoUnit[[#This Row],[MODULO 1 - REMUNERAÇÃO ]]</f>
        <v>1.671417936111111</v>
      </c>
      <c r="AW75" s="22">
        <f>SUMIF(tabParametros[Código do Posto],tabCustoUnit[[#This Row],[Código do Posto]],tabParametros[Licença Paternidade])*tabCustoUnit[[#This Row],[MODULO 1 - REMUNERAÇÃO ]]</f>
        <v>0.14081123708333332</v>
      </c>
      <c r="AX75" s="22">
        <f>SUMIF(tabParametros[Código do Posto],tabCustoUnit[[#This Row],[Código do Posto]],tabParametros[Ausência por Acidente de Trabalho])*tabCustoUnit[[#This Row],[MODULO 1 - REMUNERAÇÃO ]]</f>
        <v>0.17172102083333335</v>
      </c>
      <c r="AY75" s="22">
        <f>SUMIF(tabParametros[Código do Posto],tabCustoUnit[[#This Row],[Código do Posto]],tabParametros[Férias, Adicional de Férias e 13º  com empregada em gozo de Licença Maternidade])*tabCustoUnit[[#This Row],[MODULO 1 - REMUNERAÇÃO ]]</f>
        <v>1.0684863518518517</v>
      </c>
      <c r="AZ75" s="22">
        <f>SUMIF(tabParametros[Código do Posto],tabCustoUnit[[#This Row],[Código do Posto]],tabParametros[Incidência do Submódulo 2.1 sobre Ausências Legais])*tabCustoUnit[[#This Row],[MODULO 1 - REMUNERAÇÃO ]]</f>
        <v>3.7848618071425006</v>
      </c>
      <c r="BA75" s="22">
        <f>SUM(tabCustoUnit[[#This Row],[Ausência por Doença]:[Incidência do Submódulo 2.1 sobre Ausências Legais]])</f>
        <v>13.797723730799909</v>
      </c>
      <c r="BB75" s="22">
        <f>SUMIF(tabParametros[Código do Posto],tabCustoUnit[[#This Row],[Código do Posto]],tabParametros[Intervalo para Repouso ou Alimentação])</f>
        <v>0</v>
      </c>
      <c r="BC75" s="22">
        <f>tabCustoUnit[[#This Row],[Intervalo para Repouso ou Alimentação]]</f>
        <v>0</v>
      </c>
      <c r="BD75" s="22">
        <f>IF(VLOOKUP(tabCustoUnit[[#This Row],[Código do Posto]],PARAMETROS!$A$4:$BJ$255,7,0)&lt;=0,0,
IFERROR((tabCustoUnit[[#This Row],[MODULO 1 - REMUNERAÇÃO ]]*VLOOKUP(tabCustoUnit[[#This Row],[Código do Posto]],PARAMETROS!$A$4:$BJ$255,49,0))/(VLOOKUP(tabCustoUnit[[#This Row],[Código do Posto]],PARAMETROS!$A$4:$BJ$255,7,0)*VLOOKUP(tabCustoUnit[[#This Row],[Código do Posto]],PARAMETROS!$A$4:$BJ$255,8,0)),0)
)</f>
        <v>0</v>
      </c>
      <c r="BE75" s="22">
        <f>tabCustoUnit[[#This Row],[Suspensão Temporária do Contrato de Trabalho]]</f>
        <v>0</v>
      </c>
      <c r="BF75" s="22">
        <f>tabCustoUnit[[#This Row],[Submódulo 4.1]]+tabCustoUnit[[#This Row],[Submódulo 4.2]]+tabCustoUnit[[#This Row],[Submódulo 4.3]]</f>
        <v>13.797723730799909</v>
      </c>
      <c r="BG75" s="22">
        <f>VLOOKUP(tabCustoUnit[[#This Row],[Código do Posto]],tabParametros[],MATCH(tabCustoUnit[[#Headers],[Uniformes e EPIs]],tabParametros[#Headers],0),0)</f>
        <v>62.806666666666665</v>
      </c>
      <c r="BH75" s="22">
        <f>VLOOKUP(tabCustoUnit[[#This Row],[Código do Posto]],tabParametros[],MATCH(tabCustoUnit[[#Headers],[Materiais de Consumo]],tabParametros[#Headers],0),0)</f>
        <v>17.759106479291944</v>
      </c>
      <c r="BI75" s="22">
        <f>VLOOKUP(tabCustoUnit[[#This Row],[Código do Posto]],tabParametros[],MATCH(tabCustoUnit[[#Headers],[Máquinas e Equipamentos (depreciação)]],tabParametros[#Headers],0),0)</f>
        <v>32.264696957412788</v>
      </c>
      <c r="BJ75" s="22">
        <f>VLOOKUP(tabCustoUnit[[#This Row],[Código do Posto]],tabParametros[],MATCH(tabCustoUnit[[#Headers],[Produtos de Limpeza e Materiais de Higiene Pessoal]],tabParametros[#Headers],0),0)</f>
        <v>345.13576638965827</v>
      </c>
      <c r="BK75" s="22">
        <f>VLOOKUP(tabCustoUnit[[#This Row],[Código do Posto]],tabParametros[],MATCH(tabCustoUnit[[#Headers],[Outros (especificar)]],tabParametros[#Headers],0),0)</f>
        <v>0</v>
      </c>
      <c r="BL75" s="22">
        <f>SUM(tabCustoUnit[[#This Row],[Uniformes e EPIs]:[Outros (especificar)]])</f>
        <v>457.96623649302967</v>
      </c>
      <c r="BM75" s="22">
        <f>tabCustoUnit[[#This Row],[MODULO 1 - REMUNERAÇÃO ]]+tabCustoUnit[[#This Row],[MÓDULO 2 - Total Encargos e Benefícios mensais e diários]]+tabCustoUnit[[#This Row],[MÓDULO 3 – PROVISÃO PARA RESCISÃO]]+tabCustoUnit[[#This Row],[MÓDULO 4 – CUSTO DE REPOSIÇÃO DO PROFISSIONAL AUSENTE]]+tabCustoUnit[[#This Row],[MÓDULO 5 – INSUMOS DIVERSOS]]</f>
        <v>2658.2164025844677</v>
      </c>
      <c r="BN75" s="22">
        <f>VLOOKUP(tabCustoUnit[[#This Row],[Código do Posto]],tabParametros[],MATCH(tabCustoUnit[[#Headers],[Custos Indiretos]],tabParametros[#Headers],0),0)</f>
        <v>189.64880140242613</v>
      </c>
      <c r="BO75" s="22">
        <f>VLOOKUP(tabCustoUnit[[#This Row],[Código do Posto]],tabParametros[],MATCH(tabCustoUnit[[#Headers],[Lucro]],tabParametros[#Headers],0),0)</f>
        <v>159.30499317803796</v>
      </c>
      <c r="BP75" s="26">
        <f>((100/((1-tabCustoUnit[[#This Row],[Resumo de Alíquotas (PIS+CONFINS+ISS)]]))-100)*VLOOKUP(tabCustoUnit[[#This Row],[Código do Posto]],tabParametros[],MATCH(tabCustoUnit[[#Headers],[COFINS]],tabParametros[#Headers],0),0))/(tabCustoUnit[[#This Row],[Resumo de Alíquotas (PIS+CONFINS+ISS)]]*100)</f>
        <v>8.6609686609686695E-2</v>
      </c>
      <c r="BQ75" s="26">
        <f>((100/((100-(tabCustoUnit[[#This Row],[Resumo de Alíquotas (PIS+CONFINS+ISS)]]*100))%)-100)*VLOOKUP(tabCustoUnit[[#This Row],[Código do Posto]],tabParametros[],MATCH(tabCustoUnit[[#Headers],[PIS]],tabParametros[#Headers],0),0))/(tabCustoUnit[[#This Row],[Resumo de Alíquotas (PIS+CONFINS+ISS)]]*100)</f>
        <v>1.880341880341882E-2</v>
      </c>
      <c r="BR75" s="28">
        <f>VLOOKUP(tabCustoUnit[[#This Row],[Código do Posto]],tabParametros[],MATCH(tabCustoUnit[[#Headers],[ISS]],tabParametros[#Headers],0),0)</f>
        <v>0.03</v>
      </c>
      <c r="BS75" s="26">
        <f>(((100/((100-(tabCustoUnit[[#This Row],[Resumo de Alíquotas (PIS+CONFINS+ISS)]]*100))%)-100)*tabCustoUnit[[#This Row],[ISS]])/tabCustoUnit[[#This Row],[Resumo de Alíquotas (PIS+CONFINS+ISS)]])/100</f>
        <v>3.4188034188034219E-2</v>
      </c>
      <c r="BT75" s="26">
        <f>(VLOOKUP(tabCustoUnit[[#This Row],[Código do Posto]],tabParametros[],MATCH(tabCustoUnit[[#Headers],[COFINS]],tabParametros[#Headers],0),0)+
VLOOKUP(tabCustoUnit[[#This Row],[Código do Posto]],tabParametros[],MATCH(tabCustoUnit[[#Headers],[PIS]],tabParametros[#Headers],0),0)+
VLOOKUP(tabCustoUnit[[#This Row],[Código do Posto]],tabParametros[],MATCH(tabCustoUnit[[#Headers],[ISS]],tabParametros[#Headers],0),0))</f>
        <v>0.1225</v>
      </c>
      <c r="BU75" s="138">
        <f>tabCustoUnit[[#This Row],[COFINS]]+tabCustoUnit[[#This Row],[PIS]]+tabCustoUnit[[#This Row],[ISS (Conversão Alíquota s/ fatura)]]</f>
        <v>0.13960113960113973</v>
      </c>
      <c r="BV75" s="22">
        <f>(tabCustoUnit[[#This Row],[TOTAL MÓDULOS 1+2+3+4+5]]+tabCustoUnit[[#This Row],[Custos Indiretos]]+tabCustoUnit[[#This Row],[Lucro]])*tabCustoUnit[[#This Row],[PIS + COFINS + ISS (Total Conversão  Alíquota s/ Fatura)]]</f>
        <v>419.80438649880853</v>
      </c>
      <c r="BW75" s="22">
        <f>tabCustoUnit[[#This Row],[Custos Indiretos]]+tabCustoUnit[[#This Row],[Lucro]]+tabCustoUnit[[#This Row],[Valor dos Tributos (ISS, PIS, CONFINS)]]</f>
        <v>768.75818107927262</v>
      </c>
      <c r="BX75" s="22">
        <f>tabCustoUnit[[#This Row],[TOTAL MÓDULOS 1+2+3+4+5]]+tabCustoUnit[[#This Row],[MÓDULO 6 – CUSTOS INDIRETOS, TRIBUTOS E LUCRO]]</f>
        <v>3426.9745836637403</v>
      </c>
      <c r="BY75" s="22">
        <f>tabCustoUnit[[#This Row],[CUSTO TOTAL MENSAL]]*12</f>
        <v>41123.69500396488</v>
      </c>
      <c r="BZ75" s="24">
        <f>VLOOKUP(tabCustoUnit[[#This Row],[Código do Posto]],tabParametros[],MATCH(tabCustoUnit[[#Headers],[ANO DA CCT]],tabParametros[#Headers],0),0)</f>
        <v>45658</v>
      </c>
      <c r="CA75" s="25" t="str">
        <f>VLOOKUP(tabCustoUnit[[#This Row],[Código do Posto]],tabParametros[],MATCH(tabCustoUnit[[#Headers],[Nº DE PEDIDO DA CCT]],tabParametros[#Headers],0),0)</f>
        <v>-</v>
      </c>
      <c r="CB75" s="25" t="str">
        <f>VLOOKUP(tabCustoUnit[[#This Row],[Código do Posto]],tabParametros[],MATCH(tabCustoUnit[[#Headers],[TERMO ADITIVO ALTERAÇÃO DA CCT]],tabParametros[#Headers],0),0)</f>
        <v>-</v>
      </c>
    </row>
    <row r="76" spans="1:80" x14ac:dyDescent="0.25">
      <c r="A76" s="20" t="s">
        <v>1416</v>
      </c>
      <c r="B76" t="s">
        <v>73</v>
      </c>
      <c r="C76" t="s">
        <v>1245</v>
      </c>
      <c r="D76" t="s">
        <v>1020</v>
      </c>
      <c r="E76" s="20" t="s">
        <v>9</v>
      </c>
      <c r="F76" s="20" t="s">
        <v>10</v>
      </c>
      <c r="G76" s="21">
        <v>1596.28</v>
      </c>
      <c r="H76" s="21">
        <v>0</v>
      </c>
      <c r="I76" s="21">
        <v>0</v>
      </c>
      <c r="J76" s="21">
        <v>0</v>
      </c>
      <c r="K76" s="21">
        <v>0</v>
      </c>
      <c r="L76" s="21">
        <v>0</v>
      </c>
      <c r="M76" s="21">
        <v>0</v>
      </c>
      <c r="N76" s="21">
        <v>52.241900000000001</v>
      </c>
      <c r="O76" s="21">
        <f>SUM(tabCustoUnit[[#This Row],[Salário Base]:[Adicional de Acúmulo de função]])</f>
        <v>1648.5219</v>
      </c>
      <c r="P76" s="21">
        <f>tabCustoUnit[[#This Row],[MODULO 1 - REMUNERAÇÃO ]]*SUMIFS(tabParametros[INSS],tabParametros[Código do Posto],tabCustoUnit[[#This Row],[Código do Posto]])</f>
        <v>329.70438000000001</v>
      </c>
      <c r="Q76" s="21">
        <f>tabCustoUnit[[#This Row],[MODULO 1 - REMUNERAÇÃO ]]*SUMIFS(tabParametros[SESI OU SESC],tabParametros[Código do Posto],tabCustoUnit[[#This Row],[Código do Posto]])</f>
        <v>24.727828499999998</v>
      </c>
      <c r="R76" s="21">
        <f>tabCustoUnit[[#This Row],[MODULO 1 - REMUNERAÇÃO ]]*SUMIFS(tabParametros[SENAI OU SENAC],tabParametros[Código do Posto],tabCustoUnit[[#This Row],[Código do Posto]])</f>
        <v>16.485219000000001</v>
      </c>
      <c r="S76" s="21">
        <f>tabCustoUnit[[#This Row],[MODULO 1 - REMUNERAÇÃO ]]*SUMIFS(tabParametros[INCRA],tabParametros[Código do Posto],tabCustoUnit[[#This Row],[Código do Posto]])</f>
        <v>3.2970438</v>
      </c>
      <c r="T76" s="21">
        <f>tabCustoUnit[[#This Row],[MODULO 1 - REMUNERAÇÃO ]]*SUMIFS(tabParametros[Salário Educação],tabParametros[Código do Posto],tabCustoUnit[[#This Row],[Código do Posto]])</f>
        <v>41.213047500000002</v>
      </c>
      <c r="U76" s="21">
        <f>tabCustoUnit[[#This Row],[MODULO 1 - REMUNERAÇÃO ]]*SUMIFS(tabParametros[FGTS],tabParametros[Código do Posto],tabCustoUnit[[#This Row],[Código do Posto]])</f>
        <v>131.88175200000001</v>
      </c>
      <c r="V76" s="21">
        <f>tabCustoUnit[[#This Row],[MODULO 1 - REMUNERAÇÃO ]]*SUMIFS(tabParametros[RAT Ajustado],tabParametros[Código do Posto],tabCustoUnit[[#This Row],[Código do Posto]])</f>
        <v>65.940876000000003</v>
      </c>
      <c r="W76" s="21">
        <f>tabCustoUnit[[#This Row],[MODULO 1 - REMUNERAÇÃO ]]*SUMIFS(tabParametros[SEBRAE],tabParametros[Código do Posto],tabCustoUnit[[#This Row],[Código do Posto]])</f>
        <v>9.8911314000000008</v>
      </c>
      <c r="X76" s="21">
        <f>SUM(tabCustoUnit[[#This Row],[INSS]:[SEBRAE]])</f>
        <v>623.14127819999999</v>
      </c>
      <c r="Y76" s="21">
        <f>tabCustoUnit[[#This Row],[MODULO 1 - REMUNERAÇÃO ]]*SUMIFS(tabParametros[13º salário (titular)],tabParametros[Código do Posto],tabCustoUnit[[#This Row],[Código do Posto]])</f>
        <v>137.376825</v>
      </c>
      <c r="Z76" s="21">
        <f>tabCustoUnit[[#This Row],[MODULO 1 - REMUNERAÇÃO ]]*SUMIFS(tabParametros[Férias e Adicional de Férias (titular)],tabParametros[Código do Posto],tabCustoUnit[[#This Row],[Código do Posto]])</f>
        <v>183.16909999999999</v>
      </c>
      <c r="AA76" s="21">
        <f>IFERROR((tabCustoUnit[[#This Row],[Submódulo 2.1]]/tabCustoUnit[[#This Row],[MODULO 1 - REMUNERAÇÃO ]])*SUM(tabCustoUnit[[#This Row],[13º salário (titular)]:[Férias e Adicional de Férias (titular)]]),0)</f>
        <v>121.16635965</v>
      </c>
      <c r="AB76" s="21">
        <f>SUM(tabCustoUnit[[#This Row],[13º salário (titular)]:[Incidência do Submódulo 2.1 sobre 13º Salário, Férias e Adicional de Férias]])</f>
        <v>441.71228465000002</v>
      </c>
      <c r="AC76" s="22">
        <f>_xlfn.LET(_xlpm.VT,SUMIF(tabParametros[Código do Posto],tabCustoUnit[[#This Row],[Código do Posto]],tabParametros[Vale - Transporte])*2*20,
IF((_xlpm.VT-tabCustoUnit[[#This Row],[Salário Base]]*0.06)&gt;=0,(_xlpm.VT-tabCustoUnit[[#This Row],[Salário Base]]*0.06),0)
)</f>
        <v>160.22320000000002</v>
      </c>
      <c r="AD76" s="22">
        <f>IF(SUMIF(tabParametros[Código do Posto],tabCustoUnit[[#This Row],[Código do Posto]],tabParametros[Vale - Alimentação])&lt;=0,0,
SUMIF(tabParametros[Código do Posto],tabCustoUnit[[#This Row],[Código do Posto]],tabParametros[Vale - Alimentação])*20-1)</f>
        <v>582</v>
      </c>
      <c r="AE76" s="22">
        <f>SUMIF(tabParametros[Código do Posto],tabCustoUnit[[#This Row],[Código do Posto]],tabParametros[Cesta Básica])</f>
        <v>0</v>
      </c>
      <c r="AF76" s="22">
        <f>SUMIF(tabParametros[Código do Posto],tabCustoUnit[[#This Row],[Código do Posto]],tabParametros[PAF])</f>
        <v>0</v>
      </c>
      <c r="AG76" s="22">
        <f>SUMIF(tabParametros[Código do Posto],tabCustoUnit[[#This Row],[Código do Posto]],tabParametros[PQM])</f>
        <v>0</v>
      </c>
      <c r="AH76" s="22">
        <f>SUMIF(tabParametros[Código do Posto],tabCustoUnit[[#This Row],[Código do Posto]],tabParametros[PAT])</f>
        <v>0</v>
      </c>
      <c r="AI76" s="22">
        <f>SUMIF(tabParametros[Código do Posto],tabCustoUnit[[#This Row],[Código do Posto]],tabParametros[Seguro de Vida])</f>
        <v>3.36</v>
      </c>
      <c r="AJ76" s="22">
        <f>SUMIF(tabParametros[Código do Posto],tabCustoUnit[[#This Row],[Código do Posto]],tabParametros[Despesas de Viagem])</f>
        <v>0</v>
      </c>
      <c r="AK76" s="22">
        <f>SUM(tabCustoUnit[[#This Row],[Vale - Transporte (Descontada parcela do empregado)]:[Despesas de Viagem]])</f>
        <v>745.58320000000003</v>
      </c>
      <c r="AL76" s="22">
        <f>tabCustoUnit[[#This Row],[Submódulo 2.1]]+tabCustoUnit[[#This Row],[Submódulo 2.2]]+tabCustoUnit[[#This Row],[Submódulo 2.3]]</f>
        <v>1810.4367628499999</v>
      </c>
      <c r="AM76" s="22">
        <f>SUMIF(tabParametros[Código do Posto],tabCustoUnit[[#This Row],[Código do Posto]],tabParametros[Aviso Prévio Indenizado (API) e Reflexo do Aviso Prévio Indenizado])*tabCustoUnit[[#This Row],[MODULO 1 - REMUNERAÇÃO ]]</f>
        <v>11.559051416493055</v>
      </c>
      <c r="AN76" s="22">
        <f>SUMIF(tabParametros[Código do Posto],tabCustoUnit[[#This Row],[Código do Posto]],tabParametros[Incidência do FGTS sobre API e Reflexo do API])*tabCustoUnit[[#This Row],[MODULO 1 - REMUNERAÇÃO ]]</f>
        <v>0.92472411331944449</v>
      </c>
      <c r="AO76" s="22">
        <f>SUMIF(tabParametros[Código do Posto],tabCustoUnit[[#This Row],[Código do Posto]],tabParametros[Multa Rescisória do FGTS sobre o Aviso Prévio Indenizado])*tabCustoUnit[[#This Row],[MODULO 1 - REMUNERAÇÃO ]]</f>
        <v>0.36988964532777785</v>
      </c>
      <c r="AP76" s="22">
        <f>SUMIF(tabParametros[Código do Posto],tabCustoUnit[[#This Row],[Código do Posto]],tabParametros[Aviso Prévio Trabalhado - APT])*tabCustoUnit[[#This Row],[MODULO 1 - REMUNERAÇÃO ]]</f>
        <v>5.7698266500000006</v>
      </c>
      <c r="AQ76" s="22">
        <f>SUMIF(tabParametros[Código do Posto],tabCustoUnit[[#This Row],[Código do Posto]],tabParametros[Incidência dos encargos do submódulo 2.1 sobre Aviso Prévio Trabalhado])*tabCustoUnit[[#This Row],[MODULO 1 - REMUNERAÇÃO ]]</f>
        <v>2.1809944737000007</v>
      </c>
      <c r="AR76" s="22">
        <f>SUMIF(tabParametros[Código do Posto],tabCustoUnit[[#This Row],[Código do Posto]],tabParametros[Multa Rescisória do FGTS])*tabCustoUnit[[#This Row],[MODULO 1 - REMUNERAÇÃO ]]</f>
        <v>50.40813631999999</v>
      </c>
      <c r="AS76" s="22">
        <f>SUMIF(tabParametros[Código do Posto],tabCustoUnit[[#This Row],[Código do Posto]],tabParametros[Indenização Adicional (Art. 9º da Lei nº 7.238/84)])*tabCustoUnit[[#This Row],[MODULO 1 - REMUNERAÇÃO ]]</f>
        <v>1.3737682500000001</v>
      </c>
      <c r="AT76" s="22">
        <f>SUM(tabCustoUnit[[#This Row],[Aviso Prévio Indenizado (API) e Reflexo do Aviso Prévio Indenizado]:[Indenização Adicional (Art. 9º da Lei nº 7.238/84)]])</f>
        <v>72.586390868840269</v>
      </c>
      <c r="AU76" s="22">
        <f>SUMIF(tabParametros[Código do Posto],tabCustoUnit[[#This Row],[Código do Posto]],tabParametros[Ausência por Doença])*tabCustoUnit[[#This Row],[MODULO 1 - REMUNERAÇÃO ]]</f>
        <v>13.920851599999999</v>
      </c>
      <c r="AV76" s="22">
        <f>SUMIF(tabParametros[Código do Posto],tabCustoUnit[[#This Row],[Código do Posto]],tabParametros[Ausências Legais])*tabCustoUnit[[#This Row],[MODULO 1 - REMUNERAÇÃO ]]</f>
        <v>3.3428360749999997</v>
      </c>
      <c r="AW76" s="22">
        <f>SUMIF(tabParametros[Código do Posto],tabCustoUnit[[#This Row],[Código do Posto]],tabParametros[Licença Paternidade])*tabCustoUnit[[#This Row],[MODULO 1 - REMUNERAÇÃO ]]</f>
        <v>0.28162249125</v>
      </c>
      <c r="AX76" s="22">
        <f>SUMIF(tabParametros[Código do Posto],tabCustoUnit[[#This Row],[Código do Posto]],tabParametros[Ausência por Acidente de Trabalho])*tabCustoUnit[[#This Row],[MODULO 1 - REMUNERAÇÃO ]]</f>
        <v>0.34344206250000003</v>
      </c>
      <c r="AY76" s="22">
        <f>SUMIF(tabParametros[Código do Posto],tabCustoUnit[[#This Row],[Código do Posto]],tabParametros[Férias, Adicional de Férias e 13º  com empregada em gozo de Licença Maternidade])*tabCustoUnit[[#This Row],[MODULO 1 - REMUNERAÇÃO ]]</f>
        <v>2.1369728333333331</v>
      </c>
      <c r="AZ76" s="22">
        <f>SUMIF(tabParametros[Código do Posto],tabCustoUnit[[#This Row],[Código do Posto]],tabParametros[Incidência do Submódulo 2.1 sobre Ausências Legais])*tabCustoUnit[[#This Row],[MODULO 1 - REMUNERAÇÃO ]]</f>
        <v>7.5697240734675013</v>
      </c>
      <c r="BA76" s="22">
        <f>SUM(tabCustoUnit[[#This Row],[Ausência por Doença]:[Incidência do Submódulo 2.1 sobre Ausências Legais]])</f>
        <v>27.595449135550833</v>
      </c>
      <c r="BB76" s="22">
        <f>SUMIF(tabParametros[Código do Posto],tabCustoUnit[[#This Row],[Código do Posto]],tabParametros[Intervalo para Repouso ou Alimentação])</f>
        <v>0</v>
      </c>
      <c r="BC76" s="22">
        <f>tabCustoUnit[[#This Row],[Intervalo para Repouso ou Alimentação]]</f>
        <v>0</v>
      </c>
      <c r="BD76" s="22">
        <f>IF(VLOOKUP(tabCustoUnit[[#This Row],[Código do Posto]],PARAMETROS!$A$4:$BJ$255,7,0)&lt;=0,0,
IFERROR((tabCustoUnit[[#This Row],[MODULO 1 - REMUNERAÇÃO ]]*VLOOKUP(tabCustoUnit[[#This Row],[Código do Posto]],PARAMETROS!$A$4:$BJ$255,49,0))/(VLOOKUP(tabCustoUnit[[#This Row],[Código do Posto]],PARAMETROS!$A$4:$BJ$255,7,0)*VLOOKUP(tabCustoUnit[[#This Row],[Código do Posto]],PARAMETROS!$A$4:$BJ$255,8,0)),0)
)</f>
        <v>0</v>
      </c>
      <c r="BE76" s="22">
        <f>tabCustoUnit[[#This Row],[Suspensão Temporária do Contrato de Trabalho]]</f>
        <v>0</v>
      </c>
      <c r="BF76" s="22">
        <f>tabCustoUnit[[#This Row],[Submódulo 4.1]]+tabCustoUnit[[#This Row],[Submódulo 4.2]]+tabCustoUnit[[#This Row],[Submódulo 4.3]]</f>
        <v>27.595449135550833</v>
      </c>
      <c r="BG76" s="22">
        <f>VLOOKUP(tabCustoUnit[[#This Row],[Código do Posto]],tabParametros[],MATCH(tabCustoUnit[[#Headers],[Uniformes e EPIs]],tabParametros[#Headers],0),0)</f>
        <v>100.80916666666666</v>
      </c>
      <c r="BH76" s="22">
        <f>VLOOKUP(tabCustoUnit[[#This Row],[Código do Posto]],tabParametros[],MATCH(tabCustoUnit[[#Headers],[Materiais de Consumo]],tabParametros[#Headers],0),0)</f>
        <v>35.518212958583888</v>
      </c>
      <c r="BI76" s="22">
        <f>VLOOKUP(tabCustoUnit[[#This Row],[Código do Posto]],tabParametros[],MATCH(tabCustoUnit[[#Headers],[Máquinas e Equipamentos (depreciação)]],tabParametros[#Headers],0),0)</f>
        <v>64.529393914825576</v>
      </c>
      <c r="BJ76" s="22">
        <f>VLOOKUP(tabCustoUnit[[#This Row],[Código do Posto]],tabParametros[],MATCH(tabCustoUnit[[#Headers],[Produtos de Limpeza e Materiais de Higiene Pessoal]],tabParametros[#Headers],0),0)</f>
        <v>690.27153277931654</v>
      </c>
      <c r="BK76" s="22">
        <f>VLOOKUP(tabCustoUnit[[#This Row],[Código do Posto]],tabParametros[],MATCH(tabCustoUnit[[#Headers],[Outros (especificar)]],tabParametros[#Headers],0),0)</f>
        <v>0</v>
      </c>
      <c r="BL76" s="22">
        <f>SUM(tabCustoUnit[[#This Row],[Uniformes e EPIs]:[Outros (especificar)]])</f>
        <v>891.12830631939266</v>
      </c>
      <c r="BM76" s="22">
        <f>tabCustoUnit[[#This Row],[MODULO 1 - REMUNERAÇÃO ]]+tabCustoUnit[[#This Row],[MÓDULO 2 - Total Encargos e Benefícios mensais e diários]]+tabCustoUnit[[#This Row],[MÓDULO 3 – PROVISÃO PARA RESCISÃO]]+tabCustoUnit[[#This Row],[MÓDULO 4 – CUSTO DE REPOSIÇÃO DO PROFISSIONAL AUSENTE]]+tabCustoUnit[[#This Row],[MÓDULO 5 – INSUMOS DIVERSOS]]</f>
        <v>4450.2688091737837</v>
      </c>
      <c r="BN76" s="22">
        <f>VLOOKUP(tabCustoUnit[[#This Row],[Código do Posto]],tabParametros[],MATCH(tabCustoUnit[[#Headers],[Custos Indiretos]],tabParametros[#Headers],0),0)</f>
        <v>189.64880140242613</v>
      </c>
      <c r="BO76" s="22">
        <f>VLOOKUP(tabCustoUnit[[#This Row],[Código do Posto]],tabParametros[],MATCH(tabCustoUnit[[#Headers],[Lucro]],tabParametros[#Headers],0),0)</f>
        <v>159.30499317803796</v>
      </c>
      <c r="BP76" s="26">
        <f>((100/((1-tabCustoUnit[[#This Row],[Resumo de Alíquotas (PIS+CONFINS+ISS)]]))-100)*VLOOKUP(tabCustoUnit[[#This Row],[Código do Posto]],tabParametros[],MATCH(tabCustoUnit[[#Headers],[COFINS]],tabParametros[#Headers],0),0))/(tabCustoUnit[[#This Row],[Resumo de Alíquotas (PIS+CONFINS+ISS)]]*100)</f>
        <v>8.6609686609686695E-2</v>
      </c>
      <c r="BQ76" s="26">
        <f>((100/((100-(tabCustoUnit[[#This Row],[Resumo de Alíquotas (PIS+CONFINS+ISS)]]*100))%)-100)*VLOOKUP(tabCustoUnit[[#This Row],[Código do Posto]],tabParametros[],MATCH(tabCustoUnit[[#Headers],[PIS]],tabParametros[#Headers],0),0))/(tabCustoUnit[[#This Row],[Resumo de Alíquotas (PIS+CONFINS+ISS)]]*100)</f>
        <v>1.880341880341882E-2</v>
      </c>
      <c r="BR76" s="28">
        <f>VLOOKUP(tabCustoUnit[[#This Row],[Código do Posto]],tabParametros[],MATCH(tabCustoUnit[[#Headers],[ISS]],tabParametros[#Headers],0),0)</f>
        <v>0.03</v>
      </c>
      <c r="BS76" s="26">
        <f>(((100/((100-(tabCustoUnit[[#This Row],[Resumo de Alíquotas (PIS+CONFINS+ISS)]]*100))%)-100)*tabCustoUnit[[#This Row],[ISS]])/tabCustoUnit[[#This Row],[Resumo de Alíquotas (PIS+CONFINS+ISS)]])/100</f>
        <v>3.4188034188034219E-2</v>
      </c>
      <c r="BT76" s="26">
        <f>(VLOOKUP(tabCustoUnit[[#This Row],[Código do Posto]],tabParametros[],MATCH(tabCustoUnit[[#Headers],[COFINS]],tabParametros[#Headers],0),0)+
VLOOKUP(tabCustoUnit[[#This Row],[Código do Posto]],tabParametros[],MATCH(tabCustoUnit[[#Headers],[PIS]],tabParametros[#Headers],0),0)+
VLOOKUP(tabCustoUnit[[#This Row],[Código do Posto]],tabParametros[],MATCH(tabCustoUnit[[#Headers],[ISS]],tabParametros[#Headers],0),0))</f>
        <v>0.1225</v>
      </c>
      <c r="BU76" s="138">
        <f>tabCustoUnit[[#This Row],[COFINS]]+tabCustoUnit[[#This Row],[PIS]]+tabCustoUnit[[#This Row],[ISS (Conversão Alíquota s/ fatura)]]</f>
        <v>0.13960113960113973</v>
      </c>
      <c r="BV76" s="22">
        <f>(tabCustoUnit[[#This Row],[TOTAL MÓDULOS 1+2+3+4+5]]+tabCustoUnit[[#This Row],[Custos Indiretos]]+tabCustoUnit[[#This Row],[Lucro]])*tabCustoUnit[[#This Row],[PIS + COFINS + ISS (Total Conversão  Alíquota s/ Fatura)]]</f>
        <v>669.97694468364205</v>
      </c>
      <c r="BW76" s="22">
        <f>tabCustoUnit[[#This Row],[Custos Indiretos]]+tabCustoUnit[[#This Row],[Lucro]]+tabCustoUnit[[#This Row],[Valor dos Tributos (ISS, PIS, CONFINS)]]</f>
        <v>1018.9307392641061</v>
      </c>
      <c r="BX76" s="22">
        <f>tabCustoUnit[[#This Row],[TOTAL MÓDULOS 1+2+3+4+5]]+tabCustoUnit[[#This Row],[MÓDULO 6 – CUSTOS INDIRETOS, TRIBUTOS E LUCRO]]</f>
        <v>5469.1995484378895</v>
      </c>
      <c r="BY76" s="22">
        <f>tabCustoUnit[[#This Row],[CUSTO TOTAL MENSAL]]*12</f>
        <v>65630.394581254674</v>
      </c>
      <c r="BZ76" s="24">
        <f>VLOOKUP(tabCustoUnit[[#This Row],[Código do Posto]],tabParametros[],MATCH(tabCustoUnit[[#Headers],[ANO DA CCT]],tabParametros[#Headers],0),0)</f>
        <v>45658</v>
      </c>
      <c r="CA76" s="25" t="str">
        <f>VLOOKUP(tabCustoUnit[[#This Row],[Código do Posto]],tabParametros[],MATCH(tabCustoUnit[[#Headers],[Nº DE PEDIDO DA CCT]],tabParametros[#Headers],0),0)</f>
        <v>-</v>
      </c>
      <c r="CB76" s="25" t="str">
        <f>VLOOKUP(tabCustoUnit[[#This Row],[Código do Posto]],tabParametros[],MATCH(tabCustoUnit[[#Headers],[TERMO ADITIVO ALTERAÇÃO DA CCT]],tabParametros[#Headers],0),0)</f>
        <v>-</v>
      </c>
    </row>
    <row r="77" spans="1:80" x14ac:dyDescent="0.25">
      <c r="A77" s="20" t="s">
        <v>1417</v>
      </c>
      <c r="B77" t="s">
        <v>74</v>
      </c>
      <c r="C77" t="s">
        <v>1244</v>
      </c>
      <c r="D77" t="s">
        <v>1000</v>
      </c>
      <c r="E77" s="20" t="s">
        <v>9</v>
      </c>
      <c r="F77" s="20" t="s">
        <v>10</v>
      </c>
      <c r="G77" s="21">
        <v>798.14</v>
      </c>
      <c r="H77" s="21">
        <v>0</v>
      </c>
      <c r="I77" s="21">
        <v>0</v>
      </c>
      <c r="J77" s="21">
        <v>0</v>
      </c>
      <c r="K77" s="21">
        <v>0</v>
      </c>
      <c r="L77" s="21">
        <v>0</v>
      </c>
      <c r="M77" s="21">
        <v>0</v>
      </c>
      <c r="N77" s="21">
        <v>26.120899999999999</v>
      </c>
      <c r="O77" s="21">
        <f>SUM(tabCustoUnit[[#This Row],[Salário Base]:[Adicional de Acúmulo de função]])</f>
        <v>824.26089999999999</v>
      </c>
      <c r="P77" s="21">
        <f>tabCustoUnit[[#This Row],[MODULO 1 - REMUNERAÇÃO ]]*SUMIFS(tabParametros[INSS],tabParametros[Código do Posto],tabCustoUnit[[#This Row],[Código do Posto]])</f>
        <v>164.85218</v>
      </c>
      <c r="Q77" s="21">
        <f>tabCustoUnit[[#This Row],[MODULO 1 - REMUNERAÇÃO ]]*SUMIFS(tabParametros[SESI OU SESC],tabParametros[Código do Posto],tabCustoUnit[[#This Row],[Código do Posto]])</f>
        <v>12.363913499999999</v>
      </c>
      <c r="R77" s="21">
        <f>tabCustoUnit[[#This Row],[MODULO 1 - REMUNERAÇÃO ]]*SUMIFS(tabParametros[SENAI OU SENAC],tabParametros[Código do Posto],tabCustoUnit[[#This Row],[Código do Posto]])</f>
        <v>8.2426089999999999</v>
      </c>
      <c r="S77" s="21">
        <f>tabCustoUnit[[#This Row],[MODULO 1 - REMUNERAÇÃO ]]*SUMIFS(tabParametros[INCRA],tabParametros[Código do Posto],tabCustoUnit[[#This Row],[Código do Posto]])</f>
        <v>1.6485217999999999</v>
      </c>
      <c r="T77" s="21">
        <f>tabCustoUnit[[#This Row],[MODULO 1 - REMUNERAÇÃO ]]*SUMIFS(tabParametros[Salário Educação],tabParametros[Código do Posto],tabCustoUnit[[#This Row],[Código do Posto]])</f>
        <v>20.606522500000001</v>
      </c>
      <c r="U77" s="21">
        <f>tabCustoUnit[[#This Row],[MODULO 1 - REMUNERAÇÃO ]]*SUMIFS(tabParametros[FGTS],tabParametros[Código do Posto],tabCustoUnit[[#This Row],[Código do Posto]])</f>
        <v>65.940871999999999</v>
      </c>
      <c r="V77" s="21">
        <f>tabCustoUnit[[#This Row],[MODULO 1 - REMUNERAÇÃO ]]*SUMIFS(tabParametros[RAT Ajustado],tabParametros[Código do Posto],tabCustoUnit[[#This Row],[Código do Posto]])</f>
        <v>32.970435999999999</v>
      </c>
      <c r="W77" s="21">
        <f>tabCustoUnit[[#This Row],[MODULO 1 - REMUNERAÇÃO ]]*SUMIFS(tabParametros[SEBRAE],tabParametros[Código do Posto],tabCustoUnit[[#This Row],[Código do Posto]])</f>
        <v>4.9455654000000004</v>
      </c>
      <c r="X77" s="21">
        <f>SUM(tabCustoUnit[[#This Row],[INSS]:[SEBRAE]])</f>
        <v>311.57062020000001</v>
      </c>
      <c r="Y77" s="21">
        <f>tabCustoUnit[[#This Row],[MODULO 1 - REMUNERAÇÃO ]]*SUMIFS(tabParametros[13º salário (titular)],tabParametros[Código do Posto],tabCustoUnit[[#This Row],[Código do Posto]])</f>
        <v>68.688408333333328</v>
      </c>
      <c r="Z77" s="21">
        <f>tabCustoUnit[[#This Row],[MODULO 1 - REMUNERAÇÃO ]]*SUMIFS(tabParametros[Férias e Adicional de Férias (titular)],tabParametros[Código do Posto],tabCustoUnit[[#This Row],[Código do Posto]])</f>
        <v>91.584544444444433</v>
      </c>
      <c r="AA77" s="21">
        <f>IFERROR((tabCustoUnit[[#This Row],[Submódulo 2.1]]/tabCustoUnit[[#This Row],[MODULO 1 - REMUNERAÇÃO ]])*SUM(tabCustoUnit[[#This Row],[13º salário (titular)]:[Férias e Adicional de Férias (titular)]]),0)</f>
        <v>60.583176149999993</v>
      </c>
      <c r="AB77" s="21">
        <f>SUM(tabCustoUnit[[#This Row],[13º salário (titular)]:[Incidência do Submódulo 2.1 sobre 13º Salário, Férias e Adicional de Férias]])</f>
        <v>220.85612892777775</v>
      </c>
      <c r="AC77" s="22">
        <f>_xlfn.LET(_xlpm.VT,SUMIF(tabParametros[Código do Posto],tabCustoUnit[[#This Row],[Código do Posto]],tabParametros[Vale - Transporte])*2*20,
IF((_xlpm.VT-tabCustoUnit[[#This Row],[Salário Base]]*0.06)&gt;=0,(_xlpm.VT-tabCustoUnit[[#This Row],[Salário Base]]*0.06),0)
)</f>
        <v>208.11160000000001</v>
      </c>
      <c r="AD77" s="22">
        <f>IF(SUMIF(tabParametros[Código do Posto],tabCustoUnit[[#This Row],[Código do Posto]],tabParametros[Vale - Alimentação])&lt;=0,0,
SUMIF(tabParametros[Código do Posto],tabCustoUnit[[#This Row],[Código do Posto]],tabParametros[Vale - Alimentação])*20-1)</f>
        <v>582</v>
      </c>
      <c r="AE77" s="22">
        <f>SUMIF(tabParametros[Código do Posto],tabCustoUnit[[#This Row],[Código do Posto]],tabParametros[Cesta Básica])</f>
        <v>0</v>
      </c>
      <c r="AF77" s="22">
        <f>SUMIF(tabParametros[Código do Posto],tabCustoUnit[[#This Row],[Código do Posto]],tabParametros[PAF])</f>
        <v>0</v>
      </c>
      <c r="AG77" s="22">
        <f>SUMIF(tabParametros[Código do Posto],tabCustoUnit[[#This Row],[Código do Posto]],tabParametros[PQM])</f>
        <v>15.07</v>
      </c>
      <c r="AH77" s="22">
        <f>SUMIF(tabParametros[Código do Posto],tabCustoUnit[[#This Row],[Código do Posto]],tabParametros[PAT])</f>
        <v>0</v>
      </c>
      <c r="AI77" s="22">
        <f>SUMIF(tabParametros[Código do Posto],tabCustoUnit[[#This Row],[Código do Posto]],tabParametros[Seguro de Vida])</f>
        <v>3.36</v>
      </c>
      <c r="AJ77" s="22">
        <f>SUMIF(tabParametros[Código do Posto],tabCustoUnit[[#This Row],[Código do Posto]],tabParametros[Despesas de Viagem])</f>
        <v>0</v>
      </c>
      <c r="AK77" s="22">
        <f>SUM(tabCustoUnit[[#This Row],[Vale - Transporte (Descontada parcela do empregado)]:[Despesas de Viagem]])</f>
        <v>808.54160000000002</v>
      </c>
      <c r="AL77" s="22">
        <f>tabCustoUnit[[#This Row],[Submódulo 2.1]]+tabCustoUnit[[#This Row],[Submódulo 2.2]]+tabCustoUnit[[#This Row],[Submódulo 2.3]]</f>
        <v>1340.9683491277779</v>
      </c>
      <c r="AM77" s="22">
        <f>SUMIF(tabParametros[Código do Posto],tabCustoUnit[[#This Row],[Código do Posto]],tabParametros[Aviso Prévio Indenizado (API) e Reflexo do Aviso Prévio Indenizado])*tabCustoUnit[[#This Row],[MODULO 1 - REMUNERAÇÃO ]]</f>
        <v>5.7795253576581791</v>
      </c>
      <c r="AN77" s="22">
        <f>SUMIF(tabParametros[Código do Posto],tabCustoUnit[[#This Row],[Código do Posto]],tabParametros[Incidência do FGTS sobre API e Reflexo do API])*tabCustoUnit[[#This Row],[MODULO 1 - REMUNERAÇÃO ]]</f>
        <v>0.46236202861265435</v>
      </c>
      <c r="AO77" s="22">
        <f>SUMIF(tabParametros[Código do Posto],tabCustoUnit[[#This Row],[Código do Posto]],tabParametros[Multa Rescisória do FGTS sobre o Aviso Prévio Indenizado])*tabCustoUnit[[#This Row],[MODULO 1 - REMUNERAÇÃO ]]</f>
        <v>0.18494481144506175</v>
      </c>
      <c r="AP77" s="22">
        <f>SUMIF(tabParametros[Código do Posto],tabCustoUnit[[#This Row],[Código do Posto]],tabParametros[Aviso Prévio Trabalhado - APT])*tabCustoUnit[[#This Row],[MODULO 1 - REMUNERAÇÃO ]]</f>
        <v>2.8849131500000005</v>
      </c>
      <c r="AQ77" s="22">
        <f>SUMIF(tabParametros[Código do Posto],tabCustoUnit[[#This Row],[Código do Posto]],tabParametros[Incidência dos encargos do submódulo 2.1 sobre Aviso Prévio Trabalhado])*tabCustoUnit[[#This Row],[MODULO 1 - REMUNERAÇÃO ]]</f>
        <v>1.0904971707000004</v>
      </c>
      <c r="AR77" s="22">
        <f>SUMIF(tabParametros[Código do Posto],tabCustoUnit[[#This Row],[Código do Posto]],tabParametros[Multa Rescisória do FGTS])*tabCustoUnit[[#This Row],[MODULO 1 - REMUNERAÇÃO ]]</f>
        <v>25.204066631111107</v>
      </c>
      <c r="AS77" s="22">
        <f>SUMIF(tabParametros[Código do Posto],tabCustoUnit[[#This Row],[Código do Posto]],tabParametros[Indenização Adicional (Art. 9º da Lei nº 7.238/84)])*tabCustoUnit[[#This Row],[MODULO 1 - REMUNERAÇÃO ]]</f>
        <v>0.6868840833333334</v>
      </c>
      <c r="AT77" s="22">
        <f>SUM(tabCustoUnit[[#This Row],[Aviso Prévio Indenizado (API) e Reflexo do Aviso Prévio Indenizado]:[Indenização Adicional (Art. 9º da Lei nº 7.238/84)]])</f>
        <v>36.293193232860339</v>
      </c>
      <c r="AU77" s="22">
        <f>SUMIF(tabParametros[Código do Posto],tabCustoUnit[[#This Row],[Código do Posto]],tabParametros[Ausência por Doença])*tabCustoUnit[[#This Row],[MODULO 1 - REMUNERAÇÃO ]]</f>
        <v>6.9604253777777769</v>
      </c>
      <c r="AV77" s="22">
        <f>SUMIF(tabParametros[Código do Posto],tabCustoUnit[[#This Row],[Código do Posto]],tabParametros[Ausências Legais])*tabCustoUnit[[#This Row],[MODULO 1 - REMUNERAÇÃO ]]</f>
        <v>1.671417936111111</v>
      </c>
      <c r="AW77" s="22">
        <f>SUMIF(tabParametros[Código do Posto],tabCustoUnit[[#This Row],[Código do Posto]],tabParametros[Licença Paternidade])*tabCustoUnit[[#This Row],[MODULO 1 - REMUNERAÇÃO ]]</f>
        <v>0.14081123708333332</v>
      </c>
      <c r="AX77" s="22">
        <f>SUMIF(tabParametros[Código do Posto],tabCustoUnit[[#This Row],[Código do Posto]],tabParametros[Ausência por Acidente de Trabalho])*tabCustoUnit[[#This Row],[MODULO 1 - REMUNERAÇÃO ]]</f>
        <v>0.17172102083333335</v>
      </c>
      <c r="AY77" s="22">
        <f>SUMIF(tabParametros[Código do Posto],tabCustoUnit[[#This Row],[Código do Posto]],tabParametros[Férias, Adicional de Férias e 13º  com empregada em gozo de Licença Maternidade])*tabCustoUnit[[#This Row],[MODULO 1 - REMUNERAÇÃO ]]</f>
        <v>1.0684863518518517</v>
      </c>
      <c r="AZ77" s="22">
        <f>SUMIF(tabParametros[Código do Posto],tabCustoUnit[[#This Row],[Código do Posto]],tabParametros[Incidência do Submódulo 2.1 sobre Ausências Legais])*tabCustoUnit[[#This Row],[MODULO 1 - REMUNERAÇÃO ]]</f>
        <v>3.7848618071425006</v>
      </c>
      <c r="BA77" s="22">
        <f>SUM(tabCustoUnit[[#This Row],[Ausência por Doença]:[Incidência do Submódulo 2.1 sobre Ausências Legais]])</f>
        <v>13.797723730799909</v>
      </c>
      <c r="BB77" s="22">
        <f>SUMIF(tabParametros[Código do Posto],tabCustoUnit[[#This Row],[Código do Posto]],tabParametros[Intervalo para Repouso ou Alimentação])</f>
        <v>0</v>
      </c>
      <c r="BC77" s="22">
        <f>tabCustoUnit[[#This Row],[Intervalo para Repouso ou Alimentação]]</f>
        <v>0</v>
      </c>
      <c r="BD77" s="22">
        <f>IF(VLOOKUP(tabCustoUnit[[#This Row],[Código do Posto]],PARAMETROS!$A$4:$BJ$255,7,0)&lt;=0,0,
IFERROR((tabCustoUnit[[#This Row],[MODULO 1 - REMUNERAÇÃO ]]*VLOOKUP(tabCustoUnit[[#This Row],[Código do Posto]],PARAMETROS!$A$4:$BJ$255,49,0))/(VLOOKUP(tabCustoUnit[[#This Row],[Código do Posto]],PARAMETROS!$A$4:$BJ$255,7,0)*VLOOKUP(tabCustoUnit[[#This Row],[Código do Posto]],PARAMETROS!$A$4:$BJ$255,8,0)),0)
)</f>
        <v>0</v>
      </c>
      <c r="BE77" s="22">
        <f>tabCustoUnit[[#This Row],[Suspensão Temporária do Contrato de Trabalho]]</f>
        <v>0</v>
      </c>
      <c r="BF77" s="22">
        <f>tabCustoUnit[[#This Row],[Submódulo 4.1]]+tabCustoUnit[[#This Row],[Submódulo 4.2]]+tabCustoUnit[[#This Row],[Submódulo 4.3]]</f>
        <v>13.797723730799909</v>
      </c>
      <c r="BG77" s="22">
        <f>VLOOKUP(tabCustoUnit[[#This Row],[Código do Posto]],tabParametros[],MATCH(tabCustoUnit[[#Headers],[Uniformes e EPIs]],tabParametros[#Headers],0),0)</f>
        <v>62.806666666666665</v>
      </c>
      <c r="BH77" s="22">
        <f>VLOOKUP(tabCustoUnit[[#This Row],[Código do Posto]],tabParametros[],MATCH(tabCustoUnit[[#Headers],[Materiais de Consumo]],tabParametros[#Headers],0),0)</f>
        <v>17.759106479291944</v>
      </c>
      <c r="BI77" s="22">
        <f>VLOOKUP(tabCustoUnit[[#This Row],[Código do Posto]],tabParametros[],MATCH(tabCustoUnit[[#Headers],[Máquinas e Equipamentos (depreciação)]],tabParametros[#Headers],0),0)</f>
        <v>32.264696957412788</v>
      </c>
      <c r="BJ77" s="22">
        <f>VLOOKUP(tabCustoUnit[[#This Row],[Código do Posto]],tabParametros[],MATCH(tabCustoUnit[[#Headers],[Produtos de Limpeza e Materiais de Higiene Pessoal]],tabParametros[#Headers],0),0)</f>
        <v>345.13576638965827</v>
      </c>
      <c r="BK77" s="22">
        <f>VLOOKUP(tabCustoUnit[[#This Row],[Código do Posto]],tabParametros[],MATCH(tabCustoUnit[[#Headers],[Outros (especificar)]],tabParametros[#Headers],0),0)</f>
        <v>0</v>
      </c>
      <c r="BL77" s="22">
        <f>SUM(tabCustoUnit[[#This Row],[Uniformes e EPIs]:[Outros (especificar)]])</f>
        <v>457.96623649302967</v>
      </c>
      <c r="BM77" s="22">
        <f>tabCustoUnit[[#This Row],[MODULO 1 - REMUNERAÇÃO ]]+tabCustoUnit[[#This Row],[MÓDULO 2 - Total Encargos e Benefícios mensais e diários]]+tabCustoUnit[[#This Row],[MÓDULO 3 – PROVISÃO PARA RESCISÃO]]+tabCustoUnit[[#This Row],[MÓDULO 4 – CUSTO DE REPOSIÇÃO DO PROFISSIONAL AUSENTE]]+tabCustoUnit[[#This Row],[MÓDULO 5 – INSUMOS DIVERSOS]]</f>
        <v>2673.2864025844674</v>
      </c>
      <c r="BN77" s="22">
        <f>VLOOKUP(tabCustoUnit[[#This Row],[Código do Posto]],tabParametros[],MATCH(tabCustoUnit[[#Headers],[Custos Indiretos]],tabParametros[#Headers],0),0)</f>
        <v>189.64880140242613</v>
      </c>
      <c r="BO77" s="22">
        <f>VLOOKUP(tabCustoUnit[[#This Row],[Código do Posto]],tabParametros[],MATCH(tabCustoUnit[[#Headers],[Lucro]],tabParametros[#Headers],0),0)</f>
        <v>159.30499317803796</v>
      </c>
      <c r="BP77" s="26">
        <f>((100/((1-tabCustoUnit[[#This Row],[Resumo de Alíquotas (PIS+CONFINS+ISS)]]))-100)*VLOOKUP(tabCustoUnit[[#This Row],[Código do Posto]],tabParametros[],MATCH(tabCustoUnit[[#Headers],[COFINS]],tabParametros[#Headers],0),0))/(tabCustoUnit[[#This Row],[Resumo de Alíquotas (PIS+CONFINS+ISS)]]*100)</f>
        <v>8.6609686609686695E-2</v>
      </c>
      <c r="BQ77" s="26">
        <f>((100/((100-(tabCustoUnit[[#This Row],[Resumo de Alíquotas (PIS+CONFINS+ISS)]]*100))%)-100)*VLOOKUP(tabCustoUnit[[#This Row],[Código do Posto]],tabParametros[],MATCH(tabCustoUnit[[#Headers],[PIS]],tabParametros[#Headers],0),0))/(tabCustoUnit[[#This Row],[Resumo de Alíquotas (PIS+CONFINS+ISS)]]*100)</f>
        <v>1.880341880341882E-2</v>
      </c>
      <c r="BR77" s="28">
        <f>VLOOKUP(tabCustoUnit[[#This Row],[Código do Posto]],tabParametros[],MATCH(tabCustoUnit[[#Headers],[ISS]],tabParametros[#Headers],0),0)</f>
        <v>0.03</v>
      </c>
      <c r="BS77" s="26">
        <f>(((100/((100-(tabCustoUnit[[#This Row],[Resumo de Alíquotas (PIS+CONFINS+ISS)]]*100))%)-100)*tabCustoUnit[[#This Row],[ISS]])/tabCustoUnit[[#This Row],[Resumo de Alíquotas (PIS+CONFINS+ISS)]])/100</f>
        <v>3.4188034188034219E-2</v>
      </c>
      <c r="BT77" s="26">
        <f>(VLOOKUP(tabCustoUnit[[#This Row],[Código do Posto]],tabParametros[],MATCH(tabCustoUnit[[#Headers],[COFINS]],tabParametros[#Headers],0),0)+
VLOOKUP(tabCustoUnit[[#This Row],[Código do Posto]],tabParametros[],MATCH(tabCustoUnit[[#Headers],[PIS]],tabParametros[#Headers],0),0)+
VLOOKUP(tabCustoUnit[[#This Row],[Código do Posto]],tabParametros[],MATCH(tabCustoUnit[[#Headers],[ISS]],tabParametros[#Headers],0),0))</f>
        <v>0.1225</v>
      </c>
      <c r="BU77" s="138">
        <f>tabCustoUnit[[#This Row],[COFINS]]+tabCustoUnit[[#This Row],[PIS]]+tabCustoUnit[[#This Row],[ISS (Conversão Alíquota s/ fatura)]]</f>
        <v>0.13960113960113973</v>
      </c>
      <c r="BV77" s="22">
        <f>(tabCustoUnit[[#This Row],[TOTAL MÓDULOS 1+2+3+4+5]]+tabCustoUnit[[#This Row],[Custos Indiretos]]+tabCustoUnit[[#This Row],[Lucro]])*tabCustoUnit[[#This Row],[PIS + COFINS + ISS (Total Conversão  Alíquota s/ Fatura)]]</f>
        <v>421.90817567259768</v>
      </c>
      <c r="BW77" s="22">
        <f>tabCustoUnit[[#This Row],[Custos Indiretos]]+tabCustoUnit[[#This Row],[Lucro]]+tabCustoUnit[[#This Row],[Valor dos Tributos (ISS, PIS, CONFINS)]]</f>
        <v>770.86197025306183</v>
      </c>
      <c r="BX77" s="22">
        <f>tabCustoUnit[[#This Row],[TOTAL MÓDULOS 1+2+3+4+5]]+tabCustoUnit[[#This Row],[MÓDULO 6 – CUSTOS INDIRETOS, TRIBUTOS E LUCRO]]</f>
        <v>3444.1483728375292</v>
      </c>
      <c r="BY77" s="22">
        <f>tabCustoUnit[[#This Row],[CUSTO TOTAL MENSAL]]*12</f>
        <v>41329.780474050349</v>
      </c>
      <c r="BZ77" s="24">
        <f>VLOOKUP(tabCustoUnit[[#This Row],[Código do Posto]],tabParametros[],MATCH(tabCustoUnit[[#Headers],[ANO DA CCT]],tabParametros[#Headers],0),0)</f>
        <v>45658</v>
      </c>
      <c r="CA77" s="25" t="str">
        <f>VLOOKUP(tabCustoUnit[[#This Row],[Código do Posto]],tabParametros[],MATCH(tabCustoUnit[[#Headers],[Nº DE PEDIDO DA CCT]],tabParametros[#Headers],0),0)</f>
        <v>-</v>
      </c>
      <c r="CB77" s="25" t="str">
        <f>VLOOKUP(tabCustoUnit[[#This Row],[Código do Posto]],tabParametros[],MATCH(tabCustoUnit[[#Headers],[TERMO ADITIVO ALTERAÇÃO DA CCT]],tabParametros[#Headers],0),0)</f>
        <v>-</v>
      </c>
    </row>
    <row r="78" spans="1:80" x14ac:dyDescent="0.25">
      <c r="A78" s="20" t="s">
        <v>1418</v>
      </c>
      <c r="B78" t="s">
        <v>75</v>
      </c>
      <c r="C78" t="s">
        <v>1245</v>
      </c>
      <c r="D78" t="s">
        <v>1045</v>
      </c>
      <c r="E78" s="20" t="s">
        <v>9</v>
      </c>
      <c r="F78" s="20" t="s">
        <v>10</v>
      </c>
      <c r="G78" s="21">
        <v>1649.12</v>
      </c>
      <c r="H78" s="21">
        <v>0</v>
      </c>
      <c r="I78" s="21">
        <v>0</v>
      </c>
      <c r="J78" s="21">
        <v>0</v>
      </c>
      <c r="K78" s="21">
        <v>0</v>
      </c>
      <c r="L78" s="21">
        <v>0</v>
      </c>
      <c r="M78" s="21">
        <v>0</v>
      </c>
      <c r="N78" s="21">
        <v>53.971200000000003</v>
      </c>
      <c r="O78" s="21">
        <f>SUM(tabCustoUnit[[#This Row],[Salário Base]:[Adicional de Acúmulo de função]])</f>
        <v>1703.0911999999998</v>
      </c>
      <c r="P78" s="21">
        <f>tabCustoUnit[[#This Row],[MODULO 1 - REMUNERAÇÃO ]]*SUMIFS(tabParametros[INSS],tabParametros[Código do Posto],tabCustoUnit[[#This Row],[Código do Posto]])</f>
        <v>340.61824000000001</v>
      </c>
      <c r="Q78" s="21">
        <f>tabCustoUnit[[#This Row],[MODULO 1 - REMUNERAÇÃO ]]*SUMIFS(tabParametros[SESI OU SESC],tabParametros[Código do Posto],tabCustoUnit[[#This Row],[Código do Posto]])</f>
        <v>25.546367999999998</v>
      </c>
      <c r="R78" s="21">
        <f>tabCustoUnit[[#This Row],[MODULO 1 - REMUNERAÇÃO ]]*SUMIFS(tabParametros[SENAI OU SENAC],tabParametros[Código do Posto],tabCustoUnit[[#This Row],[Código do Posto]])</f>
        <v>17.030911999999997</v>
      </c>
      <c r="S78" s="21">
        <f>tabCustoUnit[[#This Row],[MODULO 1 - REMUNERAÇÃO ]]*SUMIFS(tabParametros[INCRA],tabParametros[Código do Posto],tabCustoUnit[[#This Row],[Código do Posto]])</f>
        <v>3.4061823999999996</v>
      </c>
      <c r="T78" s="21">
        <f>tabCustoUnit[[#This Row],[MODULO 1 - REMUNERAÇÃO ]]*SUMIFS(tabParametros[Salário Educação],tabParametros[Código do Posto],tabCustoUnit[[#This Row],[Código do Posto]])</f>
        <v>42.577280000000002</v>
      </c>
      <c r="U78" s="21">
        <f>tabCustoUnit[[#This Row],[MODULO 1 - REMUNERAÇÃO ]]*SUMIFS(tabParametros[FGTS],tabParametros[Código do Posto],tabCustoUnit[[#This Row],[Código do Posto]])</f>
        <v>136.24729599999998</v>
      </c>
      <c r="V78" s="21">
        <f>tabCustoUnit[[#This Row],[MODULO 1 - REMUNERAÇÃO ]]*SUMIFS(tabParametros[RAT Ajustado],tabParametros[Código do Posto],tabCustoUnit[[#This Row],[Código do Posto]])</f>
        <v>68.123647999999989</v>
      </c>
      <c r="W78" s="21">
        <f>tabCustoUnit[[#This Row],[MODULO 1 - REMUNERAÇÃO ]]*SUMIFS(tabParametros[SEBRAE],tabParametros[Código do Posto],tabCustoUnit[[#This Row],[Código do Posto]])</f>
        <v>10.2185472</v>
      </c>
      <c r="X78" s="21">
        <f>SUM(tabCustoUnit[[#This Row],[INSS]:[SEBRAE]])</f>
        <v>643.76847359999999</v>
      </c>
      <c r="Y78" s="21">
        <f>tabCustoUnit[[#This Row],[MODULO 1 - REMUNERAÇÃO ]]*SUMIFS(tabParametros[13º salário (titular)],tabParametros[Código do Posto],tabCustoUnit[[#This Row],[Código do Posto]])</f>
        <v>141.92426666666665</v>
      </c>
      <c r="Z78" s="21">
        <f>tabCustoUnit[[#This Row],[MODULO 1 - REMUNERAÇÃO ]]*SUMIFS(tabParametros[Férias e Adicional de Férias (titular)],tabParametros[Código do Posto],tabCustoUnit[[#This Row],[Código do Posto]])</f>
        <v>189.23235555555553</v>
      </c>
      <c r="AA78" s="21">
        <f>IFERROR((tabCustoUnit[[#This Row],[Submódulo 2.1]]/tabCustoUnit[[#This Row],[MODULO 1 - REMUNERAÇÃO ]])*SUM(tabCustoUnit[[#This Row],[13º salário (titular)]:[Férias e Adicional de Férias (titular)]]),0)</f>
        <v>125.17720319999999</v>
      </c>
      <c r="AB78" s="21">
        <f>SUM(tabCustoUnit[[#This Row],[13º salário (titular)]:[Incidência do Submódulo 2.1 sobre 13º Salário, Férias e Adicional de Férias]])</f>
        <v>456.33382542222216</v>
      </c>
      <c r="AC78" s="22">
        <f>_xlfn.LET(_xlpm.VT,SUMIF(tabParametros[Código do Posto],tabCustoUnit[[#This Row],[Código do Posto]],tabParametros[Vale - Transporte])*2*20,
IF((_xlpm.VT-tabCustoUnit[[#This Row],[Salário Base]]*0.06)&gt;=0,(_xlpm.VT-tabCustoUnit[[#This Row],[Salário Base]]*0.06),0)
)</f>
        <v>157.05279999999999</v>
      </c>
      <c r="AD78" s="22">
        <f>IF(SUMIF(tabParametros[Código do Posto],tabCustoUnit[[#This Row],[Código do Posto]],tabParametros[Vale - Alimentação])&lt;=0,0,
SUMIF(tabParametros[Código do Posto],tabCustoUnit[[#This Row],[Código do Posto]],tabParametros[Vale - Alimentação])*20-1)</f>
        <v>582</v>
      </c>
      <c r="AE78" s="22">
        <f>SUMIF(tabParametros[Código do Posto],tabCustoUnit[[#This Row],[Código do Posto]],tabParametros[Cesta Básica])</f>
        <v>0</v>
      </c>
      <c r="AF78" s="22">
        <f>SUMIF(tabParametros[Código do Posto],tabCustoUnit[[#This Row],[Código do Posto]],tabParametros[PAF])</f>
        <v>77.25</v>
      </c>
      <c r="AG78" s="22">
        <f>SUMIF(tabParametros[Código do Posto],tabCustoUnit[[#This Row],[Código do Posto]],tabParametros[PQM])</f>
        <v>0</v>
      </c>
      <c r="AH78" s="22">
        <f>SUMIF(tabParametros[Código do Posto],tabCustoUnit[[#This Row],[Código do Posto]],tabParametros[PAT])</f>
        <v>0</v>
      </c>
      <c r="AI78" s="22">
        <f>SUMIF(tabParametros[Código do Posto],tabCustoUnit[[#This Row],[Código do Posto]],tabParametros[Seguro de Vida])</f>
        <v>3.36</v>
      </c>
      <c r="AJ78" s="22">
        <f>SUMIF(tabParametros[Código do Posto],tabCustoUnit[[#This Row],[Código do Posto]],tabParametros[Despesas de Viagem])</f>
        <v>0</v>
      </c>
      <c r="AK78" s="22">
        <f>SUM(tabCustoUnit[[#This Row],[Vale - Transporte (Descontada parcela do empregado)]:[Despesas de Viagem]])</f>
        <v>819.66279999999995</v>
      </c>
      <c r="AL78" s="22">
        <f>tabCustoUnit[[#This Row],[Submódulo 2.1]]+tabCustoUnit[[#This Row],[Submódulo 2.2]]+tabCustoUnit[[#This Row],[Submódulo 2.3]]</f>
        <v>1919.7650990222223</v>
      </c>
      <c r="AM78" s="22">
        <f>SUMIF(tabParametros[Código do Posto],tabCustoUnit[[#This Row],[Código do Posto]],tabParametros[Aviso Prévio Indenizado (API) e Reflexo do Aviso Prévio Indenizado])*tabCustoUnit[[#This Row],[MODULO 1 - REMUNERAÇÃO ]]</f>
        <v>11.941678632098764</v>
      </c>
      <c r="AN78" s="22">
        <f>SUMIF(tabParametros[Código do Posto],tabCustoUnit[[#This Row],[Código do Posto]],tabParametros[Incidência do FGTS sobre API e Reflexo do API])*tabCustoUnit[[#This Row],[MODULO 1 - REMUNERAÇÃO ]]</f>
        <v>0.9553342905679012</v>
      </c>
      <c r="AO78" s="22">
        <f>SUMIF(tabParametros[Código do Posto],tabCustoUnit[[#This Row],[Código do Posto]],tabParametros[Multa Rescisória do FGTS sobre o Aviso Prévio Indenizado])*tabCustoUnit[[#This Row],[MODULO 1 - REMUNERAÇÃO ]]</f>
        <v>0.38213371622716052</v>
      </c>
      <c r="AP78" s="22">
        <f>SUMIF(tabParametros[Código do Posto],tabCustoUnit[[#This Row],[Código do Posto]],tabParametros[Aviso Prévio Trabalhado - APT])*tabCustoUnit[[#This Row],[MODULO 1 - REMUNERAÇÃO ]]</f>
        <v>5.9608192000000004</v>
      </c>
      <c r="AQ78" s="22">
        <f>SUMIF(tabParametros[Código do Posto],tabCustoUnit[[#This Row],[Código do Posto]],tabParametros[Incidência dos encargos do submódulo 2.1 sobre Aviso Prévio Trabalhado])*tabCustoUnit[[#This Row],[MODULO 1 - REMUNERAÇÃO ]]</f>
        <v>2.2531896576000006</v>
      </c>
      <c r="AR78" s="22">
        <f>SUMIF(tabParametros[Código do Posto],tabCustoUnit[[#This Row],[Código do Posto]],tabParametros[Multa Rescisória do FGTS])*tabCustoUnit[[#This Row],[MODULO 1 - REMUNERAÇÃO ]]</f>
        <v>52.076744248888879</v>
      </c>
      <c r="AS78" s="22">
        <f>SUMIF(tabParametros[Código do Posto],tabCustoUnit[[#This Row],[Código do Posto]],tabParametros[Indenização Adicional (Art. 9º da Lei nº 7.238/84)])*tabCustoUnit[[#This Row],[MODULO 1 - REMUNERAÇÃO ]]</f>
        <v>1.4192426666666667</v>
      </c>
      <c r="AT78" s="22">
        <f>SUM(tabCustoUnit[[#This Row],[Aviso Prévio Indenizado (API) e Reflexo do Aviso Prévio Indenizado]:[Indenização Adicional (Art. 9º da Lei nº 7.238/84)]])</f>
        <v>74.989142412049375</v>
      </c>
      <c r="AU78" s="22">
        <f>SUMIF(tabParametros[Código do Posto],tabCustoUnit[[#This Row],[Código do Posto]],tabParametros[Ausência por Doença])*tabCustoUnit[[#This Row],[MODULO 1 - REMUNERAÇÃO ]]</f>
        <v>14.38165902222222</v>
      </c>
      <c r="AV78" s="22">
        <f>SUMIF(tabParametros[Código do Posto],tabCustoUnit[[#This Row],[Código do Posto]],tabParametros[Ausências Legais])*tabCustoUnit[[#This Row],[MODULO 1 - REMUNERAÇÃO ]]</f>
        <v>3.4534904888888884</v>
      </c>
      <c r="AW78" s="22">
        <f>SUMIF(tabParametros[Código do Posto],tabCustoUnit[[#This Row],[Código do Posto]],tabParametros[Licença Paternidade])*tabCustoUnit[[#This Row],[MODULO 1 - REMUNERAÇÃO ]]</f>
        <v>0.29094474666666664</v>
      </c>
      <c r="AX78" s="22">
        <f>SUMIF(tabParametros[Código do Posto],tabCustoUnit[[#This Row],[Código do Posto]],tabParametros[Ausência por Acidente de Trabalho])*tabCustoUnit[[#This Row],[MODULO 1 - REMUNERAÇÃO ]]</f>
        <v>0.35481066666666666</v>
      </c>
      <c r="AY78" s="22">
        <f>SUMIF(tabParametros[Código do Posto],tabCustoUnit[[#This Row],[Código do Posto]],tabParametros[Férias, Adicional de Férias e 13º  com empregada em gozo de Licença Maternidade])*tabCustoUnit[[#This Row],[MODULO 1 - REMUNERAÇÃO ]]</f>
        <v>2.2077108148148143</v>
      </c>
      <c r="AZ78" s="22">
        <f>SUMIF(tabParametros[Código do Posto],tabCustoUnit[[#This Row],[Código do Posto]],tabParametros[Incidência do Submódulo 2.1 sobre Ausências Legais])*tabCustoUnit[[#This Row],[MODULO 1 - REMUNERAÇÃO ]]</f>
        <v>7.8202967494400006</v>
      </c>
      <c r="BA78" s="22">
        <f>SUM(tabCustoUnit[[#This Row],[Ausência por Doença]:[Incidência do Submódulo 2.1 sobre Ausências Legais]])</f>
        <v>28.508912488699256</v>
      </c>
      <c r="BB78" s="22">
        <f>SUMIF(tabParametros[Código do Posto],tabCustoUnit[[#This Row],[Código do Posto]],tabParametros[Intervalo para Repouso ou Alimentação])</f>
        <v>0</v>
      </c>
      <c r="BC78" s="22">
        <f>tabCustoUnit[[#This Row],[Intervalo para Repouso ou Alimentação]]</f>
        <v>0</v>
      </c>
      <c r="BD78" s="22">
        <f>IF(VLOOKUP(tabCustoUnit[[#This Row],[Código do Posto]],PARAMETROS!$A$4:$BJ$255,7,0)&lt;=0,0,
IFERROR((tabCustoUnit[[#This Row],[MODULO 1 - REMUNERAÇÃO ]]*VLOOKUP(tabCustoUnit[[#This Row],[Código do Posto]],PARAMETROS!$A$4:$BJ$255,49,0))/(VLOOKUP(tabCustoUnit[[#This Row],[Código do Posto]],PARAMETROS!$A$4:$BJ$255,7,0)*VLOOKUP(tabCustoUnit[[#This Row],[Código do Posto]],PARAMETROS!$A$4:$BJ$255,8,0)),0)
)</f>
        <v>0</v>
      </c>
      <c r="BE78" s="22">
        <f>tabCustoUnit[[#This Row],[Suspensão Temporária do Contrato de Trabalho]]</f>
        <v>0</v>
      </c>
      <c r="BF78" s="22">
        <f>tabCustoUnit[[#This Row],[Submódulo 4.1]]+tabCustoUnit[[#This Row],[Submódulo 4.2]]+tabCustoUnit[[#This Row],[Submódulo 4.3]]</f>
        <v>28.508912488699256</v>
      </c>
      <c r="BG78" s="22">
        <f>VLOOKUP(tabCustoUnit[[#This Row],[Código do Posto]],tabParametros[],MATCH(tabCustoUnit[[#Headers],[Uniformes e EPIs]],tabParametros[#Headers],0),0)</f>
        <v>100.80916666666666</v>
      </c>
      <c r="BH78" s="22">
        <f>VLOOKUP(tabCustoUnit[[#This Row],[Código do Posto]],tabParametros[],MATCH(tabCustoUnit[[#Headers],[Materiais de Consumo]],tabParametros[#Headers],0),0)</f>
        <v>35.518212958583888</v>
      </c>
      <c r="BI78" s="22">
        <f>VLOOKUP(tabCustoUnit[[#This Row],[Código do Posto]],tabParametros[],MATCH(tabCustoUnit[[#Headers],[Máquinas e Equipamentos (depreciação)]],tabParametros[#Headers],0),0)</f>
        <v>64.529393914825576</v>
      </c>
      <c r="BJ78" s="22">
        <f>VLOOKUP(tabCustoUnit[[#This Row],[Código do Posto]],tabParametros[],MATCH(tabCustoUnit[[#Headers],[Produtos de Limpeza e Materiais de Higiene Pessoal]],tabParametros[#Headers],0),0)</f>
        <v>690.27153277931654</v>
      </c>
      <c r="BK78" s="22">
        <f>VLOOKUP(tabCustoUnit[[#This Row],[Código do Posto]],tabParametros[],MATCH(tabCustoUnit[[#Headers],[Outros (especificar)]],tabParametros[#Headers],0),0)</f>
        <v>0</v>
      </c>
      <c r="BL78" s="22">
        <f>SUM(tabCustoUnit[[#This Row],[Uniformes e EPIs]:[Outros (especificar)]])</f>
        <v>891.12830631939266</v>
      </c>
      <c r="BM78" s="22">
        <f>tabCustoUnit[[#This Row],[MODULO 1 - REMUNERAÇÃO ]]+tabCustoUnit[[#This Row],[MÓDULO 2 - Total Encargos e Benefícios mensais e diários]]+tabCustoUnit[[#This Row],[MÓDULO 3 – PROVISÃO PARA RESCISÃO]]+tabCustoUnit[[#This Row],[MÓDULO 4 – CUSTO DE REPOSIÇÃO DO PROFISSIONAL AUSENTE]]+tabCustoUnit[[#This Row],[MÓDULO 5 – INSUMOS DIVERSOS]]</f>
        <v>4617.4826602423636</v>
      </c>
      <c r="BN78" s="22">
        <f>VLOOKUP(tabCustoUnit[[#This Row],[Código do Posto]],tabParametros[],MATCH(tabCustoUnit[[#Headers],[Custos Indiretos]],tabParametros[#Headers],0),0)</f>
        <v>189.64880140242613</v>
      </c>
      <c r="BO78" s="22">
        <f>VLOOKUP(tabCustoUnit[[#This Row],[Código do Posto]],tabParametros[],MATCH(tabCustoUnit[[#Headers],[Lucro]],tabParametros[#Headers],0),0)</f>
        <v>159.30499317803796</v>
      </c>
      <c r="BP78" s="26">
        <f>((100/((1-tabCustoUnit[[#This Row],[Resumo de Alíquotas (PIS+CONFINS+ISS)]]))-100)*VLOOKUP(tabCustoUnit[[#This Row],[Código do Posto]],tabParametros[],MATCH(tabCustoUnit[[#Headers],[COFINS]],tabParametros[#Headers],0),0))/(tabCustoUnit[[#This Row],[Resumo de Alíquotas (PIS+CONFINS+ISS)]]*100)</f>
        <v>8.5633802816901458E-2</v>
      </c>
      <c r="BQ78" s="26">
        <f>((100/((100-(tabCustoUnit[[#This Row],[Resumo de Alíquotas (PIS+CONFINS+ISS)]]*100))%)-100)*VLOOKUP(tabCustoUnit[[#This Row],[Código do Posto]],tabParametros[],MATCH(tabCustoUnit[[#Headers],[PIS]],tabParametros[#Headers],0),0))/(tabCustoUnit[[#This Row],[Resumo de Alíquotas (PIS+CONFINS+ISS)]]*100)</f>
        <v>1.8591549295774657E-2</v>
      </c>
      <c r="BR78" s="28">
        <f>VLOOKUP(tabCustoUnit[[#This Row],[Código do Posto]],tabParametros[],MATCH(tabCustoUnit[[#Headers],[ISS]],tabParametros[#Headers],0),0)</f>
        <v>0.02</v>
      </c>
      <c r="BS78" s="26">
        <f>(((100/((100-(tabCustoUnit[[#This Row],[Resumo de Alíquotas (PIS+CONFINS+ISS)]]*100))%)-100)*tabCustoUnit[[#This Row],[ISS]])/tabCustoUnit[[#This Row],[Resumo de Alíquotas (PIS+CONFINS+ISS)]])/100</f>
        <v>2.2535211267605645E-2</v>
      </c>
      <c r="BT78" s="26">
        <f>(VLOOKUP(tabCustoUnit[[#This Row],[Código do Posto]],tabParametros[],MATCH(tabCustoUnit[[#Headers],[COFINS]],tabParametros[#Headers],0),0)+
VLOOKUP(tabCustoUnit[[#This Row],[Código do Posto]],tabParametros[],MATCH(tabCustoUnit[[#Headers],[PIS]],tabParametros[#Headers],0),0)+
VLOOKUP(tabCustoUnit[[#This Row],[Código do Posto]],tabParametros[],MATCH(tabCustoUnit[[#Headers],[ISS]],tabParametros[#Headers],0),0))</f>
        <v>0.1125</v>
      </c>
      <c r="BU78" s="138">
        <f>tabCustoUnit[[#This Row],[COFINS]]+tabCustoUnit[[#This Row],[PIS]]+tabCustoUnit[[#This Row],[ISS (Conversão Alíquota s/ fatura)]]</f>
        <v>0.12676056338028174</v>
      </c>
      <c r="BV78" s="22">
        <f>(tabCustoUnit[[#This Row],[TOTAL MÓDULOS 1+2+3+4+5]]+tabCustoUnit[[#This Row],[Custos Indiretos]]+tabCustoUnit[[#This Row],[Lucro]])*tabCustoUnit[[#This Row],[PIS + COFINS + ISS (Total Conversão  Alíquota s/ Fatura)]]</f>
        <v>629.5482830057108</v>
      </c>
      <c r="BW78" s="22">
        <f>tabCustoUnit[[#This Row],[Custos Indiretos]]+tabCustoUnit[[#This Row],[Lucro]]+tabCustoUnit[[#This Row],[Valor dos Tributos (ISS, PIS, CONFINS)]]</f>
        <v>978.50207758617489</v>
      </c>
      <c r="BX78" s="22">
        <f>tabCustoUnit[[#This Row],[TOTAL MÓDULOS 1+2+3+4+5]]+tabCustoUnit[[#This Row],[MÓDULO 6 – CUSTOS INDIRETOS, TRIBUTOS E LUCRO]]</f>
        <v>5595.9847378285385</v>
      </c>
      <c r="BY78" s="22">
        <f>tabCustoUnit[[#This Row],[CUSTO TOTAL MENSAL]]*12</f>
        <v>67151.816853942466</v>
      </c>
      <c r="BZ78" s="24">
        <f>VLOOKUP(tabCustoUnit[[#This Row],[Código do Posto]],tabParametros[],MATCH(tabCustoUnit[[#Headers],[ANO DA CCT]],tabParametros[#Headers],0),0)</f>
        <v>45658</v>
      </c>
      <c r="CA78" s="25" t="str">
        <f>VLOOKUP(tabCustoUnit[[#This Row],[Código do Posto]],tabParametros[],MATCH(tabCustoUnit[[#Headers],[Nº DE PEDIDO DA CCT]],tabParametros[#Headers],0),0)</f>
        <v>-</v>
      </c>
      <c r="CB78" s="25" t="str">
        <f>VLOOKUP(tabCustoUnit[[#This Row],[Código do Posto]],tabParametros[],MATCH(tabCustoUnit[[#Headers],[TERMO ADITIVO ALTERAÇÃO DA CCT]],tabParametros[#Headers],0),0)</f>
        <v>-</v>
      </c>
    </row>
    <row r="79" spans="1:80" x14ac:dyDescent="0.25">
      <c r="A79" s="20" t="s">
        <v>1419</v>
      </c>
      <c r="B79" t="s">
        <v>76</v>
      </c>
      <c r="C79" t="s">
        <v>1247</v>
      </c>
      <c r="D79" t="s">
        <v>1041</v>
      </c>
      <c r="E79" s="20" t="s">
        <v>9</v>
      </c>
      <c r="F79" s="20" t="s">
        <v>10</v>
      </c>
      <c r="G79" s="21">
        <v>544.17999999999995</v>
      </c>
      <c r="H79" s="21">
        <v>0</v>
      </c>
      <c r="I79" s="21">
        <v>0</v>
      </c>
      <c r="J79" s="21">
        <v>0</v>
      </c>
      <c r="K79" s="21">
        <v>0</v>
      </c>
      <c r="L79" s="21">
        <v>0</v>
      </c>
      <c r="M79" s="21">
        <v>0</v>
      </c>
      <c r="N79" s="21">
        <v>19.590499999999999</v>
      </c>
      <c r="O79" s="21">
        <f>SUM(tabCustoUnit[[#This Row],[Salário Base]:[Adicional de Acúmulo de função]])</f>
        <v>563.77049999999997</v>
      </c>
      <c r="P79" s="21">
        <f>tabCustoUnit[[#This Row],[MODULO 1 - REMUNERAÇÃO ]]*SUMIFS(tabParametros[INSS],tabParametros[Código do Posto],tabCustoUnit[[#This Row],[Código do Posto]])</f>
        <v>112.75409999999999</v>
      </c>
      <c r="Q79" s="21">
        <f>tabCustoUnit[[#This Row],[MODULO 1 - REMUNERAÇÃO ]]*SUMIFS(tabParametros[SESI OU SESC],tabParametros[Código do Posto],tabCustoUnit[[#This Row],[Código do Posto]])</f>
        <v>8.4565574999999988</v>
      </c>
      <c r="R79" s="21">
        <f>tabCustoUnit[[#This Row],[MODULO 1 - REMUNERAÇÃO ]]*SUMIFS(tabParametros[SENAI OU SENAC],tabParametros[Código do Posto],tabCustoUnit[[#This Row],[Código do Posto]])</f>
        <v>5.6377049999999995</v>
      </c>
      <c r="S79" s="21">
        <f>tabCustoUnit[[#This Row],[MODULO 1 - REMUNERAÇÃO ]]*SUMIFS(tabParametros[INCRA],tabParametros[Código do Posto],tabCustoUnit[[#This Row],[Código do Posto]])</f>
        <v>1.1275409999999999</v>
      </c>
      <c r="T79" s="21">
        <f>tabCustoUnit[[#This Row],[MODULO 1 - REMUNERAÇÃO ]]*SUMIFS(tabParametros[Salário Educação],tabParametros[Código do Posto],tabCustoUnit[[#This Row],[Código do Posto]])</f>
        <v>14.094262499999999</v>
      </c>
      <c r="U79" s="21">
        <f>tabCustoUnit[[#This Row],[MODULO 1 - REMUNERAÇÃO ]]*SUMIFS(tabParametros[FGTS],tabParametros[Código do Posto],tabCustoUnit[[#This Row],[Código do Posto]])</f>
        <v>45.101639999999996</v>
      </c>
      <c r="V79" s="21">
        <f>tabCustoUnit[[#This Row],[MODULO 1 - REMUNERAÇÃO ]]*SUMIFS(tabParametros[RAT Ajustado],tabParametros[Código do Posto],tabCustoUnit[[#This Row],[Código do Posto]])</f>
        <v>22.550819999999998</v>
      </c>
      <c r="W79" s="21">
        <f>tabCustoUnit[[#This Row],[MODULO 1 - REMUNERAÇÃO ]]*SUMIFS(tabParametros[SEBRAE],tabParametros[Código do Posto],tabCustoUnit[[#This Row],[Código do Posto]])</f>
        <v>3.3826229999999997</v>
      </c>
      <c r="X79" s="21">
        <f>SUM(tabCustoUnit[[#This Row],[INSS]:[SEBRAE]])</f>
        <v>213.10524899999996</v>
      </c>
      <c r="Y79" s="21">
        <f>tabCustoUnit[[#This Row],[MODULO 1 - REMUNERAÇÃO ]]*SUMIFS(tabParametros[13º salário (titular)],tabParametros[Código do Posto],tabCustoUnit[[#This Row],[Código do Posto]])</f>
        <v>46.980874999999997</v>
      </c>
      <c r="Z79" s="21">
        <f>tabCustoUnit[[#This Row],[MODULO 1 - REMUNERAÇÃO ]]*SUMIFS(tabParametros[Férias e Adicional de Férias (titular)],tabParametros[Código do Posto],tabCustoUnit[[#This Row],[Código do Posto]])</f>
        <v>62.641166666666663</v>
      </c>
      <c r="AA79" s="21">
        <f>IFERROR((tabCustoUnit[[#This Row],[Submódulo 2.1]]/tabCustoUnit[[#This Row],[MODULO 1 - REMUNERAÇÃO ]])*SUM(tabCustoUnit[[#This Row],[13º salário (titular)]:[Férias e Adicional de Férias (titular)]]),0)</f>
        <v>41.437131749999992</v>
      </c>
      <c r="AB79" s="21">
        <f>SUM(tabCustoUnit[[#This Row],[13º salário (titular)]:[Incidência do Submódulo 2.1 sobre 13º Salário, Férias e Adicional de Férias]])</f>
        <v>151.05917341666665</v>
      </c>
      <c r="AC79" s="22">
        <f>_xlfn.LET(_xlpm.VT,SUMIF(tabParametros[Código do Posto],tabCustoUnit[[#This Row],[Código do Posto]],tabParametros[Vale - Transporte])*2*20,
IF((_xlpm.VT-tabCustoUnit[[#This Row],[Salário Base]]*0.06)&gt;=0,(_xlpm.VT-tabCustoUnit[[#This Row],[Salário Base]]*0.06),0)
)</f>
        <v>223.3492</v>
      </c>
      <c r="AD79" s="22">
        <f>IF(SUMIF(tabParametros[Código do Posto],tabCustoUnit[[#This Row],[Código do Posto]],tabParametros[Vale - Alimentação])&lt;=0,0,
SUMIF(tabParametros[Código do Posto],tabCustoUnit[[#This Row],[Código do Posto]],tabParametros[Vale - Alimentação])*20-1)</f>
        <v>582</v>
      </c>
      <c r="AE79" s="22">
        <f>SUMIF(tabParametros[Código do Posto],tabCustoUnit[[#This Row],[Código do Posto]],tabParametros[Cesta Básica])</f>
        <v>0</v>
      </c>
      <c r="AF79" s="22">
        <f>SUMIF(tabParametros[Código do Posto],tabCustoUnit[[#This Row],[Código do Posto]],tabParametros[PAF])</f>
        <v>0</v>
      </c>
      <c r="AG79" s="22">
        <f>SUMIF(tabParametros[Código do Posto],tabCustoUnit[[#This Row],[Código do Posto]],tabParametros[PQM])</f>
        <v>0</v>
      </c>
      <c r="AH79" s="22">
        <f>SUMIF(tabParametros[Código do Posto],tabCustoUnit[[#This Row],[Código do Posto]],tabParametros[PAT])</f>
        <v>0</v>
      </c>
      <c r="AI79" s="22">
        <f>SUMIF(tabParametros[Código do Posto],tabCustoUnit[[#This Row],[Código do Posto]],tabParametros[Seguro de Vida])</f>
        <v>3.36</v>
      </c>
      <c r="AJ79" s="22">
        <f>SUMIF(tabParametros[Código do Posto],tabCustoUnit[[#This Row],[Código do Posto]],tabParametros[Despesas de Viagem])</f>
        <v>0</v>
      </c>
      <c r="AK79" s="22">
        <f>SUM(tabCustoUnit[[#This Row],[Vale - Transporte (Descontada parcela do empregado)]:[Despesas de Viagem]])</f>
        <v>808.70920000000001</v>
      </c>
      <c r="AL79" s="22">
        <f>tabCustoUnit[[#This Row],[Submódulo 2.1]]+tabCustoUnit[[#This Row],[Submódulo 2.2]]+tabCustoUnit[[#This Row],[Submódulo 2.3]]</f>
        <v>1172.8736224166666</v>
      </c>
      <c r="AM79" s="22">
        <f>SUMIF(tabParametros[Código do Posto],tabCustoUnit[[#This Row],[Código do Posto]],tabParametros[Aviso Prévio Indenizado (API) e Reflexo do Aviso Prévio Indenizado])*tabCustoUnit[[#This Row],[MODULO 1 - REMUNERAÇÃO ]]</f>
        <v>3.9530273735532404</v>
      </c>
      <c r="AN79" s="22">
        <f>SUMIF(tabParametros[Código do Posto],tabCustoUnit[[#This Row],[Código do Posto]],tabParametros[Incidência do FGTS sobre API e Reflexo do API])*tabCustoUnit[[#This Row],[MODULO 1 - REMUNERAÇÃO ]]</f>
        <v>0.31624218988425928</v>
      </c>
      <c r="AO79" s="22">
        <f>SUMIF(tabParametros[Código do Posto],tabCustoUnit[[#This Row],[Código do Posto]],tabParametros[Multa Rescisória do FGTS sobre o Aviso Prévio Indenizado])*tabCustoUnit[[#This Row],[MODULO 1 - REMUNERAÇÃO ]]</f>
        <v>0.12649687595370371</v>
      </c>
      <c r="AP79" s="22">
        <f>SUMIF(tabParametros[Código do Posto],tabCustoUnit[[#This Row],[Código do Posto]],tabParametros[Aviso Prévio Trabalhado - APT])*tabCustoUnit[[#This Row],[MODULO 1 - REMUNERAÇÃO ]]</f>
        <v>1.9731967500000003</v>
      </c>
      <c r="AQ79" s="22">
        <f>SUMIF(tabParametros[Código do Posto],tabCustoUnit[[#This Row],[Código do Posto]],tabParametros[Incidência dos encargos do submódulo 2.1 sobre Aviso Prévio Trabalhado])*tabCustoUnit[[#This Row],[MODULO 1 - REMUNERAÇÃO ]]</f>
        <v>0.74586837150000018</v>
      </c>
      <c r="AR79" s="22">
        <f>SUMIF(tabParametros[Código do Posto],tabCustoUnit[[#This Row],[Código do Posto]],tabParametros[Multa Rescisória do FGTS])*tabCustoUnit[[#This Row],[MODULO 1 - REMUNERAÇÃO ]]</f>
        <v>17.238849066666663</v>
      </c>
      <c r="AS79" s="22">
        <f>SUMIF(tabParametros[Código do Posto],tabCustoUnit[[#This Row],[Código do Posto]],tabParametros[Indenização Adicional (Art. 9º da Lei nº 7.238/84)])*tabCustoUnit[[#This Row],[MODULO 1 - REMUNERAÇÃO ]]</f>
        <v>0.46980875</v>
      </c>
      <c r="AT79" s="22">
        <f>SUM(tabCustoUnit[[#This Row],[Aviso Prévio Indenizado (API) e Reflexo do Aviso Prévio Indenizado]:[Indenização Adicional (Art. 9º da Lei nº 7.238/84)]])</f>
        <v>24.823489377557866</v>
      </c>
      <c r="AU79" s="22">
        <f>SUMIF(tabParametros[Código do Posto],tabCustoUnit[[#This Row],[Código do Posto]],tabParametros[Ausência por Doença])*tabCustoUnit[[#This Row],[MODULO 1 - REMUNERAÇÃO ]]</f>
        <v>4.7607286666666662</v>
      </c>
      <c r="AV79" s="22">
        <f>SUMIF(tabParametros[Código do Posto],tabCustoUnit[[#This Row],[Código do Posto]],tabParametros[Ausências Legais])*tabCustoUnit[[#This Row],[MODULO 1 - REMUNERAÇÃO ]]</f>
        <v>1.1432012916666665</v>
      </c>
      <c r="AW79" s="22">
        <f>SUMIF(tabParametros[Código do Posto],tabCustoUnit[[#This Row],[Código do Posto]],tabParametros[Licença Paternidade])*tabCustoUnit[[#This Row],[MODULO 1 - REMUNERAÇÃO ]]</f>
        <v>9.6310793749999998E-2</v>
      </c>
      <c r="AX79" s="22">
        <f>SUMIF(tabParametros[Código do Posto],tabCustoUnit[[#This Row],[Código do Posto]],tabParametros[Ausência por Acidente de Trabalho])*tabCustoUnit[[#This Row],[MODULO 1 - REMUNERAÇÃO ]]</f>
        <v>0.1174521875</v>
      </c>
      <c r="AY79" s="22">
        <f>SUMIF(tabParametros[Código do Posto],tabCustoUnit[[#This Row],[Código do Posto]],tabParametros[Férias, Adicional de Férias e 13º  com empregada em gozo de Licença Maternidade])*tabCustoUnit[[#This Row],[MODULO 1 - REMUNERAÇÃO ]]</f>
        <v>0.73081361111111109</v>
      </c>
      <c r="AZ79" s="22">
        <f>SUMIF(tabParametros[Código do Posto],tabCustoUnit[[#This Row],[Código do Posto]],tabParametros[Incidência do Submódulo 2.1 sobre Ausências Legais])*tabCustoUnit[[#This Row],[MODULO 1 - REMUNERAÇÃO ]]</f>
        <v>2.5887354761625003</v>
      </c>
      <c r="BA79" s="22">
        <f>SUM(tabCustoUnit[[#This Row],[Ausência por Doença]:[Incidência do Submódulo 2.1 sobre Ausências Legais]])</f>
        <v>9.4372420268569428</v>
      </c>
      <c r="BB79" s="22">
        <f>SUMIF(tabParametros[Código do Posto],tabCustoUnit[[#This Row],[Código do Posto]],tabParametros[Intervalo para Repouso ou Alimentação])</f>
        <v>0</v>
      </c>
      <c r="BC79" s="22">
        <f>tabCustoUnit[[#This Row],[Intervalo para Repouso ou Alimentação]]</f>
        <v>0</v>
      </c>
      <c r="BD79" s="22">
        <f>IF(VLOOKUP(tabCustoUnit[[#This Row],[Código do Posto]],PARAMETROS!$A$4:$BJ$255,7,0)&lt;=0,0,
IFERROR((tabCustoUnit[[#This Row],[MODULO 1 - REMUNERAÇÃO ]]*VLOOKUP(tabCustoUnit[[#This Row],[Código do Posto]],PARAMETROS!$A$4:$BJ$255,49,0))/(VLOOKUP(tabCustoUnit[[#This Row],[Código do Posto]],PARAMETROS!$A$4:$BJ$255,7,0)*VLOOKUP(tabCustoUnit[[#This Row],[Código do Posto]],PARAMETROS!$A$4:$BJ$255,8,0)),0)
)</f>
        <v>0</v>
      </c>
      <c r="BE79" s="22">
        <f>tabCustoUnit[[#This Row],[Suspensão Temporária do Contrato de Trabalho]]</f>
        <v>0</v>
      </c>
      <c r="BF79" s="22">
        <f>tabCustoUnit[[#This Row],[Submódulo 4.1]]+tabCustoUnit[[#This Row],[Submódulo 4.2]]+tabCustoUnit[[#This Row],[Submódulo 4.3]]</f>
        <v>9.4372420268569428</v>
      </c>
      <c r="BG79" s="22">
        <f>VLOOKUP(tabCustoUnit[[#This Row],[Código do Posto]],tabParametros[],MATCH(tabCustoUnit[[#Headers],[Uniformes e EPIs]],tabParametros[#Headers],0),0)</f>
        <v>62.806666666666665</v>
      </c>
      <c r="BH79" s="22">
        <f>VLOOKUP(tabCustoUnit[[#This Row],[Código do Posto]],tabParametros[],MATCH(tabCustoUnit[[#Headers],[Materiais de Consumo]],tabParametros[#Headers],0),0)</f>
        <v>12.108481690426325</v>
      </c>
      <c r="BI79" s="22">
        <f>VLOOKUP(tabCustoUnit[[#This Row],[Código do Posto]],tabParametros[],MATCH(tabCustoUnit[[#Headers],[Máquinas e Equipamentos (depreciação)]],tabParametros[#Headers],0),0)</f>
        <v>21.998657016417809</v>
      </c>
      <c r="BJ79" s="22">
        <f>VLOOKUP(tabCustoUnit[[#This Row],[Código do Posto]],tabParametros[],MATCH(tabCustoUnit[[#Headers],[Produtos de Limpeza e Materiais de Higiene Pessoal]],tabParametros[#Headers],0),0)</f>
        <v>235.31984072022155</v>
      </c>
      <c r="BK79" s="22">
        <f>VLOOKUP(tabCustoUnit[[#This Row],[Código do Posto]],tabParametros[],MATCH(tabCustoUnit[[#Headers],[Outros (especificar)]],tabParametros[#Headers],0),0)</f>
        <v>0</v>
      </c>
      <c r="BL79" s="22">
        <f>SUM(tabCustoUnit[[#This Row],[Uniformes e EPIs]:[Outros (especificar)]])</f>
        <v>332.23364609373232</v>
      </c>
      <c r="BM79" s="22">
        <f>tabCustoUnit[[#This Row],[MODULO 1 - REMUNERAÇÃO ]]+tabCustoUnit[[#This Row],[MÓDULO 2 - Total Encargos e Benefícios mensais e diários]]+tabCustoUnit[[#This Row],[MÓDULO 3 – PROVISÃO PARA RESCISÃO]]+tabCustoUnit[[#This Row],[MÓDULO 4 – CUSTO DE REPOSIÇÃO DO PROFISSIONAL AUSENTE]]+tabCustoUnit[[#This Row],[MÓDULO 5 – INSUMOS DIVERSOS]]</f>
        <v>2103.1384999148136</v>
      </c>
      <c r="BN79" s="22">
        <f>VLOOKUP(tabCustoUnit[[#This Row],[Código do Posto]],tabParametros[],MATCH(tabCustoUnit[[#Headers],[Custos Indiretos]],tabParametros[#Headers],0),0)</f>
        <v>189.64880140242613</v>
      </c>
      <c r="BO79" s="22">
        <f>VLOOKUP(tabCustoUnit[[#This Row],[Código do Posto]],tabParametros[],MATCH(tabCustoUnit[[#Headers],[Lucro]],tabParametros[#Headers],0),0)</f>
        <v>159.30499317803796</v>
      </c>
      <c r="BP79" s="26">
        <f>((100/((1-tabCustoUnit[[#This Row],[Resumo de Alíquotas (PIS+CONFINS+ISS)]]))-100)*VLOOKUP(tabCustoUnit[[#This Row],[Código do Posto]],tabParametros[],MATCH(tabCustoUnit[[#Headers],[COFINS]],tabParametros[#Headers],0),0))/(tabCustoUnit[[#This Row],[Resumo de Alíquotas (PIS+CONFINS+ISS)]]*100)</f>
        <v>8.8629737609329504E-2</v>
      </c>
      <c r="BQ79" s="26">
        <f>((100/((100-(tabCustoUnit[[#This Row],[Resumo de Alíquotas (PIS+CONFINS+ISS)]]*100))%)-100)*VLOOKUP(tabCustoUnit[[#This Row],[Código do Posto]],tabParametros[],MATCH(tabCustoUnit[[#Headers],[PIS]],tabParametros[#Headers],0),0))/(tabCustoUnit[[#This Row],[Resumo de Alíquotas (PIS+CONFINS+ISS)]]*100)</f>
        <v>1.9241982507288629E-2</v>
      </c>
      <c r="BR79" s="28">
        <f>VLOOKUP(tabCustoUnit[[#This Row],[Código do Posto]],tabParametros[],MATCH(tabCustoUnit[[#Headers],[ISS]],tabParametros[#Headers],0),0)</f>
        <v>0.05</v>
      </c>
      <c r="BS79" s="26">
        <f>(((100/((100-(tabCustoUnit[[#This Row],[Resumo de Alíquotas (PIS+CONFINS+ISS)]]*100))%)-100)*tabCustoUnit[[#This Row],[ISS]])/tabCustoUnit[[#This Row],[Resumo de Alíquotas (PIS+CONFINS+ISS)]])/100</f>
        <v>5.8309037900874633E-2</v>
      </c>
      <c r="BT79" s="26">
        <f>(VLOOKUP(tabCustoUnit[[#This Row],[Código do Posto]],tabParametros[],MATCH(tabCustoUnit[[#Headers],[COFINS]],tabParametros[#Headers],0),0)+
VLOOKUP(tabCustoUnit[[#This Row],[Código do Posto]],tabParametros[],MATCH(tabCustoUnit[[#Headers],[PIS]],tabParametros[#Headers],0),0)+
VLOOKUP(tabCustoUnit[[#This Row],[Código do Posto]],tabParametros[],MATCH(tabCustoUnit[[#Headers],[ISS]],tabParametros[#Headers],0),0))</f>
        <v>0.14250000000000002</v>
      </c>
      <c r="BU79" s="138">
        <f>tabCustoUnit[[#This Row],[COFINS]]+tabCustoUnit[[#This Row],[PIS]]+tabCustoUnit[[#This Row],[ISS (Conversão Alíquota s/ fatura)]]</f>
        <v>0.16618075801749277</v>
      </c>
      <c r="BV79" s="22">
        <f>(tabCustoUnit[[#This Row],[TOTAL MÓDULOS 1+2+3+4+5]]+tabCustoUnit[[#This Row],[Custos Indiretos]]+tabCustoUnit[[#This Row],[Lucro]])*tabCustoUnit[[#This Row],[PIS + COFINS + ISS (Total Conversão  Alíquota s/ Fatura)]]</f>
        <v>407.49055622807833</v>
      </c>
      <c r="BW79" s="22">
        <f>tabCustoUnit[[#This Row],[Custos Indiretos]]+tabCustoUnit[[#This Row],[Lucro]]+tabCustoUnit[[#This Row],[Valor dos Tributos (ISS, PIS, CONFINS)]]</f>
        <v>756.44435080854237</v>
      </c>
      <c r="BX79" s="22">
        <f>tabCustoUnit[[#This Row],[TOTAL MÓDULOS 1+2+3+4+5]]+tabCustoUnit[[#This Row],[MÓDULO 6 – CUSTOS INDIRETOS, TRIBUTOS E LUCRO]]</f>
        <v>2859.5828507233559</v>
      </c>
      <c r="BY79" s="22">
        <f>tabCustoUnit[[#This Row],[CUSTO TOTAL MENSAL]]*12</f>
        <v>34314.994208680269</v>
      </c>
      <c r="BZ79" s="24">
        <f>VLOOKUP(tabCustoUnit[[#This Row],[Código do Posto]],tabParametros[],MATCH(tabCustoUnit[[#Headers],[ANO DA CCT]],tabParametros[#Headers],0),0)</f>
        <v>45658</v>
      </c>
      <c r="CA79" s="25" t="str">
        <f>VLOOKUP(tabCustoUnit[[#This Row],[Código do Posto]],tabParametros[],MATCH(tabCustoUnit[[#Headers],[Nº DE PEDIDO DA CCT]],tabParametros[#Headers],0),0)</f>
        <v>-</v>
      </c>
      <c r="CB79" s="25" t="str">
        <f>VLOOKUP(tabCustoUnit[[#This Row],[Código do Posto]],tabParametros[],MATCH(tabCustoUnit[[#Headers],[TERMO ADITIVO ALTERAÇÃO DA CCT]],tabParametros[#Headers],0),0)</f>
        <v>-</v>
      </c>
    </row>
    <row r="80" spans="1:80" x14ac:dyDescent="0.25">
      <c r="A80" s="20" t="s">
        <v>1420</v>
      </c>
      <c r="B80" t="s">
        <v>77</v>
      </c>
      <c r="C80" t="s">
        <v>1247</v>
      </c>
      <c r="D80" t="s">
        <v>81</v>
      </c>
      <c r="E80" s="20" t="s">
        <v>9</v>
      </c>
      <c r="F80" s="20" t="s">
        <v>10</v>
      </c>
      <c r="G80" s="21">
        <v>544.17999999999995</v>
      </c>
      <c r="H80" s="21">
        <v>0</v>
      </c>
      <c r="I80" s="21">
        <v>0</v>
      </c>
      <c r="J80" s="21">
        <v>0</v>
      </c>
      <c r="K80" s="21">
        <v>0</v>
      </c>
      <c r="L80" s="21">
        <v>0</v>
      </c>
      <c r="M80" s="21">
        <v>0</v>
      </c>
      <c r="N80" s="21">
        <v>19.590499999999999</v>
      </c>
      <c r="O80" s="21">
        <f>SUM(tabCustoUnit[[#This Row],[Salário Base]:[Adicional de Acúmulo de função]])</f>
        <v>563.77049999999997</v>
      </c>
      <c r="P80" s="21">
        <f>tabCustoUnit[[#This Row],[MODULO 1 - REMUNERAÇÃO ]]*SUMIFS(tabParametros[INSS],tabParametros[Código do Posto],tabCustoUnit[[#This Row],[Código do Posto]])</f>
        <v>112.75409999999999</v>
      </c>
      <c r="Q80" s="21">
        <f>tabCustoUnit[[#This Row],[MODULO 1 - REMUNERAÇÃO ]]*SUMIFS(tabParametros[SESI OU SESC],tabParametros[Código do Posto],tabCustoUnit[[#This Row],[Código do Posto]])</f>
        <v>8.4565574999999988</v>
      </c>
      <c r="R80" s="21">
        <f>tabCustoUnit[[#This Row],[MODULO 1 - REMUNERAÇÃO ]]*SUMIFS(tabParametros[SENAI OU SENAC],tabParametros[Código do Posto],tabCustoUnit[[#This Row],[Código do Posto]])</f>
        <v>5.6377049999999995</v>
      </c>
      <c r="S80" s="21">
        <f>tabCustoUnit[[#This Row],[MODULO 1 - REMUNERAÇÃO ]]*SUMIFS(tabParametros[INCRA],tabParametros[Código do Posto],tabCustoUnit[[#This Row],[Código do Posto]])</f>
        <v>1.1275409999999999</v>
      </c>
      <c r="T80" s="21">
        <f>tabCustoUnit[[#This Row],[MODULO 1 - REMUNERAÇÃO ]]*SUMIFS(tabParametros[Salário Educação],tabParametros[Código do Posto],tabCustoUnit[[#This Row],[Código do Posto]])</f>
        <v>14.094262499999999</v>
      </c>
      <c r="U80" s="21">
        <f>tabCustoUnit[[#This Row],[MODULO 1 - REMUNERAÇÃO ]]*SUMIFS(tabParametros[FGTS],tabParametros[Código do Posto],tabCustoUnit[[#This Row],[Código do Posto]])</f>
        <v>45.101639999999996</v>
      </c>
      <c r="V80" s="21">
        <f>tabCustoUnit[[#This Row],[MODULO 1 - REMUNERAÇÃO ]]*SUMIFS(tabParametros[RAT Ajustado],tabParametros[Código do Posto],tabCustoUnit[[#This Row],[Código do Posto]])</f>
        <v>22.550819999999998</v>
      </c>
      <c r="W80" s="21">
        <f>tabCustoUnit[[#This Row],[MODULO 1 - REMUNERAÇÃO ]]*SUMIFS(tabParametros[SEBRAE],tabParametros[Código do Posto],tabCustoUnit[[#This Row],[Código do Posto]])</f>
        <v>3.3826229999999997</v>
      </c>
      <c r="X80" s="21">
        <f>SUM(tabCustoUnit[[#This Row],[INSS]:[SEBRAE]])</f>
        <v>213.10524899999996</v>
      </c>
      <c r="Y80" s="21">
        <f>tabCustoUnit[[#This Row],[MODULO 1 - REMUNERAÇÃO ]]*SUMIFS(tabParametros[13º salário (titular)],tabParametros[Código do Posto],tabCustoUnit[[#This Row],[Código do Posto]])</f>
        <v>46.980874999999997</v>
      </c>
      <c r="Z80" s="21">
        <f>tabCustoUnit[[#This Row],[MODULO 1 - REMUNERAÇÃO ]]*SUMIFS(tabParametros[Férias e Adicional de Férias (titular)],tabParametros[Código do Posto],tabCustoUnit[[#This Row],[Código do Posto]])</f>
        <v>62.641166666666663</v>
      </c>
      <c r="AA80" s="21">
        <f>IFERROR((tabCustoUnit[[#This Row],[Submódulo 2.1]]/tabCustoUnit[[#This Row],[MODULO 1 - REMUNERAÇÃO ]])*SUM(tabCustoUnit[[#This Row],[13º salário (titular)]:[Férias e Adicional de Férias (titular)]]),0)</f>
        <v>41.437131749999992</v>
      </c>
      <c r="AB80" s="21">
        <f>SUM(tabCustoUnit[[#This Row],[13º salário (titular)]:[Incidência do Submódulo 2.1 sobre 13º Salário, Férias e Adicional de Férias]])</f>
        <v>151.05917341666665</v>
      </c>
      <c r="AC80" s="22">
        <f>_xlfn.LET(_xlpm.VT,SUMIF(tabParametros[Código do Posto],tabCustoUnit[[#This Row],[Código do Posto]],tabParametros[Vale - Transporte])*2*20,
IF((_xlpm.VT-tabCustoUnit[[#This Row],[Salário Base]]*0.06)&gt;=0,(_xlpm.VT-tabCustoUnit[[#This Row],[Salário Base]]*0.06),0)
)</f>
        <v>223.3492</v>
      </c>
      <c r="AD80" s="22">
        <f>IF(SUMIF(tabParametros[Código do Posto],tabCustoUnit[[#This Row],[Código do Posto]],tabParametros[Vale - Alimentação])&lt;=0,0,
SUMIF(tabParametros[Código do Posto],tabCustoUnit[[#This Row],[Código do Posto]],tabParametros[Vale - Alimentação])*20-1)</f>
        <v>582</v>
      </c>
      <c r="AE80" s="22">
        <f>SUMIF(tabParametros[Código do Posto],tabCustoUnit[[#This Row],[Código do Posto]],tabParametros[Cesta Básica])</f>
        <v>0</v>
      </c>
      <c r="AF80" s="22">
        <f>SUMIF(tabParametros[Código do Posto],tabCustoUnit[[#This Row],[Código do Posto]],tabParametros[PAF])</f>
        <v>0</v>
      </c>
      <c r="AG80" s="22">
        <f>SUMIF(tabParametros[Código do Posto],tabCustoUnit[[#This Row],[Código do Posto]],tabParametros[PQM])</f>
        <v>0</v>
      </c>
      <c r="AH80" s="22">
        <f>SUMIF(tabParametros[Código do Posto],tabCustoUnit[[#This Row],[Código do Posto]],tabParametros[PAT])</f>
        <v>0</v>
      </c>
      <c r="AI80" s="22">
        <f>SUMIF(tabParametros[Código do Posto],tabCustoUnit[[#This Row],[Código do Posto]],tabParametros[Seguro de Vida])</f>
        <v>3.36</v>
      </c>
      <c r="AJ80" s="22">
        <f>SUMIF(tabParametros[Código do Posto],tabCustoUnit[[#This Row],[Código do Posto]],tabParametros[Despesas de Viagem])</f>
        <v>0</v>
      </c>
      <c r="AK80" s="22">
        <f>SUM(tabCustoUnit[[#This Row],[Vale - Transporte (Descontada parcela do empregado)]:[Despesas de Viagem]])</f>
        <v>808.70920000000001</v>
      </c>
      <c r="AL80" s="22">
        <f>tabCustoUnit[[#This Row],[Submódulo 2.1]]+tabCustoUnit[[#This Row],[Submódulo 2.2]]+tabCustoUnit[[#This Row],[Submódulo 2.3]]</f>
        <v>1172.8736224166666</v>
      </c>
      <c r="AM80" s="22">
        <f>SUMIF(tabParametros[Código do Posto],tabCustoUnit[[#This Row],[Código do Posto]],tabParametros[Aviso Prévio Indenizado (API) e Reflexo do Aviso Prévio Indenizado])*tabCustoUnit[[#This Row],[MODULO 1 - REMUNERAÇÃO ]]</f>
        <v>3.9530273735532404</v>
      </c>
      <c r="AN80" s="22">
        <f>SUMIF(tabParametros[Código do Posto],tabCustoUnit[[#This Row],[Código do Posto]],tabParametros[Incidência do FGTS sobre API e Reflexo do API])*tabCustoUnit[[#This Row],[MODULO 1 - REMUNERAÇÃO ]]</f>
        <v>0.31624218988425928</v>
      </c>
      <c r="AO80" s="22">
        <f>SUMIF(tabParametros[Código do Posto],tabCustoUnit[[#This Row],[Código do Posto]],tabParametros[Multa Rescisória do FGTS sobre o Aviso Prévio Indenizado])*tabCustoUnit[[#This Row],[MODULO 1 - REMUNERAÇÃO ]]</f>
        <v>0.12649687595370371</v>
      </c>
      <c r="AP80" s="22">
        <f>SUMIF(tabParametros[Código do Posto],tabCustoUnit[[#This Row],[Código do Posto]],tabParametros[Aviso Prévio Trabalhado - APT])*tabCustoUnit[[#This Row],[MODULO 1 - REMUNERAÇÃO ]]</f>
        <v>1.9731967500000003</v>
      </c>
      <c r="AQ80" s="22">
        <f>SUMIF(tabParametros[Código do Posto],tabCustoUnit[[#This Row],[Código do Posto]],tabParametros[Incidência dos encargos do submódulo 2.1 sobre Aviso Prévio Trabalhado])*tabCustoUnit[[#This Row],[MODULO 1 - REMUNERAÇÃO ]]</f>
        <v>0.74586837150000018</v>
      </c>
      <c r="AR80" s="22">
        <f>SUMIF(tabParametros[Código do Posto],tabCustoUnit[[#This Row],[Código do Posto]],tabParametros[Multa Rescisória do FGTS])*tabCustoUnit[[#This Row],[MODULO 1 - REMUNERAÇÃO ]]</f>
        <v>17.238849066666663</v>
      </c>
      <c r="AS80" s="22">
        <f>SUMIF(tabParametros[Código do Posto],tabCustoUnit[[#This Row],[Código do Posto]],tabParametros[Indenização Adicional (Art. 9º da Lei nº 7.238/84)])*tabCustoUnit[[#This Row],[MODULO 1 - REMUNERAÇÃO ]]</f>
        <v>0.46980875</v>
      </c>
      <c r="AT80" s="22">
        <f>SUM(tabCustoUnit[[#This Row],[Aviso Prévio Indenizado (API) e Reflexo do Aviso Prévio Indenizado]:[Indenização Adicional (Art. 9º da Lei nº 7.238/84)]])</f>
        <v>24.823489377557866</v>
      </c>
      <c r="AU80" s="22">
        <f>SUMIF(tabParametros[Código do Posto],tabCustoUnit[[#This Row],[Código do Posto]],tabParametros[Ausência por Doença])*tabCustoUnit[[#This Row],[MODULO 1 - REMUNERAÇÃO ]]</f>
        <v>4.7607286666666662</v>
      </c>
      <c r="AV80" s="22">
        <f>SUMIF(tabParametros[Código do Posto],tabCustoUnit[[#This Row],[Código do Posto]],tabParametros[Ausências Legais])*tabCustoUnit[[#This Row],[MODULO 1 - REMUNERAÇÃO ]]</f>
        <v>1.1432012916666665</v>
      </c>
      <c r="AW80" s="22">
        <f>SUMIF(tabParametros[Código do Posto],tabCustoUnit[[#This Row],[Código do Posto]],tabParametros[Licença Paternidade])*tabCustoUnit[[#This Row],[MODULO 1 - REMUNERAÇÃO ]]</f>
        <v>9.6310793749999998E-2</v>
      </c>
      <c r="AX80" s="22">
        <f>SUMIF(tabParametros[Código do Posto],tabCustoUnit[[#This Row],[Código do Posto]],tabParametros[Ausência por Acidente de Trabalho])*tabCustoUnit[[#This Row],[MODULO 1 - REMUNERAÇÃO ]]</f>
        <v>0.1174521875</v>
      </c>
      <c r="AY80" s="22">
        <f>SUMIF(tabParametros[Código do Posto],tabCustoUnit[[#This Row],[Código do Posto]],tabParametros[Férias, Adicional de Férias e 13º  com empregada em gozo de Licença Maternidade])*tabCustoUnit[[#This Row],[MODULO 1 - REMUNERAÇÃO ]]</f>
        <v>0.73081361111111109</v>
      </c>
      <c r="AZ80" s="22">
        <f>SUMIF(tabParametros[Código do Posto],tabCustoUnit[[#This Row],[Código do Posto]],tabParametros[Incidência do Submódulo 2.1 sobre Ausências Legais])*tabCustoUnit[[#This Row],[MODULO 1 - REMUNERAÇÃO ]]</f>
        <v>2.5887354761625003</v>
      </c>
      <c r="BA80" s="22">
        <f>SUM(tabCustoUnit[[#This Row],[Ausência por Doença]:[Incidência do Submódulo 2.1 sobre Ausências Legais]])</f>
        <v>9.4372420268569428</v>
      </c>
      <c r="BB80" s="22">
        <f>SUMIF(tabParametros[Código do Posto],tabCustoUnit[[#This Row],[Código do Posto]],tabParametros[Intervalo para Repouso ou Alimentação])</f>
        <v>0</v>
      </c>
      <c r="BC80" s="22">
        <f>tabCustoUnit[[#This Row],[Intervalo para Repouso ou Alimentação]]</f>
        <v>0</v>
      </c>
      <c r="BD80" s="22">
        <f>IF(VLOOKUP(tabCustoUnit[[#This Row],[Código do Posto]],PARAMETROS!$A$4:$BJ$255,7,0)&lt;=0,0,
IFERROR((tabCustoUnit[[#This Row],[MODULO 1 - REMUNERAÇÃO ]]*VLOOKUP(tabCustoUnit[[#This Row],[Código do Posto]],PARAMETROS!$A$4:$BJ$255,49,0))/(VLOOKUP(tabCustoUnit[[#This Row],[Código do Posto]],PARAMETROS!$A$4:$BJ$255,7,0)*VLOOKUP(tabCustoUnit[[#This Row],[Código do Posto]],PARAMETROS!$A$4:$BJ$255,8,0)),0)
)</f>
        <v>0</v>
      </c>
      <c r="BE80" s="22">
        <f>tabCustoUnit[[#This Row],[Suspensão Temporária do Contrato de Trabalho]]</f>
        <v>0</v>
      </c>
      <c r="BF80" s="22">
        <f>tabCustoUnit[[#This Row],[Submódulo 4.1]]+tabCustoUnit[[#This Row],[Submódulo 4.2]]+tabCustoUnit[[#This Row],[Submódulo 4.3]]</f>
        <v>9.4372420268569428</v>
      </c>
      <c r="BG80" s="22">
        <f>VLOOKUP(tabCustoUnit[[#This Row],[Código do Posto]],tabParametros[],MATCH(tabCustoUnit[[#Headers],[Uniformes e EPIs]],tabParametros[#Headers],0),0)</f>
        <v>62.806666666666665</v>
      </c>
      <c r="BH80" s="22">
        <f>VLOOKUP(tabCustoUnit[[#This Row],[Código do Posto]],tabParametros[],MATCH(tabCustoUnit[[#Headers],[Materiais de Consumo]],tabParametros[#Headers],0),0)</f>
        <v>12.108481690426325</v>
      </c>
      <c r="BI80" s="22">
        <f>VLOOKUP(tabCustoUnit[[#This Row],[Código do Posto]],tabParametros[],MATCH(tabCustoUnit[[#Headers],[Máquinas e Equipamentos (depreciação)]],tabParametros[#Headers],0),0)</f>
        <v>21.998657016417809</v>
      </c>
      <c r="BJ80" s="22">
        <f>VLOOKUP(tabCustoUnit[[#This Row],[Código do Posto]],tabParametros[],MATCH(tabCustoUnit[[#Headers],[Produtos de Limpeza e Materiais de Higiene Pessoal]],tabParametros[#Headers],0),0)</f>
        <v>235.31984072022155</v>
      </c>
      <c r="BK80" s="22">
        <f>VLOOKUP(tabCustoUnit[[#This Row],[Código do Posto]],tabParametros[],MATCH(tabCustoUnit[[#Headers],[Outros (especificar)]],tabParametros[#Headers],0),0)</f>
        <v>0</v>
      </c>
      <c r="BL80" s="22">
        <f>SUM(tabCustoUnit[[#This Row],[Uniformes e EPIs]:[Outros (especificar)]])</f>
        <v>332.23364609373232</v>
      </c>
      <c r="BM80" s="22">
        <f>tabCustoUnit[[#This Row],[MODULO 1 - REMUNERAÇÃO ]]+tabCustoUnit[[#This Row],[MÓDULO 2 - Total Encargos e Benefícios mensais e diários]]+tabCustoUnit[[#This Row],[MÓDULO 3 – PROVISÃO PARA RESCISÃO]]+tabCustoUnit[[#This Row],[MÓDULO 4 – CUSTO DE REPOSIÇÃO DO PROFISSIONAL AUSENTE]]+tabCustoUnit[[#This Row],[MÓDULO 5 – INSUMOS DIVERSOS]]</f>
        <v>2103.1384999148136</v>
      </c>
      <c r="BN80" s="22">
        <f>VLOOKUP(tabCustoUnit[[#This Row],[Código do Posto]],tabParametros[],MATCH(tabCustoUnit[[#Headers],[Custos Indiretos]],tabParametros[#Headers],0),0)</f>
        <v>189.64880140242613</v>
      </c>
      <c r="BO80" s="22">
        <f>VLOOKUP(tabCustoUnit[[#This Row],[Código do Posto]],tabParametros[],MATCH(tabCustoUnit[[#Headers],[Lucro]],tabParametros[#Headers],0),0)</f>
        <v>159.30499317803796</v>
      </c>
      <c r="BP80" s="26">
        <f>((100/((1-tabCustoUnit[[#This Row],[Resumo de Alíquotas (PIS+CONFINS+ISS)]]))-100)*VLOOKUP(tabCustoUnit[[#This Row],[Código do Posto]],tabParametros[],MATCH(tabCustoUnit[[#Headers],[COFINS]],tabParametros[#Headers],0),0))/(tabCustoUnit[[#This Row],[Resumo de Alíquotas (PIS+CONFINS+ISS)]]*100)</f>
        <v>8.8629737609329504E-2</v>
      </c>
      <c r="BQ80" s="26">
        <f>((100/((100-(tabCustoUnit[[#This Row],[Resumo de Alíquotas (PIS+CONFINS+ISS)]]*100))%)-100)*VLOOKUP(tabCustoUnit[[#This Row],[Código do Posto]],tabParametros[],MATCH(tabCustoUnit[[#Headers],[PIS]],tabParametros[#Headers],0),0))/(tabCustoUnit[[#This Row],[Resumo de Alíquotas (PIS+CONFINS+ISS)]]*100)</f>
        <v>1.9241982507288629E-2</v>
      </c>
      <c r="BR80" s="28">
        <f>VLOOKUP(tabCustoUnit[[#This Row],[Código do Posto]],tabParametros[],MATCH(tabCustoUnit[[#Headers],[ISS]],tabParametros[#Headers],0),0)</f>
        <v>0.05</v>
      </c>
      <c r="BS80" s="26">
        <f>(((100/((100-(tabCustoUnit[[#This Row],[Resumo de Alíquotas (PIS+CONFINS+ISS)]]*100))%)-100)*tabCustoUnit[[#This Row],[ISS]])/tabCustoUnit[[#This Row],[Resumo de Alíquotas (PIS+CONFINS+ISS)]])/100</f>
        <v>5.8309037900874633E-2</v>
      </c>
      <c r="BT80" s="26">
        <f>(VLOOKUP(tabCustoUnit[[#This Row],[Código do Posto]],tabParametros[],MATCH(tabCustoUnit[[#Headers],[COFINS]],tabParametros[#Headers],0),0)+
VLOOKUP(tabCustoUnit[[#This Row],[Código do Posto]],tabParametros[],MATCH(tabCustoUnit[[#Headers],[PIS]],tabParametros[#Headers],0),0)+
VLOOKUP(tabCustoUnit[[#This Row],[Código do Posto]],tabParametros[],MATCH(tabCustoUnit[[#Headers],[ISS]],tabParametros[#Headers],0),0))</f>
        <v>0.14250000000000002</v>
      </c>
      <c r="BU80" s="138">
        <f>tabCustoUnit[[#This Row],[COFINS]]+tabCustoUnit[[#This Row],[PIS]]+tabCustoUnit[[#This Row],[ISS (Conversão Alíquota s/ fatura)]]</f>
        <v>0.16618075801749277</v>
      </c>
      <c r="BV80" s="22">
        <f>(tabCustoUnit[[#This Row],[TOTAL MÓDULOS 1+2+3+4+5]]+tabCustoUnit[[#This Row],[Custos Indiretos]]+tabCustoUnit[[#This Row],[Lucro]])*tabCustoUnit[[#This Row],[PIS + COFINS + ISS (Total Conversão  Alíquota s/ Fatura)]]</f>
        <v>407.49055622807833</v>
      </c>
      <c r="BW80" s="22">
        <f>tabCustoUnit[[#This Row],[Custos Indiretos]]+tabCustoUnit[[#This Row],[Lucro]]+tabCustoUnit[[#This Row],[Valor dos Tributos (ISS, PIS, CONFINS)]]</f>
        <v>756.44435080854237</v>
      </c>
      <c r="BX80" s="22">
        <f>tabCustoUnit[[#This Row],[TOTAL MÓDULOS 1+2+3+4+5]]+tabCustoUnit[[#This Row],[MÓDULO 6 – CUSTOS INDIRETOS, TRIBUTOS E LUCRO]]</f>
        <v>2859.5828507233559</v>
      </c>
      <c r="BY80" s="22">
        <f>tabCustoUnit[[#This Row],[CUSTO TOTAL MENSAL]]*12</f>
        <v>34314.994208680269</v>
      </c>
      <c r="BZ80" s="24">
        <f>VLOOKUP(tabCustoUnit[[#This Row],[Código do Posto]],tabParametros[],MATCH(tabCustoUnit[[#Headers],[ANO DA CCT]],tabParametros[#Headers],0),0)</f>
        <v>45658</v>
      </c>
      <c r="CA80" s="25" t="str">
        <f>VLOOKUP(tabCustoUnit[[#This Row],[Código do Posto]],tabParametros[],MATCH(tabCustoUnit[[#Headers],[Nº DE PEDIDO DA CCT]],tabParametros[#Headers],0),0)</f>
        <v>-</v>
      </c>
      <c r="CB80" s="25" t="str">
        <f>VLOOKUP(tabCustoUnit[[#This Row],[Código do Posto]],tabParametros[],MATCH(tabCustoUnit[[#Headers],[TERMO ADITIVO ALTERAÇÃO DA CCT]],tabParametros[#Headers],0),0)</f>
        <v>-</v>
      </c>
    </row>
    <row r="81" spans="1:80" x14ac:dyDescent="0.25">
      <c r="A81" s="20" t="s">
        <v>1421</v>
      </c>
      <c r="B81" t="s">
        <v>78</v>
      </c>
      <c r="C81" t="s">
        <v>1244</v>
      </c>
      <c r="D81" t="s">
        <v>992</v>
      </c>
      <c r="E81" s="20" t="s">
        <v>9</v>
      </c>
      <c r="F81" s="20" t="s">
        <v>10</v>
      </c>
      <c r="G81" s="21">
        <v>798.14</v>
      </c>
      <c r="H81" s="21">
        <v>0</v>
      </c>
      <c r="I81" s="21">
        <v>0</v>
      </c>
      <c r="J81" s="21">
        <v>0</v>
      </c>
      <c r="K81" s="21">
        <v>0</v>
      </c>
      <c r="L81" s="21">
        <v>0</v>
      </c>
      <c r="M81" s="21">
        <v>0</v>
      </c>
      <c r="N81" s="21">
        <v>26.120899999999999</v>
      </c>
      <c r="O81" s="21">
        <f>SUM(tabCustoUnit[[#This Row],[Salário Base]:[Adicional de Acúmulo de função]])</f>
        <v>824.26089999999999</v>
      </c>
      <c r="P81" s="21">
        <f>tabCustoUnit[[#This Row],[MODULO 1 - REMUNERAÇÃO ]]*SUMIFS(tabParametros[INSS],tabParametros[Código do Posto],tabCustoUnit[[#This Row],[Código do Posto]])</f>
        <v>164.85218</v>
      </c>
      <c r="Q81" s="21">
        <f>tabCustoUnit[[#This Row],[MODULO 1 - REMUNERAÇÃO ]]*SUMIFS(tabParametros[SESI OU SESC],tabParametros[Código do Posto],tabCustoUnit[[#This Row],[Código do Posto]])</f>
        <v>12.363913499999999</v>
      </c>
      <c r="R81" s="21">
        <f>tabCustoUnit[[#This Row],[MODULO 1 - REMUNERAÇÃO ]]*SUMIFS(tabParametros[SENAI OU SENAC],tabParametros[Código do Posto],tabCustoUnit[[#This Row],[Código do Posto]])</f>
        <v>8.2426089999999999</v>
      </c>
      <c r="S81" s="21">
        <f>tabCustoUnit[[#This Row],[MODULO 1 - REMUNERAÇÃO ]]*SUMIFS(tabParametros[INCRA],tabParametros[Código do Posto],tabCustoUnit[[#This Row],[Código do Posto]])</f>
        <v>1.6485217999999999</v>
      </c>
      <c r="T81" s="21">
        <f>tabCustoUnit[[#This Row],[MODULO 1 - REMUNERAÇÃO ]]*SUMIFS(tabParametros[Salário Educação],tabParametros[Código do Posto],tabCustoUnit[[#This Row],[Código do Posto]])</f>
        <v>20.606522500000001</v>
      </c>
      <c r="U81" s="21">
        <f>tabCustoUnit[[#This Row],[MODULO 1 - REMUNERAÇÃO ]]*SUMIFS(tabParametros[FGTS],tabParametros[Código do Posto],tabCustoUnit[[#This Row],[Código do Posto]])</f>
        <v>65.940871999999999</v>
      </c>
      <c r="V81" s="21">
        <f>tabCustoUnit[[#This Row],[MODULO 1 - REMUNERAÇÃO ]]*SUMIFS(tabParametros[RAT Ajustado],tabParametros[Código do Posto],tabCustoUnit[[#This Row],[Código do Posto]])</f>
        <v>32.970435999999999</v>
      </c>
      <c r="W81" s="21">
        <f>tabCustoUnit[[#This Row],[MODULO 1 - REMUNERAÇÃO ]]*SUMIFS(tabParametros[SEBRAE],tabParametros[Código do Posto],tabCustoUnit[[#This Row],[Código do Posto]])</f>
        <v>4.9455654000000004</v>
      </c>
      <c r="X81" s="21">
        <f>SUM(tabCustoUnit[[#This Row],[INSS]:[SEBRAE]])</f>
        <v>311.57062020000001</v>
      </c>
      <c r="Y81" s="21">
        <f>tabCustoUnit[[#This Row],[MODULO 1 - REMUNERAÇÃO ]]*SUMIFS(tabParametros[13º salário (titular)],tabParametros[Código do Posto],tabCustoUnit[[#This Row],[Código do Posto]])</f>
        <v>68.688408333333328</v>
      </c>
      <c r="Z81" s="21">
        <f>tabCustoUnit[[#This Row],[MODULO 1 - REMUNERAÇÃO ]]*SUMIFS(tabParametros[Férias e Adicional de Férias (titular)],tabParametros[Código do Posto],tabCustoUnit[[#This Row],[Código do Posto]])</f>
        <v>91.584544444444433</v>
      </c>
      <c r="AA81" s="21">
        <f>IFERROR((tabCustoUnit[[#This Row],[Submódulo 2.1]]/tabCustoUnit[[#This Row],[MODULO 1 - REMUNERAÇÃO ]])*SUM(tabCustoUnit[[#This Row],[13º salário (titular)]:[Férias e Adicional de Férias (titular)]]),0)</f>
        <v>60.583176149999993</v>
      </c>
      <c r="AB81" s="21">
        <f>SUM(tabCustoUnit[[#This Row],[13º salário (titular)]:[Incidência do Submódulo 2.1 sobre 13º Salário, Férias e Adicional de Férias]])</f>
        <v>220.85612892777775</v>
      </c>
      <c r="AC81" s="22">
        <f>_xlfn.LET(_xlpm.VT,SUMIF(tabParametros[Código do Posto],tabCustoUnit[[#This Row],[Código do Posto]],tabParametros[Vale - Transporte])*2*20,
IF((_xlpm.VT-tabCustoUnit[[#This Row],[Salário Base]]*0.06)&gt;=0,(_xlpm.VT-tabCustoUnit[[#This Row],[Salário Base]]*0.06),0)
)</f>
        <v>208.11160000000001</v>
      </c>
      <c r="AD81" s="22">
        <f>IF(SUMIF(tabParametros[Código do Posto],tabCustoUnit[[#This Row],[Código do Posto]],tabParametros[Vale - Alimentação])&lt;=0,0,
SUMIF(tabParametros[Código do Posto],tabCustoUnit[[#This Row],[Código do Posto]],tabParametros[Vale - Alimentação])*20-1)</f>
        <v>0</v>
      </c>
      <c r="AE81" s="22">
        <f>SUMIF(tabParametros[Código do Posto],tabCustoUnit[[#This Row],[Código do Posto]],tabParametros[Cesta Básica])</f>
        <v>387.79</v>
      </c>
      <c r="AF81" s="22">
        <f>SUMIF(tabParametros[Código do Posto],tabCustoUnit[[#This Row],[Código do Posto]],tabParametros[PAF])</f>
        <v>42.97</v>
      </c>
      <c r="AG81" s="22">
        <f>SUMIF(tabParametros[Código do Posto],tabCustoUnit[[#This Row],[Código do Posto]],tabParametros[PQM])</f>
        <v>0</v>
      </c>
      <c r="AH81" s="22">
        <f>SUMIF(tabParametros[Código do Posto],tabCustoUnit[[#This Row],[Código do Posto]],tabParametros[PAT])</f>
        <v>0</v>
      </c>
      <c r="AI81" s="22">
        <f>SUMIF(tabParametros[Código do Posto],tabCustoUnit[[#This Row],[Código do Posto]],tabParametros[Seguro de Vida])</f>
        <v>3.36</v>
      </c>
      <c r="AJ81" s="22">
        <f>SUMIF(tabParametros[Código do Posto],tabCustoUnit[[#This Row],[Código do Posto]],tabParametros[Despesas de Viagem])</f>
        <v>0</v>
      </c>
      <c r="AK81" s="22">
        <f>SUM(tabCustoUnit[[#This Row],[Vale - Transporte (Descontada parcela do empregado)]:[Despesas de Viagem]])</f>
        <v>642.23160000000007</v>
      </c>
      <c r="AL81" s="22">
        <f>tabCustoUnit[[#This Row],[Submódulo 2.1]]+tabCustoUnit[[#This Row],[Submódulo 2.2]]+tabCustoUnit[[#This Row],[Submódulo 2.3]]</f>
        <v>1174.6583491277779</v>
      </c>
      <c r="AM81" s="22">
        <f>SUMIF(tabParametros[Código do Posto],tabCustoUnit[[#This Row],[Código do Posto]],tabParametros[Aviso Prévio Indenizado (API) e Reflexo do Aviso Prévio Indenizado])*tabCustoUnit[[#This Row],[MODULO 1 - REMUNERAÇÃO ]]</f>
        <v>5.7795253576581791</v>
      </c>
      <c r="AN81" s="22">
        <f>SUMIF(tabParametros[Código do Posto],tabCustoUnit[[#This Row],[Código do Posto]],tabParametros[Incidência do FGTS sobre API e Reflexo do API])*tabCustoUnit[[#This Row],[MODULO 1 - REMUNERAÇÃO ]]</f>
        <v>0.46236202861265435</v>
      </c>
      <c r="AO81" s="22">
        <f>SUMIF(tabParametros[Código do Posto],tabCustoUnit[[#This Row],[Código do Posto]],tabParametros[Multa Rescisória do FGTS sobre o Aviso Prévio Indenizado])*tabCustoUnit[[#This Row],[MODULO 1 - REMUNERAÇÃO ]]</f>
        <v>0.18494481144506175</v>
      </c>
      <c r="AP81" s="22">
        <f>SUMIF(tabParametros[Código do Posto],tabCustoUnit[[#This Row],[Código do Posto]],tabParametros[Aviso Prévio Trabalhado - APT])*tabCustoUnit[[#This Row],[MODULO 1 - REMUNERAÇÃO ]]</f>
        <v>2.8849131500000005</v>
      </c>
      <c r="AQ81" s="22">
        <f>SUMIF(tabParametros[Código do Posto],tabCustoUnit[[#This Row],[Código do Posto]],tabParametros[Incidência dos encargos do submódulo 2.1 sobre Aviso Prévio Trabalhado])*tabCustoUnit[[#This Row],[MODULO 1 - REMUNERAÇÃO ]]</f>
        <v>1.0904971707000004</v>
      </c>
      <c r="AR81" s="22">
        <f>SUMIF(tabParametros[Código do Posto],tabCustoUnit[[#This Row],[Código do Posto]],tabParametros[Multa Rescisória do FGTS])*tabCustoUnit[[#This Row],[MODULO 1 - REMUNERAÇÃO ]]</f>
        <v>25.204066631111107</v>
      </c>
      <c r="AS81" s="22">
        <f>SUMIF(tabParametros[Código do Posto],tabCustoUnit[[#This Row],[Código do Posto]],tabParametros[Indenização Adicional (Art. 9º da Lei nº 7.238/84)])*tabCustoUnit[[#This Row],[MODULO 1 - REMUNERAÇÃO ]]</f>
        <v>0.6868840833333334</v>
      </c>
      <c r="AT81" s="22">
        <f>SUM(tabCustoUnit[[#This Row],[Aviso Prévio Indenizado (API) e Reflexo do Aviso Prévio Indenizado]:[Indenização Adicional (Art. 9º da Lei nº 7.238/84)]])</f>
        <v>36.293193232860339</v>
      </c>
      <c r="AU81" s="22">
        <f>SUMIF(tabParametros[Código do Posto],tabCustoUnit[[#This Row],[Código do Posto]],tabParametros[Ausência por Doença])*tabCustoUnit[[#This Row],[MODULO 1 - REMUNERAÇÃO ]]</f>
        <v>6.9604253777777769</v>
      </c>
      <c r="AV81" s="22">
        <f>SUMIF(tabParametros[Código do Posto],tabCustoUnit[[#This Row],[Código do Posto]],tabParametros[Ausências Legais])*tabCustoUnit[[#This Row],[MODULO 1 - REMUNERAÇÃO ]]</f>
        <v>1.671417936111111</v>
      </c>
      <c r="AW81" s="22">
        <f>SUMIF(tabParametros[Código do Posto],tabCustoUnit[[#This Row],[Código do Posto]],tabParametros[Licença Paternidade])*tabCustoUnit[[#This Row],[MODULO 1 - REMUNERAÇÃO ]]</f>
        <v>0.14081123708333332</v>
      </c>
      <c r="AX81" s="22">
        <f>SUMIF(tabParametros[Código do Posto],tabCustoUnit[[#This Row],[Código do Posto]],tabParametros[Ausência por Acidente de Trabalho])*tabCustoUnit[[#This Row],[MODULO 1 - REMUNERAÇÃO ]]</f>
        <v>0.17172102083333335</v>
      </c>
      <c r="AY81" s="22">
        <f>SUMIF(tabParametros[Código do Posto],tabCustoUnit[[#This Row],[Código do Posto]],tabParametros[Férias, Adicional de Férias e 13º  com empregada em gozo de Licença Maternidade])*tabCustoUnit[[#This Row],[MODULO 1 - REMUNERAÇÃO ]]</f>
        <v>1.0684863518518517</v>
      </c>
      <c r="AZ81" s="22">
        <f>SUMIF(tabParametros[Código do Posto],tabCustoUnit[[#This Row],[Código do Posto]],tabParametros[Incidência do Submódulo 2.1 sobre Ausências Legais])*tabCustoUnit[[#This Row],[MODULO 1 - REMUNERAÇÃO ]]</f>
        <v>3.7848618071425006</v>
      </c>
      <c r="BA81" s="22">
        <f>SUM(tabCustoUnit[[#This Row],[Ausência por Doença]:[Incidência do Submódulo 2.1 sobre Ausências Legais]])</f>
        <v>13.797723730799909</v>
      </c>
      <c r="BB81" s="22">
        <f>SUMIF(tabParametros[Código do Posto],tabCustoUnit[[#This Row],[Código do Posto]],tabParametros[Intervalo para Repouso ou Alimentação])</f>
        <v>0</v>
      </c>
      <c r="BC81" s="22">
        <f>tabCustoUnit[[#This Row],[Intervalo para Repouso ou Alimentação]]</f>
        <v>0</v>
      </c>
      <c r="BD81" s="22">
        <f>IF(VLOOKUP(tabCustoUnit[[#This Row],[Código do Posto]],PARAMETROS!$A$4:$BJ$255,7,0)&lt;=0,0,
IFERROR((tabCustoUnit[[#This Row],[MODULO 1 - REMUNERAÇÃO ]]*VLOOKUP(tabCustoUnit[[#This Row],[Código do Posto]],PARAMETROS!$A$4:$BJ$255,49,0))/(VLOOKUP(tabCustoUnit[[#This Row],[Código do Posto]],PARAMETROS!$A$4:$BJ$255,7,0)*VLOOKUP(tabCustoUnit[[#This Row],[Código do Posto]],PARAMETROS!$A$4:$BJ$255,8,0)),0)
)</f>
        <v>0</v>
      </c>
      <c r="BE81" s="22">
        <f>tabCustoUnit[[#This Row],[Suspensão Temporária do Contrato de Trabalho]]</f>
        <v>0</v>
      </c>
      <c r="BF81" s="22">
        <f>tabCustoUnit[[#This Row],[Submódulo 4.1]]+tabCustoUnit[[#This Row],[Submódulo 4.2]]+tabCustoUnit[[#This Row],[Submódulo 4.3]]</f>
        <v>13.797723730799909</v>
      </c>
      <c r="BG81" s="22">
        <f>VLOOKUP(tabCustoUnit[[#This Row],[Código do Posto]],tabParametros[],MATCH(tabCustoUnit[[#Headers],[Uniformes e EPIs]],tabParametros[#Headers],0),0)</f>
        <v>62.806666666666665</v>
      </c>
      <c r="BH81" s="22">
        <f>VLOOKUP(tabCustoUnit[[#This Row],[Código do Posto]],tabParametros[],MATCH(tabCustoUnit[[#Headers],[Materiais de Consumo]],tabParametros[#Headers],0),0)</f>
        <v>17.759106479291944</v>
      </c>
      <c r="BI81" s="22">
        <f>VLOOKUP(tabCustoUnit[[#This Row],[Código do Posto]],tabParametros[],MATCH(tabCustoUnit[[#Headers],[Máquinas e Equipamentos (depreciação)]],tabParametros[#Headers],0),0)</f>
        <v>32.264696957412788</v>
      </c>
      <c r="BJ81" s="22">
        <f>VLOOKUP(tabCustoUnit[[#This Row],[Código do Posto]],tabParametros[],MATCH(tabCustoUnit[[#Headers],[Produtos de Limpeza e Materiais de Higiene Pessoal]],tabParametros[#Headers],0),0)</f>
        <v>345.13576638965827</v>
      </c>
      <c r="BK81" s="22">
        <f>VLOOKUP(tabCustoUnit[[#This Row],[Código do Posto]],tabParametros[],MATCH(tabCustoUnit[[#Headers],[Outros (especificar)]],tabParametros[#Headers],0),0)</f>
        <v>0</v>
      </c>
      <c r="BL81" s="22">
        <f>SUM(tabCustoUnit[[#This Row],[Uniformes e EPIs]:[Outros (especificar)]])</f>
        <v>457.96623649302967</v>
      </c>
      <c r="BM81" s="22">
        <f>tabCustoUnit[[#This Row],[MODULO 1 - REMUNERAÇÃO ]]+tabCustoUnit[[#This Row],[MÓDULO 2 - Total Encargos e Benefícios mensais e diários]]+tabCustoUnit[[#This Row],[MÓDULO 3 – PROVISÃO PARA RESCISÃO]]+tabCustoUnit[[#This Row],[MÓDULO 4 – CUSTO DE REPOSIÇÃO DO PROFISSIONAL AUSENTE]]+tabCustoUnit[[#This Row],[MÓDULO 5 – INSUMOS DIVERSOS]]</f>
        <v>2506.9764025844679</v>
      </c>
      <c r="BN81" s="22">
        <f>VLOOKUP(tabCustoUnit[[#This Row],[Código do Posto]],tabParametros[],MATCH(tabCustoUnit[[#Headers],[Custos Indiretos]],tabParametros[#Headers],0),0)</f>
        <v>189.64880140242613</v>
      </c>
      <c r="BO81" s="22">
        <f>VLOOKUP(tabCustoUnit[[#This Row],[Código do Posto]],tabParametros[],MATCH(tabCustoUnit[[#Headers],[Lucro]],tabParametros[#Headers],0),0)</f>
        <v>159.30499317803796</v>
      </c>
      <c r="BP81" s="26">
        <f>((100/((1-tabCustoUnit[[#This Row],[Resumo de Alíquotas (PIS+CONFINS+ISS)]]))-100)*VLOOKUP(tabCustoUnit[[#This Row],[Código do Posto]],tabParametros[],MATCH(tabCustoUnit[[#Headers],[COFINS]],tabParametros[#Headers],0),0))/(tabCustoUnit[[#This Row],[Resumo de Alíquotas (PIS+CONFINS+ISS)]]*100)</f>
        <v>8.8629737609329504E-2</v>
      </c>
      <c r="BQ81" s="26">
        <f>((100/((100-(tabCustoUnit[[#This Row],[Resumo de Alíquotas (PIS+CONFINS+ISS)]]*100))%)-100)*VLOOKUP(tabCustoUnit[[#This Row],[Código do Posto]],tabParametros[],MATCH(tabCustoUnit[[#Headers],[PIS]],tabParametros[#Headers],0),0))/(tabCustoUnit[[#This Row],[Resumo de Alíquotas (PIS+CONFINS+ISS)]]*100)</f>
        <v>1.9241982507288629E-2</v>
      </c>
      <c r="BR81" s="28">
        <f>VLOOKUP(tabCustoUnit[[#This Row],[Código do Posto]],tabParametros[],MATCH(tabCustoUnit[[#Headers],[ISS]],tabParametros[#Headers],0),0)</f>
        <v>0.05</v>
      </c>
      <c r="BS81" s="26">
        <f>(((100/((100-(tabCustoUnit[[#This Row],[Resumo de Alíquotas (PIS+CONFINS+ISS)]]*100))%)-100)*tabCustoUnit[[#This Row],[ISS]])/tabCustoUnit[[#This Row],[Resumo de Alíquotas (PIS+CONFINS+ISS)]])/100</f>
        <v>5.8309037900874633E-2</v>
      </c>
      <c r="BT81" s="26">
        <f>(VLOOKUP(tabCustoUnit[[#This Row],[Código do Posto]],tabParametros[],MATCH(tabCustoUnit[[#Headers],[COFINS]],tabParametros[#Headers],0),0)+
VLOOKUP(tabCustoUnit[[#This Row],[Código do Posto]],tabParametros[],MATCH(tabCustoUnit[[#Headers],[PIS]],tabParametros[#Headers],0),0)+
VLOOKUP(tabCustoUnit[[#This Row],[Código do Posto]],tabParametros[],MATCH(tabCustoUnit[[#Headers],[ISS]],tabParametros[#Headers],0),0))</f>
        <v>0.14250000000000002</v>
      </c>
      <c r="BU81" s="138">
        <f>tabCustoUnit[[#This Row],[COFINS]]+tabCustoUnit[[#This Row],[PIS]]+tabCustoUnit[[#This Row],[ISS (Conversão Alíquota s/ fatura)]]</f>
        <v>0.16618075801749277</v>
      </c>
      <c r="BV81" s="22">
        <f>(tabCustoUnit[[#This Row],[TOTAL MÓDULOS 1+2+3+4+5]]+tabCustoUnit[[#This Row],[Custos Indiretos]]+tabCustoUnit[[#This Row],[Lucro]])*tabCustoUnit[[#This Row],[PIS + COFINS + ISS (Total Conversão  Alíquota s/ Fatura)]]</f>
        <v>474.60064500991598</v>
      </c>
      <c r="BW81" s="22">
        <f>tabCustoUnit[[#This Row],[Custos Indiretos]]+tabCustoUnit[[#This Row],[Lucro]]+tabCustoUnit[[#This Row],[Valor dos Tributos (ISS, PIS, CONFINS)]]</f>
        <v>823.55443959038007</v>
      </c>
      <c r="BX81" s="22">
        <f>tabCustoUnit[[#This Row],[TOTAL MÓDULOS 1+2+3+4+5]]+tabCustoUnit[[#This Row],[MÓDULO 6 – CUSTOS INDIRETOS, TRIBUTOS E LUCRO]]</f>
        <v>3330.5308421748477</v>
      </c>
      <c r="BY81" s="22">
        <f>tabCustoUnit[[#This Row],[CUSTO TOTAL MENSAL]]*12</f>
        <v>39966.370106098169</v>
      </c>
      <c r="BZ81" s="24">
        <f>VLOOKUP(tabCustoUnit[[#This Row],[Código do Posto]],tabParametros[],MATCH(tabCustoUnit[[#Headers],[ANO DA CCT]],tabParametros[#Headers],0),0)</f>
        <v>45658</v>
      </c>
      <c r="CA81" s="25" t="str">
        <f>VLOOKUP(tabCustoUnit[[#This Row],[Código do Posto]],tabParametros[],MATCH(tabCustoUnit[[#Headers],[Nº DE PEDIDO DA CCT]],tabParametros[#Headers],0),0)</f>
        <v>-</v>
      </c>
      <c r="CB81" s="25" t="str">
        <f>VLOOKUP(tabCustoUnit[[#This Row],[Código do Posto]],tabParametros[],MATCH(tabCustoUnit[[#Headers],[TERMO ADITIVO ALTERAÇÃO DA CCT]],tabParametros[#Headers],0),0)</f>
        <v>-</v>
      </c>
    </row>
    <row r="82" spans="1:80" x14ac:dyDescent="0.25">
      <c r="A82" s="20" t="s">
        <v>1422</v>
      </c>
      <c r="B82" t="s">
        <v>79</v>
      </c>
      <c r="C82" t="s">
        <v>1245</v>
      </c>
      <c r="D82" t="s">
        <v>1037</v>
      </c>
      <c r="E82" s="20" t="s">
        <v>9</v>
      </c>
      <c r="F82" s="20" t="s">
        <v>10</v>
      </c>
      <c r="G82" s="21">
        <v>1596.28</v>
      </c>
      <c r="H82" s="21">
        <v>0</v>
      </c>
      <c r="I82" s="21">
        <v>0</v>
      </c>
      <c r="J82" s="21">
        <v>0</v>
      </c>
      <c r="K82" s="21">
        <v>0</v>
      </c>
      <c r="L82" s="21">
        <v>0</v>
      </c>
      <c r="M82" s="21">
        <v>0</v>
      </c>
      <c r="N82" s="21">
        <v>52.241900000000001</v>
      </c>
      <c r="O82" s="21">
        <f>SUM(tabCustoUnit[[#This Row],[Salário Base]:[Adicional de Acúmulo de função]])</f>
        <v>1648.5219</v>
      </c>
      <c r="P82" s="21">
        <f>tabCustoUnit[[#This Row],[MODULO 1 - REMUNERAÇÃO ]]*SUMIFS(tabParametros[INSS],tabParametros[Código do Posto],tabCustoUnit[[#This Row],[Código do Posto]])</f>
        <v>329.70438000000001</v>
      </c>
      <c r="Q82" s="21">
        <f>tabCustoUnit[[#This Row],[MODULO 1 - REMUNERAÇÃO ]]*SUMIFS(tabParametros[SESI OU SESC],tabParametros[Código do Posto],tabCustoUnit[[#This Row],[Código do Posto]])</f>
        <v>24.727828499999998</v>
      </c>
      <c r="R82" s="21">
        <f>tabCustoUnit[[#This Row],[MODULO 1 - REMUNERAÇÃO ]]*SUMIFS(tabParametros[SENAI OU SENAC],tabParametros[Código do Posto],tabCustoUnit[[#This Row],[Código do Posto]])</f>
        <v>16.485219000000001</v>
      </c>
      <c r="S82" s="21">
        <f>tabCustoUnit[[#This Row],[MODULO 1 - REMUNERAÇÃO ]]*SUMIFS(tabParametros[INCRA],tabParametros[Código do Posto],tabCustoUnit[[#This Row],[Código do Posto]])</f>
        <v>3.2970438</v>
      </c>
      <c r="T82" s="21">
        <f>tabCustoUnit[[#This Row],[MODULO 1 - REMUNERAÇÃO ]]*SUMIFS(tabParametros[Salário Educação],tabParametros[Código do Posto],tabCustoUnit[[#This Row],[Código do Posto]])</f>
        <v>41.213047500000002</v>
      </c>
      <c r="U82" s="21">
        <f>tabCustoUnit[[#This Row],[MODULO 1 - REMUNERAÇÃO ]]*SUMIFS(tabParametros[FGTS],tabParametros[Código do Posto],tabCustoUnit[[#This Row],[Código do Posto]])</f>
        <v>131.88175200000001</v>
      </c>
      <c r="V82" s="21">
        <f>tabCustoUnit[[#This Row],[MODULO 1 - REMUNERAÇÃO ]]*SUMIFS(tabParametros[RAT Ajustado],tabParametros[Código do Posto],tabCustoUnit[[#This Row],[Código do Posto]])</f>
        <v>65.940876000000003</v>
      </c>
      <c r="W82" s="21">
        <f>tabCustoUnit[[#This Row],[MODULO 1 - REMUNERAÇÃO ]]*SUMIFS(tabParametros[SEBRAE],tabParametros[Código do Posto],tabCustoUnit[[#This Row],[Código do Posto]])</f>
        <v>9.8911314000000008</v>
      </c>
      <c r="X82" s="21">
        <f>SUM(tabCustoUnit[[#This Row],[INSS]:[SEBRAE]])</f>
        <v>623.14127819999999</v>
      </c>
      <c r="Y82" s="21">
        <f>tabCustoUnit[[#This Row],[MODULO 1 - REMUNERAÇÃO ]]*SUMIFS(tabParametros[13º salário (titular)],tabParametros[Código do Posto],tabCustoUnit[[#This Row],[Código do Posto]])</f>
        <v>137.376825</v>
      </c>
      <c r="Z82" s="21">
        <f>tabCustoUnit[[#This Row],[MODULO 1 - REMUNERAÇÃO ]]*SUMIFS(tabParametros[Férias e Adicional de Férias (titular)],tabParametros[Código do Posto],tabCustoUnit[[#This Row],[Código do Posto]])</f>
        <v>183.16909999999999</v>
      </c>
      <c r="AA82" s="21">
        <f>IFERROR((tabCustoUnit[[#This Row],[Submódulo 2.1]]/tabCustoUnit[[#This Row],[MODULO 1 - REMUNERAÇÃO ]])*SUM(tabCustoUnit[[#This Row],[13º salário (titular)]:[Férias e Adicional de Férias (titular)]]),0)</f>
        <v>121.16635965</v>
      </c>
      <c r="AB82" s="21">
        <f>SUM(tabCustoUnit[[#This Row],[13º salário (titular)]:[Incidência do Submódulo 2.1 sobre 13º Salário, Férias e Adicional de Férias]])</f>
        <v>441.71228465000002</v>
      </c>
      <c r="AC82" s="22">
        <f>_xlfn.LET(_xlpm.VT,SUMIF(tabParametros[Código do Posto],tabCustoUnit[[#This Row],[Código do Posto]],tabParametros[Vale - Transporte])*2*20,
IF((_xlpm.VT-tabCustoUnit[[#This Row],[Salário Base]]*0.06)&gt;=0,(_xlpm.VT-tabCustoUnit[[#This Row],[Salário Base]]*0.06),0)
)</f>
        <v>160.22320000000002</v>
      </c>
      <c r="AD82" s="22">
        <f>IF(SUMIF(tabParametros[Código do Posto],tabCustoUnit[[#This Row],[Código do Posto]],tabParametros[Vale - Alimentação])&lt;=0,0,
SUMIF(tabParametros[Código do Posto],tabCustoUnit[[#This Row],[Código do Posto]],tabParametros[Vale - Alimentação])*20-1)</f>
        <v>582</v>
      </c>
      <c r="AE82" s="22">
        <f>SUMIF(tabParametros[Código do Posto],tabCustoUnit[[#This Row],[Código do Posto]],tabParametros[Cesta Básica])</f>
        <v>0</v>
      </c>
      <c r="AF82" s="22">
        <f>SUMIF(tabParametros[Código do Posto],tabCustoUnit[[#This Row],[Código do Posto]],tabParametros[PAF])</f>
        <v>51.86</v>
      </c>
      <c r="AG82" s="22">
        <f>SUMIF(tabParametros[Código do Posto],tabCustoUnit[[#This Row],[Código do Posto]],tabParametros[PQM])</f>
        <v>0</v>
      </c>
      <c r="AH82" s="22">
        <f>SUMIF(tabParametros[Código do Posto],tabCustoUnit[[#This Row],[Código do Posto]],tabParametros[PAT])</f>
        <v>0</v>
      </c>
      <c r="AI82" s="22">
        <f>SUMIF(tabParametros[Código do Posto],tabCustoUnit[[#This Row],[Código do Posto]],tabParametros[Seguro de Vida])</f>
        <v>3.36</v>
      </c>
      <c r="AJ82" s="22">
        <f>SUMIF(tabParametros[Código do Posto],tabCustoUnit[[#This Row],[Código do Posto]],tabParametros[Despesas de Viagem])</f>
        <v>0</v>
      </c>
      <c r="AK82" s="22">
        <f>SUM(tabCustoUnit[[#This Row],[Vale - Transporte (Descontada parcela do empregado)]:[Despesas de Viagem]])</f>
        <v>797.44320000000005</v>
      </c>
      <c r="AL82" s="22">
        <f>tabCustoUnit[[#This Row],[Submódulo 2.1]]+tabCustoUnit[[#This Row],[Submódulo 2.2]]+tabCustoUnit[[#This Row],[Submódulo 2.3]]</f>
        <v>1862.2967628500001</v>
      </c>
      <c r="AM82" s="22">
        <f>SUMIF(tabParametros[Código do Posto],tabCustoUnit[[#This Row],[Código do Posto]],tabParametros[Aviso Prévio Indenizado (API) e Reflexo do Aviso Prévio Indenizado])*tabCustoUnit[[#This Row],[MODULO 1 - REMUNERAÇÃO ]]</f>
        <v>11.559051416493055</v>
      </c>
      <c r="AN82" s="22">
        <f>SUMIF(tabParametros[Código do Posto],tabCustoUnit[[#This Row],[Código do Posto]],tabParametros[Incidência do FGTS sobre API e Reflexo do API])*tabCustoUnit[[#This Row],[MODULO 1 - REMUNERAÇÃO ]]</f>
        <v>0.92472411331944449</v>
      </c>
      <c r="AO82" s="22">
        <f>SUMIF(tabParametros[Código do Posto],tabCustoUnit[[#This Row],[Código do Posto]],tabParametros[Multa Rescisória do FGTS sobre o Aviso Prévio Indenizado])*tabCustoUnit[[#This Row],[MODULO 1 - REMUNERAÇÃO ]]</f>
        <v>0.36988964532777785</v>
      </c>
      <c r="AP82" s="22">
        <f>SUMIF(tabParametros[Código do Posto],tabCustoUnit[[#This Row],[Código do Posto]],tabParametros[Aviso Prévio Trabalhado - APT])*tabCustoUnit[[#This Row],[MODULO 1 - REMUNERAÇÃO ]]</f>
        <v>5.7698266500000006</v>
      </c>
      <c r="AQ82" s="22">
        <f>SUMIF(tabParametros[Código do Posto],tabCustoUnit[[#This Row],[Código do Posto]],tabParametros[Incidência dos encargos do submódulo 2.1 sobre Aviso Prévio Trabalhado])*tabCustoUnit[[#This Row],[MODULO 1 - REMUNERAÇÃO ]]</f>
        <v>2.1809944737000007</v>
      </c>
      <c r="AR82" s="22">
        <f>SUMIF(tabParametros[Código do Posto],tabCustoUnit[[#This Row],[Código do Posto]],tabParametros[Multa Rescisória do FGTS])*tabCustoUnit[[#This Row],[MODULO 1 - REMUNERAÇÃO ]]</f>
        <v>50.40813631999999</v>
      </c>
      <c r="AS82" s="22">
        <f>SUMIF(tabParametros[Código do Posto],tabCustoUnit[[#This Row],[Código do Posto]],tabParametros[Indenização Adicional (Art. 9º da Lei nº 7.238/84)])*tabCustoUnit[[#This Row],[MODULO 1 - REMUNERAÇÃO ]]</f>
        <v>1.3737682500000001</v>
      </c>
      <c r="AT82" s="22">
        <f>SUM(tabCustoUnit[[#This Row],[Aviso Prévio Indenizado (API) e Reflexo do Aviso Prévio Indenizado]:[Indenização Adicional (Art. 9º da Lei nº 7.238/84)]])</f>
        <v>72.586390868840269</v>
      </c>
      <c r="AU82" s="22">
        <f>SUMIF(tabParametros[Código do Posto],tabCustoUnit[[#This Row],[Código do Posto]],tabParametros[Ausência por Doença])*tabCustoUnit[[#This Row],[MODULO 1 - REMUNERAÇÃO ]]</f>
        <v>13.920851599999999</v>
      </c>
      <c r="AV82" s="22">
        <f>SUMIF(tabParametros[Código do Posto],tabCustoUnit[[#This Row],[Código do Posto]],tabParametros[Ausências Legais])*tabCustoUnit[[#This Row],[MODULO 1 - REMUNERAÇÃO ]]</f>
        <v>3.3428360749999997</v>
      </c>
      <c r="AW82" s="22">
        <f>SUMIF(tabParametros[Código do Posto],tabCustoUnit[[#This Row],[Código do Posto]],tabParametros[Licença Paternidade])*tabCustoUnit[[#This Row],[MODULO 1 - REMUNERAÇÃO ]]</f>
        <v>0.28162249125</v>
      </c>
      <c r="AX82" s="22">
        <f>SUMIF(tabParametros[Código do Posto],tabCustoUnit[[#This Row],[Código do Posto]],tabParametros[Ausência por Acidente de Trabalho])*tabCustoUnit[[#This Row],[MODULO 1 - REMUNERAÇÃO ]]</f>
        <v>0.34344206250000003</v>
      </c>
      <c r="AY82" s="22">
        <f>SUMIF(tabParametros[Código do Posto],tabCustoUnit[[#This Row],[Código do Posto]],tabParametros[Férias, Adicional de Férias e 13º  com empregada em gozo de Licença Maternidade])*tabCustoUnit[[#This Row],[MODULO 1 - REMUNERAÇÃO ]]</f>
        <v>2.1369728333333331</v>
      </c>
      <c r="AZ82" s="22">
        <f>SUMIF(tabParametros[Código do Posto],tabCustoUnit[[#This Row],[Código do Posto]],tabParametros[Incidência do Submódulo 2.1 sobre Ausências Legais])*tabCustoUnit[[#This Row],[MODULO 1 - REMUNERAÇÃO ]]</f>
        <v>7.5697240734675013</v>
      </c>
      <c r="BA82" s="22">
        <f>SUM(tabCustoUnit[[#This Row],[Ausência por Doença]:[Incidência do Submódulo 2.1 sobre Ausências Legais]])</f>
        <v>27.595449135550833</v>
      </c>
      <c r="BB82" s="22">
        <f>SUMIF(tabParametros[Código do Posto],tabCustoUnit[[#This Row],[Código do Posto]],tabParametros[Intervalo para Repouso ou Alimentação])</f>
        <v>0</v>
      </c>
      <c r="BC82" s="22">
        <f>tabCustoUnit[[#This Row],[Intervalo para Repouso ou Alimentação]]</f>
        <v>0</v>
      </c>
      <c r="BD82" s="22">
        <f>IF(VLOOKUP(tabCustoUnit[[#This Row],[Código do Posto]],PARAMETROS!$A$4:$BJ$255,7,0)&lt;=0,0,
IFERROR((tabCustoUnit[[#This Row],[MODULO 1 - REMUNERAÇÃO ]]*VLOOKUP(tabCustoUnit[[#This Row],[Código do Posto]],PARAMETROS!$A$4:$BJ$255,49,0))/(VLOOKUP(tabCustoUnit[[#This Row],[Código do Posto]],PARAMETROS!$A$4:$BJ$255,7,0)*VLOOKUP(tabCustoUnit[[#This Row],[Código do Posto]],PARAMETROS!$A$4:$BJ$255,8,0)),0)
)</f>
        <v>0</v>
      </c>
      <c r="BE82" s="22">
        <f>tabCustoUnit[[#This Row],[Suspensão Temporária do Contrato de Trabalho]]</f>
        <v>0</v>
      </c>
      <c r="BF82" s="22">
        <f>tabCustoUnit[[#This Row],[Submódulo 4.1]]+tabCustoUnit[[#This Row],[Submódulo 4.2]]+tabCustoUnit[[#This Row],[Submódulo 4.3]]</f>
        <v>27.595449135550833</v>
      </c>
      <c r="BG82" s="22">
        <f>VLOOKUP(tabCustoUnit[[#This Row],[Código do Posto]],tabParametros[],MATCH(tabCustoUnit[[#Headers],[Uniformes e EPIs]],tabParametros[#Headers],0),0)</f>
        <v>100.80916666666666</v>
      </c>
      <c r="BH82" s="22">
        <f>VLOOKUP(tabCustoUnit[[#This Row],[Código do Posto]],tabParametros[],MATCH(tabCustoUnit[[#Headers],[Materiais de Consumo]],tabParametros[#Headers],0),0)</f>
        <v>35.518212958583888</v>
      </c>
      <c r="BI82" s="22">
        <f>VLOOKUP(tabCustoUnit[[#This Row],[Código do Posto]],tabParametros[],MATCH(tabCustoUnit[[#Headers],[Máquinas e Equipamentos (depreciação)]],tabParametros[#Headers],0),0)</f>
        <v>64.529393914825576</v>
      </c>
      <c r="BJ82" s="22">
        <f>VLOOKUP(tabCustoUnit[[#This Row],[Código do Posto]],tabParametros[],MATCH(tabCustoUnit[[#Headers],[Produtos de Limpeza e Materiais de Higiene Pessoal]],tabParametros[#Headers],0),0)</f>
        <v>690.27153277931654</v>
      </c>
      <c r="BK82" s="22">
        <f>VLOOKUP(tabCustoUnit[[#This Row],[Código do Posto]],tabParametros[],MATCH(tabCustoUnit[[#Headers],[Outros (especificar)]],tabParametros[#Headers],0),0)</f>
        <v>0</v>
      </c>
      <c r="BL82" s="22">
        <f>SUM(tabCustoUnit[[#This Row],[Uniformes e EPIs]:[Outros (especificar)]])</f>
        <v>891.12830631939266</v>
      </c>
      <c r="BM82" s="22">
        <f>tabCustoUnit[[#This Row],[MODULO 1 - REMUNERAÇÃO ]]+tabCustoUnit[[#This Row],[MÓDULO 2 - Total Encargos e Benefícios mensais e diários]]+tabCustoUnit[[#This Row],[MÓDULO 3 – PROVISÃO PARA RESCISÃO]]+tabCustoUnit[[#This Row],[MÓDULO 4 – CUSTO DE REPOSIÇÃO DO PROFISSIONAL AUSENTE]]+tabCustoUnit[[#This Row],[MÓDULO 5 – INSUMOS DIVERSOS]]</f>
        <v>4502.1288091737833</v>
      </c>
      <c r="BN82" s="22">
        <f>VLOOKUP(tabCustoUnit[[#This Row],[Código do Posto]],tabParametros[],MATCH(tabCustoUnit[[#Headers],[Custos Indiretos]],tabParametros[#Headers],0),0)</f>
        <v>189.64880140242613</v>
      </c>
      <c r="BO82" s="22">
        <f>VLOOKUP(tabCustoUnit[[#This Row],[Código do Posto]],tabParametros[],MATCH(tabCustoUnit[[#Headers],[Lucro]],tabParametros[#Headers],0),0)</f>
        <v>159.30499317803796</v>
      </c>
      <c r="BP82" s="26">
        <f>((100/((1-tabCustoUnit[[#This Row],[Resumo de Alíquotas (PIS+CONFINS+ISS)]]))-100)*VLOOKUP(tabCustoUnit[[#This Row],[Código do Posto]],tabParametros[],MATCH(tabCustoUnit[[#Headers],[COFINS]],tabParametros[#Headers],0),0))/(tabCustoUnit[[#This Row],[Resumo de Alíquotas (PIS+CONFINS+ISS)]]*100)</f>
        <v>8.8629737609329504E-2</v>
      </c>
      <c r="BQ82" s="26">
        <f>((100/((100-(tabCustoUnit[[#This Row],[Resumo de Alíquotas (PIS+CONFINS+ISS)]]*100))%)-100)*VLOOKUP(tabCustoUnit[[#This Row],[Código do Posto]],tabParametros[],MATCH(tabCustoUnit[[#Headers],[PIS]],tabParametros[#Headers],0),0))/(tabCustoUnit[[#This Row],[Resumo de Alíquotas (PIS+CONFINS+ISS)]]*100)</f>
        <v>1.9241982507288629E-2</v>
      </c>
      <c r="BR82" s="28">
        <f>VLOOKUP(tabCustoUnit[[#This Row],[Código do Posto]],tabParametros[],MATCH(tabCustoUnit[[#Headers],[ISS]],tabParametros[#Headers],0),0)</f>
        <v>0.05</v>
      </c>
      <c r="BS82" s="26">
        <f>(((100/((100-(tabCustoUnit[[#This Row],[Resumo de Alíquotas (PIS+CONFINS+ISS)]]*100))%)-100)*tabCustoUnit[[#This Row],[ISS]])/tabCustoUnit[[#This Row],[Resumo de Alíquotas (PIS+CONFINS+ISS)]])/100</f>
        <v>5.8309037900874633E-2</v>
      </c>
      <c r="BT82" s="26">
        <f>(VLOOKUP(tabCustoUnit[[#This Row],[Código do Posto]],tabParametros[],MATCH(tabCustoUnit[[#Headers],[COFINS]],tabParametros[#Headers],0),0)+
VLOOKUP(tabCustoUnit[[#This Row],[Código do Posto]],tabParametros[],MATCH(tabCustoUnit[[#Headers],[PIS]],tabParametros[#Headers],0),0)+
VLOOKUP(tabCustoUnit[[#This Row],[Código do Posto]],tabParametros[],MATCH(tabCustoUnit[[#Headers],[ISS]],tabParametros[#Headers],0),0))</f>
        <v>0.14250000000000002</v>
      </c>
      <c r="BU82" s="138">
        <f>tabCustoUnit[[#This Row],[COFINS]]+tabCustoUnit[[#This Row],[PIS]]+tabCustoUnit[[#This Row],[ISS (Conversão Alíquota s/ fatura)]]</f>
        <v>0.16618075801749277</v>
      </c>
      <c r="BV82" s="22">
        <f>(tabCustoUnit[[#This Row],[TOTAL MÓDULOS 1+2+3+4+5]]+tabCustoUnit[[#This Row],[Custos Indiretos]]+tabCustoUnit[[#This Row],[Lucro]])*tabCustoUnit[[#This Row],[PIS + COFINS + ISS (Total Conversão  Alíquota s/ Fatura)]]</f>
        <v>806.15658429735333</v>
      </c>
      <c r="BW82" s="22">
        <f>tabCustoUnit[[#This Row],[Custos Indiretos]]+tabCustoUnit[[#This Row],[Lucro]]+tabCustoUnit[[#This Row],[Valor dos Tributos (ISS, PIS, CONFINS)]]</f>
        <v>1155.1103788778173</v>
      </c>
      <c r="BX82" s="22">
        <f>tabCustoUnit[[#This Row],[TOTAL MÓDULOS 1+2+3+4+5]]+tabCustoUnit[[#This Row],[MÓDULO 6 – CUSTOS INDIRETOS, TRIBUTOS E LUCRO]]</f>
        <v>5657.2391880516006</v>
      </c>
      <c r="BY82" s="22">
        <f>tabCustoUnit[[#This Row],[CUSTO TOTAL MENSAL]]*12</f>
        <v>67886.870256619208</v>
      </c>
      <c r="BZ82" s="24">
        <f>VLOOKUP(tabCustoUnit[[#This Row],[Código do Posto]],tabParametros[],MATCH(tabCustoUnit[[#Headers],[ANO DA CCT]],tabParametros[#Headers],0),0)</f>
        <v>45658</v>
      </c>
      <c r="CA82" s="25" t="str">
        <f>VLOOKUP(tabCustoUnit[[#This Row],[Código do Posto]],tabParametros[],MATCH(tabCustoUnit[[#Headers],[Nº DE PEDIDO DA CCT]],tabParametros[#Headers],0),0)</f>
        <v>-</v>
      </c>
      <c r="CB82" s="25" t="str">
        <f>VLOOKUP(tabCustoUnit[[#This Row],[Código do Posto]],tabParametros[],MATCH(tabCustoUnit[[#Headers],[TERMO ADITIVO ALTERAÇÃO DA CCT]],tabParametros[#Headers],0),0)</f>
        <v>-</v>
      </c>
    </row>
    <row r="83" spans="1:80" x14ac:dyDescent="0.25">
      <c r="A83" s="20" t="s">
        <v>1423</v>
      </c>
      <c r="B83" t="s">
        <v>80</v>
      </c>
      <c r="C83" t="s">
        <v>1247</v>
      </c>
      <c r="D83" t="s">
        <v>1023</v>
      </c>
      <c r="E83" s="20" t="s">
        <v>9</v>
      </c>
      <c r="F83" s="20" t="s">
        <v>10</v>
      </c>
      <c r="G83" s="21">
        <v>544.17999999999995</v>
      </c>
      <c r="H83" s="21">
        <v>0</v>
      </c>
      <c r="I83" s="21">
        <v>0</v>
      </c>
      <c r="J83" s="21">
        <v>0</v>
      </c>
      <c r="K83" s="21">
        <v>0</v>
      </c>
      <c r="L83" s="21">
        <v>0</v>
      </c>
      <c r="M83" s="21">
        <v>0</v>
      </c>
      <c r="N83" s="21">
        <v>19.590499999999999</v>
      </c>
      <c r="O83" s="21">
        <f>SUM(tabCustoUnit[[#This Row],[Salário Base]:[Adicional de Acúmulo de função]])</f>
        <v>563.77049999999997</v>
      </c>
      <c r="P83" s="21">
        <f>tabCustoUnit[[#This Row],[MODULO 1 - REMUNERAÇÃO ]]*SUMIFS(tabParametros[INSS],tabParametros[Código do Posto],tabCustoUnit[[#This Row],[Código do Posto]])</f>
        <v>112.75409999999999</v>
      </c>
      <c r="Q83" s="21">
        <f>tabCustoUnit[[#This Row],[MODULO 1 - REMUNERAÇÃO ]]*SUMIFS(tabParametros[SESI OU SESC],tabParametros[Código do Posto],tabCustoUnit[[#This Row],[Código do Posto]])</f>
        <v>8.4565574999999988</v>
      </c>
      <c r="R83" s="21">
        <f>tabCustoUnit[[#This Row],[MODULO 1 - REMUNERAÇÃO ]]*SUMIFS(tabParametros[SENAI OU SENAC],tabParametros[Código do Posto],tabCustoUnit[[#This Row],[Código do Posto]])</f>
        <v>5.6377049999999995</v>
      </c>
      <c r="S83" s="21">
        <f>tabCustoUnit[[#This Row],[MODULO 1 - REMUNERAÇÃO ]]*SUMIFS(tabParametros[INCRA],tabParametros[Código do Posto],tabCustoUnit[[#This Row],[Código do Posto]])</f>
        <v>1.1275409999999999</v>
      </c>
      <c r="T83" s="21">
        <f>tabCustoUnit[[#This Row],[MODULO 1 - REMUNERAÇÃO ]]*SUMIFS(tabParametros[Salário Educação],tabParametros[Código do Posto],tabCustoUnit[[#This Row],[Código do Posto]])</f>
        <v>14.094262499999999</v>
      </c>
      <c r="U83" s="21">
        <f>tabCustoUnit[[#This Row],[MODULO 1 - REMUNERAÇÃO ]]*SUMIFS(tabParametros[FGTS],tabParametros[Código do Posto],tabCustoUnit[[#This Row],[Código do Posto]])</f>
        <v>45.101639999999996</v>
      </c>
      <c r="V83" s="21">
        <f>tabCustoUnit[[#This Row],[MODULO 1 - REMUNERAÇÃO ]]*SUMIFS(tabParametros[RAT Ajustado],tabParametros[Código do Posto],tabCustoUnit[[#This Row],[Código do Posto]])</f>
        <v>22.550819999999998</v>
      </c>
      <c r="W83" s="21">
        <f>tabCustoUnit[[#This Row],[MODULO 1 - REMUNERAÇÃO ]]*SUMIFS(tabParametros[SEBRAE],tabParametros[Código do Posto],tabCustoUnit[[#This Row],[Código do Posto]])</f>
        <v>3.3826229999999997</v>
      </c>
      <c r="X83" s="21">
        <f>SUM(tabCustoUnit[[#This Row],[INSS]:[SEBRAE]])</f>
        <v>213.10524899999996</v>
      </c>
      <c r="Y83" s="21">
        <f>tabCustoUnit[[#This Row],[MODULO 1 - REMUNERAÇÃO ]]*SUMIFS(tabParametros[13º salário (titular)],tabParametros[Código do Posto],tabCustoUnit[[#This Row],[Código do Posto]])</f>
        <v>46.980874999999997</v>
      </c>
      <c r="Z83" s="21">
        <f>tabCustoUnit[[#This Row],[MODULO 1 - REMUNERAÇÃO ]]*SUMIFS(tabParametros[Férias e Adicional de Férias (titular)],tabParametros[Código do Posto],tabCustoUnit[[#This Row],[Código do Posto]])</f>
        <v>62.641166666666663</v>
      </c>
      <c r="AA83" s="21">
        <f>IFERROR((tabCustoUnit[[#This Row],[Submódulo 2.1]]/tabCustoUnit[[#This Row],[MODULO 1 - REMUNERAÇÃO ]])*SUM(tabCustoUnit[[#This Row],[13º salário (titular)]:[Férias e Adicional de Férias (titular)]]),0)</f>
        <v>41.437131749999992</v>
      </c>
      <c r="AB83" s="21">
        <f>SUM(tabCustoUnit[[#This Row],[13º salário (titular)]:[Incidência do Submódulo 2.1 sobre 13º Salário, Férias e Adicional de Férias]])</f>
        <v>151.05917341666665</v>
      </c>
      <c r="AC83" s="22">
        <f>_xlfn.LET(_xlpm.VT,SUMIF(tabParametros[Código do Posto],tabCustoUnit[[#This Row],[Código do Posto]],tabParametros[Vale - Transporte])*2*20,
IF((_xlpm.VT-tabCustoUnit[[#This Row],[Salário Base]]*0.06)&gt;=0,(_xlpm.VT-tabCustoUnit[[#This Row],[Salário Base]]*0.06),0)
)</f>
        <v>223.3492</v>
      </c>
      <c r="AD83" s="22">
        <f>IF(SUMIF(tabParametros[Código do Posto],tabCustoUnit[[#This Row],[Código do Posto]],tabParametros[Vale - Alimentação])&lt;=0,0,
SUMIF(tabParametros[Código do Posto],tabCustoUnit[[#This Row],[Código do Posto]],tabParametros[Vale - Alimentação])*20-1)</f>
        <v>582</v>
      </c>
      <c r="AE83" s="22">
        <f>SUMIF(tabParametros[Código do Posto],tabCustoUnit[[#This Row],[Código do Posto]],tabParametros[Cesta Básica])</f>
        <v>0</v>
      </c>
      <c r="AF83" s="22">
        <f>SUMIF(tabParametros[Código do Posto],tabCustoUnit[[#This Row],[Código do Posto]],tabParametros[PAF])</f>
        <v>0</v>
      </c>
      <c r="AG83" s="22">
        <f>SUMIF(tabParametros[Código do Posto],tabCustoUnit[[#This Row],[Código do Posto]],tabParametros[PQM])</f>
        <v>0</v>
      </c>
      <c r="AH83" s="22">
        <f>SUMIF(tabParametros[Código do Posto],tabCustoUnit[[#This Row],[Código do Posto]],tabParametros[PAT])</f>
        <v>0</v>
      </c>
      <c r="AI83" s="22">
        <f>SUMIF(tabParametros[Código do Posto],tabCustoUnit[[#This Row],[Código do Posto]],tabParametros[Seguro de Vida])</f>
        <v>3.36</v>
      </c>
      <c r="AJ83" s="22">
        <f>SUMIF(tabParametros[Código do Posto],tabCustoUnit[[#This Row],[Código do Posto]],tabParametros[Despesas de Viagem])</f>
        <v>0</v>
      </c>
      <c r="AK83" s="22">
        <f>SUM(tabCustoUnit[[#This Row],[Vale - Transporte (Descontada parcela do empregado)]:[Despesas de Viagem]])</f>
        <v>808.70920000000001</v>
      </c>
      <c r="AL83" s="22">
        <f>tabCustoUnit[[#This Row],[Submódulo 2.1]]+tabCustoUnit[[#This Row],[Submódulo 2.2]]+tabCustoUnit[[#This Row],[Submódulo 2.3]]</f>
        <v>1172.8736224166666</v>
      </c>
      <c r="AM83" s="22">
        <f>SUMIF(tabParametros[Código do Posto],tabCustoUnit[[#This Row],[Código do Posto]],tabParametros[Aviso Prévio Indenizado (API) e Reflexo do Aviso Prévio Indenizado])*tabCustoUnit[[#This Row],[MODULO 1 - REMUNERAÇÃO ]]</f>
        <v>3.9530273735532404</v>
      </c>
      <c r="AN83" s="22">
        <f>SUMIF(tabParametros[Código do Posto],tabCustoUnit[[#This Row],[Código do Posto]],tabParametros[Incidência do FGTS sobre API e Reflexo do API])*tabCustoUnit[[#This Row],[MODULO 1 - REMUNERAÇÃO ]]</f>
        <v>0.31624218988425928</v>
      </c>
      <c r="AO83" s="22">
        <f>SUMIF(tabParametros[Código do Posto],tabCustoUnit[[#This Row],[Código do Posto]],tabParametros[Multa Rescisória do FGTS sobre o Aviso Prévio Indenizado])*tabCustoUnit[[#This Row],[MODULO 1 - REMUNERAÇÃO ]]</f>
        <v>0.12649687595370371</v>
      </c>
      <c r="AP83" s="22">
        <f>SUMIF(tabParametros[Código do Posto],tabCustoUnit[[#This Row],[Código do Posto]],tabParametros[Aviso Prévio Trabalhado - APT])*tabCustoUnit[[#This Row],[MODULO 1 - REMUNERAÇÃO ]]</f>
        <v>1.9731967500000003</v>
      </c>
      <c r="AQ83" s="22">
        <f>SUMIF(tabParametros[Código do Posto],tabCustoUnit[[#This Row],[Código do Posto]],tabParametros[Incidência dos encargos do submódulo 2.1 sobre Aviso Prévio Trabalhado])*tabCustoUnit[[#This Row],[MODULO 1 - REMUNERAÇÃO ]]</f>
        <v>0.74586837150000018</v>
      </c>
      <c r="AR83" s="22">
        <f>SUMIF(tabParametros[Código do Posto],tabCustoUnit[[#This Row],[Código do Posto]],tabParametros[Multa Rescisória do FGTS])*tabCustoUnit[[#This Row],[MODULO 1 - REMUNERAÇÃO ]]</f>
        <v>17.238849066666663</v>
      </c>
      <c r="AS83" s="22">
        <f>SUMIF(tabParametros[Código do Posto],tabCustoUnit[[#This Row],[Código do Posto]],tabParametros[Indenização Adicional (Art. 9º da Lei nº 7.238/84)])*tabCustoUnit[[#This Row],[MODULO 1 - REMUNERAÇÃO ]]</f>
        <v>0.46980875</v>
      </c>
      <c r="AT83" s="22">
        <f>SUM(tabCustoUnit[[#This Row],[Aviso Prévio Indenizado (API) e Reflexo do Aviso Prévio Indenizado]:[Indenização Adicional (Art. 9º da Lei nº 7.238/84)]])</f>
        <v>24.823489377557866</v>
      </c>
      <c r="AU83" s="22">
        <f>SUMIF(tabParametros[Código do Posto],tabCustoUnit[[#This Row],[Código do Posto]],tabParametros[Ausência por Doença])*tabCustoUnit[[#This Row],[MODULO 1 - REMUNERAÇÃO ]]</f>
        <v>4.7607286666666662</v>
      </c>
      <c r="AV83" s="22">
        <f>SUMIF(tabParametros[Código do Posto],tabCustoUnit[[#This Row],[Código do Posto]],tabParametros[Ausências Legais])*tabCustoUnit[[#This Row],[MODULO 1 - REMUNERAÇÃO ]]</f>
        <v>1.1432012916666665</v>
      </c>
      <c r="AW83" s="22">
        <f>SUMIF(tabParametros[Código do Posto],tabCustoUnit[[#This Row],[Código do Posto]],tabParametros[Licença Paternidade])*tabCustoUnit[[#This Row],[MODULO 1 - REMUNERAÇÃO ]]</f>
        <v>9.6310793749999998E-2</v>
      </c>
      <c r="AX83" s="22">
        <f>SUMIF(tabParametros[Código do Posto],tabCustoUnit[[#This Row],[Código do Posto]],tabParametros[Ausência por Acidente de Trabalho])*tabCustoUnit[[#This Row],[MODULO 1 - REMUNERAÇÃO ]]</f>
        <v>0.1174521875</v>
      </c>
      <c r="AY83" s="22">
        <f>SUMIF(tabParametros[Código do Posto],tabCustoUnit[[#This Row],[Código do Posto]],tabParametros[Férias, Adicional de Férias e 13º  com empregada em gozo de Licença Maternidade])*tabCustoUnit[[#This Row],[MODULO 1 - REMUNERAÇÃO ]]</f>
        <v>0.73081361111111109</v>
      </c>
      <c r="AZ83" s="22">
        <f>SUMIF(tabParametros[Código do Posto],tabCustoUnit[[#This Row],[Código do Posto]],tabParametros[Incidência do Submódulo 2.1 sobre Ausências Legais])*tabCustoUnit[[#This Row],[MODULO 1 - REMUNERAÇÃO ]]</f>
        <v>2.5887354761625003</v>
      </c>
      <c r="BA83" s="22">
        <f>SUM(tabCustoUnit[[#This Row],[Ausência por Doença]:[Incidência do Submódulo 2.1 sobre Ausências Legais]])</f>
        <v>9.4372420268569428</v>
      </c>
      <c r="BB83" s="22">
        <f>SUMIF(tabParametros[Código do Posto],tabCustoUnit[[#This Row],[Código do Posto]],tabParametros[Intervalo para Repouso ou Alimentação])</f>
        <v>0</v>
      </c>
      <c r="BC83" s="22">
        <f>tabCustoUnit[[#This Row],[Intervalo para Repouso ou Alimentação]]</f>
        <v>0</v>
      </c>
      <c r="BD83" s="22">
        <f>IF(VLOOKUP(tabCustoUnit[[#This Row],[Código do Posto]],PARAMETROS!$A$4:$BJ$255,7,0)&lt;=0,0,
IFERROR((tabCustoUnit[[#This Row],[MODULO 1 - REMUNERAÇÃO ]]*VLOOKUP(tabCustoUnit[[#This Row],[Código do Posto]],PARAMETROS!$A$4:$BJ$255,49,0))/(VLOOKUP(tabCustoUnit[[#This Row],[Código do Posto]],PARAMETROS!$A$4:$BJ$255,7,0)*VLOOKUP(tabCustoUnit[[#This Row],[Código do Posto]],PARAMETROS!$A$4:$BJ$255,8,0)),0)
)</f>
        <v>0</v>
      </c>
      <c r="BE83" s="22">
        <f>tabCustoUnit[[#This Row],[Suspensão Temporária do Contrato de Trabalho]]</f>
        <v>0</v>
      </c>
      <c r="BF83" s="22">
        <f>tabCustoUnit[[#This Row],[Submódulo 4.1]]+tabCustoUnit[[#This Row],[Submódulo 4.2]]+tabCustoUnit[[#This Row],[Submódulo 4.3]]</f>
        <v>9.4372420268569428</v>
      </c>
      <c r="BG83" s="22">
        <f>VLOOKUP(tabCustoUnit[[#This Row],[Código do Posto]],tabParametros[],MATCH(tabCustoUnit[[#Headers],[Uniformes e EPIs]],tabParametros[#Headers],0),0)</f>
        <v>62.806666666666665</v>
      </c>
      <c r="BH83" s="22">
        <f>VLOOKUP(tabCustoUnit[[#This Row],[Código do Posto]],tabParametros[],MATCH(tabCustoUnit[[#Headers],[Materiais de Consumo]],tabParametros[#Headers],0),0)</f>
        <v>12.108481690426325</v>
      </c>
      <c r="BI83" s="22">
        <f>VLOOKUP(tabCustoUnit[[#This Row],[Código do Posto]],tabParametros[],MATCH(tabCustoUnit[[#Headers],[Máquinas e Equipamentos (depreciação)]],tabParametros[#Headers],0),0)</f>
        <v>21.998657016417809</v>
      </c>
      <c r="BJ83" s="22">
        <f>VLOOKUP(tabCustoUnit[[#This Row],[Código do Posto]],tabParametros[],MATCH(tabCustoUnit[[#Headers],[Produtos de Limpeza e Materiais de Higiene Pessoal]],tabParametros[#Headers],0),0)</f>
        <v>235.31984072022155</v>
      </c>
      <c r="BK83" s="22">
        <f>VLOOKUP(tabCustoUnit[[#This Row],[Código do Posto]],tabParametros[],MATCH(tabCustoUnit[[#Headers],[Outros (especificar)]],tabParametros[#Headers],0),0)</f>
        <v>0</v>
      </c>
      <c r="BL83" s="22">
        <f>SUM(tabCustoUnit[[#This Row],[Uniformes e EPIs]:[Outros (especificar)]])</f>
        <v>332.23364609373232</v>
      </c>
      <c r="BM83" s="22">
        <f>tabCustoUnit[[#This Row],[MODULO 1 - REMUNERAÇÃO ]]+tabCustoUnit[[#This Row],[MÓDULO 2 - Total Encargos e Benefícios mensais e diários]]+tabCustoUnit[[#This Row],[MÓDULO 3 – PROVISÃO PARA RESCISÃO]]+tabCustoUnit[[#This Row],[MÓDULO 4 – CUSTO DE REPOSIÇÃO DO PROFISSIONAL AUSENTE]]+tabCustoUnit[[#This Row],[MÓDULO 5 – INSUMOS DIVERSOS]]</f>
        <v>2103.1384999148136</v>
      </c>
      <c r="BN83" s="22">
        <f>VLOOKUP(tabCustoUnit[[#This Row],[Código do Posto]],tabParametros[],MATCH(tabCustoUnit[[#Headers],[Custos Indiretos]],tabParametros[#Headers],0),0)</f>
        <v>189.64880140242613</v>
      </c>
      <c r="BO83" s="22">
        <f>VLOOKUP(tabCustoUnit[[#This Row],[Código do Posto]],tabParametros[],MATCH(tabCustoUnit[[#Headers],[Lucro]],tabParametros[#Headers],0),0)</f>
        <v>159.30499317803796</v>
      </c>
      <c r="BP83" s="26">
        <f>((100/((1-tabCustoUnit[[#This Row],[Resumo de Alíquotas (PIS+CONFINS+ISS)]]))-100)*VLOOKUP(tabCustoUnit[[#This Row],[Código do Posto]],tabParametros[],MATCH(tabCustoUnit[[#Headers],[COFINS]],tabParametros[#Headers],0),0))/(tabCustoUnit[[#This Row],[Resumo de Alíquotas (PIS+CONFINS+ISS)]]*100)</f>
        <v>8.6609686609686695E-2</v>
      </c>
      <c r="BQ83" s="26">
        <f>((100/((100-(tabCustoUnit[[#This Row],[Resumo de Alíquotas (PIS+CONFINS+ISS)]]*100))%)-100)*VLOOKUP(tabCustoUnit[[#This Row],[Código do Posto]],tabParametros[],MATCH(tabCustoUnit[[#Headers],[PIS]],tabParametros[#Headers],0),0))/(tabCustoUnit[[#This Row],[Resumo de Alíquotas (PIS+CONFINS+ISS)]]*100)</f>
        <v>1.880341880341882E-2</v>
      </c>
      <c r="BR83" s="28">
        <f>VLOOKUP(tabCustoUnit[[#This Row],[Código do Posto]],tabParametros[],MATCH(tabCustoUnit[[#Headers],[ISS]],tabParametros[#Headers],0),0)</f>
        <v>0.03</v>
      </c>
      <c r="BS83" s="26">
        <f>(((100/((100-(tabCustoUnit[[#This Row],[Resumo de Alíquotas (PIS+CONFINS+ISS)]]*100))%)-100)*tabCustoUnit[[#This Row],[ISS]])/tabCustoUnit[[#This Row],[Resumo de Alíquotas (PIS+CONFINS+ISS)]])/100</f>
        <v>3.4188034188034219E-2</v>
      </c>
      <c r="BT83" s="26">
        <f>(VLOOKUP(tabCustoUnit[[#This Row],[Código do Posto]],tabParametros[],MATCH(tabCustoUnit[[#Headers],[COFINS]],tabParametros[#Headers],0),0)+
VLOOKUP(tabCustoUnit[[#This Row],[Código do Posto]],tabParametros[],MATCH(tabCustoUnit[[#Headers],[PIS]],tabParametros[#Headers],0),0)+
VLOOKUP(tabCustoUnit[[#This Row],[Código do Posto]],tabParametros[],MATCH(tabCustoUnit[[#Headers],[ISS]],tabParametros[#Headers],0),0))</f>
        <v>0.1225</v>
      </c>
      <c r="BU83" s="138">
        <f>tabCustoUnit[[#This Row],[COFINS]]+tabCustoUnit[[#This Row],[PIS]]+tabCustoUnit[[#This Row],[ISS (Conversão Alíquota s/ fatura)]]</f>
        <v>0.13960113960113973</v>
      </c>
      <c r="BV83" s="22">
        <f>(tabCustoUnit[[#This Row],[TOTAL MÓDULOS 1+2+3+4+5]]+tabCustoUnit[[#This Row],[Custos Indiretos]]+tabCustoUnit[[#This Row],[Lucro]])*tabCustoUnit[[#This Row],[PIS + COFINS + ISS (Total Conversão  Alíquota s/ Fatura)]]</f>
        <v>342.31487871871428</v>
      </c>
      <c r="BW83" s="22">
        <f>tabCustoUnit[[#This Row],[Custos Indiretos]]+tabCustoUnit[[#This Row],[Lucro]]+tabCustoUnit[[#This Row],[Valor dos Tributos (ISS, PIS, CONFINS)]]</f>
        <v>691.26867329917832</v>
      </c>
      <c r="BX83" s="22">
        <f>tabCustoUnit[[#This Row],[TOTAL MÓDULOS 1+2+3+4+5]]+tabCustoUnit[[#This Row],[MÓDULO 6 – CUSTOS INDIRETOS, TRIBUTOS E LUCRO]]</f>
        <v>2794.4071732139919</v>
      </c>
      <c r="BY83" s="22">
        <f>tabCustoUnit[[#This Row],[CUSTO TOTAL MENSAL]]*12</f>
        <v>33532.886078567899</v>
      </c>
      <c r="BZ83" s="24">
        <f>VLOOKUP(tabCustoUnit[[#This Row],[Código do Posto]],tabParametros[],MATCH(tabCustoUnit[[#Headers],[ANO DA CCT]],tabParametros[#Headers],0),0)</f>
        <v>45658</v>
      </c>
      <c r="CA83" s="25" t="str">
        <f>VLOOKUP(tabCustoUnit[[#This Row],[Código do Posto]],tabParametros[],MATCH(tabCustoUnit[[#Headers],[Nº DE PEDIDO DA CCT]],tabParametros[#Headers],0),0)</f>
        <v>-</v>
      </c>
      <c r="CB83" s="25" t="str">
        <f>VLOOKUP(tabCustoUnit[[#This Row],[Código do Posto]],tabParametros[],MATCH(tabCustoUnit[[#Headers],[TERMO ADITIVO ALTERAÇÃO DA CCT]],tabParametros[#Headers],0),0)</f>
        <v>-</v>
      </c>
    </row>
    <row r="84" spans="1:80" x14ac:dyDescent="0.25">
      <c r="A84" s="20" t="s">
        <v>1424</v>
      </c>
      <c r="B84" t="s">
        <v>81</v>
      </c>
      <c r="C84" t="s">
        <v>1245</v>
      </c>
      <c r="D84" t="s">
        <v>81</v>
      </c>
      <c r="E84" s="20" t="s">
        <v>9</v>
      </c>
      <c r="F84" s="20" t="s">
        <v>10</v>
      </c>
      <c r="G84" s="21">
        <v>1596.28</v>
      </c>
      <c r="H84" s="21">
        <v>0</v>
      </c>
      <c r="I84" s="21">
        <v>0</v>
      </c>
      <c r="J84" s="21">
        <v>0</v>
      </c>
      <c r="K84" s="21">
        <v>0</v>
      </c>
      <c r="L84" s="21">
        <v>0</v>
      </c>
      <c r="M84" s="21">
        <v>0</v>
      </c>
      <c r="N84" s="21">
        <v>52.241900000000001</v>
      </c>
      <c r="O84" s="21">
        <f>SUM(tabCustoUnit[[#This Row],[Salário Base]:[Adicional de Acúmulo de função]])</f>
        <v>1648.5219</v>
      </c>
      <c r="P84" s="21">
        <f>tabCustoUnit[[#This Row],[MODULO 1 - REMUNERAÇÃO ]]*SUMIFS(tabParametros[INSS],tabParametros[Código do Posto],tabCustoUnit[[#This Row],[Código do Posto]])</f>
        <v>329.70438000000001</v>
      </c>
      <c r="Q84" s="21">
        <f>tabCustoUnit[[#This Row],[MODULO 1 - REMUNERAÇÃO ]]*SUMIFS(tabParametros[SESI OU SESC],tabParametros[Código do Posto],tabCustoUnit[[#This Row],[Código do Posto]])</f>
        <v>24.727828499999998</v>
      </c>
      <c r="R84" s="21">
        <f>tabCustoUnit[[#This Row],[MODULO 1 - REMUNERAÇÃO ]]*SUMIFS(tabParametros[SENAI OU SENAC],tabParametros[Código do Posto],tabCustoUnit[[#This Row],[Código do Posto]])</f>
        <v>16.485219000000001</v>
      </c>
      <c r="S84" s="21">
        <f>tabCustoUnit[[#This Row],[MODULO 1 - REMUNERAÇÃO ]]*SUMIFS(tabParametros[INCRA],tabParametros[Código do Posto],tabCustoUnit[[#This Row],[Código do Posto]])</f>
        <v>3.2970438</v>
      </c>
      <c r="T84" s="21">
        <f>tabCustoUnit[[#This Row],[MODULO 1 - REMUNERAÇÃO ]]*SUMIFS(tabParametros[Salário Educação],tabParametros[Código do Posto],tabCustoUnit[[#This Row],[Código do Posto]])</f>
        <v>41.213047500000002</v>
      </c>
      <c r="U84" s="21">
        <f>tabCustoUnit[[#This Row],[MODULO 1 - REMUNERAÇÃO ]]*SUMIFS(tabParametros[FGTS],tabParametros[Código do Posto],tabCustoUnit[[#This Row],[Código do Posto]])</f>
        <v>131.88175200000001</v>
      </c>
      <c r="V84" s="21">
        <f>tabCustoUnit[[#This Row],[MODULO 1 - REMUNERAÇÃO ]]*SUMIFS(tabParametros[RAT Ajustado],tabParametros[Código do Posto],tabCustoUnit[[#This Row],[Código do Posto]])</f>
        <v>65.940876000000003</v>
      </c>
      <c r="W84" s="21">
        <f>tabCustoUnit[[#This Row],[MODULO 1 - REMUNERAÇÃO ]]*SUMIFS(tabParametros[SEBRAE],tabParametros[Código do Posto],tabCustoUnit[[#This Row],[Código do Posto]])</f>
        <v>9.8911314000000008</v>
      </c>
      <c r="X84" s="21">
        <f>SUM(tabCustoUnit[[#This Row],[INSS]:[SEBRAE]])</f>
        <v>623.14127819999999</v>
      </c>
      <c r="Y84" s="21">
        <f>tabCustoUnit[[#This Row],[MODULO 1 - REMUNERAÇÃO ]]*SUMIFS(tabParametros[13º salário (titular)],tabParametros[Código do Posto],tabCustoUnit[[#This Row],[Código do Posto]])</f>
        <v>137.376825</v>
      </c>
      <c r="Z84" s="21">
        <f>tabCustoUnit[[#This Row],[MODULO 1 - REMUNERAÇÃO ]]*SUMIFS(tabParametros[Férias e Adicional de Férias (titular)],tabParametros[Código do Posto],tabCustoUnit[[#This Row],[Código do Posto]])</f>
        <v>183.16909999999999</v>
      </c>
      <c r="AA84" s="21">
        <f>IFERROR((tabCustoUnit[[#This Row],[Submódulo 2.1]]/tabCustoUnit[[#This Row],[MODULO 1 - REMUNERAÇÃO ]])*SUM(tabCustoUnit[[#This Row],[13º salário (titular)]:[Férias e Adicional de Férias (titular)]]),0)</f>
        <v>121.16635965</v>
      </c>
      <c r="AB84" s="21">
        <f>SUM(tabCustoUnit[[#This Row],[13º salário (titular)]:[Incidência do Submódulo 2.1 sobre 13º Salário, Férias e Adicional de Férias]])</f>
        <v>441.71228465000002</v>
      </c>
      <c r="AC84" s="22">
        <f>_xlfn.LET(_xlpm.VT,SUMIF(tabParametros[Código do Posto],tabCustoUnit[[#This Row],[Código do Posto]],tabParametros[Vale - Transporte])*2*20,
IF((_xlpm.VT-tabCustoUnit[[#This Row],[Salário Base]]*0.06)&gt;=0,(_xlpm.VT-tabCustoUnit[[#This Row],[Salário Base]]*0.06),0)
)</f>
        <v>160.22320000000002</v>
      </c>
      <c r="AD84" s="22">
        <f>IF(SUMIF(tabParametros[Código do Posto],tabCustoUnit[[#This Row],[Código do Posto]],tabParametros[Vale - Alimentação])&lt;=0,0,
SUMIF(tabParametros[Código do Posto],tabCustoUnit[[#This Row],[Código do Posto]],tabParametros[Vale - Alimentação])*20-1)</f>
        <v>582</v>
      </c>
      <c r="AE84" s="22">
        <f>SUMIF(tabParametros[Código do Posto],tabCustoUnit[[#This Row],[Código do Posto]],tabParametros[Cesta Básica])</f>
        <v>0</v>
      </c>
      <c r="AF84" s="22">
        <f>SUMIF(tabParametros[Código do Posto],tabCustoUnit[[#This Row],[Código do Posto]],tabParametros[PAF])</f>
        <v>51.74</v>
      </c>
      <c r="AG84" s="22">
        <f>SUMIF(tabParametros[Código do Posto],tabCustoUnit[[#This Row],[Código do Posto]],tabParametros[PQM])</f>
        <v>0</v>
      </c>
      <c r="AH84" s="22">
        <f>SUMIF(tabParametros[Código do Posto],tabCustoUnit[[#This Row],[Código do Posto]],tabParametros[PAT])</f>
        <v>0</v>
      </c>
      <c r="AI84" s="22">
        <f>SUMIF(tabParametros[Código do Posto],tabCustoUnit[[#This Row],[Código do Posto]],tabParametros[Seguro de Vida])</f>
        <v>3.36</v>
      </c>
      <c r="AJ84" s="22">
        <f>SUMIF(tabParametros[Código do Posto],tabCustoUnit[[#This Row],[Código do Posto]],tabParametros[Despesas de Viagem])</f>
        <v>0</v>
      </c>
      <c r="AK84" s="22">
        <f>SUM(tabCustoUnit[[#This Row],[Vale - Transporte (Descontada parcela do empregado)]:[Despesas de Viagem]])</f>
        <v>797.32320000000004</v>
      </c>
      <c r="AL84" s="22">
        <f>tabCustoUnit[[#This Row],[Submódulo 2.1]]+tabCustoUnit[[#This Row],[Submódulo 2.2]]+tabCustoUnit[[#This Row],[Submódulo 2.3]]</f>
        <v>1862.1767628499999</v>
      </c>
      <c r="AM84" s="22">
        <f>SUMIF(tabParametros[Código do Posto],tabCustoUnit[[#This Row],[Código do Posto]],tabParametros[Aviso Prévio Indenizado (API) e Reflexo do Aviso Prévio Indenizado])*tabCustoUnit[[#This Row],[MODULO 1 - REMUNERAÇÃO ]]</f>
        <v>11.559051416493055</v>
      </c>
      <c r="AN84" s="22">
        <f>SUMIF(tabParametros[Código do Posto],tabCustoUnit[[#This Row],[Código do Posto]],tabParametros[Incidência do FGTS sobre API e Reflexo do API])*tabCustoUnit[[#This Row],[MODULO 1 - REMUNERAÇÃO ]]</f>
        <v>0.92472411331944449</v>
      </c>
      <c r="AO84" s="22">
        <f>SUMIF(tabParametros[Código do Posto],tabCustoUnit[[#This Row],[Código do Posto]],tabParametros[Multa Rescisória do FGTS sobre o Aviso Prévio Indenizado])*tabCustoUnit[[#This Row],[MODULO 1 - REMUNERAÇÃO ]]</f>
        <v>0.36988964532777785</v>
      </c>
      <c r="AP84" s="22">
        <f>SUMIF(tabParametros[Código do Posto],tabCustoUnit[[#This Row],[Código do Posto]],tabParametros[Aviso Prévio Trabalhado - APT])*tabCustoUnit[[#This Row],[MODULO 1 - REMUNERAÇÃO ]]</f>
        <v>5.7698266500000006</v>
      </c>
      <c r="AQ84" s="22">
        <f>SUMIF(tabParametros[Código do Posto],tabCustoUnit[[#This Row],[Código do Posto]],tabParametros[Incidência dos encargos do submódulo 2.1 sobre Aviso Prévio Trabalhado])*tabCustoUnit[[#This Row],[MODULO 1 - REMUNERAÇÃO ]]</f>
        <v>2.1809944737000007</v>
      </c>
      <c r="AR84" s="22">
        <f>SUMIF(tabParametros[Código do Posto],tabCustoUnit[[#This Row],[Código do Posto]],tabParametros[Multa Rescisória do FGTS])*tabCustoUnit[[#This Row],[MODULO 1 - REMUNERAÇÃO ]]</f>
        <v>50.40813631999999</v>
      </c>
      <c r="AS84" s="22">
        <f>SUMIF(tabParametros[Código do Posto],tabCustoUnit[[#This Row],[Código do Posto]],tabParametros[Indenização Adicional (Art. 9º da Lei nº 7.238/84)])*tabCustoUnit[[#This Row],[MODULO 1 - REMUNERAÇÃO ]]</f>
        <v>1.3737682500000001</v>
      </c>
      <c r="AT84" s="22">
        <f>SUM(tabCustoUnit[[#This Row],[Aviso Prévio Indenizado (API) e Reflexo do Aviso Prévio Indenizado]:[Indenização Adicional (Art. 9º da Lei nº 7.238/84)]])</f>
        <v>72.586390868840269</v>
      </c>
      <c r="AU84" s="22">
        <f>SUMIF(tabParametros[Código do Posto],tabCustoUnit[[#This Row],[Código do Posto]],tabParametros[Ausência por Doença])*tabCustoUnit[[#This Row],[MODULO 1 - REMUNERAÇÃO ]]</f>
        <v>13.920851599999999</v>
      </c>
      <c r="AV84" s="22">
        <f>SUMIF(tabParametros[Código do Posto],tabCustoUnit[[#This Row],[Código do Posto]],tabParametros[Ausências Legais])*tabCustoUnit[[#This Row],[MODULO 1 - REMUNERAÇÃO ]]</f>
        <v>3.3428360749999997</v>
      </c>
      <c r="AW84" s="22">
        <f>SUMIF(tabParametros[Código do Posto],tabCustoUnit[[#This Row],[Código do Posto]],tabParametros[Licença Paternidade])*tabCustoUnit[[#This Row],[MODULO 1 - REMUNERAÇÃO ]]</f>
        <v>0.28162249125</v>
      </c>
      <c r="AX84" s="22">
        <f>SUMIF(tabParametros[Código do Posto],tabCustoUnit[[#This Row],[Código do Posto]],tabParametros[Ausência por Acidente de Trabalho])*tabCustoUnit[[#This Row],[MODULO 1 - REMUNERAÇÃO ]]</f>
        <v>0.34344206250000003</v>
      </c>
      <c r="AY84" s="22">
        <f>SUMIF(tabParametros[Código do Posto],tabCustoUnit[[#This Row],[Código do Posto]],tabParametros[Férias, Adicional de Férias e 13º  com empregada em gozo de Licença Maternidade])*tabCustoUnit[[#This Row],[MODULO 1 - REMUNERAÇÃO ]]</f>
        <v>2.1369728333333331</v>
      </c>
      <c r="AZ84" s="22">
        <f>SUMIF(tabParametros[Código do Posto],tabCustoUnit[[#This Row],[Código do Posto]],tabParametros[Incidência do Submódulo 2.1 sobre Ausências Legais])*tabCustoUnit[[#This Row],[MODULO 1 - REMUNERAÇÃO ]]</f>
        <v>7.5697240734675013</v>
      </c>
      <c r="BA84" s="22">
        <f>SUM(tabCustoUnit[[#This Row],[Ausência por Doença]:[Incidência do Submódulo 2.1 sobre Ausências Legais]])</f>
        <v>27.595449135550833</v>
      </c>
      <c r="BB84" s="22">
        <f>SUMIF(tabParametros[Código do Posto],tabCustoUnit[[#This Row],[Código do Posto]],tabParametros[Intervalo para Repouso ou Alimentação])</f>
        <v>0</v>
      </c>
      <c r="BC84" s="22">
        <f>tabCustoUnit[[#This Row],[Intervalo para Repouso ou Alimentação]]</f>
        <v>0</v>
      </c>
      <c r="BD84" s="22">
        <f>IF(VLOOKUP(tabCustoUnit[[#This Row],[Código do Posto]],PARAMETROS!$A$4:$BJ$255,7,0)&lt;=0,0,
IFERROR((tabCustoUnit[[#This Row],[MODULO 1 - REMUNERAÇÃO ]]*VLOOKUP(tabCustoUnit[[#This Row],[Código do Posto]],PARAMETROS!$A$4:$BJ$255,49,0))/(VLOOKUP(tabCustoUnit[[#This Row],[Código do Posto]],PARAMETROS!$A$4:$BJ$255,7,0)*VLOOKUP(tabCustoUnit[[#This Row],[Código do Posto]],PARAMETROS!$A$4:$BJ$255,8,0)),0)
)</f>
        <v>0</v>
      </c>
      <c r="BE84" s="22">
        <f>tabCustoUnit[[#This Row],[Suspensão Temporária do Contrato de Trabalho]]</f>
        <v>0</v>
      </c>
      <c r="BF84" s="22">
        <f>tabCustoUnit[[#This Row],[Submódulo 4.1]]+tabCustoUnit[[#This Row],[Submódulo 4.2]]+tabCustoUnit[[#This Row],[Submódulo 4.3]]</f>
        <v>27.595449135550833</v>
      </c>
      <c r="BG84" s="22">
        <f>VLOOKUP(tabCustoUnit[[#This Row],[Código do Posto]],tabParametros[],MATCH(tabCustoUnit[[#Headers],[Uniformes e EPIs]],tabParametros[#Headers],0),0)</f>
        <v>100.80916666666666</v>
      </c>
      <c r="BH84" s="22">
        <f>VLOOKUP(tabCustoUnit[[#This Row],[Código do Posto]],tabParametros[],MATCH(tabCustoUnit[[#Headers],[Materiais de Consumo]],tabParametros[#Headers],0),0)</f>
        <v>35.518212958583888</v>
      </c>
      <c r="BI84" s="22">
        <f>VLOOKUP(tabCustoUnit[[#This Row],[Código do Posto]],tabParametros[],MATCH(tabCustoUnit[[#Headers],[Máquinas e Equipamentos (depreciação)]],tabParametros[#Headers],0),0)</f>
        <v>64.529393914825576</v>
      </c>
      <c r="BJ84" s="22">
        <f>VLOOKUP(tabCustoUnit[[#This Row],[Código do Posto]],tabParametros[],MATCH(tabCustoUnit[[#Headers],[Produtos de Limpeza e Materiais de Higiene Pessoal]],tabParametros[#Headers],0),0)</f>
        <v>690.27153277931654</v>
      </c>
      <c r="BK84" s="22">
        <f>VLOOKUP(tabCustoUnit[[#This Row],[Código do Posto]],tabParametros[],MATCH(tabCustoUnit[[#Headers],[Outros (especificar)]],tabParametros[#Headers],0),0)</f>
        <v>0</v>
      </c>
      <c r="BL84" s="22">
        <f>SUM(tabCustoUnit[[#This Row],[Uniformes e EPIs]:[Outros (especificar)]])</f>
        <v>891.12830631939266</v>
      </c>
      <c r="BM84" s="22">
        <f>tabCustoUnit[[#This Row],[MODULO 1 - REMUNERAÇÃO ]]+tabCustoUnit[[#This Row],[MÓDULO 2 - Total Encargos e Benefícios mensais e diários]]+tabCustoUnit[[#This Row],[MÓDULO 3 – PROVISÃO PARA RESCISÃO]]+tabCustoUnit[[#This Row],[MÓDULO 4 – CUSTO DE REPOSIÇÃO DO PROFISSIONAL AUSENTE]]+tabCustoUnit[[#This Row],[MÓDULO 5 – INSUMOS DIVERSOS]]</f>
        <v>4502.0088091737834</v>
      </c>
      <c r="BN84" s="22">
        <f>VLOOKUP(tabCustoUnit[[#This Row],[Código do Posto]],tabParametros[],MATCH(tabCustoUnit[[#Headers],[Custos Indiretos]],tabParametros[#Headers],0),0)</f>
        <v>189.64880140242613</v>
      </c>
      <c r="BO84" s="22">
        <f>VLOOKUP(tabCustoUnit[[#This Row],[Código do Posto]],tabParametros[],MATCH(tabCustoUnit[[#Headers],[Lucro]],tabParametros[#Headers],0),0)</f>
        <v>159.30499317803796</v>
      </c>
      <c r="BP84" s="26">
        <f>((100/((1-tabCustoUnit[[#This Row],[Resumo de Alíquotas (PIS+CONFINS+ISS)]]))-100)*VLOOKUP(tabCustoUnit[[#This Row],[Código do Posto]],tabParametros[],MATCH(tabCustoUnit[[#Headers],[COFINS]],tabParametros[#Headers],0),0))/(tabCustoUnit[[#This Row],[Resumo de Alíquotas (PIS+CONFINS+ISS)]]*100)</f>
        <v>8.5633802816901458E-2</v>
      </c>
      <c r="BQ84" s="26">
        <f>((100/((100-(tabCustoUnit[[#This Row],[Resumo de Alíquotas (PIS+CONFINS+ISS)]]*100))%)-100)*VLOOKUP(tabCustoUnit[[#This Row],[Código do Posto]],tabParametros[],MATCH(tabCustoUnit[[#Headers],[PIS]],tabParametros[#Headers],0),0))/(tabCustoUnit[[#This Row],[Resumo de Alíquotas (PIS+CONFINS+ISS)]]*100)</f>
        <v>1.8591549295774657E-2</v>
      </c>
      <c r="BR84" s="28">
        <f>VLOOKUP(tabCustoUnit[[#This Row],[Código do Posto]],tabParametros[],MATCH(tabCustoUnit[[#Headers],[ISS]],tabParametros[#Headers],0),0)</f>
        <v>0.02</v>
      </c>
      <c r="BS84" s="26">
        <f>(((100/((100-(tabCustoUnit[[#This Row],[Resumo de Alíquotas (PIS+CONFINS+ISS)]]*100))%)-100)*tabCustoUnit[[#This Row],[ISS]])/tabCustoUnit[[#This Row],[Resumo de Alíquotas (PIS+CONFINS+ISS)]])/100</f>
        <v>2.2535211267605645E-2</v>
      </c>
      <c r="BT84" s="26">
        <f>(VLOOKUP(tabCustoUnit[[#This Row],[Código do Posto]],tabParametros[],MATCH(tabCustoUnit[[#Headers],[COFINS]],tabParametros[#Headers],0),0)+
VLOOKUP(tabCustoUnit[[#This Row],[Código do Posto]],tabParametros[],MATCH(tabCustoUnit[[#Headers],[PIS]],tabParametros[#Headers],0),0)+
VLOOKUP(tabCustoUnit[[#This Row],[Código do Posto]],tabParametros[],MATCH(tabCustoUnit[[#Headers],[ISS]],tabParametros[#Headers],0),0))</f>
        <v>0.1125</v>
      </c>
      <c r="BU84" s="138">
        <f>tabCustoUnit[[#This Row],[COFINS]]+tabCustoUnit[[#This Row],[PIS]]+tabCustoUnit[[#This Row],[ISS (Conversão Alíquota s/ fatura)]]</f>
        <v>0.12676056338028174</v>
      </c>
      <c r="BV84" s="22">
        <f>(tabCustoUnit[[#This Row],[TOTAL MÓDULOS 1+2+3+4+5]]+tabCustoUnit[[#This Row],[Custos Indiretos]]+tabCustoUnit[[#This Row],[Lucro]])*tabCustoUnit[[#This Row],[PIS + COFINS + ISS (Total Conversão  Alíquota s/ Fatura)]]</f>
        <v>614.91075258856688</v>
      </c>
      <c r="BW84" s="22">
        <f>tabCustoUnit[[#This Row],[Custos Indiretos]]+tabCustoUnit[[#This Row],[Lucro]]+tabCustoUnit[[#This Row],[Valor dos Tributos (ISS, PIS, CONFINS)]]</f>
        <v>963.86454716903097</v>
      </c>
      <c r="BX84" s="22">
        <f>tabCustoUnit[[#This Row],[TOTAL MÓDULOS 1+2+3+4+5]]+tabCustoUnit[[#This Row],[MÓDULO 6 – CUSTOS INDIRETOS, TRIBUTOS E LUCRO]]</f>
        <v>5465.8733563428141</v>
      </c>
      <c r="BY84" s="22">
        <f>tabCustoUnit[[#This Row],[CUSTO TOTAL MENSAL]]*12</f>
        <v>65590.480276113769</v>
      </c>
      <c r="BZ84" s="24">
        <f>VLOOKUP(tabCustoUnit[[#This Row],[Código do Posto]],tabParametros[],MATCH(tabCustoUnit[[#Headers],[ANO DA CCT]],tabParametros[#Headers],0),0)</f>
        <v>45658</v>
      </c>
      <c r="CA84" s="25" t="str">
        <f>VLOOKUP(tabCustoUnit[[#This Row],[Código do Posto]],tabParametros[],MATCH(tabCustoUnit[[#Headers],[Nº DE PEDIDO DA CCT]],tabParametros[#Headers],0),0)</f>
        <v>-</v>
      </c>
      <c r="CB84" s="25" t="str">
        <f>VLOOKUP(tabCustoUnit[[#This Row],[Código do Posto]],tabParametros[],MATCH(tabCustoUnit[[#Headers],[TERMO ADITIVO ALTERAÇÃO DA CCT]],tabParametros[#Headers],0),0)</f>
        <v>-</v>
      </c>
    </row>
    <row r="85" spans="1:80" x14ac:dyDescent="0.25">
      <c r="A85" s="20" t="s">
        <v>1425</v>
      </c>
      <c r="B85" t="s">
        <v>82</v>
      </c>
      <c r="C85" t="s">
        <v>1245</v>
      </c>
      <c r="D85" t="s">
        <v>81</v>
      </c>
      <c r="E85" s="20" t="s">
        <v>9</v>
      </c>
      <c r="F85" s="20" t="s">
        <v>10</v>
      </c>
      <c r="G85" s="21">
        <v>1596.28</v>
      </c>
      <c r="H85" s="21">
        <v>0</v>
      </c>
      <c r="I85" s="21">
        <v>0</v>
      </c>
      <c r="J85" s="21">
        <v>0</v>
      </c>
      <c r="K85" s="21">
        <v>0</v>
      </c>
      <c r="L85" s="21">
        <v>0</v>
      </c>
      <c r="M85" s="21">
        <v>0</v>
      </c>
      <c r="N85" s="21">
        <v>52.241900000000001</v>
      </c>
      <c r="O85" s="21">
        <f>SUM(tabCustoUnit[[#This Row],[Salário Base]:[Adicional de Acúmulo de função]])</f>
        <v>1648.5219</v>
      </c>
      <c r="P85" s="21">
        <f>tabCustoUnit[[#This Row],[MODULO 1 - REMUNERAÇÃO ]]*SUMIFS(tabParametros[INSS],tabParametros[Código do Posto],tabCustoUnit[[#This Row],[Código do Posto]])</f>
        <v>329.70438000000001</v>
      </c>
      <c r="Q85" s="21">
        <f>tabCustoUnit[[#This Row],[MODULO 1 - REMUNERAÇÃO ]]*SUMIFS(tabParametros[SESI OU SESC],tabParametros[Código do Posto],tabCustoUnit[[#This Row],[Código do Posto]])</f>
        <v>24.727828499999998</v>
      </c>
      <c r="R85" s="21">
        <f>tabCustoUnit[[#This Row],[MODULO 1 - REMUNERAÇÃO ]]*SUMIFS(tabParametros[SENAI OU SENAC],tabParametros[Código do Posto],tabCustoUnit[[#This Row],[Código do Posto]])</f>
        <v>16.485219000000001</v>
      </c>
      <c r="S85" s="21">
        <f>tabCustoUnit[[#This Row],[MODULO 1 - REMUNERAÇÃO ]]*SUMIFS(tabParametros[INCRA],tabParametros[Código do Posto],tabCustoUnit[[#This Row],[Código do Posto]])</f>
        <v>3.2970438</v>
      </c>
      <c r="T85" s="21">
        <f>tabCustoUnit[[#This Row],[MODULO 1 - REMUNERAÇÃO ]]*SUMIFS(tabParametros[Salário Educação],tabParametros[Código do Posto],tabCustoUnit[[#This Row],[Código do Posto]])</f>
        <v>41.213047500000002</v>
      </c>
      <c r="U85" s="21">
        <f>tabCustoUnit[[#This Row],[MODULO 1 - REMUNERAÇÃO ]]*SUMIFS(tabParametros[FGTS],tabParametros[Código do Posto],tabCustoUnit[[#This Row],[Código do Posto]])</f>
        <v>131.88175200000001</v>
      </c>
      <c r="V85" s="21">
        <f>tabCustoUnit[[#This Row],[MODULO 1 - REMUNERAÇÃO ]]*SUMIFS(tabParametros[RAT Ajustado],tabParametros[Código do Posto],tabCustoUnit[[#This Row],[Código do Posto]])</f>
        <v>65.940876000000003</v>
      </c>
      <c r="W85" s="21">
        <f>tabCustoUnit[[#This Row],[MODULO 1 - REMUNERAÇÃO ]]*SUMIFS(tabParametros[SEBRAE],tabParametros[Código do Posto],tabCustoUnit[[#This Row],[Código do Posto]])</f>
        <v>9.8911314000000008</v>
      </c>
      <c r="X85" s="21">
        <f>SUM(tabCustoUnit[[#This Row],[INSS]:[SEBRAE]])</f>
        <v>623.14127819999999</v>
      </c>
      <c r="Y85" s="21">
        <f>tabCustoUnit[[#This Row],[MODULO 1 - REMUNERAÇÃO ]]*SUMIFS(tabParametros[13º salário (titular)],tabParametros[Código do Posto],tabCustoUnit[[#This Row],[Código do Posto]])</f>
        <v>137.376825</v>
      </c>
      <c r="Z85" s="21">
        <f>tabCustoUnit[[#This Row],[MODULO 1 - REMUNERAÇÃO ]]*SUMIFS(tabParametros[Férias e Adicional de Férias (titular)],tabParametros[Código do Posto],tabCustoUnit[[#This Row],[Código do Posto]])</f>
        <v>183.16909999999999</v>
      </c>
      <c r="AA85" s="21">
        <f>IFERROR((tabCustoUnit[[#This Row],[Submódulo 2.1]]/tabCustoUnit[[#This Row],[MODULO 1 - REMUNERAÇÃO ]])*SUM(tabCustoUnit[[#This Row],[13º salário (titular)]:[Férias e Adicional de Férias (titular)]]),0)</f>
        <v>121.16635965</v>
      </c>
      <c r="AB85" s="21">
        <f>SUM(tabCustoUnit[[#This Row],[13º salário (titular)]:[Incidência do Submódulo 2.1 sobre 13º Salário, Férias e Adicional de Férias]])</f>
        <v>441.71228465000002</v>
      </c>
      <c r="AC85" s="22">
        <f>_xlfn.LET(_xlpm.VT,SUMIF(tabParametros[Código do Posto],tabCustoUnit[[#This Row],[Código do Posto]],tabParametros[Vale - Transporte])*2*20,
IF((_xlpm.VT-tabCustoUnit[[#This Row],[Salário Base]]*0.06)&gt;=0,(_xlpm.VT-tabCustoUnit[[#This Row],[Salário Base]]*0.06),0)
)</f>
        <v>160.22320000000002</v>
      </c>
      <c r="AD85" s="22">
        <f>IF(SUMIF(tabParametros[Código do Posto],tabCustoUnit[[#This Row],[Código do Posto]],tabParametros[Vale - Alimentação])&lt;=0,0,
SUMIF(tabParametros[Código do Posto],tabCustoUnit[[#This Row],[Código do Posto]],tabParametros[Vale - Alimentação])*20-1)</f>
        <v>582</v>
      </c>
      <c r="AE85" s="22">
        <f>SUMIF(tabParametros[Código do Posto],tabCustoUnit[[#This Row],[Código do Posto]],tabParametros[Cesta Básica])</f>
        <v>0</v>
      </c>
      <c r="AF85" s="22">
        <f>SUMIF(tabParametros[Código do Posto],tabCustoUnit[[#This Row],[Código do Posto]],tabParametros[PAF])</f>
        <v>51.74</v>
      </c>
      <c r="AG85" s="22">
        <f>SUMIF(tabParametros[Código do Posto],tabCustoUnit[[#This Row],[Código do Posto]],tabParametros[PQM])</f>
        <v>0</v>
      </c>
      <c r="AH85" s="22">
        <f>SUMIF(tabParametros[Código do Posto],tabCustoUnit[[#This Row],[Código do Posto]],tabParametros[PAT])</f>
        <v>0</v>
      </c>
      <c r="AI85" s="22">
        <f>SUMIF(tabParametros[Código do Posto],tabCustoUnit[[#This Row],[Código do Posto]],tabParametros[Seguro de Vida])</f>
        <v>3.36</v>
      </c>
      <c r="AJ85" s="22">
        <f>SUMIF(tabParametros[Código do Posto],tabCustoUnit[[#This Row],[Código do Posto]],tabParametros[Despesas de Viagem])</f>
        <v>0</v>
      </c>
      <c r="AK85" s="22">
        <f>SUM(tabCustoUnit[[#This Row],[Vale - Transporte (Descontada parcela do empregado)]:[Despesas de Viagem]])</f>
        <v>797.32320000000004</v>
      </c>
      <c r="AL85" s="22">
        <f>tabCustoUnit[[#This Row],[Submódulo 2.1]]+tabCustoUnit[[#This Row],[Submódulo 2.2]]+tabCustoUnit[[#This Row],[Submódulo 2.3]]</f>
        <v>1862.1767628499999</v>
      </c>
      <c r="AM85" s="22">
        <f>SUMIF(tabParametros[Código do Posto],tabCustoUnit[[#This Row],[Código do Posto]],tabParametros[Aviso Prévio Indenizado (API) e Reflexo do Aviso Prévio Indenizado])*tabCustoUnit[[#This Row],[MODULO 1 - REMUNERAÇÃO ]]</f>
        <v>11.559051416493055</v>
      </c>
      <c r="AN85" s="22">
        <f>SUMIF(tabParametros[Código do Posto],tabCustoUnit[[#This Row],[Código do Posto]],tabParametros[Incidência do FGTS sobre API e Reflexo do API])*tabCustoUnit[[#This Row],[MODULO 1 - REMUNERAÇÃO ]]</f>
        <v>0.92472411331944449</v>
      </c>
      <c r="AO85" s="22">
        <f>SUMIF(tabParametros[Código do Posto],tabCustoUnit[[#This Row],[Código do Posto]],tabParametros[Multa Rescisória do FGTS sobre o Aviso Prévio Indenizado])*tabCustoUnit[[#This Row],[MODULO 1 - REMUNERAÇÃO ]]</f>
        <v>0.36988964532777785</v>
      </c>
      <c r="AP85" s="22">
        <f>SUMIF(tabParametros[Código do Posto],tabCustoUnit[[#This Row],[Código do Posto]],tabParametros[Aviso Prévio Trabalhado - APT])*tabCustoUnit[[#This Row],[MODULO 1 - REMUNERAÇÃO ]]</f>
        <v>5.7698266500000006</v>
      </c>
      <c r="AQ85" s="22">
        <f>SUMIF(tabParametros[Código do Posto],tabCustoUnit[[#This Row],[Código do Posto]],tabParametros[Incidência dos encargos do submódulo 2.1 sobre Aviso Prévio Trabalhado])*tabCustoUnit[[#This Row],[MODULO 1 - REMUNERAÇÃO ]]</f>
        <v>2.1809944737000007</v>
      </c>
      <c r="AR85" s="22">
        <f>SUMIF(tabParametros[Código do Posto],tabCustoUnit[[#This Row],[Código do Posto]],tabParametros[Multa Rescisória do FGTS])*tabCustoUnit[[#This Row],[MODULO 1 - REMUNERAÇÃO ]]</f>
        <v>50.40813631999999</v>
      </c>
      <c r="AS85" s="22">
        <f>SUMIF(tabParametros[Código do Posto],tabCustoUnit[[#This Row],[Código do Posto]],tabParametros[Indenização Adicional (Art. 9º da Lei nº 7.238/84)])*tabCustoUnit[[#This Row],[MODULO 1 - REMUNERAÇÃO ]]</f>
        <v>1.3737682500000001</v>
      </c>
      <c r="AT85" s="22">
        <f>SUM(tabCustoUnit[[#This Row],[Aviso Prévio Indenizado (API) e Reflexo do Aviso Prévio Indenizado]:[Indenização Adicional (Art. 9º da Lei nº 7.238/84)]])</f>
        <v>72.586390868840269</v>
      </c>
      <c r="AU85" s="22">
        <f>SUMIF(tabParametros[Código do Posto],tabCustoUnit[[#This Row],[Código do Posto]],tabParametros[Ausência por Doença])*tabCustoUnit[[#This Row],[MODULO 1 - REMUNERAÇÃO ]]</f>
        <v>13.920851599999999</v>
      </c>
      <c r="AV85" s="22">
        <f>SUMIF(tabParametros[Código do Posto],tabCustoUnit[[#This Row],[Código do Posto]],tabParametros[Ausências Legais])*tabCustoUnit[[#This Row],[MODULO 1 - REMUNERAÇÃO ]]</f>
        <v>3.3428360749999997</v>
      </c>
      <c r="AW85" s="22">
        <f>SUMIF(tabParametros[Código do Posto],tabCustoUnit[[#This Row],[Código do Posto]],tabParametros[Licença Paternidade])*tabCustoUnit[[#This Row],[MODULO 1 - REMUNERAÇÃO ]]</f>
        <v>0.28162249125</v>
      </c>
      <c r="AX85" s="22">
        <f>SUMIF(tabParametros[Código do Posto],tabCustoUnit[[#This Row],[Código do Posto]],tabParametros[Ausência por Acidente de Trabalho])*tabCustoUnit[[#This Row],[MODULO 1 - REMUNERAÇÃO ]]</f>
        <v>0.34344206250000003</v>
      </c>
      <c r="AY85" s="22">
        <f>SUMIF(tabParametros[Código do Posto],tabCustoUnit[[#This Row],[Código do Posto]],tabParametros[Férias, Adicional de Férias e 13º  com empregada em gozo de Licença Maternidade])*tabCustoUnit[[#This Row],[MODULO 1 - REMUNERAÇÃO ]]</f>
        <v>2.1369728333333331</v>
      </c>
      <c r="AZ85" s="22">
        <f>SUMIF(tabParametros[Código do Posto],tabCustoUnit[[#This Row],[Código do Posto]],tabParametros[Incidência do Submódulo 2.1 sobre Ausências Legais])*tabCustoUnit[[#This Row],[MODULO 1 - REMUNERAÇÃO ]]</f>
        <v>7.5697240734675013</v>
      </c>
      <c r="BA85" s="22">
        <f>SUM(tabCustoUnit[[#This Row],[Ausência por Doença]:[Incidência do Submódulo 2.1 sobre Ausências Legais]])</f>
        <v>27.595449135550833</v>
      </c>
      <c r="BB85" s="22">
        <f>SUMIF(tabParametros[Código do Posto],tabCustoUnit[[#This Row],[Código do Posto]],tabParametros[Intervalo para Repouso ou Alimentação])</f>
        <v>0</v>
      </c>
      <c r="BC85" s="22">
        <f>tabCustoUnit[[#This Row],[Intervalo para Repouso ou Alimentação]]</f>
        <v>0</v>
      </c>
      <c r="BD85" s="22">
        <f>IF(VLOOKUP(tabCustoUnit[[#This Row],[Código do Posto]],PARAMETROS!$A$4:$BJ$255,7,0)&lt;=0,0,
IFERROR((tabCustoUnit[[#This Row],[MODULO 1 - REMUNERAÇÃO ]]*VLOOKUP(tabCustoUnit[[#This Row],[Código do Posto]],PARAMETROS!$A$4:$BJ$255,49,0))/(VLOOKUP(tabCustoUnit[[#This Row],[Código do Posto]],PARAMETROS!$A$4:$BJ$255,7,0)*VLOOKUP(tabCustoUnit[[#This Row],[Código do Posto]],PARAMETROS!$A$4:$BJ$255,8,0)),0)
)</f>
        <v>0</v>
      </c>
      <c r="BE85" s="22">
        <f>tabCustoUnit[[#This Row],[Suspensão Temporária do Contrato de Trabalho]]</f>
        <v>0</v>
      </c>
      <c r="BF85" s="22">
        <f>tabCustoUnit[[#This Row],[Submódulo 4.1]]+tabCustoUnit[[#This Row],[Submódulo 4.2]]+tabCustoUnit[[#This Row],[Submódulo 4.3]]</f>
        <v>27.595449135550833</v>
      </c>
      <c r="BG85" s="22">
        <f>VLOOKUP(tabCustoUnit[[#This Row],[Código do Posto]],tabParametros[],MATCH(tabCustoUnit[[#Headers],[Uniformes e EPIs]],tabParametros[#Headers],0),0)</f>
        <v>100.80916666666666</v>
      </c>
      <c r="BH85" s="22">
        <f>VLOOKUP(tabCustoUnit[[#This Row],[Código do Posto]],tabParametros[],MATCH(tabCustoUnit[[#Headers],[Materiais de Consumo]],tabParametros[#Headers],0),0)</f>
        <v>35.518212958583888</v>
      </c>
      <c r="BI85" s="22">
        <f>VLOOKUP(tabCustoUnit[[#This Row],[Código do Posto]],tabParametros[],MATCH(tabCustoUnit[[#Headers],[Máquinas e Equipamentos (depreciação)]],tabParametros[#Headers],0),0)</f>
        <v>64.529393914825576</v>
      </c>
      <c r="BJ85" s="22">
        <f>VLOOKUP(tabCustoUnit[[#This Row],[Código do Posto]],tabParametros[],MATCH(tabCustoUnit[[#Headers],[Produtos de Limpeza e Materiais de Higiene Pessoal]],tabParametros[#Headers],0),0)</f>
        <v>690.27153277931654</v>
      </c>
      <c r="BK85" s="22">
        <f>VLOOKUP(tabCustoUnit[[#This Row],[Código do Posto]],tabParametros[],MATCH(tabCustoUnit[[#Headers],[Outros (especificar)]],tabParametros[#Headers],0),0)</f>
        <v>0</v>
      </c>
      <c r="BL85" s="22">
        <f>SUM(tabCustoUnit[[#This Row],[Uniformes e EPIs]:[Outros (especificar)]])</f>
        <v>891.12830631939266</v>
      </c>
      <c r="BM85" s="22">
        <f>tabCustoUnit[[#This Row],[MODULO 1 - REMUNERAÇÃO ]]+tabCustoUnit[[#This Row],[MÓDULO 2 - Total Encargos e Benefícios mensais e diários]]+tabCustoUnit[[#This Row],[MÓDULO 3 – PROVISÃO PARA RESCISÃO]]+tabCustoUnit[[#This Row],[MÓDULO 4 – CUSTO DE REPOSIÇÃO DO PROFISSIONAL AUSENTE]]+tabCustoUnit[[#This Row],[MÓDULO 5 – INSUMOS DIVERSOS]]</f>
        <v>4502.0088091737834</v>
      </c>
      <c r="BN85" s="22">
        <f>VLOOKUP(tabCustoUnit[[#This Row],[Código do Posto]],tabParametros[],MATCH(tabCustoUnit[[#Headers],[Custos Indiretos]],tabParametros[#Headers],0),0)</f>
        <v>189.64880140242613</v>
      </c>
      <c r="BO85" s="22">
        <f>VLOOKUP(tabCustoUnit[[#This Row],[Código do Posto]],tabParametros[],MATCH(tabCustoUnit[[#Headers],[Lucro]],tabParametros[#Headers],0),0)</f>
        <v>159.30499317803796</v>
      </c>
      <c r="BP85" s="26">
        <f>((100/((1-tabCustoUnit[[#This Row],[Resumo de Alíquotas (PIS+CONFINS+ISS)]]))-100)*VLOOKUP(tabCustoUnit[[#This Row],[Código do Posto]],tabParametros[],MATCH(tabCustoUnit[[#Headers],[COFINS]],tabParametros[#Headers],0),0))/(tabCustoUnit[[#This Row],[Resumo de Alíquotas (PIS+CONFINS+ISS)]]*100)</f>
        <v>8.6609686609686695E-2</v>
      </c>
      <c r="BQ85" s="26">
        <f>((100/((100-(tabCustoUnit[[#This Row],[Resumo de Alíquotas (PIS+CONFINS+ISS)]]*100))%)-100)*VLOOKUP(tabCustoUnit[[#This Row],[Código do Posto]],tabParametros[],MATCH(tabCustoUnit[[#Headers],[PIS]],tabParametros[#Headers],0),0))/(tabCustoUnit[[#This Row],[Resumo de Alíquotas (PIS+CONFINS+ISS)]]*100)</f>
        <v>1.880341880341882E-2</v>
      </c>
      <c r="BR85" s="28">
        <f>VLOOKUP(tabCustoUnit[[#This Row],[Código do Posto]],tabParametros[],MATCH(tabCustoUnit[[#Headers],[ISS]],tabParametros[#Headers],0),0)</f>
        <v>0.03</v>
      </c>
      <c r="BS85" s="26">
        <f>(((100/((100-(tabCustoUnit[[#This Row],[Resumo de Alíquotas (PIS+CONFINS+ISS)]]*100))%)-100)*tabCustoUnit[[#This Row],[ISS]])/tabCustoUnit[[#This Row],[Resumo de Alíquotas (PIS+CONFINS+ISS)]])/100</f>
        <v>3.4188034188034219E-2</v>
      </c>
      <c r="BT85" s="26">
        <f>(VLOOKUP(tabCustoUnit[[#This Row],[Código do Posto]],tabParametros[],MATCH(tabCustoUnit[[#Headers],[COFINS]],tabParametros[#Headers],0),0)+
VLOOKUP(tabCustoUnit[[#This Row],[Código do Posto]],tabParametros[],MATCH(tabCustoUnit[[#Headers],[PIS]],tabParametros[#Headers],0),0)+
VLOOKUP(tabCustoUnit[[#This Row],[Código do Posto]],tabParametros[],MATCH(tabCustoUnit[[#Headers],[ISS]],tabParametros[#Headers],0),0))</f>
        <v>0.1225</v>
      </c>
      <c r="BU85" s="138">
        <f>tabCustoUnit[[#This Row],[COFINS]]+tabCustoUnit[[#This Row],[PIS]]+tabCustoUnit[[#This Row],[ISS (Conversão Alíquota s/ fatura)]]</f>
        <v>0.13960113960113973</v>
      </c>
      <c r="BV85" s="22">
        <f>(tabCustoUnit[[#This Row],[TOTAL MÓDULOS 1+2+3+4+5]]+tabCustoUnit[[#This Row],[Custos Indiretos]]+tabCustoUnit[[#This Row],[Lucro]])*tabCustoUnit[[#This Row],[PIS + COFINS + ISS (Total Conversão  Alíquota s/ Fatura)]]</f>
        <v>677.19990764660497</v>
      </c>
      <c r="BW85" s="22">
        <f>tabCustoUnit[[#This Row],[Custos Indiretos]]+tabCustoUnit[[#This Row],[Lucro]]+tabCustoUnit[[#This Row],[Valor dos Tributos (ISS, PIS, CONFINS)]]</f>
        <v>1026.1537022270691</v>
      </c>
      <c r="BX85" s="22">
        <f>tabCustoUnit[[#This Row],[TOTAL MÓDULOS 1+2+3+4+5]]+tabCustoUnit[[#This Row],[MÓDULO 6 – CUSTOS INDIRETOS, TRIBUTOS E LUCRO]]</f>
        <v>5528.162511400853</v>
      </c>
      <c r="BY85" s="22">
        <f>tabCustoUnit[[#This Row],[CUSTO TOTAL MENSAL]]*12</f>
        <v>66337.950136810236</v>
      </c>
      <c r="BZ85" s="24">
        <f>VLOOKUP(tabCustoUnit[[#This Row],[Código do Posto]],tabParametros[],MATCH(tabCustoUnit[[#Headers],[ANO DA CCT]],tabParametros[#Headers],0),0)</f>
        <v>45658</v>
      </c>
      <c r="CA85" s="25" t="str">
        <f>VLOOKUP(tabCustoUnit[[#This Row],[Código do Posto]],tabParametros[],MATCH(tabCustoUnit[[#Headers],[Nº DE PEDIDO DA CCT]],tabParametros[#Headers],0),0)</f>
        <v>-</v>
      </c>
      <c r="CB85" s="25" t="str">
        <f>VLOOKUP(tabCustoUnit[[#This Row],[Código do Posto]],tabParametros[],MATCH(tabCustoUnit[[#Headers],[TERMO ADITIVO ALTERAÇÃO DA CCT]],tabParametros[#Headers],0),0)</f>
        <v>-</v>
      </c>
    </row>
    <row r="86" spans="1:80" x14ac:dyDescent="0.25">
      <c r="A86" s="20" t="s">
        <v>1426</v>
      </c>
      <c r="B86" t="s">
        <v>83</v>
      </c>
      <c r="C86" t="s">
        <v>1247</v>
      </c>
      <c r="D86" t="s">
        <v>1037</v>
      </c>
      <c r="E86" s="20" t="s">
        <v>9</v>
      </c>
      <c r="F86" s="20" t="s">
        <v>10</v>
      </c>
      <c r="G86" s="21">
        <v>544.17999999999995</v>
      </c>
      <c r="H86" s="21">
        <v>0</v>
      </c>
      <c r="I86" s="21">
        <v>0</v>
      </c>
      <c r="J86" s="21">
        <v>0</v>
      </c>
      <c r="K86" s="21">
        <v>0</v>
      </c>
      <c r="L86" s="21">
        <v>0</v>
      </c>
      <c r="M86" s="21">
        <v>0</v>
      </c>
      <c r="N86" s="21">
        <v>19.590499999999999</v>
      </c>
      <c r="O86" s="21">
        <f>SUM(tabCustoUnit[[#This Row],[Salário Base]:[Adicional de Acúmulo de função]])</f>
        <v>563.77049999999997</v>
      </c>
      <c r="P86" s="21">
        <f>tabCustoUnit[[#This Row],[MODULO 1 - REMUNERAÇÃO ]]*SUMIFS(tabParametros[INSS],tabParametros[Código do Posto],tabCustoUnit[[#This Row],[Código do Posto]])</f>
        <v>112.75409999999999</v>
      </c>
      <c r="Q86" s="21">
        <f>tabCustoUnit[[#This Row],[MODULO 1 - REMUNERAÇÃO ]]*SUMIFS(tabParametros[SESI OU SESC],tabParametros[Código do Posto],tabCustoUnit[[#This Row],[Código do Posto]])</f>
        <v>8.4565574999999988</v>
      </c>
      <c r="R86" s="21">
        <f>tabCustoUnit[[#This Row],[MODULO 1 - REMUNERAÇÃO ]]*SUMIFS(tabParametros[SENAI OU SENAC],tabParametros[Código do Posto],tabCustoUnit[[#This Row],[Código do Posto]])</f>
        <v>5.6377049999999995</v>
      </c>
      <c r="S86" s="21">
        <f>tabCustoUnit[[#This Row],[MODULO 1 - REMUNERAÇÃO ]]*SUMIFS(tabParametros[INCRA],tabParametros[Código do Posto],tabCustoUnit[[#This Row],[Código do Posto]])</f>
        <v>1.1275409999999999</v>
      </c>
      <c r="T86" s="21">
        <f>tabCustoUnit[[#This Row],[MODULO 1 - REMUNERAÇÃO ]]*SUMIFS(tabParametros[Salário Educação],tabParametros[Código do Posto],tabCustoUnit[[#This Row],[Código do Posto]])</f>
        <v>14.094262499999999</v>
      </c>
      <c r="U86" s="21">
        <f>tabCustoUnit[[#This Row],[MODULO 1 - REMUNERAÇÃO ]]*SUMIFS(tabParametros[FGTS],tabParametros[Código do Posto],tabCustoUnit[[#This Row],[Código do Posto]])</f>
        <v>45.101639999999996</v>
      </c>
      <c r="V86" s="21">
        <f>tabCustoUnit[[#This Row],[MODULO 1 - REMUNERAÇÃO ]]*SUMIFS(tabParametros[RAT Ajustado],tabParametros[Código do Posto],tabCustoUnit[[#This Row],[Código do Posto]])</f>
        <v>22.550819999999998</v>
      </c>
      <c r="W86" s="21">
        <f>tabCustoUnit[[#This Row],[MODULO 1 - REMUNERAÇÃO ]]*SUMIFS(tabParametros[SEBRAE],tabParametros[Código do Posto],tabCustoUnit[[#This Row],[Código do Posto]])</f>
        <v>3.3826229999999997</v>
      </c>
      <c r="X86" s="21">
        <f>SUM(tabCustoUnit[[#This Row],[INSS]:[SEBRAE]])</f>
        <v>213.10524899999996</v>
      </c>
      <c r="Y86" s="21">
        <f>tabCustoUnit[[#This Row],[MODULO 1 - REMUNERAÇÃO ]]*SUMIFS(tabParametros[13º salário (titular)],tabParametros[Código do Posto],tabCustoUnit[[#This Row],[Código do Posto]])</f>
        <v>46.980874999999997</v>
      </c>
      <c r="Z86" s="21">
        <f>tabCustoUnit[[#This Row],[MODULO 1 - REMUNERAÇÃO ]]*SUMIFS(tabParametros[Férias e Adicional de Férias (titular)],tabParametros[Código do Posto],tabCustoUnit[[#This Row],[Código do Posto]])</f>
        <v>62.641166666666663</v>
      </c>
      <c r="AA86" s="21">
        <f>IFERROR((tabCustoUnit[[#This Row],[Submódulo 2.1]]/tabCustoUnit[[#This Row],[MODULO 1 - REMUNERAÇÃO ]])*SUM(tabCustoUnit[[#This Row],[13º salário (titular)]:[Férias e Adicional de Férias (titular)]]),0)</f>
        <v>41.437131749999992</v>
      </c>
      <c r="AB86" s="21">
        <f>SUM(tabCustoUnit[[#This Row],[13º salário (titular)]:[Incidência do Submódulo 2.1 sobre 13º Salário, Férias e Adicional de Férias]])</f>
        <v>151.05917341666665</v>
      </c>
      <c r="AC86" s="22">
        <f>_xlfn.LET(_xlpm.VT,SUMIF(tabParametros[Código do Posto],tabCustoUnit[[#This Row],[Código do Posto]],tabParametros[Vale - Transporte])*2*20,
IF((_xlpm.VT-tabCustoUnit[[#This Row],[Salário Base]]*0.06)&gt;=0,(_xlpm.VT-tabCustoUnit[[#This Row],[Salário Base]]*0.06),0)
)</f>
        <v>223.3492</v>
      </c>
      <c r="AD86" s="22">
        <f>IF(SUMIF(tabParametros[Código do Posto],tabCustoUnit[[#This Row],[Código do Posto]],tabParametros[Vale - Alimentação])&lt;=0,0,
SUMIF(tabParametros[Código do Posto],tabCustoUnit[[#This Row],[Código do Posto]],tabParametros[Vale - Alimentação])*20-1)</f>
        <v>582</v>
      </c>
      <c r="AE86" s="22">
        <f>SUMIF(tabParametros[Código do Posto],tabCustoUnit[[#This Row],[Código do Posto]],tabParametros[Cesta Básica])</f>
        <v>0</v>
      </c>
      <c r="AF86" s="22">
        <f>SUMIF(tabParametros[Código do Posto],tabCustoUnit[[#This Row],[Código do Posto]],tabParametros[PAF])</f>
        <v>0</v>
      </c>
      <c r="AG86" s="22">
        <f>SUMIF(tabParametros[Código do Posto],tabCustoUnit[[#This Row],[Código do Posto]],tabParametros[PQM])</f>
        <v>0</v>
      </c>
      <c r="AH86" s="22">
        <f>SUMIF(tabParametros[Código do Posto],tabCustoUnit[[#This Row],[Código do Posto]],tabParametros[PAT])</f>
        <v>0</v>
      </c>
      <c r="AI86" s="22">
        <f>SUMIF(tabParametros[Código do Posto],tabCustoUnit[[#This Row],[Código do Posto]],tabParametros[Seguro de Vida])</f>
        <v>3.36</v>
      </c>
      <c r="AJ86" s="22">
        <f>SUMIF(tabParametros[Código do Posto],tabCustoUnit[[#This Row],[Código do Posto]],tabParametros[Despesas de Viagem])</f>
        <v>0</v>
      </c>
      <c r="AK86" s="22">
        <f>SUM(tabCustoUnit[[#This Row],[Vale - Transporte (Descontada parcela do empregado)]:[Despesas de Viagem]])</f>
        <v>808.70920000000001</v>
      </c>
      <c r="AL86" s="22">
        <f>tabCustoUnit[[#This Row],[Submódulo 2.1]]+tabCustoUnit[[#This Row],[Submódulo 2.2]]+tabCustoUnit[[#This Row],[Submódulo 2.3]]</f>
        <v>1172.8736224166666</v>
      </c>
      <c r="AM86" s="22">
        <f>SUMIF(tabParametros[Código do Posto],tabCustoUnit[[#This Row],[Código do Posto]],tabParametros[Aviso Prévio Indenizado (API) e Reflexo do Aviso Prévio Indenizado])*tabCustoUnit[[#This Row],[MODULO 1 - REMUNERAÇÃO ]]</f>
        <v>3.9530273735532404</v>
      </c>
      <c r="AN86" s="22">
        <f>SUMIF(tabParametros[Código do Posto],tabCustoUnit[[#This Row],[Código do Posto]],tabParametros[Incidência do FGTS sobre API e Reflexo do API])*tabCustoUnit[[#This Row],[MODULO 1 - REMUNERAÇÃO ]]</f>
        <v>0.31624218988425928</v>
      </c>
      <c r="AO86" s="22">
        <f>SUMIF(tabParametros[Código do Posto],tabCustoUnit[[#This Row],[Código do Posto]],tabParametros[Multa Rescisória do FGTS sobre o Aviso Prévio Indenizado])*tabCustoUnit[[#This Row],[MODULO 1 - REMUNERAÇÃO ]]</f>
        <v>0.12649687595370371</v>
      </c>
      <c r="AP86" s="22">
        <f>SUMIF(tabParametros[Código do Posto],tabCustoUnit[[#This Row],[Código do Posto]],tabParametros[Aviso Prévio Trabalhado - APT])*tabCustoUnit[[#This Row],[MODULO 1 - REMUNERAÇÃO ]]</f>
        <v>1.9731967500000003</v>
      </c>
      <c r="AQ86" s="22">
        <f>SUMIF(tabParametros[Código do Posto],tabCustoUnit[[#This Row],[Código do Posto]],tabParametros[Incidência dos encargos do submódulo 2.1 sobre Aviso Prévio Trabalhado])*tabCustoUnit[[#This Row],[MODULO 1 - REMUNERAÇÃO ]]</f>
        <v>0.74586837150000018</v>
      </c>
      <c r="AR86" s="22">
        <f>SUMIF(tabParametros[Código do Posto],tabCustoUnit[[#This Row],[Código do Posto]],tabParametros[Multa Rescisória do FGTS])*tabCustoUnit[[#This Row],[MODULO 1 - REMUNERAÇÃO ]]</f>
        <v>17.238849066666663</v>
      </c>
      <c r="AS86" s="22">
        <f>SUMIF(tabParametros[Código do Posto],tabCustoUnit[[#This Row],[Código do Posto]],tabParametros[Indenização Adicional (Art. 9º da Lei nº 7.238/84)])*tabCustoUnit[[#This Row],[MODULO 1 - REMUNERAÇÃO ]]</f>
        <v>0.46980875</v>
      </c>
      <c r="AT86" s="22">
        <f>SUM(tabCustoUnit[[#This Row],[Aviso Prévio Indenizado (API) e Reflexo do Aviso Prévio Indenizado]:[Indenização Adicional (Art. 9º da Lei nº 7.238/84)]])</f>
        <v>24.823489377557866</v>
      </c>
      <c r="AU86" s="22">
        <f>SUMIF(tabParametros[Código do Posto],tabCustoUnit[[#This Row],[Código do Posto]],tabParametros[Ausência por Doença])*tabCustoUnit[[#This Row],[MODULO 1 - REMUNERAÇÃO ]]</f>
        <v>4.7607286666666662</v>
      </c>
      <c r="AV86" s="22">
        <f>SUMIF(tabParametros[Código do Posto],tabCustoUnit[[#This Row],[Código do Posto]],tabParametros[Ausências Legais])*tabCustoUnit[[#This Row],[MODULO 1 - REMUNERAÇÃO ]]</f>
        <v>1.1432012916666665</v>
      </c>
      <c r="AW86" s="22">
        <f>SUMIF(tabParametros[Código do Posto],tabCustoUnit[[#This Row],[Código do Posto]],tabParametros[Licença Paternidade])*tabCustoUnit[[#This Row],[MODULO 1 - REMUNERAÇÃO ]]</f>
        <v>9.6310793749999998E-2</v>
      </c>
      <c r="AX86" s="22">
        <f>SUMIF(tabParametros[Código do Posto],tabCustoUnit[[#This Row],[Código do Posto]],tabParametros[Ausência por Acidente de Trabalho])*tabCustoUnit[[#This Row],[MODULO 1 - REMUNERAÇÃO ]]</f>
        <v>0.1174521875</v>
      </c>
      <c r="AY86" s="22">
        <f>SUMIF(tabParametros[Código do Posto],tabCustoUnit[[#This Row],[Código do Posto]],tabParametros[Férias, Adicional de Férias e 13º  com empregada em gozo de Licença Maternidade])*tabCustoUnit[[#This Row],[MODULO 1 - REMUNERAÇÃO ]]</f>
        <v>0.73081361111111109</v>
      </c>
      <c r="AZ86" s="22">
        <f>SUMIF(tabParametros[Código do Posto],tabCustoUnit[[#This Row],[Código do Posto]],tabParametros[Incidência do Submódulo 2.1 sobre Ausências Legais])*tabCustoUnit[[#This Row],[MODULO 1 - REMUNERAÇÃO ]]</f>
        <v>2.5887354761625003</v>
      </c>
      <c r="BA86" s="22">
        <f>SUM(tabCustoUnit[[#This Row],[Ausência por Doença]:[Incidência do Submódulo 2.1 sobre Ausências Legais]])</f>
        <v>9.4372420268569428</v>
      </c>
      <c r="BB86" s="22">
        <f>SUMIF(tabParametros[Código do Posto],tabCustoUnit[[#This Row],[Código do Posto]],tabParametros[Intervalo para Repouso ou Alimentação])</f>
        <v>0</v>
      </c>
      <c r="BC86" s="22">
        <f>tabCustoUnit[[#This Row],[Intervalo para Repouso ou Alimentação]]</f>
        <v>0</v>
      </c>
      <c r="BD86" s="22">
        <f>IF(VLOOKUP(tabCustoUnit[[#This Row],[Código do Posto]],PARAMETROS!$A$4:$BJ$255,7,0)&lt;=0,0,
IFERROR((tabCustoUnit[[#This Row],[MODULO 1 - REMUNERAÇÃO ]]*VLOOKUP(tabCustoUnit[[#This Row],[Código do Posto]],PARAMETROS!$A$4:$BJ$255,49,0))/(VLOOKUP(tabCustoUnit[[#This Row],[Código do Posto]],PARAMETROS!$A$4:$BJ$255,7,0)*VLOOKUP(tabCustoUnit[[#This Row],[Código do Posto]],PARAMETROS!$A$4:$BJ$255,8,0)),0)
)</f>
        <v>0</v>
      </c>
      <c r="BE86" s="22">
        <f>tabCustoUnit[[#This Row],[Suspensão Temporária do Contrato de Trabalho]]</f>
        <v>0</v>
      </c>
      <c r="BF86" s="22">
        <f>tabCustoUnit[[#This Row],[Submódulo 4.1]]+tabCustoUnit[[#This Row],[Submódulo 4.2]]+tabCustoUnit[[#This Row],[Submódulo 4.3]]</f>
        <v>9.4372420268569428</v>
      </c>
      <c r="BG86" s="22">
        <f>VLOOKUP(tabCustoUnit[[#This Row],[Código do Posto]],tabParametros[],MATCH(tabCustoUnit[[#Headers],[Uniformes e EPIs]],tabParametros[#Headers],0),0)</f>
        <v>62.806666666666665</v>
      </c>
      <c r="BH86" s="22">
        <f>VLOOKUP(tabCustoUnit[[#This Row],[Código do Posto]],tabParametros[],MATCH(tabCustoUnit[[#Headers],[Materiais de Consumo]],tabParametros[#Headers],0),0)</f>
        <v>12.108481690426325</v>
      </c>
      <c r="BI86" s="22">
        <f>VLOOKUP(tabCustoUnit[[#This Row],[Código do Posto]],tabParametros[],MATCH(tabCustoUnit[[#Headers],[Máquinas e Equipamentos (depreciação)]],tabParametros[#Headers],0),0)</f>
        <v>21.998657016417809</v>
      </c>
      <c r="BJ86" s="22">
        <f>VLOOKUP(tabCustoUnit[[#This Row],[Código do Posto]],tabParametros[],MATCH(tabCustoUnit[[#Headers],[Produtos de Limpeza e Materiais de Higiene Pessoal]],tabParametros[#Headers],0),0)</f>
        <v>235.31984072022155</v>
      </c>
      <c r="BK86" s="22">
        <f>VLOOKUP(tabCustoUnit[[#This Row],[Código do Posto]],tabParametros[],MATCH(tabCustoUnit[[#Headers],[Outros (especificar)]],tabParametros[#Headers],0),0)</f>
        <v>0</v>
      </c>
      <c r="BL86" s="22">
        <f>SUM(tabCustoUnit[[#This Row],[Uniformes e EPIs]:[Outros (especificar)]])</f>
        <v>332.23364609373232</v>
      </c>
      <c r="BM86" s="22">
        <f>tabCustoUnit[[#This Row],[MODULO 1 - REMUNERAÇÃO ]]+tabCustoUnit[[#This Row],[MÓDULO 2 - Total Encargos e Benefícios mensais e diários]]+tabCustoUnit[[#This Row],[MÓDULO 3 – PROVISÃO PARA RESCISÃO]]+tabCustoUnit[[#This Row],[MÓDULO 4 – CUSTO DE REPOSIÇÃO DO PROFISSIONAL AUSENTE]]+tabCustoUnit[[#This Row],[MÓDULO 5 – INSUMOS DIVERSOS]]</f>
        <v>2103.1384999148136</v>
      </c>
      <c r="BN86" s="22">
        <f>VLOOKUP(tabCustoUnit[[#This Row],[Código do Posto]],tabParametros[],MATCH(tabCustoUnit[[#Headers],[Custos Indiretos]],tabParametros[#Headers],0),0)</f>
        <v>189.64880140242613</v>
      </c>
      <c r="BO86" s="22">
        <f>VLOOKUP(tabCustoUnit[[#This Row],[Código do Posto]],tabParametros[],MATCH(tabCustoUnit[[#Headers],[Lucro]],tabParametros[#Headers],0),0)</f>
        <v>159.30499317803796</v>
      </c>
      <c r="BP86" s="26">
        <f>((100/((1-tabCustoUnit[[#This Row],[Resumo de Alíquotas (PIS+CONFINS+ISS)]]))-100)*VLOOKUP(tabCustoUnit[[#This Row],[Código do Posto]],tabParametros[],MATCH(tabCustoUnit[[#Headers],[COFINS]],tabParametros[#Headers],0),0))/(tabCustoUnit[[#This Row],[Resumo de Alíquotas (PIS+CONFINS+ISS)]]*100)</f>
        <v>8.8629737609329504E-2</v>
      </c>
      <c r="BQ86" s="26">
        <f>((100/((100-(tabCustoUnit[[#This Row],[Resumo de Alíquotas (PIS+CONFINS+ISS)]]*100))%)-100)*VLOOKUP(tabCustoUnit[[#This Row],[Código do Posto]],tabParametros[],MATCH(tabCustoUnit[[#Headers],[PIS]],tabParametros[#Headers],0),0))/(tabCustoUnit[[#This Row],[Resumo de Alíquotas (PIS+CONFINS+ISS)]]*100)</f>
        <v>1.9241982507288629E-2</v>
      </c>
      <c r="BR86" s="28">
        <f>VLOOKUP(tabCustoUnit[[#This Row],[Código do Posto]],tabParametros[],MATCH(tabCustoUnit[[#Headers],[ISS]],tabParametros[#Headers],0),0)</f>
        <v>0.05</v>
      </c>
      <c r="BS86" s="26">
        <f>(((100/((100-(tabCustoUnit[[#This Row],[Resumo de Alíquotas (PIS+CONFINS+ISS)]]*100))%)-100)*tabCustoUnit[[#This Row],[ISS]])/tabCustoUnit[[#This Row],[Resumo de Alíquotas (PIS+CONFINS+ISS)]])/100</f>
        <v>5.8309037900874633E-2</v>
      </c>
      <c r="BT86" s="26">
        <f>(VLOOKUP(tabCustoUnit[[#This Row],[Código do Posto]],tabParametros[],MATCH(tabCustoUnit[[#Headers],[COFINS]],tabParametros[#Headers],0),0)+
VLOOKUP(tabCustoUnit[[#This Row],[Código do Posto]],tabParametros[],MATCH(tabCustoUnit[[#Headers],[PIS]],tabParametros[#Headers],0),0)+
VLOOKUP(tabCustoUnit[[#This Row],[Código do Posto]],tabParametros[],MATCH(tabCustoUnit[[#Headers],[ISS]],tabParametros[#Headers],0),0))</f>
        <v>0.14250000000000002</v>
      </c>
      <c r="BU86" s="138">
        <f>tabCustoUnit[[#This Row],[COFINS]]+tabCustoUnit[[#This Row],[PIS]]+tabCustoUnit[[#This Row],[ISS (Conversão Alíquota s/ fatura)]]</f>
        <v>0.16618075801749277</v>
      </c>
      <c r="BV86" s="22">
        <f>(tabCustoUnit[[#This Row],[TOTAL MÓDULOS 1+2+3+4+5]]+tabCustoUnit[[#This Row],[Custos Indiretos]]+tabCustoUnit[[#This Row],[Lucro]])*tabCustoUnit[[#This Row],[PIS + COFINS + ISS (Total Conversão  Alíquota s/ Fatura)]]</f>
        <v>407.49055622807833</v>
      </c>
      <c r="BW86" s="22">
        <f>tabCustoUnit[[#This Row],[Custos Indiretos]]+tabCustoUnit[[#This Row],[Lucro]]+tabCustoUnit[[#This Row],[Valor dos Tributos (ISS, PIS, CONFINS)]]</f>
        <v>756.44435080854237</v>
      </c>
      <c r="BX86" s="22">
        <f>tabCustoUnit[[#This Row],[TOTAL MÓDULOS 1+2+3+4+5]]+tabCustoUnit[[#This Row],[MÓDULO 6 – CUSTOS INDIRETOS, TRIBUTOS E LUCRO]]</f>
        <v>2859.5828507233559</v>
      </c>
      <c r="BY86" s="22">
        <f>tabCustoUnit[[#This Row],[CUSTO TOTAL MENSAL]]*12</f>
        <v>34314.994208680269</v>
      </c>
      <c r="BZ86" s="24">
        <f>VLOOKUP(tabCustoUnit[[#This Row],[Código do Posto]],tabParametros[],MATCH(tabCustoUnit[[#Headers],[ANO DA CCT]],tabParametros[#Headers],0),0)</f>
        <v>45658</v>
      </c>
      <c r="CA86" s="25" t="str">
        <f>VLOOKUP(tabCustoUnit[[#This Row],[Código do Posto]],tabParametros[],MATCH(tabCustoUnit[[#Headers],[Nº DE PEDIDO DA CCT]],tabParametros[#Headers],0),0)</f>
        <v>-</v>
      </c>
      <c r="CB86" s="25" t="str">
        <f>VLOOKUP(tabCustoUnit[[#This Row],[Código do Posto]],tabParametros[],MATCH(tabCustoUnit[[#Headers],[TERMO ADITIVO ALTERAÇÃO DA CCT]],tabParametros[#Headers],0),0)</f>
        <v>-</v>
      </c>
    </row>
    <row r="87" spans="1:80" x14ac:dyDescent="0.25">
      <c r="A87" s="20" t="s">
        <v>1271</v>
      </c>
      <c r="B87" t="s">
        <v>84</v>
      </c>
      <c r="C87" t="s">
        <v>1246</v>
      </c>
      <c r="D87" t="s">
        <v>84</v>
      </c>
      <c r="E87" s="20" t="s">
        <v>9</v>
      </c>
      <c r="F87" s="20" t="s">
        <v>10</v>
      </c>
      <c r="G87" s="21">
        <v>1124.3900000000001</v>
      </c>
      <c r="H87" s="21">
        <v>0</v>
      </c>
      <c r="I87" s="21">
        <v>0</v>
      </c>
      <c r="J87" s="21">
        <v>0</v>
      </c>
      <c r="K87" s="21">
        <v>0</v>
      </c>
      <c r="L87" s="21">
        <v>0</v>
      </c>
      <c r="M87" s="21">
        <v>0</v>
      </c>
      <c r="N87" s="21">
        <v>40.478000000000002</v>
      </c>
      <c r="O87" s="21">
        <f>SUM(tabCustoUnit[[#This Row],[Salário Base]:[Adicional de Acúmulo de função]])</f>
        <v>1164.8680000000002</v>
      </c>
      <c r="P87" s="21">
        <f>tabCustoUnit[[#This Row],[MODULO 1 - REMUNERAÇÃO ]]*SUMIFS(tabParametros[INSS],tabParametros[Código do Posto],tabCustoUnit[[#This Row],[Código do Posto]])</f>
        <v>232.97360000000003</v>
      </c>
      <c r="Q87" s="21">
        <f>tabCustoUnit[[#This Row],[MODULO 1 - REMUNERAÇÃO ]]*SUMIFS(tabParametros[SESI OU SESC],tabParametros[Código do Posto],tabCustoUnit[[#This Row],[Código do Posto]])</f>
        <v>17.473020000000002</v>
      </c>
      <c r="R87" s="21">
        <f>tabCustoUnit[[#This Row],[MODULO 1 - REMUNERAÇÃO ]]*SUMIFS(tabParametros[SENAI OU SENAC],tabParametros[Código do Posto],tabCustoUnit[[#This Row],[Código do Posto]])</f>
        <v>11.648680000000002</v>
      </c>
      <c r="S87" s="21">
        <f>tabCustoUnit[[#This Row],[MODULO 1 - REMUNERAÇÃO ]]*SUMIFS(tabParametros[INCRA],tabParametros[Código do Posto],tabCustoUnit[[#This Row],[Código do Posto]])</f>
        <v>2.3297360000000005</v>
      </c>
      <c r="T87" s="21">
        <f>tabCustoUnit[[#This Row],[MODULO 1 - REMUNERAÇÃO ]]*SUMIFS(tabParametros[Salário Educação],tabParametros[Código do Posto],tabCustoUnit[[#This Row],[Código do Posto]])</f>
        <v>29.121700000000004</v>
      </c>
      <c r="U87" s="21">
        <f>tabCustoUnit[[#This Row],[MODULO 1 - REMUNERAÇÃO ]]*SUMIFS(tabParametros[FGTS],tabParametros[Código do Posto],tabCustoUnit[[#This Row],[Código do Posto]])</f>
        <v>93.189440000000019</v>
      </c>
      <c r="V87" s="21">
        <f>tabCustoUnit[[#This Row],[MODULO 1 - REMUNERAÇÃO ]]*SUMIFS(tabParametros[RAT Ajustado],tabParametros[Código do Posto],tabCustoUnit[[#This Row],[Código do Posto]])</f>
        <v>46.594720000000009</v>
      </c>
      <c r="W87" s="21">
        <f>tabCustoUnit[[#This Row],[MODULO 1 - REMUNERAÇÃO ]]*SUMIFS(tabParametros[SEBRAE],tabParametros[Código do Posto],tabCustoUnit[[#This Row],[Código do Posto]])</f>
        <v>6.9892080000000014</v>
      </c>
      <c r="X87" s="21">
        <f>SUM(tabCustoUnit[[#This Row],[INSS]:[SEBRAE]])</f>
        <v>440.32010400000001</v>
      </c>
      <c r="Y87" s="21">
        <f>tabCustoUnit[[#This Row],[MODULO 1 - REMUNERAÇÃO ]]*SUMIFS(tabParametros[13º salário (titular)],tabParametros[Código do Posto],tabCustoUnit[[#This Row],[Código do Posto]])</f>
        <v>97.072333333333347</v>
      </c>
      <c r="Z87" s="21">
        <f>tabCustoUnit[[#This Row],[MODULO 1 - REMUNERAÇÃO ]]*SUMIFS(tabParametros[Férias e Adicional de Férias (titular)],tabParametros[Código do Posto],tabCustoUnit[[#This Row],[Código do Posto]])</f>
        <v>129.42977777777779</v>
      </c>
      <c r="AA87" s="21">
        <f>IFERROR((tabCustoUnit[[#This Row],[Submódulo 2.1]]/tabCustoUnit[[#This Row],[MODULO 1 - REMUNERAÇÃO ]])*SUM(tabCustoUnit[[#This Row],[13º salário (titular)]:[Férias e Adicional de Férias (titular)]]),0)</f>
        <v>85.617797999999993</v>
      </c>
      <c r="AB87" s="21">
        <f>SUM(tabCustoUnit[[#This Row],[13º salário (titular)]:[Incidência do Submódulo 2.1 sobre 13º Salário, Férias e Adicional de Férias]])</f>
        <v>312.11990911111116</v>
      </c>
      <c r="AC87" s="22">
        <f>_xlfn.LET(_xlpm.VT,SUMIF(tabParametros[Código do Posto],tabCustoUnit[[#This Row],[Código do Posto]],tabParametros[Vale - Transporte])*2*20,
IF((_xlpm.VT-tabCustoUnit[[#This Row],[Salário Base]]*0.06)&gt;=0,(_xlpm.VT-tabCustoUnit[[#This Row],[Salário Base]]*0.06),0)
)</f>
        <v>188.53659999999999</v>
      </c>
      <c r="AD87" s="22">
        <f>IF(SUMIF(tabParametros[Código do Posto],tabCustoUnit[[#This Row],[Código do Posto]],tabParametros[Vale - Alimentação])&lt;=0,0,
SUMIF(tabParametros[Código do Posto],tabCustoUnit[[#This Row],[Código do Posto]],tabParametros[Vale - Alimentação])*20-1)</f>
        <v>582</v>
      </c>
      <c r="AE87" s="22">
        <f>SUMIF(tabParametros[Código do Posto],tabCustoUnit[[#This Row],[Código do Posto]],tabParametros[Cesta Básica])</f>
        <v>0</v>
      </c>
      <c r="AF87" s="22">
        <f>SUMIF(tabParametros[Código do Posto],tabCustoUnit[[#This Row],[Código do Posto]],tabParametros[PAF])</f>
        <v>51.88</v>
      </c>
      <c r="AG87" s="22">
        <f>SUMIF(tabParametros[Código do Posto],tabCustoUnit[[#This Row],[Código do Posto]],tabParametros[PQM])</f>
        <v>0</v>
      </c>
      <c r="AH87" s="22">
        <f>SUMIF(tabParametros[Código do Posto],tabCustoUnit[[#This Row],[Código do Posto]],tabParametros[PAT])</f>
        <v>0</v>
      </c>
      <c r="AI87" s="22">
        <f>SUMIF(tabParametros[Código do Posto],tabCustoUnit[[#This Row],[Código do Posto]],tabParametros[Seguro de Vida])</f>
        <v>3.36</v>
      </c>
      <c r="AJ87" s="22">
        <f>SUMIF(tabParametros[Código do Posto],tabCustoUnit[[#This Row],[Código do Posto]],tabParametros[Despesas de Viagem])</f>
        <v>0</v>
      </c>
      <c r="AK87" s="22">
        <f>SUM(tabCustoUnit[[#This Row],[Vale - Transporte (Descontada parcela do empregado)]:[Despesas de Viagem]])</f>
        <v>825.77660000000003</v>
      </c>
      <c r="AL87" s="22">
        <f>tabCustoUnit[[#This Row],[Submódulo 2.1]]+tabCustoUnit[[#This Row],[Submódulo 2.2]]+tabCustoUnit[[#This Row],[Submódulo 2.3]]</f>
        <v>1578.2166131111112</v>
      </c>
      <c r="AM87" s="22">
        <f>SUMIF(tabParametros[Código do Posto],tabCustoUnit[[#This Row],[Código do Posto]],tabParametros[Aviso Prévio Indenizado (API) e Reflexo do Aviso Prévio Indenizado])*tabCustoUnit[[#This Row],[MODULO 1 - REMUNERAÇÃO ]]</f>
        <v>8.1677829729938285</v>
      </c>
      <c r="AN87" s="22">
        <f>SUMIF(tabParametros[Código do Posto],tabCustoUnit[[#This Row],[Código do Posto]],tabParametros[Incidência do FGTS sobre API e Reflexo do API])*tabCustoUnit[[#This Row],[MODULO 1 - REMUNERAÇÃO ]]</f>
        <v>0.65342263783950627</v>
      </c>
      <c r="AO87" s="22">
        <f>SUMIF(tabParametros[Código do Posto],tabCustoUnit[[#This Row],[Código do Posto]],tabParametros[Multa Rescisória do FGTS sobre o Aviso Prévio Indenizado])*tabCustoUnit[[#This Row],[MODULO 1 - REMUNERAÇÃO ]]</f>
        <v>0.26136905513580255</v>
      </c>
      <c r="AP87" s="22">
        <f>SUMIF(tabParametros[Código do Posto],tabCustoUnit[[#This Row],[Código do Posto]],tabParametros[Aviso Prévio Trabalhado - APT])*tabCustoUnit[[#This Row],[MODULO 1 - REMUNERAÇÃO ]]</f>
        <v>4.0770380000000008</v>
      </c>
      <c r="AQ87" s="22">
        <f>SUMIF(tabParametros[Código do Posto],tabCustoUnit[[#This Row],[Código do Posto]],tabParametros[Incidência dos encargos do submódulo 2.1 sobre Aviso Prévio Trabalhado])*tabCustoUnit[[#This Row],[MODULO 1 - REMUNERAÇÃO ]]</f>
        <v>1.5411203640000006</v>
      </c>
      <c r="AR87" s="22">
        <f>SUMIF(tabParametros[Código do Posto],tabCustoUnit[[#This Row],[Código do Posto]],tabParametros[Multa Rescisória do FGTS])*tabCustoUnit[[#This Row],[MODULO 1 - REMUNERAÇÃO ]]</f>
        <v>35.619074844444441</v>
      </c>
      <c r="AS87" s="22">
        <f>SUMIF(tabParametros[Código do Posto],tabCustoUnit[[#This Row],[Código do Posto]],tabParametros[Indenização Adicional (Art. 9º da Lei nº 7.238/84)])*tabCustoUnit[[#This Row],[MODULO 1 - REMUNERAÇÃO ]]</f>
        <v>0.97072333333333349</v>
      </c>
      <c r="AT87" s="22">
        <f>SUM(tabCustoUnit[[#This Row],[Aviso Prévio Indenizado (API) e Reflexo do Aviso Prévio Indenizado]:[Indenização Adicional (Art. 9º da Lei nº 7.238/84)]])</f>
        <v>51.290531207746916</v>
      </c>
      <c r="AU87" s="22">
        <f>SUMIF(tabParametros[Código do Posto],tabCustoUnit[[#This Row],[Código do Posto]],tabParametros[Ausência por Doença])*tabCustoUnit[[#This Row],[MODULO 1 - REMUNERAÇÃO ]]</f>
        <v>9.8366631111111111</v>
      </c>
      <c r="AV87" s="22">
        <f>SUMIF(tabParametros[Código do Posto],tabCustoUnit[[#This Row],[Código do Posto]],tabParametros[Ausências Legais])*tabCustoUnit[[#This Row],[MODULO 1 - REMUNERAÇÃO ]]</f>
        <v>2.3620934444444446</v>
      </c>
      <c r="AW87" s="22">
        <f>SUMIF(tabParametros[Código do Posto],tabCustoUnit[[#This Row],[Código do Posto]],tabParametros[Licença Paternidade])*tabCustoUnit[[#This Row],[MODULO 1 - REMUNERAÇÃO ]]</f>
        <v>0.19899828333333336</v>
      </c>
      <c r="AX87" s="22">
        <f>SUMIF(tabParametros[Código do Posto],tabCustoUnit[[#This Row],[Código do Posto]],tabParametros[Ausência por Acidente de Trabalho])*tabCustoUnit[[#This Row],[MODULO 1 - REMUNERAÇÃO ]]</f>
        <v>0.24268083333333337</v>
      </c>
      <c r="AY87" s="22">
        <f>SUMIF(tabParametros[Código do Posto],tabCustoUnit[[#This Row],[Código do Posto]],tabParametros[Férias, Adicional de Férias e 13º  com empregada em gozo de Licença Maternidade])*tabCustoUnit[[#This Row],[MODULO 1 - REMUNERAÇÃO ]]</f>
        <v>1.5100140740740742</v>
      </c>
      <c r="AZ87" s="22">
        <f>SUMIF(tabParametros[Código do Posto],tabCustoUnit[[#This Row],[Código do Posto]],tabParametros[Incidência do Submódulo 2.1 sobre Ausências Legais])*tabCustoUnit[[#This Row],[MODULO 1 - REMUNERAÇÃO ]]</f>
        <v>5.3488700041000019</v>
      </c>
      <c r="BA87" s="22">
        <f>SUM(tabCustoUnit[[#This Row],[Ausência por Doença]:[Incidência do Submódulo 2.1 sobre Ausências Legais]])</f>
        <v>19.499319750396296</v>
      </c>
      <c r="BB87" s="22">
        <f>SUMIF(tabParametros[Código do Posto],tabCustoUnit[[#This Row],[Código do Posto]],tabParametros[Intervalo para Repouso ou Alimentação])</f>
        <v>0</v>
      </c>
      <c r="BC87" s="22">
        <f>tabCustoUnit[[#This Row],[Intervalo para Repouso ou Alimentação]]</f>
        <v>0</v>
      </c>
      <c r="BD87" s="22">
        <f>IF(VLOOKUP(tabCustoUnit[[#This Row],[Código do Posto]],PARAMETROS!$A$4:$BJ$255,7,0)&lt;=0,0,
IFERROR((tabCustoUnit[[#This Row],[MODULO 1 - REMUNERAÇÃO ]]*VLOOKUP(tabCustoUnit[[#This Row],[Código do Posto]],PARAMETROS!$A$4:$BJ$255,49,0))/(VLOOKUP(tabCustoUnit[[#This Row],[Código do Posto]],PARAMETROS!$A$4:$BJ$255,7,0)*VLOOKUP(tabCustoUnit[[#This Row],[Código do Posto]],PARAMETROS!$A$4:$BJ$255,8,0)),0)
)</f>
        <v>0</v>
      </c>
      <c r="BE87" s="22">
        <f>tabCustoUnit[[#This Row],[Suspensão Temporária do Contrato de Trabalho]]</f>
        <v>0</v>
      </c>
      <c r="BF87" s="22">
        <f>tabCustoUnit[[#This Row],[Submódulo 4.1]]+tabCustoUnit[[#This Row],[Submódulo 4.2]]+tabCustoUnit[[#This Row],[Submódulo 4.3]]</f>
        <v>19.499319750396296</v>
      </c>
      <c r="BG87" s="22">
        <f>VLOOKUP(tabCustoUnit[[#This Row],[Código do Posto]],tabParametros[],MATCH(tabCustoUnit[[#Headers],[Uniformes e EPIs]],tabParametros[#Headers],0),0)</f>
        <v>100.80916666666666</v>
      </c>
      <c r="BH87" s="22">
        <f>VLOOKUP(tabCustoUnit[[#This Row],[Código do Posto]],tabParametros[],MATCH(tabCustoUnit[[#Headers],[Materiais de Consumo]],tabParametros[#Headers],0),0)</f>
        <v>24.216963380852651</v>
      </c>
      <c r="BI87" s="22">
        <f>VLOOKUP(tabCustoUnit[[#This Row],[Código do Posto]],tabParametros[],MATCH(tabCustoUnit[[#Headers],[Máquinas e Equipamentos (depreciação)]],tabParametros[#Headers],0),0)</f>
        <v>43.997314032835618</v>
      </c>
      <c r="BJ87" s="22">
        <f>VLOOKUP(tabCustoUnit[[#This Row],[Código do Posto]],tabParametros[],MATCH(tabCustoUnit[[#Headers],[Produtos de Limpeza e Materiais de Higiene Pessoal]],tabParametros[#Headers],0),0)</f>
        <v>470.6396814404431</v>
      </c>
      <c r="BK87" s="22">
        <f>VLOOKUP(tabCustoUnit[[#This Row],[Código do Posto]],tabParametros[],MATCH(tabCustoUnit[[#Headers],[Outros (especificar)]],tabParametros[#Headers],0),0)</f>
        <v>0</v>
      </c>
      <c r="BL87" s="22">
        <f>SUM(tabCustoUnit[[#This Row],[Uniformes e EPIs]:[Outros (especificar)]])</f>
        <v>639.66312552079808</v>
      </c>
      <c r="BM87" s="22">
        <f>tabCustoUnit[[#This Row],[MODULO 1 - REMUNERAÇÃO ]]+tabCustoUnit[[#This Row],[MÓDULO 2 - Total Encargos e Benefícios mensais e diários]]+tabCustoUnit[[#This Row],[MÓDULO 3 – PROVISÃO PARA RESCISÃO]]+tabCustoUnit[[#This Row],[MÓDULO 4 – CUSTO DE REPOSIÇÃO DO PROFISSIONAL AUSENTE]]+tabCustoUnit[[#This Row],[MÓDULO 5 – INSUMOS DIVERSOS]]</f>
        <v>3453.5375895900524</v>
      </c>
      <c r="BN87" s="22">
        <f>VLOOKUP(tabCustoUnit[[#This Row],[Código do Posto]],tabParametros[],MATCH(tabCustoUnit[[#Headers],[Custos Indiretos]],tabParametros[#Headers],0),0)</f>
        <v>189.64880140242613</v>
      </c>
      <c r="BO87" s="22">
        <f>VLOOKUP(tabCustoUnit[[#This Row],[Código do Posto]],tabParametros[],MATCH(tabCustoUnit[[#Headers],[Lucro]],tabParametros[#Headers],0),0)</f>
        <v>159.30499317803796</v>
      </c>
      <c r="BP87" s="26">
        <f>((100/((1-tabCustoUnit[[#This Row],[Resumo de Alíquotas (PIS+CONFINS+ISS)]]))-100)*VLOOKUP(tabCustoUnit[[#This Row],[Código do Posto]],tabParametros[],MATCH(tabCustoUnit[[#Headers],[COFINS]],tabParametros[#Headers],0),0))/(tabCustoUnit[[#This Row],[Resumo de Alíquotas (PIS+CONFINS+ISS)]]*100)</f>
        <v>8.6609686609686695E-2</v>
      </c>
      <c r="BQ87" s="26">
        <f>((100/((100-(tabCustoUnit[[#This Row],[Resumo de Alíquotas (PIS+CONFINS+ISS)]]*100))%)-100)*VLOOKUP(tabCustoUnit[[#This Row],[Código do Posto]],tabParametros[],MATCH(tabCustoUnit[[#Headers],[PIS]],tabParametros[#Headers],0),0))/(tabCustoUnit[[#This Row],[Resumo de Alíquotas (PIS+CONFINS+ISS)]]*100)</f>
        <v>1.880341880341882E-2</v>
      </c>
      <c r="BR87" s="28">
        <f>VLOOKUP(tabCustoUnit[[#This Row],[Código do Posto]],tabParametros[],MATCH(tabCustoUnit[[#Headers],[ISS]],tabParametros[#Headers],0),0)</f>
        <v>0.03</v>
      </c>
      <c r="BS87" s="26">
        <f>(((100/((100-(tabCustoUnit[[#This Row],[Resumo de Alíquotas (PIS+CONFINS+ISS)]]*100))%)-100)*tabCustoUnit[[#This Row],[ISS]])/tabCustoUnit[[#This Row],[Resumo de Alíquotas (PIS+CONFINS+ISS)]])/100</f>
        <v>3.4188034188034219E-2</v>
      </c>
      <c r="BT87" s="26">
        <f>(VLOOKUP(tabCustoUnit[[#This Row],[Código do Posto]],tabParametros[],MATCH(tabCustoUnit[[#Headers],[COFINS]],tabParametros[#Headers],0),0)+
VLOOKUP(tabCustoUnit[[#This Row],[Código do Posto]],tabParametros[],MATCH(tabCustoUnit[[#Headers],[PIS]],tabParametros[#Headers],0),0)+
VLOOKUP(tabCustoUnit[[#This Row],[Código do Posto]],tabParametros[],MATCH(tabCustoUnit[[#Headers],[ISS]],tabParametros[#Headers],0),0))</f>
        <v>0.1225</v>
      </c>
      <c r="BU87" s="138">
        <f>tabCustoUnit[[#This Row],[COFINS]]+tabCustoUnit[[#This Row],[PIS]]+tabCustoUnit[[#This Row],[ISS (Conversão Alíquota s/ fatura)]]</f>
        <v>0.13960113960113973</v>
      </c>
      <c r="BV87" s="22">
        <f>(tabCustoUnit[[#This Row],[TOTAL MÓDULOS 1+2+3+4+5]]+tabCustoUnit[[#This Row],[Custos Indiretos]]+tabCustoUnit[[#This Row],[Lucro]])*tabCustoUnit[[#This Row],[PIS + COFINS + ISS (Total Conversão  Alíquota s/ Fatura)]]</f>
        <v>530.83213055371937</v>
      </c>
      <c r="BW87" s="22">
        <f>tabCustoUnit[[#This Row],[Custos Indiretos]]+tabCustoUnit[[#This Row],[Lucro]]+tabCustoUnit[[#This Row],[Valor dos Tributos (ISS, PIS, CONFINS)]]</f>
        <v>879.78592513418346</v>
      </c>
      <c r="BX87" s="22">
        <f>tabCustoUnit[[#This Row],[TOTAL MÓDULOS 1+2+3+4+5]]+tabCustoUnit[[#This Row],[MÓDULO 6 – CUSTOS INDIRETOS, TRIBUTOS E LUCRO]]</f>
        <v>4333.3235147242358</v>
      </c>
      <c r="BY87" s="22">
        <f>tabCustoUnit[[#This Row],[CUSTO TOTAL MENSAL]]*12</f>
        <v>51999.88217669083</v>
      </c>
      <c r="BZ87" s="24">
        <f>VLOOKUP(tabCustoUnit[[#This Row],[Código do Posto]],tabParametros[],MATCH(tabCustoUnit[[#Headers],[ANO DA CCT]],tabParametros[#Headers],0),0)</f>
        <v>45658</v>
      </c>
      <c r="CA87" s="25" t="str">
        <f>VLOOKUP(tabCustoUnit[[#This Row],[Código do Posto]],tabParametros[],MATCH(tabCustoUnit[[#Headers],[Nº DE PEDIDO DA CCT]],tabParametros[#Headers],0),0)</f>
        <v>-</v>
      </c>
      <c r="CB87" s="25" t="str">
        <f>VLOOKUP(tabCustoUnit[[#This Row],[Código do Posto]],tabParametros[],MATCH(tabCustoUnit[[#Headers],[TERMO ADITIVO ALTERAÇÃO DA CCT]],tabParametros[#Headers],0),0)</f>
        <v>-</v>
      </c>
    </row>
    <row r="88" spans="1:80" x14ac:dyDescent="0.25">
      <c r="A88" s="20" t="s">
        <v>1427</v>
      </c>
      <c r="B88" t="s">
        <v>84</v>
      </c>
      <c r="C88" t="s">
        <v>1245</v>
      </c>
      <c r="D88" t="s">
        <v>84</v>
      </c>
      <c r="E88" s="20" t="s">
        <v>9</v>
      </c>
      <c r="F88" s="20" t="s">
        <v>10</v>
      </c>
      <c r="G88" s="21">
        <v>1649.12</v>
      </c>
      <c r="H88" s="21">
        <v>0</v>
      </c>
      <c r="I88" s="21">
        <v>0</v>
      </c>
      <c r="J88" s="21">
        <v>0</v>
      </c>
      <c r="K88" s="21">
        <v>0</v>
      </c>
      <c r="L88" s="21">
        <v>0</v>
      </c>
      <c r="M88" s="21">
        <v>0</v>
      </c>
      <c r="N88" s="21">
        <v>53.971200000000003</v>
      </c>
      <c r="O88" s="21">
        <f>SUM(tabCustoUnit[[#This Row],[Salário Base]:[Adicional de Acúmulo de função]])</f>
        <v>1703.0911999999998</v>
      </c>
      <c r="P88" s="21">
        <f>tabCustoUnit[[#This Row],[MODULO 1 - REMUNERAÇÃO ]]*SUMIFS(tabParametros[INSS],tabParametros[Código do Posto],tabCustoUnit[[#This Row],[Código do Posto]])</f>
        <v>340.61824000000001</v>
      </c>
      <c r="Q88" s="21">
        <f>tabCustoUnit[[#This Row],[MODULO 1 - REMUNERAÇÃO ]]*SUMIFS(tabParametros[SESI OU SESC],tabParametros[Código do Posto],tabCustoUnit[[#This Row],[Código do Posto]])</f>
        <v>25.546367999999998</v>
      </c>
      <c r="R88" s="21">
        <f>tabCustoUnit[[#This Row],[MODULO 1 - REMUNERAÇÃO ]]*SUMIFS(tabParametros[SENAI OU SENAC],tabParametros[Código do Posto],tabCustoUnit[[#This Row],[Código do Posto]])</f>
        <v>17.030911999999997</v>
      </c>
      <c r="S88" s="21">
        <f>tabCustoUnit[[#This Row],[MODULO 1 - REMUNERAÇÃO ]]*SUMIFS(tabParametros[INCRA],tabParametros[Código do Posto],tabCustoUnit[[#This Row],[Código do Posto]])</f>
        <v>3.4061823999999996</v>
      </c>
      <c r="T88" s="21">
        <f>tabCustoUnit[[#This Row],[MODULO 1 - REMUNERAÇÃO ]]*SUMIFS(tabParametros[Salário Educação],tabParametros[Código do Posto],tabCustoUnit[[#This Row],[Código do Posto]])</f>
        <v>42.577280000000002</v>
      </c>
      <c r="U88" s="21">
        <f>tabCustoUnit[[#This Row],[MODULO 1 - REMUNERAÇÃO ]]*SUMIFS(tabParametros[FGTS],tabParametros[Código do Posto],tabCustoUnit[[#This Row],[Código do Posto]])</f>
        <v>136.24729599999998</v>
      </c>
      <c r="V88" s="21">
        <f>tabCustoUnit[[#This Row],[MODULO 1 - REMUNERAÇÃO ]]*SUMIFS(tabParametros[RAT Ajustado],tabParametros[Código do Posto],tabCustoUnit[[#This Row],[Código do Posto]])</f>
        <v>68.123647999999989</v>
      </c>
      <c r="W88" s="21">
        <f>tabCustoUnit[[#This Row],[MODULO 1 - REMUNERAÇÃO ]]*SUMIFS(tabParametros[SEBRAE],tabParametros[Código do Posto],tabCustoUnit[[#This Row],[Código do Posto]])</f>
        <v>10.2185472</v>
      </c>
      <c r="X88" s="21">
        <f>SUM(tabCustoUnit[[#This Row],[INSS]:[SEBRAE]])</f>
        <v>643.76847359999999</v>
      </c>
      <c r="Y88" s="21">
        <f>tabCustoUnit[[#This Row],[MODULO 1 - REMUNERAÇÃO ]]*SUMIFS(tabParametros[13º salário (titular)],tabParametros[Código do Posto],tabCustoUnit[[#This Row],[Código do Posto]])</f>
        <v>141.92426666666665</v>
      </c>
      <c r="Z88" s="21">
        <f>tabCustoUnit[[#This Row],[MODULO 1 - REMUNERAÇÃO ]]*SUMIFS(tabParametros[Férias e Adicional de Férias (titular)],tabParametros[Código do Posto],tabCustoUnit[[#This Row],[Código do Posto]])</f>
        <v>189.23235555555553</v>
      </c>
      <c r="AA88" s="21">
        <f>IFERROR((tabCustoUnit[[#This Row],[Submódulo 2.1]]/tabCustoUnit[[#This Row],[MODULO 1 - REMUNERAÇÃO ]])*SUM(tabCustoUnit[[#This Row],[13º salário (titular)]:[Férias e Adicional de Férias (titular)]]),0)</f>
        <v>125.17720319999999</v>
      </c>
      <c r="AB88" s="21">
        <f>SUM(tabCustoUnit[[#This Row],[13º salário (titular)]:[Incidência do Submódulo 2.1 sobre 13º Salário, Férias e Adicional de Férias]])</f>
        <v>456.33382542222216</v>
      </c>
      <c r="AC88" s="22">
        <f>_xlfn.LET(_xlpm.VT,SUMIF(tabParametros[Código do Posto],tabCustoUnit[[#This Row],[Código do Posto]],tabParametros[Vale - Transporte])*2*20,
IF((_xlpm.VT-tabCustoUnit[[#This Row],[Salário Base]]*0.06)&gt;=0,(_xlpm.VT-tabCustoUnit[[#This Row],[Salário Base]]*0.06),0)
)</f>
        <v>157.05279999999999</v>
      </c>
      <c r="AD88" s="22">
        <f>IF(SUMIF(tabParametros[Código do Posto],tabCustoUnit[[#This Row],[Código do Posto]],tabParametros[Vale - Alimentação])&lt;=0,0,
SUMIF(tabParametros[Código do Posto],tabCustoUnit[[#This Row],[Código do Posto]],tabParametros[Vale - Alimentação])*20-1)</f>
        <v>582</v>
      </c>
      <c r="AE88" s="22">
        <f>SUMIF(tabParametros[Código do Posto],tabCustoUnit[[#This Row],[Código do Posto]],tabParametros[Cesta Básica])</f>
        <v>0</v>
      </c>
      <c r="AF88" s="22">
        <f>SUMIF(tabParametros[Código do Posto],tabCustoUnit[[#This Row],[Código do Posto]],tabParametros[PAF])</f>
        <v>51.88</v>
      </c>
      <c r="AG88" s="22">
        <f>SUMIF(tabParametros[Código do Posto],tabCustoUnit[[#This Row],[Código do Posto]],tabParametros[PQM])</f>
        <v>0</v>
      </c>
      <c r="AH88" s="22">
        <f>SUMIF(tabParametros[Código do Posto],tabCustoUnit[[#This Row],[Código do Posto]],tabParametros[PAT])</f>
        <v>0</v>
      </c>
      <c r="AI88" s="22">
        <f>SUMIF(tabParametros[Código do Posto],tabCustoUnit[[#This Row],[Código do Posto]],tabParametros[Seguro de Vida])</f>
        <v>3.36</v>
      </c>
      <c r="AJ88" s="22">
        <f>SUMIF(tabParametros[Código do Posto],tabCustoUnit[[#This Row],[Código do Posto]],tabParametros[Despesas de Viagem])</f>
        <v>0</v>
      </c>
      <c r="AK88" s="22">
        <f>SUM(tabCustoUnit[[#This Row],[Vale - Transporte (Descontada parcela do empregado)]:[Despesas de Viagem]])</f>
        <v>794.29279999999994</v>
      </c>
      <c r="AL88" s="22">
        <f>tabCustoUnit[[#This Row],[Submódulo 2.1]]+tabCustoUnit[[#This Row],[Submódulo 2.2]]+tabCustoUnit[[#This Row],[Submódulo 2.3]]</f>
        <v>1894.3950990222222</v>
      </c>
      <c r="AM88" s="22">
        <f>SUMIF(tabParametros[Código do Posto],tabCustoUnit[[#This Row],[Código do Posto]],tabParametros[Aviso Prévio Indenizado (API) e Reflexo do Aviso Prévio Indenizado])*tabCustoUnit[[#This Row],[MODULO 1 - REMUNERAÇÃO ]]</f>
        <v>11.941678632098764</v>
      </c>
      <c r="AN88" s="22">
        <f>SUMIF(tabParametros[Código do Posto],tabCustoUnit[[#This Row],[Código do Posto]],tabParametros[Incidência do FGTS sobre API e Reflexo do API])*tabCustoUnit[[#This Row],[MODULO 1 - REMUNERAÇÃO ]]</f>
        <v>0.9553342905679012</v>
      </c>
      <c r="AO88" s="22">
        <f>SUMIF(tabParametros[Código do Posto],tabCustoUnit[[#This Row],[Código do Posto]],tabParametros[Multa Rescisória do FGTS sobre o Aviso Prévio Indenizado])*tabCustoUnit[[#This Row],[MODULO 1 - REMUNERAÇÃO ]]</f>
        <v>0.38213371622716052</v>
      </c>
      <c r="AP88" s="22">
        <f>SUMIF(tabParametros[Código do Posto],tabCustoUnit[[#This Row],[Código do Posto]],tabParametros[Aviso Prévio Trabalhado - APT])*tabCustoUnit[[#This Row],[MODULO 1 - REMUNERAÇÃO ]]</f>
        <v>5.9608192000000004</v>
      </c>
      <c r="AQ88" s="22">
        <f>SUMIF(tabParametros[Código do Posto],tabCustoUnit[[#This Row],[Código do Posto]],tabParametros[Incidência dos encargos do submódulo 2.1 sobre Aviso Prévio Trabalhado])*tabCustoUnit[[#This Row],[MODULO 1 - REMUNERAÇÃO ]]</f>
        <v>2.2531896576000006</v>
      </c>
      <c r="AR88" s="22">
        <f>SUMIF(tabParametros[Código do Posto],tabCustoUnit[[#This Row],[Código do Posto]],tabParametros[Multa Rescisória do FGTS])*tabCustoUnit[[#This Row],[MODULO 1 - REMUNERAÇÃO ]]</f>
        <v>52.076744248888879</v>
      </c>
      <c r="AS88" s="22">
        <f>SUMIF(tabParametros[Código do Posto],tabCustoUnit[[#This Row],[Código do Posto]],tabParametros[Indenização Adicional (Art. 9º da Lei nº 7.238/84)])*tabCustoUnit[[#This Row],[MODULO 1 - REMUNERAÇÃO ]]</f>
        <v>1.4192426666666667</v>
      </c>
      <c r="AT88" s="22">
        <f>SUM(tabCustoUnit[[#This Row],[Aviso Prévio Indenizado (API) e Reflexo do Aviso Prévio Indenizado]:[Indenização Adicional (Art. 9º da Lei nº 7.238/84)]])</f>
        <v>74.989142412049375</v>
      </c>
      <c r="AU88" s="22">
        <f>SUMIF(tabParametros[Código do Posto],tabCustoUnit[[#This Row],[Código do Posto]],tabParametros[Ausência por Doença])*tabCustoUnit[[#This Row],[MODULO 1 - REMUNERAÇÃO ]]</f>
        <v>14.38165902222222</v>
      </c>
      <c r="AV88" s="22">
        <f>SUMIF(tabParametros[Código do Posto],tabCustoUnit[[#This Row],[Código do Posto]],tabParametros[Ausências Legais])*tabCustoUnit[[#This Row],[MODULO 1 - REMUNERAÇÃO ]]</f>
        <v>3.4534904888888884</v>
      </c>
      <c r="AW88" s="22">
        <f>SUMIF(tabParametros[Código do Posto],tabCustoUnit[[#This Row],[Código do Posto]],tabParametros[Licença Paternidade])*tabCustoUnit[[#This Row],[MODULO 1 - REMUNERAÇÃO ]]</f>
        <v>0.29094474666666664</v>
      </c>
      <c r="AX88" s="22">
        <f>SUMIF(tabParametros[Código do Posto],tabCustoUnit[[#This Row],[Código do Posto]],tabParametros[Ausência por Acidente de Trabalho])*tabCustoUnit[[#This Row],[MODULO 1 - REMUNERAÇÃO ]]</f>
        <v>0.35481066666666666</v>
      </c>
      <c r="AY88" s="22">
        <f>SUMIF(tabParametros[Código do Posto],tabCustoUnit[[#This Row],[Código do Posto]],tabParametros[Férias, Adicional de Férias e 13º  com empregada em gozo de Licença Maternidade])*tabCustoUnit[[#This Row],[MODULO 1 - REMUNERAÇÃO ]]</f>
        <v>2.2077108148148143</v>
      </c>
      <c r="AZ88" s="22">
        <f>SUMIF(tabParametros[Código do Posto],tabCustoUnit[[#This Row],[Código do Posto]],tabParametros[Incidência do Submódulo 2.1 sobre Ausências Legais])*tabCustoUnit[[#This Row],[MODULO 1 - REMUNERAÇÃO ]]</f>
        <v>7.8202967494400006</v>
      </c>
      <c r="BA88" s="22">
        <f>SUM(tabCustoUnit[[#This Row],[Ausência por Doença]:[Incidência do Submódulo 2.1 sobre Ausências Legais]])</f>
        <v>28.508912488699256</v>
      </c>
      <c r="BB88" s="22">
        <f>SUMIF(tabParametros[Código do Posto],tabCustoUnit[[#This Row],[Código do Posto]],tabParametros[Intervalo para Repouso ou Alimentação])</f>
        <v>0</v>
      </c>
      <c r="BC88" s="22">
        <f>tabCustoUnit[[#This Row],[Intervalo para Repouso ou Alimentação]]</f>
        <v>0</v>
      </c>
      <c r="BD88" s="22">
        <f>IF(VLOOKUP(tabCustoUnit[[#This Row],[Código do Posto]],PARAMETROS!$A$4:$BJ$255,7,0)&lt;=0,0,
IFERROR((tabCustoUnit[[#This Row],[MODULO 1 - REMUNERAÇÃO ]]*VLOOKUP(tabCustoUnit[[#This Row],[Código do Posto]],PARAMETROS!$A$4:$BJ$255,49,0))/(VLOOKUP(tabCustoUnit[[#This Row],[Código do Posto]],PARAMETROS!$A$4:$BJ$255,7,0)*VLOOKUP(tabCustoUnit[[#This Row],[Código do Posto]],PARAMETROS!$A$4:$BJ$255,8,0)),0)
)</f>
        <v>0</v>
      </c>
      <c r="BE88" s="22">
        <f>tabCustoUnit[[#This Row],[Suspensão Temporária do Contrato de Trabalho]]</f>
        <v>0</v>
      </c>
      <c r="BF88" s="22">
        <f>tabCustoUnit[[#This Row],[Submódulo 4.1]]+tabCustoUnit[[#This Row],[Submódulo 4.2]]+tabCustoUnit[[#This Row],[Submódulo 4.3]]</f>
        <v>28.508912488699256</v>
      </c>
      <c r="BG88" s="22">
        <f>VLOOKUP(tabCustoUnit[[#This Row],[Código do Posto]],tabParametros[],MATCH(tabCustoUnit[[#Headers],[Uniformes e EPIs]],tabParametros[#Headers],0),0)</f>
        <v>100.80916666666666</v>
      </c>
      <c r="BH88" s="22">
        <f>VLOOKUP(tabCustoUnit[[#This Row],[Código do Posto]],tabParametros[],MATCH(tabCustoUnit[[#Headers],[Materiais de Consumo]],tabParametros[#Headers],0),0)</f>
        <v>35.518212958583888</v>
      </c>
      <c r="BI88" s="22">
        <f>VLOOKUP(tabCustoUnit[[#This Row],[Código do Posto]],tabParametros[],MATCH(tabCustoUnit[[#Headers],[Máquinas e Equipamentos (depreciação)]],tabParametros[#Headers],0),0)</f>
        <v>64.529393914825576</v>
      </c>
      <c r="BJ88" s="22">
        <f>VLOOKUP(tabCustoUnit[[#This Row],[Código do Posto]],tabParametros[],MATCH(tabCustoUnit[[#Headers],[Produtos de Limpeza e Materiais de Higiene Pessoal]],tabParametros[#Headers],0),0)</f>
        <v>690.27153277931654</v>
      </c>
      <c r="BK88" s="22">
        <f>VLOOKUP(tabCustoUnit[[#This Row],[Código do Posto]],tabParametros[],MATCH(tabCustoUnit[[#Headers],[Outros (especificar)]],tabParametros[#Headers],0),0)</f>
        <v>0</v>
      </c>
      <c r="BL88" s="22">
        <f>SUM(tabCustoUnit[[#This Row],[Uniformes e EPIs]:[Outros (especificar)]])</f>
        <v>891.12830631939266</v>
      </c>
      <c r="BM88" s="22">
        <f>tabCustoUnit[[#This Row],[MODULO 1 - REMUNERAÇÃO ]]+tabCustoUnit[[#This Row],[MÓDULO 2 - Total Encargos e Benefícios mensais e diários]]+tabCustoUnit[[#This Row],[MÓDULO 3 – PROVISÃO PARA RESCISÃO]]+tabCustoUnit[[#This Row],[MÓDULO 4 – CUSTO DE REPOSIÇÃO DO PROFISSIONAL AUSENTE]]+tabCustoUnit[[#This Row],[MÓDULO 5 – INSUMOS DIVERSOS]]</f>
        <v>4592.1126602423628</v>
      </c>
      <c r="BN88" s="22">
        <f>VLOOKUP(tabCustoUnit[[#This Row],[Código do Posto]],tabParametros[],MATCH(tabCustoUnit[[#Headers],[Custos Indiretos]],tabParametros[#Headers],0),0)</f>
        <v>189.64880140242613</v>
      </c>
      <c r="BO88" s="22">
        <f>VLOOKUP(tabCustoUnit[[#This Row],[Código do Posto]],tabParametros[],MATCH(tabCustoUnit[[#Headers],[Lucro]],tabParametros[#Headers],0),0)</f>
        <v>159.30499317803796</v>
      </c>
      <c r="BP88" s="26">
        <f>((100/((1-tabCustoUnit[[#This Row],[Resumo de Alíquotas (PIS+CONFINS+ISS)]]))-100)*VLOOKUP(tabCustoUnit[[#This Row],[Código do Posto]],tabParametros[],MATCH(tabCustoUnit[[#Headers],[COFINS]],tabParametros[#Headers],0),0))/(tabCustoUnit[[#This Row],[Resumo de Alíquotas (PIS+CONFINS+ISS)]]*100)</f>
        <v>8.6609686609686695E-2</v>
      </c>
      <c r="BQ88" s="26">
        <f>((100/((100-(tabCustoUnit[[#This Row],[Resumo de Alíquotas (PIS+CONFINS+ISS)]]*100))%)-100)*VLOOKUP(tabCustoUnit[[#This Row],[Código do Posto]],tabParametros[],MATCH(tabCustoUnit[[#Headers],[PIS]],tabParametros[#Headers],0),0))/(tabCustoUnit[[#This Row],[Resumo de Alíquotas (PIS+CONFINS+ISS)]]*100)</f>
        <v>1.880341880341882E-2</v>
      </c>
      <c r="BR88" s="28">
        <f>VLOOKUP(tabCustoUnit[[#This Row],[Código do Posto]],tabParametros[],MATCH(tabCustoUnit[[#Headers],[ISS]],tabParametros[#Headers],0),0)</f>
        <v>0.03</v>
      </c>
      <c r="BS88" s="26">
        <f>(((100/((100-(tabCustoUnit[[#This Row],[Resumo de Alíquotas (PIS+CONFINS+ISS)]]*100))%)-100)*tabCustoUnit[[#This Row],[ISS]])/tabCustoUnit[[#This Row],[Resumo de Alíquotas (PIS+CONFINS+ISS)]])/100</f>
        <v>3.4188034188034219E-2</v>
      </c>
      <c r="BT88" s="26">
        <f>(VLOOKUP(tabCustoUnit[[#This Row],[Código do Posto]],tabParametros[],MATCH(tabCustoUnit[[#Headers],[COFINS]],tabParametros[#Headers],0),0)+
VLOOKUP(tabCustoUnit[[#This Row],[Código do Posto]],tabParametros[],MATCH(tabCustoUnit[[#Headers],[PIS]],tabParametros[#Headers],0),0)+
VLOOKUP(tabCustoUnit[[#This Row],[Código do Posto]],tabParametros[],MATCH(tabCustoUnit[[#Headers],[ISS]],tabParametros[#Headers],0),0))</f>
        <v>0.1225</v>
      </c>
      <c r="BU88" s="138">
        <f>tabCustoUnit[[#This Row],[COFINS]]+tabCustoUnit[[#This Row],[PIS]]+tabCustoUnit[[#This Row],[ISS (Conversão Alíquota s/ fatura)]]</f>
        <v>0.13960113960113973</v>
      </c>
      <c r="BV88" s="22">
        <f>(tabCustoUnit[[#This Row],[TOTAL MÓDULOS 1+2+3+4+5]]+tabCustoUnit[[#This Row],[Custos Indiretos]]+tabCustoUnit[[#This Row],[Lucro]])*tabCustoUnit[[#This Row],[PIS + COFINS + ISS (Total Conversão  Alíquota s/ Fatura)]]</f>
        <v>689.77850793823006</v>
      </c>
      <c r="BW88" s="22">
        <f>tabCustoUnit[[#This Row],[Custos Indiretos]]+tabCustoUnit[[#This Row],[Lucro]]+tabCustoUnit[[#This Row],[Valor dos Tributos (ISS, PIS, CONFINS)]]</f>
        <v>1038.7323025186943</v>
      </c>
      <c r="BX88" s="22">
        <f>tabCustoUnit[[#This Row],[TOTAL MÓDULOS 1+2+3+4+5]]+tabCustoUnit[[#This Row],[MÓDULO 6 – CUSTOS INDIRETOS, TRIBUTOS E LUCRO]]</f>
        <v>5630.8449627610571</v>
      </c>
      <c r="BY88" s="22">
        <f>tabCustoUnit[[#This Row],[CUSTO TOTAL MENSAL]]*12</f>
        <v>67570.139553132685</v>
      </c>
      <c r="BZ88" s="24">
        <f>VLOOKUP(tabCustoUnit[[#This Row],[Código do Posto]],tabParametros[],MATCH(tabCustoUnit[[#Headers],[ANO DA CCT]],tabParametros[#Headers],0),0)</f>
        <v>45658</v>
      </c>
      <c r="CA88" s="25" t="str">
        <f>VLOOKUP(tabCustoUnit[[#This Row],[Código do Posto]],tabParametros[],MATCH(tabCustoUnit[[#Headers],[Nº DE PEDIDO DA CCT]],tabParametros[#Headers],0),0)</f>
        <v>-</v>
      </c>
      <c r="CB88" s="25" t="str">
        <f>VLOOKUP(tabCustoUnit[[#This Row],[Código do Posto]],tabParametros[],MATCH(tabCustoUnit[[#Headers],[TERMO ADITIVO ALTERAÇÃO DA CCT]],tabParametros[#Headers],0),0)</f>
        <v>-</v>
      </c>
    </row>
    <row r="89" spans="1:80" x14ac:dyDescent="0.25">
      <c r="A89" s="20" t="s">
        <v>1428</v>
      </c>
      <c r="B89" t="s">
        <v>85</v>
      </c>
      <c r="C89" t="s">
        <v>1247</v>
      </c>
      <c r="D89" t="s">
        <v>1010</v>
      </c>
      <c r="E89" s="20" t="s">
        <v>9</v>
      </c>
      <c r="F89" s="20" t="s">
        <v>10</v>
      </c>
      <c r="G89" s="21">
        <v>544.17999999999995</v>
      </c>
      <c r="H89" s="21">
        <v>0</v>
      </c>
      <c r="I89" s="21">
        <v>0</v>
      </c>
      <c r="J89" s="21">
        <v>0</v>
      </c>
      <c r="K89" s="21">
        <v>0</v>
      </c>
      <c r="L89" s="21">
        <v>0</v>
      </c>
      <c r="M89" s="21">
        <v>0</v>
      </c>
      <c r="N89" s="21">
        <v>19.590499999999999</v>
      </c>
      <c r="O89" s="21">
        <f>SUM(tabCustoUnit[[#This Row],[Salário Base]:[Adicional de Acúmulo de função]])</f>
        <v>563.77049999999997</v>
      </c>
      <c r="P89" s="21">
        <f>tabCustoUnit[[#This Row],[MODULO 1 - REMUNERAÇÃO ]]*SUMIFS(tabParametros[INSS],tabParametros[Código do Posto],tabCustoUnit[[#This Row],[Código do Posto]])</f>
        <v>112.75409999999999</v>
      </c>
      <c r="Q89" s="21">
        <f>tabCustoUnit[[#This Row],[MODULO 1 - REMUNERAÇÃO ]]*SUMIFS(tabParametros[SESI OU SESC],tabParametros[Código do Posto],tabCustoUnit[[#This Row],[Código do Posto]])</f>
        <v>8.4565574999999988</v>
      </c>
      <c r="R89" s="21">
        <f>tabCustoUnit[[#This Row],[MODULO 1 - REMUNERAÇÃO ]]*SUMIFS(tabParametros[SENAI OU SENAC],tabParametros[Código do Posto],tabCustoUnit[[#This Row],[Código do Posto]])</f>
        <v>5.6377049999999995</v>
      </c>
      <c r="S89" s="21">
        <f>tabCustoUnit[[#This Row],[MODULO 1 - REMUNERAÇÃO ]]*SUMIFS(tabParametros[INCRA],tabParametros[Código do Posto],tabCustoUnit[[#This Row],[Código do Posto]])</f>
        <v>1.1275409999999999</v>
      </c>
      <c r="T89" s="21">
        <f>tabCustoUnit[[#This Row],[MODULO 1 - REMUNERAÇÃO ]]*SUMIFS(tabParametros[Salário Educação],tabParametros[Código do Posto],tabCustoUnit[[#This Row],[Código do Posto]])</f>
        <v>14.094262499999999</v>
      </c>
      <c r="U89" s="21">
        <f>tabCustoUnit[[#This Row],[MODULO 1 - REMUNERAÇÃO ]]*SUMIFS(tabParametros[FGTS],tabParametros[Código do Posto],tabCustoUnit[[#This Row],[Código do Posto]])</f>
        <v>45.101639999999996</v>
      </c>
      <c r="V89" s="21">
        <f>tabCustoUnit[[#This Row],[MODULO 1 - REMUNERAÇÃO ]]*SUMIFS(tabParametros[RAT Ajustado],tabParametros[Código do Posto],tabCustoUnit[[#This Row],[Código do Posto]])</f>
        <v>22.550819999999998</v>
      </c>
      <c r="W89" s="21">
        <f>tabCustoUnit[[#This Row],[MODULO 1 - REMUNERAÇÃO ]]*SUMIFS(tabParametros[SEBRAE],tabParametros[Código do Posto],tabCustoUnit[[#This Row],[Código do Posto]])</f>
        <v>3.3826229999999997</v>
      </c>
      <c r="X89" s="21">
        <f>SUM(tabCustoUnit[[#This Row],[INSS]:[SEBRAE]])</f>
        <v>213.10524899999996</v>
      </c>
      <c r="Y89" s="21">
        <f>tabCustoUnit[[#This Row],[MODULO 1 - REMUNERAÇÃO ]]*SUMIFS(tabParametros[13º salário (titular)],tabParametros[Código do Posto],tabCustoUnit[[#This Row],[Código do Posto]])</f>
        <v>46.980874999999997</v>
      </c>
      <c r="Z89" s="21">
        <f>tabCustoUnit[[#This Row],[MODULO 1 - REMUNERAÇÃO ]]*SUMIFS(tabParametros[Férias e Adicional de Férias (titular)],tabParametros[Código do Posto],tabCustoUnit[[#This Row],[Código do Posto]])</f>
        <v>62.641166666666663</v>
      </c>
      <c r="AA89" s="21">
        <f>IFERROR((tabCustoUnit[[#This Row],[Submódulo 2.1]]/tabCustoUnit[[#This Row],[MODULO 1 - REMUNERAÇÃO ]])*SUM(tabCustoUnit[[#This Row],[13º salário (titular)]:[Férias e Adicional de Férias (titular)]]),0)</f>
        <v>41.437131749999992</v>
      </c>
      <c r="AB89" s="21">
        <f>SUM(tabCustoUnit[[#This Row],[13º salário (titular)]:[Incidência do Submódulo 2.1 sobre 13º Salário, Férias e Adicional de Férias]])</f>
        <v>151.05917341666665</v>
      </c>
      <c r="AC89" s="22">
        <f>_xlfn.LET(_xlpm.VT,SUMIF(tabParametros[Código do Posto],tabCustoUnit[[#This Row],[Código do Posto]],tabParametros[Vale - Transporte])*2*20,
IF((_xlpm.VT-tabCustoUnit[[#This Row],[Salário Base]]*0.06)&gt;=0,(_xlpm.VT-tabCustoUnit[[#This Row],[Salário Base]]*0.06),0)
)</f>
        <v>223.3492</v>
      </c>
      <c r="AD89" s="22">
        <f>IF(SUMIF(tabParametros[Código do Posto],tabCustoUnit[[#This Row],[Código do Posto]],tabParametros[Vale - Alimentação])&lt;=0,0,
SUMIF(tabParametros[Código do Posto],tabCustoUnit[[#This Row],[Código do Posto]],tabParametros[Vale - Alimentação])*20-1)</f>
        <v>582</v>
      </c>
      <c r="AE89" s="22">
        <f>SUMIF(tabParametros[Código do Posto],tabCustoUnit[[#This Row],[Código do Posto]],tabParametros[Cesta Básica])</f>
        <v>0</v>
      </c>
      <c r="AF89" s="22">
        <f>SUMIF(tabParametros[Código do Posto],tabCustoUnit[[#This Row],[Código do Posto]],tabParametros[PAF])</f>
        <v>0</v>
      </c>
      <c r="AG89" s="22">
        <f>SUMIF(tabParametros[Código do Posto],tabCustoUnit[[#This Row],[Código do Posto]],tabParametros[PQM])</f>
        <v>0</v>
      </c>
      <c r="AH89" s="22">
        <f>SUMIF(tabParametros[Código do Posto],tabCustoUnit[[#This Row],[Código do Posto]],tabParametros[PAT])</f>
        <v>0</v>
      </c>
      <c r="AI89" s="22">
        <f>SUMIF(tabParametros[Código do Posto],tabCustoUnit[[#This Row],[Código do Posto]],tabParametros[Seguro de Vida])</f>
        <v>3.36</v>
      </c>
      <c r="AJ89" s="22">
        <f>SUMIF(tabParametros[Código do Posto],tabCustoUnit[[#This Row],[Código do Posto]],tabParametros[Despesas de Viagem])</f>
        <v>0</v>
      </c>
      <c r="AK89" s="22">
        <f>SUM(tabCustoUnit[[#This Row],[Vale - Transporte (Descontada parcela do empregado)]:[Despesas de Viagem]])</f>
        <v>808.70920000000001</v>
      </c>
      <c r="AL89" s="22">
        <f>tabCustoUnit[[#This Row],[Submódulo 2.1]]+tabCustoUnit[[#This Row],[Submódulo 2.2]]+tabCustoUnit[[#This Row],[Submódulo 2.3]]</f>
        <v>1172.8736224166666</v>
      </c>
      <c r="AM89" s="22">
        <f>SUMIF(tabParametros[Código do Posto],tabCustoUnit[[#This Row],[Código do Posto]],tabParametros[Aviso Prévio Indenizado (API) e Reflexo do Aviso Prévio Indenizado])*tabCustoUnit[[#This Row],[MODULO 1 - REMUNERAÇÃO ]]</f>
        <v>3.9530273735532404</v>
      </c>
      <c r="AN89" s="22">
        <f>SUMIF(tabParametros[Código do Posto],tabCustoUnit[[#This Row],[Código do Posto]],tabParametros[Incidência do FGTS sobre API e Reflexo do API])*tabCustoUnit[[#This Row],[MODULO 1 - REMUNERAÇÃO ]]</f>
        <v>0.31624218988425928</v>
      </c>
      <c r="AO89" s="22">
        <f>SUMIF(tabParametros[Código do Posto],tabCustoUnit[[#This Row],[Código do Posto]],tabParametros[Multa Rescisória do FGTS sobre o Aviso Prévio Indenizado])*tabCustoUnit[[#This Row],[MODULO 1 - REMUNERAÇÃO ]]</f>
        <v>0.12649687595370371</v>
      </c>
      <c r="AP89" s="22">
        <f>SUMIF(tabParametros[Código do Posto],tabCustoUnit[[#This Row],[Código do Posto]],tabParametros[Aviso Prévio Trabalhado - APT])*tabCustoUnit[[#This Row],[MODULO 1 - REMUNERAÇÃO ]]</f>
        <v>1.9731967500000003</v>
      </c>
      <c r="AQ89" s="22">
        <f>SUMIF(tabParametros[Código do Posto],tabCustoUnit[[#This Row],[Código do Posto]],tabParametros[Incidência dos encargos do submódulo 2.1 sobre Aviso Prévio Trabalhado])*tabCustoUnit[[#This Row],[MODULO 1 - REMUNERAÇÃO ]]</f>
        <v>0.74586837150000018</v>
      </c>
      <c r="AR89" s="22">
        <f>SUMIF(tabParametros[Código do Posto],tabCustoUnit[[#This Row],[Código do Posto]],tabParametros[Multa Rescisória do FGTS])*tabCustoUnit[[#This Row],[MODULO 1 - REMUNERAÇÃO ]]</f>
        <v>17.238849066666663</v>
      </c>
      <c r="AS89" s="22">
        <f>SUMIF(tabParametros[Código do Posto],tabCustoUnit[[#This Row],[Código do Posto]],tabParametros[Indenização Adicional (Art. 9º da Lei nº 7.238/84)])*tabCustoUnit[[#This Row],[MODULO 1 - REMUNERAÇÃO ]]</f>
        <v>0.46980875</v>
      </c>
      <c r="AT89" s="22">
        <f>SUM(tabCustoUnit[[#This Row],[Aviso Prévio Indenizado (API) e Reflexo do Aviso Prévio Indenizado]:[Indenização Adicional (Art. 9º da Lei nº 7.238/84)]])</f>
        <v>24.823489377557866</v>
      </c>
      <c r="AU89" s="22">
        <f>SUMIF(tabParametros[Código do Posto],tabCustoUnit[[#This Row],[Código do Posto]],tabParametros[Ausência por Doença])*tabCustoUnit[[#This Row],[MODULO 1 - REMUNERAÇÃO ]]</f>
        <v>4.7607286666666662</v>
      </c>
      <c r="AV89" s="22">
        <f>SUMIF(tabParametros[Código do Posto],tabCustoUnit[[#This Row],[Código do Posto]],tabParametros[Ausências Legais])*tabCustoUnit[[#This Row],[MODULO 1 - REMUNERAÇÃO ]]</f>
        <v>1.1432012916666665</v>
      </c>
      <c r="AW89" s="22">
        <f>SUMIF(tabParametros[Código do Posto],tabCustoUnit[[#This Row],[Código do Posto]],tabParametros[Licença Paternidade])*tabCustoUnit[[#This Row],[MODULO 1 - REMUNERAÇÃO ]]</f>
        <v>9.6310793749999998E-2</v>
      </c>
      <c r="AX89" s="22">
        <f>SUMIF(tabParametros[Código do Posto],tabCustoUnit[[#This Row],[Código do Posto]],tabParametros[Ausência por Acidente de Trabalho])*tabCustoUnit[[#This Row],[MODULO 1 - REMUNERAÇÃO ]]</f>
        <v>0.1174521875</v>
      </c>
      <c r="AY89" s="22">
        <f>SUMIF(tabParametros[Código do Posto],tabCustoUnit[[#This Row],[Código do Posto]],tabParametros[Férias, Adicional de Férias e 13º  com empregada em gozo de Licença Maternidade])*tabCustoUnit[[#This Row],[MODULO 1 - REMUNERAÇÃO ]]</f>
        <v>0.73081361111111109</v>
      </c>
      <c r="AZ89" s="22">
        <f>SUMIF(tabParametros[Código do Posto],tabCustoUnit[[#This Row],[Código do Posto]],tabParametros[Incidência do Submódulo 2.1 sobre Ausências Legais])*tabCustoUnit[[#This Row],[MODULO 1 - REMUNERAÇÃO ]]</f>
        <v>2.5887354761625003</v>
      </c>
      <c r="BA89" s="22">
        <f>SUM(tabCustoUnit[[#This Row],[Ausência por Doença]:[Incidência do Submódulo 2.1 sobre Ausências Legais]])</f>
        <v>9.4372420268569428</v>
      </c>
      <c r="BB89" s="22">
        <f>SUMIF(tabParametros[Código do Posto],tabCustoUnit[[#This Row],[Código do Posto]],tabParametros[Intervalo para Repouso ou Alimentação])</f>
        <v>0</v>
      </c>
      <c r="BC89" s="22">
        <f>tabCustoUnit[[#This Row],[Intervalo para Repouso ou Alimentação]]</f>
        <v>0</v>
      </c>
      <c r="BD89" s="22">
        <f>IF(VLOOKUP(tabCustoUnit[[#This Row],[Código do Posto]],PARAMETROS!$A$4:$BJ$255,7,0)&lt;=0,0,
IFERROR((tabCustoUnit[[#This Row],[MODULO 1 - REMUNERAÇÃO ]]*VLOOKUP(tabCustoUnit[[#This Row],[Código do Posto]],PARAMETROS!$A$4:$BJ$255,49,0))/(VLOOKUP(tabCustoUnit[[#This Row],[Código do Posto]],PARAMETROS!$A$4:$BJ$255,7,0)*VLOOKUP(tabCustoUnit[[#This Row],[Código do Posto]],PARAMETROS!$A$4:$BJ$255,8,0)),0)
)</f>
        <v>0</v>
      </c>
      <c r="BE89" s="22">
        <f>tabCustoUnit[[#This Row],[Suspensão Temporária do Contrato de Trabalho]]</f>
        <v>0</v>
      </c>
      <c r="BF89" s="22">
        <f>tabCustoUnit[[#This Row],[Submódulo 4.1]]+tabCustoUnit[[#This Row],[Submódulo 4.2]]+tabCustoUnit[[#This Row],[Submódulo 4.3]]</f>
        <v>9.4372420268569428</v>
      </c>
      <c r="BG89" s="22">
        <f>VLOOKUP(tabCustoUnit[[#This Row],[Código do Posto]],tabParametros[],MATCH(tabCustoUnit[[#Headers],[Uniformes e EPIs]],tabParametros[#Headers],0),0)</f>
        <v>62.806666666666665</v>
      </c>
      <c r="BH89" s="22">
        <f>VLOOKUP(tabCustoUnit[[#This Row],[Código do Posto]],tabParametros[],MATCH(tabCustoUnit[[#Headers],[Materiais de Consumo]],tabParametros[#Headers],0),0)</f>
        <v>12.108481690426325</v>
      </c>
      <c r="BI89" s="22">
        <f>VLOOKUP(tabCustoUnit[[#This Row],[Código do Posto]],tabParametros[],MATCH(tabCustoUnit[[#Headers],[Máquinas e Equipamentos (depreciação)]],tabParametros[#Headers],0),0)</f>
        <v>21.998657016417809</v>
      </c>
      <c r="BJ89" s="22">
        <f>VLOOKUP(tabCustoUnit[[#This Row],[Código do Posto]],tabParametros[],MATCH(tabCustoUnit[[#Headers],[Produtos de Limpeza e Materiais de Higiene Pessoal]],tabParametros[#Headers],0),0)</f>
        <v>235.31984072022155</v>
      </c>
      <c r="BK89" s="22">
        <f>VLOOKUP(tabCustoUnit[[#This Row],[Código do Posto]],tabParametros[],MATCH(tabCustoUnit[[#Headers],[Outros (especificar)]],tabParametros[#Headers],0),0)</f>
        <v>0</v>
      </c>
      <c r="BL89" s="22">
        <f>SUM(tabCustoUnit[[#This Row],[Uniformes e EPIs]:[Outros (especificar)]])</f>
        <v>332.23364609373232</v>
      </c>
      <c r="BM89" s="22">
        <f>tabCustoUnit[[#This Row],[MODULO 1 - REMUNERAÇÃO ]]+tabCustoUnit[[#This Row],[MÓDULO 2 - Total Encargos e Benefícios mensais e diários]]+tabCustoUnit[[#This Row],[MÓDULO 3 – PROVISÃO PARA RESCISÃO]]+tabCustoUnit[[#This Row],[MÓDULO 4 – CUSTO DE REPOSIÇÃO DO PROFISSIONAL AUSENTE]]+tabCustoUnit[[#This Row],[MÓDULO 5 – INSUMOS DIVERSOS]]</f>
        <v>2103.1384999148136</v>
      </c>
      <c r="BN89" s="22">
        <f>VLOOKUP(tabCustoUnit[[#This Row],[Código do Posto]],tabParametros[],MATCH(tabCustoUnit[[#Headers],[Custos Indiretos]],tabParametros[#Headers],0),0)</f>
        <v>189.64880140242613</v>
      </c>
      <c r="BO89" s="22">
        <f>VLOOKUP(tabCustoUnit[[#This Row],[Código do Posto]],tabParametros[],MATCH(tabCustoUnit[[#Headers],[Lucro]],tabParametros[#Headers],0),0)</f>
        <v>159.30499317803796</v>
      </c>
      <c r="BP89" s="26">
        <f>((100/((1-tabCustoUnit[[#This Row],[Resumo de Alíquotas (PIS+CONFINS+ISS)]]))-100)*VLOOKUP(tabCustoUnit[[#This Row],[Código do Posto]],tabParametros[],MATCH(tabCustoUnit[[#Headers],[COFINS]],tabParametros[#Headers],0),0))/(tabCustoUnit[[#This Row],[Resumo de Alíquotas (PIS+CONFINS+ISS)]]*100)</f>
        <v>8.5633802816901458E-2</v>
      </c>
      <c r="BQ89" s="26">
        <f>((100/((100-(tabCustoUnit[[#This Row],[Resumo de Alíquotas (PIS+CONFINS+ISS)]]*100))%)-100)*VLOOKUP(tabCustoUnit[[#This Row],[Código do Posto]],tabParametros[],MATCH(tabCustoUnit[[#Headers],[PIS]],tabParametros[#Headers],0),0))/(tabCustoUnit[[#This Row],[Resumo de Alíquotas (PIS+CONFINS+ISS)]]*100)</f>
        <v>1.8591549295774657E-2</v>
      </c>
      <c r="BR89" s="28">
        <f>VLOOKUP(tabCustoUnit[[#This Row],[Código do Posto]],tabParametros[],MATCH(tabCustoUnit[[#Headers],[ISS]],tabParametros[#Headers],0),0)</f>
        <v>0.02</v>
      </c>
      <c r="BS89" s="26">
        <f>(((100/((100-(tabCustoUnit[[#This Row],[Resumo de Alíquotas (PIS+CONFINS+ISS)]]*100))%)-100)*tabCustoUnit[[#This Row],[ISS]])/tabCustoUnit[[#This Row],[Resumo de Alíquotas (PIS+CONFINS+ISS)]])/100</f>
        <v>2.2535211267605645E-2</v>
      </c>
      <c r="BT89" s="26">
        <f>(VLOOKUP(tabCustoUnit[[#This Row],[Código do Posto]],tabParametros[],MATCH(tabCustoUnit[[#Headers],[COFINS]],tabParametros[#Headers],0),0)+
VLOOKUP(tabCustoUnit[[#This Row],[Código do Posto]],tabParametros[],MATCH(tabCustoUnit[[#Headers],[PIS]],tabParametros[#Headers],0),0)+
VLOOKUP(tabCustoUnit[[#This Row],[Código do Posto]],tabParametros[],MATCH(tabCustoUnit[[#Headers],[ISS]],tabParametros[#Headers],0),0))</f>
        <v>0.1125</v>
      </c>
      <c r="BU89" s="138">
        <f>tabCustoUnit[[#This Row],[COFINS]]+tabCustoUnit[[#This Row],[PIS]]+tabCustoUnit[[#This Row],[ISS (Conversão Alíquota s/ fatura)]]</f>
        <v>0.12676056338028174</v>
      </c>
      <c r="BV89" s="22">
        <f>(tabCustoUnit[[#This Row],[TOTAL MÓDULOS 1+2+3+4+5]]+tabCustoUnit[[#This Row],[Custos Indiretos]]+tabCustoUnit[[#This Row],[Lucro]])*tabCustoUnit[[#This Row],[PIS + COFINS + ISS (Total Conversão  Alíquota s/ Fatura)]]</f>
        <v>310.82860071066915</v>
      </c>
      <c r="BW89" s="22">
        <f>tabCustoUnit[[#This Row],[Custos Indiretos]]+tabCustoUnit[[#This Row],[Lucro]]+tabCustoUnit[[#This Row],[Valor dos Tributos (ISS, PIS, CONFINS)]]</f>
        <v>659.7823952911333</v>
      </c>
      <c r="BX89" s="22">
        <f>tabCustoUnit[[#This Row],[TOTAL MÓDULOS 1+2+3+4+5]]+tabCustoUnit[[#This Row],[MÓDULO 6 – CUSTOS INDIRETOS, TRIBUTOS E LUCRO]]</f>
        <v>2762.9208952059471</v>
      </c>
      <c r="BY89" s="22">
        <f>tabCustoUnit[[#This Row],[CUSTO TOTAL MENSAL]]*12</f>
        <v>33155.050742471365</v>
      </c>
      <c r="BZ89" s="24">
        <f>VLOOKUP(tabCustoUnit[[#This Row],[Código do Posto]],tabParametros[],MATCH(tabCustoUnit[[#Headers],[ANO DA CCT]],tabParametros[#Headers],0),0)</f>
        <v>45658</v>
      </c>
      <c r="CA89" s="25" t="str">
        <f>VLOOKUP(tabCustoUnit[[#This Row],[Código do Posto]],tabParametros[],MATCH(tabCustoUnit[[#Headers],[Nº DE PEDIDO DA CCT]],tabParametros[#Headers],0),0)</f>
        <v>-</v>
      </c>
      <c r="CB89" s="25" t="str">
        <f>VLOOKUP(tabCustoUnit[[#This Row],[Código do Posto]],tabParametros[],MATCH(tabCustoUnit[[#Headers],[TERMO ADITIVO ALTERAÇÃO DA CCT]],tabParametros[#Headers],0),0)</f>
        <v>-</v>
      </c>
    </row>
    <row r="90" spans="1:80" x14ac:dyDescent="0.25">
      <c r="A90" s="20" t="s">
        <v>1429</v>
      </c>
      <c r="B90" t="s">
        <v>86</v>
      </c>
      <c r="C90" t="s">
        <v>1247</v>
      </c>
      <c r="D90" t="s">
        <v>1023</v>
      </c>
      <c r="E90" s="20" t="s">
        <v>9</v>
      </c>
      <c r="F90" s="20" t="s">
        <v>10</v>
      </c>
      <c r="G90" s="21">
        <v>544.17999999999995</v>
      </c>
      <c r="H90" s="21">
        <v>0</v>
      </c>
      <c r="I90" s="21">
        <v>0</v>
      </c>
      <c r="J90" s="21">
        <v>0</v>
      </c>
      <c r="K90" s="21">
        <v>0</v>
      </c>
      <c r="L90" s="21">
        <v>0</v>
      </c>
      <c r="M90" s="21">
        <v>0</v>
      </c>
      <c r="N90" s="21">
        <v>19.590499999999999</v>
      </c>
      <c r="O90" s="21">
        <f>SUM(tabCustoUnit[[#This Row],[Salário Base]:[Adicional de Acúmulo de função]])</f>
        <v>563.77049999999997</v>
      </c>
      <c r="P90" s="21">
        <f>tabCustoUnit[[#This Row],[MODULO 1 - REMUNERAÇÃO ]]*SUMIFS(tabParametros[INSS],tabParametros[Código do Posto],tabCustoUnit[[#This Row],[Código do Posto]])</f>
        <v>112.75409999999999</v>
      </c>
      <c r="Q90" s="21">
        <f>tabCustoUnit[[#This Row],[MODULO 1 - REMUNERAÇÃO ]]*SUMIFS(tabParametros[SESI OU SESC],tabParametros[Código do Posto],tabCustoUnit[[#This Row],[Código do Posto]])</f>
        <v>8.4565574999999988</v>
      </c>
      <c r="R90" s="21">
        <f>tabCustoUnit[[#This Row],[MODULO 1 - REMUNERAÇÃO ]]*SUMIFS(tabParametros[SENAI OU SENAC],tabParametros[Código do Posto],tabCustoUnit[[#This Row],[Código do Posto]])</f>
        <v>5.6377049999999995</v>
      </c>
      <c r="S90" s="21">
        <f>tabCustoUnit[[#This Row],[MODULO 1 - REMUNERAÇÃO ]]*SUMIFS(tabParametros[INCRA],tabParametros[Código do Posto],tabCustoUnit[[#This Row],[Código do Posto]])</f>
        <v>1.1275409999999999</v>
      </c>
      <c r="T90" s="21">
        <f>tabCustoUnit[[#This Row],[MODULO 1 - REMUNERAÇÃO ]]*SUMIFS(tabParametros[Salário Educação],tabParametros[Código do Posto],tabCustoUnit[[#This Row],[Código do Posto]])</f>
        <v>14.094262499999999</v>
      </c>
      <c r="U90" s="21">
        <f>tabCustoUnit[[#This Row],[MODULO 1 - REMUNERAÇÃO ]]*SUMIFS(tabParametros[FGTS],tabParametros[Código do Posto],tabCustoUnit[[#This Row],[Código do Posto]])</f>
        <v>45.101639999999996</v>
      </c>
      <c r="V90" s="21">
        <f>tabCustoUnit[[#This Row],[MODULO 1 - REMUNERAÇÃO ]]*SUMIFS(tabParametros[RAT Ajustado],tabParametros[Código do Posto],tabCustoUnit[[#This Row],[Código do Posto]])</f>
        <v>22.550819999999998</v>
      </c>
      <c r="W90" s="21">
        <f>tabCustoUnit[[#This Row],[MODULO 1 - REMUNERAÇÃO ]]*SUMIFS(tabParametros[SEBRAE],tabParametros[Código do Posto],tabCustoUnit[[#This Row],[Código do Posto]])</f>
        <v>3.3826229999999997</v>
      </c>
      <c r="X90" s="21">
        <f>SUM(tabCustoUnit[[#This Row],[INSS]:[SEBRAE]])</f>
        <v>213.10524899999996</v>
      </c>
      <c r="Y90" s="21">
        <f>tabCustoUnit[[#This Row],[MODULO 1 - REMUNERAÇÃO ]]*SUMIFS(tabParametros[13º salário (titular)],tabParametros[Código do Posto],tabCustoUnit[[#This Row],[Código do Posto]])</f>
        <v>46.980874999999997</v>
      </c>
      <c r="Z90" s="21">
        <f>tabCustoUnit[[#This Row],[MODULO 1 - REMUNERAÇÃO ]]*SUMIFS(tabParametros[Férias e Adicional de Férias (titular)],tabParametros[Código do Posto],tabCustoUnit[[#This Row],[Código do Posto]])</f>
        <v>62.641166666666663</v>
      </c>
      <c r="AA90" s="21">
        <f>IFERROR((tabCustoUnit[[#This Row],[Submódulo 2.1]]/tabCustoUnit[[#This Row],[MODULO 1 - REMUNERAÇÃO ]])*SUM(tabCustoUnit[[#This Row],[13º salário (titular)]:[Férias e Adicional de Férias (titular)]]),0)</f>
        <v>41.437131749999992</v>
      </c>
      <c r="AB90" s="21">
        <f>SUM(tabCustoUnit[[#This Row],[13º salário (titular)]:[Incidência do Submódulo 2.1 sobre 13º Salário, Férias e Adicional de Férias]])</f>
        <v>151.05917341666665</v>
      </c>
      <c r="AC90" s="22">
        <f>_xlfn.LET(_xlpm.VT,SUMIF(tabParametros[Código do Posto],tabCustoUnit[[#This Row],[Código do Posto]],tabParametros[Vale - Transporte])*2*20,
IF((_xlpm.VT-tabCustoUnit[[#This Row],[Salário Base]]*0.06)&gt;=0,(_xlpm.VT-tabCustoUnit[[#This Row],[Salário Base]]*0.06),0)
)</f>
        <v>223.3492</v>
      </c>
      <c r="AD90" s="22">
        <f>IF(SUMIF(tabParametros[Código do Posto],tabCustoUnit[[#This Row],[Código do Posto]],tabParametros[Vale - Alimentação])&lt;=0,0,
SUMIF(tabParametros[Código do Posto],tabCustoUnit[[#This Row],[Código do Posto]],tabParametros[Vale - Alimentação])*20-1)</f>
        <v>582</v>
      </c>
      <c r="AE90" s="22">
        <f>SUMIF(tabParametros[Código do Posto],tabCustoUnit[[#This Row],[Código do Posto]],tabParametros[Cesta Básica])</f>
        <v>0</v>
      </c>
      <c r="AF90" s="22">
        <f>SUMIF(tabParametros[Código do Posto],tabCustoUnit[[#This Row],[Código do Posto]],tabParametros[PAF])</f>
        <v>0</v>
      </c>
      <c r="AG90" s="22">
        <f>SUMIF(tabParametros[Código do Posto],tabCustoUnit[[#This Row],[Código do Posto]],tabParametros[PQM])</f>
        <v>0</v>
      </c>
      <c r="AH90" s="22">
        <f>SUMIF(tabParametros[Código do Posto],tabCustoUnit[[#This Row],[Código do Posto]],tabParametros[PAT])</f>
        <v>0</v>
      </c>
      <c r="AI90" s="22">
        <f>SUMIF(tabParametros[Código do Posto],tabCustoUnit[[#This Row],[Código do Posto]],tabParametros[Seguro de Vida])</f>
        <v>3.36</v>
      </c>
      <c r="AJ90" s="22">
        <f>SUMIF(tabParametros[Código do Posto],tabCustoUnit[[#This Row],[Código do Posto]],tabParametros[Despesas de Viagem])</f>
        <v>0</v>
      </c>
      <c r="AK90" s="22">
        <f>SUM(tabCustoUnit[[#This Row],[Vale - Transporte (Descontada parcela do empregado)]:[Despesas de Viagem]])</f>
        <v>808.70920000000001</v>
      </c>
      <c r="AL90" s="22">
        <f>tabCustoUnit[[#This Row],[Submódulo 2.1]]+tabCustoUnit[[#This Row],[Submódulo 2.2]]+tabCustoUnit[[#This Row],[Submódulo 2.3]]</f>
        <v>1172.8736224166666</v>
      </c>
      <c r="AM90" s="22">
        <f>SUMIF(tabParametros[Código do Posto],tabCustoUnit[[#This Row],[Código do Posto]],tabParametros[Aviso Prévio Indenizado (API) e Reflexo do Aviso Prévio Indenizado])*tabCustoUnit[[#This Row],[MODULO 1 - REMUNERAÇÃO ]]</f>
        <v>3.9530273735532404</v>
      </c>
      <c r="AN90" s="22">
        <f>SUMIF(tabParametros[Código do Posto],tabCustoUnit[[#This Row],[Código do Posto]],tabParametros[Incidência do FGTS sobre API e Reflexo do API])*tabCustoUnit[[#This Row],[MODULO 1 - REMUNERAÇÃO ]]</f>
        <v>0.31624218988425928</v>
      </c>
      <c r="AO90" s="22">
        <f>SUMIF(tabParametros[Código do Posto],tabCustoUnit[[#This Row],[Código do Posto]],tabParametros[Multa Rescisória do FGTS sobre o Aviso Prévio Indenizado])*tabCustoUnit[[#This Row],[MODULO 1 - REMUNERAÇÃO ]]</f>
        <v>0.12649687595370371</v>
      </c>
      <c r="AP90" s="22">
        <f>SUMIF(tabParametros[Código do Posto],tabCustoUnit[[#This Row],[Código do Posto]],tabParametros[Aviso Prévio Trabalhado - APT])*tabCustoUnit[[#This Row],[MODULO 1 - REMUNERAÇÃO ]]</f>
        <v>1.9731967500000003</v>
      </c>
      <c r="AQ90" s="22">
        <f>SUMIF(tabParametros[Código do Posto],tabCustoUnit[[#This Row],[Código do Posto]],tabParametros[Incidência dos encargos do submódulo 2.1 sobre Aviso Prévio Trabalhado])*tabCustoUnit[[#This Row],[MODULO 1 - REMUNERAÇÃO ]]</f>
        <v>0.74586837150000018</v>
      </c>
      <c r="AR90" s="22">
        <f>SUMIF(tabParametros[Código do Posto],tabCustoUnit[[#This Row],[Código do Posto]],tabParametros[Multa Rescisória do FGTS])*tabCustoUnit[[#This Row],[MODULO 1 - REMUNERAÇÃO ]]</f>
        <v>17.238849066666663</v>
      </c>
      <c r="AS90" s="22">
        <f>SUMIF(tabParametros[Código do Posto],tabCustoUnit[[#This Row],[Código do Posto]],tabParametros[Indenização Adicional (Art. 9º da Lei nº 7.238/84)])*tabCustoUnit[[#This Row],[MODULO 1 - REMUNERAÇÃO ]]</f>
        <v>0.46980875</v>
      </c>
      <c r="AT90" s="22">
        <f>SUM(tabCustoUnit[[#This Row],[Aviso Prévio Indenizado (API) e Reflexo do Aviso Prévio Indenizado]:[Indenização Adicional (Art. 9º da Lei nº 7.238/84)]])</f>
        <v>24.823489377557866</v>
      </c>
      <c r="AU90" s="22">
        <f>SUMIF(tabParametros[Código do Posto],tabCustoUnit[[#This Row],[Código do Posto]],tabParametros[Ausência por Doença])*tabCustoUnit[[#This Row],[MODULO 1 - REMUNERAÇÃO ]]</f>
        <v>4.7607286666666662</v>
      </c>
      <c r="AV90" s="22">
        <f>SUMIF(tabParametros[Código do Posto],tabCustoUnit[[#This Row],[Código do Posto]],tabParametros[Ausências Legais])*tabCustoUnit[[#This Row],[MODULO 1 - REMUNERAÇÃO ]]</f>
        <v>1.1432012916666665</v>
      </c>
      <c r="AW90" s="22">
        <f>SUMIF(tabParametros[Código do Posto],tabCustoUnit[[#This Row],[Código do Posto]],tabParametros[Licença Paternidade])*tabCustoUnit[[#This Row],[MODULO 1 - REMUNERAÇÃO ]]</f>
        <v>9.6310793749999998E-2</v>
      </c>
      <c r="AX90" s="22">
        <f>SUMIF(tabParametros[Código do Posto],tabCustoUnit[[#This Row],[Código do Posto]],tabParametros[Ausência por Acidente de Trabalho])*tabCustoUnit[[#This Row],[MODULO 1 - REMUNERAÇÃO ]]</f>
        <v>0.1174521875</v>
      </c>
      <c r="AY90" s="22">
        <f>SUMIF(tabParametros[Código do Posto],tabCustoUnit[[#This Row],[Código do Posto]],tabParametros[Férias, Adicional de Férias e 13º  com empregada em gozo de Licença Maternidade])*tabCustoUnit[[#This Row],[MODULO 1 - REMUNERAÇÃO ]]</f>
        <v>0.73081361111111109</v>
      </c>
      <c r="AZ90" s="22">
        <f>SUMIF(tabParametros[Código do Posto],tabCustoUnit[[#This Row],[Código do Posto]],tabParametros[Incidência do Submódulo 2.1 sobre Ausências Legais])*tabCustoUnit[[#This Row],[MODULO 1 - REMUNERAÇÃO ]]</f>
        <v>2.5887354761625003</v>
      </c>
      <c r="BA90" s="22">
        <f>SUM(tabCustoUnit[[#This Row],[Ausência por Doença]:[Incidência do Submódulo 2.1 sobre Ausências Legais]])</f>
        <v>9.4372420268569428</v>
      </c>
      <c r="BB90" s="22">
        <f>SUMIF(tabParametros[Código do Posto],tabCustoUnit[[#This Row],[Código do Posto]],tabParametros[Intervalo para Repouso ou Alimentação])</f>
        <v>0</v>
      </c>
      <c r="BC90" s="22">
        <f>tabCustoUnit[[#This Row],[Intervalo para Repouso ou Alimentação]]</f>
        <v>0</v>
      </c>
      <c r="BD90" s="22">
        <f>IF(VLOOKUP(tabCustoUnit[[#This Row],[Código do Posto]],PARAMETROS!$A$4:$BJ$255,7,0)&lt;=0,0,
IFERROR((tabCustoUnit[[#This Row],[MODULO 1 - REMUNERAÇÃO ]]*VLOOKUP(tabCustoUnit[[#This Row],[Código do Posto]],PARAMETROS!$A$4:$BJ$255,49,0))/(VLOOKUP(tabCustoUnit[[#This Row],[Código do Posto]],PARAMETROS!$A$4:$BJ$255,7,0)*VLOOKUP(tabCustoUnit[[#This Row],[Código do Posto]],PARAMETROS!$A$4:$BJ$255,8,0)),0)
)</f>
        <v>0</v>
      </c>
      <c r="BE90" s="22">
        <f>tabCustoUnit[[#This Row],[Suspensão Temporária do Contrato de Trabalho]]</f>
        <v>0</v>
      </c>
      <c r="BF90" s="22">
        <f>tabCustoUnit[[#This Row],[Submódulo 4.1]]+tabCustoUnit[[#This Row],[Submódulo 4.2]]+tabCustoUnit[[#This Row],[Submódulo 4.3]]</f>
        <v>9.4372420268569428</v>
      </c>
      <c r="BG90" s="22">
        <f>VLOOKUP(tabCustoUnit[[#This Row],[Código do Posto]],tabParametros[],MATCH(tabCustoUnit[[#Headers],[Uniformes e EPIs]],tabParametros[#Headers],0),0)</f>
        <v>62.806666666666665</v>
      </c>
      <c r="BH90" s="22">
        <f>VLOOKUP(tabCustoUnit[[#This Row],[Código do Posto]],tabParametros[],MATCH(tabCustoUnit[[#Headers],[Materiais de Consumo]],tabParametros[#Headers],0),0)</f>
        <v>12.108481690426325</v>
      </c>
      <c r="BI90" s="22">
        <f>VLOOKUP(tabCustoUnit[[#This Row],[Código do Posto]],tabParametros[],MATCH(tabCustoUnit[[#Headers],[Máquinas e Equipamentos (depreciação)]],tabParametros[#Headers],0),0)</f>
        <v>21.998657016417809</v>
      </c>
      <c r="BJ90" s="22">
        <f>VLOOKUP(tabCustoUnit[[#This Row],[Código do Posto]],tabParametros[],MATCH(tabCustoUnit[[#Headers],[Produtos de Limpeza e Materiais de Higiene Pessoal]],tabParametros[#Headers],0),0)</f>
        <v>235.31984072022155</v>
      </c>
      <c r="BK90" s="22">
        <f>VLOOKUP(tabCustoUnit[[#This Row],[Código do Posto]],tabParametros[],MATCH(tabCustoUnit[[#Headers],[Outros (especificar)]],tabParametros[#Headers],0),0)</f>
        <v>0</v>
      </c>
      <c r="BL90" s="22">
        <f>SUM(tabCustoUnit[[#This Row],[Uniformes e EPIs]:[Outros (especificar)]])</f>
        <v>332.23364609373232</v>
      </c>
      <c r="BM90" s="22">
        <f>tabCustoUnit[[#This Row],[MODULO 1 - REMUNERAÇÃO ]]+tabCustoUnit[[#This Row],[MÓDULO 2 - Total Encargos e Benefícios mensais e diários]]+tabCustoUnit[[#This Row],[MÓDULO 3 – PROVISÃO PARA RESCISÃO]]+tabCustoUnit[[#This Row],[MÓDULO 4 – CUSTO DE REPOSIÇÃO DO PROFISSIONAL AUSENTE]]+tabCustoUnit[[#This Row],[MÓDULO 5 – INSUMOS DIVERSOS]]</f>
        <v>2103.1384999148136</v>
      </c>
      <c r="BN90" s="22">
        <f>VLOOKUP(tabCustoUnit[[#This Row],[Código do Posto]],tabParametros[],MATCH(tabCustoUnit[[#Headers],[Custos Indiretos]],tabParametros[#Headers],0),0)</f>
        <v>189.64880140242613</v>
      </c>
      <c r="BO90" s="22">
        <f>VLOOKUP(tabCustoUnit[[#This Row],[Código do Posto]],tabParametros[],MATCH(tabCustoUnit[[#Headers],[Lucro]],tabParametros[#Headers],0),0)</f>
        <v>159.30499317803796</v>
      </c>
      <c r="BP90" s="26">
        <f>((100/((1-tabCustoUnit[[#This Row],[Resumo de Alíquotas (PIS+CONFINS+ISS)]]))-100)*VLOOKUP(tabCustoUnit[[#This Row],[Código do Posto]],tabParametros[],MATCH(tabCustoUnit[[#Headers],[COFINS]],tabParametros[#Headers],0),0))/(tabCustoUnit[[#This Row],[Resumo de Alíquotas (PIS+CONFINS+ISS)]]*100)</f>
        <v>8.8629737609329504E-2</v>
      </c>
      <c r="BQ90" s="26">
        <f>((100/((100-(tabCustoUnit[[#This Row],[Resumo de Alíquotas (PIS+CONFINS+ISS)]]*100))%)-100)*VLOOKUP(tabCustoUnit[[#This Row],[Código do Posto]],tabParametros[],MATCH(tabCustoUnit[[#Headers],[PIS]],tabParametros[#Headers],0),0))/(tabCustoUnit[[#This Row],[Resumo de Alíquotas (PIS+CONFINS+ISS)]]*100)</f>
        <v>1.9241982507288629E-2</v>
      </c>
      <c r="BR90" s="28">
        <f>VLOOKUP(tabCustoUnit[[#This Row],[Código do Posto]],tabParametros[],MATCH(tabCustoUnit[[#Headers],[ISS]],tabParametros[#Headers],0),0)</f>
        <v>0.05</v>
      </c>
      <c r="BS90" s="26">
        <f>(((100/((100-(tabCustoUnit[[#This Row],[Resumo de Alíquotas (PIS+CONFINS+ISS)]]*100))%)-100)*tabCustoUnit[[#This Row],[ISS]])/tabCustoUnit[[#This Row],[Resumo de Alíquotas (PIS+CONFINS+ISS)]])/100</f>
        <v>5.8309037900874633E-2</v>
      </c>
      <c r="BT90" s="26">
        <f>(VLOOKUP(tabCustoUnit[[#This Row],[Código do Posto]],tabParametros[],MATCH(tabCustoUnit[[#Headers],[COFINS]],tabParametros[#Headers],0),0)+
VLOOKUP(tabCustoUnit[[#This Row],[Código do Posto]],tabParametros[],MATCH(tabCustoUnit[[#Headers],[PIS]],tabParametros[#Headers],0),0)+
VLOOKUP(tabCustoUnit[[#This Row],[Código do Posto]],tabParametros[],MATCH(tabCustoUnit[[#Headers],[ISS]],tabParametros[#Headers],0),0))</f>
        <v>0.14250000000000002</v>
      </c>
      <c r="BU90" s="138">
        <f>tabCustoUnit[[#This Row],[COFINS]]+tabCustoUnit[[#This Row],[PIS]]+tabCustoUnit[[#This Row],[ISS (Conversão Alíquota s/ fatura)]]</f>
        <v>0.16618075801749277</v>
      </c>
      <c r="BV90" s="22">
        <f>(tabCustoUnit[[#This Row],[TOTAL MÓDULOS 1+2+3+4+5]]+tabCustoUnit[[#This Row],[Custos Indiretos]]+tabCustoUnit[[#This Row],[Lucro]])*tabCustoUnit[[#This Row],[PIS + COFINS + ISS (Total Conversão  Alíquota s/ Fatura)]]</f>
        <v>407.49055622807833</v>
      </c>
      <c r="BW90" s="22">
        <f>tabCustoUnit[[#This Row],[Custos Indiretos]]+tabCustoUnit[[#This Row],[Lucro]]+tabCustoUnit[[#This Row],[Valor dos Tributos (ISS, PIS, CONFINS)]]</f>
        <v>756.44435080854237</v>
      </c>
      <c r="BX90" s="22">
        <f>tabCustoUnit[[#This Row],[TOTAL MÓDULOS 1+2+3+4+5]]+tabCustoUnit[[#This Row],[MÓDULO 6 – CUSTOS INDIRETOS, TRIBUTOS E LUCRO]]</f>
        <v>2859.5828507233559</v>
      </c>
      <c r="BY90" s="22">
        <f>tabCustoUnit[[#This Row],[CUSTO TOTAL MENSAL]]*12</f>
        <v>34314.994208680269</v>
      </c>
      <c r="BZ90" s="24">
        <f>VLOOKUP(tabCustoUnit[[#This Row],[Código do Posto]],tabParametros[],MATCH(tabCustoUnit[[#Headers],[ANO DA CCT]],tabParametros[#Headers],0),0)</f>
        <v>45658</v>
      </c>
      <c r="CA90" s="25" t="str">
        <f>VLOOKUP(tabCustoUnit[[#This Row],[Código do Posto]],tabParametros[],MATCH(tabCustoUnit[[#Headers],[Nº DE PEDIDO DA CCT]],tabParametros[#Headers],0),0)</f>
        <v>-</v>
      </c>
      <c r="CB90" s="25" t="str">
        <f>VLOOKUP(tabCustoUnit[[#This Row],[Código do Posto]],tabParametros[],MATCH(tabCustoUnit[[#Headers],[TERMO ADITIVO ALTERAÇÃO DA CCT]],tabParametros[#Headers],0),0)</f>
        <v>-</v>
      </c>
    </row>
    <row r="91" spans="1:80" x14ac:dyDescent="0.25">
      <c r="A91" s="20" t="s">
        <v>1430</v>
      </c>
      <c r="B91" t="s">
        <v>87</v>
      </c>
      <c r="C91" t="s">
        <v>1247</v>
      </c>
      <c r="D91" t="s">
        <v>1050</v>
      </c>
      <c r="E91" s="20" t="s">
        <v>9</v>
      </c>
      <c r="F91" s="20" t="s">
        <v>10</v>
      </c>
      <c r="G91" s="21">
        <v>544.17999999999995</v>
      </c>
      <c r="H91" s="21">
        <v>0</v>
      </c>
      <c r="I91" s="21">
        <v>0</v>
      </c>
      <c r="J91" s="21">
        <v>0</v>
      </c>
      <c r="K91" s="21">
        <v>0</v>
      </c>
      <c r="L91" s="21">
        <v>0</v>
      </c>
      <c r="M91" s="21">
        <v>0</v>
      </c>
      <c r="N91" s="21">
        <v>19.590499999999999</v>
      </c>
      <c r="O91" s="21">
        <f>SUM(tabCustoUnit[[#This Row],[Salário Base]:[Adicional de Acúmulo de função]])</f>
        <v>563.77049999999997</v>
      </c>
      <c r="P91" s="21">
        <f>tabCustoUnit[[#This Row],[MODULO 1 - REMUNERAÇÃO ]]*SUMIFS(tabParametros[INSS],tabParametros[Código do Posto],tabCustoUnit[[#This Row],[Código do Posto]])</f>
        <v>112.75409999999999</v>
      </c>
      <c r="Q91" s="21">
        <f>tabCustoUnit[[#This Row],[MODULO 1 - REMUNERAÇÃO ]]*SUMIFS(tabParametros[SESI OU SESC],tabParametros[Código do Posto],tabCustoUnit[[#This Row],[Código do Posto]])</f>
        <v>8.4565574999999988</v>
      </c>
      <c r="R91" s="21">
        <f>tabCustoUnit[[#This Row],[MODULO 1 - REMUNERAÇÃO ]]*SUMIFS(tabParametros[SENAI OU SENAC],tabParametros[Código do Posto],tabCustoUnit[[#This Row],[Código do Posto]])</f>
        <v>5.6377049999999995</v>
      </c>
      <c r="S91" s="21">
        <f>tabCustoUnit[[#This Row],[MODULO 1 - REMUNERAÇÃO ]]*SUMIFS(tabParametros[INCRA],tabParametros[Código do Posto],tabCustoUnit[[#This Row],[Código do Posto]])</f>
        <v>1.1275409999999999</v>
      </c>
      <c r="T91" s="21">
        <f>tabCustoUnit[[#This Row],[MODULO 1 - REMUNERAÇÃO ]]*SUMIFS(tabParametros[Salário Educação],tabParametros[Código do Posto],tabCustoUnit[[#This Row],[Código do Posto]])</f>
        <v>14.094262499999999</v>
      </c>
      <c r="U91" s="21">
        <f>tabCustoUnit[[#This Row],[MODULO 1 - REMUNERAÇÃO ]]*SUMIFS(tabParametros[FGTS],tabParametros[Código do Posto],tabCustoUnit[[#This Row],[Código do Posto]])</f>
        <v>45.101639999999996</v>
      </c>
      <c r="V91" s="21">
        <f>tabCustoUnit[[#This Row],[MODULO 1 - REMUNERAÇÃO ]]*SUMIFS(tabParametros[RAT Ajustado],tabParametros[Código do Posto],tabCustoUnit[[#This Row],[Código do Posto]])</f>
        <v>22.550819999999998</v>
      </c>
      <c r="W91" s="21">
        <f>tabCustoUnit[[#This Row],[MODULO 1 - REMUNERAÇÃO ]]*SUMIFS(tabParametros[SEBRAE],tabParametros[Código do Posto],tabCustoUnit[[#This Row],[Código do Posto]])</f>
        <v>3.3826229999999997</v>
      </c>
      <c r="X91" s="21">
        <f>SUM(tabCustoUnit[[#This Row],[INSS]:[SEBRAE]])</f>
        <v>213.10524899999996</v>
      </c>
      <c r="Y91" s="21">
        <f>tabCustoUnit[[#This Row],[MODULO 1 - REMUNERAÇÃO ]]*SUMIFS(tabParametros[13º salário (titular)],tabParametros[Código do Posto],tabCustoUnit[[#This Row],[Código do Posto]])</f>
        <v>46.980874999999997</v>
      </c>
      <c r="Z91" s="21">
        <f>tabCustoUnit[[#This Row],[MODULO 1 - REMUNERAÇÃO ]]*SUMIFS(tabParametros[Férias e Adicional de Férias (titular)],tabParametros[Código do Posto],tabCustoUnit[[#This Row],[Código do Posto]])</f>
        <v>62.641166666666663</v>
      </c>
      <c r="AA91" s="21">
        <f>IFERROR((tabCustoUnit[[#This Row],[Submódulo 2.1]]/tabCustoUnit[[#This Row],[MODULO 1 - REMUNERAÇÃO ]])*SUM(tabCustoUnit[[#This Row],[13º salário (titular)]:[Férias e Adicional de Férias (titular)]]),0)</f>
        <v>41.437131749999992</v>
      </c>
      <c r="AB91" s="21">
        <f>SUM(tabCustoUnit[[#This Row],[13º salário (titular)]:[Incidência do Submódulo 2.1 sobre 13º Salário, Férias e Adicional de Férias]])</f>
        <v>151.05917341666665</v>
      </c>
      <c r="AC91" s="22">
        <f>_xlfn.LET(_xlpm.VT,SUMIF(tabParametros[Código do Posto],tabCustoUnit[[#This Row],[Código do Posto]],tabParametros[Vale - Transporte])*2*20,
IF((_xlpm.VT-tabCustoUnit[[#This Row],[Salário Base]]*0.06)&gt;=0,(_xlpm.VT-tabCustoUnit[[#This Row],[Salário Base]]*0.06),0)
)</f>
        <v>223.3492</v>
      </c>
      <c r="AD91" s="22">
        <f>IF(SUMIF(tabParametros[Código do Posto],tabCustoUnit[[#This Row],[Código do Posto]],tabParametros[Vale - Alimentação])&lt;=0,0,
SUMIF(tabParametros[Código do Posto],tabCustoUnit[[#This Row],[Código do Posto]],tabParametros[Vale - Alimentação])*20-1)</f>
        <v>582</v>
      </c>
      <c r="AE91" s="22">
        <f>SUMIF(tabParametros[Código do Posto],tabCustoUnit[[#This Row],[Código do Posto]],tabParametros[Cesta Básica])</f>
        <v>0</v>
      </c>
      <c r="AF91" s="22">
        <f>SUMIF(tabParametros[Código do Posto],tabCustoUnit[[#This Row],[Código do Posto]],tabParametros[PAF])</f>
        <v>51.86</v>
      </c>
      <c r="AG91" s="22">
        <f>SUMIF(tabParametros[Código do Posto],tabCustoUnit[[#This Row],[Código do Posto]],tabParametros[PQM])</f>
        <v>0</v>
      </c>
      <c r="AH91" s="22">
        <f>SUMIF(tabParametros[Código do Posto],tabCustoUnit[[#This Row],[Código do Posto]],tabParametros[PAT])</f>
        <v>0</v>
      </c>
      <c r="AI91" s="22">
        <f>SUMIF(tabParametros[Código do Posto],tabCustoUnit[[#This Row],[Código do Posto]],tabParametros[Seguro de Vida])</f>
        <v>3.36</v>
      </c>
      <c r="AJ91" s="22">
        <f>SUMIF(tabParametros[Código do Posto],tabCustoUnit[[#This Row],[Código do Posto]],tabParametros[Despesas de Viagem])</f>
        <v>0</v>
      </c>
      <c r="AK91" s="22">
        <f>SUM(tabCustoUnit[[#This Row],[Vale - Transporte (Descontada parcela do empregado)]:[Despesas de Viagem]])</f>
        <v>860.56920000000002</v>
      </c>
      <c r="AL91" s="22">
        <f>tabCustoUnit[[#This Row],[Submódulo 2.1]]+tabCustoUnit[[#This Row],[Submódulo 2.2]]+tabCustoUnit[[#This Row],[Submódulo 2.3]]</f>
        <v>1224.7336224166665</v>
      </c>
      <c r="AM91" s="22">
        <f>SUMIF(tabParametros[Código do Posto],tabCustoUnit[[#This Row],[Código do Posto]],tabParametros[Aviso Prévio Indenizado (API) e Reflexo do Aviso Prévio Indenizado])*tabCustoUnit[[#This Row],[MODULO 1 - REMUNERAÇÃO ]]</f>
        <v>3.9530273735532404</v>
      </c>
      <c r="AN91" s="22">
        <f>SUMIF(tabParametros[Código do Posto],tabCustoUnit[[#This Row],[Código do Posto]],tabParametros[Incidência do FGTS sobre API e Reflexo do API])*tabCustoUnit[[#This Row],[MODULO 1 - REMUNERAÇÃO ]]</f>
        <v>0.31624218988425928</v>
      </c>
      <c r="AO91" s="22">
        <f>SUMIF(tabParametros[Código do Posto],tabCustoUnit[[#This Row],[Código do Posto]],tabParametros[Multa Rescisória do FGTS sobre o Aviso Prévio Indenizado])*tabCustoUnit[[#This Row],[MODULO 1 - REMUNERAÇÃO ]]</f>
        <v>0.12649687595370371</v>
      </c>
      <c r="AP91" s="22">
        <f>SUMIF(tabParametros[Código do Posto],tabCustoUnit[[#This Row],[Código do Posto]],tabParametros[Aviso Prévio Trabalhado - APT])*tabCustoUnit[[#This Row],[MODULO 1 - REMUNERAÇÃO ]]</f>
        <v>1.9731967500000003</v>
      </c>
      <c r="AQ91" s="22">
        <f>SUMIF(tabParametros[Código do Posto],tabCustoUnit[[#This Row],[Código do Posto]],tabParametros[Incidência dos encargos do submódulo 2.1 sobre Aviso Prévio Trabalhado])*tabCustoUnit[[#This Row],[MODULO 1 - REMUNERAÇÃO ]]</f>
        <v>0.74586837150000018</v>
      </c>
      <c r="AR91" s="22">
        <f>SUMIF(tabParametros[Código do Posto],tabCustoUnit[[#This Row],[Código do Posto]],tabParametros[Multa Rescisória do FGTS])*tabCustoUnit[[#This Row],[MODULO 1 - REMUNERAÇÃO ]]</f>
        <v>17.238849066666663</v>
      </c>
      <c r="AS91" s="22">
        <f>SUMIF(tabParametros[Código do Posto],tabCustoUnit[[#This Row],[Código do Posto]],tabParametros[Indenização Adicional (Art. 9º da Lei nº 7.238/84)])*tabCustoUnit[[#This Row],[MODULO 1 - REMUNERAÇÃO ]]</f>
        <v>0.46980875</v>
      </c>
      <c r="AT91" s="22">
        <f>SUM(tabCustoUnit[[#This Row],[Aviso Prévio Indenizado (API) e Reflexo do Aviso Prévio Indenizado]:[Indenização Adicional (Art. 9º da Lei nº 7.238/84)]])</f>
        <v>24.823489377557866</v>
      </c>
      <c r="AU91" s="22">
        <f>SUMIF(tabParametros[Código do Posto],tabCustoUnit[[#This Row],[Código do Posto]],tabParametros[Ausência por Doença])*tabCustoUnit[[#This Row],[MODULO 1 - REMUNERAÇÃO ]]</f>
        <v>4.7607286666666662</v>
      </c>
      <c r="AV91" s="22">
        <f>SUMIF(tabParametros[Código do Posto],tabCustoUnit[[#This Row],[Código do Posto]],tabParametros[Ausências Legais])*tabCustoUnit[[#This Row],[MODULO 1 - REMUNERAÇÃO ]]</f>
        <v>1.1432012916666665</v>
      </c>
      <c r="AW91" s="22">
        <f>SUMIF(tabParametros[Código do Posto],tabCustoUnit[[#This Row],[Código do Posto]],tabParametros[Licença Paternidade])*tabCustoUnit[[#This Row],[MODULO 1 - REMUNERAÇÃO ]]</f>
        <v>9.6310793749999998E-2</v>
      </c>
      <c r="AX91" s="22">
        <f>SUMIF(tabParametros[Código do Posto],tabCustoUnit[[#This Row],[Código do Posto]],tabParametros[Ausência por Acidente de Trabalho])*tabCustoUnit[[#This Row],[MODULO 1 - REMUNERAÇÃO ]]</f>
        <v>0.1174521875</v>
      </c>
      <c r="AY91" s="22">
        <f>SUMIF(tabParametros[Código do Posto],tabCustoUnit[[#This Row],[Código do Posto]],tabParametros[Férias, Adicional de Férias e 13º  com empregada em gozo de Licença Maternidade])*tabCustoUnit[[#This Row],[MODULO 1 - REMUNERAÇÃO ]]</f>
        <v>0.73081361111111109</v>
      </c>
      <c r="AZ91" s="22">
        <f>SUMIF(tabParametros[Código do Posto],tabCustoUnit[[#This Row],[Código do Posto]],tabParametros[Incidência do Submódulo 2.1 sobre Ausências Legais])*tabCustoUnit[[#This Row],[MODULO 1 - REMUNERAÇÃO ]]</f>
        <v>2.5887354761625003</v>
      </c>
      <c r="BA91" s="22">
        <f>SUM(tabCustoUnit[[#This Row],[Ausência por Doença]:[Incidência do Submódulo 2.1 sobre Ausências Legais]])</f>
        <v>9.4372420268569428</v>
      </c>
      <c r="BB91" s="22">
        <f>SUMIF(tabParametros[Código do Posto],tabCustoUnit[[#This Row],[Código do Posto]],tabParametros[Intervalo para Repouso ou Alimentação])</f>
        <v>0</v>
      </c>
      <c r="BC91" s="22">
        <f>tabCustoUnit[[#This Row],[Intervalo para Repouso ou Alimentação]]</f>
        <v>0</v>
      </c>
      <c r="BD91" s="22">
        <f>IF(VLOOKUP(tabCustoUnit[[#This Row],[Código do Posto]],PARAMETROS!$A$4:$BJ$255,7,0)&lt;=0,0,
IFERROR((tabCustoUnit[[#This Row],[MODULO 1 - REMUNERAÇÃO ]]*VLOOKUP(tabCustoUnit[[#This Row],[Código do Posto]],PARAMETROS!$A$4:$BJ$255,49,0))/(VLOOKUP(tabCustoUnit[[#This Row],[Código do Posto]],PARAMETROS!$A$4:$BJ$255,7,0)*VLOOKUP(tabCustoUnit[[#This Row],[Código do Posto]],PARAMETROS!$A$4:$BJ$255,8,0)),0)
)</f>
        <v>0</v>
      </c>
      <c r="BE91" s="22">
        <f>tabCustoUnit[[#This Row],[Suspensão Temporária do Contrato de Trabalho]]</f>
        <v>0</v>
      </c>
      <c r="BF91" s="22">
        <f>tabCustoUnit[[#This Row],[Submódulo 4.1]]+tabCustoUnit[[#This Row],[Submódulo 4.2]]+tabCustoUnit[[#This Row],[Submódulo 4.3]]</f>
        <v>9.4372420268569428</v>
      </c>
      <c r="BG91" s="22">
        <f>VLOOKUP(tabCustoUnit[[#This Row],[Código do Posto]],tabParametros[],MATCH(tabCustoUnit[[#Headers],[Uniformes e EPIs]],tabParametros[#Headers],0),0)</f>
        <v>62.806666666666665</v>
      </c>
      <c r="BH91" s="22">
        <f>VLOOKUP(tabCustoUnit[[#This Row],[Código do Posto]],tabParametros[],MATCH(tabCustoUnit[[#Headers],[Materiais de Consumo]],tabParametros[#Headers],0),0)</f>
        <v>12.108481690426325</v>
      </c>
      <c r="BI91" s="22">
        <f>VLOOKUP(tabCustoUnit[[#This Row],[Código do Posto]],tabParametros[],MATCH(tabCustoUnit[[#Headers],[Máquinas e Equipamentos (depreciação)]],tabParametros[#Headers],0),0)</f>
        <v>21.998657016417809</v>
      </c>
      <c r="BJ91" s="22">
        <f>VLOOKUP(tabCustoUnit[[#This Row],[Código do Posto]],tabParametros[],MATCH(tabCustoUnit[[#Headers],[Produtos de Limpeza e Materiais de Higiene Pessoal]],tabParametros[#Headers],0),0)</f>
        <v>235.31984072022155</v>
      </c>
      <c r="BK91" s="22">
        <f>VLOOKUP(tabCustoUnit[[#This Row],[Código do Posto]],tabParametros[],MATCH(tabCustoUnit[[#Headers],[Outros (especificar)]],tabParametros[#Headers],0),0)</f>
        <v>0</v>
      </c>
      <c r="BL91" s="22">
        <f>SUM(tabCustoUnit[[#This Row],[Uniformes e EPIs]:[Outros (especificar)]])</f>
        <v>332.23364609373232</v>
      </c>
      <c r="BM91" s="22">
        <f>tabCustoUnit[[#This Row],[MODULO 1 - REMUNERAÇÃO ]]+tabCustoUnit[[#This Row],[MÓDULO 2 - Total Encargos e Benefícios mensais e diários]]+tabCustoUnit[[#This Row],[MÓDULO 3 – PROVISÃO PARA RESCISÃO]]+tabCustoUnit[[#This Row],[MÓDULO 4 – CUSTO DE REPOSIÇÃO DO PROFISSIONAL AUSENTE]]+tabCustoUnit[[#This Row],[MÓDULO 5 – INSUMOS DIVERSOS]]</f>
        <v>2154.9984999148137</v>
      </c>
      <c r="BN91" s="22">
        <f>VLOOKUP(tabCustoUnit[[#This Row],[Código do Posto]],tabParametros[],MATCH(tabCustoUnit[[#Headers],[Custos Indiretos]],tabParametros[#Headers],0),0)</f>
        <v>189.64880140242613</v>
      </c>
      <c r="BO91" s="22">
        <f>VLOOKUP(tabCustoUnit[[#This Row],[Código do Posto]],tabParametros[],MATCH(tabCustoUnit[[#Headers],[Lucro]],tabParametros[#Headers],0),0)</f>
        <v>159.30499317803796</v>
      </c>
      <c r="BP91" s="26">
        <f>((100/((1-tabCustoUnit[[#This Row],[Resumo de Alíquotas (PIS+CONFINS+ISS)]]))-100)*VLOOKUP(tabCustoUnit[[#This Row],[Código do Posto]],tabParametros[],MATCH(tabCustoUnit[[#Headers],[COFINS]],tabParametros[#Headers],0),0))/(tabCustoUnit[[#This Row],[Resumo de Alíquotas (PIS+CONFINS+ISS)]]*100)</f>
        <v>8.6609686609686695E-2</v>
      </c>
      <c r="BQ91" s="26">
        <f>((100/((100-(tabCustoUnit[[#This Row],[Resumo de Alíquotas (PIS+CONFINS+ISS)]]*100))%)-100)*VLOOKUP(tabCustoUnit[[#This Row],[Código do Posto]],tabParametros[],MATCH(tabCustoUnit[[#Headers],[PIS]],tabParametros[#Headers],0),0))/(tabCustoUnit[[#This Row],[Resumo de Alíquotas (PIS+CONFINS+ISS)]]*100)</f>
        <v>1.880341880341882E-2</v>
      </c>
      <c r="BR91" s="28">
        <f>VLOOKUP(tabCustoUnit[[#This Row],[Código do Posto]],tabParametros[],MATCH(tabCustoUnit[[#Headers],[ISS]],tabParametros[#Headers],0),0)</f>
        <v>0.03</v>
      </c>
      <c r="BS91" s="26">
        <f>(((100/((100-(tabCustoUnit[[#This Row],[Resumo de Alíquotas (PIS+CONFINS+ISS)]]*100))%)-100)*tabCustoUnit[[#This Row],[ISS]])/tabCustoUnit[[#This Row],[Resumo de Alíquotas (PIS+CONFINS+ISS)]])/100</f>
        <v>3.4188034188034219E-2</v>
      </c>
      <c r="BT91" s="26">
        <f>(VLOOKUP(tabCustoUnit[[#This Row],[Código do Posto]],tabParametros[],MATCH(tabCustoUnit[[#Headers],[COFINS]],tabParametros[#Headers],0),0)+
VLOOKUP(tabCustoUnit[[#This Row],[Código do Posto]],tabParametros[],MATCH(tabCustoUnit[[#Headers],[PIS]],tabParametros[#Headers],0),0)+
VLOOKUP(tabCustoUnit[[#This Row],[Código do Posto]],tabParametros[],MATCH(tabCustoUnit[[#Headers],[ISS]],tabParametros[#Headers],0),0))</f>
        <v>0.1225</v>
      </c>
      <c r="BU91" s="138">
        <f>tabCustoUnit[[#This Row],[COFINS]]+tabCustoUnit[[#This Row],[PIS]]+tabCustoUnit[[#This Row],[ISS (Conversão Alíquota s/ fatura)]]</f>
        <v>0.13960113960113973</v>
      </c>
      <c r="BV91" s="22">
        <f>(tabCustoUnit[[#This Row],[TOTAL MÓDULOS 1+2+3+4+5]]+tabCustoUnit[[#This Row],[Custos Indiretos]]+tabCustoUnit[[#This Row],[Lucro]])*tabCustoUnit[[#This Row],[PIS + COFINS + ISS (Total Conversão  Alíquota s/ Fatura)]]</f>
        <v>349.55459381842945</v>
      </c>
      <c r="BW91" s="22">
        <f>tabCustoUnit[[#This Row],[Custos Indiretos]]+tabCustoUnit[[#This Row],[Lucro]]+tabCustoUnit[[#This Row],[Valor dos Tributos (ISS, PIS, CONFINS)]]</f>
        <v>698.50838839889354</v>
      </c>
      <c r="BX91" s="22">
        <f>tabCustoUnit[[#This Row],[TOTAL MÓDULOS 1+2+3+4+5]]+tabCustoUnit[[#This Row],[MÓDULO 6 – CUSTOS INDIRETOS, TRIBUTOS E LUCRO]]</f>
        <v>2853.5068883137073</v>
      </c>
      <c r="BY91" s="22">
        <f>tabCustoUnit[[#This Row],[CUSTO TOTAL MENSAL]]*12</f>
        <v>34242.082659764492</v>
      </c>
      <c r="BZ91" s="24">
        <f>VLOOKUP(tabCustoUnit[[#This Row],[Código do Posto]],tabParametros[],MATCH(tabCustoUnit[[#Headers],[ANO DA CCT]],tabParametros[#Headers],0),0)</f>
        <v>45658</v>
      </c>
      <c r="CA91" s="25" t="str">
        <f>VLOOKUP(tabCustoUnit[[#This Row],[Código do Posto]],tabParametros[],MATCH(tabCustoUnit[[#Headers],[Nº DE PEDIDO DA CCT]],tabParametros[#Headers],0),0)</f>
        <v>-</v>
      </c>
      <c r="CB91" s="25" t="str">
        <f>VLOOKUP(tabCustoUnit[[#This Row],[Código do Posto]],tabParametros[],MATCH(tabCustoUnit[[#Headers],[TERMO ADITIVO ALTERAÇÃO DA CCT]],tabParametros[#Headers],0),0)</f>
        <v>-</v>
      </c>
    </row>
    <row r="92" spans="1:80" x14ac:dyDescent="0.25">
      <c r="A92" s="20" t="s">
        <v>1431</v>
      </c>
      <c r="B92" t="s">
        <v>88</v>
      </c>
      <c r="C92" t="s">
        <v>1244</v>
      </c>
      <c r="D92" t="s">
        <v>1002</v>
      </c>
      <c r="E92" s="20" t="s">
        <v>9</v>
      </c>
      <c r="F92" s="20" t="s">
        <v>10</v>
      </c>
      <c r="G92" s="21">
        <v>824.56</v>
      </c>
      <c r="H92" s="21">
        <v>0</v>
      </c>
      <c r="I92" s="21">
        <v>0</v>
      </c>
      <c r="J92" s="21">
        <v>0</v>
      </c>
      <c r="K92" s="21">
        <v>0</v>
      </c>
      <c r="L92" s="21">
        <v>0</v>
      </c>
      <c r="M92" s="21">
        <v>0</v>
      </c>
      <c r="N92" s="21">
        <v>26.985600000000002</v>
      </c>
      <c r="O92" s="21">
        <f>SUM(tabCustoUnit[[#This Row],[Salário Base]:[Adicional de Acúmulo de função]])</f>
        <v>851.54559999999992</v>
      </c>
      <c r="P92" s="21">
        <f>tabCustoUnit[[#This Row],[MODULO 1 - REMUNERAÇÃO ]]*SUMIFS(tabParametros[INSS],tabParametros[Código do Posto],tabCustoUnit[[#This Row],[Código do Posto]])</f>
        <v>170.30912000000001</v>
      </c>
      <c r="Q92" s="21">
        <f>tabCustoUnit[[#This Row],[MODULO 1 - REMUNERAÇÃO ]]*SUMIFS(tabParametros[SESI OU SESC],tabParametros[Código do Posto],tabCustoUnit[[#This Row],[Código do Posto]])</f>
        <v>12.773183999999999</v>
      </c>
      <c r="R92" s="21">
        <f>tabCustoUnit[[#This Row],[MODULO 1 - REMUNERAÇÃO ]]*SUMIFS(tabParametros[SENAI OU SENAC],tabParametros[Código do Posto],tabCustoUnit[[#This Row],[Código do Posto]])</f>
        <v>8.5154559999999986</v>
      </c>
      <c r="S92" s="21">
        <f>tabCustoUnit[[#This Row],[MODULO 1 - REMUNERAÇÃO ]]*SUMIFS(tabParametros[INCRA],tabParametros[Código do Posto],tabCustoUnit[[#This Row],[Código do Posto]])</f>
        <v>1.7030911999999998</v>
      </c>
      <c r="T92" s="21">
        <f>tabCustoUnit[[#This Row],[MODULO 1 - REMUNERAÇÃO ]]*SUMIFS(tabParametros[Salário Educação],tabParametros[Código do Posto],tabCustoUnit[[#This Row],[Código do Posto]])</f>
        <v>21.288640000000001</v>
      </c>
      <c r="U92" s="21">
        <f>tabCustoUnit[[#This Row],[MODULO 1 - REMUNERAÇÃO ]]*SUMIFS(tabParametros[FGTS],tabParametros[Código do Posto],tabCustoUnit[[#This Row],[Código do Posto]])</f>
        <v>68.123647999999989</v>
      </c>
      <c r="V92" s="21">
        <f>tabCustoUnit[[#This Row],[MODULO 1 - REMUNERAÇÃO ]]*SUMIFS(tabParametros[RAT Ajustado],tabParametros[Código do Posto],tabCustoUnit[[#This Row],[Código do Posto]])</f>
        <v>34.061823999999994</v>
      </c>
      <c r="W92" s="21">
        <f>tabCustoUnit[[#This Row],[MODULO 1 - REMUNERAÇÃO ]]*SUMIFS(tabParametros[SEBRAE],tabParametros[Código do Posto],tabCustoUnit[[#This Row],[Código do Posto]])</f>
        <v>5.1092735999999999</v>
      </c>
      <c r="X92" s="21">
        <f>SUM(tabCustoUnit[[#This Row],[INSS]:[SEBRAE]])</f>
        <v>321.8842368</v>
      </c>
      <c r="Y92" s="21">
        <f>tabCustoUnit[[#This Row],[MODULO 1 - REMUNERAÇÃO ]]*SUMIFS(tabParametros[13º salário (titular)],tabParametros[Código do Posto],tabCustoUnit[[#This Row],[Código do Posto]])</f>
        <v>70.962133333333327</v>
      </c>
      <c r="Z92" s="21">
        <f>tabCustoUnit[[#This Row],[MODULO 1 - REMUNERAÇÃO ]]*SUMIFS(tabParametros[Férias e Adicional de Férias (titular)],tabParametros[Código do Posto],tabCustoUnit[[#This Row],[Código do Posto]])</f>
        <v>94.616177777777764</v>
      </c>
      <c r="AA92" s="21">
        <f>IFERROR((tabCustoUnit[[#This Row],[Submódulo 2.1]]/tabCustoUnit[[#This Row],[MODULO 1 - REMUNERAÇÃO ]])*SUM(tabCustoUnit[[#This Row],[13º salário (titular)]:[Férias e Adicional de Férias (titular)]]),0)</f>
        <v>62.588601599999997</v>
      </c>
      <c r="AB92" s="21">
        <f>SUM(tabCustoUnit[[#This Row],[13º salário (titular)]:[Incidência do Submódulo 2.1 sobre 13º Salário, Férias e Adicional de Férias]])</f>
        <v>228.16691271111108</v>
      </c>
      <c r="AC92" s="22">
        <f>_xlfn.LET(_xlpm.VT,SUMIF(tabParametros[Código do Posto],tabCustoUnit[[#This Row],[Código do Posto]],tabParametros[Vale - Transporte])*2*20,
IF((_xlpm.VT-tabCustoUnit[[#This Row],[Salário Base]]*0.06)&gt;=0,(_xlpm.VT-tabCustoUnit[[#This Row],[Salário Base]]*0.06),0)
)</f>
        <v>206.5264</v>
      </c>
      <c r="AD92" s="22">
        <f>IF(SUMIF(tabParametros[Código do Posto],tabCustoUnit[[#This Row],[Código do Posto]],tabParametros[Vale - Alimentação])&lt;=0,0,
SUMIF(tabParametros[Código do Posto],tabCustoUnit[[#This Row],[Código do Posto]],tabParametros[Vale - Alimentação])*20-1)</f>
        <v>582</v>
      </c>
      <c r="AE92" s="22">
        <f>SUMIF(tabParametros[Código do Posto],tabCustoUnit[[#This Row],[Código do Posto]],tabParametros[Cesta Básica])</f>
        <v>0</v>
      </c>
      <c r="AF92" s="22">
        <f>SUMIF(tabParametros[Código do Posto],tabCustoUnit[[#This Row],[Código do Posto]],tabParametros[PAF])</f>
        <v>0</v>
      </c>
      <c r="AG92" s="22">
        <f>SUMIF(tabParametros[Código do Posto],tabCustoUnit[[#This Row],[Código do Posto]],tabParametros[PQM])</f>
        <v>15.07</v>
      </c>
      <c r="AH92" s="22">
        <f>SUMIF(tabParametros[Código do Posto],tabCustoUnit[[#This Row],[Código do Posto]],tabParametros[PAT])</f>
        <v>0</v>
      </c>
      <c r="AI92" s="22">
        <f>SUMIF(tabParametros[Código do Posto],tabCustoUnit[[#This Row],[Código do Posto]],tabParametros[Seguro de Vida])</f>
        <v>3.36</v>
      </c>
      <c r="AJ92" s="22">
        <f>SUMIF(tabParametros[Código do Posto],tabCustoUnit[[#This Row],[Código do Posto]],tabParametros[Despesas de Viagem])</f>
        <v>0</v>
      </c>
      <c r="AK92" s="22">
        <f>SUM(tabCustoUnit[[#This Row],[Vale - Transporte (Descontada parcela do empregado)]:[Despesas de Viagem]])</f>
        <v>806.95640000000003</v>
      </c>
      <c r="AL92" s="22">
        <f>tabCustoUnit[[#This Row],[Submódulo 2.1]]+tabCustoUnit[[#This Row],[Submódulo 2.2]]+tabCustoUnit[[#This Row],[Submódulo 2.3]]</f>
        <v>1357.0075495111112</v>
      </c>
      <c r="AM92" s="22">
        <f>SUMIF(tabParametros[Código do Posto],tabCustoUnit[[#This Row],[Código do Posto]],tabParametros[Aviso Prévio Indenizado (API) e Reflexo do Aviso Prévio Indenizado])*tabCustoUnit[[#This Row],[MODULO 1 - REMUNERAÇÃO ]]</f>
        <v>5.970839316049382</v>
      </c>
      <c r="AN92" s="22">
        <f>SUMIF(tabParametros[Código do Posto],tabCustoUnit[[#This Row],[Código do Posto]],tabParametros[Incidência do FGTS sobre API e Reflexo do API])*tabCustoUnit[[#This Row],[MODULO 1 - REMUNERAÇÃO ]]</f>
        <v>0.4776671452839506</v>
      </c>
      <c r="AO92" s="22">
        <f>SUMIF(tabParametros[Código do Posto],tabCustoUnit[[#This Row],[Código do Posto]],tabParametros[Multa Rescisória do FGTS sobre o Aviso Prévio Indenizado])*tabCustoUnit[[#This Row],[MODULO 1 - REMUNERAÇÃO ]]</f>
        <v>0.19106685811358026</v>
      </c>
      <c r="AP92" s="22">
        <f>SUMIF(tabParametros[Código do Posto],tabCustoUnit[[#This Row],[Código do Posto]],tabParametros[Aviso Prévio Trabalhado - APT])*tabCustoUnit[[#This Row],[MODULO 1 - REMUNERAÇÃO ]]</f>
        <v>2.9804096000000002</v>
      </c>
      <c r="AQ92" s="22">
        <f>SUMIF(tabParametros[Código do Posto],tabCustoUnit[[#This Row],[Código do Posto]],tabParametros[Incidência dos encargos do submódulo 2.1 sobre Aviso Prévio Trabalhado])*tabCustoUnit[[#This Row],[MODULO 1 - REMUNERAÇÃO ]]</f>
        <v>1.1265948288000003</v>
      </c>
      <c r="AR92" s="22">
        <f>SUMIF(tabParametros[Código do Posto],tabCustoUnit[[#This Row],[Código do Posto]],tabParametros[Multa Rescisória do FGTS])*tabCustoUnit[[#This Row],[MODULO 1 - REMUNERAÇÃO ]]</f>
        <v>26.038372124444439</v>
      </c>
      <c r="AS92" s="22">
        <f>SUMIF(tabParametros[Código do Posto],tabCustoUnit[[#This Row],[Código do Posto]],tabParametros[Indenização Adicional (Art. 9º da Lei nº 7.238/84)])*tabCustoUnit[[#This Row],[MODULO 1 - REMUNERAÇÃO ]]</f>
        <v>0.70962133333333333</v>
      </c>
      <c r="AT92" s="22">
        <f>SUM(tabCustoUnit[[#This Row],[Aviso Prévio Indenizado (API) e Reflexo do Aviso Prévio Indenizado]:[Indenização Adicional (Art. 9º da Lei nº 7.238/84)]])</f>
        <v>37.494571206024688</v>
      </c>
      <c r="AU92" s="22">
        <f>SUMIF(tabParametros[Código do Posto],tabCustoUnit[[#This Row],[Código do Posto]],tabParametros[Ausência por Doença])*tabCustoUnit[[#This Row],[MODULO 1 - REMUNERAÇÃO ]]</f>
        <v>7.1908295111111098</v>
      </c>
      <c r="AV92" s="22">
        <f>SUMIF(tabParametros[Código do Posto],tabCustoUnit[[#This Row],[Código do Posto]],tabParametros[Ausências Legais])*tabCustoUnit[[#This Row],[MODULO 1 - REMUNERAÇÃO ]]</f>
        <v>1.7267452444444442</v>
      </c>
      <c r="AW92" s="22">
        <f>SUMIF(tabParametros[Código do Posto],tabCustoUnit[[#This Row],[Código do Posto]],tabParametros[Licença Paternidade])*tabCustoUnit[[#This Row],[MODULO 1 - REMUNERAÇÃO ]]</f>
        <v>0.14547237333333332</v>
      </c>
      <c r="AX92" s="22">
        <f>SUMIF(tabParametros[Código do Posto],tabCustoUnit[[#This Row],[Código do Posto]],tabParametros[Ausência por Acidente de Trabalho])*tabCustoUnit[[#This Row],[MODULO 1 - REMUNERAÇÃO ]]</f>
        <v>0.17740533333333333</v>
      </c>
      <c r="AY92" s="22">
        <f>SUMIF(tabParametros[Código do Posto],tabCustoUnit[[#This Row],[Código do Posto]],tabParametros[Férias, Adicional de Férias e 13º  com empregada em gozo de Licença Maternidade])*tabCustoUnit[[#This Row],[MODULO 1 - REMUNERAÇÃO ]]</f>
        <v>1.1038554074074072</v>
      </c>
      <c r="AZ92" s="22">
        <f>SUMIF(tabParametros[Código do Posto],tabCustoUnit[[#This Row],[Código do Posto]],tabParametros[Incidência do Submódulo 2.1 sobre Ausências Legais])*tabCustoUnit[[#This Row],[MODULO 1 - REMUNERAÇÃO ]]</f>
        <v>3.9101483747200003</v>
      </c>
      <c r="BA92" s="22">
        <f>SUM(tabCustoUnit[[#This Row],[Ausência por Doença]:[Incidência do Submódulo 2.1 sobre Ausências Legais]])</f>
        <v>14.254456244349628</v>
      </c>
      <c r="BB92" s="22">
        <f>SUMIF(tabParametros[Código do Posto],tabCustoUnit[[#This Row],[Código do Posto]],tabParametros[Intervalo para Repouso ou Alimentação])</f>
        <v>0</v>
      </c>
      <c r="BC92" s="22">
        <f>tabCustoUnit[[#This Row],[Intervalo para Repouso ou Alimentação]]</f>
        <v>0</v>
      </c>
      <c r="BD92" s="22">
        <f>IF(VLOOKUP(tabCustoUnit[[#This Row],[Código do Posto]],PARAMETROS!$A$4:$BJ$255,7,0)&lt;=0,0,
IFERROR((tabCustoUnit[[#This Row],[MODULO 1 - REMUNERAÇÃO ]]*VLOOKUP(tabCustoUnit[[#This Row],[Código do Posto]],PARAMETROS!$A$4:$BJ$255,49,0))/(VLOOKUP(tabCustoUnit[[#This Row],[Código do Posto]],PARAMETROS!$A$4:$BJ$255,7,0)*VLOOKUP(tabCustoUnit[[#This Row],[Código do Posto]],PARAMETROS!$A$4:$BJ$255,8,0)),0)
)</f>
        <v>0</v>
      </c>
      <c r="BE92" s="22">
        <f>tabCustoUnit[[#This Row],[Suspensão Temporária do Contrato de Trabalho]]</f>
        <v>0</v>
      </c>
      <c r="BF92" s="22">
        <f>tabCustoUnit[[#This Row],[Submódulo 4.1]]+tabCustoUnit[[#This Row],[Submódulo 4.2]]+tabCustoUnit[[#This Row],[Submódulo 4.3]]</f>
        <v>14.254456244349628</v>
      </c>
      <c r="BG92" s="22">
        <f>VLOOKUP(tabCustoUnit[[#This Row],[Código do Posto]],tabParametros[],MATCH(tabCustoUnit[[#Headers],[Uniformes e EPIs]],tabParametros[#Headers],0),0)</f>
        <v>62.806666666666665</v>
      </c>
      <c r="BH92" s="22">
        <f>VLOOKUP(tabCustoUnit[[#This Row],[Código do Posto]],tabParametros[],MATCH(tabCustoUnit[[#Headers],[Materiais de Consumo]],tabParametros[#Headers],0),0)</f>
        <v>17.759106479291944</v>
      </c>
      <c r="BI92" s="22">
        <f>VLOOKUP(tabCustoUnit[[#This Row],[Código do Posto]],tabParametros[],MATCH(tabCustoUnit[[#Headers],[Máquinas e Equipamentos (depreciação)]],tabParametros[#Headers],0),0)</f>
        <v>32.264696957412788</v>
      </c>
      <c r="BJ92" s="22">
        <f>VLOOKUP(tabCustoUnit[[#This Row],[Código do Posto]],tabParametros[],MATCH(tabCustoUnit[[#Headers],[Produtos de Limpeza e Materiais de Higiene Pessoal]],tabParametros[#Headers],0),0)</f>
        <v>345.13576638965827</v>
      </c>
      <c r="BK92" s="22">
        <f>VLOOKUP(tabCustoUnit[[#This Row],[Código do Posto]],tabParametros[],MATCH(tabCustoUnit[[#Headers],[Outros (especificar)]],tabParametros[#Headers],0),0)</f>
        <v>0</v>
      </c>
      <c r="BL92" s="22">
        <f>SUM(tabCustoUnit[[#This Row],[Uniformes e EPIs]:[Outros (especificar)]])</f>
        <v>457.96623649302967</v>
      </c>
      <c r="BM92" s="22">
        <f>tabCustoUnit[[#This Row],[MODULO 1 - REMUNERAÇÃO ]]+tabCustoUnit[[#This Row],[MÓDULO 2 - Total Encargos e Benefícios mensais e diários]]+tabCustoUnit[[#This Row],[MÓDULO 3 – PROVISÃO PARA RESCISÃO]]+tabCustoUnit[[#This Row],[MÓDULO 4 – CUSTO DE REPOSIÇÃO DO PROFISSIONAL AUSENTE]]+tabCustoUnit[[#This Row],[MÓDULO 5 – INSUMOS DIVERSOS]]</f>
        <v>2718.2684134545148</v>
      </c>
      <c r="BN92" s="22">
        <f>VLOOKUP(tabCustoUnit[[#This Row],[Código do Posto]],tabParametros[],MATCH(tabCustoUnit[[#Headers],[Custos Indiretos]],tabParametros[#Headers],0),0)</f>
        <v>189.64880140242613</v>
      </c>
      <c r="BO92" s="22">
        <f>VLOOKUP(tabCustoUnit[[#This Row],[Código do Posto]],tabParametros[],MATCH(tabCustoUnit[[#Headers],[Lucro]],tabParametros[#Headers],0),0)</f>
        <v>159.30499317803796</v>
      </c>
      <c r="BP92" s="26">
        <f>((100/((1-tabCustoUnit[[#This Row],[Resumo de Alíquotas (PIS+CONFINS+ISS)]]))-100)*VLOOKUP(tabCustoUnit[[#This Row],[Código do Posto]],tabParametros[],MATCH(tabCustoUnit[[#Headers],[COFINS]],tabParametros[#Headers],0),0))/(tabCustoUnit[[#This Row],[Resumo de Alíquotas (PIS+CONFINS+ISS)]]*100)</f>
        <v>8.5633802816901458E-2</v>
      </c>
      <c r="BQ92" s="26">
        <f>((100/((100-(tabCustoUnit[[#This Row],[Resumo de Alíquotas (PIS+CONFINS+ISS)]]*100))%)-100)*VLOOKUP(tabCustoUnit[[#This Row],[Código do Posto]],tabParametros[],MATCH(tabCustoUnit[[#Headers],[PIS]],tabParametros[#Headers],0),0))/(tabCustoUnit[[#This Row],[Resumo de Alíquotas (PIS+CONFINS+ISS)]]*100)</f>
        <v>1.8591549295774657E-2</v>
      </c>
      <c r="BR92" s="28">
        <f>VLOOKUP(tabCustoUnit[[#This Row],[Código do Posto]],tabParametros[],MATCH(tabCustoUnit[[#Headers],[ISS]],tabParametros[#Headers],0),0)</f>
        <v>0.02</v>
      </c>
      <c r="BS92" s="26">
        <f>(((100/((100-(tabCustoUnit[[#This Row],[Resumo de Alíquotas (PIS+CONFINS+ISS)]]*100))%)-100)*tabCustoUnit[[#This Row],[ISS]])/tabCustoUnit[[#This Row],[Resumo de Alíquotas (PIS+CONFINS+ISS)]])/100</f>
        <v>2.2535211267605645E-2</v>
      </c>
      <c r="BT92" s="26">
        <f>(VLOOKUP(tabCustoUnit[[#This Row],[Código do Posto]],tabParametros[],MATCH(tabCustoUnit[[#Headers],[COFINS]],tabParametros[#Headers],0),0)+
VLOOKUP(tabCustoUnit[[#This Row],[Código do Posto]],tabParametros[],MATCH(tabCustoUnit[[#Headers],[PIS]],tabParametros[#Headers],0),0)+
VLOOKUP(tabCustoUnit[[#This Row],[Código do Posto]],tabParametros[],MATCH(tabCustoUnit[[#Headers],[ISS]],tabParametros[#Headers],0),0))</f>
        <v>0.1125</v>
      </c>
      <c r="BU92" s="138">
        <f>tabCustoUnit[[#This Row],[COFINS]]+tabCustoUnit[[#This Row],[PIS]]+tabCustoUnit[[#This Row],[ISS (Conversão Alíquota s/ fatura)]]</f>
        <v>0.12676056338028174</v>
      </c>
      <c r="BV92" s="22">
        <f>(tabCustoUnit[[#This Row],[TOTAL MÓDULOS 1+2+3+4+5]]+tabCustoUnit[[#This Row],[Custos Indiretos]]+tabCustoUnit[[#This Row],[Lucro]])*tabCustoUnit[[#This Row],[PIS + COFINS + ISS (Total Conversão  Alíquota s/ Fatura)]]</f>
        <v>388.80281510302564</v>
      </c>
      <c r="BW92" s="22">
        <f>tabCustoUnit[[#This Row],[Custos Indiretos]]+tabCustoUnit[[#This Row],[Lucro]]+tabCustoUnit[[#This Row],[Valor dos Tributos (ISS, PIS, CONFINS)]]</f>
        <v>737.75660968348973</v>
      </c>
      <c r="BX92" s="22">
        <f>tabCustoUnit[[#This Row],[TOTAL MÓDULOS 1+2+3+4+5]]+tabCustoUnit[[#This Row],[MÓDULO 6 – CUSTOS INDIRETOS, TRIBUTOS E LUCRO]]</f>
        <v>3456.0250231380046</v>
      </c>
      <c r="BY92" s="22">
        <f>tabCustoUnit[[#This Row],[CUSTO TOTAL MENSAL]]*12</f>
        <v>41472.300277656053</v>
      </c>
      <c r="BZ92" s="24">
        <f>VLOOKUP(tabCustoUnit[[#This Row],[Código do Posto]],tabParametros[],MATCH(tabCustoUnit[[#Headers],[ANO DA CCT]],tabParametros[#Headers],0),0)</f>
        <v>45658</v>
      </c>
      <c r="CA92" s="25" t="str">
        <f>VLOOKUP(tabCustoUnit[[#This Row],[Código do Posto]],tabParametros[],MATCH(tabCustoUnit[[#Headers],[Nº DE PEDIDO DA CCT]],tabParametros[#Headers],0),0)</f>
        <v>-</v>
      </c>
      <c r="CB92" s="25" t="str">
        <f>VLOOKUP(tabCustoUnit[[#This Row],[Código do Posto]],tabParametros[],MATCH(tabCustoUnit[[#Headers],[TERMO ADITIVO ALTERAÇÃO DA CCT]],tabParametros[#Headers],0),0)</f>
        <v>-</v>
      </c>
    </row>
    <row r="93" spans="1:80" x14ac:dyDescent="0.25">
      <c r="A93" s="20" t="s">
        <v>1432</v>
      </c>
      <c r="B93" t="s">
        <v>89</v>
      </c>
      <c r="C93" t="s">
        <v>1247</v>
      </c>
      <c r="D93" t="s">
        <v>1041</v>
      </c>
      <c r="E93" s="20" t="s">
        <v>9</v>
      </c>
      <c r="F93" s="20" t="s">
        <v>10</v>
      </c>
      <c r="G93" s="21">
        <v>544.17999999999995</v>
      </c>
      <c r="H93" s="21">
        <v>0</v>
      </c>
      <c r="I93" s="21">
        <v>0</v>
      </c>
      <c r="J93" s="21">
        <v>0</v>
      </c>
      <c r="K93" s="21">
        <v>0</v>
      </c>
      <c r="L93" s="21">
        <v>0</v>
      </c>
      <c r="M93" s="21">
        <v>0</v>
      </c>
      <c r="N93" s="21">
        <v>19.590499999999999</v>
      </c>
      <c r="O93" s="21">
        <f>SUM(tabCustoUnit[[#This Row],[Salário Base]:[Adicional de Acúmulo de função]])</f>
        <v>563.77049999999997</v>
      </c>
      <c r="P93" s="21">
        <f>tabCustoUnit[[#This Row],[MODULO 1 - REMUNERAÇÃO ]]*SUMIFS(tabParametros[INSS],tabParametros[Código do Posto],tabCustoUnit[[#This Row],[Código do Posto]])</f>
        <v>112.75409999999999</v>
      </c>
      <c r="Q93" s="21">
        <f>tabCustoUnit[[#This Row],[MODULO 1 - REMUNERAÇÃO ]]*SUMIFS(tabParametros[SESI OU SESC],tabParametros[Código do Posto],tabCustoUnit[[#This Row],[Código do Posto]])</f>
        <v>8.4565574999999988</v>
      </c>
      <c r="R93" s="21">
        <f>tabCustoUnit[[#This Row],[MODULO 1 - REMUNERAÇÃO ]]*SUMIFS(tabParametros[SENAI OU SENAC],tabParametros[Código do Posto],tabCustoUnit[[#This Row],[Código do Posto]])</f>
        <v>5.6377049999999995</v>
      </c>
      <c r="S93" s="21">
        <f>tabCustoUnit[[#This Row],[MODULO 1 - REMUNERAÇÃO ]]*SUMIFS(tabParametros[INCRA],tabParametros[Código do Posto],tabCustoUnit[[#This Row],[Código do Posto]])</f>
        <v>1.1275409999999999</v>
      </c>
      <c r="T93" s="21">
        <f>tabCustoUnit[[#This Row],[MODULO 1 - REMUNERAÇÃO ]]*SUMIFS(tabParametros[Salário Educação],tabParametros[Código do Posto],tabCustoUnit[[#This Row],[Código do Posto]])</f>
        <v>14.094262499999999</v>
      </c>
      <c r="U93" s="21">
        <f>tabCustoUnit[[#This Row],[MODULO 1 - REMUNERAÇÃO ]]*SUMIFS(tabParametros[FGTS],tabParametros[Código do Posto],tabCustoUnit[[#This Row],[Código do Posto]])</f>
        <v>45.101639999999996</v>
      </c>
      <c r="V93" s="21">
        <f>tabCustoUnit[[#This Row],[MODULO 1 - REMUNERAÇÃO ]]*SUMIFS(tabParametros[RAT Ajustado],tabParametros[Código do Posto],tabCustoUnit[[#This Row],[Código do Posto]])</f>
        <v>22.550819999999998</v>
      </c>
      <c r="W93" s="21">
        <f>tabCustoUnit[[#This Row],[MODULO 1 - REMUNERAÇÃO ]]*SUMIFS(tabParametros[SEBRAE],tabParametros[Código do Posto],tabCustoUnit[[#This Row],[Código do Posto]])</f>
        <v>3.3826229999999997</v>
      </c>
      <c r="X93" s="21">
        <f>SUM(tabCustoUnit[[#This Row],[INSS]:[SEBRAE]])</f>
        <v>213.10524899999996</v>
      </c>
      <c r="Y93" s="21">
        <f>tabCustoUnit[[#This Row],[MODULO 1 - REMUNERAÇÃO ]]*SUMIFS(tabParametros[13º salário (titular)],tabParametros[Código do Posto],tabCustoUnit[[#This Row],[Código do Posto]])</f>
        <v>46.980874999999997</v>
      </c>
      <c r="Z93" s="21">
        <f>tabCustoUnit[[#This Row],[MODULO 1 - REMUNERAÇÃO ]]*SUMIFS(tabParametros[Férias e Adicional de Férias (titular)],tabParametros[Código do Posto],tabCustoUnit[[#This Row],[Código do Posto]])</f>
        <v>62.641166666666663</v>
      </c>
      <c r="AA93" s="21">
        <f>IFERROR((tabCustoUnit[[#This Row],[Submódulo 2.1]]/tabCustoUnit[[#This Row],[MODULO 1 - REMUNERAÇÃO ]])*SUM(tabCustoUnit[[#This Row],[13º salário (titular)]:[Férias e Adicional de Férias (titular)]]),0)</f>
        <v>41.437131749999992</v>
      </c>
      <c r="AB93" s="21">
        <f>SUM(tabCustoUnit[[#This Row],[13º salário (titular)]:[Incidência do Submódulo 2.1 sobre 13º Salário, Férias e Adicional de Férias]])</f>
        <v>151.05917341666665</v>
      </c>
      <c r="AC93" s="22">
        <f>_xlfn.LET(_xlpm.VT,SUMIF(tabParametros[Código do Posto],tabCustoUnit[[#This Row],[Código do Posto]],tabParametros[Vale - Transporte])*2*20,
IF((_xlpm.VT-tabCustoUnit[[#This Row],[Salário Base]]*0.06)&gt;=0,(_xlpm.VT-tabCustoUnit[[#This Row],[Salário Base]]*0.06),0)
)</f>
        <v>223.3492</v>
      </c>
      <c r="AD93" s="22">
        <f>IF(SUMIF(tabParametros[Código do Posto],tabCustoUnit[[#This Row],[Código do Posto]],tabParametros[Vale - Alimentação])&lt;=0,0,
SUMIF(tabParametros[Código do Posto],tabCustoUnit[[#This Row],[Código do Posto]],tabParametros[Vale - Alimentação])*20-1)</f>
        <v>582</v>
      </c>
      <c r="AE93" s="22">
        <f>SUMIF(tabParametros[Código do Posto],tabCustoUnit[[#This Row],[Código do Posto]],tabParametros[Cesta Básica])</f>
        <v>0</v>
      </c>
      <c r="AF93" s="22">
        <f>SUMIF(tabParametros[Código do Posto],tabCustoUnit[[#This Row],[Código do Posto]],tabParametros[PAF])</f>
        <v>0</v>
      </c>
      <c r="AG93" s="22">
        <f>SUMIF(tabParametros[Código do Posto],tabCustoUnit[[#This Row],[Código do Posto]],tabParametros[PQM])</f>
        <v>0</v>
      </c>
      <c r="AH93" s="22">
        <f>SUMIF(tabParametros[Código do Posto],tabCustoUnit[[#This Row],[Código do Posto]],tabParametros[PAT])</f>
        <v>0</v>
      </c>
      <c r="AI93" s="22">
        <f>SUMIF(tabParametros[Código do Posto],tabCustoUnit[[#This Row],[Código do Posto]],tabParametros[Seguro de Vida])</f>
        <v>3.36</v>
      </c>
      <c r="AJ93" s="22">
        <f>SUMIF(tabParametros[Código do Posto],tabCustoUnit[[#This Row],[Código do Posto]],tabParametros[Despesas de Viagem])</f>
        <v>0</v>
      </c>
      <c r="AK93" s="22">
        <f>SUM(tabCustoUnit[[#This Row],[Vale - Transporte (Descontada parcela do empregado)]:[Despesas de Viagem]])</f>
        <v>808.70920000000001</v>
      </c>
      <c r="AL93" s="22">
        <f>tabCustoUnit[[#This Row],[Submódulo 2.1]]+tabCustoUnit[[#This Row],[Submódulo 2.2]]+tabCustoUnit[[#This Row],[Submódulo 2.3]]</f>
        <v>1172.8736224166666</v>
      </c>
      <c r="AM93" s="22">
        <f>SUMIF(tabParametros[Código do Posto],tabCustoUnit[[#This Row],[Código do Posto]],tabParametros[Aviso Prévio Indenizado (API) e Reflexo do Aviso Prévio Indenizado])*tabCustoUnit[[#This Row],[MODULO 1 - REMUNERAÇÃO ]]</f>
        <v>3.9530273735532404</v>
      </c>
      <c r="AN93" s="22">
        <f>SUMIF(tabParametros[Código do Posto],tabCustoUnit[[#This Row],[Código do Posto]],tabParametros[Incidência do FGTS sobre API e Reflexo do API])*tabCustoUnit[[#This Row],[MODULO 1 - REMUNERAÇÃO ]]</f>
        <v>0.31624218988425928</v>
      </c>
      <c r="AO93" s="22">
        <f>SUMIF(tabParametros[Código do Posto],tabCustoUnit[[#This Row],[Código do Posto]],tabParametros[Multa Rescisória do FGTS sobre o Aviso Prévio Indenizado])*tabCustoUnit[[#This Row],[MODULO 1 - REMUNERAÇÃO ]]</f>
        <v>0.12649687595370371</v>
      </c>
      <c r="AP93" s="22">
        <f>SUMIF(tabParametros[Código do Posto],tabCustoUnit[[#This Row],[Código do Posto]],tabParametros[Aviso Prévio Trabalhado - APT])*tabCustoUnit[[#This Row],[MODULO 1 - REMUNERAÇÃO ]]</f>
        <v>1.9731967500000003</v>
      </c>
      <c r="AQ93" s="22">
        <f>SUMIF(tabParametros[Código do Posto],tabCustoUnit[[#This Row],[Código do Posto]],tabParametros[Incidência dos encargos do submódulo 2.1 sobre Aviso Prévio Trabalhado])*tabCustoUnit[[#This Row],[MODULO 1 - REMUNERAÇÃO ]]</f>
        <v>0.74586837150000018</v>
      </c>
      <c r="AR93" s="22">
        <f>SUMIF(tabParametros[Código do Posto],tabCustoUnit[[#This Row],[Código do Posto]],tabParametros[Multa Rescisória do FGTS])*tabCustoUnit[[#This Row],[MODULO 1 - REMUNERAÇÃO ]]</f>
        <v>17.238849066666663</v>
      </c>
      <c r="AS93" s="22">
        <f>SUMIF(tabParametros[Código do Posto],tabCustoUnit[[#This Row],[Código do Posto]],tabParametros[Indenização Adicional (Art. 9º da Lei nº 7.238/84)])*tabCustoUnit[[#This Row],[MODULO 1 - REMUNERAÇÃO ]]</f>
        <v>0.46980875</v>
      </c>
      <c r="AT93" s="22">
        <f>SUM(tabCustoUnit[[#This Row],[Aviso Prévio Indenizado (API) e Reflexo do Aviso Prévio Indenizado]:[Indenização Adicional (Art. 9º da Lei nº 7.238/84)]])</f>
        <v>24.823489377557866</v>
      </c>
      <c r="AU93" s="22">
        <f>SUMIF(tabParametros[Código do Posto],tabCustoUnit[[#This Row],[Código do Posto]],tabParametros[Ausência por Doença])*tabCustoUnit[[#This Row],[MODULO 1 - REMUNERAÇÃO ]]</f>
        <v>4.7607286666666662</v>
      </c>
      <c r="AV93" s="22">
        <f>SUMIF(tabParametros[Código do Posto],tabCustoUnit[[#This Row],[Código do Posto]],tabParametros[Ausências Legais])*tabCustoUnit[[#This Row],[MODULO 1 - REMUNERAÇÃO ]]</f>
        <v>1.1432012916666665</v>
      </c>
      <c r="AW93" s="22">
        <f>SUMIF(tabParametros[Código do Posto],tabCustoUnit[[#This Row],[Código do Posto]],tabParametros[Licença Paternidade])*tabCustoUnit[[#This Row],[MODULO 1 - REMUNERAÇÃO ]]</f>
        <v>9.6310793749999998E-2</v>
      </c>
      <c r="AX93" s="22">
        <f>SUMIF(tabParametros[Código do Posto],tabCustoUnit[[#This Row],[Código do Posto]],tabParametros[Ausência por Acidente de Trabalho])*tabCustoUnit[[#This Row],[MODULO 1 - REMUNERAÇÃO ]]</f>
        <v>0.1174521875</v>
      </c>
      <c r="AY93" s="22">
        <f>SUMIF(tabParametros[Código do Posto],tabCustoUnit[[#This Row],[Código do Posto]],tabParametros[Férias, Adicional de Férias e 13º  com empregada em gozo de Licença Maternidade])*tabCustoUnit[[#This Row],[MODULO 1 - REMUNERAÇÃO ]]</f>
        <v>0.73081361111111109</v>
      </c>
      <c r="AZ93" s="22">
        <f>SUMIF(tabParametros[Código do Posto],tabCustoUnit[[#This Row],[Código do Posto]],tabParametros[Incidência do Submódulo 2.1 sobre Ausências Legais])*tabCustoUnit[[#This Row],[MODULO 1 - REMUNERAÇÃO ]]</f>
        <v>2.5887354761625003</v>
      </c>
      <c r="BA93" s="22">
        <f>SUM(tabCustoUnit[[#This Row],[Ausência por Doença]:[Incidência do Submódulo 2.1 sobre Ausências Legais]])</f>
        <v>9.4372420268569428</v>
      </c>
      <c r="BB93" s="22">
        <f>SUMIF(tabParametros[Código do Posto],tabCustoUnit[[#This Row],[Código do Posto]],tabParametros[Intervalo para Repouso ou Alimentação])</f>
        <v>0</v>
      </c>
      <c r="BC93" s="22">
        <f>tabCustoUnit[[#This Row],[Intervalo para Repouso ou Alimentação]]</f>
        <v>0</v>
      </c>
      <c r="BD93" s="22">
        <f>IF(VLOOKUP(tabCustoUnit[[#This Row],[Código do Posto]],PARAMETROS!$A$4:$BJ$255,7,0)&lt;=0,0,
IFERROR((tabCustoUnit[[#This Row],[MODULO 1 - REMUNERAÇÃO ]]*VLOOKUP(tabCustoUnit[[#This Row],[Código do Posto]],PARAMETROS!$A$4:$BJ$255,49,0))/(VLOOKUP(tabCustoUnit[[#This Row],[Código do Posto]],PARAMETROS!$A$4:$BJ$255,7,0)*VLOOKUP(tabCustoUnit[[#This Row],[Código do Posto]],PARAMETROS!$A$4:$BJ$255,8,0)),0)
)</f>
        <v>0</v>
      </c>
      <c r="BE93" s="22">
        <f>tabCustoUnit[[#This Row],[Suspensão Temporária do Contrato de Trabalho]]</f>
        <v>0</v>
      </c>
      <c r="BF93" s="22">
        <f>tabCustoUnit[[#This Row],[Submódulo 4.1]]+tabCustoUnit[[#This Row],[Submódulo 4.2]]+tabCustoUnit[[#This Row],[Submódulo 4.3]]</f>
        <v>9.4372420268569428</v>
      </c>
      <c r="BG93" s="22">
        <f>VLOOKUP(tabCustoUnit[[#This Row],[Código do Posto]],tabParametros[],MATCH(tabCustoUnit[[#Headers],[Uniformes e EPIs]],tabParametros[#Headers],0),0)</f>
        <v>62.806666666666665</v>
      </c>
      <c r="BH93" s="22">
        <f>VLOOKUP(tabCustoUnit[[#This Row],[Código do Posto]],tabParametros[],MATCH(tabCustoUnit[[#Headers],[Materiais de Consumo]],tabParametros[#Headers],0),0)</f>
        <v>12.108481690426325</v>
      </c>
      <c r="BI93" s="22">
        <f>VLOOKUP(tabCustoUnit[[#This Row],[Código do Posto]],tabParametros[],MATCH(tabCustoUnit[[#Headers],[Máquinas e Equipamentos (depreciação)]],tabParametros[#Headers],0),0)</f>
        <v>21.998657016417809</v>
      </c>
      <c r="BJ93" s="22">
        <f>VLOOKUP(tabCustoUnit[[#This Row],[Código do Posto]],tabParametros[],MATCH(tabCustoUnit[[#Headers],[Produtos de Limpeza e Materiais de Higiene Pessoal]],tabParametros[#Headers],0),0)</f>
        <v>235.31984072022155</v>
      </c>
      <c r="BK93" s="22">
        <f>VLOOKUP(tabCustoUnit[[#This Row],[Código do Posto]],tabParametros[],MATCH(tabCustoUnit[[#Headers],[Outros (especificar)]],tabParametros[#Headers],0),0)</f>
        <v>0</v>
      </c>
      <c r="BL93" s="22">
        <f>SUM(tabCustoUnit[[#This Row],[Uniformes e EPIs]:[Outros (especificar)]])</f>
        <v>332.23364609373232</v>
      </c>
      <c r="BM93" s="22">
        <f>tabCustoUnit[[#This Row],[MODULO 1 - REMUNERAÇÃO ]]+tabCustoUnit[[#This Row],[MÓDULO 2 - Total Encargos e Benefícios mensais e diários]]+tabCustoUnit[[#This Row],[MÓDULO 3 – PROVISÃO PARA RESCISÃO]]+tabCustoUnit[[#This Row],[MÓDULO 4 – CUSTO DE REPOSIÇÃO DO PROFISSIONAL AUSENTE]]+tabCustoUnit[[#This Row],[MÓDULO 5 – INSUMOS DIVERSOS]]</f>
        <v>2103.1384999148136</v>
      </c>
      <c r="BN93" s="22">
        <f>VLOOKUP(tabCustoUnit[[#This Row],[Código do Posto]],tabParametros[],MATCH(tabCustoUnit[[#Headers],[Custos Indiretos]],tabParametros[#Headers],0),0)</f>
        <v>189.64880140242613</v>
      </c>
      <c r="BO93" s="22">
        <f>VLOOKUP(tabCustoUnit[[#This Row],[Código do Posto]],tabParametros[],MATCH(tabCustoUnit[[#Headers],[Lucro]],tabParametros[#Headers],0),0)</f>
        <v>159.30499317803796</v>
      </c>
      <c r="BP93" s="26">
        <f>((100/((1-tabCustoUnit[[#This Row],[Resumo de Alíquotas (PIS+CONFINS+ISS)]]))-100)*VLOOKUP(tabCustoUnit[[#This Row],[Código do Posto]],tabParametros[],MATCH(tabCustoUnit[[#Headers],[COFINS]],tabParametros[#Headers],0),0))/(tabCustoUnit[[#This Row],[Resumo de Alíquotas (PIS+CONFINS+ISS)]]*100)</f>
        <v>8.6609686609686695E-2</v>
      </c>
      <c r="BQ93" s="26">
        <f>((100/((100-(tabCustoUnit[[#This Row],[Resumo de Alíquotas (PIS+CONFINS+ISS)]]*100))%)-100)*VLOOKUP(tabCustoUnit[[#This Row],[Código do Posto]],tabParametros[],MATCH(tabCustoUnit[[#Headers],[PIS]],tabParametros[#Headers],0),0))/(tabCustoUnit[[#This Row],[Resumo de Alíquotas (PIS+CONFINS+ISS)]]*100)</f>
        <v>1.880341880341882E-2</v>
      </c>
      <c r="BR93" s="28">
        <f>VLOOKUP(tabCustoUnit[[#This Row],[Código do Posto]],tabParametros[],MATCH(tabCustoUnit[[#Headers],[ISS]],tabParametros[#Headers],0),0)</f>
        <v>0.03</v>
      </c>
      <c r="BS93" s="26">
        <f>(((100/((100-(tabCustoUnit[[#This Row],[Resumo de Alíquotas (PIS+CONFINS+ISS)]]*100))%)-100)*tabCustoUnit[[#This Row],[ISS]])/tabCustoUnit[[#This Row],[Resumo de Alíquotas (PIS+CONFINS+ISS)]])/100</f>
        <v>3.4188034188034219E-2</v>
      </c>
      <c r="BT93" s="26">
        <f>(VLOOKUP(tabCustoUnit[[#This Row],[Código do Posto]],tabParametros[],MATCH(tabCustoUnit[[#Headers],[COFINS]],tabParametros[#Headers],0),0)+
VLOOKUP(tabCustoUnit[[#This Row],[Código do Posto]],tabParametros[],MATCH(tabCustoUnit[[#Headers],[PIS]],tabParametros[#Headers],0),0)+
VLOOKUP(tabCustoUnit[[#This Row],[Código do Posto]],tabParametros[],MATCH(tabCustoUnit[[#Headers],[ISS]],tabParametros[#Headers],0),0))</f>
        <v>0.1225</v>
      </c>
      <c r="BU93" s="138">
        <f>tabCustoUnit[[#This Row],[COFINS]]+tabCustoUnit[[#This Row],[PIS]]+tabCustoUnit[[#This Row],[ISS (Conversão Alíquota s/ fatura)]]</f>
        <v>0.13960113960113973</v>
      </c>
      <c r="BV93" s="22">
        <f>(tabCustoUnit[[#This Row],[TOTAL MÓDULOS 1+2+3+4+5]]+tabCustoUnit[[#This Row],[Custos Indiretos]]+tabCustoUnit[[#This Row],[Lucro]])*tabCustoUnit[[#This Row],[PIS + COFINS + ISS (Total Conversão  Alíquota s/ Fatura)]]</f>
        <v>342.31487871871428</v>
      </c>
      <c r="BW93" s="22">
        <f>tabCustoUnit[[#This Row],[Custos Indiretos]]+tabCustoUnit[[#This Row],[Lucro]]+tabCustoUnit[[#This Row],[Valor dos Tributos (ISS, PIS, CONFINS)]]</f>
        <v>691.26867329917832</v>
      </c>
      <c r="BX93" s="22">
        <f>tabCustoUnit[[#This Row],[TOTAL MÓDULOS 1+2+3+4+5]]+tabCustoUnit[[#This Row],[MÓDULO 6 – CUSTOS INDIRETOS, TRIBUTOS E LUCRO]]</f>
        <v>2794.4071732139919</v>
      </c>
      <c r="BY93" s="22">
        <f>tabCustoUnit[[#This Row],[CUSTO TOTAL MENSAL]]*12</f>
        <v>33532.886078567899</v>
      </c>
      <c r="BZ93" s="24">
        <f>VLOOKUP(tabCustoUnit[[#This Row],[Código do Posto]],tabParametros[],MATCH(tabCustoUnit[[#Headers],[ANO DA CCT]],tabParametros[#Headers],0),0)</f>
        <v>45658</v>
      </c>
      <c r="CA93" s="25" t="str">
        <f>VLOOKUP(tabCustoUnit[[#This Row],[Código do Posto]],tabParametros[],MATCH(tabCustoUnit[[#Headers],[Nº DE PEDIDO DA CCT]],tabParametros[#Headers],0),0)</f>
        <v>-</v>
      </c>
      <c r="CB93" s="25" t="str">
        <f>VLOOKUP(tabCustoUnit[[#This Row],[Código do Posto]],tabParametros[],MATCH(tabCustoUnit[[#Headers],[TERMO ADITIVO ALTERAÇÃO DA CCT]],tabParametros[#Headers],0),0)</f>
        <v>-</v>
      </c>
    </row>
    <row r="94" spans="1:80" x14ac:dyDescent="0.25">
      <c r="A94" s="20" t="s">
        <v>1433</v>
      </c>
      <c r="B94" t="s">
        <v>90</v>
      </c>
      <c r="C94" t="s">
        <v>1245</v>
      </c>
      <c r="D94" t="s">
        <v>1023</v>
      </c>
      <c r="E94" s="20" t="s">
        <v>9</v>
      </c>
      <c r="F94" s="20" t="s">
        <v>10</v>
      </c>
      <c r="G94" s="21">
        <v>1596.28</v>
      </c>
      <c r="H94" s="21">
        <v>0</v>
      </c>
      <c r="I94" s="21">
        <v>0</v>
      </c>
      <c r="J94" s="21">
        <v>0</v>
      </c>
      <c r="K94" s="21">
        <v>0</v>
      </c>
      <c r="L94" s="21">
        <v>0</v>
      </c>
      <c r="M94" s="21">
        <v>0</v>
      </c>
      <c r="N94" s="21">
        <v>52.241900000000001</v>
      </c>
      <c r="O94" s="21">
        <f>SUM(tabCustoUnit[[#This Row],[Salário Base]:[Adicional de Acúmulo de função]])</f>
        <v>1648.5219</v>
      </c>
      <c r="P94" s="21">
        <f>tabCustoUnit[[#This Row],[MODULO 1 - REMUNERAÇÃO ]]*SUMIFS(tabParametros[INSS],tabParametros[Código do Posto],tabCustoUnit[[#This Row],[Código do Posto]])</f>
        <v>329.70438000000001</v>
      </c>
      <c r="Q94" s="21">
        <f>tabCustoUnit[[#This Row],[MODULO 1 - REMUNERAÇÃO ]]*SUMIFS(tabParametros[SESI OU SESC],tabParametros[Código do Posto],tabCustoUnit[[#This Row],[Código do Posto]])</f>
        <v>24.727828499999998</v>
      </c>
      <c r="R94" s="21">
        <f>tabCustoUnit[[#This Row],[MODULO 1 - REMUNERAÇÃO ]]*SUMIFS(tabParametros[SENAI OU SENAC],tabParametros[Código do Posto],tabCustoUnit[[#This Row],[Código do Posto]])</f>
        <v>16.485219000000001</v>
      </c>
      <c r="S94" s="21">
        <f>tabCustoUnit[[#This Row],[MODULO 1 - REMUNERAÇÃO ]]*SUMIFS(tabParametros[INCRA],tabParametros[Código do Posto],tabCustoUnit[[#This Row],[Código do Posto]])</f>
        <v>3.2970438</v>
      </c>
      <c r="T94" s="21">
        <f>tabCustoUnit[[#This Row],[MODULO 1 - REMUNERAÇÃO ]]*SUMIFS(tabParametros[Salário Educação],tabParametros[Código do Posto],tabCustoUnit[[#This Row],[Código do Posto]])</f>
        <v>41.213047500000002</v>
      </c>
      <c r="U94" s="21">
        <f>tabCustoUnit[[#This Row],[MODULO 1 - REMUNERAÇÃO ]]*SUMIFS(tabParametros[FGTS],tabParametros[Código do Posto],tabCustoUnit[[#This Row],[Código do Posto]])</f>
        <v>131.88175200000001</v>
      </c>
      <c r="V94" s="21">
        <f>tabCustoUnit[[#This Row],[MODULO 1 - REMUNERAÇÃO ]]*SUMIFS(tabParametros[RAT Ajustado],tabParametros[Código do Posto],tabCustoUnit[[#This Row],[Código do Posto]])</f>
        <v>65.940876000000003</v>
      </c>
      <c r="W94" s="21">
        <f>tabCustoUnit[[#This Row],[MODULO 1 - REMUNERAÇÃO ]]*SUMIFS(tabParametros[SEBRAE],tabParametros[Código do Posto],tabCustoUnit[[#This Row],[Código do Posto]])</f>
        <v>9.8911314000000008</v>
      </c>
      <c r="X94" s="21">
        <f>SUM(tabCustoUnit[[#This Row],[INSS]:[SEBRAE]])</f>
        <v>623.14127819999999</v>
      </c>
      <c r="Y94" s="21">
        <f>tabCustoUnit[[#This Row],[MODULO 1 - REMUNERAÇÃO ]]*SUMIFS(tabParametros[13º salário (titular)],tabParametros[Código do Posto],tabCustoUnit[[#This Row],[Código do Posto]])</f>
        <v>137.376825</v>
      </c>
      <c r="Z94" s="21">
        <f>tabCustoUnit[[#This Row],[MODULO 1 - REMUNERAÇÃO ]]*SUMIFS(tabParametros[Férias e Adicional de Férias (titular)],tabParametros[Código do Posto],tabCustoUnit[[#This Row],[Código do Posto]])</f>
        <v>183.16909999999999</v>
      </c>
      <c r="AA94" s="21">
        <f>IFERROR((tabCustoUnit[[#This Row],[Submódulo 2.1]]/tabCustoUnit[[#This Row],[MODULO 1 - REMUNERAÇÃO ]])*SUM(tabCustoUnit[[#This Row],[13º salário (titular)]:[Férias e Adicional de Férias (titular)]]),0)</f>
        <v>121.16635965</v>
      </c>
      <c r="AB94" s="21">
        <f>SUM(tabCustoUnit[[#This Row],[13º salário (titular)]:[Incidência do Submódulo 2.1 sobre 13º Salário, Férias e Adicional de Férias]])</f>
        <v>441.71228465000002</v>
      </c>
      <c r="AC94" s="22">
        <f>_xlfn.LET(_xlpm.VT,SUMIF(tabParametros[Código do Posto],tabCustoUnit[[#This Row],[Código do Posto]],tabParametros[Vale - Transporte])*2*20,
IF((_xlpm.VT-tabCustoUnit[[#This Row],[Salário Base]]*0.06)&gt;=0,(_xlpm.VT-tabCustoUnit[[#This Row],[Salário Base]]*0.06),0)
)</f>
        <v>160.22320000000002</v>
      </c>
      <c r="AD94" s="22">
        <f>IF(SUMIF(tabParametros[Código do Posto],tabCustoUnit[[#This Row],[Código do Posto]],tabParametros[Vale - Alimentação])&lt;=0,0,
SUMIF(tabParametros[Código do Posto],tabCustoUnit[[#This Row],[Código do Posto]],tabParametros[Vale - Alimentação])*20-1)</f>
        <v>582</v>
      </c>
      <c r="AE94" s="22">
        <f>SUMIF(tabParametros[Código do Posto],tabCustoUnit[[#This Row],[Código do Posto]],tabParametros[Cesta Básica])</f>
        <v>0</v>
      </c>
      <c r="AF94" s="22">
        <f>SUMIF(tabParametros[Código do Posto],tabCustoUnit[[#This Row],[Código do Posto]],tabParametros[PAF])</f>
        <v>0</v>
      </c>
      <c r="AG94" s="22">
        <f>SUMIF(tabParametros[Código do Posto],tabCustoUnit[[#This Row],[Código do Posto]],tabParametros[PQM])</f>
        <v>0</v>
      </c>
      <c r="AH94" s="22">
        <f>SUMIF(tabParametros[Código do Posto],tabCustoUnit[[#This Row],[Código do Posto]],tabParametros[PAT])</f>
        <v>0</v>
      </c>
      <c r="AI94" s="22">
        <f>SUMIF(tabParametros[Código do Posto],tabCustoUnit[[#This Row],[Código do Posto]],tabParametros[Seguro de Vida])</f>
        <v>3.36</v>
      </c>
      <c r="AJ94" s="22">
        <f>SUMIF(tabParametros[Código do Posto],tabCustoUnit[[#This Row],[Código do Posto]],tabParametros[Despesas de Viagem])</f>
        <v>0</v>
      </c>
      <c r="AK94" s="22">
        <f>SUM(tabCustoUnit[[#This Row],[Vale - Transporte (Descontada parcela do empregado)]:[Despesas de Viagem]])</f>
        <v>745.58320000000003</v>
      </c>
      <c r="AL94" s="22">
        <f>tabCustoUnit[[#This Row],[Submódulo 2.1]]+tabCustoUnit[[#This Row],[Submódulo 2.2]]+tabCustoUnit[[#This Row],[Submódulo 2.3]]</f>
        <v>1810.4367628499999</v>
      </c>
      <c r="AM94" s="22">
        <f>SUMIF(tabParametros[Código do Posto],tabCustoUnit[[#This Row],[Código do Posto]],tabParametros[Aviso Prévio Indenizado (API) e Reflexo do Aviso Prévio Indenizado])*tabCustoUnit[[#This Row],[MODULO 1 - REMUNERAÇÃO ]]</f>
        <v>11.559051416493055</v>
      </c>
      <c r="AN94" s="22">
        <f>SUMIF(tabParametros[Código do Posto],tabCustoUnit[[#This Row],[Código do Posto]],tabParametros[Incidência do FGTS sobre API e Reflexo do API])*tabCustoUnit[[#This Row],[MODULO 1 - REMUNERAÇÃO ]]</f>
        <v>0.92472411331944449</v>
      </c>
      <c r="AO94" s="22">
        <f>SUMIF(tabParametros[Código do Posto],tabCustoUnit[[#This Row],[Código do Posto]],tabParametros[Multa Rescisória do FGTS sobre o Aviso Prévio Indenizado])*tabCustoUnit[[#This Row],[MODULO 1 - REMUNERAÇÃO ]]</f>
        <v>0.36988964532777785</v>
      </c>
      <c r="AP94" s="22">
        <f>SUMIF(tabParametros[Código do Posto],tabCustoUnit[[#This Row],[Código do Posto]],tabParametros[Aviso Prévio Trabalhado - APT])*tabCustoUnit[[#This Row],[MODULO 1 - REMUNERAÇÃO ]]</f>
        <v>5.7698266500000006</v>
      </c>
      <c r="AQ94" s="22">
        <f>SUMIF(tabParametros[Código do Posto],tabCustoUnit[[#This Row],[Código do Posto]],tabParametros[Incidência dos encargos do submódulo 2.1 sobre Aviso Prévio Trabalhado])*tabCustoUnit[[#This Row],[MODULO 1 - REMUNERAÇÃO ]]</f>
        <v>2.1809944737000007</v>
      </c>
      <c r="AR94" s="22">
        <f>SUMIF(tabParametros[Código do Posto],tabCustoUnit[[#This Row],[Código do Posto]],tabParametros[Multa Rescisória do FGTS])*tabCustoUnit[[#This Row],[MODULO 1 - REMUNERAÇÃO ]]</f>
        <v>50.40813631999999</v>
      </c>
      <c r="AS94" s="22">
        <f>SUMIF(tabParametros[Código do Posto],tabCustoUnit[[#This Row],[Código do Posto]],tabParametros[Indenização Adicional (Art. 9º da Lei nº 7.238/84)])*tabCustoUnit[[#This Row],[MODULO 1 - REMUNERAÇÃO ]]</f>
        <v>1.3737682500000001</v>
      </c>
      <c r="AT94" s="22">
        <f>SUM(tabCustoUnit[[#This Row],[Aviso Prévio Indenizado (API) e Reflexo do Aviso Prévio Indenizado]:[Indenização Adicional (Art. 9º da Lei nº 7.238/84)]])</f>
        <v>72.586390868840269</v>
      </c>
      <c r="AU94" s="22">
        <f>SUMIF(tabParametros[Código do Posto],tabCustoUnit[[#This Row],[Código do Posto]],tabParametros[Ausência por Doença])*tabCustoUnit[[#This Row],[MODULO 1 - REMUNERAÇÃO ]]</f>
        <v>13.920851599999999</v>
      </c>
      <c r="AV94" s="22">
        <f>SUMIF(tabParametros[Código do Posto],tabCustoUnit[[#This Row],[Código do Posto]],tabParametros[Ausências Legais])*tabCustoUnit[[#This Row],[MODULO 1 - REMUNERAÇÃO ]]</f>
        <v>3.3428360749999997</v>
      </c>
      <c r="AW94" s="22">
        <f>SUMIF(tabParametros[Código do Posto],tabCustoUnit[[#This Row],[Código do Posto]],tabParametros[Licença Paternidade])*tabCustoUnit[[#This Row],[MODULO 1 - REMUNERAÇÃO ]]</f>
        <v>0.28162249125</v>
      </c>
      <c r="AX94" s="22">
        <f>SUMIF(tabParametros[Código do Posto],tabCustoUnit[[#This Row],[Código do Posto]],tabParametros[Ausência por Acidente de Trabalho])*tabCustoUnit[[#This Row],[MODULO 1 - REMUNERAÇÃO ]]</f>
        <v>0.34344206250000003</v>
      </c>
      <c r="AY94" s="22">
        <f>SUMIF(tabParametros[Código do Posto],tabCustoUnit[[#This Row],[Código do Posto]],tabParametros[Férias, Adicional de Férias e 13º  com empregada em gozo de Licença Maternidade])*tabCustoUnit[[#This Row],[MODULO 1 - REMUNERAÇÃO ]]</f>
        <v>2.1369728333333331</v>
      </c>
      <c r="AZ94" s="22">
        <f>SUMIF(tabParametros[Código do Posto],tabCustoUnit[[#This Row],[Código do Posto]],tabParametros[Incidência do Submódulo 2.1 sobre Ausências Legais])*tabCustoUnit[[#This Row],[MODULO 1 - REMUNERAÇÃO ]]</f>
        <v>7.5697240734675013</v>
      </c>
      <c r="BA94" s="22">
        <f>SUM(tabCustoUnit[[#This Row],[Ausência por Doença]:[Incidência do Submódulo 2.1 sobre Ausências Legais]])</f>
        <v>27.595449135550833</v>
      </c>
      <c r="BB94" s="22">
        <f>SUMIF(tabParametros[Código do Posto],tabCustoUnit[[#This Row],[Código do Posto]],tabParametros[Intervalo para Repouso ou Alimentação])</f>
        <v>0</v>
      </c>
      <c r="BC94" s="22">
        <f>tabCustoUnit[[#This Row],[Intervalo para Repouso ou Alimentação]]</f>
        <v>0</v>
      </c>
      <c r="BD94" s="22">
        <f>IF(VLOOKUP(tabCustoUnit[[#This Row],[Código do Posto]],PARAMETROS!$A$4:$BJ$255,7,0)&lt;=0,0,
IFERROR((tabCustoUnit[[#This Row],[MODULO 1 - REMUNERAÇÃO ]]*VLOOKUP(tabCustoUnit[[#This Row],[Código do Posto]],PARAMETROS!$A$4:$BJ$255,49,0))/(VLOOKUP(tabCustoUnit[[#This Row],[Código do Posto]],PARAMETROS!$A$4:$BJ$255,7,0)*VLOOKUP(tabCustoUnit[[#This Row],[Código do Posto]],PARAMETROS!$A$4:$BJ$255,8,0)),0)
)</f>
        <v>0</v>
      </c>
      <c r="BE94" s="22">
        <f>tabCustoUnit[[#This Row],[Suspensão Temporária do Contrato de Trabalho]]</f>
        <v>0</v>
      </c>
      <c r="BF94" s="22">
        <f>tabCustoUnit[[#This Row],[Submódulo 4.1]]+tabCustoUnit[[#This Row],[Submódulo 4.2]]+tabCustoUnit[[#This Row],[Submódulo 4.3]]</f>
        <v>27.595449135550833</v>
      </c>
      <c r="BG94" s="22">
        <f>VLOOKUP(tabCustoUnit[[#This Row],[Código do Posto]],tabParametros[],MATCH(tabCustoUnit[[#Headers],[Uniformes e EPIs]],tabParametros[#Headers],0),0)</f>
        <v>100.80916666666666</v>
      </c>
      <c r="BH94" s="22">
        <f>VLOOKUP(tabCustoUnit[[#This Row],[Código do Posto]],tabParametros[],MATCH(tabCustoUnit[[#Headers],[Materiais de Consumo]],tabParametros[#Headers],0),0)</f>
        <v>35.518212958583888</v>
      </c>
      <c r="BI94" s="22">
        <f>VLOOKUP(tabCustoUnit[[#This Row],[Código do Posto]],tabParametros[],MATCH(tabCustoUnit[[#Headers],[Máquinas e Equipamentos (depreciação)]],tabParametros[#Headers],0),0)</f>
        <v>64.529393914825576</v>
      </c>
      <c r="BJ94" s="22">
        <f>VLOOKUP(tabCustoUnit[[#This Row],[Código do Posto]],tabParametros[],MATCH(tabCustoUnit[[#Headers],[Produtos de Limpeza e Materiais de Higiene Pessoal]],tabParametros[#Headers],0),0)</f>
        <v>690.27153277931654</v>
      </c>
      <c r="BK94" s="22">
        <f>VLOOKUP(tabCustoUnit[[#This Row],[Código do Posto]],tabParametros[],MATCH(tabCustoUnit[[#Headers],[Outros (especificar)]],tabParametros[#Headers],0),0)</f>
        <v>0</v>
      </c>
      <c r="BL94" s="22">
        <f>SUM(tabCustoUnit[[#This Row],[Uniformes e EPIs]:[Outros (especificar)]])</f>
        <v>891.12830631939266</v>
      </c>
      <c r="BM94" s="22">
        <f>tabCustoUnit[[#This Row],[MODULO 1 - REMUNERAÇÃO ]]+tabCustoUnit[[#This Row],[MÓDULO 2 - Total Encargos e Benefícios mensais e diários]]+tabCustoUnit[[#This Row],[MÓDULO 3 – PROVISÃO PARA RESCISÃO]]+tabCustoUnit[[#This Row],[MÓDULO 4 – CUSTO DE REPOSIÇÃO DO PROFISSIONAL AUSENTE]]+tabCustoUnit[[#This Row],[MÓDULO 5 – INSUMOS DIVERSOS]]</f>
        <v>4450.2688091737837</v>
      </c>
      <c r="BN94" s="22">
        <f>VLOOKUP(tabCustoUnit[[#This Row],[Código do Posto]],tabParametros[],MATCH(tabCustoUnit[[#Headers],[Custos Indiretos]],tabParametros[#Headers],0),0)</f>
        <v>189.64880140242613</v>
      </c>
      <c r="BO94" s="22">
        <f>VLOOKUP(tabCustoUnit[[#This Row],[Código do Posto]],tabParametros[],MATCH(tabCustoUnit[[#Headers],[Lucro]],tabParametros[#Headers],0),0)</f>
        <v>159.30499317803796</v>
      </c>
      <c r="BP94" s="26">
        <f>((100/((1-tabCustoUnit[[#This Row],[Resumo de Alíquotas (PIS+CONFINS+ISS)]]))-100)*VLOOKUP(tabCustoUnit[[#This Row],[Código do Posto]],tabParametros[],MATCH(tabCustoUnit[[#Headers],[COFINS]],tabParametros[#Headers],0),0))/(tabCustoUnit[[#This Row],[Resumo de Alíquotas (PIS+CONFINS+ISS)]]*100)</f>
        <v>8.5633802816901458E-2</v>
      </c>
      <c r="BQ94" s="26">
        <f>((100/((100-(tabCustoUnit[[#This Row],[Resumo de Alíquotas (PIS+CONFINS+ISS)]]*100))%)-100)*VLOOKUP(tabCustoUnit[[#This Row],[Código do Posto]],tabParametros[],MATCH(tabCustoUnit[[#Headers],[PIS]],tabParametros[#Headers],0),0))/(tabCustoUnit[[#This Row],[Resumo de Alíquotas (PIS+CONFINS+ISS)]]*100)</f>
        <v>1.8591549295774657E-2</v>
      </c>
      <c r="BR94" s="28">
        <f>VLOOKUP(tabCustoUnit[[#This Row],[Código do Posto]],tabParametros[],MATCH(tabCustoUnit[[#Headers],[ISS]],tabParametros[#Headers],0),0)</f>
        <v>0.02</v>
      </c>
      <c r="BS94" s="26">
        <f>(((100/((100-(tabCustoUnit[[#This Row],[Resumo de Alíquotas (PIS+CONFINS+ISS)]]*100))%)-100)*tabCustoUnit[[#This Row],[ISS]])/tabCustoUnit[[#This Row],[Resumo de Alíquotas (PIS+CONFINS+ISS)]])/100</f>
        <v>2.2535211267605645E-2</v>
      </c>
      <c r="BT94" s="26">
        <f>(VLOOKUP(tabCustoUnit[[#This Row],[Código do Posto]],tabParametros[],MATCH(tabCustoUnit[[#Headers],[COFINS]],tabParametros[#Headers],0),0)+
VLOOKUP(tabCustoUnit[[#This Row],[Código do Posto]],tabParametros[],MATCH(tabCustoUnit[[#Headers],[PIS]],tabParametros[#Headers],0),0)+
VLOOKUP(tabCustoUnit[[#This Row],[Código do Posto]],tabParametros[],MATCH(tabCustoUnit[[#Headers],[ISS]],tabParametros[#Headers],0),0))</f>
        <v>0.1125</v>
      </c>
      <c r="BU94" s="138">
        <f>tabCustoUnit[[#This Row],[COFINS]]+tabCustoUnit[[#This Row],[PIS]]+tabCustoUnit[[#This Row],[ISS (Conversão Alíquota s/ fatura)]]</f>
        <v>0.12676056338028174</v>
      </c>
      <c r="BV94" s="22">
        <f>(tabCustoUnit[[#This Row],[TOTAL MÓDULOS 1+2+3+4+5]]+tabCustoUnit[[#This Row],[Custos Indiretos]]+tabCustoUnit[[#This Row],[Lucro]])*tabCustoUnit[[#This Row],[PIS + COFINS + ISS (Total Conversão  Alíquota s/ Fatura)]]</f>
        <v>608.3521610392711</v>
      </c>
      <c r="BW94" s="22">
        <f>tabCustoUnit[[#This Row],[Custos Indiretos]]+tabCustoUnit[[#This Row],[Lucro]]+tabCustoUnit[[#This Row],[Valor dos Tributos (ISS, PIS, CONFINS)]]</f>
        <v>957.30595561973519</v>
      </c>
      <c r="BX94" s="22">
        <f>tabCustoUnit[[#This Row],[TOTAL MÓDULOS 1+2+3+4+5]]+tabCustoUnit[[#This Row],[MÓDULO 6 – CUSTOS INDIRETOS, TRIBUTOS E LUCRO]]</f>
        <v>5407.5747647935186</v>
      </c>
      <c r="BY94" s="22">
        <f>tabCustoUnit[[#This Row],[CUSTO TOTAL MENSAL]]*12</f>
        <v>64890.897177522224</v>
      </c>
      <c r="BZ94" s="24">
        <f>VLOOKUP(tabCustoUnit[[#This Row],[Código do Posto]],tabParametros[],MATCH(tabCustoUnit[[#Headers],[ANO DA CCT]],tabParametros[#Headers],0),0)</f>
        <v>45658</v>
      </c>
      <c r="CA94" s="25" t="str">
        <f>VLOOKUP(tabCustoUnit[[#This Row],[Código do Posto]],tabParametros[],MATCH(tabCustoUnit[[#Headers],[Nº DE PEDIDO DA CCT]],tabParametros[#Headers],0),0)</f>
        <v>-</v>
      </c>
      <c r="CB94" s="25" t="str">
        <f>VLOOKUP(tabCustoUnit[[#This Row],[Código do Posto]],tabParametros[],MATCH(tabCustoUnit[[#Headers],[TERMO ADITIVO ALTERAÇÃO DA CCT]],tabParametros[#Headers],0),0)</f>
        <v>-</v>
      </c>
    </row>
    <row r="95" spans="1:80" x14ac:dyDescent="0.25">
      <c r="A95" s="20" t="s">
        <v>1434</v>
      </c>
      <c r="B95" t="s">
        <v>91</v>
      </c>
      <c r="C95" t="s">
        <v>1244</v>
      </c>
      <c r="D95" t="s">
        <v>1023</v>
      </c>
      <c r="E95" s="20" t="s">
        <v>9</v>
      </c>
      <c r="F95" s="20" t="s">
        <v>10</v>
      </c>
      <c r="G95" s="21">
        <v>798.14</v>
      </c>
      <c r="H95" s="21">
        <v>0</v>
      </c>
      <c r="I95" s="21">
        <v>0</v>
      </c>
      <c r="J95" s="21">
        <v>0</v>
      </c>
      <c r="K95" s="21">
        <v>0</v>
      </c>
      <c r="L95" s="21">
        <v>0</v>
      </c>
      <c r="M95" s="21">
        <v>0</v>
      </c>
      <c r="N95" s="21">
        <v>26.120899999999999</v>
      </c>
      <c r="O95" s="21">
        <f>SUM(tabCustoUnit[[#This Row],[Salário Base]:[Adicional de Acúmulo de função]])</f>
        <v>824.26089999999999</v>
      </c>
      <c r="P95" s="21">
        <f>tabCustoUnit[[#This Row],[MODULO 1 - REMUNERAÇÃO ]]*SUMIFS(tabParametros[INSS],tabParametros[Código do Posto],tabCustoUnit[[#This Row],[Código do Posto]])</f>
        <v>164.85218</v>
      </c>
      <c r="Q95" s="21">
        <f>tabCustoUnit[[#This Row],[MODULO 1 - REMUNERAÇÃO ]]*SUMIFS(tabParametros[SESI OU SESC],tabParametros[Código do Posto],tabCustoUnit[[#This Row],[Código do Posto]])</f>
        <v>12.363913499999999</v>
      </c>
      <c r="R95" s="21">
        <f>tabCustoUnit[[#This Row],[MODULO 1 - REMUNERAÇÃO ]]*SUMIFS(tabParametros[SENAI OU SENAC],tabParametros[Código do Posto],tabCustoUnit[[#This Row],[Código do Posto]])</f>
        <v>8.2426089999999999</v>
      </c>
      <c r="S95" s="21">
        <f>tabCustoUnit[[#This Row],[MODULO 1 - REMUNERAÇÃO ]]*SUMIFS(tabParametros[INCRA],tabParametros[Código do Posto],tabCustoUnit[[#This Row],[Código do Posto]])</f>
        <v>1.6485217999999999</v>
      </c>
      <c r="T95" s="21">
        <f>tabCustoUnit[[#This Row],[MODULO 1 - REMUNERAÇÃO ]]*SUMIFS(tabParametros[Salário Educação],tabParametros[Código do Posto],tabCustoUnit[[#This Row],[Código do Posto]])</f>
        <v>20.606522500000001</v>
      </c>
      <c r="U95" s="21">
        <f>tabCustoUnit[[#This Row],[MODULO 1 - REMUNERAÇÃO ]]*SUMIFS(tabParametros[FGTS],tabParametros[Código do Posto],tabCustoUnit[[#This Row],[Código do Posto]])</f>
        <v>65.940871999999999</v>
      </c>
      <c r="V95" s="21">
        <f>tabCustoUnit[[#This Row],[MODULO 1 - REMUNERAÇÃO ]]*SUMIFS(tabParametros[RAT Ajustado],tabParametros[Código do Posto],tabCustoUnit[[#This Row],[Código do Posto]])</f>
        <v>32.970435999999999</v>
      </c>
      <c r="W95" s="21">
        <f>tabCustoUnit[[#This Row],[MODULO 1 - REMUNERAÇÃO ]]*SUMIFS(tabParametros[SEBRAE],tabParametros[Código do Posto],tabCustoUnit[[#This Row],[Código do Posto]])</f>
        <v>4.9455654000000004</v>
      </c>
      <c r="X95" s="21">
        <f>SUM(tabCustoUnit[[#This Row],[INSS]:[SEBRAE]])</f>
        <v>311.57062020000001</v>
      </c>
      <c r="Y95" s="21">
        <f>tabCustoUnit[[#This Row],[MODULO 1 - REMUNERAÇÃO ]]*SUMIFS(tabParametros[13º salário (titular)],tabParametros[Código do Posto],tabCustoUnit[[#This Row],[Código do Posto]])</f>
        <v>68.688408333333328</v>
      </c>
      <c r="Z95" s="21">
        <f>tabCustoUnit[[#This Row],[MODULO 1 - REMUNERAÇÃO ]]*SUMIFS(tabParametros[Férias e Adicional de Férias (titular)],tabParametros[Código do Posto],tabCustoUnit[[#This Row],[Código do Posto]])</f>
        <v>91.584544444444433</v>
      </c>
      <c r="AA95" s="21">
        <f>IFERROR((tabCustoUnit[[#This Row],[Submódulo 2.1]]/tabCustoUnit[[#This Row],[MODULO 1 - REMUNERAÇÃO ]])*SUM(tabCustoUnit[[#This Row],[13º salário (titular)]:[Férias e Adicional de Férias (titular)]]),0)</f>
        <v>60.583176149999993</v>
      </c>
      <c r="AB95" s="21">
        <f>SUM(tabCustoUnit[[#This Row],[13º salário (titular)]:[Incidência do Submódulo 2.1 sobre 13º Salário, Férias e Adicional de Férias]])</f>
        <v>220.85612892777775</v>
      </c>
      <c r="AC95" s="22">
        <f>_xlfn.LET(_xlpm.VT,SUMIF(tabParametros[Código do Posto],tabCustoUnit[[#This Row],[Código do Posto]],tabParametros[Vale - Transporte])*2*20,
IF((_xlpm.VT-tabCustoUnit[[#This Row],[Salário Base]]*0.06)&gt;=0,(_xlpm.VT-tabCustoUnit[[#This Row],[Salário Base]]*0.06),0)
)</f>
        <v>208.11160000000001</v>
      </c>
      <c r="AD95" s="22">
        <f>IF(SUMIF(tabParametros[Código do Posto],tabCustoUnit[[#This Row],[Código do Posto]],tabParametros[Vale - Alimentação])&lt;=0,0,
SUMIF(tabParametros[Código do Posto],tabCustoUnit[[#This Row],[Código do Posto]],tabParametros[Vale - Alimentação])*20-1)</f>
        <v>582</v>
      </c>
      <c r="AE95" s="22">
        <f>SUMIF(tabParametros[Código do Posto],tabCustoUnit[[#This Row],[Código do Posto]],tabParametros[Cesta Básica])</f>
        <v>0</v>
      </c>
      <c r="AF95" s="22">
        <f>SUMIF(tabParametros[Código do Posto],tabCustoUnit[[#This Row],[Código do Posto]],tabParametros[PAF])</f>
        <v>0</v>
      </c>
      <c r="AG95" s="22">
        <f>SUMIF(tabParametros[Código do Posto],tabCustoUnit[[#This Row],[Código do Posto]],tabParametros[PQM])</f>
        <v>0</v>
      </c>
      <c r="AH95" s="22">
        <f>SUMIF(tabParametros[Código do Posto],tabCustoUnit[[#This Row],[Código do Posto]],tabParametros[PAT])</f>
        <v>0</v>
      </c>
      <c r="AI95" s="22">
        <f>SUMIF(tabParametros[Código do Posto],tabCustoUnit[[#This Row],[Código do Posto]],tabParametros[Seguro de Vida])</f>
        <v>3.36</v>
      </c>
      <c r="AJ95" s="22">
        <f>SUMIF(tabParametros[Código do Posto],tabCustoUnit[[#This Row],[Código do Posto]],tabParametros[Despesas de Viagem])</f>
        <v>0</v>
      </c>
      <c r="AK95" s="22">
        <f>SUM(tabCustoUnit[[#This Row],[Vale - Transporte (Descontada parcela do empregado)]:[Despesas de Viagem]])</f>
        <v>793.47159999999997</v>
      </c>
      <c r="AL95" s="22">
        <f>tabCustoUnit[[#This Row],[Submódulo 2.1]]+tabCustoUnit[[#This Row],[Submódulo 2.2]]+tabCustoUnit[[#This Row],[Submódulo 2.3]]</f>
        <v>1325.8983491277777</v>
      </c>
      <c r="AM95" s="22">
        <f>SUMIF(tabParametros[Código do Posto],tabCustoUnit[[#This Row],[Código do Posto]],tabParametros[Aviso Prévio Indenizado (API) e Reflexo do Aviso Prévio Indenizado])*tabCustoUnit[[#This Row],[MODULO 1 - REMUNERAÇÃO ]]</f>
        <v>5.7795253576581791</v>
      </c>
      <c r="AN95" s="22">
        <f>SUMIF(tabParametros[Código do Posto],tabCustoUnit[[#This Row],[Código do Posto]],tabParametros[Incidência do FGTS sobre API e Reflexo do API])*tabCustoUnit[[#This Row],[MODULO 1 - REMUNERAÇÃO ]]</f>
        <v>0.46236202861265435</v>
      </c>
      <c r="AO95" s="22">
        <f>SUMIF(tabParametros[Código do Posto],tabCustoUnit[[#This Row],[Código do Posto]],tabParametros[Multa Rescisória do FGTS sobre o Aviso Prévio Indenizado])*tabCustoUnit[[#This Row],[MODULO 1 - REMUNERAÇÃO ]]</f>
        <v>0.18494481144506175</v>
      </c>
      <c r="AP95" s="22">
        <f>SUMIF(tabParametros[Código do Posto],tabCustoUnit[[#This Row],[Código do Posto]],tabParametros[Aviso Prévio Trabalhado - APT])*tabCustoUnit[[#This Row],[MODULO 1 - REMUNERAÇÃO ]]</f>
        <v>2.8849131500000005</v>
      </c>
      <c r="AQ95" s="22">
        <f>SUMIF(tabParametros[Código do Posto],tabCustoUnit[[#This Row],[Código do Posto]],tabParametros[Incidência dos encargos do submódulo 2.1 sobre Aviso Prévio Trabalhado])*tabCustoUnit[[#This Row],[MODULO 1 - REMUNERAÇÃO ]]</f>
        <v>1.0904971707000004</v>
      </c>
      <c r="AR95" s="22">
        <f>SUMIF(tabParametros[Código do Posto],tabCustoUnit[[#This Row],[Código do Posto]],tabParametros[Multa Rescisória do FGTS])*tabCustoUnit[[#This Row],[MODULO 1 - REMUNERAÇÃO ]]</f>
        <v>25.204066631111107</v>
      </c>
      <c r="AS95" s="22">
        <f>SUMIF(tabParametros[Código do Posto],tabCustoUnit[[#This Row],[Código do Posto]],tabParametros[Indenização Adicional (Art. 9º da Lei nº 7.238/84)])*tabCustoUnit[[#This Row],[MODULO 1 - REMUNERAÇÃO ]]</f>
        <v>0.6868840833333334</v>
      </c>
      <c r="AT95" s="22">
        <f>SUM(tabCustoUnit[[#This Row],[Aviso Prévio Indenizado (API) e Reflexo do Aviso Prévio Indenizado]:[Indenização Adicional (Art. 9º da Lei nº 7.238/84)]])</f>
        <v>36.293193232860339</v>
      </c>
      <c r="AU95" s="22">
        <f>SUMIF(tabParametros[Código do Posto],tabCustoUnit[[#This Row],[Código do Posto]],tabParametros[Ausência por Doença])*tabCustoUnit[[#This Row],[MODULO 1 - REMUNERAÇÃO ]]</f>
        <v>6.9604253777777769</v>
      </c>
      <c r="AV95" s="22">
        <f>SUMIF(tabParametros[Código do Posto],tabCustoUnit[[#This Row],[Código do Posto]],tabParametros[Ausências Legais])*tabCustoUnit[[#This Row],[MODULO 1 - REMUNERAÇÃO ]]</f>
        <v>1.671417936111111</v>
      </c>
      <c r="AW95" s="22">
        <f>SUMIF(tabParametros[Código do Posto],tabCustoUnit[[#This Row],[Código do Posto]],tabParametros[Licença Paternidade])*tabCustoUnit[[#This Row],[MODULO 1 - REMUNERAÇÃO ]]</f>
        <v>0.14081123708333332</v>
      </c>
      <c r="AX95" s="22">
        <f>SUMIF(tabParametros[Código do Posto],tabCustoUnit[[#This Row],[Código do Posto]],tabParametros[Ausência por Acidente de Trabalho])*tabCustoUnit[[#This Row],[MODULO 1 - REMUNERAÇÃO ]]</f>
        <v>0.17172102083333335</v>
      </c>
      <c r="AY95" s="22">
        <f>SUMIF(tabParametros[Código do Posto],tabCustoUnit[[#This Row],[Código do Posto]],tabParametros[Férias, Adicional de Férias e 13º  com empregada em gozo de Licença Maternidade])*tabCustoUnit[[#This Row],[MODULO 1 - REMUNERAÇÃO ]]</f>
        <v>1.0684863518518517</v>
      </c>
      <c r="AZ95" s="22">
        <f>SUMIF(tabParametros[Código do Posto],tabCustoUnit[[#This Row],[Código do Posto]],tabParametros[Incidência do Submódulo 2.1 sobre Ausências Legais])*tabCustoUnit[[#This Row],[MODULO 1 - REMUNERAÇÃO ]]</f>
        <v>3.7848618071425006</v>
      </c>
      <c r="BA95" s="22">
        <f>SUM(tabCustoUnit[[#This Row],[Ausência por Doença]:[Incidência do Submódulo 2.1 sobre Ausências Legais]])</f>
        <v>13.797723730799909</v>
      </c>
      <c r="BB95" s="22">
        <f>SUMIF(tabParametros[Código do Posto],tabCustoUnit[[#This Row],[Código do Posto]],tabParametros[Intervalo para Repouso ou Alimentação])</f>
        <v>0</v>
      </c>
      <c r="BC95" s="22">
        <f>tabCustoUnit[[#This Row],[Intervalo para Repouso ou Alimentação]]</f>
        <v>0</v>
      </c>
      <c r="BD95" s="22">
        <f>IF(VLOOKUP(tabCustoUnit[[#This Row],[Código do Posto]],PARAMETROS!$A$4:$BJ$255,7,0)&lt;=0,0,
IFERROR((tabCustoUnit[[#This Row],[MODULO 1 - REMUNERAÇÃO ]]*VLOOKUP(tabCustoUnit[[#This Row],[Código do Posto]],PARAMETROS!$A$4:$BJ$255,49,0))/(VLOOKUP(tabCustoUnit[[#This Row],[Código do Posto]],PARAMETROS!$A$4:$BJ$255,7,0)*VLOOKUP(tabCustoUnit[[#This Row],[Código do Posto]],PARAMETROS!$A$4:$BJ$255,8,0)),0)
)</f>
        <v>0</v>
      </c>
      <c r="BE95" s="22">
        <f>tabCustoUnit[[#This Row],[Suspensão Temporária do Contrato de Trabalho]]</f>
        <v>0</v>
      </c>
      <c r="BF95" s="22">
        <f>tabCustoUnit[[#This Row],[Submódulo 4.1]]+tabCustoUnit[[#This Row],[Submódulo 4.2]]+tabCustoUnit[[#This Row],[Submódulo 4.3]]</f>
        <v>13.797723730799909</v>
      </c>
      <c r="BG95" s="22">
        <f>VLOOKUP(tabCustoUnit[[#This Row],[Código do Posto]],tabParametros[],MATCH(tabCustoUnit[[#Headers],[Uniformes e EPIs]],tabParametros[#Headers],0),0)</f>
        <v>62.806666666666665</v>
      </c>
      <c r="BH95" s="22">
        <f>VLOOKUP(tabCustoUnit[[#This Row],[Código do Posto]],tabParametros[],MATCH(tabCustoUnit[[#Headers],[Materiais de Consumo]],tabParametros[#Headers],0),0)</f>
        <v>17.759106479291944</v>
      </c>
      <c r="BI95" s="22">
        <f>VLOOKUP(tabCustoUnit[[#This Row],[Código do Posto]],tabParametros[],MATCH(tabCustoUnit[[#Headers],[Máquinas e Equipamentos (depreciação)]],tabParametros[#Headers],0),0)</f>
        <v>32.264696957412788</v>
      </c>
      <c r="BJ95" s="22">
        <f>VLOOKUP(tabCustoUnit[[#This Row],[Código do Posto]],tabParametros[],MATCH(tabCustoUnit[[#Headers],[Produtos de Limpeza e Materiais de Higiene Pessoal]],tabParametros[#Headers],0),0)</f>
        <v>345.13576638965827</v>
      </c>
      <c r="BK95" s="22">
        <f>VLOOKUP(tabCustoUnit[[#This Row],[Código do Posto]],tabParametros[],MATCH(tabCustoUnit[[#Headers],[Outros (especificar)]],tabParametros[#Headers],0),0)</f>
        <v>0</v>
      </c>
      <c r="BL95" s="22">
        <f>SUM(tabCustoUnit[[#This Row],[Uniformes e EPIs]:[Outros (especificar)]])</f>
        <v>457.96623649302967</v>
      </c>
      <c r="BM95" s="22">
        <f>tabCustoUnit[[#This Row],[MODULO 1 - REMUNERAÇÃO ]]+tabCustoUnit[[#This Row],[MÓDULO 2 - Total Encargos e Benefícios mensais e diários]]+tabCustoUnit[[#This Row],[MÓDULO 3 – PROVISÃO PARA RESCISÃO]]+tabCustoUnit[[#This Row],[MÓDULO 4 – CUSTO DE REPOSIÇÃO DO PROFISSIONAL AUSENTE]]+tabCustoUnit[[#This Row],[MÓDULO 5 – INSUMOS DIVERSOS]]</f>
        <v>2658.2164025844677</v>
      </c>
      <c r="BN95" s="22">
        <f>VLOOKUP(tabCustoUnit[[#This Row],[Código do Posto]],tabParametros[],MATCH(tabCustoUnit[[#Headers],[Custos Indiretos]],tabParametros[#Headers],0),0)</f>
        <v>189.64880140242613</v>
      </c>
      <c r="BO95" s="22">
        <f>VLOOKUP(tabCustoUnit[[#This Row],[Código do Posto]],tabParametros[],MATCH(tabCustoUnit[[#Headers],[Lucro]],tabParametros[#Headers],0),0)</f>
        <v>159.30499317803796</v>
      </c>
      <c r="BP95" s="26">
        <f>((100/((1-tabCustoUnit[[#This Row],[Resumo de Alíquotas (PIS+CONFINS+ISS)]]))-100)*VLOOKUP(tabCustoUnit[[#This Row],[Código do Posto]],tabParametros[],MATCH(tabCustoUnit[[#Headers],[COFINS]],tabParametros[#Headers],0),0))/(tabCustoUnit[[#This Row],[Resumo de Alíquotas (PIS+CONFINS+ISS)]]*100)</f>
        <v>8.5633802816901458E-2</v>
      </c>
      <c r="BQ95" s="26">
        <f>((100/((100-(tabCustoUnit[[#This Row],[Resumo de Alíquotas (PIS+CONFINS+ISS)]]*100))%)-100)*VLOOKUP(tabCustoUnit[[#This Row],[Código do Posto]],tabParametros[],MATCH(tabCustoUnit[[#Headers],[PIS]],tabParametros[#Headers],0),0))/(tabCustoUnit[[#This Row],[Resumo de Alíquotas (PIS+CONFINS+ISS)]]*100)</f>
        <v>1.8591549295774657E-2</v>
      </c>
      <c r="BR95" s="28">
        <f>VLOOKUP(tabCustoUnit[[#This Row],[Código do Posto]],tabParametros[],MATCH(tabCustoUnit[[#Headers],[ISS]],tabParametros[#Headers],0),0)</f>
        <v>0.02</v>
      </c>
      <c r="BS95" s="26">
        <f>(((100/((100-(tabCustoUnit[[#This Row],[Resumo de Alíquotas (PIS+CONFINS+ISS)]]*100))%)-100)*tabCustoUnit[[#This Row],[ISS]])/tabCustoUnit[[#This Row],[Resumo de Alíquotas (PIS+CONFINS+ISS)]])/100</f>
        <v>2.2535211267605645E-2</v>
      </c>
      <c r="BT95" s="26">
        <f>(VLOOKUP(tabCustoUnit[[#This Row],[Código do Posto]],tabParametros[],MATCH(tabCustoUnit[[#Headers],[COFINS]],tabParametros[#Headers],0),0)+
VLOOKUP(tabCustoUnit[[#This Row],[Código do Posto]],tabParametros[],MATCH(tabCustoUnit[[#Headers],[PIS]],tabParametros[#Headers],0),0)+
VLOOKUP(tabCustoUnit[[#This Row],[Código do Posto]],tabParametros[],MATCH(tabCustoUnit[[#Headers],[ISS]],tabParametros[#Headers],0),0))</f>
        <v>0.1125</v>
      </c>
      <c r="BU95" s="138">
        <f>tabCustoUnit[[#This Row],[COFINS]]+tabCustoUnit[[#This Row],[PIS]]+tabCustoUnit[[#This Row],[ISS (Conversão Alíquota s/ fatura)]]</f>
        <v>0.12676056338028174</v>
      </c>
      <c r="BV95" s="22">
        <f>(tabCustoUnit[[#This Row],[TOTAL MÓDULOS 1+2+3+4+5]]+tabCustoUnit[[#This Row],[Custos Indiretos]]+tabCustoUnit[[#This Row],[Lucro]])*tabCustoUnit[[#This Row],[PIS + COFINS + ISS (Total Conversão  Alíquota s/ Fatura)]]</f>
        <v>381.19058837301969</v>
      </c>
      <c r="BW95" s="22">
        <f>tabCustoUnit[[#This Row],[Custos Indiretos]]+tabCustoUnit[[#This Row],[Lucro]]+tabCustoUnit[[#This Row],[Valor dos Tributos (ISS, PIS, CONFINS)]]</f>
        <v>730.14438295348373</v>
      </c>
      <c r="BX95" s="22">
        <f>tabCustoUnit[[#This Row],[TOTAL MÓDULOS 1+2+3+4+5]]+tabCustoUnit[[#This Row],[MÓDULO 6 – CUSTOS INDIRETOS, TRIBUTOS E LUCRO]]</f>
        <v>3388.3607855379514</v>
      </c>
      <c r="BY95" s="22">
        <f>tabCustoUnit[[#This Row],[CUSTO TOTAL MENSAL]]*12</f>
        <v>40660.329426455413</v>
      </c>
      <c r="BZ95" s="24">
        <f>VLOOKUP(tabCustoUnit[[#This Row],[Código do Posto]],tabParametros[],MATCH(tabCustoUnit[[#Headers],[ANO DA CCT]],tabParametros[#Headers],0),0)</f>
        <v>45658</v>
      </c>
      <c r="CA95" s="25" t="str">
        <f>VLOOKUP(tabCustoUnit[[#This Row],[Código do Posto]],tabParametros[],MATCH(tabCustoUnit[[#Headers],[Nº DE PEDIDO DA CCT]],tabParametros[#Headers],0),0)</f>
        <v>-</v>
      </c>
      <c r="CB95" s="25" t="str">
        <f>VLOOKUP(tabCustoUnit[[#This Row],[Código do Posto]],tabParametros[],MATCH(tabCustoUnit[[#Headers],[TERMO ADITIVO ALTERAÇÃO DA CCT]],tabParametros[#Headers],0),0)</f>
        <v>-</v>
      </c>
    </row>
    <row r="96" spans="1:80" x14ac:dyDescent="0.25">
      <c r="A96" s="20" t="s">
        <v>1435</v>
      </c>
      <c r="B96" t="s">
        <v>91</v>
      </c>
      <c r="C96" t="s">
        <v>1245</v>
      </c>
      <c r="D96" t="s">
        <v>1023</v>
      </c>
      <c r="E96" s="20" t="s">
        <v>9</v>
      </c>
      <c r="F96" s="20" t="s">
        <v>10</v>
      </c>
      <c r="G96" s="21">
        <v>1596.28</v>
      </c>
      <c r="H96" s="21">
        <v>0</v>
      </c>
      <c r="I96" s="21">
        <v>0</v>
      </c>
      <c r="J96" s="21">
        <v>0</v>
      </c>
      <c r="K96" s="21">
        <v>0</v>
      </c>
      <c r="L96" s="21">
        <v>0</v>
      </c>
      <c r="M96" s="21">
        <v>0</v>
      </c>
      <c r="N96" s="21">
        <v>52.241900000000001</v>
      </c>
      <c r="O96" s="21">
        <f>SUM(tabCustoUnit[[#This Row],[Salário Base]:[Adicional de Acúmulo de função]])</f>
        <v>1648.5219</v>
      </c>
      <c r="P96" s="21">
        <f>tabCustoUnit[[#This Row],[MODULO 1 - REMUNERAÇÃO ]]*SUMIFS(tabParametros[INSS],tabParametros[Código do Posto],tabCustoUnit[[#This Row],[Código do Posto]])</f>
        <v>329.70438000000001</v>
      </c>
      <c r="Q96" s="21">
        <f>tabCustoUnit[[#This Row],[MODULO 1 - REMUNERAÇÃO ]]*SUMIFS(tabParametros[SESI OU SESC],tabParametros[Código do Posto],tabCustoUnit[[#This Row],[Código do Posto]])</f>
        <v>24.727828499999998</v>
      </c>
      <c r="R96" s="21">
        <f>tabCustoUnit[[#This Row],[MODULO 1 - REMUNERAÇÃO ]]*SUMIFS(tabParametros[SENAI OU SENAC],tabParametros[Código do Posto],tabCustoUnit[[#This Row],[Código do Posto]])</f>
        <v>16.485219000000001</v>
      </c>
      <c r="S96" s="21">
        <f>tabCustoUnit[[#This Row],[MODULO 1 - REMUNERAÇÃO ]]*SUMIFS(tabParametros[INCRA],tabParametros[Código do Posto],tabCustoUnit[[#This Row],[Código do Posto]])</f>
        <v>3.2970438</v>
      </c>
      <c r="T96" s="21">
        <f>tabCustoUnit[[#This Row],[MODULO 1 - REMUNERAÇÃO ]]*SUMIFS(tabParametros[Salário Educação],tabParametros[Código do Posto],tabCustoUnit[[#This Row],[Código do Posto]])</f>
        <v>41.213047500000002</v>
      </c>
      <c r="U96" s="21">
        <f>tabCustoUnit[[#This Row],[MODULO 1 - REMUNERAÇÃO ]]*SUMIFS(tabParametros[FGTS],tabParametros[Código do Posto],tabCustoUnit[[#This Row],[Código do Posto]])</f>
        <v>131.88175200000001</v>
      </c>
      <c r="V96" s="21">
        <f>tabCustoUnit[[#This Row],[MODULO 1 - REMUNERAÇÃO ]]*SUMIFS(tabParametros[RAT Ajustado],tabParametros[Código do Posto],tabCustoUnit[[#This Row],[Código do Posto]])</f>
        <v>65.940876000000003</v>
      </c>
      <c r="W96" s="21">
        <f>tabCustoUnit[[#This Row],[MODULO 1 - REMUNERAÇÃO ]]*SUMIFS(tabParametros[SEBRAE],tabParametros[Código do Posto],tabCustoUnit[[#This Row],[Código do Posto]])</f>
        <v>9.8911314000000008</v>
      </c>
      <c r="X96" s="21">
        <f>SUM(tabCustoUnit[[#This Row],[INSS]:[SEBRAE]])</f>
        <v>623.14127819999999</v>
      </c>
      <c r="Y96" s="21">
        <f>tabCustoUnit[[#This Row],[MODULO 1 - REMUNERAÇÃO ]]*SUMIFS(tabParametros[13º salário (titular)],tabParametros[Código do Posto],tabCustoUnit[[#This Row],[Código do Posto]])</f>
        <v>137.376825</v>
      </c>
      <c r="Z96" s="21">
        <f>tabCustoUnit[[#This Row],[MODULO 1 - REMUNERAÇÃO ]]*SUMIFS(tabParametros[Férias e Adicional de Férias (titular)],tabParametros[Código do Posto],tabCustoUnit[[#This Row],[Código do Posto]])</f>
        <v>183.16909999999999</v>
      </c>
      <c r="AA96" s="21">
        <f>IFERROR((tabCustoUnit[[#This Row],[Submódulo 2.1]]/tabCustoUnit[[#This Row],[MODULO 1 - REMUNERAÇÃO ]])*SUM(tabCustoUnit[[#This Row],[13º salário (titular)]:[Férias e Adicional de Férias (titular)]]),0)</f>
        <v>121.16635965</v>
      </c>
      <c r="AB96" s="21">
        <f>SUM(tabCustoUnit[[#This Row],[13º salário (titular)]:[Incidência do Submódulo 2.1 sobre 13º Salário, Férias e Adicional de Férias]])</f>
        <v>441.71228465000002</v>
      </c>
      <c r="AC96" s="22">
        <f>_xlfn.LET(_xlpm.VT,SUMIF(tabParametros[Código do Posto],tabCustoUnit[[#This Row],[Código do Posto]],tabParametros[Vale - Transporte])*2*20,
IF((_xlpm.VT-tabCustoUnit[[#This Row],[Salário Base]]*0.06)&gt;=0,(_xlpm.VT-tabCustoUnit[[#This Row],[Salário Base]]*0.06),0)
)</f>
        <v>160.22320000000002</v>
      </c>
      <c r="AD96" s="22">
        <f>IF(SUMIF(tabParametros[Código do Posto],tabCustoUnit[[#This Row],[Código do Posto]],tabParametros[Vale - Alimentação])&lt;=0,0,
SUMIF(tabParametros[Código do Posto],tabCustoUnit[[#This Row],[Código do Posto]],tabParametros[Vale - Alimentação])*20-1)</f>
        <v>582</v>
      </c>
      <c r="AE96" s="22">
        <f>SUMIF(tabParametros[Código do Posto],tabCustoUnit[[#This Row],[Código do Posto]],tabParametros[Cesta Básica])</f>
        <v>0</v>
      </c>
      <c r="AF96" s="22">
        <f>SUMIF(tabParametros[Código do Posto],tabCustoUnit[[#This Row],[Código do Posto]],tabParametros[PAF])</f>
        <v>0</v>
      </c>
      <c r="AG96" s="22">
        <f>SUMIF(tabParametros[Código do Posto],tabCustoUnit[[#This Row],[Código do Posto]],tabParametros[PQM])</f>
        <v>0</v>
      </c>
      <c r="AH96" s="22">
        <f>SUMIF(tabParametros[Código do Posto],tabCustoUnit[[#This Row],[Código do Posto]],tabParametros[PAT])</f>
        <v>0</v>
      </c>
      <c r="AI96" s="22">
        <f>SUMIF(tabParametros[Código do Posto],tabCustoUnit[[#This Row],[Código do Posto]],tabParametros[Seguro de Vida])</f>
        <v>3.36</v>
      </c>
      <c r="AJ96" s="22">
        <f>SUMIF(tabParametros[Código do Posto],tabCustoUnit[[#This Row],[Código do Posto]],tabParametros[Despesas de Viagem])</f>
        <v>0</v>
      </c>
      <c r="AK96" s="22">
        <f>SUM(tabCustoUnit[[#This Row],[Vale - Transporte (Descontada parcela do empregado)]:[Despesas de Viagem]])</f>
        <v>745.58320000000003</v>
      </c>
      <c r="AL96" s="22">
        <f>tabCustoUnit[[#This Row],[Submódulo 2.1]]+tabCustoUnit[[#This Row],[Submódulo 2.2]]+tabCustoUnit[[#This Row],[Submódulo 2.3]]</f>
        <v>1810.4367628499999</v>
      </c>
      <c r="AM96" s="22">
        <f>SUMIF(tabParametros[Código do Posto],tabCustoUnit[[#This Row],[Código do Posto]],tabParametros[Aviso Prévio Indenizado (API) e Reflexo do Aviso Prévio Indenizado])*tabCustoUnit[[#This Row],[MODULO 1 - REMUNERAÇÃO ]]</f>
        <v>11.559051416493055</v>
      </c>
      <c r="AN96" s="22">
        <f>SUMIF(tabParametros[Código do Posto],tabCustoUnit[[#This Row],[Código do Posto]],tabParametros[Incidência do FGTS sobre API e Reflexo do API])*tabCustoUnit[[#This Row],[MODULO 1 - REMUNERAÇÃO ]]</f>
        <v>0.92472411331944449</v>
      </c>
      <c r="AO96" s="22">
        <f>SUMIF(tabParametros[Código do Posto],tabCustoUnit[[#This Row],[Código do Posto]],tabParametros[Multa Rescisória do FGTS sobre o Aviso Prévio Indenizado])*tabCustoUnit[[#This Row],[MODULO 1 - REMUNERAÇÃO ]]</f>
        <v>0.36988964532777785</v>
      </c>
      <c r="AP96" s="22">
        <f>SUMIF(tabParametros[Código do Posto],tabCustoUnit[[#This Row],[Código do Posto]],tabParametros[Aviso Prévio Trabalhado - APT])*tabCustoUnit[[#This Row],[MODULO 1 - REMUNERAÇÃO ]]</f>
        <v>5.7698266500000006</v>
      </c>
      <c r="AQ96" s="22">
        <f>SUMIF(tabParametros[Código do Posto],tabCustoUnit[[#This Row],[Código do Posto]],tabParametros[Incidência dos encargos do submódulo 2.1 sobre Aviso Prévio Trabalhado])*tabCustoUnit[[#This Row],[MODULO 1 - REMUNERAÇÃO ]]</f>
        <v>2.1809944737000007</v>
      </c>
      <c r="AR96" s="22">
        <f>SUMIF(tabParametros[Código do Posto],tabCustoUnit[[#This Row],[Código do Posto]],tabParametros[Multa Rescisória do FGTS])*tabCustoUnit[[#This Row],[MODULO 1 - REMUNERAÇÃO ]]</f>
        <v>50.40813631999999</v>
      </c>
      <c r="AS96" s="22">
        <f>SUMIF(tabParametros[Código do Posto],tabCustoUnit[[#This Row],[Código do Posto]],tabParametros[Indenização Adicional (Art. 9º da Lei nº 7.238/84)])*tabCustoUnit[[#This Row],[MODULO 1 - REMUNERAÇÃO ]]</f>
        <v>1.3737682500000001</v>
      </c>
      <c r="AT96" s="22">
        <f>SUM(tabCustoUnit[[#This Row],[Aviso Prévio Indenizado (API) e Reflexo do Aviso Prévio Indenizado]:[Indenização Adicional (Art. 9º da Lei nº 7.238/84)]])</f>
        <v>72.586390868840269</v>
      </c>
      <c r="AU96" s="22">
        <f>SUMIF(tabParametros[Código do Posto],tabCustoUnit[[#This Row],[Código do Posto]],tabParametros[Ausência por Doença])*tabCustoUnit[[#This Row],[MODULO 1 - REMUNERAÇÃO ]]</f>
        <v>13.920851599999999</v>
      </c>
      <c r="AV96" s="22">
        <f>SUMIF(tabParametros[Código do Posto],tabCustoUnit[[#This Row],[Código do Posto]],tabParametros[Ausências Legais])*tabCustoUnit[[#This Row],[MODULO 1 - REMUNERAÇÃO ]]</f>
        <v>3.3428360749999997</v>
      </c>
      <c r="AW96" s="22">
        <f>SUMIF(tabParametros[Código do Posto],tabCustoUnit[[#This Row],[Código do Posto]],tabParametros[Licença Paternidade])*tabCustoUnit[[#This Row],[MODULO 1 - REMUNERAÇÃO ]]</f>
        <v>0.28162249125</v>
      </c>
      <c r="AX96" s="22">
        <f>SUMIF(tabParametros[Código do Posto],tabCustoUnit[[#This Row],[Código do Posto]],tabParametros[Ausência por Acidente de Trabalho])*tabCustoUnit[[#This Row],[MODULO 1 - REMUNERAÇÃO ]]</f>
        <v>0.34344206250000003</v>
      </c>
      <c r="AY96" s="22">
        <f>SUMIF(tabParametros[Código do Posto],tabCustoUnit[[#This Row],[Código do Posto]],tabParametros[Férias, Adicional de Férias e 13º  com empregada em gozo de Licença Maternidade])*tabCustoUnit[[#This Row],[MODULO 1 - REMUNERAÇÃO ]]</f>
        <v>2.1369728333333331</v>
      </c>
      <c r="AZ96" s="22">
        <f>SUMIF(tabParametros[Código do Posto],tabCustoUnit[[#This Row],[Código do Posto]],tabParametros[Incidência do Submódulo 2.1 sobre Ausências Legais])*tabCustoUnit[[#This Row],[MODULO 1 - REMUNERAÇÃO ]]</f>
        <v>7.5697240734675013</v>
      </c>
      <c r="BA96" s="22">
        <f>SUM(tabCustoUnit[[#This Row],[Ausência por Doença]:[Incidência do Submódulo 2.1 sobre Ausências Legais]])</f>
        <v>27.595449135550833</v>
      </c>
      <c r="BB96" s="22">
        <f>SUMIF(tabParametros[Código do Posto],tabCustoUnit[[#This Row],[Código do Posto]],tabParametros[Intervalo para Repouso ou Alimentação])</f>
        <v>0</v>
      </c>
      <c r="BC96" s="22">
        <f>tabCustoUnit[[#This Row],[Intervalo para Repouso ou Alimentação]]</f>
        <v>0</v>
      </c>
      <c r="BD96" s="22">
        <f>IF(VLOOKUP(tabCustoUnit[[#This Row],[Código do Posto]],PARAMETROS!$A$4:$BJ$255,7,0)&lt;=0,0,
IFERROR((tabCustoUnit[[#This Row],[MODULO 1 - REMUNERAÇÃO ]]*VLOOKUP(tabCustoUnit[[#This Row],[Código do Posto]],PARAMETROS!$A$4:$BJ$255,49,0))/(VLOOKUP(tabCustoUnit[[#This Row],[Código do Posto]],PARAMETROS!$A$4:$BJ$255,7,0)*VLOOKUP(tabCustoUnit[[#This Row],[Código do Posto]],PARAMETROS!$A$4:$BJ$255,8,0)),0)
)</f>
        <v>0</v>
      </c>
      <c r="BE96" s="22">
        <f>tabCustoUnit[[#This Row],[Suspensão Temporária do Contrato de Trabalho]]</f>
        <v>0</v>
      </c>
      <c r="BF96" s="22">
        <f>tabCustoUnit[[#This Row],[Submódulo 4.1]]+tabCustoUnit[[#This Row],[Submódulo 4.2]]+tabCustoUnit[[#This Row],[Submódulo 4.3]]</f>
        <v>27.595449135550833</v>
      </c>
      <c r="BG96" s="22">
        <f>VLOOKUP(tabCustoUnit[[#This Row],[Código do Posto]],tabParametros[],MATCH(tabCustoUnit[[#Headers],[Uniformes e EPIs]],tabParametros[#Headers],0),0)</f>
        <v>100.80916666666666</v>
      </c>
      <c r="BH96" s="22">
        <f>VLOOKUP(tabCustoUnit[[#This Row],[Código do Posto]],tabParametros[],MATCH(tabCustoUnit[[#Headers],[Materiais de Consumo]],tabParametros[#Headers],0),0)</f>
        <v>35.518212958583888</v>
      </c>
      <c r="BI96" s="22">
        <f>VLOOKUP(tabCustoUnit[[#This Row],[Código do Posto]],tabParametros[],MATCH(tabCustoUnit[[#Headers],[Máquinas e Equipamentos (depreciação)]],tabParametros[#Headers],0),0)</f>
        <v>64.529393914825576</v>
      </c>
      <c r="BJ96" s="22">
        <f>VLOOKUP(tabCustoUnit[[#This Row],[Código do Posto]],tabParametros[],MATCH(tabCustoUnit[[#Headers],[Produtos de Limpeza e Materiais de Higiene Pessoal]],tabParametros[#Headers],0),0)</f>
        <v>690.27153277931654</v>
      </c>
      <c r="BK96" s="22">
        <f>VLOOKUP(tabCustoUnit[[#This Row],[Código do Posto]],tabParametros[],MATCH(tabCustoUnit[[#Headers],[Outros (especificar)]],tabParametros[#Headers],0),0)</f>
        <v>0</v>
      </c>
      <c r="BL96" s="22">
        <f>SUM(tabCustoUnit[[#This Row],[Uniformes e EPIs]:[Outros (especificar)]])</f>
        <v>891.12830631939266</v>
      </c>
      <c r="BM96" s="22">
        <f>tabCustoUnit[[#This Row],[MODULO 1 - REMUNERAÇÃO ]]+tabCustoUnit[[#This Row],[MÓDULO 2 - Total Encargos e Benefícios mensais e diários]]+tabCustoUnit[[#This Row],[MÓDULO 3 – PROVISÃO PARA RESCISÃO]]+tabCustoUnit[[#This Row],[MÓDULO 4 – CUSTO DE REPOSIÇÃO DO PROFISSIONAL AUSENTE]]+tabCustoUnit[[#This Row],[MÓDULO 5 – INSUMOS DIVERSOS]]</f>
        <v>4450.2688091737837</v>
      </c>
      <c r="BN96" s="22">
        <f>VLOOKUP(tabCustoUnit[[#This Row],[Código do Posto]],tabParametros[],MATCH(tabCustoUnit[[#Headers],[Custos Indiretos]],tabParametros[#Headers],0),0)</f>
        <v>189.64880140242613</v>
      </c>
      <c r="BO96" s="22">
        <f>VLOOKUP(tabCustoUnit[[#This Row],[Código do Posto]],tabParametros[],MATCH(tabCustoUnit[[#Headers],[Lucro]],tabParametros[#Headers],0),0)</f>
        <v>159.30499317803796</v>
      </c>
      <c r="BP96" s="26">
        <f>((100/((1-tabCustoUnit[[#This Row],[Resumo de Alíquotas (PIS+CONFINS+ISS)]]))-100)*VLOOKUP(tabCustoUnit[[#This Row],[Código do Posto]],tabParametros[],MATCH(tabCustoUnit[[#Headers],[COFINS]],tabParametros[#Headers],0),0))/(tabCustoUnit[[#This Row],[Resumo de Alíquotas (PIS+CONFINS+ISS)]]*100)</f>
        <v>8.5633802816901458E-2</v>
      </c>
      <c r="BQ96" s="26">
        <f>((100/((100-(tabCustoUnit[[#This Row],[Resumo de Alíquotas (PIS+CONFINS+ISS)]]*100))%)-100)*VLOOKUP(tabCustoUnit[[#This Row],[Código do Posto]],tabParametros[],MATCH(tabCustoUnit[[#Headers],[PIS]],tabParametros[#Headers],0),0))/(tabCustoUnit[[#This Row],[Resumo de Alíquotas (PIS+CONFINS+ISS)]]*100)</f>
        <v>1.8591549295774657E-2</v>
      </c>
      <c r="BR96" s="28">
        <f>VLOOKUP(tabCustoUnit[[#This Row],[Código do Posto]],tabParametros[],MATCH(tabCustoUnit[[#Headers],[ISS]],tabParametros[#Headers],0),0)</f>
        <v>0.02</v>
      </c>
      <c r="BS96" s="26">
        <f>(((100/((100-(tabCustoUnit[[#This Row],[Resumo de Alíquotas (PIS+CONFINS+ISS)]]*100))%)-100)*tabCustoUnit[[#This Row],[ISS]])/tabCustoUnit[[#This Row],[Resumo de Alíquotas (PIS+CONFINS+ISS)]])/100</f>
        <v>2.2535211267605645E-2</v>
      </c>
      <c r="BT96" s="26">
        <f>(VLOOKUP(tabCustoUnit[[#This Row],[Código do Posto]],tabParametros[],MATCH(tabCustoUnit[[#Headers],[COFINS]],tabParametros[#Headers],0),0)+
VLOOKUP(tabCustoUnit[[#This Row],[Código do Posto]],tabParametros[],MATCH(tabCustoUnit[[#Headers],[PIS]],tabParametros[#Headers],0),0)+
VLOOKUP(tabCustoUnit[[#This Row],[Código do Posto]],tabParametros[],MATCH(tabCustoUnit[[#Headers],[ISS]],tabParametros[#Headers],0),0))</f>
        <v>0.1125</v>
      </c>
      <c r="BU96" s="138">
        <f>tabCustoUnit[[#This Row],[COFINS]]+tabCustoUnit[[#This Row],[PIS]]+tabCustoUnit[[#This Row],[ISS (Conversão Alíquota s/ fatura)]]</f>
        <v>0.12676056338028174</v>
      </c>
      <c r="BV96" s="22">
        <f>(tabCustoUnit[[#This Row],[TOTAL MÓDULOS 1+2+3+4+5]]+tabCustoUnit[[#This Row],[Custos Indiretos]]+tabCustoUnit[[#This Row],[Lucro]])*tabCustoUnit[[#This Row],[PIS + COFINS + ISS (Total Conversão  Alíquota s/ Fatura)]]</f>
        <v>608.3521610392711</v>
      </c>
      <c r="BW96" s="22">
        <f>tabCustoUnit[[#This Row],[Custos Indiretos]]+tabCustoUnit[[#This Row],[Lucro]]+tabCustoUnit[[#This Row],[Valor dos Tributos (ISS, PIS, CONFINS)]]</f>
        <v>957.30595561973519</v>
      </c>
      <c r="BX96" s="22">
        <f>tabCustoUnit[[#This Row],[TOTAL MÓDULOS 1+2+3+4+5]]+tabCustoUnit[[#This Row],[MÓDULO 6 – CUSTOS INDIRETOS, TRIBUTOS E LUCRO]]</f>
        <v>5407.5747647935186</v>
      </c>
      <c r="BY96" s="22">
        <f>tabCustoUnit[[#This Row],[CUSTO TOTAL MENSAL]]*12</f>
        <v>64890.897177522224</v>
      </c>
      <c r="BZ96" s="24">
        <f>VLOOKUP(tabCustoUnit[[#This Row],[Código do Posto]],tabParametros[],MATCH(tabCustoUnit[[#Headers],[ANO DA CCT]],tabParametros[#Headers],0),0)</f>
        <v>45658</v>
      </c>
      <c r="CA96" s="25" t="str">
        <f>VLOOKUP(tabCustoUnit[[#This Row],[Código do Posto]],tabParametros[],MATCH(tabCustoUnit[[#Headers],[Nº DE PEDIDO DA CCT]],tabParametros[#Headers],0),0)</f>
        <v>-</v>
      </c>
      <c r="CB96" s="25" t="str">
        <f>VLOOKUP(tabCustoUnit[[#This Row],[Código do Posto]],tabParametros[],MATCH(tabCustoUnit[[#Headers],[TERMO ADITIVO ALTERAÇÃO DA CCT]],tabParametros[#Headers],0),0)</f>
        <v>-</v>
      </c>
    </row>
    <row r="97" spans="1:80" x14ac:dyDescent="0.25">
      <c r="A97" s="20" t="s">
        <v>1436</v>
      </c>
      <c r="B97" t="s">
        <v>92</v>
      </c>
      <c r="C97" t="s">
        <v>1245</v>
      </c>
      <c r="D97" t="s">
        <v>1041</v>
      </c>
      <c r="E97" s="20" t="s">
        <v>9</v>
      </c>
      <c r="F97" s="20" t="s">
        <v>10</v>
      </c>
      <c r="G97" s="21">
        <v>1596.28</v>
      </c>
      <c r="H97" s="21">
        <v>0</v>
      </c>
      <c r="I97" s="21">
        <v>0</v>
      </c>
      <c r="J97" s="21">
        <v>0</v>
      </c>
      <c r="K97" s="21">
        <v>0</v>
      </c>
      <c r="L97" s="21">
        <v>0</v>
      </c>
      <c r="M97" s="21">
        <v>0</v>
      </c>
      <c r="N97" s="21">
        <v>52.241900000000001</v>
      </c>
      <c r="O97" s="21">
        <f>SUM(tabCustoUnit[[#This Row],[Salário Base]:[Adicional de Acúmulo de função]])</f>
        <v>1648.5219</v>
      </c>
      <c r="P97" s="21">
        <f>tabCustoUnit[[#This Row],[MODULO 1 - REMUNERAÇÃO ]]*SUMIFS(tabParametros[INSS],tabParametros[Código do Posto],tabCustoUnit[[#This Row],[Código do Posto]])</f>
        <v>329.70438000000001</v>
      </c>
      <c r="Q97" s="21">
        <f>tabCustoUnit[[#This Row],[MODULO 1 - REMUNERAÇÃO ]]*SUMIFS(tabParametros[SESI OU SESC],tabParametros[Código do Posto],tabCustoUnit[[#This Row],[Código do Posto]])</f>
        <v>24.727828499999998</v>
      </c>
      <c r="R97" s="21">
        <f>tabCustoUnit[[#This Row],[MODULO 1 - REMUNERAÇÃO ]]*SUMIFS(tabParametros[SENAI OU SENAC],tabParametros[Código do Posto],tabCustoUnit[[#This Row],[Código do Posto]])</f>
        <v>16.485219000000001</v>
      </c>
      <c r="S97" s="21">
        <f>tabCustoUnit[[#This Row],[MODULO 1 - REMUNERAÇÃO ]]*SUMIFS(tabParametros[INCRA],tabParametros[Código do Posto],tabCustoUnit[[#This Row],[Código do Posto]])</f>
        <v>3.2970438</v>
      </c>
      <c r="T97" s="21">
        <f>tabCustoUnit[[#This Row],[MODULO 1 - REMUNERAÇÃO ]]*SUMIFS(tabParametros[Salário Educação],tabParametros[Código do Posto],tabCustoUnit[[#This Row],[Código do Posto]])</f>
        <v>41.213047500000002</v>
      </c>
      <c r="U97" s="21">
        <f>tabCustoUnit[[#This Row],[MODULO 1 - REMUNERAÇÃO ]]*SUMIFS(tabParametros[FGTS],tabParametros[Código do Posto],tabCustoUnit[[#This Row],[Código do Posto]])</f>
        <v>131.88175200000001</v>
      </c>
      <c r="V97" s="21">
        <f>tabCustoUnit[[#This Row],[MODULO 1 - REMUNERAÇÃO ]]*SUMIFS(tabParametros[RAT Ajustado],tabParametros[Código do Posto],tabCustoUnit[[#This Row],[Código do Posto]])</f>
        <v>65.940876000000003</v>
      </c>
      <c r="W97" s="21">
        <f>tabCustoUnit[[#This Row],[MODULO 1 - REMUNERAÇÃO ]]*SUMIFS(tabParametros[SEBRAE],tabParametros[Código do Posto],tabCustoUnit[[#This Row],[Código do Posto]])</f>
        <v>9.8911314000000008</v>
      </c>
      <c r="X97" s="21">
        <f>SUM(tabCustoUnit[[#This Row],[INSS]:[SEBRAE]])</f>
        <v>623.14127819999999</v>
      </c>
      <c r="Y97" s="21">
        <f>tabCustoUnit[[#This Row],[MODULO 1 - REMUNERAÇÃO ]]*SUMIFS(tabParametros[13º salário (titular)],tabParametros[Código do Posto],tabCustoUnit[[#This Row],[Código do Posto]])</f>
        <v>137.376825</v>
      </c>
      <c r="Z97" s="21">
        <f>tabCustoUnit[[#This Row],[MODULO 1 - REMUNERAÇÃO ]]*SUMIFS(tabParametros[Férias e Adicional de Férias (titular)],tabParametros[Código do Posto],tabCustoUnit[[#This Row],[Código do Posto]])</f>
        <v>183.16909999999999</v>
      </c>
      <c r="AA97" s="21">
        <f>IFERROR((tabCustoUnit[[#This Row],[Submódulo 2.1]]/tabCustoUnit[[#This Row],[MODULO 1 - REMUNERAÇÃO ]])*SUM(tabCustoUnit[[#This Row],[13º salário (titular)]:[Férias e Adicional de Férias (titular)]]),0)</f>
        <v>121.16635965</v>
      </c>
      <c r="AB97" s="21">
        <f>SUM(tabCustoUnit[[#This Row],[13º salário (titular)]:[Incidência do Submódulo 2.1 sobre 13º Salário, Férias e Adicional de Férias]])</f>
        <v>441.71228465000002</v>
      </c>
      <c r="AC97" s="22">
        <f>_xlfn.LET(_xlpm.VT,SUMIF(tabParametros[Código do Posto],tabCustoUnit[[#This Row],[Código do Posto]],tabParametros[Vale - Transporte])*2*20,
IF((_xlpm.VT-tabCustoUnit[[#This Row],[Salário Base]]*0.06)&gt;=0,(_xlpm.VT-tabCustoUnit[[#This Row],[Salário Base]]*0.06),0)
)</f>
        <v>160.22320000000002</v>
      </c>
      <c r="AD97" s="22">
        <f>IF(SUMIF(tabParametros[Código do Posto],tabCustoUnit[[#This Row],[Código do Posto]],tabParametros[Vale - Alimentação])&lt;=0,0,
SUMIF(tabParametros[Código do Posto],tabCustoUnit[[#This Row],[Código do Posto]],tabParametros[Vale - Alimentação])*20-1)</f>
        <v>582</v>
      </c>
      <c r="AE97" s="22">
        <f>SUMIF(tabParametros[Código do Posto],tabCustoUnit[[#This Row],[Código do Posto]],tabParametros[Cesta Básica])</f>
        <v>0</v>
      </c>
      <c r="AF97" s="22">
        <f>SUMIF(tabParametros[Código do Posto],tabCustoUnit[[#This Row],[Código do Posto]],tabParametros[PAF])</f>
        <v>0</v>
      </c>
      <c r="AG97" s="22">
        <f>SUMIF(tabParametros[Código do Posto],tabCustoUnit[[#This Row],[Código do Posto]],tabParametros[PQM])</f>
        <v>0</v>
      </c>
      <c r="AH97" s="22">
        <f>SUMIF(tabParametros[Código do Posto],tabCustoUnit[[#This Row],[Código do Posto]],tabParametros[PAT])</f>
        <v>0</v>
      </c>
      <c r="AI97" s="22">
        <f>SUMIF(tabParametros[Código do Posto],tabCustoUnit[[#This Row],[Código do Posto]],tabParametros[Seguro de Vida])</f>
        <v>3.36</v>
      </c>
      <c r="AJ97" s="22">
        <f>SUMIF(tabParametros[Código do Posto],tabCustoUnit[[#This Row],[Código do Posto]],tabParametros[Despesas de Viagem])</f>
        <v>0</v>
      </c>
      <c r="AK97" s="22">
        <f>SUM(tabCustoUnit[[#This Row],[Vale - Transporte (Descontada parcela do empregado)]:[Despesas de Viagem]])</f>
        <v>745.58320000000003</v>
      </c>
      <c r="AL97" s="22">
        <f>tabCustoUnit[[#This Row],[Submódulo 2.1]]+tabCustoUnit[[#This Row],[Submódulo 2.2]]+tabCustoUnit[[#This Row],[Submódulo 2.3]]</f>
        <v>1810.4367628499999</v>
      </c>
      <c r="AM97" s="22">
        <f>SUMIF(tabParametros[Código do Posto],tabCustoUnit[[#This Row],[Código do Posto]],tabParametros[Aviso Prévio Indenizado (API) e Reflexo do Aviso Prévio Indenizado])*tabCustoUnit[[#This Row],[MODULO 1 - REMUNERAÇÃO ]]</f>
        <v>11.559051416493055</v>
      </c>
      <c r="AN97" s="22">
        <f>SUMIF(tabParametros[Código do Posto],tabCustoUnit[[#This Row],[Código do Posto]],tabParametros[Incidência do FGTS sobre API e Reflexo do API])*tabCustoUnit[[#This Row],[MODULO 1 - REMUNERAÇÃO ]]</f>
        <v>0.92472411331944449</v>
      </c>
      <c r="AO97" s="22">
        <f>SUMIF(tabParametros[Código do Posto],tabCustoUnit[[#This Row],[Código do Posto]],tabParametros[Multa Rescisória do FGTS sobre o Aviso Prévio Indenizado])*tabCustoUnit[[#This Row],[MODULO 1 - REMUNERAÇÃO ]]</f>
        <v>0.36988964532777785</v>
      </c>
      <c r="AP97" s="22">
        <f>SUMIF(tabParametros[Código do Posto],tabCustoUnit[[#This Row],[Código do Posto]],tabParametros[Aviso Prévio Trabalhado - APT])*tabCustoUnit[[#This Row],[MODULO 1 - REMUNERAÇÃO ]]</f>
        <v>5.7698266500000006</v>
      </c>
      <c r="AQ97" s="22">
        <f>SUMIF(tabParametros[Código do Posto],tabCustoUnit[[#This Row],[Código do Posto]],tabParametros[Incidência dos encargos do submódulo 2.1 sobre Aviso Prévio Trabalhado])*tabCustoUnit[[#This Row],[MODULO 1 - REMUNERAÇÃO ]]</f>
        <v>2.1809944737000007</v>
      </c>
      <c r="AR97" s="22">
        <f>SUMIF(tabParametros[Código do Posto],tabCustoUnit[[#This Row],[Código do Posto]],tabParametros[Multa Rescisória do FGTS])*tabCustoUnit[[#This Row],[MODULO 1 - REMUNERAÇÃO ]]</f>
        <v>50.40813631999999</v>
      </c>
      <c r="AS97" s="22">
        <f>SUMIF(tabParametros[Código do Posto],tabCustoUnit[[#This Row],[Código do Posto]],tabParametros[Indenização Adicional (Art. 9º da Lei nº 7.238/84)])*tabCustoUnit[[#This Row],[MODULO 1 - REMUNERAÇÃO ]]</f>
        <v>1.3737682500000001</v>
      </c>
      <c r="AT97" s="22">
        <f>SUM(tabCustoUnit[[#This Row],[Aviso Prévio Indenizado (API) e Reflexo do Aviso Prévio Indenizado]:[Indenização Adicional (Art. 9º da Lei nº 7.238/84)]])</f>
        <v>72.586390868840269</v>
      </c>
      <c r="AU97" s="22">
        <f>SUMIF(tabParametros[Código do Posto],tabCustoUnit[[#This Row],[Código do Posto]],tabParametros[Ausência por Doença])*tabCustoUnit[[#This Row],[MODULO 1 - REMUNERAÇÃO ]]</f>
        <v>13.920851599999999</v>
      </c>
      <c r="AV97" s="22">
        <f>SUMIF(tabParametros[Código do Posto],tabCustoUnit[[#This Row],[Código do Posto]],tabParametros[Ausências Legais])*tabCustoUnit[[#This Row],[MODULO 1 - REMUNERAÇÃO ]]</f>
        <v>3.3428360749999997</v>
      </c>
      <c r="AW97" s="22">
        <f>SUMIF(tabParametros[Código do Posto],tabCustoUnit[[#This Row],[Código do Posto]],tabParametros[Licença Paternidade])*tabCustoUnit[[#This Row],[MODULO 1 - REMUNERAÇÃO ]]</f>
        <v>0.28162249125</v>
      </c>
      <c r="AX97" s="22">
        <f>SUMIF(tabParametros[Código do Posto],tabCustoUnit[[#This Row],[Código do Posto]],tabParametros[Ausência por Acidente de Trabalho])*tabCustoUnit[[#This Row],[MODULO 1 - REMUNERAÇÃO ]]</f>
        <v>0.34344206250000003</v>
      </c>
      <c r="AY97" s="22">
        <f>SUMIF(tabParametros[Código do Posto],tabCustoUnit[[#This Row],[Código do Posto]],tabParametros[Férias, Adicional de Férias e 13º  com empregada em gozo de Licença Maternidade])*tabCustoUnit[[#This Row],[MODULO 1 - REMUNERAÇÃO ]]</f>
        <v>2.1369728333333331</v>
      </c>
      <c r="AZ97" s="22">
        <f>SUMIF(tabParametros[Código do Posto],tabCustoUnit[[#This Row],[Código do Posto]],tabParametros[Incidência do Submódulo 2.1 sobre Ausências Legais])*tabCustoUnit[[#This Row],[MODULO 1 - REMUNERAÇÃO ]]</f>
        <v>7.5697240734675013</v>
      </c>
      <c r="BA97" s="22">
        <f>SUM(tabCustoUnit[[#This Row],[Ausência por Doença]:[Incidência do Submódulo 2.1 sobre Ausências Legais]])</f>
        <v>27.595449135550833</v>
      </c>
      <c r="BB97" s="22">
        <f>SUMIF(tabParametros[Código do Posto],tabCustoUnit[[#This Row],[Código do Posto]],tabParametros[Intervalo para Repouso ou Alimentação])</f>
        <v>0</v>
      </c>
      <c r="BC97" s="22">
        <f>tabCustoUnit[[#This Row],[Intervalo para Repouso ou Alimentação]]</f>
        <v>0</v>
      </c>
      <c r="BD97" s="22">
        <f>IF(VLOOKUP(tabCustoUnit[[#This Row],[Código do Posto]],PARAMETROS!$A$4:$BJ$255,7,0)&lt;=0,0,
IFERROR((tabCustoUnit[[#This Row],[MODULO 1 - REMUNERAÇÃO ]]*VLOOKUP(tabCustoUnit[[#This Row],[Código do Posto]],PARAMETROS!$A$4:$BJ$255,49,0))/(VLOOKUP(tabCustoUnit[[#This Row],[Código do Posto]],PARAMETROS!$A$4:$BJ$255,7,0)*VLOOKUP(tabCustoUnit[[#This Row],[Código do Posto]],PARAMETROS!$A$4:$BJ$255,8,0)),0)
)</f>
        <v>0</v>
      </c>
      <c r="BE97" s="22">
        <f>tabCustoUnit[[#This Row],[Suspensão Temporária do Contrato de Trabalho]]</f>
        <v>0</v>
      </c>
      <c r="BF97" s="22">
        <f>tabCustoUnit[[#This Row],[Submódulo 4.1]]+tabCustoUnit[[#This Row],[Submódulo 4.2]]+tabCustoUnit[[#This Row],[Submódulo 4.3]]</f>
        <v>27.595449135550833</v>
      </c>
      <c r="BG97" s="22">
        <f>VLOOKUP(tabCustoUnit[[#This Row],[Código do Posto]],tabParametros[],MATCH(tabCustoUnit[[#Headers],[Uniformes e EPIs]],tabParametros[#Headers],0),0)</f>
        <v>100.80916666666666</v>
      </c>
      <c r="BH97" s="22">
        <f>VLOOKUP(tabCustoUnit[[#This Row],[Código do Posto]],tabParametros[],MATCH(tabCustoUnit[[#Headers],[Materiais de Consumo]],tabParametros[#Headers],0),0)</f>
        <v>35.518212958583888</v>
      </c>
      <c r="BI97" s="22">
        <f>VLOOKUP(tabCustoUnit[[#This Row],[Código do Posto]],tabParametros[],MATCH(tabCustoUnit[[#Headers],[Máquinas e Equipamentos (depreciação)]],tabParametros[#Headers],0),0)</f>
        <v>64.529393914825576</v>
      </c>
      <c r="BJ97" s="22">
        <f>VLOOKUP(tabCustoUnit[[#This Row],[Código do Posto]],tabParametros[],MATCH(tabCustoUnit[[#Headers],[Produtos de Limpeza e Materiais de Higiene Pessoal]],tabParametros[#Headers],0),0)</f>
        <v>690.27153277931654</v>
      </c>
      <c r="BK97" s="22">
        <f>VLOOKUP(tabCustoUnit[[#This Row],[Código do Posto]],tabParametros[],MATCH(tabCustoUnit[[#Headers],[Outros (especificar)]],tabParametros[#Headers],0),0)</f>
        <v>0</v>
      </c>
      <c r="BL97" s="22">
        <f>SUM(tabCustoUnit[[#This Row],[Uniformes e EPIs]:[Outros (especificar)]])</f>
        <v>891.12830631939266</v>
      </c>
      <c r="BM97" s="22">
        <f>tabCustoUnit[[#This Row],[MODULO 1 - REMUNERAÇÃO ]]+tabCustoUnit[[#This Row],[MÓDULO 2 - Total Encargos e Benefícios mensais e diários]]+tabCustoUnit[[#This Row],[MÓDULO 3 – PROVISÃO PARA RESCISÃO]]+tabCustoUnit[[#This Row],[MÓDULO 4 – CUSTO DE REPOSIÇÃO DO PROFISSIONAL AUSENTE]]+tabCustoUnit[[#This Row],[MÓDULO 5 – INSUMOS DIVERSOS]]</f>
        <v>4450.2688091737837</v>
      </c>
      <c r="BN97" s="22">
        <f>VLOOKUP(tabCustoUnit[[#This Row],[Código do Posto]],tabParametros[],MATCH(tabCustoUnit[[#Headers],[Custos Indiretos]],tabParametros[#Headers],0),0)</f>
        <v>189.64880140242613</v>
      </c>
      <c r="BO97" s="22">
        <f>VLOOKUP(tabCustoUnit[[#This Row],[Código do Posto]],tabParametros[],MATCH(tabCustoUnit[[#Headers],[Lucro]],tabParametros[#Headers],0),0)</f>
        <v>159.30499317803796</v>
      </c>
      <c r="BP97" s="26">
        <f>((100/((1-tabCustoUnit[[#This Row],[Resumo de Alíquotas (PIS+CONFINS+ISS)]]))-100)*VLOOKUP(tabCustoUnit[[#This Row],[Código do Posto]],tabParametros[],MATCH(tabCustoUnit[[#Headers],[COFINS]],tabParametros[#Headers],0),0))/(tabCustoUnit[[#This Row],[Resumo de Alíquotas (PIS+CONFINS+ISS)]]*100)</f>
        <v>8.5633802816901458E-2</v>
      </c>
      <c r="BQ97" s="26">
        <f>((100/((100-(tabCustoUnit[[#This Row],[Resumo de Alíquotas (PIS+CONFINS+ISS)]]*100))%)-100)*VLOOKUP(tabCustoUnit[[#This Row],[Código do Posto]],tabParametros[],MATCH(tabCustoUnit[[#Headers],[PIS]],tabParametros[#Headers],0),0))/(tabCustoUnit[[#This Row],[Resumo de Alíquotas (PIS+CONFINS+ISS)]]*100)</f>
        <v>1.8591549295774657E-2</v>
      </c>
      <c r="BR97" s="28">
        <f>VLOOKUP(tabCustoUnit[[#This Row],[Código do Posto]],tabParametros[],MATCH(tabCustoUnit[[#Headers],[ISS]],tabParametros[#Headers],0),0)</f>
        <v>0.02</v>
      </c>
      <c r="BS97" s="26">
        <f>(((100/((100-(tabCustoUnit[[#This Row],[Resumo de Alíquotas (PIS+CONFINS+ISS)]]*100))%)-100)*tabCustoUnit[[#This Row],[ISS]])/tabCustoUnit[[#This Row],[Resumo de Alíquotas (PIS+CONFINS+ISS)]])/100</f>
        <v>2.2535211267605645E-2</v>
      </c>
      <c r="BT97" s="26">
        <f>(VLOOKUP(tabCustoUnit[[#This Row],[Código do Posto]],tabParametros[],MATCH(tabCustoUnit[[#Headers],[COFINS]],tabParametros[#Headers],0),0)+
VLOOKUP(tabCustoUnit[[#This Row],[Código do Posto]],tabParametros[],MATCH(tabCustoUnit[[#Headers],[PIS]],tabParametros[#Headers],0),0)+
VLOOKUP(tabCustoUnit[[#This Row],[Código do Posto]],tabParametros[],MATCH(tabCustoUnit[[#Headers],[ISS]],tabParametros[#Headers],0),0))</f>
        <v>0.1125</v>
      </c>
      <c r="BU97" s="138">
        <f>tabCustoUnit[[#This Row],[COFINS]]+tabCustoUnit[[#This Row],[PIS]]+tabCustoUnit[[#This Row],[ISS (Conversão Alíquota s/ fatura)]]</f>
        <v>0.12676056338028174</v>
      </c>
      <c r="BV97" s="22">
        <f>(tabCustoUnit[[#This Row],[TOTAL MÓDULOS 1+2+3+4+5]]+tabCustoUnit[[#This Row],[Custos Indiretos]]+tabCustoUnit[[#This Row],[Lucro]])*tabCustoUnit[[#This Row],[PIS + COFINS + ISS (Total Conversão  Alíquota s/ Fatura)]]</f>
        <v>608.3521610392711</v>
      </c>
      <c r="BW97" s="22">
        <f>tabCustoUnit[[#This Row],[Custos Indiretos]]+tabCustoUnit[[#This Row],[Lucro]]+tabCustoUnit[[#This Row],[Valor dos Tributos (ISS, PIS, CONFINS)]]</f>
        <v>957.30595561973519</v>
      </c>
      <c r="BX97" s="22">
        <f>tabCustoUnit[[#This Row],[TOTAL MÓDULOS 1+2+3+4+5]]+tabCustoUnit[[#This Row],[MÓDULO 6 – CUSTOS INDIRETOS, TRIBUTOS E LUCRO]]</f>
        <v>5407.5747647935186</v>
      </c>
      <c r="BY97" s="22">
        <f>tabCustoUnit[[#This Row],[CUSTO TOTAL MENSAL]]*12</f>
        <v>64890.897177522224</v>
      </c>
      <c r="BZ97" s="24">
        <f>VLOOKUP(tabCustoUnit[[#This Row],[Código do Posto]],tabParametros[],MATCH(tabCustoUnit[[#Headers],[ANO DA CCT]],tabParametros[#Headers],0),0)</f>
        <v>45658</v>
      </c>
      <c r="CA97" s="25" t="str">
        <f>VLOOKUP(tabCustoUnit[[#This Row],[Código do Posto]],tabParametros[],MATCH(tabCustoUnit[[#Headers],[Nº DE PEDIDO DA CCT]],tabParametros[#Headers],0),0)</f>
        <v>-</v>
      </c>
      <c r="CB97" s="25" t="str">
        <f>VLOOKUP(tabCustoUnit[[#This Row],[Código do Posto]],tabParametros[],MATCH(tabCustoUnit[[#Headers],[TERMO ADITIVO ALTERAÇÃO DA CCT]],tabParametros[#Headers],0),0)</f>
        <v>-</v>
      </c>
    </row>
    <row r="98" spans="1:80" x14ac:dyDescent="0.25">
      <c r="A98" s="20" t="s">
        <v>1437</v>
      </c>
      <c r="B98" t="s">
        <v>93</v>
      </c>
      <c r="C98" t="s">
        <v>1244</v>
      </c>
      <c r="D98" t="s">
        <v>1028</v>
      </c>
      <c r="E98" s="20" t="s">
        <v>9</v>
      </c>
      <c r="F98" s="20" t="s">
        <v>10</v>
      </c>
      <c r="G98" s="21">
        <v>798.14</v>
      </c>
      <c r="H98" s="21">
        <v>0</v>
      </c>
      <c r="I98" s="21">
        <v>0</v>
      </c>
      <c r="J98" s="21">
        <v>0</v>
      </c>
      <c r="K98" s="21">
        <v>0</v>
      </c>
      <c r="L98" s="21">
        <v>0</v>
      </c>
      <c r="M98" s="21">
        <v>0</v>
      </c>
      <c r="N98" s="21">
        <v>26.120899999999999</v>
      </c>
      <c r="O98" s="21">
        <f>SUM(tabCustoUnit[[#This Row],[Salário Base]:[Adicional de Acúmulo de função]])</f>
        <v>824.26089999999999</v>
      </c>
      <c r="P98" s="21">
        <f>tabCustoUnit[[#This Row],[MODULO 1 - REMUNERAÇÃO ]]*SUMIFS(tabParametros[INSS],tabParametros[Código do Posto],tabCustoUnit[[#This Row],[Código do Posto]])</f>
        <v>164.85218</v>
      </c>
      <c r="Q98" s="21">
        <f>tabCustoUnit[[#This Row],[MODULO 1 - REMUNERAÇÃO ]]*SUMIFS(tabParametros[SESI OU SESC],tabParametros[Código do Posto],tabCustoUnit[[#This Row],[Código do Posto]])</f>
        <v>12.363913499999999</v>
      </c>
      <c r="R98" s="21">
        <f>tabCustoUnit[[#This Row],[MODULO 1 - REMUNERAÇÃO ]]*SUMIFS(tabParametros[SENAI OU SENAC],tabParametros[Código do Posto],tabCustoUnit[[#This Row],[Código do Posto]])</f>
        <v>8.2426089999999999</v>
      </c>
      <c r="S98" s="21">
        <f>tabCustoUnit[[#This Row],[MODULO 1 - REMUNERAÇÃO ]]*SUMIFS(tabParametros[INCRA],tabParametros[Código do Posto],tabCustoUnit[[#This Row],[Código do Posto]])</f>
        <v>1.6485217999999999</v>
      </c>
      <c r="T98" s="21">
        <f>tabCustoUnit[[#This Row],[MODULO 1 - REMUNERAÇÃO ]]*SUMIFS(tabParametros[Salário Educação],tabParametros[Código do Posto],tabCustoUnit[[#This Row],[Código do Posto]])</f>
        <v>20.606522500000001</v>
      </c>
      <c r="U98" s="21">
        <f>tabCustoUnit[[#This Row],[MODULO 1 - REMUNERAÇÃO ]]*SUMIFS(tabParametros[FGTS],tabParametros[Código do Posto],tabCustoUnit[[#This Row],[Código do Posto]])</f>
        <v>65.940871999999999</v>
      </c>
      <c r="V98" s="21">
        <f>tabCustoUnit[[#This Row],[MODULO 1 - REMUNERAÇÃO ]]*SUMIFS(tabParametros[RAT Ajustado],tabParametros[Código do Posto],tabCustoUnit[[#This Row],[Código do Posto]])</f>
        <v>32.970435999999999</v>
      </c>
      <c r="W98" s="21">
        <f>tabCustoUnit[[#This Row],[MODULO 1 - REMUNERAÇÃO ]]*SUMIFS(tabParametros[SEBRAE],tabParametros[Código do Posto],tabCustoUnit[[#This Row],[Código do Posto]])</f>
        <v>4.9455654000000004</v>
      </c>
      <c r="X98" s="21">
        <f>SUM(tabCustoUnit[[#This Row],[INSS]:[SEBRAE]])</f>
        <v>311.57062020000001</v>
      </c>
      <c r="Y98" s="21">
        <f>tabCustoUnit[[#This Row],[MODULO 1 - REMUNERAÇÃO ]]*SUMIFS(tabParametros[13º salário (titular)],tabParametros[Código do Posto],tabCustoUnit[[#This Row],[Código do Posto]])</f>
        <v>68.688408333333328</v>
      </c>
      <c r="Z98" s="21">
        <f>tabCustoUnit[[#This Row],[MODULO 1 - REMUNERAÇÃO ]]*SUMIFS(tabParametros[Férias e Adicional de Férias (titular)],tabParametros[Código do Posto],tabCustoUnit[[#This Row],[Código do Posto]])</f>
        <v>91.584544444444433</v>
      </c>
      <c r="AA98" s="21">
        <f>IFERROR((tabCustoUnit[[#This Row],[Submódulo 2.1]]/tabCustoUnit[[#This Row],[MODULO 1 - REMUNERAÇÃO ]])*SUM(tabCustoUnit[[#This Row],[13º salário (titular)]:[Férias e Adicional de Férias (titular)]]),0)</f>
        <v>60.583176149999993</v>
      </c>
      <c r="AB98" s="21">
        <f>SUM(tabCustoUnit[[#This Row],[13º salário (titular)]:[Incidência do Submódulo 2.1 sobre 13º Salário, Férias e Adicional de Férias]])</f>
        <v>220.85612892777775</v>
      </c>
      <c r="AC98" s="22">
        <f>_xlfn.LET(_xlpm.VT,SUMIF(tabParametros[Código do Posto],tabCustoUnit[[#This Row],[Código do Posto]],tabParametros[Vale - Transporte])*2*20,
IF((_xlpm.VT-tabCustoUnit[[#This Row],[Salário Base]]*0.06)&gt;=0,(_xlpm.VT-tabCustoUnit[[#This Row],[Salário Base]]*0.06),0)
)</f>
        <v>208.11160000000001</v>
      </c>
      <c r="AD98" s="22">
        <f>IF(SUMIF(tabParametros[Código do Posto],tabCustoUnit[[#This Row],[Código do Posto]],tabParametros[Vale - Alimentação])&lt;=0,0,
SUMIF(tabParametros[Código do Posto],tabCustoUnit[[#This Row],[Código do Posto]],tabParametros[Vale - Alimentação])*20-1)</f>
        <v>582</v>
      </c>
      <c r="AE98" s="22">
        <f>SUMIF(tabParametros[Código do Posto],tabCustoUnit[[#This Row],[Código do Posto]],tabParametros[Cesta Básica])</f>
        <v>0</v>
      </c>
      <c r="AF98" s="22">
        <f>SUMIF(tabParametros[Código do Posto],tabCustoUnit[[#This Row],[Código do Posto]],tabParametros[PAF])</f>
        <v>51.86</v>
      </c>
      <c r="AG98" s="22">
        <f>SUMIF(tabParametros[Código do Posto],tabCustoUnit[[#This Row],[Código do Posto]],tabParametros[PQM])</f>
        <v>0</v>
      </c>
      <c r="AH98" s="22">
        <f>SUMIF(tabParametros[Código do Posto],tabCustoUnit[[#This Row],[Código do Posto]],tabParametros[PAT])</f>
        <v>0</v>
      </c>
      <c r="AI98" s="22">
        <f>SUMIF(tabParametros[Código do Posto],tabCustoUnit[[#This Row],[Código do Posto]],tabParametros[Seguro de Vida])</f>
        <v>3.36</v>
      </c>
      <c r="AJ98" s="22">
        <f>SUMIF(tabParametros[Código do Posto],tabCustoUnit[[#This Row],[Código do Posto]],tabParametros[Despesas de Viagem])</f>
        <v>0</v>
      </c>
      <c r="AK98" s="22">
        <f>SUM(tabCustoUnit[[#This Row],[Vale - Transporte (Descontada parcela do empregado)]:[Despesas de Viagem]])</f>
        <v>845.33159999999998</v>
      </c>
      <c r="AL98" s="22">
        <f>tabCustoUnit[[#This Row],[Submódulo 2.1]]+tabCustoUnit[[#This Row],[Submódulo 2.2]]+tabCustoUnit[[#This Row],[Submódulo 2.3]]</f>
        <v>1377.7583491277778</v>
      </c>
      <c r="AM98" s="22">
        <f>SUMIF(tabParametros[Código do Posto],tabCustoUnit[[#This Row],[Código do Posto]],tabParametros[Aviso Prévio Indenizado (API) e Reflexo do Aviso Prévio Indenizado])*tabCustoUnit[[#This Row],[MODULO 1 - REMUNERAÇÃO ]]</f>
        <v>5.7795253576581791</v>
      </c>
      <c r="AN98" s="22">
        <f>SUMIF(tabParametros[Código do Posto],tabCustoUnit[[#This Row],[Código do Posto]],tabParametros[Incidência do FGTS sobre API e Reflexo do API])*tabCustoUnit[[#This Row],[MODULO 1 - REMUNERAÇÃO ]]</f>
        <v>0.46236202861265435</v>
      </c>
      <c r="AO98" s="22">
        <f>SUMIF(tabParametros[Código do Posto],tabCustoUnit[[#This Row],[Código do Posto]],tabParametros[Multa Rescisória do FGTS sobre o Aviso Prévio Indenizado])*tabCustoUnit[[#This Row],[MODULO 1 - REMUNERAÇÃO ]]</f>
        <v>0.18494481144506175</v>
      </c>
      <c r="AP98" s="22">
        <f>SUMIF(tabParametros[Código do Posto],tabCustoUnit[[#This Row],[Código do Posto]],tabParametros[Aviso Prévio Trabalhado - APT])*tabCustoUnit[[#This Row],[MODULO 1 - REMUNERAÇÃO ]]</f>
        <v>2.8849131500000005</v>
      </c>
      <c r="AQ98" s="22">
        <f>SUMIF(tabParametros[Código do Posto],tabCustoUnit[[#This Row],[Código do Posto]],tabParametros[Incidência dos encargos do submódulo 2.1 sobre Aviso Prévio Trabalhado])*tabCustoUnit[[#This Row],[MODULO 1 - REMUNERAÇÃO ]]</f>
        <v>1.0904971707000004</v>
      </c>
      <c r="AR98" s="22">
        <f>SUMIF(tabParametros[Código do Posto],tabCustoUnit[[#This Row],[Código do Posto]],tabParametros[Multa Rescisória do FGTS])*tabCustoUnit[[#This Row],[MODULO 1 - REMUNERAÇÃO ]]</f>
        <v>25.204066631111107</v>
      </c>
      <c r="AS98" s="22">
        <f>SUMIF(tabParametros[Código do Posto],tabCustoUnit[[#This Row],[Código do Posto]],tabParametros[Indenização Adicional (Art. 9º da Lei nº 7.238/84)])*tabCustoUnit[[#This Row],[MODULO 1 - REMUNERAÇÃO ]]</f>
        <v>0.6868840833333334</v>
      </c>
      <c r="AT98" s="22">
        <f>SUM(tabCustoUnit[[#This Row],[Aviso Prévio Indenizado (API) e Reflexo do Aviso Prévio Indenizado]:[Indenização Adicional (Art. 9º da Lei nº 7.238/84)]])</f>
        <v>36.293193232860339</v>
      </c>
      <c r="AU98" s="22">
        <f>SUMIF(tabParametros[Código do Posto],tabCustoUnit[[#This Row],[Código do Posto]],tabParametros[Ausência por Doença])*tabCustoUnit[[#This Row],[MODULO 1 - REMUNERAÇÃO ]]</f>
        <v>6.9604253777777769</v>
      </c>
      <c r="AV98" s="22">
        <f>SUMIF(tabParametros[Código do Posto],tabCustoUnit[[#This Row],[Código do Posto]],tabParametros[Ausências Legais])*tabCustoUnit[[#This Row],[MODULO 1 - REMUNERAÇÃO ]]</f>
        <v>1.671417936111111</v>
      </c>
      <c r="AW98" s="22">
        <f>SUMIF(tabParametros[Código do Posto],tabCustoUnit[[#This Row],[Código do Posto]],tabParametros[Licença Paternidade])*tabCustoUnit[[#This Row],[MODULO 1 - REMUNERAÇÃO ]]</f>
        <v>0.14081123708333332</v>
      </c>
      <c r="AX98" s="22">
        <f>SUMIF(tabParametros[Código do Posto],tabCustoUnit[[#This Row],[Código do Posto]],tabParametros[Ausência por Acidente de Trabalho])*tabCustoUnit[[#This Row],[MODULO 1 - REMUNERAÇÃO ]]</f>
        <v>0.17172102083333335</v>
      </c>
      <c r="AY98" s="22">
        <f>SUMIF(tabParametros[Código do Posto],tabCustoUnit[[#This Row],[Código do Posto]],tabParametros[Férias, Adicional de Férias e 13º  com empregada em gozo de Licença Maternidade])*tabCustoUnit[[#This Row],[MODULO 1 - REMUNERAÇÃO ]]</f>
        <v>1.0684863518518517</v>
      </c>
      <c r="AZ98" s="22">
        <f>SUMIF(tabParametros[Código do Posto],tabCustoUnit[[#This Row],[Código do Posto]],tabParametros[Incidência do Submódulo 2.1 sobre Ausências Legais])*tabCustoUnit[[#This Row],[MODULO 1 - REMUNERAÇÃO ]]</f>
        <v>3.7848618071425006</v>
      </c>
      <c r="BA98" s="22">
        <f>SUM(tabCustoUnit[[#This Row],[Ausência por Doença]:[Incidência do Submódulo 2.1 sobre Ausências Legais]])</f>
        <v>13.797723730799909</v>
      </c>
      <c r="BB98" s="22">
        <f>SUMIF(tabParametros[Código do Posto],tabCustoUnit[[#This Row],[Código do Posto]],tabParametros[Intervalo para Repouso ou Alimentação])</f>
        <v>0</v>
      </c>
      <c r="BC98" s="22">
        <f>tabCustoUnit[[#This Row],[Intervalo para Repouso ou Alimentação]]</f>
        <v>0</v>
      </c>
      <c r="BD98" s="22">
        <f>IF(VLOOKUP(tabCustoUnit[[#This Row],[Código do Posto]],PARAMETROS!$A$4:$BJ$255,7,0)&lt;=0,0,
IFERROR((tabCustoUnit[[#This Row],[MODULO 1 - REMUNERAÇÃO ]]*VLOOKUP(tabCustoUnit[[#This Row],[Código do Posto]],PARAMETROS!$A$4:$BJ$255,49,0))/(VLOOKUP(tabCustoUnit[[#This Row],[Código do Posto]],PARAMETROS!$A$4:$BJ$255,7,0)*VLOOKUP(tabCustoUnit[[#This Row],[Código do Posto]],PARAMETROS!$A$4:$BJ$255,8,0)),0)
)</f>
        <v>0</v>
      </c>
      <c r="BE98" s="22">
        <f>tabCustoUnit[[#This Row],[Suspensão Temporária do Contrato de Trabalho]]</f>
        <v>0</v>
      </c>
      <c r="BF98" s="22">
        <f>tabCustoUnit[[#This Row],[Submódulo 4.1]]+tabCustoUnit[[#This Row],[Submódulo 4.2]]+tabCustoUnit[[#This Row],[Submódulo 4.3]]</f>
        <v>13.797723730799909</v>
      </c>
      <c r="BG98" s="22">
        <f>VLOOKUP(tabCustoUnit[[#This Row],[Código do Posto]],tabParametros[],MATCH(tabCustoUnit[[#Headers],[Uniformes e EPIs]],tabParametros[#Headers],0),0)</f>
        <v>62.806666666666665</v>
      </c>
      <c r="BH98" s="22">
        <f>VLOOKUP(tabCustoUnit[[#This Row],[Código do Posto]],tabParametros[],MATCH(tabCustoUnit[[#Headers],[Materiais de Consumo]],tabParametros[#Headers],0),0)</f>
        <v>17.759106479291944</v>
      </c>
      <c r="BI98" s="22">
        <f>VLOOKUP(tabCustoUnit[[#This Row],[Código do Posto]],tabParametros[],MATCH(tabCustoUnit[[#Headers],[Máquinas e Equipamentos (depreciação)]],tabParametros[#Headers],0),0)</f>
        <v>32.264696957412788</v>
      </c>
      <c r="BJ98" s="22">
        <f>VLOOKUP(tabCustoUnit[[#This Row],[Código do Posto]],tabParametros[],MATCH(tabCustoUnit[[#Headers],[Produtos de Limpeza e Materiais de Higiene Pessoal]],tabParametros[#Headers],0),0)</f>
        <v>345.13576638965827</v>
      </c>
      <c r="BK98" s="22">
        <f>VLOOKUP(tabCustoUnit[[#This Row],[Código do Posto]],tabParametros[],MATCH(tabCustoUnit[[#Headers],[Outros (especificar)]],tabParametros[#Headers],0),0)</f>
        <v>0</v>
      </c>
      <c r="BL98" s="22">
        <f>SUM(tabCustoUnit[[#This Row],[Uniformes e EPIs]:[Outros (especificar)]])</f>
        <v>457.96623649302967</v>
      </c>
      <c r="BM98" s="22">
        <f>tabCustoUnit[[#This Row],[MODULO 1 - REMUNERAÇÃO ]]+tabCustoUnit[[#This Row],[MÓDULO 2 - Total Encargos e Benefícios mensais e diários]]+tabCustoUnit[[#This Row],[MÓDULO 3 – PROVISÃO PARA RESCISÃO]]+tabCustoUnit[[#This Row],[MÓDULO 4 – CUSTO DE REPOSIÇÃO DO PROFISSIONAL AUSENTE]]+tabCustoUnit[[#This Row],[MÓDULO 5 – INSUMOS DIVERSOS]]</f>
        <v>2710.0764025844674</v>
      </c>
      <c r="BN98" s="22">
        <f>VLOOKUP(tabCustoUnit[[#This Row],[Código do Posto]],tabParametros[],MATCH(tabCustoUnit[[#Headers],[Custos Indiretos]],tabParametros[#Headers],0),0)</f>
        <v>189.64880140242613</v>
      </c>
      <c r="BO98" s="22">
        <f>VLOOKUP(tabCustoUnit[[#This Row],[Código do Posto]],tabParametros[],MATCH(tabCustoUnit[[#Headers],[Lucro]],tabParametros[#Headers],0),0)</f>
        <v>159.30499317803796</v>
      </c>
      <c r="BP98" s="26">
        <f>((100/((1-tabCustoUnit[[#This Row],[Resumo de Alíquotas (PIS+CONFINS+ISS)]]))-100)*VLOOKUP(tabCustoUnit[[#This Row],[Código do Posto]],tabParametros[],MATCH(tabCustoUnit[[#Headers],[COFINS]],tabParametros[#Headers],0),0))/(tabCustoUnit[[#This Row],[Resumo de Alíquotas (PIS+CONFINS+ISS)]]*100)</f>
        <v>8.5633802816901458E-2</v>
      </c>
      <c r="BQ98" s="26">
        <f>((100/((100-(tabCustoUnit[[#This Row],[Resumo de Alíquotas (PIS+CONFINS+ISS)]]*100))%)-100)*VLOOKUP(tabCustoUnit[[#This Row],[Código do Posto]],tabParametros[],MATCH(tabCustoUnit[[#Headers],[PIS]],tabParametros[#Headers],0),0))/(tabCustoUnit[[#This Row],[Resumo de Alíquotas (PIS+CONFINS+ISS)]]*100)</f>
        <v>1.8591549295774657E-2</v>
      </c>
      <c r="BR98" s="28">
        <f>VLOOKUP(tabCustoUnit[[#This Row],[Código do Posto]],tabParametros[],MATCH(tabCustoUnit[[#Headers],[ISS]],tabParametros[#Headers],0),0)</f>
        <v>0.02</v>
      </c>
      <c r="BS98" s="26">
        <f>(((100/((100-(tabCustoUnit[[#This Row],[Resumo de Alíquotas (PIS+CONFINS+ISS)]]*100))%)-100)*tabCustoUnit[[#This Row],[ISS]])/tabCustoUnit[[#This Row],[Resumo de Alíquotas (PIS+CONFINS+ISS)]])/100</f>
        <v>2.2535211267605645E-2</v>
      </c>
      <c r="BT98" s="26">
        <f>(VLOOKUP(tabCustoUnit[[#This Row],[Código do Posto]],tabParametros[],MATCH(tabCustoUnit[[#Headers],[COFINS]],tabParametros[#Headers],0),0)+
VLOOKUP(tabCustoUnit[[#This Row],[Código do Posto]],tabParametros[],MATCH(tabCustoUnit[[#Headers],[PIS]],tabParametros[#Headers],0),0)+
VLOOKUP(tabCustoUnit[[#This Row],[Código do Posto]],tabParametros[],MATCH(tabCustoUnit[[#Headers],[ISS]],tabParametros[#Headers],0),0))</f>
        <v>0.1125</v>
      </c>
      <c r="BU98" s="138">
        <f>tabCustoUnit[[#This Row],[COFINS]]+tabCustoUnit[[#This Row],[PIS]]+tabCustoUnit[[#This Row],[ISS (Conversão Alíquota s/ fatura)]]</f>
        <v>0.12676056338028174</v>
      </c>
      <c r="BV98" s="22">
        <f>(tabCustoUnit[[#This Row],[TOTAL MÓDULOS 1+2+3+4+5]]+tabCustoUnit[[#This Row],[Custos Indiretos]]+tabCustoUnit[[#This Row],[Lucro]])*tabCustoUnit[[#This Row],[PIS + COFINS + ISS (Total Conversão  Alíquota s/ Fatura)]]</f>
        <v>387.76439118992107</v>
      </c>
      <c r="BW98" s="22">
        <f>tabCustoUnit[[#This Row],[Custos Indiretos]]+tabCustoUnit[[#This Row],[Lucro]]+tabCustoUnit[[#This Row],[Valor dos Tributos (ISS, PIS, CONFINS)]]</f>
        <v>736.71818577038516</v>
      </c>
      <c r="BX98" s="22">
        <f>tabCustoUnit[[#This Row],[TOTAL MÓDULOS 1+2+3+4+5]]+tabCustoUnit[[#This Row],[MÓDULO 6 – CUSTOS INDIRETOS, TRIBUTOS E LUCRO]]</f>
        <v>3446.7945883548527</v>
      </c>
      <c r="BY98" s="22">
        <f>tabCustoUnit[[#This Row],[CUSTO TOTAL MENSAL]]*12</f>
        <v>41361.535060258233</v>
      </c>
      <c r="BZ98" s="24">
        <f>VLOOKUP(tabCustoUnit[[#This Row],[Código do Posto]],tabParametros[],MATCH(tabCustoUnit[[#Headers],[ANO DA CCT]],tabParametros[#Headers],0),0)</f>
        <v>45658</v>
      </c>
      <c r="CA98" s="25" t="str">
        <f>VLOOKUP(tabCustoUnit[[#This Row],[Código do Posto]],tabParametros[],MATCH(tabCustoUnit[[#Headers],[Nº DE PEDIDO DA CCT]],tabParametros[#Headers],0),0)</f>
        <v>-</v>
      </c>
      <c r="CB98" s="25" t="str">
        <f>VLOOKUP(tabCustoUnit[[#This Row],[Código do Posto]],tabParametros[],MATCH(tabCustoUnit[[#Headers],[TERMO ADITIVO ALTERAÇÃO DA CCT]],tabParametros[#Headers],0),0)</f>
        <v>-</v>
      </c>
    </row>
    <row r="99" spans="1:80" x14ac:dyDescent="0.25">
      <c r="A99" s="20" t="s">
        <v>1438</v>
      </c>
      <c r="B99" t="s">
        <v>93</v>
      </c>
      <c r="C99" t="s">
        <v>1245</v>
      </c>
      <c r="D99" t="s">
        <v>1028</v>
      </c>
      <c r="E99" s="20" t="s">
        <v>9</v>
      </c>
      <c r="F99" s="20" t="s">
        <v>10</v>
      </c>
      <c r="G99" s="21">
        <v>1596.28</v>
      </c>
      <c r="H99" s="21">
        <v>0</v>
      </c>
      <c r="I99" s="21">
        <v>0</v>
      </c>
      <c r="J99" s="21">
        <v>0</v>
      </c>
      <c r="K99" s="21">
        <v>0</v>
      </c>
      <c r="L99" s="21">
        <v>0</v>
      </c>
      <c r="M99" s="21">
        <v>0</v>
      </c>
      <c r="N99" s="21">
        <v>52.241900000000001</v>
      </c>
      <c r="O99" s="21">
        <f>SUM(tabCustoUnit[[#This Row],[Salário Base]:[Adicional de Acúmulo de função]])</f>
        <v>1648.5219</v>
      </c>
      <c r="P99" s="21">
        <f>tabCustoUnit[[#This Row],[MODULO 1 - REMUNERAÇÃO ]]*SUMIFS(tabParametros[INSS],tabParametros[Código do Posto],tabCustoUnit[[#This Row],[Código do Posto]])</f>
        <v>329.70438000000001</v>
      </c>
      <c r="Q99" s="21">
        <f>tabCustoUnit[[#This Row],[MODULO 1 - REMUNERAÇÃO ]]*SUMIFS(tabParametros[SESI OU SESC],tabParametros[Código do Posto],tabCustoUnit[[#This Row],[Código do Posto]])</f>
        <v>24.727828499999998</v>
      </c>
      <c r="R99" s="21">
        <f>tabCustoUnit[[#This Row],[MODULO 1 - REMUNERAÇÃO ]]*SUMIFS(tabParametros[SENAI OU SENAC],tabParametros[Código do Posto],tabCustoUnit[[#This Row],[Código do Posto]])</f>
        <v>16.485219000000001</v>
      </c>
      <c r="S99" s="21">
        <f>tabCustoUnit[[#This Row],[MODULO 1 - REMUNERAÇÃO ]]*SUMIFS(tabParametros[INCRA],tabParametros[Código do Posto],tabCustoUnit[[#This Row],[Código do Posto]])</f>
        <v>3.2970438</v>
      </c>
      <c r="T99" s="21">
        <f>tabCustoUnit[[#This Row],[MODULO 1 - REMUNERAÇÃO ]]*SUMIFS(tabParametros[Salário Educação],tabParametros[Código do Posto],tabCustoUnit[[#This Row],[Código do Posto]])</f>
        <v>41.213047500000002</v>
      </c>
      <c r="U99" s="21">
        <f>tabCustoUnit[[#This Row],[MODULO 1 - REMUNERAÇÃO ]]*SUMIFS(tabParametros[FGTS],tabParametros[Código do Posto],tabCustoUnit[[#This Row],[Código do Posto]])</f>
        <v>131.88175200000001</v>
      </c>
      <c r="V99" s="21">
        <f>tabCustoUnit[[#This Row],[MODULO 1 - REMUNERAÇÃO ]]*SUMIFS(tabParametros[RAT Ajustado],tabParametros[Código do Posto],tabCustoUnit[[#This Row],[Código do Posto]])</f>
        <v>65.940876000000003</v>
      </c>
      <c r="W99" s="21">
        <f>tabCustoUnit[[#This Row],[MODULO 1 - REMUNERAÇÃO ]]*SUMIFS(tabParametros[SEBRAE],tabParametros[Código do Posto],tabCustoUnit[[#This Row],[Código do Posto]])</f>
        <v>9.8911314000000008</v>
      </c>
      <c r="X99" s="21">
        <f>SUM(tabCustoUnit[[#This Row],[INSS]:[SEBRAE]])</f>
        <v>623.14127819999999</v>
      </c>
      <c r="Y99" s="21">
        <f>tabCustoUnit[[#This Row],[MODULO 1 - REMUNERAÇÃO ]]*SUMIFS(tabParametros[13º salário (titular)],tabParametros[Código do Posto],tabCustoUnit[[#This Row],[Código do Posto]])</f>
        <v>137.376825</v>
      </c>
      <c r="Z99" s="21">
        <f>tabCustoUnit[[#This Row],[MODULO 1 - REMUNERAÇÃO ]]*SUMIFS(tabParametros[Férias e Adicional de Férias (titular)],tabParametros[Código do Posto],tabCustoUnit[[#This Row],[Código do Posto]])</f>
        <v>183.16909999999999</v>
      </c>
      <c r="AA99" s="21">
        <f>IFERROR((tabCustoUnit[[#This Row],[Submódulo 2.1]]/tabCustoUnit[[#This Row],[MODULO 1 - REMUNERAÇÃO ]])*SUM(tabCustoUnit[[#This Row],[13º salário (titular)]:[Férias e Adicional de Férias (titular)]]),0)</f>
        <v>121.16635965</v>
      </c>
      <c r="AB99" s="21">
        <f>SUM(tabCustoUnit[[#This Row],[13º salário (titular)]:[Incidência do Submódulo 2.1 sobre 13º Salário, Férias e Adicional de Férias]])</f>
        <v>441.71228465000002</v>
      </c>
      <c r="AC99" s="22">
        <f>_xlfn.LET(_xlpm.VT,SUMIF(tabParametros[Código do Posto],tabCustoUnit[[#This Row],[Código do Posto]],tabParametros[Vale - Transporte])*2*20,
IF((_xlpm.VT-tabCustoUnit[[#This Row],[Salário Base]]*0.06)&gt;=0,(_xlpm.VT-tabCustoUnit[[#This Row],[Salário Base]]*0.06),0)
)</f>
        <v>160.22320000000002</v>
      </c>
      <c r="AD99" s="22">
        <f>IF(SUMIF(tabParametros[Código do Posto],tabCustoUnit[[#This Row],[Código do Posto]],tabParametros[Vale - Alimentação])&lt;=0,0,
SUMIF(tabParametros[Código do Posto],tabCustoUnit[[#This Row],[Código do Posto]],tabParametros[Vale - Alimentação])*20-1)</f>
        <v>582</v>
      </c>
      <c r="AE99" s="22">
        <f>SUMIF(tabParametros[Código do Posto],tabCustoUnit[[#This Row],[Código do Posto]],tabParametros[Cesta Básica])</f>
        <v>0</v>
      </c>
      <c r="AF99" s="22">
        <f>SUMIF(tabParametros[Código do Posto],tabCustoUnit[[#This Row],[Código do Posto]],tabParametros[PAF])</f>
        <v>51.86</v>
      </c>
      <c r="AG99" s="22">
        <f>SUMIF(tabParametros[Código do Posto],tabCustoUnit[[#This Row],[Código do Posto]],tabParametros[PQM])</f>
        <v>0</v>
      </c>
      <c r="AH99" s="22">
        <f>SUMIF(tabParametros[Código do Posto],tabCustoUnit[[#This Row],[Código do Posto]],tabParametros[PAT])</f>
        <v>0</v>
      </c>
      <c r="AI99" s="22">
        <f>SUMIF(tabParametros[Código do Posto],tabCustoUnit[[#This Row],[Código do Posto]],tabParametros[Seguro de Vida])</f>
        <v>3.36</v>
      </c>
      <c r="AJ99" s="22">
        <f>SUMIF(tabParametros[Código do Posto],tabCustoUnit[[#This Row],[Código do Posto]],tabParametros[Despesas de Viagem])</f>
        <v>0</v>
      </c>
      <c r="AK99" s="22">
        <f>SUM(tabCustoUnit[[#This Row],[Vale - Transporte (Descontada parcela do empregado)]:[Despesas de Viagem]])</f>
        <v>797.44320000000005</v>
      </c>
      <c r="AL99" s="22">
        <f>tabCustoUnit[[#This Row],[Submódulo 2.1]]+tabCustoUnit[[#This Row],[Submódulo 2.2]]+tabCustoUnit[[#This Row],[Submódulo 2.3]]</f>
        <v>1862.2967628500001</v>
      </c>
      <c r="AM99" s="22">
        <f>SUMIF(tabParametros[Código do Posto],tabCustoUnit[[#This Row],[Código do Posto]],tabParametros[Aviso Prévio Indenizado (API) e Reflexo do Aviso Prévio Indenizado])*tabCustoUnit[[#This Row],[MODULO 1 - REMUNERAÇÃO ]]</f>
        <v>11.559051416493055</v>
      </c>
      <c r="AN99" s="22">
        <f>SUMIF(tabParametros[Código do Posto],tabCustoUnit[[#This Row],[Código do Posto]],tabParametros[Incidência do FGTS sobre API e Reflexo do API])*tabCustoUnit[[#This Row],[MODULO 1 - REMUNERAÇÃO ]]</f>
        <v>0.92472411331944449</v>
      </c>
      <c r="AO99" s="22">
        <f>SUMIF(tabParametros[Código do Posto],tabCustoUnit[[#This Row],[Código do Posto]],tabParametros[Multa Rescisória do FGTS sobre o Aviso Prévio Indenizado])*tabCustoUnit[[#This Row],[MODULO 1 - REMUNERAÇÃO ]]</f>
        <v>0.36988964532777785</v>
      </c>
      <c r="AP99" s="22">
        <f>SUMIF(tabParametros[Código do Posto],tabCustoUnit[[#This Row],[Código do Posto]],tabParametros[Aviso Prévio Trabalhado - APT])*tabCustoUnit[[#This Row],[MODULO 1 - REMUNERAÇÃO ]]</f>
        <v>5.7698266500000006</v>
      </c>
      <c r="AQ99" s="22">
        <f>SUMIF(tabParametros[Código do Posto],tabCustoUnit[[#This Row],[Código do Posto]],tabParametros[Incidência dos encargos do submódulo 2.1 sobre Aviso Prévio Trabalhado])*tabCustoUnit[[#This Row],[MODULO 1 - REMUNERAÇÃO ]]</f>
        <v>2.1809944737000007</v>
      </c>
      <c r="AR99" s="22">
        <f>SUMIF(tabParametros[Código do Posto],tabCustoUnit[[#This Row],[Código do Posto]],tabParametros[Multa Rescisória do FGTS])*tabCustoUnit[[#This Row],[MODULO 1 - REMUNERAÇÃO ]]</f>
        <v>50.40813631999999</v>
      </c>
      <c r="AS99" s="22">
        <f>SUMIF(tabParametros[Código do Posto],tabCustoUnit[[#This Row],[Código do Posto]],tabParametros[Indenização Adicional (Art. 9º da Lei nº 7.238/84)])*tabCustoUnit[[#This Row],[MODULO 1 - REMUNERAÇÃO ]]</f>
        <v>1.3737682500000001</v>
      </c>
      <c r="AT99" s="22">
        <f>SUM(tabCustoUnit[[#This Row],[Aviso Prévio Indenizado (API) e Reflexo do Aviso Prévio Indenizado]:[Indenização Adicional (Art. 9º da Lei nº 7.238/84)]])</f>
        <v>72.586390868840269</v>
      </c>
      <c r="AU99" s="22">
        <f>SUMIF(tabParametros[Código do Posto],tabCustoUnit[[#This Row],[Código do Posto]],tabParametros[Ausência por Doença])*tabCustoUnit[[#This Row],[MODULO 1 - REMUNERAÇÃO ]]</f>
        <v>13.920851599999999</v>
      </c>
      <c r="AV99" s="22">
        <f>SUMIF(tabParametros[Código do Posto],tabCustoUnit[[#This Row],[Código do Posto]],tabParametros[Ausências Legais])*tabCustoUnit[[#This Row],[MODULO 1 - REMUNERAÇÃO ]]</f>
        <v>3.3428360749999997</v>
      </c>
      <c r="AW99" s="22">
        <f>SUMIF(tabParametros[Código do Posto],tabCustoUnit[[#This Row],[Código do Posto]],tabParametros[Licença Paternidade])*tabCustoUnit[[#This Row],[MODULO 1 - REMUNERAÇÃO ]]</f>
        <v>0.28162249125</v>
      </c>
      <c r="AX99" s="22">
        <f>SUMIF(tabParametros[Código do Posto],tabCustoUnit[[#This Row],[Código do Posto]],tabParametros[Ausência por Acidente de Trabalho])*tabCustoUnit[[#This Row],[MODULO 1 - REMUNERAÇÃO ]]</f>
        <v>0.34344206250000003</v>
      </c>
      <c r="AY99" s="22">
        <f>SUMIF(tabParametros[Código do Posto],tabCustoUnit[[#This Row],[Código do Posto]],tabParametros[Férias, Adicional de Férias e 13º  com empregada em gozo de Licença Maternidade])*tabCustoUnit[[#This Row],[MODULO 1 - REMUNERAÇÃO ]]</f>
        <v>2.1369728333333331</v>
      </c>
      <c r="AZ99" s="22">
        <f>SUMIF(tabParametros[Código do Posto],tabCustoUnit[[#This Row],[Código do Posto]],tabParametros[Incidência do Submódulo 2.1 sobre Ausências Legais])*tabCustoUnit[[#This Row],[MODULO 1 - REMUNERAÇÃO ]]</f>
        <v>7.5697240734675013</v>
      </c>
      <c r="BA99" s="22">
        <f>SUM(tabCustoUnit[[#This Row],[Ausência por Doença]:[Incidência do Submódulo 2.1 sobre Ausências Legais]])</f>
        <v>27.595449135550833</v>
      </c>
      <c r="BB99" s="22">
        <f>SUMIF(tabParametros[Código do Posto],tabCustoUnit[[#This Row],[Código do Posto]],tabParametros[Intervalo para Repouso ou Alimentação])</f>
        <v>0</v>
      </c>
      <c r="BC99" s="22">
        <f>tabCustoUnit[[#This Row],[Intervalo para Repouso ou Alimentação]]</f>
        <v>0</v>
      </c>
      <c r="BD99" s="22">
        <f>IF(VLOOKUP(tabCustoUnit[[#This Row],[Código do Posto]],PARAMETROS!$A$4:$BJ$255,7,0)&lt;=0,0,
IFERROR((tabCustoUnit[[#This Row],[MODULO 1 - REMUNERAÇÃO ]]*VLOOKUP(tabCustoUnit[[#This Row],[Código do Posto]],PARAMETROS!$A$4:$BJ$255,49,0))/(VLOOKUP(tabCustoUnit[[#This Row],[Código do Posto]],PARAMETROS!$A$4:$BJ$255,7,0)*VLOOKUP(tabCustoUnit[[#This Row],[Código do Posto]],PARAMETROS!$A$4:$BJ$255,8,0)),0)
)</f>
        <v>0</v>
      </c>
      <c r="BE99" s="22">
        <f>tabCustoUnit[[#This Row],[Suspensão Temporária do Contrato de Trabalho]]</f>
        <v>0</v>
      </c>
      <c r="BF99" s="22">
        <f>tabCustoUnit[[#This Row],[Submódulo 4.1]]+tabCustoUnit[[#This Row],[Submódulo 4.2]]+tabCustoUnit[[#This Row],[Submódulo 4.3]]</f>
        <v>27.595449135550833</v>
      </c>
      <c r="BG99" s="22">
        <f>VLOOKUP(tabCustoUnit[[#This Row],[Código do Posto]],tabParametros[],MATCH(tabCustoUnit[[#Headers],[Uniformes e EPIs]],tabParametros[#Headers],0),0)</f>
        <v>100.80916666666666</v>
      </c>
      <c r="BH99" s="22">
        <f>VLOOKUP(tabCustoUnit[[#This Row],[Código do Posto]],tabParametros[],MATCH(tabCustoUnit[[#Headers],[Materiais de Consumo]],tabParametros[#Headers],0),0)</f>
        <v>35.518212958583888</v>
      </c>
      <c r="BI99" s="22">
        <f>VLOOKUP(tabCustoUnit[[#This Row],[Código do Posto]],tabParametros[],MATCH(tabCustoUnit[[#Headers],[Máquinas e Equipamentos (depreciação)]],tabParametros[#Headers],0),0)</f>
        <v>64.529393914825576</v>
      </c>
      <c r="BJ99" s="22">
        <f>VLOOKUP(tabCustoUnit[[#This Row],[Código do Posto]],tabParametros[],MATCH(tabCustoUnit[[#Headers],[Produtos de Limpeza e Materiais de Higiene Pessoal]],tabParametros[#Headers],0),0)</f>
        <v>690.27153277931654</v>
      </c>
      <c r="BK99" s="22">
        <f>VLOOKUP(tabCustoUnit[[#This Row],[Código do Posto]],tabParametros[],MATCH(tabCustoUnit[[#Headers],[Outros (especificar)]],tabParametros[#Headers],0),0)</f>
        <v>0</v>
      </c>
      <c r="BL99" s="22">
        <f>SUM(tabCustoUnit[[#This Row],[Uniformes e EPIs]:[Outros (especificar)]])</f>
        <v>891.12830631939266</v>
      </c>
      <c r="BM99" s="22">
        <f>tabCustoUnit[[#This Row],[MODULO 1 - REMUNERAÇÃO ]]+tabCustoUnit[[#This Row],[MÓDULO 2 - Total Encargos e Benefícios mensais e diários]]+tabCustoUnit[[#This Row],[MÓDULO 3 – PROVISÃO PARA RESCISÃO]]+tabCustoUnit[[#This Row],[MÓDULO 4 – CUSTO DE REPOSIÇÃO DO PROFISSIONAL AUSENTE]]+tabCustoUnit[[#This Row],[MÓDULO 5 – INSUMOS DIVERSOS]]</f>
        <v>4502.1288091737833</v>
      </c>
      <c r="BN99" s="22">
        <f>VLOOKUP(tabCustoUnit[[#This Row],[Código do Posto]],tabParametros[],MATCH(tabCustoUnit[[#Headers],[Custos Indiretos]],tabParametros[#Headers],0),0)</f>
        <v>189.64880140242613</v>
      </c>
      <c r="BO99" s="22">
        <f>VLOOKUP(tabCustoUnit[[#This Row],[Código do Posto]],tabParametros[],MATCH(tabCustoUnit[[#Headers],[Lucro]],tabParametros[#Headers],0),0)</f>
        <v>159.30499317803796</v>
      </c>
      <c r="BP99" s="26">
        <f>((100/((1-tabCustoUnit[[#This Row],[Resumo de Alíquotas (PIS+CONFINS+ISS)]]))-100)*VLOOKUP(tabCustoUnit[[#This Row],[Código do Posto]],tabParametros[],MATCH(tabCustoUnit[[#Headers],[COFINS]],tabParametros[#Headers],0),0))/(tabCustoUnit[[#This Row],[Resumo de Alíquotas (PIS+CONFINS+ISS)]]*100)</f>
        <v>8.5633802816901458E-2</v>
      </c>
      <c r="BQ99" s="26">
        <f>((100/((100-(tabCustoUnit[[#This Row],[Resumo de Alíquotas (PIS+CONFINS+ISS)]]*100))%)-100)*VLOOKUP(tabCustoUnit[[#This Row],[Código do Posto]],tabParametros[],MATCH(tabCustoUnit[[#Headers],[PIS]],tabParametros[#Headers],0),0))/(tabCustoUnit[[#This Row],[Resumo de Alíquotas (PIS+CONFINS+ISS)]]*100)</f>
        <v>1.8591549295774657E-2</v>
      </c>
      <c r="BR99" s="28">
        <f>VLOOKUP(tabCustoUnit[[#This Row],[Código do Posto]],tabParametros[],MATCH(tabCustoUnit[[#Headers],[ISS]],tabParametros[#Headers],0),0)</f>
        <v>0.02</v>
      </c>
      <c r="BS99" s="26">
        <f>(((100/((100-(tabCustoUnit[[#This Row],[Resumo de Alíquotas (PIS+CONFINS+ISS)]]*100))%)-100)*tabCustoUnit[[#This Row],[ISS]])/tabCustoUnit[[#This Row],[Resumo de Alíquotas (PIS+CONFINS+ISS)]])/100</f>
        <v>2.2535211267605645E-2</v>
      </c>
      <c r="BT99" s="26">
        <f>(VLOOKUP(tabCustoUnit[[#This Row],[Código do Posto]],tabParametros[],MATCH(tabCustoUnit[[#Headers],[COFINS]],tabParametros[#Headers],0),0)+
VLOOKUP(tabCustoUnit[[#This Row],[Código do Posto]],tabParametros[],MATCH(tabCustoUnit[[#Headers],[PIS]],tabParametros[#Headers],0),0)+
VLOOKUP(tabCustoUnit[[#This Row],[Código do Posto]],tabParametros[],MATCH(tabCustoUnit[[#Headers],[ISS]],tabParametros[#Headers],0),0))</f>
        <v>0.1125</v>
      </c>
      <c r="BU99" s="138">
        <f>tabCustoUnit[[#This Row],[COFINS]]+tabCustoUnit[[#This Row],[PIS]]+tabCustoUnit[[#This Row],[ISS (Conversão Alíquota s/ fatura)]]</f>
        <v>0.12676056338028174</v>
      </c>
      <c r="BV99" s="22">
        <f>(tabCustoUnit[[#This Row],[TOTAL MÓDULOS 1+2+3+4+5]]+tabCustoUnit[[#This Row],[Custos Indiretos]]+tabCustoUnit[[#This Row],[Lucro]])*tabCustoUnit[[#This Row],[PIS + COFINS + ISS (Total Conversão  Alíquota s/ Fatura)]]</f>
        <v>614.92596385617242</v>
      </c>
      <c r="BW99" s="22">
        <f>tabCustoUnit[[#This Row],[Custos Indiretos]]+tabCustoUnit[[#This Row],[Lucro]]+tabCustoUnit[[#This Row],[Valor dos Tributos (ISS, PIS, CONFINS)]]</f>
        <v>963.87975843663651</v>
      </c>
      <c r="BX99" s="22">
        <f>tabCustoUnit[[#This Row],[TOTAL MÓDULOS 1+2+3+4+5]]+tabCustoUnit[[#This Row],[MÓDULO 6 – CUSTOS INDIRETOS, TRIBUTOS E LUCRO]]</f>
        <v>5466.00856761042</v>
      </c>
      <c r="BY99" s="22">
        <f>tabCustoUnit[[#This Row],[CUSTO TOTAL MENSAL]]*12</f>
        <v>65592.102811325036</v>
      </c>
      <c r="BZ99" s="24">
        <f>VLOOKUP(tabCustoUnit[[#This Row],[Código do Posto]],tabParametros[],MATCH(tabCustoUnit[[#Headers],[ANO DA CCT]],tabParametros[#Headers],0),0)</f>
        <v>45658</v>
      </c>
      <c r="CA99" s="25" t="str">
        <f>VLOOKUP(tabCustoUnit[[#This Row],[Código do Posto]],tabParametros[],MATCH(tabCustoUnit[[#Headers],[Nº DE PEDIDO DA CCT]],tabParametros[#Headers],0),0)</f>
        <v>-</v>
      </c>
      <c r="CB99" s="25" t="str">
        <f>VLOOKUP(tabCustoUnit[[#This Row],[Código do Posto]],tabParametros[],MATCH(tabCustoUnit[[#Headers],[TERMO ADITIVO ALTERAÇÃO DA CCT]],tabParametros[#Headers],0),0)</f>
        <v>-</v>
      </c>
    </row>
    <row r="100" spans="1:80" x14ac:dyDescent="0.25">
      <c r="A100" s="20" t="s">
        <v>1439</v>
      </c>
      <c r="B100" t="s">
        <v>94</v>
      </c>
      <c r="C100" t="s">
        <v>1244</v>
      </c>
      <c r="D100" t="s">
        <v>1004</v>
      </c>
      <c r="E100" s="20" t="s">
        <v>9</v>
      </c>
      <c r="F100" s="20" t="s">
        <v>10</v>
      </c>
      <c r="G100" s="21">
        <v>824.56</v>
      </c>
      <c r="H100" s="21">
        <v>0</v>
      </c>
      <c r="I100" s="21">
        <v>0</v>
      </c>
      <c r="J100" s="21">
        <v>0</v>
      </c>
      <c r="K100" s="21">
        <v>0</v>
      </c>
      <c r="L100" s="21">
        <v>0</v>
      </c>
      <c r="M100" s="21">
        <v>0</v>
      </c>
      <c r="N100" s="21">
        <v>26.985600000000002</v>
      </c>
      <c r="O100" s="21">
        <f>SUM(tabCustoUnit[[#This Row],[Salário Base]:[Adicional de Acúmulo de função]])</f>
        <v>851.54559999999992</v>
      </c>
      <c r="P100" s="21">
        <f>tabCustoUnit[[#This Row],[MODULO 1 - REMUNERAÇÃO ]]*SUMIFS(tabParametros[INSS],tabParametros[Código do Posto],tabCustoUnit[[#This Row],[Código do Posto]])</f>
        <v>170.30912000000001</v>
      </c>
      <c r="Q100" s="21">
        <f>tabCustoUnit[[#This Row],[MODULO 1 - REMUNERAÇÃO ]]*SUMIFS(tabParametros[SESI OU SESC],tabParametros[Código do Posto],tabCustoUnit[[#This Row],[Código do Posto]])</f>
        <v>12.773183999999999</v>
      </c>
      <c r="R100" s="21">
        <f>tabCustoUnit[[#This Row],[MODULO 1 - REMUNERAÇÃO ]]*SUMIFS(tabParametros[SENAI OU SENAC],tabParametros[Código do Posto],tabCustoUnit[[#This Row],[Código do Posto]])</f>
        <v>8.5154559999999986</v>
      </c>
      <c r="S100" s="21">
        <f>tabCustoUnit[[#This Row],[MODULO 1 - REMUNERAÇÃO ]]*SUMIFS(tabParametros[INCRA],tabParametros[Código do Posto],tabCustoUnit[[#This Row],[Código do Posto]])</f>
        <v>1.7030911999999998</v>
      </c>
      <c r="T100" s="21">
        <f>tabCustoUnit[[#This Row],[MODULO 1 - REMUNERAÇÃO ]]*SUMIFS(tabParametros[Salário Educação],tabParametros[Código do Posto],tabCustoUnit[[#This Row],[Código do Posto]])</f>
        <v>21.288640000000001</v>
      </c>
      <c r="U100" s="21">
        <f>tabCustoUnit[[#This Row],[MODULO 1 - REMUNERAÇÃO ]]*SUMIFS(tabParametros[FGTS],tabParametros[Código do Posto],tabCustoUnit[[#This Row],[Código do Posto]])</f>
        <v>68.123647999999989</v>
      </c>
      <c r="V100" s="21">
        <f>tabCustoUnit[[#This Row],[MODULO 1 - REMUNERAÇÃO ]]*SUMIFS(tabParametros[RAT Ajustado],tabParametros[Código do Posto],tabCustoUnit[[#This Row],[Código do Posto]])</f>
        <v>34.061823999999994</v>
      </c>
      <c r="W100" s="21">
        <f>tabCustoUnit[[#This Row],[MODULO 1 - REMUNERAÇÃO ]]*SUMIFS(tabParametros[SEBRAE],tabParametros[Código do Posto],tabCustoUnit[[#This Row],[Código do Posto]])</f>
        <v>5.1092735999999999</v>
      </c>
      <c r="X100" s="21">
        <f>SUM(tabCustoUnit[[#This Row],[INSS]:[SEBRAE]])</f>
        <v>321.8842368</v>
      </c>
      <c r="Y100" s="21">
        <f>tabCustoUnit[[#This Row],[MODULO 1 - REMUNERAÇÃO ]]*SUMIFS(tabParametros[13º salário (titular)],tabParametros[Código do Posto],tabCustoUnit[[#This Row],[Código do Posto]])</f>
        <v>70.962133333333327</v>
      </c>
      <c r="Z100" s="21">
        <f>tabCustoUnit[[#This Row],[MODULO 1 - REMUNERAÇÃO ]]*SUMIFS(tabParametros[Férias e Adicional de Férias (titular)],tabParametros[Código do Posto],tabCustoUnit[[#This Row],[Código do Posto]])</f>
        <v>94.616177777777764</v>
      </c>
      <c r="AA100" s="21">
        <f>IFERROR((tabCustoUnit[[#This Row],[Submódulo 2.1]]/tabCustoUnit[[#This Row],[MODULO 1 - REMUNERAÇÃO ]])*SUM(tabCustoUnit[[#This Row],[13º salário (titular)]:[Férias e Adicional de Férias (titular)]]),0)</f>
        <v>62.588601599999997</v>
      </c>
      <c r="AB100" s="21">
        <f>SUM(tabCustoUnit[[#This Row],[13º salário (titular)]:[Incidência do Submódulo 2.1 sobre 13º Salário, Férias e Adicional de Férias]])</f>
        <v>228.16691271111108</v>
      </c>
      <c r="AC100" s="22">
        <f>_xlfn.LET(_xlpm.VT,SUMIF(tabParametros[Código do Posto],tabCustoUnit[[#This Row],[Código do Posto]],tabParametros[Vale - Transporte])*2*20,
IF((_xlpm.VT-tabCustoUnit[[#This Row],[Salário Base]]*0.06)&gt;=0,(_xlpm.VT-tabCustoUnit[[#This Row],[Salário Base]]*0.06),0)
)</f>
        <v>206.5264</v>
      </c>
      <c r="AD100" s="22">
        <f>IF(SUMIF(tabParametros[Código do Posto],tabCustoUnit[[#This Row],[Código do Posto]],tabParametros[Vale - Alimentação])&lt;=0,0,
SUMIF(tabParametros[Código do Posto],tabCustoUnit[[#This Row],[Código do Posto]],tabParametros[Vale - Alimentação])*20-1)</f>
        <v>582</v>
      </c>
      <c r="AE100" s="22">
        <f>SUMIF(tabParametros[Código do Posto],tabCustoUnit[[#This Row],[Código do Posto]],tabParametros[Cesta Básica])</f>
        <v>0</v>
      </c>
      <c r="AF100" s="22">
        <f>SUMIF(tabParametros[Código do Posto],tabCustoUnit[[#This Row],[Código do Posto]],tabParametros[PAF])</f>
        <v>51.88</v>
      </c>
      <c r="AG100" s="22">
        <f>SUMIF(tabParametros[Código do Posto],tabCustoUnit[[#This Row],[Código do Posto]],tabParametros[PQM])</f>
        <v>0</v>
      </c>
      <c r="AH100" s="22">
        <f>SUMIF(tabParametros[Código do Posto],tabCustoUnit[[#This Row],[Código do Posto]],tabParametros[PAT])</f>
        <v>0</v>
      </c>
      <c r="AI100" s="22">
        <f>SUMIF(tabParametros[Código do Posto],tabCustoUnit[[#This Row],[Código do Posto]],tabParametros[Seguro de Vida])</f>
        <v>3.36</v>
      </c>
      <c r="AJ100" s="22">
        <f>SUMIF(tabParametros[Código do Posto],tabCustoUnit[[#This Row],[Código do Posto]],tabParametros[Despesas de Viagem])</f>
        <v>0</v>
      </c>
      <c r="AK100" s="22">
        <f>SUM(tabCustoUnit[[#This Row],[Vale - Transporte (Descontada parcela do empregado)]:[Despesas de Viagem]])</f>
        <v>843.76639999999998</v>
      </c>
      <c r="AL100" s="22">
        <f>tabCustoUnit[[#This Row],[Submódulo 2.1]]+tabCustoUnit[[#This Row],[Submódulo 2.2]]+tabCustoUnit[[#This Row],[Submódulo 2.3]]</f>
        <v>1393.8175495111111</v>
      </c>
      <c r="AM100" s="22">
        <f>SUMIF(tabParametros[Código do Posto],tabCustoUnit[[#This Row],[Código do Posto]],tabParametros[Aviso Prévio Indenizado (API) e Reflexo do Aviso Prévio Indenizado])*tabCustoUnit[[#This Row],[MODULO 1 - REMUNERAÇÃO ]]</f>
        <v>5.970839316049382</v>
      </c>
      <c r="AN100" s="22">
        <f>SUMIF(tabParametros[Código do Posto],tabCustoUnit[[#This Row],[Código do Posto]],tabParametros[Incidência do FGTS sobre API e Reflexo do API])*tabCustoUnit[[#This Row],[MODULO 1 - REMUNERAÇÃO ]]</f>
        <v>0.4776671452839506</v>
      </c>
      <c r="AO100" s="22">
        <f>SUMIF(tabParametros[Código do Posto],tabCustoUnit[[#This Row],[Código do Posto]],tabParametros[Multa Rescisória do FGTS sobre o Aviso Prévio Indenizado])*tabCustoUnit[[#This Row],[MODULO 1 - REMUNERAÇÃO ]]</f>
        <v>0.19106685811358026</v>
      </c>
      <c r="AP100" s="22">
        <f>SUMIF(tabParametros[Código do Posto],tabCustoUnit[[#This Row],[Código do Posto]],tabParametros[Aviso Prévio Trabalhado - APT])*tabCustoUnit[[#This Row],[MODULO 1 - REMUNERAÇÃO ]]</f>
        <v>2.9804096000000002</v>
      </c>
      <c r="AQ100" s="22">
        <f>SUMIF(tabParametros[Código do Posto],tabCustoUnit[[#This Row],[Código do Posto]],tabParametros[Incidência dos encargos do submódulo 2.1 sobre Aviso Prévio Trabalhado])*tabCustoUnit[[#This Row],[MODULO 1 - REMUNERAÇÃO ]]</f>
        <v>1.1265948288000003</v>
      </c>
      <c r="AR100" s="22">
        <f>SUMIF(tabParametros[Código do Posto],tabCustoUnit[[#This Row],[Código do Posto]],tabParametros[Multa Rescisória do FGTS])*tabCustoUnit[[#This Row],[MODULO 1 - REMUNERAÇÃO ]]</f>
        <v>26.038372124444439</v>
      </c>
      <c r="AS100" s="22">
        <f>SUMIF(tabParametros[Código do Posto],tabCustoUnit[[#This Row],[Código do Posto]],tabParametros[Indenização Adicional (Art. 9º da Lei nº 7.238/84)])*tabCustoUnit[[#This Row],[MODULO 1 - REMUNERAÇÃO ]]</f>
        <v>0.70962133333333333</v>
      </c>
      <c r="AT100" s="22">
        <f>SUM(tabCustoUnit[[#This Row],[Aviso Prévio Indenizado (API) e Reflexo do Aviso Prévio Indenizado]:[Indenização Adicional (Art. 9º da Lei nº 7.238/84)]])</f>
        <v>37.494571206024688</v>
      </c>
      <c r="AU100" s="22">
        <f>SUMIF(tabParametros[Código do Posto],tabCustoUnit[[#This Row],[Código do Posto]],tabParametros[Ausência por Doença])*tabCustoUnit[[#This Row],[MODULO 1 - REMUNERAÇÃO ]]</f>
        <v>7.1908295111111098</v>
      </c>
      <c r="AV100" s="22">
        <f>SUMIF(tabParametros[Código do Posto],tabCustoUnit[[#This Row],[Código do Posto]],tabParametros[Ausências Legais])*tabCustoUnit[[#This Row],[MODULO 1 - REMUNERAÇÃO ]]</f>
        <v>1.7267452444444442</v>
      </c>
      <c r="AW100" s="22">
        <f>SUMIF(tabParametros[Código do Posto],tabCustoUnit[[#This Row],[Código do Posto]],tabParametros[Licença Paternidade])*tabCustoUnit[[#This Row],[MODULO 1 - REMUNERAÇÃO ]]</f>
        <v>0.14547237333333332</v>
      </c>
      <c r="AX100" s="22">
        <f>SUMIF(tabParametros[Código do Posto],tabCustoUnit[[#This Row],[Código do Posto]],tabParametros[Ausência por Acidente de Trabalho])*tabCustoUnit[[#This Row],[MODULO 1 - REMUNERAÇÃO ]]</f>
        <v>0.17740533333333333</v>
      </c>
      <c r="AY100" s="22">
        <f>SUMIF(tabParametros[Código do Posto],tabCustoUnit[[#This Row],[Código do Posto]],tabParametros[Férias, Adicional de Férias e 13º  com empregada em gozo de Licença Maternidade])*tabCustoUnit[[#This Row],[MODULO 1 - REMUNERAÇÃO ]]</f>
        <v>1.1038554074074072</v>
      </c>
      <c r="AZ100" s="22">
        <f>SUMIF(tabParametros[Código do Posto],tabCustoUnit[[#This Row],[Código do Posto]],tabParametros[Incidência do Submódulo 2.1 sobre Ausências Legais])*tabCustoUnit[[#This Row],[MODULO 1 - REMUNERAÇÃO ]]</f>
        <v>3.9101483747200003</v>
      </c>
      <c r="BA100" s="22">
        <f>SUM(tabCustoUnit[[#This Row],[Ausência por Doença]:[Incidência do Submódulo 2.1 sobre Ausências Legais]])</f>
        <v>14.254456244349628</v>
      </c>
      <c r="BB100" s="22">
        <f>SUMIF(tabParametros[Código do Posto],tabCustoUnit[[#This Row],[Código do Posto]],tabParametros[Intervalo para Repouso ou Alimentação])</f>
        <v>0</v>
      </c>
      <c r="BC100" s="22">
        <f>tabCustoUnit[[#This Row],[Intervalo para Repouso ou Alimentação]]</f>
        <v>0</v>
      </c>
      <c r="BD100" s="22">
        <f>IF(VLOOKUP(tabCustoUnit[[#This Row],[Código do Posto]],PARAMETROS!$A$4:$BJ$255,7,0)&lt;=0,0,
IFERROR((tabCustoUnit[[#This Row],[MODULO 1 - REMUNERAÇÃO ]]*VLOOKUP(tabCustoUnit[[#This Row],[Código do Posto]],PARAMETROS!$A$4:$BJ$255,49,0))/(VLOOKUP(tabCustoUnit[[#This Row],[Código do Posto]],PARAMETROS!$A$4:$BJ$255,7,0)*VLOOKUP(tabCustoUnit[[#This Row],[Código do Posto]],PARAMETROS!$A$4:$BJ$255,8,0)),0)
)</f>
        <v>0</v>
      </c>
      <c r="BE100" s="22">
        <f>tabCustoUnit[[#This Row],[Suspensão Temporária do Contrato de Trabalho]]</f>
        <v>0</v>
      </c>
      <c r="BF100" s="22">
        <f>tabCustoUnit[[#This Row],[Submódulo 4.1]]+tabCustoUnit[[#This Row],[Submódulo 4.2]]+tabCustoUnit[[#This Row],[Submódulo 4.3]]</f>
        <v>14.254456244349628</v>
      </c>
      <c r="BG100" s="22">
        <f>VLOOKUP(tabCustoUnit[[#This Row],[Código do Posto]],tabParametros[],MATCH(tabCustoUnit[[#Headers],[Uniformes e EPIs]],tabParametros[#Headers],0),0)</f>
        <v>62.806666666666665</v>
      </c>
      <c r="BH100" s="22">
        <f>VLOOKUP(tabCustoUnit[[#This Row],[Código do Posto]],tabParametros[],MATCH(tabCustoUnit[[#Headers],[Materiais de Consumo]],tabParametros[#Headers],0),0)</f>
        <v>17.759106479291944</v>
      </c>
      <c r="BI100" s="22">
        <f>VLOOKUP(tabCustoUnit[[#This Row],[Código do Posto]],tabParametros[],MATCH(tabCustoUnit[[#Headers],[Máquinas e Equipamentos (depreciação)]],tabParametros[#Headers],0),0)</f>
        <v>32.264696957412788</v>
      </c>
      <c r="BJ100" s="22">
        <f>VLOOKUP(tabCustoUnit[[#This Row],[Código do Posto]],tabParametros[],MATCH(tabCustoUnit[[#Headers],[Produtos de Limpeza e Materiais de Higiene Pessoal]],tabParametros[#Headers],0),0)</f>
        <v>345.13576638965827</v>
      </c>
      <c r="BK100" s="22">
        <f>VLOOKUP(tabCustoUnit[[#This Row],[Código do Posto]],tabParametros[],MATCH(tabCustoUnit[[#Headers],[Outros (especificar)]],tabParametros[#Headers],0),0)</f>
        <v>0</v>
      </c>
      <c r="BL100" s="22">
        <f>SUM(tabCustoUnit[[#This Row],[Uniformes e EPIs]:[Outros (especificar)]])</f>
        <v>457.96623649302967</v>
      </c>
      <c r="BM100" s="22">
        <f>tabCustoUnit[[#This Row],[MODULO 1 - REMUNERAÇÃO ]]+tabCustoUnit[[#This Row],[MÓDULO 2 - Total Encargos e Benefícios mensais e diários]]+tabCustoUnit[[#This Row],[MÓDULO 3 – PROVISÃO PARA RESCISÃO]]+tabCustoUnit[[#This Row],[MÓDULO 4 – CUSTO DE REPOSIÇÃO DO PROFISSIONAL AUSENTE]]+tabCustoUnit[[#This Row],[MÓDULO 5 – INSUMOS DIVERSOS]]</f>
        <v>2755.0784134545152</v>
      </c>
      <c r="BN100" s="22">
        <f>VLOOKUP(tabCustoUnit[[#This Row],[Código do Posto]],tabParametros[],MATCH(tabCustoUnit[[#Headers],[Custos Indiretos]],tabParametros[#Headers],0),0)</f>
        <v>189.64880140242613</v>
      </c>
      <c r="BO100" s="22">
        <f>VLOOKUP(tabCustoUnit[[#This Row],[Código do Posto]],tabParametros[],MATCH(tabCustoUnit[[#Headers],[Lucro]],tabParametros[#Headers],0),0)</f>
        <v>159.30499317803796</v>
      </c>
      <c r="BP100" s="26">
        <f>((100/((1-tabCustoUnit[[#This Row],[Resumo de Alíquotas (PIS+CONFINS+ISS)]]))-100)*VLOOKUP(tabCustoUnit[[#This Row],[Código do Posto]],tabParametros[],MATCH(tabCustoUnit[[#Headers],[COFINS]],tabParametros[#Headers],0),0))/(tabCustoUnit[[#This Row],[Resumo de Alíquotas (PIS+CONFINS+ISS)]]*100)</f>
        <v>8.8629737609329504E-2</v>
      </c>
      <c r="BQ100" s="26">
        <f>((100/((100-(tabCustoUnit[[#This Row],[Resumo de Alíquotas (PIS+CONFINS+ISS)]]*100))%)-100)*VLOOKUP(tabCustoUnit[[#This Row],[Código do Posto]],tabParametros[],MATCH(tabCustoUnit[[#Headers],[PIS]],tabParametros[#Headers],0),0))/(tabCustoUnit[[#This Row],[Resumo de Alíquotas (PIS+CONFINS+ISS)]]*100)</f>
        <v>1.9241982507288629E-2</v>
      </c>
      <c r="BR100" s="28">
        <f>VLOOKUP(tabCustoUnit[[#This Row],[Código do Posto]],tabParametros[],MATCH(tabCustoUnit[[#Headers],[ISS]],tabParametros[#Headers],0),0)</f>
        <v>0.05</v>
      </c>
      <c r="BS100" s="26">
        <f>(((100/((100-(tabCustoUnit[[#This Row],[Resumo de Alíquotas (PIS+CONFINS+ISS)]]*100))%)-100)*tabCustoUnit[[#This Row],[ISS]])/tabCustoUnit[[#This Row],[Resumo de Alíquotas (PIS+CONFINS+ISS)]])/100</f>
        <v>5.8309037900874633E-2</v>
      </c>
      <c r="BT100" s="26">
        <f>(VLOOKUP(tabCustoUnit[[#This Row],[Código do Posto]],tabParametros[],MATCH(tabCustoUnit[[#Headers],[COFINS]],tabParametros[#Headers],0),0)+
VLOOKUP(tabCustoUnit[[#This Row],[Código do Posto]],tabParametros[],MATCH(tabCustoUnit[[#Headers],[PIS]],tabParametros[#Headers],0),0)+
VLOOKUP(tabCustoUnit[[#This Row],[Código do Posto]],tabParametros[],MATCH(tabCustoUnit[[#Headers],[ISS]],tabParametros[#Headers],0),0))</f>
        <v>0.14250000000000002</v>
      </c>
      <c r="BU100" s="138">
        <f>tabCustoUnit[[#This Row],[COFINS]]+tabCustoUnit[[#This Row],[PIS]]+tabCustoUnit[[#This Row],[ISS (Conversão Alíquota s/ fatura)]]</f>
        <v>0.16618075801749277</v>
      </c>
      <c r="BV100" s="22">
        <f>(tabCustoUnit[[#This Row],[TOTAL MÓDULOS 1+2+3+4+5]]+tabCustoUnit[[#This Row],[Custos Indiretos]]+tabCustoUnit[[#This Row],[Lucro]])*tabCustoUnit[[#This Row],[PIS + COFINS + ISS (Total Conversão  Alíquota s/ Fatura)]]</f>
        <v>515.83042524196469</v>
      </c>
      <c r="BW100" s="22">
        <f>tabCustoUnit[[#This Row],[Custos Indiretos]]+tabCustoUnit[[#This Row],[Lucro]]+tabCustoUnit[[#This Row],[Valor dos Tributos (ISS, PIS, CONFINS)]]</f>
        <v>864.78421982242878</v>
      </c>
      <c r="BX100" s="22">
        <f>tabCustoUnit[[#This Row],[TOTAL MÓDULOS 1+2+3+4+5]]+tabCustoUnit[[#This Row],[MÓDULO 6 – CUSTOS INDIRETOS, TRIBUTOS E LUCRO]]</f>
        <v>3619.8626332769441</v>
      </c>
      <c r="BY100" s="22">
        <f>tabCustoUnit[[#This Row],[CUSTO TOTAL MENSAL]]*12</f>
        <v>43438.35159932333</v>
      </c>
      <c r="BZ100" s="24">
        <f>VLOOKUP(tabCustoUnit[[#This Row],[Código do Posto]],tabParametros[],MATCH(tabCustoUnit[[#Headers],[ANO DA CCT]],tabParametros[#Headers],0),0)</f>
        <v>45658</v>
      </c>
      <c r="CA100" s="25" t="str">
        <f>VLOOKUP(tabCustoUnit[[#This Row],[Código do Posto]],tabParametros[],MATCH(tabCustoUnit[[#Headers],[Nº DE PEDIDO DA CCT]],tabParametros[#Headers],0),0)</f>
        <v>-</v>
      </c>
      <c r="CB100" s="25" t="str">
        <f>VLOOKUP(tabCustoUnit[[#This Row],[Código do Posto]],tabParametros[],MATCH(tabCustoUnit[[#Headers],[TERMO ADITIVO ALTERAÇÃO DA CCT]],tabParametros[#Headers],0),0)</f>
        <v>-</v>
      </c>
    </row>
    <row r="101" spans="1:80" x14ac:dyDescent="0.25">
      <c r="A101" s="20" t="s">
        <v>1440</v>
      </c>
      <c r="B101" t="s">
        <v>94</v>
      </c>
      <c r="C101" t="s">
        <v>1245</v>
      </c>
      <c r="D101" t="s">
        <v>1004</v>
      </c>
      <c r="E101" s="20" t="s">
        <v>9</v>
      </c>
      <c r="F101" s="20" t="s">
        <v>10</v>
      </c>
      <c r="G101" s="21">
        <v>1649.1161</v>
      </c>
      <c r="H101" s="21">
        <v>0</v>
      </c>
      <c r="I101" s="21">
        <v>0</v>
      </c>
      <c r="J101" s="21">
        <v>0</v>
      </c>
      <c r="K101" s="21">
        <v>0</v>
      </c>
      <c r="L101" s="21">
        <v>0</v>
      </c>
      <c r="M101" s="21">
        <v>0</v>
      </c>
      <c r="N101" s="21">
        <v>53.9711</v>
      </c>
      <c r="O101" s="21">
        <f>SUM(tabCustoUnit[[#This Row],[Salário Base]:[Adicional de Acúmulo de função]])</f>
        <v>1703.0871999999999</v>
      </c>
      <c r="P101" s="21">
        <f>tabCustoUnit[[#This Row],[MODULO 1 - REMUNERAÇÃO ]]*SUMIFS(tabParametros[INSS],tabParametros[Código do Posto],tabCustoUnit[[#This Row],[Código do Posto]])</f>
        <v>340.61743999999999</v>
      </c>
      <c r="Q101" s="21">
        <f>tabCustoUnit[[#This Row],[MODULO 1 - REMUNERAÇÃO ]]*SUMIFS(tabParametros[SESI OU SESC],tabParametros[Código do Posto],tabCustoUnit[[#This Row],[Código do Posto]])</f>
        <v>25.546308</v>
      </c>
      <c r="R101" s="21">
        <f>tabCustoUnit[[#This Row],[MODULO 1 - REMUNERAÇÃO ]]*SUMIFS(tabParametros[SENAI OU SENAC],tabParametros[Código do Posto],tabCustoUnit[[#This Row],[Código do Posto]])</f>
        <v>17.030871999999999</v>
      </c>
      <c r="S101" s="21">
        <f>tabCustoUnit[[#This Row],[MODULO 1 - REMUNERAÇÃO ]]*SUMIFS(tabParametros[INCRA],tabParametros[Código do Posto],tabCustoUnit[[#This Row],[Código do Posto]])</f>
        <v>3.4061743999999998</v>
      </c>
      <c r="T101" s="21">
        <f>tabCustoUnit[[#This Row],[MODULO 1 - REMUNERAÇÃO ]]*SUMIFS(tabParametros[Salário Educação],tabParametros[Código do Posto],tabCustoUnit[[#This Row],[Código do Posto]])</f>
        <v>42.577179999999998</v>
      </c>
      <c r="U101" s="21">
        <f>tabCustoUnit[[#This Row],[MODULO 1 - REMUNERAÇÃO ]]*SUMIFS(tabParametros[FGTS],tabParametros[Código do Posto],tabCustoUnit[[#This Row],[Código do Posto]])</f>
        <v>136.24697599999999</v>
      </c>
      <c r="V101" s="21">
        <f>tabCustoUnit[[#This Row],[MODULO 1 - REMUNERAÇÃO ]]*SUMIFS(tabParametros[RAT Ajustado],tabParametros[Código do Posto],tabCustoUnit[[#This Row],[Código do Posto]])</f>
        <v>68.123487999999995</v>
      </c>
      <c r="W101" s="21">
        <f>tabCustoUnit[[#This Row],[MODULO 1 - REMUNERAÇÃO ]]*SUMIFS(tabParametros[SEBRAE],tabParametros[Código do Posto],tabCustoUnit[[#This Row],[Código do Posto]])</f>
        <v>10.2185232</v>
      </c>
      <c r="X101" s="21">
        <f>SUM(tabCustoUnit[[#This Row],[INSS]:[SEBRAE]])</f>
        <v>643.76696159999995</v>
      </c>
      <c r="Y101" s="21">
        <f>tabCustoUnit[[#This Row],[MODULO 1 - REMUNERAÇÃO ]]*SUMIFS(tabParametros[13º salário (titular)],tabParametros[Código do Posto],tabCustoUnit[[#This Row],[Código do Posto]])</f>
        <v>141.92393333333331</v>
      </c>
      <c r="Z101" s="21">
        <f>tabCustoUnit[[#This Row],[MODULO 1 - REMUNERAÇÃO ]]*SUMIFS(tabParametros[Férias e Adicional de Férias (titular)],tabParametros[Código do Posto],tabCustoUnit[[#This Row],[Código do Posto]])</f>
        <v>189.23191111111109</v>
      </c>
      <c r="AA101" s="21">
        <f>IFERROR((tabCustoUnit[[#This Row],[Submódulo 2.1]]/tabCustoUnit[[#This Row],[MODULO 1 - REMUNERAÇÃO ]])*SUM(tabCustoUnit[[#This Row],[13º salário (titular)]:[Férias e Adicional de Férias (titular)]]),0)</f>
        <v>125.17690919999997</v>
      </c>
      <c r="AB101" s="21">
        <f>SUM(tabCustoUnit[[#This Row],[13º salário (titular)]:[Incidência do Submódulo 2.1 sobre 13º Salário, Férias e Adicional de Férias]])</f>
        <v>456.33275364444432</v>
      </c>
      <c r="AC101" s="22">
        <f>_xlfn.LET(_xlpm.VT,SUMIF(tabParametros[Código do Posto],tabCustoUnit[[#This Row],[Código do Posto]],tabParametros[Vale - Transporte])*2*20,
IF((_xlpm.VT-tabCustoUnit[[#This Row],[Salário Base]]*0.06)&gt;=0,(_xlpm.VT-tabCustoUnit[[#This Row],[Salário Base]]*0.06),0)
)</f>
        <v>157.05303400000003</v>
      </c>
      <c r="AD101" s="22">
        <f>IF(SUMIF(tabParametros[Código do Posto],tabCustoUnit[[#This Row],[Código do Posto]],tabParametros[Vale - Alimentação])&lt;=0,0,
SUMIF(tabParametros[Código do Posto],tabCustoUnit[[#This Row],[Código do Posto]],tabParametros[Vale - Alimentação])*20-1)</f>
        <v>582</v>
      </c>
      <c r="AE101" s="22">
        <f>SUMIF(tabParametros[Código do Posto],tabCustoUnit[[#This Row],[Código do Posto]],tabParametros[Cesta Básica])</f>
        <v>0</v>
      </c>
      <c r="AF101" s="22">
        <f>SUMIF(tabParametros[Código do Posto],tabCustoUnit[[#This Row],[Código do Posto]],tabParametros[PAF])</f>
        <v>51.88</v>
      </c>
      <c r="AG101" s="22">
        <f>SUMIF(tabParametros[Código do Posto],tabCustoUnit[[#This Row],[Código do Posto]],tabParametros[PQM])</f>
        <v>0</v>
      </c>
      <c r="AH101" s="22">
        <f>SUMIF(tabParametros[Código do Posto],tabCustoUnit[[#This Row],[Código do Posto]],tabParametros[PAT])</f>
        <v>0</v>
      </c>
      <c r="AI101" s="22">
        <f>SUMIF(tabParametros[Código do Posto],tabCustoUnit[[#This Row],[Código do Posto]],tabParametros[Seguro de Vida])</f>
        <v>3.36</v>
      </c>
      <c r="AJ101" s="22">
        <f>SUMIF(tabParametros[Código do Posto],tabCustoUnit[[#This Row],[Código do Posto]],tabParametros[Despesas de Viagem])</f>
        <v>0</v>
      </c>
      <c r="AK101" s="22">
        <f>SUM(tabCustoUnit[[#This Row],[Vale - Transporte (Descontada parcela do empregado)]:[Despesas de Viagem]])</f>
        <v>794.29303400000003</v>
      </c>
      <c r="AL101" s="22">
        <f>tabCustoUnit[[#This Row],[Submódulo 2.1]]+tabCustoUnit[[#This Row],[Submódulo 2.2]]+tabCustoUnit[[#This Row],[Submódulo 2.3]]</f>
        <v>1894.3927492444443</v>
      </c>
      <c r="AM101" s="22">
        <f>SUMIF(tabParametros[Código do Posto],tabCustoUnit[[#This Row],[Código do Posto]],tabParametros[Aviso Prévio Indenizado (API) e Reflexo do Aviso Prévio Indenizado])*tabCustoUnit[[#This Row],[MODULO 1 - REMUNERAÇÃO ]]</f>
        <v>11.941650585030864</v>
      </c>
      <c r="AN101" s="22">
        <f>SUMIF(tabParametros[Código do Posto],tabCustoUnit[[#This Row],[Código do Posto]],tabParametros[Incidência do FGTS sobre API e Reflexo do API])*tabCustoUnit[[#This Row],[MODULO 1 - REMUNERAÇÃO ]]</f>
        <v>0.95533204680246919</v>
      </c>
      <c r="AO101" s="22">
        <f>SUMIF(tabParametros[Código do Posto],tabCustoUnit[[#This Row],[Código do Posto]],tabParametros[Multa Rescisória do FGTS sobre o Aviso Prévio Indenizado])*tabCustoUnit[[#This Row],[MODULO 1 - REMUNERAÇÃO ]]</f>
        <v>0.3821328187209877</v>
      </c>
      <c r="AP101" s="22">
        <f>SUMIF(tabParametros[Código do Posto],tabCustoUnit[[#This Row],[Código do Posto]],tabParametros[Aviso Prévio Trabalhado - APT])*tabCustoUnit[[#This Row],[MODULO 1 - REMUNERAÇÃO ]]</f>
        <v>5.9608052000000002</v>
      </c>
      <c r="AQ101" s="22">
        <f>SUMIF(tabParametros[Código do Posto],tabCustoUnit[[#This Row],[Código do Posto]],tabParametros[Incidência dos encargos do submódulo 2.1 sobre Aviso Prévio Trabalhado])*tabCustoUnit[[#This Row],[MODULO 1 - REMUNERAÇÃO ]]</f>
        <v>2.2531843656000006</v>
      </c>
      <c r="AR101" s="22">
        <f>SUMIF(tabParametros[Código do Posto],tabCustoUnit[[#This Row],[Código do Posto]],tabParametros[Multa Rescisória do FGTS])*tabCustoUnit[[#This Row],[MODULO 1 - REMUNERAÇÃO ]]</f>
        <v>52.076621937777766</v>
      </c>
      <c r="AS101" s="22">
        <f>SUMIF(tabParametros[Código do Posto],tabCustoUnit[[#This Row],[Código do Posto]],tabParametros[Indenização Adicional (Art. 9º da Lei nº 7.238/84)])*tabCustoUnit[[#This Row],[MODULO 1 - REMUNERAÇÃO ]]</f>
        <v>1.4192393333333333</v>
      </c>
      <c r="AT101" s="22">
        <f>SUM(tabCustoUnit[[#This Row],[Aviso Prévio Indenizado (API) e Reflexo do Aviso Prévio Indenizado]:[Indenização Adicional (Art. 9º da Lei nº 7.238/84)]])</f>
        <v>74.988966287265427</v>
      </c>
      <c r="AU101" s="22">
        <f>SUMIF(tabParametros[Código do Posto],tabCustoUnit[[#This Row],[Código do Posto]],tabParametros[Ausência por Doença])*tabCustoUnit[[#This Row],[MODULO 1 - REMUNERAÇÃO ]]</f>
        <v>14.381625244444443</v>
      </c>
      <c r="AV101" s="22">
        <f>SUMIF(tabParametros[Código do Posto],tabCustoUnit[[#This Row],[Código do Posto]],tabParametros[Ausências Legais])*tabCustoUnit[[#This Row],[MODULO 1 - REMUNERAÇÃO ]]</f>
        <v>3.4534823777777772</v>
      </c>
      <c r="AW101" s="22">
        <f>SUMIF(tabParametros[Código do Posto],tabCustoUnit[[#This Row],[Código do Posto]],tabParametros[Licença Paternidade])*tabCustoUnit[[#This Row],[MODULO 1 - REMUNERAÇÃO ]]</f>
        <v>0.29094406333333334</v>
      </c>
      <c r="AX101" s="22">
        <f>SUMIF(tabParametros[Código do Posto],tabCustoUnit[[#This Row],[Código do Posto]],tabParametros[Ausência por Acidente de Trabalho])*tabCustoUnit[[#This Row],[MODULO 1 - REMUNERAÇÃO ]]</f>
        <v>0.35480983333333332</v>
      </c>
      <c r="AY101" s="22">
        <f>SUMIF(tabParametros[Código do Posto],tabCustoUnit[[#This Row],[Código do Posto]],tabParametros[Férias, Adicional de Férias e 13º  com empregada em gozo de Licença Maternidade])*tabCustoUnit[[#This Row],[MODULO 1 - REMUNERAÇÃO ]]</f>
        <v>2.2077056296296296</v>
      </c>
      <c r="AZ101" s="22">
        <f>SUMIF(tabParametros[Código do Posto],tabCustoUnit[[#This Row],[Código do Posto]],tabParametros[Incidência do Submódulo 2.1 sobre Ausências Legais])*tabCustoUnit[[#This Row],[MODULO 1 - REMUNERAÇÃO ]]</f>
        <v>7.8202783821400006</v>
      </c>
      <c r="BA101" s="22">
        <f>SUM(tabCustoUnit[[#This Row],[Ausência por Doença]:[Incidência do Submódulo 2.1 sobre Ausências Legais]])</f>
        <v>28.508845530658519</v>
      </c>
      <c r="BB101" s="22">
        <f>SUMIF(tabParametros[Código do Posto],tabCustoUnit[[#This Row],[Código do Posto]],tabParametros[Intervalo para Repouso ou Alimentação])</f>
        <v>0</v>
      </c>
      <c r="BC101" s="22">
        <f>tabCustoUnit[[#This Row],[Intervalo para Repouso ou Alimentação]]</f>
        <v>0</v>
      </c>
      <c r="BD101" s="22">
        <f>IF(VLOOKUP(tabCustoUnit[[#This Row],[Código do Posto]],PARAMETROS!$A$4:$BJ$255,7,0)&lt;=0,0,
IFERROR((tabCustoUnit[[#This Row],[MODULO 1 - REMUNERAÇÃO ]]*VLOOKUP(tabCustoUnit[[#This Row],[Código do Posto]],PARAMETROS!$A$4:$BJ$255,49,0))/(VLOOKUP(tabCustoUnit[[#This Row],[Código do Posto]],PARAMETROS!$A$4:$BJ$255,7,0)*VLOOKUP(tabCustoUnit[[#This Row],[Código do Posto]],PARAMETROS!$A$4:$BJ$255,8,0)),0)
)</f>
        <v>0</v>
      </c>
      <c r="BE101" s="22">
        <f>tabCustoUnit[[#This Row],[Suspensão Temporária do Contrato de Trabalho]]</f>
        <v>0</v>
      </c>
      <c r="BF101" s="22">
        <f>tabCustoUnit[[#This Row],[Submódulo 4.1]]+tabCustoUnit[[#This Row],[Submódulo 4.2]]+tabCustoUnit[[#This Row],[Submódulo 4.3]]</f>
        <v>28.508845530658519</v>
      </c>
      <c r="BG101" s="22">
        <f>VLOOKUP(tabCustoUnit[[#This Row],[Código do Posto]],tabParametros[],MATCH(tabCustoUnit[[#Headers],[Uniformes e EPIs]],tabParametros[#Headers],0),0)</f>
        <v>100.80916666666666</v>
      </c>
      <c r="BH101" s="22">
        <f>VLOOKUP(tabCustoUnit[[#This Row],[Código do Posto]],tabParametros[],MATCH(tabCustoUnit[[#Headers],[Materiais de Consumo]],tabParametros[#Headers],0),0)</f>
        <v>35.518212958583888</v>
      </c>
      <c r="BI101" s="22">
        <f>VLOOKUP(tabCustoUnit[[#This Row],[Código do Posto]],tabParametros[],MATCH(tabCustoUnit[[#Headers],[Máquinas e Equipamentos (depreciação)]],tabParametros[#Headers],0),0)</f>
        <v>64.529393914825576</v>
      </c>
      <c r="BJ101" s="22">
        <f>VLOOKUP(tabCustoUnit[[#This Row],[Código do Posto]],tabParametros[],MATCH(tabCustoUnit[[#Headers],[Produtos de Limpeza e Materiais de Higiene Pessoal]],tabParametros[#Headers],0),0)</f>
        <v>690.27153277931654</v>
      </c>
      <c r="BK101" s="22">
        <f>VLOOKUP(tabCustoUnit[[#This Row],[Código do Posto]],tabParametros[],MATCH(tabCustoUnit[[#Headers],[Outros (especificar)]],tabParametros[#Headers],0),0)</f>
        <v>0</v>
      </c>
      <c r="BL101" s="22">
        <f>SUM(tabCustoUnit[[#This Row],[Uniformes e EPIs]:[Outros (especificar)]])</f>
        <v>891.12830631939266</v>
      </c>
      <c r="BM101" s="22">
        <f>tabCustoUnit[[#This Row],[MODULO 1 - REMUNERAÇÃO ]]+tabCustoUnit[[#This Row],[MÓDULO 2 - Total Encargos e Benefícios mensais e diários]]+tabCustoUnit[[#This Row],[MÓDULO 3 – PROVISÃO PARA RESCISÃO]]+tabCustoUnit[[#This Row],[MÓDULO 4 – CUSTO DE REPOSIÇÃO DO PROFISSIONAL AUSENTE]]+tabCustoUnit[[#This Row],[MÓDULO 5 – INSUMOS DIVERSOS]]</f>
        <v>4592.106067381761</v>
      </c>
      <c r="BN101" s="22">
        <f>VLOOKUP(tabCustoUnit[[#This Row],[Código do Posto]],tabParametros[],MATCH(tabCustoUnit[[#Headers],[Custos Indiretos]],tabParametros[#Headers],0),0)</f>
        <v>189.64880140242613</v>
      </c>
      <c r="BO101" s="22">
        <f>VLOOKUP(tabCustoUnit[[#This Row],[Código do Posto]],tabParametros[],MATCH(tabCustoUnit[[#Headers],[Lucro]],tabParametros[#Headers],0),0)</f>
        <v>159.30499317803796</v>
      </c>
      <c r="BP101" s="26">
        <f>((100/((1-tabCustoUnit[[#This Row],[Resumo de Alíquotas (PIS+CONFINS+ISS)]]))-100)*VLOOKUP(tabCustoUnit[[#This Row],[Código do Posto]],tabParametros[],MATCH(tabCustoUnit[[#Headers],[COFINS]],tabParametros[#Headers],0),0))/(tabCustoUnit[[#This Row],[Resumo de Alíquotas (PIS+CONFINS+ISS)]]*100)</f>
        <v>8.8629737609329504E-2</v>
      </c>
      <c r="BQ101" s="26">
        <f>((100/((100-(tabCustoUnit[[#This Row],[Resumo de Alíquotas (PIS+CONFINS+ISS)]]*100))%)-100)*VLOOKUP(tabCustoUnit[[#This Row],[Código do Posto]],tabParametros[],MATCH(tabCustoUnit[[#Headers],[PIS]],tabParametros[#Headers],0),0))/(tabCustoUnit[[#This Row],[Resumo de Alíquotas (PIS+CONFINS+ISS)]]*100)</f>
        <v>1.9241982507288629E-2</v>
      </c>
      <c r="BR101" s="28">
        <f>VLOOKUP(tabCustoUnit[[#This Row],[Código do Posto]],tabParametros[],MATCH(tabCustoUnit[[#Headers],[ISS]],tabParametros[#Headers],0),0)</f>
        <v>0.05</v>
      </c>
      <c r="BS101" s="26">
        <f>(((100/((100-(tabCustoUnit[[#This Row],[Resumo de Alíquotas (PIS+CONFINS+ISS)]]*100))%)-100)*tabCustoUnit[[#This Row],[ISS]])/tabCustoUnit[[#This Row],[Resumo de Alíquotas (PIS+CONFINS+ISS)]])/100</f>
        <v>5.8309037900874633E-2</v>
      </c>
      <c r="BT101" s="26">
        <f>(VLOOKUP(tabCustoUnit[[#This Row],[Código do Posto]],tabParametros[],MATCH(tabCustoUnit[[#Headers],[COFINS]],tabParametros[#Headers],0),0)+
VLOOKUP(tabCustoUnit[[#This Row],[Código do Posto]],tabParametros[],MATCH(tabCustoUnit[[#Headers],[PIS]],tabParametros[#Headers],0),0)+
VLOOKUP(tabCustoUnit[[#This Row],[Código do Posto]],tabParametros[],MATCH(tabCustoUnit[[#Headers],[ISS]],tabParametros[#Headers],0),0))</f>
        <v>0.14250000000000002</v>
      </c>
      <c r="BU101" s="138">
        <f>tabCustoUnit[[#This Row],[COFINS]]+tabCustoUnit[[#This Row],[PIS]]+tabCustoUnit[[#This Row],[ISS (Conversão Alíquota s/ fatura)]]</f>
        <v>0.16618075801749277</v>
      </c>
      <c r="BV101" s="22">
        <f>(tabCustoUnit[[#This Row],[TOTAL MÓDULOS 1+2+3+4+5]]+tabCustoUnit[[#This Row],[Custos Indiretos]]+tabCustoUnit[[#This Row],[Lucro]])*tabCustoUnit[[#This Row],[PIS + COFINS + ISS (Total Conversão  Alíquota s/ Fatura)]]</f>
        <v>821.10907327069071</v>
      </c>
      <c r="BW101" s="22">
        <f>tabCustoUnit[[#This Row],[Custos Indiretos]]+tabCustoUnit[[#This Row],[Lucro]]+tabCustoUnit[[#This Row],[Valor dos Tributos (ISS, PIS, CONFINS)]]</f>
        <v>1170.0628678511548</v>
      </c>
      <c r="BX101" s="22">
        <f>tabCustoUnit[[#This Row],[TOTAL MÓDULOS 1+2+3+4+5]]+tabCustoUnit[[#This Row],[MÓDULO 6 – CUSTOS INDIRETOS, TRIBUTOS E LUCRO]]</f>
        <v>5762.1689352329158</v>
      </c>
      <c r="BY101" s="22">
        <f>tabCustoUnit[[#This Row],[CUSTO TOTAL MENSAL]]*12</f>
        <v>69146.02722279499</v>
      </c>
      <c r="BZ101" s="24">
        <f>VLOOKUP(tabCustoUnit[[#This Row],[Código do Posto]],tabParametros[],MATCH(tabCustoUnit[[#Headers],[ANO DA CCT]],tabParametros[#Headers],0),0)</f>
        <v>45658</v>
      </c>
      <c r="CA101" s="25" t="str">
        <f>VLOOKUP(tabCustoUnit[[#This Row],[Código do Posto]],tabParametros[],MATCH(tabCustoUnit[[#Headers],[Nº DE PEDIDO DA CCT]],tabParametros[#Headers],0),0)</f>
        <v>-</v>
      </c>
      <c r="CB101" s="25" t="str">
        <f>VLOOKUP(tabCustoUnit[[#This Row],[Código do Posto]],tabParametros[],MATCH(tabCustoUnit[[#Headers],[TERMO ADITIVO ALTERAÇÃO DA CCT]],tabParametros[#Headers],0),0)</f>
        <v>-</v>
      </c>
    </row>
    <row r="102" spans="1:80" x14ac:dyDescent="0.25">
      <c r="A102" s="20" t="s">
        <v>1441</v>
      </c>
      <c r="B102" t="s">
        <v>95</v>
      </c>
      <c r="C102" t="s">
        <v>1247</v>
      </c>
      <c r="D102" t="s">
        <v>1041</v>
      </c>
      <c r="E102" s="20" t="s">
        <v>9</v>
      </c>
      <c r="F102" s="20" t="s">
        <v>10</v>
      </c>
      <c r="G102" s="21">
        <v>544.17999999999995</v>
      </c>
      <c r="H102" s="21">
        <v>0</v>
      </c>
      <c r="I102" s="21">
        <v>0</v>
      </c>
      <c r="J102" s="21">
        <v>0</v>
      </c>
      <c r="K102" s="21">
        <v>0</v>
      </c>
      <c r="L102" s="21">
        <v>0</v>
      </c>
      <c r="M102" s="21">
        <v>0</v>
      </c>
      <c r="N102" s="21">
        <v>19.590499999999999</v>
      </c>
      <c r="O102" s="21">
        <f>SUM(tabCustoUnit[[#This Row],[Salário Base]:[Adicional de Acúmulo de função]])</f>
        <v>563.77049999999997</v>
      </c>
      <c r="P102" s="21">
        <f>tabCustoUnit[[#This Row],[MODULO 1 - REMUNERAÇÃO ]]*SUMIFS(tabParametros[INSS],tabParametros[Código do Posto],tabCustoUnit[[#This Row],[Código do Posto]])</f>
        <v>112.75409999999999</v>
      </c>
      <c r="Q102" s="21">
        <f>tabCustoUnit[[#This Row],[MODULO 1 - REMUNERAÇÃO ]]*SUMIFS(tabParametros[SESI OU SESC],tabParametros[Código do Posto],tabCustoUnit[[#This Row],[Código do Posto]])</f>
        <v>8.4565574999999988</v>
      </c>
      <c r="R102" s="21">
        <f>tabCustoUnit[[#This Row],[MODULO 1 - REMUNERAÇÃO ]]*SUMIFS(tabParametros[SENAI OU SENAC],tabParametros[Código do Posto],tabCustoUnit[[#This Row],[Código do Posto]])</f>
        <v>5.6377049999999995</v>
      </c>
      <c r="S102" s="21">
        <f>tabCustoUnit[[#This Row],[MODULO 1 - REMUNERAÇÃO ]]*SUMIFS(tabParametros[INCRA],tabParametros[Código do Posto],tabCustoUnit[[#This Row],[Código do Posto]])</f>
        <v>1.1275409999999999</v>
      </c>
      <c r="T102" s="21">
        <f>tabCustoUnit[[#This Row],[MODULO 1 - REMUNERAÇÃO ]]*SUMIFS(tabParametros[Salário Educação],tabParametros[Código do Posto],tabCustoUnit[[#This Row],[Código do Posto]])</f>
        <v>14.094262499999999</v>
      </c>
      <c r="U102" s="21">
        <f>tabCustoUnit[[#This Row],[MODULO 1 - REMUNERAÇÃO ]]*SUMIFS(tabParametros[FGTS],tabParametros[Código do Posto],tabCustoUnit[[#This Row],[Código do Posto]])</f>
        <v>45.101639999999996</v>
      </c>
      <c r="V102" s="21">
        <f>tabCustoUnit[[#This Row],[MODULO 1 - REMUNERAÇÃO ]]*SUMIFS(tabParametros[RAT Ajustado],tabParametros[Código do Posto],tabCustoUnit[[#This Row],[Código do Posto]])</f>
        <v>22.550819999999998</v>
      </c>
      <c r="W102" s="21">
        <f>tabCustoUnit[[#This Row],[MODULO 1 - REMUNERAÇÃO ]]*SUMIFS(tabParametros[SEBRAE],tabParametros[Código do Posto],tabCustoUnit[[#This Row],[Código do Posto]])</f>
        <v>3.3826229999999997</v>
      </c>
      <c r="X102" s="21">
        <f>SUM(tabCustoUnit[[#This Row],[INSS]:[SEBRAE]])</f>
        <v>213.10524899999996</v>
      </c>
      <c r="Y102" s="21">
        <f>tabCustoUnit[[#This Row],[MODULO 1 - REMUNERAÇÃO ]]*SUMIFS(tabParametros[13º salário (titular)],tabParametros[Código do Posto],tabCustoUnit[[#This Row],[Código do Posto]])</f>
        <v>46.980874999999997</v>
      </c>
      <c r="Z102" s="21">
        <f>tabCustoUnit[[#This Row],[MODULO 1 - REMUNERAÇÃO ]]*SUMIFS(tabParametros[Férias e Adicional de Férias (titular)],tabParametros[Código do Posto],tabCustoUnit[[#This Row],[Código do Posto]])</f>
        <v>62.641166666666663</v>
      </c>
      <c r="AA102" s="21">
        <f>IFERROR((tabCustoUnit[[#This Row],[Submódulo 2.1]]/tabCustoUnit[[#This Row],[MODULO 1 - REMUNERAÇÃO ]])*SUM(tabCustoUnit[[#This Row],[13º salário (titular)]:[Férias e Adicional de Férias (titular)]]),0)</f>
        <v>41.437131749999992</v>
      </c>
      <c r="AB102" s="21">
        <f>SUM(tabCustoUnit[[#This Row],[13º salário (titular)]:[Incidência do Submódulo 2.1 sobre 13º Salário, Férias e Adicional de Férias]])</f>
        <v>151.05917341666665</v>
      </c>
      <c r="AC102" s="22">
        <f>_xlfn.LET(_xlpm.VT,SUMIF(tabParametros[Código do Posto],tabCustoUnit[[#This Row],[Código do Posto]],tabParametros[Vale - Transporte])*2*20,
IF((_xlpm.VT-tabCustoUnit[[#This Row],[Salário Base]]*0.06)&gt;=0,(_xlpm.VT-tabCustoUnit[[#This Row],[Salário Base]]*0.06),0)
)</f>
        <v>223.3492</v>
      </c>
      <c r="AD102" s="22">
        <f>IF(SUMIF(tabParametros[Código do Posto],tabCustoUnit[[#This Row],[Código do Posto]],tabParametros[Vale - Alimentação])&lt;=0,0,
SUMIF(tabParametros[Código do Posto],tabCustoUnit[[#This Row],[Código do Posto]],tabParametros[Vale - Alimentação])*20-1)</f>
        <v>582</v>
      </c>
      <c r="AE102" s="22">
        <f>SUMIF(tabParametros[Código do Posto],tabCustoUnit[[#This Row],[Código do Posto]],tabParametros[Cesta Básica])</f>
        <v>0</v>
      </c>
      <c r="AF102" s="22">
        <f>SUMIF(tabParametros[Código do Posto],tabCustoUnit[[#This Row],[Código do Posto]],tabParametros[PAF])</f>
        <v>0</v>
      </c>
      <c r="AG102" s="22">
        <f>SUMIF(tabParametros[Código do Posto],tabCustoUnit[[#This Row],[Código do Posto]],tabParametros[PQM])</f>
        <v>0</v>
      </c>
      <c r="AH102" s="22">
        <f>SUMIF(tabParametros[Código do Posto],tabCustoUnit[[#This Row],[Código do Posto]],tabParametros[PAT])</f>
        <v>0</v>
      </c>
      <c r="AI102" s="22">
        <f>SUMIF(tabParametros[Código do Posto],tabCustoUnit[[#This Row],[Código do Posto]],tabParametros[Seguro de Vida])</f>
        <v>3.36</v>
      </c>
      <c r="AJ102" s="22">
        <f>SUMIF(tabParametros[Código do Posto],tabCustoUnit[[#This Row],[Código do Posto]],tabParametros[Despesas de Viagem])</f>
        <v>0</v>
      </c>
      <c r="AK102" s="22">
        <f>SUM(tabCustoUnit[[#This Row],[Vale - Transporte (Descontada parcela do empregado)]:[Despesas de Viagem]])</f>
        <v>808.70920000000001</v>
      </c>
      <c r="AL102" s="22">
        <f>tabCustoUnit[[#This Row],[Submódulo 2.1]]+tabCustoUnit[[#This Row],[Submódulo 2.2]]+tabCustoUnit[[#This Row],[Submódulo 2.3]]</f>
        <v>1172.8736224166666</v>
      </c>
      <c r="AM102" s="22">
        <f>SUMIF(tabParametros[Código do Posto],tabCustoUnit[[#This Row],[Código do Posto]],tabParametros[Aviso Prévio Indenizado (API) e Reflexo do Aviso Prévio Indenizado])*tabCustoUnit[[#This Row],[MODULO 1 - REMUNERAÇÃO ]]</f>
        <v>3.9530273735532404</v>
      </c>
      <c r="AN102" s="22">
        <f>SUMIF(tabParametros[Código do Posto],tabCustoUnit[[#This Row],[Código do Posto]],tabParametros[Incidência do FGTS sobre API e Reflexo do API])*tabCustoUnit[[#This Row],[MODULO 1 - REMUNERAÇÃO ]]</f>
        <v>0.31624218988425928</v>
      </c>
      <c r="AO102" s="22">
        <f>SUMIF(tabParametros[Código do Posto],tabCustoUnit[[#This Row],[Código do Posto]],tabParametros[Multa Rescisória do FGTS sobre o Aviso Prévio Indenizado])*tabCustoUnit[[#This Row],[MODULO 1 - REMUNERAÇÃO ]]</f>
        <v>0.12649687595370371</v>
      </c>
      <c r="AP102" s="22">
        <f>SUMIF(tabParametros[Código do Posto],tabCustoUnit[[#This Row],[Código do Posto]],tabParametros[Aviso Prévio Trabalhado - APT])*tabCustoUnit[[#This Row],[MODULO 1 - REMUNERAÇÃO ]]</f>
        <v>1.9731967500000003</v>
      </c>
      <c r="AQ102" s="22">
        <f>SUMIF(tabParametros[Código do Posto],tabCustoUnit[[#This Row],[Código do Posto]],tabParametros[Incidência dos encargos do submódulo 2.1 sobre Aviso Prévio Trabalhado])*tabCustoUnit[[#This Row],[MODULO 1 - REMUNERAÇÃO ]]</f>
        <v>0.74586837150000018</v>
      </c>
      <c r="AR102" s="22">
        <f>SUMIF(tabParametros[Código do Posto],tabCustoUnit[[#This Row],[Código do Posto]],tabParametros[Multa Rescisória do FGTS])*tabCustoUnit[[#This Row],[MODULO 1 - REMUNERAÇÃO ]]</f>
        <v>17.238849066666663</v>
      </c>
      <c r="AS102" s="22">
        <f>SUMIF(tabParametros[Código do Posto],tabCustoUnit[[#This Row],[Código do Posto]],tabParametros[Indenização Adicional (Art. 9º da Lei nº 7.238/84)])*tabCustoUnit[[#This Row],[MODULO 1 - REMUNERAÇÃO ]]</f>
        <v>0.46980875</v>
      </c>
      <c r="AT102" s="22">
        <f>SUM(tabCustoUnit[[#This Row],[Aviso Prévio Indenizado (API) e Reflexo do Aviso Prévio Indenizado]:[Indenização Adicional (Art. 9º da Lei nº 7.238/84)]])</f>
        <v>24.823489377557866</v>
      </c>
      <c r="AU102" s="22">
        <f>SUMIF(tabParametros[Código do Posto],tabCustoUnit[[#This Row],[Código do Posto]],tabParametros[Ausência por Doença])*tabCustoUnit[[#This Row],[MODULO 1 - REMUNERAÇÃO ]]</f>
        <v>4.7607286666666662</v>
      </c>
      <c r="AV102" s="22">
        <f>SUMIF(tabParametros[Código do Posto],tabCustoUnit[[#This Row],[Código do Posto]],tabParametros[Ausências Legais])*tabCustoUnit[[#This Row],[MODULO 1 - REMUNERAÇÃO ]]</f>
        <v>1.1432012916666665</v>
      </c>
      <c r="AW102" s="22">
        <f>SUMIF(tabParametros[Código do Posto],tabCustoUnit[[#This Row],[Código do Posto]],tabParametros[Licença Paternidade])*tabCustoUnit[[#This Row],[MODULO 1 - REMUNERAÇÃO ]]</f>
        <v>9.6310793749999998E-2</v>
      </c>
      <c r="AX102" s="22">
        <f>SUMIF(tabParametros[Código do Posto],tabCustoUnit[[#This Row],[Código do Posto]],tabParametros[Ausência por Acidente de Trabalho])*tabCustoUnit[[#This Row],[MODULO 1 - REMUNERAÇÃO ]]</f>
        <v>0.1174521875</v>
      </c>
      <c r="AY102" s="22">
        <f>SUMIF(tabParametros[Código do Posto],tabCustoUnit[[#This Row],[Código do Posto]],tabParametros[Férias, Adicional de Férias e 13º  com empregada em gozo de Licença Maternidade])*tabCustoUnit[[#This Row],[MODULO 1 - REMUNERAÇÃO ]]</f>
        <v>0.73081361111111109</v>
      </c>
      <c r="AZ102" s="22">
        <f>SUMIF(tabParametros[Código do Posto],tabCustoUnit[[#This Row],[Código do Posto]],tabParametros[Incidência do Submódulo 2.1 sobre Ausências Legais])*tabCustoUnit[[#This Row],[MODULO 1 - REMUNERAÇÃO ]]</f>
        <v>2.5887354761625003</v>
      </c>
      <c r="BA102" s="22">
        <f>SUM(tabCustoUnit[[#This Row],[Ausência por Doença]:[Incidência do Submódulo 2.1 sobre Ausências Legais]])</f>
        <v>9.4372420268569428</v>
      </c>
      <c r="BB102" s="22">
        <f>SUMIF(tabParametros[Código do Posto],tabCustoUnit[[#This Row],[Código do Posto]],tabParametros[Intervalo para Repouso ou Alimentação])</f>
        <v>0</v>
      </c>
      <c r="BC102" s="22">
        <f>tabCustoUnit[[#This Row],[Intervalo para Repouso ou Alimentação]]</f>
        <v>0</v>
      </c>
      <c r="BD102" s="22">
        <f>IF(VLOOKUP(tabCustoUnit[[#This Row],[Código do Posto]],PARAMETROS!$A$4:$BJ$255,7,0)&lt;=0,0,
IFERROR((tabCustoUnit[[#This Row],[MODULO 1 - REMUNERAÇÃO ]]*VLOOKUP(tabCustoUnit[[#This Row],[Código do Posto]],PARAMETROS!$A$4:$BJ$255,49,0))/(VLOOKUP(tabCustoUnit[[#This Row],[Código do Posto]],PARAMETROS!$A$4:$BJ$255,7,0)*VLOOKUP(tabCustoUnit[[#This Row],[Código do Posto]],PARAMETROS!$A$4:$BJ$255,8,0)),0)
)</f>
        <v>0</v>
      </c>
      <c r="BE102" s="22">
        <f>tabCustoUnit[[#This Row],[Suspensão Temporária do Contrato de Trabalho]]</f>
        <v>0</v>
      </c>
      <c r="BF102" s="22">
        <f>tabCustoUnit[[#This Row],[Submódulo 4.1]]+tabCustoUnit[[#This Row],[Submódulo 4.2]]+tabCustoUnit[[#This Row],[Submódulo 4.3]]</f>
        <v>9.4372420268569428</v>
      </c>
      <c r="BG102" s="22">
        <f>VLOOKUP(tabCustoUnit[[#This Row],[Código do Posto]],tabParametros[],MATCH(tabCustoUnit[[#Headers],[Uniformes e EPIs]],tabParametros[#Headers],0),0)</f>
        <v>62.806666666666665</v>
      </c>
      <c r="BH102" s="22">
        <f>VLOOKUP(tabCustoUnit[[#This Row],[Código do Posto]],tabParametros[],MATCH(tabCustoUnit[[#Headers],[Materiais de Consumo]],tabParametros[#Headers],0),0)</f>
        <v>12.108481690426325</v>
      </c>
      <c r="BI102" s="22">
        <f>VLOOKUP(tabCustoUnit[[#This Row],[Código do Posto]],tabParametros[],MATCH(tabCustoUnit[[#Headers],[Máquinas e Equipamentos (depreciação)]],tabParametros[#Headers],0),0)</f>
        <v>21.998657016417809</v>
      </c>
      <c r="BJ102" s="22">
        <f>VLOOKUP(tabCustoUnit[[#This Row],[Código do Posto]],tabParametros[],MATCH(tabCustoUnit[[#Headers],[Produtos de Limpeza e Materiais de Higiene Pessoal]],tabParametros[#Headers],0),0)</f>
        <v>235.31984072022155</v>
      </c>
      <c r="BK102" s="22">
        <f>VLOOKUP(tabCustoUnit[[#This Row],[Código do Posto]],tabParametros[],MATCH(tabCustoUnit[[#Headers],[Outros (especificar)]],tabParametros[#Headers],0),0)</f>
        <v>0</v>
      </c>
      <c r="BL102" s="22">
        <f>SUM(tabCustoUnit[[#This Row],[Uniformes e EPIs]:[Outros (especificar)]])</f>
        <v>332.23364609373232</v>
      </c>
      <c r="BM102" s="22">
        <f>tabCustoUnit[[#This Row],[MODULO 1 - REMUNERAÇÃO ]]+tabCustoUnit[[#This Row],[MÓDULO 2 - Total Encargos e Benefícios mensais e diários]]+tabCustoUnit[[#This Row],[MÓDULO 3 – PROVISÃO PARA RESCISÃO]]+tabCustoUnit[[#This Row],[MÓDULO 4 – CUSTO DE REPOSIÇÃO DO PROFISSIONAL AUSENTE]]+tabCustoUnit[[#This Row],[MÓDULO 5 – INSUMOS DIVERSOS]]</f>
        <v>2103.1384999148136</v>
      </c>
      <c r="BN102" s="22">
        <f>VLOOKUP(tabCustoUnit[[#This Row],[Código do Posto]],tabParametros[],MATCH(tabCustoUnit[[#Headers],[Custos Indiretos]],tabParametros[#Headers],0),0)</f>
        <v>189.64880140242613</v>
      </c>
      <c r="BO102" s="22">
        <f>VLOOKUP(tabCustoUnit[[#This Row],[Código do Posto]],tabParametros[],MATCH(tabCustoUnit[[#Headers],[Lucro]],tabParametros[#Headers],0),0)</f>
        <v>159.30499317803796</v>
      </c>
      <c r="BP102" s="26">
        <f>((100/((1-tabCustoUnit[[#This Row],[Resumo de Alíquotas (PIS+CONFINS+ISS)]]))-100)*VLOOKUP(tabCustoUnit[[#This Row],[Código do Posto]],tabParametros[],MATCH(tabCustoUnit[[#Headers],[COFINS]],tabParametros[#Headers],0),0))/(tabCustoUnit[[#This Row],[Resumo de Alíquotas (PIS+CONFINS+ISS)]]*100)</f>
        <v>8.5633802816901458E-2</v>
      </c>
      <c r="BQ102" s="26">
        <f>((100/((100-(tabCustoUnit[[#This Row],[Resumo de Alíquotas (PIS+CONFINS+ISS)]]*100))%)-100)*VLOOKUP(tabCustoUnit[[#This Row],[Código do Posto]],tabParametros[],MATCH(tabCustoUnit[[#Headers],[PIS]],tabParametros[#Headers],0),0))/(tabCustoUnit[[#This Row],[Resumo de Alíquotas (PIS+CONFINS+ISS)]]*100)</f>
        <v>1.8591549295774657E-2</v>
      </c>
      <c r="BR102" s="28">
        <f>VLOOKUP(tabCustoUnit[[#This Row],[Código do Posto]],tabParametros[],MATCH(tabCustoUnit[[#Headers],[ISS]],tabParametros[#Headers],0),0)</f>
        <v>0.02</v>
      </c>
      <c r="BS102" s="26">
        <f>(((100/((100-(tabCustoUnit[[#This Row],[Resumo de Alíquotas (PIS+CONFINS+ISS)]]*100))%)-100)*tabCustoUnit[[#This Row],[ISS]])/tabCustoUnit[[#This Row],[Resumo de Alíquotas (PIS+CONFINS+ISS)]])/100</f>
        <v>2.2535211267605645E-2</v>
      </c>
      <c r="BT102" s="26">
        <f>(VLOOKUP(tabCustoUnit[[#This Row],[Código do Posto]],tabParametros[],MATCH(tabCustoUnit[[#Headers],[COFINS]],tabParametros[#Headers],0),0)+
VLOOKUP(tabCustoUnit[[#This Row],[Código do Posto]],tabParametros[],MATCH(tabCustoUnit[[#Headers],[PIS]],tabParametros[#Headers],0),0)+
VLOOKUP(tabCustoUnit[[#This Row],[Código do Posto]],tabParametros[],MATCH(tabCustoUnit[[#Headers],[ISS]],tabParametros[#Headers],0),0))</f>
        <v>0.1125</v>
      </c>
      <c r="BU102" s="138">
        <f>tabCustoUnit[[#This Row],[COFINS]]+tabCustoUnit[[#This Row],[PIS]]+tabCustoUnit[[#This Row],[ISS (Conversão Alíquota s/ fatura)]]</f>
        <v>0.12676056338028174</v>
      </c>
      <c r="BV102" s="22">
        <f>(tabCustoUnit[[#This Row],[TOTAL MÓDULOS 1+2+3+4+5]]+tabCustoUnit[[#This Row],[Custos Indiretos]]+tabCustoUnit[[#This Row],[Lucro]])*tabCustoUnit[[#This Row],[PIS + COFINS + ISS (Total Conversão  Alíquota s/ Fatura)]]</f>
        <v>310.82860071066915</v>
      </c>
      <c r="BW102" s="22">
        <f>tabCustoUnit[[#This Row],[Custos Indiretos]]+tabCustoUnit[[#This Row],[Lucro]]+tabCustoUnit[[#This Row],[Valor dos Tributos (ISS, PIS, CONFINS)]]</f>
        <v>659.7823952911333</v>
      </c>
      <c r="BX102" s="22">
        <f>tabCustoUnit[[#This Row],[TOTAL MÓDULOS 1+2+3+4+5]]+tabCustoUnit[[#This Row],[MÓDULO 6 – CUSTOS INDIRETOS, TRIBUTOS E LUCRO]]</f>
        <v>2762.9208952059471</v>
      </c>
      <c r="BY102" s="22">
        <f>tabCustoUnit[[#This Row],[CUSTO TOTAL MENSAL]]*12</f>
        <v>33155.050742471365</v>
      </c>
      <c r="BZ102" s="24">
        <f>VLOOKUP(tabCustoUnit[[#This Row],[Código do Posto]],tabParametros[],MATCH(tabCustoUnit[[#Headers],[ANO DA CCT]],tabParametros[#Headers],0),0)</f>
        <v>45658</v>
      </c>
      <c r="CA102" s="25" t="str">
        <f>VLOOKUP(tabCustoUnit[[#This Row],[Código do Posto]],tabParametros[],MATCH(tabCustoUnit[[#Headers],[Nº DE PEDIDO DA CCT]],tabParametros[#Headers],0),0)</f>
        <v>-</v>
      </c>
      <c r="CB102" s="25" t="str">
        <f>VLOOKUP(tabCustoUnit[[#This Row],[Código do Posto]],tabParametros[],MATCH(tabCustoUnit[[#Headers],[TERMO ADITIVO ALTERAÇÃO DA CCT]],tabParametros[#Headers],0),0)</f>
        <v>-</v>
      </c>
    </row>
    <row r="103" spans="1:80" x14ac:dyDescent="0.25">
      <c r="A103" s="20" t="s">
        <v>1442</v>
      </c>
      <c r="B103" t="s">
        <v>96</v>
      </c>
      <c r="C103" t="s">
        <v>1246</v>
      </c>
      <c r="D103" t="s">
        <v>1037</v>
      </c>
      <c r="E103" s="20" t="s">
        <v>9</v>
      </c>
      <c r="F103" s="20" t="s">
        <v>10</v>
      </c>
      <c r="G103" s="21">
        <v>1088.3699999999999</v>
      </c>
      <c r="H103" s="21">
        <v>0</v>
      </c>
      <c r="I103" s="21">
        <v>0</v>
      </c>
      <c r="J103" s="21">
        <v>0</v>
      </c>
      <c r="K103" s="21">
        <v>0</v>
      </c>
      <c r="L103" s="21">
        <v>0</v>
      </c>
      <c r="M103" s="21">
        <v>0</v>
      </c>
      <c r="N103" s="21">
        <v>39.1813</v>
      </c>
      <c r="O103" s="21">
        <f>SUM(tabCustoUnit[[#This Row],[Salário Base]:[Adicional de Acúmulo de função]])</f>
        <v>1127.5512999999999</v>
      </c>
      <c r="P103" s="21">
        <f>tabCustoUnit[[#This Row],[MODULO 1 - REMUNERAÇÃO ]]*SUMIFS(tabParametros[INSS],tabParametros[Código do Posto],tabCustoUnit[[#This Row],[Código do Posto]])</f>
        <v>225.51025999999999</v>
      </c>
      <c r="Q103" s="21">
        <f>tabCustoUnit[[#This Row],[MODULO 1 - REMUNERAÇÃO ]]*SUMIFS(tabParametros[SESI OU SESC],tabParametros[Código do Posto],tabCustoUnit[[#This Row],[Código do Posto]])</f>
        <v>16.913269499999998</v>
      </c>
      <c r="R103" s="21">
        <f>tabCustoUnit[[#This Row],[MODULO 1 - REMUNERAÇÃO ]]*SUMIFS(tabParametros[SENAI OU SENAC],tabParametros[Código do Posto],tabCustoUnit[[#This Row],[Código do Posto]])</f>
        <v>11.275512999999998</v>
      </c>
      <c r="S103" s="21">
        <f>tabCustoUnit[[#This Row],[MODULO 1 - REMUNERAÇÃO ]]*SUMIFS(tabParametros[INCRA],tabParametros[Código do Posto],tabCustoUnit[[#This Row],[Código do Posto]])</f>
        <v>2.2551025999999998</v>
      </c>
      <c r="T103" s="21">
        <f>tabCustoUnit[[#This Row],[MODULO 1 - REMUNERAÇÃO ]]*SUMIFS(tabParametros[Salário Educação],tabParametros[Código do Posto],tabCustoUnit[[#This Row],[Código do Posto]])</f>
        <v>28.188782499999999</v>
      </c>
      <c r="U103" s="21">
        <f>tabCustoUnit[[#This Row],[MODULO 1 - REMUNERAÇÃO ]]*SUMIFS(tabParametros[FGTS],tabParametros[Código do Posto],tabCustoUnit[[#This Row],[Código do Posto]])</f>
        <v>90.204103999999987</v>
      </c>
      <c r="V103" s="21">
        <f>tabCustoUnit[[#This Row],[MODULO 1 - REMUNERAÇÃO ]]*SUMIFS(tabParametros[RAT Ajustado],tabParametros[Código do Posto],tabCustoUnit[[#This Row],[Código do Posto]])</f>
        <v>45.102051999999993</v>
      </c>
      <c r="W103" s="21">
        <f>tabCustoUnit[[#This Row],[MODULO 1 - REMUNERAÇÃO ]]*SUMIFS(tabParametros[SEBRAE],tabParametros[Código do Posto],tabCustoUnit[[#This Row],[Código do Posto]])</f>
        <v>6.7653077999999995</v>
      </c>
      <c r="X103" s="21">
        <f>SUM(tabCustoUnit[[#This Row],[INSS]:[SEBRAE]])</f>
        <v>426.21439139999995</v>
      </c>
      <c r="Y103" s="21">
        <f>tabCustoUnit[[#This Row],[MODULO 1 - REMUNERAÇÃO ]]*SUMIFS(tabParametros[13º salário (titular)],tabParametros[Código do Posto],tabCustoUnit[[#This Row],[Código do Posto]])</f>
        <v>93.962608333333321</v>
      </c>
      <c r="Z103" s="21">
        <f>tabCustoUnit[[#This Row],[MODULO 1 - REMUNERAÇÃO ]]*SUMIFS(tabParametros[Férias e Adicional de Férias (titular)],tabParametros[Código do Posto],tabCustoUnit[[#This Row],[Código do Posto]])</f>
        <v>125.28347777777776</v>
      </c>
      <c r="AA103" s="21">
        <f>IFERROR((tabCustoUnit[[#This Row],[Submódulo 2.1]]/tabCustoUnit[[#This Row],[MODULO 1 - REMUNERAÇÃO ]])*SUM(tabCustoUnit[[#This Row],[13º salário (titular)]:[Férias e Adicional de Férias (titular)]]),0)</f>
        <v>82.875020549999988</v>
      </c>
      <c r="AB103" s="21">
        <f>SUM(tabCustoUnit[[#This Row],[13º salário (titular)]:[Incidência do Submódulo 2.1 sobre 13º Salário, Férias e Adicional de Férias]])</f>
        <v>302.12110666111107</v>
      </c>
      <c r="AC103" s="22">
        <f>_xlfn.LET(_xlpm.VT,SUMIF(tabParametros[Código do Posto],tabCustoUnit[[#This Row],[Código do Posto]],tabParametros[Vale - Transporte])*2*20,
IF((_xlpm.VT-tabCustoUnit[[#This Row],[Salário Base]]*0.06)&gt;=0,(_xlpm.VT-tabCustoUnit[[#This Row],[Salário Base]]*0.06),0)
)</f>
        <v>190.69780000000003</v>
      </c>
      <c r="AD103" s="22">
        <f>IF(SUMIF(tabParametros[Código do Posto],tabCustoUnit[[#This Row],[Código do Posto]],tabParametros[Vale - Alimentação])&lt;=0,0,
SUMIF(tabParametros[Código do Posto],tabCustoUnit[[#This Row],[Código do Posto]],tabParametros[Vale - Alimentação])*20-1)</f>
        <v>582</v>
      </c>
      <c r="AE103" s="22">
        <f>SUMIF(tabParametros[Código do Posto],tabCustoUnit[[#This Row],[Código do Posto]],tabParametros[Cesta Básica])</f>
        <v>0</v>
      </c>
      <c r="AF103" s="22">
        <f>SUMIF(tabParametros[Código do Posto],tabCustoUnit[[#This Row],[Código do Posto]],tabParametros[PAF])</f>
        <v>0</v>
      </c>
      <c r="AG103" s="22">
        <f>SUMIF(tabParametros[Código do Posto],tabCustoUnit[[#This Row],[Código do Posto]],tabParametros[PQM])</f>
        <v>0</v>
      </c>
      <c r="AH103" s="22">
        <f>SUMIF(tabParametros[Código do Posto],tabCustoUnit[[#This Row],[Código do Posto]],tabParametros[PAT])</f>
        <v>0</v>
      </c>
      <c r="AI103" s="22">
        <f>SUMIF(tabParametros[Código do Posto],tabCustoUnit[[#This Row],[Código do Posto]],tabParametros[Seguro de Vida])</f>
        <v>3.36</v>
      </c>
      <c r="AJ103" s="22">
        <f>SUMIF(tabParametros[Código do Posto],tabCustoUnit[[#This Row],[Código do Posto]],tabParametros[Despesas de Viagem])</f>
        <v>0</v>
      </c>
      <c r="AK103" s="22">
        <f>SUM(tabCustoUnit[[#This Row],[Vale - Transporte (Descontada parcela do empregado)]:[Despesas de Viagem]])</f>
        <v>776.05780000000004</v>
      </c>
      <c r="AL103" s="22">
        <f>tabCustoUnit[[#This Row],[Submódulo 2.1]]+tabCustoUnit[[#This Row],[Submódulo 2.2]]+tabCustoUnit[[#This Row],[Submódulo 2.3]]</f>
        <v>1504.3932980611112</v>
      </c>
      <c r="AM103" s="22">
        <f>SUMIF(tabParametros[Código do Posto],tabCustoUnit[[#This Row],[Código do Posto]],tabParametros[Aviso Prévio Indenizado (API) e Reflexo do Aviso Prévio Indenizado])*tabCustoUnit[[#This Row],[MODULO 1 - REMUNERAÇÃO ]]</f>
        <v>7.9061269683063262</v>
      </c>
      <c r="AN103" s="22">
        <f>SUMIF(tabParametros[Código do Posto],tabCustoUnit[[#This Row],[Código do Posto]],tabParametros[Incidência do FGTS sobre API e Reflexo do API])*tabCustoUnit[[#This Row],[MODULO 1 - REMUNERAÇÃO ]]</f>
        <v>0.6324901574645061</v>
      </c>
      <c r="AO103" s="22">
        <f>SUMIF(tabParametros[Código do Posto],tabCustoUnit[[#This Row],[Código do Posto]],tabParametros[Multa Rescisória do FGTS sobre o Aviso Prévio Indenizado])*tabCustoUnit[[#This Row],[MODULO 1 - REMUNERAÇÃO ]]</f>
        <v>0.25299606298580246</v>
      </c>
      <c r="AP103" s="22">
        <f>SUMIF(tabParametros[Código do Posto],tabCustoUnit[[#This Row],[Código do Posto]],tabParametros[Aviso Prévio Trabalhado - APT])*tabCustoUnit[[#This Row],[MODULO 1 - REMUNERAÇÃO ]]</f>
        <v>3.94642955</v>
      </c>
      <c r="AQ103" s="22">
        <f>SUMIF(tabParametros[Código do Posto],tabCustoUnit[[#This Row],[Código do Posto]],tabParametros[Incidência dos encargos do submódulo 2.1 sobre Aviso Prévio Trabalhado])*tabCustoUnit[[#This Row],[MODULO 1 - REMUNERAÇÃO ]]</f>
        <v>1.4917503699000003</v>
      </c>
      <c r="AR103" s="22">
        <f>SUMIF(tabParametros[Código do Posto],tabCustoUnit[[#This Row],[Código do Posto]],tabParametros[Multa Rescisória do FGTS])*tabCustoUnit[[#This Row],[MODULO 1 - REMUNERAÇÃO ]]</f>
        <v>34.478013084444434</v>
      </c>
      <c r="AS103" s="22">
        <f>SUMIF(tabParametros[Código do Posto],tabCustoUnit[[#This Row],[Código do Posto]],tabParametros[Indenização Adicional (Art. 9º da Lei nº 7.238/84)])*tabCustoUnit[[#This Row],[MODULO 1 - REMUNERAÇÃO ]]</f>
        <v>0.93962608333333331</v>
      </c>
      <c r="AT103" s="22">
        <f>SUM(tabCustoUnit[[#This Row],[Aviso Prévio Indenizado (API) e Reflexo do Aviso Prévio Indenizado]:[Indenização Adicional (Art. 9º da Lei nº 7.238/84)]])</f>
        <v>49.647432276434401</v>
      </c>
      <c r="AU103" s="22">
        <f>SUMIF(tabParametros[Código do Posto],tabCustoUnit[[#This Row],[Código do Posto]],tabParametros[Ausência por Doença])*tabCustoUnit[[#This Row],[MODULO 1 - REMUNERAÇÃO ]]</f>
        <v>9.5215443111111089</v>
      </c>
      <c r="AV103" s="22">
        <f>SUMIF(tabParametros[Código do Posto],tabCustoUnit[[#This Row],[Código do Posto]],tabParametros[Ausências Legais])*tabCustoUnit[[#This Row],[MODULO 1 - REMUNERAÇÃO ]]</f>
        <v>2.2864234694444439</v>
      </c>
      <c r="AW103" s="22">
        <f>SUMIF(tabParametros[Código do Posto],tabCustoUnit[[#This Row],[Código do Posto]],tabParametros[Licença Paternidade])*tabCustoUnit[[#This Row],[MODULO 1 - REMUNERAÇÃO ]]</f>
        <v>0.19262334708333331</v>
      </c>
      <c r="AX103" s="22">
        <f>SUMIF(tabParametros[Código do Posto],tabCustoUnit[[#This Row],[Código do Posto]],tabParametros[Ausência por Acidente de Trabalho])*tabCustoUnit[[#This Row],[MODULO 1 - REMUNERAÇÃO ]]</f>
        <v>0.23490652083333333</v>
      </c>
      <c r="AY103" s="22">
        <f>SUMIF(tabParametros[Código do Posto],tabCustoUnit[[#This Row],[Código do Posto]],tabParametros[Férias, Adicional de Férias e 13º  com empregada em gozo de Licença Maternidade])*tabCustoUnit[[#This Row],[MODULO 1 - REMUNERAÇÃO ]]</f>
        <v>1.4616405740740739</v>
      </c>
      <c r="AZ103" s="22">
        <f>SUMIF(tabParametros[Código do Posto],tabCustoUnit[[#This Row],[Código do Posto]],tabParametros[Incidência do Submódulo 2.1 sobre Ausências Legais])*tabCustoUnit[[#This Row],[MODULO 1 - REMUNERAÇÃO ]]</f>
        <v>5.1775182481225004</v>
      </c>
      <c r="BA103" s="22">
        <f>SUM(tabCustoUnit[[#This Row],[Ausência por Doença]:[Incidência do Submódulo 2.1 sobre Ausências Legais]])</f>
        <v>18.874656470668793</v>
      </c>
      <c r="BB103" s="22">
        <f>SUMIF(tabParametros[Código do Posto],tabCustoUnit[[#This Row],[Código do Posto]],tabParametros[Intervalo para Repouso ou Alimentação])</f>
        <v>0</v>
      </c>
      <c r="BC103" s="22">
        <f>tabCustoUnit[[#This Row],[Intervalo para Repouso ou Alimentação]]</f>
        <v>0</v>
      </c>
      <c r="BD103" s="22">
        <f>IF(VLOOKUP(tabCustoUnit[[#This Row],[Código do Posto]],PARAMETROS!$A$4:$BJ$255,7,0)&lt;=0,0,
IFERROR((tabCustoUnit[[#This Row],[MODULO 1 - REMUNERAÇÃO ]]*VLOOKUP(tabCustoUnit[[#This Row],[Código do Posto]],PARAMETROS!$A$4:$BJ$255,49,0))/(VLOOKUP(tabCustoUnit[[#This Row],[Código do Posto]],PARAMETROS!$A$4:$BJ$255,7,0)*VLOOKUP(tabCustoUnit[[#This Row],[Código do Posto]],PARAMETROS!$A$4:$BJ$255,8,0)),0)
)</f>
        <v>0</v>
      </c>
      <c r="BE103" s="22">
        <f>tabCustoUnit[[#This Row],[Suspensão Temporária do Contrato de Trabalho]]</f>
        <v>0</v>
      </c>
      <c r="BF103" s="22">
        <f>tabCustoUnit[[#This Row],[Submódulo 4.1]]+tabCustoUnit[[#This Row],[Submódulo 4.2]]+tabCustoUnit[[#This Row],[Submódulo 4.3]]</f>
        <v>18.874656470668793</v>
      </c>
      <c r="BG103" s="22">
        <f>VLOOKUP(tabCustoUnit[[#This Row],[Código do Posto]],tabParametros[],MATCH(tabCustoUnit[[#Headers],[Uniformes e EPIs]],tabParametros[#Headers],0),0)</f>
        <v>100.80916666666666</v>
      </c>
      <c r="BH103" s="22">
        <f>VLOOKUP(tabCustoUnit[[#This Row],[Código do Posto]],tabParametros[],MATCH(tabCustoUnit[[#Headers],[Materiais de Consumo]],tabParametros[#Headers],0),0)</f>
        <v>24.216963380852651</v>
      </c>
      <c r="BI103" s="22">
        <f>VLOOKUP(tabCustoUnit[[#This Row],[Código do Posto]],tabParametros[],MATCH(tabCustoUnit[[#Headers],[Máquinas e Equipamentos (depreciação)]],tabParametros[#Headers],0),0)</f>
        <v>43.997314032835618</v>
      </c>
      <c r="BJ103" s="22">
        <f>VLOOKUP(tabCustoUnit[[#This Row],[Código do Posto]],tabParametros[],MATCH(tabCustoUnit[[#Headers],[Produtos de Limpeza e Materiais de Higiene Pessoal]],tabParametros[#Headers],0),0)</f>
        <v>470.6396814404431</v>
      </c>
      <c r="BK103" s="22">
        <f>VLOOKUP(tabCustoUnit[[#This Row],[Código do Posto]],tabParametros[],MATCH(tabCustoUnit[[#Headers],[Outros (especificar)]],tabParametros[#Headers],0),0)</f>
        <v>0</v>
      </c>
      <c r="BL103" s="22">
        <f>SUM(tabCustoUnit[[#This Row],[Uniformes e EPIs]:[Outros (especificar)]])</f>
        <v>639.66312552079808</v>
      </c>
      <c r="BM103" s="22">
        <f>tabCustoUnit[[#This Row],[MODULO 1 - REMUNERAÇÃO ]]+tabCustoUnit[[#This Row],[MÓDULO 2 - Total Encargos e Benefícios mensais e diários]]+tabCustoUnit[[#This Row],[MÓDULO 3 – PROVISÃO PARA RESCISÃO]]+tabCustoUnit[[#This Row],[MÓDULO 4 – CUSTO DE REPOSIÇÃO DO PROFISSIONAL AUSENTE]]+tabCustoUnit[[#This Row],[MÓDULO 5 – INSUMOS DIVERSOS]]</f>
        <v>3340.1298123290121</v>
      </c>
      <c r="BN103" s="22">
        <f>VLOOKUP(tabCustoUnit[[#This Row],[Código do Posto]],tabParametros[],MATCH(tabCustoUnit[[#Headers],[Custos Indiretos]],tabParametros[#Headers],0),0)</f>
        <v>189.64880140242613</v>
      </c>
      <c r="BO103" s="22">
        <f>VLOOKUP(tabCustoUnit[[#This Row],[Código do Posto]],tabParametros[],MATCH(tabCustoUnit[[#Headers],[Lucro]],tabParametros[#Headers],0),0)</f>
        <v>159.30499317803796</v>
      </c>
      <c r="BP103" s="26">
        <f>((100/((1-tabCustoUnit[[#This Row],[Resumo de Alíquotas (PIS+CONFINS+ISS)]]))-100)*VLOOKUP(tabCustoUnit[[#This Row],[Código do Posto]],tabParametros[],MATCH(tabCustoUnit[[#Headers],[COFINS]],tabParametros[#Headers],0),0))/(tabCustoUnit[[#This Row],[Resumo de Alíquotas (PIS+CONFINS+ISS)]]*100)</f>
        <v>8.8629737609329504E-2</v>
      </c>
      <c r="BQ103" s="26">
        <f>((100/((100-(tabCustoUnit[[#This Row],[Resumo de Alíquotas (PIS+CONFINS+ISS)]]*100))%)-100)*VLOOKUP(tabCustoUnit[[#This Row],[Código do Posto]],tabParametros[],MATCH(tabCustoUnit[[#Headers],[PIS]],tabParametros[#Headers],0),0))/(tabCustoUnit[[#This Row],[Resumo de Alíquotas (PIS+CONFINS+ISS)]]*100)</f>
        <v>1.9241982507288629E-2</v>
      </c>
      <c r="BR103" s="28">
        <f>VLOOKUP(tabCustoUnit[[#This Row],[Código do Posto]],tabParametros[],MATCH(tabCustoUnit[[#Headers],[ISS]],tabParametros[#Headers],0),0)</f>
        <v>0.05</v>
      </c>
      <c r="BS103" s="26">
        <f>(((100/((100-(tabCustoUnit[[#This Row],[Resumo de Alíquotas (PIS+CONFINS+ISS)]]*100))%)-100)*tabCustoUnit[[#This Row],[ISS]])/tabCustoUnit[[#This Row],[Resumo de Alíquotas (PIS+CONFINS+ISS)]])/100</f>
        <v>5.8309037900874633E-2</v>
      </c>
      <c r="BT103" s="26">
        <f>(VLOOKUP(tabCustoUnit[[#This Row],[Código do Posto]],tabParametros[],MATCH(tabCustoUnit[[#Headers],[COFINS]],tabParametros[#Headers],0),0)+
VLOOKUP(tabCustoUnit[[#This Row],[Código do Posto]],tabParametros[],MATCH(tabCustoUnit[[#Headers],[PIS]],tabParametros[#Headers],0),0)+
VLOOKUP(tabCustoUnit[[#This Row],[Código do Posto]],tabParametros[],MATCH(tabCustoUnit[[#Headers],[ISS]],tabParametros[#Headers],0),0))</f>
        <v>0.14250000000000002</v>
      </c>
      <c r="BU103" s="138">
        <f>tabCustoUnit[[#This Row],[COFINS]]+tabCustoUnit[[#This Row],[PIS]]+tabCustoUnit[[#This Row],[ISS (Conversão Alíquota s/ fatura)]]</f>
        <v>0.16618075801749277</v>
      </c>
      <c r="BV103" s="22">
        <f>(tabCustoUnit[[#This Row],[TOTAL MÓDULOS 1+2+3+4+5]]+tabCustoUnit[[#This Row],[Custos Indiretos]]+tabCustoUnit[[#This Row],[Lucro]])*tabCustoUnit[[#This Row],[PIS + COFINS + ISS (Total Conversão  Alíquota s/ Fatura)]]</f>
        <v>613.05471018612309</v>
      </c>
      <c r="BW103" s="22">
        <f>tabCustoUnit[[#This Row],[Custos Indiretos]]+tabCustoUnit[[#This Row],[Lucro]]+tabCustoUnit[[#This Row],[Valor dos Tributos (ISS, PIS, CONFINS)]]</f>
        <v>962.00850476658718</v>
      </c>
      <c r="BX103" s="22">
        <f>tabCustoUnit[[#This Row],[TOTAL MÓDULOS 1+2+3+4+5]]+tabCustoUnit[[#This Row],[MÓDULO 6 – CUSTOS INDIRETOS, TRIBUTOS E LUCRO]]</f>
        <v>4302.1383170955996</v>
      </c>
      <c r="BY103" s="22">
        <f>tabCustoUnit[[#This Row],[CUSTO TOTAL MENSAL]]*12</f>
        <v>51625.659805147196</v>
      </c>
      <c r="BZ103" s="24">
        <f>VLOOKUP(tabCustoUnit[[#This Row],[Código do Posto]],tabParametros[],MATCH(tabCustoUnit[[#Headers],[ANO DA CCT]],tabParametros[#Headers],0),0)</f>
        <v>45658</v>
      </c>
      <c r="CA103" s="25" t="str">
        <f>VLOOKUP(tabCustoUnit[[#This Row],[Código do Posto]],tabParametros[],MATCH(tabCustoUnit[[#Headers],[Nº DE PEDIDO DA CCT]],tabParametros[#Headers],0),0)</f>
        <v>-</v>
      </c>
      <c r="CB103" s="25" t="str">
        <f>VLOOKUP(tabCustoUnit[[#This Row],[Código do Posto]],tabParametros[],MATCH(tabCustoUnit[[#Headers],[TERMO ADITIVO ALTERAÇÃO DA CCT]],tabParametros[#Headers],0),0)</f>
        <v>-</v>
      </c>
    </row>
    <row r="104" spans="1:80" x14ac:dyDescent="0.25">
      <c r="A104" s="20" t="s">
        <v>1443</v>
      </c>
      <c r="B104" t="s">
        <v>97</v>
      </c>
      <c r="C104" t="s">
        <v>1244</v>
      </c>
      <c r="D104" t="s">
        <v>1023</v>
      </c>
      <c r="E104" s="20" t="s">
        <v>9</v>
      </c>
      <c r="F104" s="20" t="s">
        <v>10</v>
      </c>
      <c r="G104" s="21">
        <v>798.14</v>
      </c>
      <c r="H104" s="21">
        <v>0</v>
      </c>
      <c r="I104" s="21">
        <v>0</v>
      </c>
      <c r="J104" s="21">
        <v>0</v>
      </c>
      <c r="K104" s="21">
        <v>0</v>
      </c>
      <c r="L104" s="21">
        <v>0</v>
      </c>
      <c r="M104" s="21">
        <v>0</v>
      </c>
      <c r="N104" s="21">
        <v>26.120899999999999</v>
      </c>
      <c r="O104" s="21">
        <f>SUM(tabCustoUnit[[#This Row],[Salário Base]:[Adicional de Acúmulo de função]])</f>
        <v>824.26089999999999</v>
      </c>
      <c r="P104" s="21">
        <f>tabCustoUnit[[#This Row],[MODULO 1 - REMUNERAÇÃO ]]*SUMIFS(tabParametros[INSS],tabParametros[Código do Posto],tabCustoUnit[[#This Row],[Código do Posto]])</f>
        <v>164.85218</v>
      </c>
      <c r="Q104" s="21">
        <f>tabCustoUnit[[#This Row],[MODULO 1 - REMUNERAÇÃO ]]*SUMIFS(tabParametros[SESI OU SESC],tabParametros[Código do Posto],tabCustoUnit[[#This Row],[Código do Posto]])</f>
        <v>12.363913499999999</v>
      </c>
      <c r="R104" s="21">
        <f>tabCustoUnit[[#This Row],[MODULO 1 - REMUNERAÇÃO ]]*SUMIFS(tabParametros[SENAI OU SENAC],tabParametros[Código do Posto],tabCustoUnit[[#This Row],[Código do Posto]])</f>
        <v>8.2426089999999999</v>
      </c>
      <c r="S104" s="21">
        <f>tabCustoUnit[[#This Row],[MODULO 1 - REMUNERAÇÃO ]]*SUMIFS(tabParametros[INCRA],tabParametros[Código do Posto],tabCustoUnit[[#This Row],[Código do Posto]])</f>
        <v>1.6485217999999999</v>
      </c>
      <c r="T104" s="21">
        <f>tabCustoUnit[[#This Row],[MODULO 1 - REMUNERAÇÃO ]]*SUMIFS(tabParametros[Salário Educação],tabParametros[Código do Posto],tabCustoUnit[[#This Row],[Código do Posto]])</f>
        <v>20.606522500000001</v>
      </c>
      <c r="U104" s="21">
        <f>tabCustoUnit[[#This Row],[MODULO 1 - REMUNERAÇÃO ]]*SUMIFS(tabParametros[FGTS],tabParametros[Código do Posto],tabCustoUnit[[#This Row],[Código do Posto]])</f>
        <v>65.940871999999999</v>
      </c>
      <c r="V104" s="21">
        <f>tabCustoUnit[[#This Row],[MODULO 1 - REMUNERAÇÃO ]]*SUMIFS(tabParametros[RAT Ajustado],tabParametros[Código do Posto],tabCustoUnit[[#This Row],[Código do Posto]])</f>
        <v>32.970435999999999</v>
      </c>
      <c r="W104" s="21">
        <f>tabCustoUnit[[#This Row],[MODULO 1 - REMUNERAÇÃO ]]*SUMIFS(tabParametros[SEBRAE],tabParametros[Código do Posto],tabCustoUnit[[#This Row],[Código do Posto]])</f>
        <v>4.9455654000000004</v>
      </c>
      <c r="X104" s="21">
        <f>SUM(tabCustoUnit[[#This Row],[INSS]:[SEBRAE]])</f>
        <v>311.57062020000001</v>
      </c>
      <c r="Y104" s="21">
        <f>tabCustoUnit[[#This Row],[MODULO 1 - REMUNERAÇÃO ]]*SUMIFS(tabParametros[13º salário (titular)],tabParametros[Código do Posto],tabCustoUnit[[#This Row],[Código do Posto]])</f>
        <v>68.688408333333328</v>
      </c>
      <c r="Z104" s="21">
        <f>tabCustoUnit[[#This Row],[MODULO 1 - REMUNERAÇÃO ]]*SUMIFS(tabParametros[Férias e Adicional de Férias (titular)],tabParametros[Código do Posto],tabCustoUnit[[#This Row],[Código do Posto]])</f>
        <v>91.584544444444433</v>
      </c>
      <c r="AA104" s="21">
        <f>IFERROR((tabCustoUnit[[#This Row],[Submódulo 2.1]]/tabCustoUnit[[#This Row],[MODULO 1 - REMUNERAÇÃO ]])*SUM(tabCustoUnit[[#This Row],[13º salário (titular)]:[Férias e Adicional de Férias (titular)]]),0)</f>
        <v>60.583176149999993</v>
      </c>
      <c r="AB104" s="21">
        <f>SUM(tabCustoUnit[[#This Row],[13º salário (titular)]:[Incidência do Submódulo 2.1 sobre 13º Salário, Férias e Adicional de Férias]])</f>
        <v>220.85612892777775</v>
      </c>
      <c r="AC104" s="22">
        <f>_xlfn.LET(_xlpm.VT,SUMIF(tabParametros[Código do Posto],tabCustoUnit[[#This Row],[Código do Posto]],tabParametros[Vale - Transporte])*2*20,
IF((_xlpm.VT-tabCustoUnit[[#This Row],[Salário Base]]*0.06)&gt;=0,(_xlpm.VT-tabCustoUnit[[#This Row],[Salário Base]]*0.06),0)
)</f>
        <v>208.11160000000001</v>
      </c>
      <c r="AD104" s="22">
        <f>IF(SUMIF(tabParametros[Código do Posto],tabCustoUnit[[#This Row],[Código do Posto]],tabParametros[Vale - Alimentação])&lt;=0,0,
SUMIF(tabParametros[Código do Posto],tabCustoUnit[[#This Row],[Código do Posto]],tabParametros[Vale - Alimentação])*20-1)</f>
        <v>582</v>
      </c>
      <c r="AE104" s="22">
        <f>SUMIF(tabParametros[Código do Posto],tabCustoUnit[[#This Row],[Código do Posto]],tabParametros[Cesta Básica])</f>
        <v>0</v>
      </c>
      <c r="AF104" s="22">
        <f>SUMIF(tabParametros[Código do Posto],tabCustoUnit[[#This Row],[Código do Posto]],tabParametros[PAF])</f>
        <v>0</v>
      </c>
      <c r="AG104" s="22">
        <f>SUMIF(tabParametros[Código do Posto],tabCustoUnit[[#This Row],[Código do Posto]],tabParametros[PQM])</f>
        <v>0</v>
      </c>
      <c r="AH104" s="22">
        <f>SUMIF(tabParametros[Código do Posto],tabCustoUnit[[#This Row],[Código do Posto]],tabParametros[PAT])</f>
        <v>0</v>
      </c>
      <c r="AI104" s="22">
        <f>SUMIF(tabParametros[Código do Posto],tabCustoUnit[[#This Row],[Código do Posto]],tabParametros[Seguro de Vida])</f>
        <v>3.36</v>
      </c>
      <c r="AJ104" s="22">
        <f>SUMIF(tabParametros[Código do Posto],tabCustoUnit[[#This Row],[Código do Posto]],tabParametros[Despesas de Viagem])</f>
        <v>0</v>
      </c>
      <c r="AK104" s="22">
        <f>SUM(tabCustoUnit[[#This Row],[Vale - Transporte (Descontada parcela do empregado)]:[Despesas de Viagem]])</f>
        <v>793.47159999999997</v>
      </c>
      <c r="AL104" s="22">
        <f>tabCustoUnit[[#This Row],[Submódulo 2.1]]+tabCustoUnit[[#This Row],[Submódulo 2.2]]+tabCustoUnit[[#This Row],[Submódulo 2.3]]</f>
        <v>1325.8983491277777</v>
      </c>
      <c r="AM104" s="22">
        <f>SUMIF(tabParametros[Código do Posto],tabCustoUnit[[#This Row],[Código do Posto]],tabParametros[Aviso Prévio Indenizado (API) e Reflexo do Aviso Prévio Indenizado])*tabCustoUnit[[#This Row],[MODULO 1 - REMUNERAÇÃO ]]</f>
        <v>5.7795253576581791</v>
      </c>
      <c r="AN104" s="22">
        <f>SUMIF(tabParametros[Código do Posto],tabCustoUnit[[#This Row],[Código do Posto]],tabParametros[Incidência do FGTS sobre API e Reflexo do API])*tabCustoUnit[[#This Row],[MODULO 1 - REMUNERAÇÃO ]]</f>
        <v>0.46236202861265435</v>
      </c>
      <c r="AO104" s="22">
        <f>SUMIF(tabParametros[Código do Posto],tabCustoUnit[[#This Row],[Código do Posto]],tabParametros[Multa Rescisória do FGTS sobre o Aviso Prévio Indenizado])*tabCustoUnit[[#This Row],[MODULO 1 - REMUNERAÇÃO ]]</f>
        <v>0.18494481144506175</v>
      </c>
      <c r="AP104" s="22">
        <f>SUMIF(tabParametros[Código do Posto],tabCustoUnit[[#This Row],[Código do Posto]],tabParametros[Aviso Prévio Trabalhado - APT])*tabCustoUnit[[#This Row],[MODULO 1 - REMUNERAÇÃO ]]</f>
        <v>2.8849131500000005</v>
      </c>
      <c r="AQ104" s="22">
        <f>SUMIF(tabParametros[Código do Posto],tabCustoUnit[[#This Row],[Código do Posto]],tabParametros[Incidência dos encargos do submódulo 2.1 sobre Aviso Prévio Trabalhado])*tabCustoUnit[[#This Row],[MODULO 1 - REMUNERAÇÃO ]]</f>
        <v>1.0904971707000004</v>
      </c>
      <c r="AR104" s="22">
        <f>SUMIF(tabParametros[Código do Posto],tabCustoUnit[[#This Row],[Código do Posto]],tabParametros[Multa Rescisória do FGTS])*tabCustoUnit[[#This Row],[MODULO 1 - REMUNERAÇÃO ]]</f>
        <v>25.204066631111107</v>
      </c>
      <c r="AS104" s="22">
        <f>SUMIF(tabParametros[Código do Posto],tabCustoUnit[[#This Row],[Código do Posto]],tabParametros[Indenização Adicional (Art. 9º da Lei nº 7.238/84)])*tabCustoUnit[[#This Row],[MODULO 1 - REMUNERAÇÃO ]]</f>
        <v>0.6868840833333334</v>
      </c>
      <c r="AT104" s="22">
        <f>SUM(tabCustoUnit[[#This Row],[Aviso Prévio Indenizado (API) e Reflexo do Aviso Prévio Indenizado]:[Indenização Adicional (Art. 9º da Lei nº 7.238/84)]])</f>
        <v>36.293193232860339</v>
      </c>
      <c r="AU104" s="22">
        <f>SUMIF(tabParametros[Código do Posto],tabCustoUnit[[#This Row],[Código do Posto]],tabParametros[Ausência por Doença])*tabCustoUnit[[#This Row],[MODULO 1 - REMUNERAÇÃO ]]</f>
        <v>6.9604253777777769</v>
      </c>
      <c r="AV104" s="22">
        <f>SUMIF(tabParametros[Código do Posto],tabCustoUnit[[#This Row],[Código do Posto]],tabParametros[Ausências Legais])*tabCustoUnit[[#This Row],[MODULO 1 - REMUNERAÇÃO ]]</f>
        <v>1.671417936111111</v>
      </c>
      <c r="AW104" s="22">
        <f>SUMIF(tabParametros[Código do Posto],tabCustoUnit[[#This Row],[Código do Posto]],tabParametros[Licença Paternidade])*tabCustoUnit[[#This Row],[MODULO 1 - REMUNERAÇÃO ]]</f>
        <v>0.14081123708333332</v>
      </c>
      <c r="AX104" s="22">
        <f>SUMIF(tabParametros[Código do Posto],tabCustoUnit[[#This Row],[Código do Posto]],tabParametros[Ausência por Acidente de Trabalho])*tabCustoUnit[[#This Row],[MODULO 1 - REMUNERAÇÃO ]]</f>
        <v>0.17172102083333335</v>
      </c>
      <c r="AY104" s="22">
        <f>SUMIF(tabParametros[Código do Posto],tabCustoUnit[[#This Row],[Código do Posto]],tabParametros[Férias, Adicional de Férias e 13º  com empregada em gozo de Licença Maternidade])*tabCustoUnit[[#This Row],[MODULO 1 - REMUNERAÇÃO ]]</f>
        <v>1.0684863518518517</v>
      </c>
      <c r="AZ104" s="22">
        <f>SUMIF(tabParametros[Código do Posto],tabCustoUnit[[#This Row],[Código do Posto]],tabParametros[Incidência do Submódulo 2.1 sobre Ausências Legais])*tabCustoUnit[[#This Row],[MODULO 1 - REMUNERAÇÃO ]]</f>
        <v>3.7848618071425006</v>
      </c>
      <c r="BA104" s="22">
        <f>SUM(tabCustoUnit[[#This Row],[Ausência por Doença]:[Incidência do Submódulo 2.1 sobre Ausências Legais]])</f>
        <v>13.797723730799909</v>
      </c>
      <c r="BB104" s="22">
        <f>SUMIF(tabParametros[Código do Posto],tabCustoUnit[[#This Row],[Código do Posto]],tabParametros[Intervalo para Repouso ou Alimentação])</f>
        <v>0</v>
      </c>
      <c r="BC104" s="22">
        <f>tabCustoUnit[[#This Row],[Intervalo para Repouso ou Alimentação]]</f>
        <v>0</v>
      </c>
      <c r="BD104" s="22">
        <f>IF(VLOOKUP(tabCustoUnit[[#This Row],[Código do Posto]],PARAMETROS!$A$4:$BJ$255,7,0)&lt;=0,0,
IFERROR((tabCustoUnit[[#This Row],[MODULO 1 - REMUNERAÇÃO ]]*VLOOKUP(tabCustoUnit[[#This Row],[Código do Posto]],PARAMETROS!$A$4:$BJ$255,49,0))/(VLOOKUP(tabCustoUnit[[#This Row],[Código do Posto]],PARAMETROS!$A$4:$BJ$255,7,0)*VLOOKUP(tabCustoUnit[[#This Row],[Código do Posto]],PARAMETROS!$A$4:$BJ$255,8,0)),0)
)</f>
        <v>0</v>
      </c>
      <c r="BE104" s="22">
        <f>tabCustoUnit[[#This Row],[Suspensão Temporária do Contrato de Trabalho]]</f>
        <v>0</v>
      </c>
      <c r="BF104" s="22">
        <f>tabCustoUnit[[#This Row],[Submódulo 4.1]]+tabCustoUnit[[#This Row],[Submódulo 4.2]]+tabCustoUnit[[#This Row],[Submódulo 4.3]]</f>
        <v>13.797723730799909</v>
      </c>
      <c r="BG104" s="22">
        <f>VLOOKUP(tabCustoUnit[[#This Row],[Código do Posto]],tabParametros[],MATCH(tabCustoUnit[[#Headers],[Uniformes e EPIs]],tabParametros[#Headers],0),0)</f>
        <v>62.806666666666665</v>
      </c>
      <c r="BH104" s="22">
        <f>VLOOKUP(tabCustoUnit[[#This Row],[Código do Posto]],tabParametros[],MATCH(tabCustoUnit[[#Headers],[Materiais de Consumo]],tabParametros[#Headers],0),0)</f>
        <v>17.759106479291944</v>
      </c>
      <c r="BI104" s="22">
        <f>VLOOKUP(tabCustoUnit[[#This Row],[Código do Posto]],tabParametros[],MATCH(tabCustoUnit[[#Headers],[Máquinas e Equipamentos (depreciação)]],tabParametros[#Headers],0),0)</f>
        <v>32.264696957412788</v>
      </c>
      <c r="BJ104" s="22">
        <f>VLOOKUP(tabCustoUnit[[#This Row],[Código do Posto]],tabParametros[],MATCH(tabCustoUnit[[#Headers],[Produtos de Limpeza e Materiais de Higiene Pessoal]],tabParametros[#Headers],0),0)</f>
        <v>345.13576638965827</v>
      </c>
      <c r="BK104" s="22">
        <f>VLOOKUP(tabCustoUnit[[#This Row],[Código do Posto]],tabParametros[],MATCH(tabCustoUnit[[#Headers],[Outros (especificar)]],tabParametros[#Headers],0),0)</f>
        <v>0</v>
      </c>
      <c r="BL104" s="22">
        <f>SUM(tabCustoUnit[[#This Row],[Uniformes e EPIs]:[Outros (especificar)]])</f>
        <v>457.96623649302967</v>
      </c>
      <c r="BM104" s="22">
        <f>tabCustoUnit[[#This Row],[MODULO 1 - REMUNERAÇÃO ]]+tabCustoUnit[[#This Row],[MÓDULO 2 - Total Encargos e Benefícios mensais e diários]]+tabCustoUnit[[#This Row],[MÓDULO 3 – PROVISÃO PARA RESCISÃO]]+tabCustoUnit[[#This Row],[MÓDULO 4 – CUSTO DE REPOSIÇÃO DO PROFISSIONAL AUSENTE]]+tabCustoUnit[[#This Row],[MÓDULO 5 – INSUMOS DIVERSOS]]</f>
        <v>2658.2164025844677</v>
      </c>
      <c r="BN104" s="22">
        <f>VLOOKUP(tabCustoUnit[[#This Row],[Código do Posto]],tabParametros[],MATCH(tabCustoUnit[[#Headers],[Custos Indiretos]],tabParametros[#Headers],0),0)</f>
        <v>189.64880140242613</v>
      </c>
      <c r="BO104" s="22">
        <f>VLOOKUP(tabCustoUnit[[#This Row],[Código do Posto]],tabParametros[],MATCH(tabCustoUnit[[#Headers],[Lucro]],tabParametros[#Headers],0),0)</f>
        <v>159.30499317803796</v>
      </c>
      <c r="BP104" s="26">
        <f>((100/((1-tabCustoUnit[[#This Row],[Resumo de Alíquotas (PIS+CONFINS+ISS)]]))-100)*VLOOKUP(tabCustoUnit[[#This Row],[Código do Posto]],tabParametros[],MATCH(tabCustoUnit[[#Headers],[COFINS]],tabParametros[#Headers],0),0))/(tabCustoUnit[[#This Row],[Resumo de Alíquotas (PIS+CONFINS+ISS)]]*100)</f>
        <v>8.5633802816901458E-2</v>
      </c>
      <c r="BQ104" s="26">
        <f>((100/((100-(tabCustoUnit[[#This Row],[Resumo de Alíquotas (PIS+CONFINS+ISS)]]*100))%)-100)*VLOOKUP(tabCustoUnit[[#This Row],[Código do Posto]],tabParametros[],MATCH(tabCustoUnit[[#Headers],[PIS]],tabParametros[#Headers],0),0))/(tabCustoUnit[[#This Row],[Resumo de Alíquotas (PIS+CONFINS+ISS)]]*100)</f>
        <v>1.8591549295774657E-2</v>
      </c>
      <c r="BR104" s="28">
        <f>VLOOKUP(tabCustoUnit[[#This Row],[Código do Posto]],tabParametros[],MATCH(tabCustoUnit[[#Headers],[ISS]],tabParametros[#Headers],0),0)</f>
        <v>0.02</v>
      </c>
      <c r="BS104" s="26">
        <f>(((100/((100-(tabCustoUnit[[#This Row],[Resumo de Alíquotas (PIS+CONFINS+ISS)]]*100))%)-100)*tabCustoUnit[[#This Row],[ISS]])/tabCustoUnit[[#This Row],[Resumo de Alíquotas (PIS+CONFINS+ISS)]])/100</f>
        <v>2.2535211267605645E-2</v>
      </c>
      <c r="BT104" s="26">
        <f>(VLOOKUP(tabCustoUnit[[#This Row],[Código do Posto]],tabParametros[],MATCH(tabCustoUnit[[#Headers],[COFINS]],tabParametros[#Headers],0),0)+
VLOOKUP(tabCustoUnit[[#This Row],[Código do Posto]],tabParametros[],MATCH(tabCustoUnit[[#Headers],[PIS]],tabParametros[#Headers],0),0)+
VLOOKUP(tabCustoUnit[[#This Row],[Código do Posto]],tabParametros[],MATCH(tabCustoUnit[[#Headers],[ISS]],tabParametros[#Headers],0),0))</f>
        <v>0.1125</v>
      </c>
      <c r="BU104" s="138">
        <f>tabCustoUnit[[#This Row],[COFINS]]+tabCustoUnit[[#This Row],[PIS]]+tabCustoUnit[[#This Row],[ISS (Conversão Alíquota s/ fatura)]]</f>
        <v>0.12676056338028174</v>
      </c>
      <c r="BV104" s="22">
        <f>(tabCustoUnit[[#This Row],[TOTAL MÓDULOS 1+2+3+4+5]]+tabCustoUnit[[#This Row],[Custos Indiretos]]+tabCustoUnit[[#This Row],[Lucro]])*tabCustoUnit[[#This Row],[PIS + COFINS + ISS (Total Conversão  Alíquota s/ Fatura)]]</f>
        <v>381.19058837301969</v>
      </c>
      <c r="BW104" s="22">
        <f>tabCustoUnit[[#This Row],[Custos Indiretos]]+tabCustoUnit[[#This Row],[Lucro]]+tabCustoUnit[[#This Row],[Valor dos Tributos (ISS, PIS, CONFINS)]]</f>
        <v>730.14438295348373</v>
      </c>
      <c r="BX104" s="22">
        <f>tabCustoUnit[[#This Row],[TOTAL MÓDULOS 1+2+3+4+5]]+tabCustoUnit[[#This Row],[MÓDULO 6 – CUSTOS INDIRETOS, TRIBUTOS E LUCRO]]</f>
        <v>3388.3607855379514</v>
      </c>
      <c r="BY104" s="22">
        <f>tabCustoUnit[[#This Row],[CUSTO TOTAL MENSAL]]*12</f>
        <v>40660.329426455413</v>
      </c>
      <c r="BZ104" s="24">
        <f>VLOOKUP(tabCustoUnit[[#This Row],[Código do Posto]],tabParametros[],MATCH(tabCustoUnit[[#Headers],[ANO DA CCT]],tabParametros[#Headers],0),0)</f>
        <v>45658</v>
      </c>
      <c r="CA104" s="25" t="str">
        <f>VLOOKUP(tabCustoUnit[[#This Row],[Código do Posto]],tabParametros[],MATCH(tabCustoUnit[[#Headers],[Nº DE PEDIDO DA CCT]],tabParametros[#Headers],0),0)</f>
        <v>-</v>
      </c>
      <c r="CB104" s="25" t="str">
        <f>VLOOKUP(tabCustoUnit[[#This Row],[Código do Posto]],tabParametros[],MATCH(tabCustoUnit[[#Headers],[TERMO ADITIVO ALTERAÇÃO DA CCT]],tabParametros[#Headers],0),0)</f>
        <v>-</v>
      </c>
    </row>
    <row r="105" spans="1:80" x14ac:dyDescent="0.25">
      <c r="A105" s="20" t="s">
        <v>1444</v>
      </c>
      <c r="B105" t="s">
        <v>1347</v>
      </c>
      <c r="C105" t="s">
        <v>1244</v>
      </c>
      <c r="D105" t="s">
        <v>1018</v>
      </c>
      <c r="E105" s="20" t="s">
        <v>9</v>
      </c>
      <c r="F105" s="20" t="s">
        <v>10</v>
      </c>
      <c r="G105" s="21">
        <v>798.14</v>
      </c>
      <c r="H105" s="21">
        <v>0</v>
      </c>
      <c r="I105" s="21">
        <v>0</v>
      </c>
      <c r="J105" s="21">
        <v>0</v>
      </c>
      <c r="K105" s="21">
        <v>0</v>
      </c>
      <c r="L105" s="21">
        <v>0</v>
      </c>
      <c r="M105" s="21">
        <v>0</v>
      </c>
      <c r="N105" s="21">
        <v>26.120899999999999</v>
      </c>
      <c r="O105" s="21">
        <f>SUM(tabCustoUnit[[#This Row],[Salário Base]:[Adicional de Acúmulo de função]])</f>
        <v>824.26089999999999</v>
      </c>
      <c r="P105" s="21">
        <f>tabCustoUnit[[#This Row],[MODULO 1 - REMUNERAÇÃO ]]*SUMIFS(tabParametros[INSS],tabParametros[Código do Posto],tabCustoUnit[[#This Row],[Código do Posto]])</f>
        <v>164.85218</v>
      </c>
      <c r="Q105" s="21">
        <f>tabCustoUnit[[#This Row],[MODULO 1 - REMUNERAÇÃO ]]*SUMIFS(tabParametros[SESI OU SESC],tabParametros[Código do Posto],tabCustoUnit[[#This Row],[Código do Posto]])</f>
        <v>12.363913499999999</v>
      </c>
      <c r="R105" s="21">
        <f>tabCustoUnit[[#This Row],[MODULO 1 - REMUNERAÇÃO ]]*SUMIFS(tabParametros[SENAI OU SENAC],tabParametros[Código do Posto],tabCustoUnit[[#This Row],[Código do Posto]])</f>
        <v>8.2426089999999999</v>
      </c>
      <c r="S105" s="21">
        <f>tabCustoUnit[[#This Row],[MODULO 1 - REMUNERAÇÃO ]]*SUMIFS(tabParametros[INCRA],tabParametros[Código do Posto],tabCustoUnit[[#This Row],[Código do Posto]])</f>
        <v>1.6485217999999999</v>
      </c>
      <c r="T105" s="21">
        <f>tabCustoUnit[[#This Row],[MODULO 1 - REMUNERAÇÃO ]]*SUMIFS(tabParametros[Salário Educação],tabParametros[Código do Posto],tabCustoUnit[[#This Row],[Código do Posto]])</f>
        <v>20.606522500000001</v>
      </c>
      <c r="U105" s="21">
        <f>tabCustoUnit[[#This Row],[MODULO 1 - REMUNERAÇÃO ]]*SUMIFS(tabParametros[FGTS],tabParametros[Código do Posto],tabCustoUnit[[#This Row],[Código do Posto]])</f>
        <v>65.940871999999999</v>
      </c>
      <c r="V105" s="21">
        <f>tabCustoUnit[[#This Row],[MODULO 1 - REMUNERAÇÃO ]]*SUMIFS(tabParametros[RAT Ajustado],tabParametros[Código do Posto],tabCustoUnit[[#This Row],[Código do Posto]])</f>
        <v>32.970435999999999</v>
      </c>
      <c r="W105" s="21">
        <f>tabCustoUnit[[#This Row],[MODULO 1 - REMUNERAÇÃO ]]*SUMIFS(tabParametros[SEBRAE],tabParametros[Código do Posto],tabCustoUnit[[#This Row],[Código do Posto]])</f>
        <v>4.9455654000000004</v>
      </c>
      <c r="X105" s="21">
        <f>SUM(tabCustoUnit[[#This Row],[INSS]:[SEBRAE]])</f>
        <v>311.57062020000001</v>
      </c>
      <c r="Y105" s="21">
        <f>tabCustoUnit[[#This Row],[MODULO 1 - REMUNERAÇÃO ]]*SUMIFS(tabParametros[13º salário (titular)],tabParametros[Código do Posto],tabCustoUnit[[#This Row],[Código do Posto]])</f>
        <v>68.688408333333328</v>
      </c>
      <c r="Z105" s="21">
        <f>tabCustoUnit[[#This Row],[MODULO 1 - REMUNERAÇÃO ]]*SUMIFS(tabParametros[Férias e Adicional de Férias (titular)],tabParametros[Código do Posto],tabCustoUnit[[#This Row],[Código do Posto]])</f>
        <v>91.584544444444433</v>
      </c>
      <c r="AA105" s="21">
        <f>IFERROR((tabCustoUnit[[#This Row],[Submódulo 2.1]]/tabCustoUnit[[#This Row],[MODULO 1 - REMUNERAÇÃO ]])*SUM(tabCustoUnit[[#This Row],[13º salário (titular)]:[Férias e Adicional de Férias (titular)]]),0)</f>
        <v>60.583176149999993</v>
      </c>
      <c r="AB105" s="21">
        <f>SUM(tabCustoUnit[[#This Row],[13º salário (titular)]:[Incidência do Submódulo 2.1 sobre 13º Salário, Férias e Adicional de Férias]])</f>
        <v>220.85612892777775</v>
      </c>
      <c r="AC105" s="22">
        <f>_xlfn.LET(_xlpm.VT,SUMIF(tabParametros[Código do Posto],tabCustoUnit[[#This Row],[Código do Posto]],tabParametros[Vale - Transporte])*2*20,
IF((_xlpm.VT-tabCustoUnit[[#This Row],[Salário Base]]*0.06)&gt;=0,(_xlpm.VT-tabCustoUnit[[#This Row],[Salário Base]]*0.06),0)
)</f>
        <v>208.11160000000001</v>
      </c>
      <c r="AD105" s="22">
        <f>IF(SUMIF(tabParametros[Código do Posto],tabCustoUnit[[#This Row],[Código do Posto]],tabParametros[Vale - Alimentação])&lt;=0,0,
SUMIF(tabParametros[Código do Posto],tabCustoUnit[[#This Row],[Código do Posto]],tabParametros[Vale - Alimentação])*20-1)</f>
        <v>582</v>
      </c>
      <c r="AE105" s="22">
        <f>SUMIF(tabParametros[Código do Posto],tabCustoUnit[[#This Row],[Código do Posto]],tabParametros[Cesta Básica])</f>
        <v>0</v>
      </c>
      <c r="AF105" s="22">
        <f>SUMIF(tabParametros[Código do Posto],tabCustoUnit[[#This Row],[Código do Posto]],tabParametros[PAF])</f>
        <v>51.88</v>
      </c>
      <c r="AG105" s="22">
        <f>SUMIF(tabParametros[Código do Posto],tabCustoUnit[[#This Row],[Código do Posto]],tabParametros[PQM])</f>
        <v>0</v>
      </c>
      <c r="AH105" s="22">
        <f>SUMIF(tabParametros[Código do Posto],tabCustoUnit[[#This Row],[Código do Posto]],tabParametros[PAT])</f>
        <v>0</v>
      </c>
      <c r="AI105" s="22">
        <f>SUMIF(tabParametros[Código do Posto],tabCustoUnit[[#This Row],[Código do Posto]],tabParametros[Seguro de Vida])</f>
        <v>3.36</v>
      </c>
      <c r="AJ105" s="22">
        <f>SUMIF(tabParametros[Código do Posto],tabCustoUnit[[#This Row],[Código do Posto]],tabParametros[Despesas de Viagem])</f>
        <v>0</v>
      </c>
      <c r="AK105" s="22">
        <f>SUM(tabCustoUnit[[#This Row],[Vale - Transporte (Descontada parcela do empregado)]:[Despesas de Viagem]])</f>
        <v>845.35159999999996</v>
      </c>
      <c r="AL105" s="22">
        <f>tabCustoUnit[[#This Row],[Submódulo 2.1]]+tabCustoUnit[[#This Row],[Submódulo 2.2]]+tabCustoUnit[[#This Row],[Submódulo 2.3]]</f>
        <v>1377.7783491277778</v>
      </c>
      <c r="AM105" s="22">
        <f>SUMIF(tabParametros[Código do Posto],tabCustoUnit[[#This Row],[Código do Posto]],tabParametros[Aviso Prévio Indenizado (API) e Reflexo do Aviso Prévio Indenizado])*tabCustoUnit[[#This Row],[MODULO 1 - REMUNERAÇÃO ]]</f>
        <v>5.7795253576581791</v>
      </c>
      <c r="AN105" s="22">
        <f>SUMIF(tabParametros[Código do Posto],tabCustoUnit[[#This Row],[Código do Posto]],tabParametros[Incidência do FGTS sobre API e Reflexo do API])*tabCustoUnit[[#This Row],[MODULO 1 - REMUNERAÇÃO ]]</f>
        <v>0.46236202861265435</v>
      </c>
      <c r="AO105" s="22">
        <f>SUMIF(tabParametros[Código do Posto],tabCustoUnit[[#This Row],[Código do Posto]],tabParametros[Multa Rescisória do FGTS sobre o Aviso Prévio Indenizado])*tabCustoUnit[[#This Row],[MODULO 1 - REMUNERAÇÃO ]]</f>
        <v>0.18494481144506175</v>
      </c>
      <c r="AP105" s="22">
        <f>SUMIF(tabParametros[Código do Posto],tabCustoUnit[[#This Row],[Código do Posto]],tabParametros[Aviso Prévio Trabalhado - APT])*tabCustoUnit[[#This Row],[MODULO 1 - REMUNERAÇÃO ]]</f>
        <v>2.8849131500000005</v>
      </c>
      <c r="AQ105" s="22">
        <f>SUMIF(tabParametros[Código do Posto],tabCustoUnit[[#This Row],[Código do Posto]],tabParametros[Incidência dos encargos do submódulo 2.1 sobre Aviso Prévio Trabalhado])*tabCustoUnit[[#This Row],[MODULO 1 - REMUNERAÇÃO ]]</f>
        <v>1.0904971707000004</v>
      </c>
      <c r="AR105" s="22">
        <f>SUMIF(tabParametros[Código do Posto],tabCustoUnit[[#This Row],[Código do Posto]],tabParametros[Multa Rescisória do FGTS])*tabCustoUnit[[#This Row],[MODULO 1 - REMUNERAÇÃO ]]</f>
        <v>25.204066631111107</v>
      </c>
      <c r="AS105" s="22">
        <f>SUMIF(tabParametros[Código do Posto],tabCustoUnit[[#This Row],[Código do Posto]],tabParametros[Indenização Adicional (Art. 9º da Lei nº 7.238/84)])*tabCustoUnit[[#This Row],[MODULO 1 - REMUNERAÇÃO ]]</f>
        <v>0.6868840833333334</v>
      </c>
      <c r="AT105" s="22">
        <f>SUM(tabCustoUnit[[#This Row],[Aviso Prévio Indenizado (API) e Reflexo do Aviso Prévio Indenizado]:[Indenização Adicional (Art. 9º da Lei nº 7.238/84)]])</f>
        <v>36.293193232860339</v>
      </c>
      <c r="AU105" s="22">
        <f>SUMIF(tabParametros[Código do Posto],tabCustoUnit[[#This Row],[Código do Posto]],tabParametros[Ausência por Doença])*tabCustoUnit[[#This Row],[MODULO 1 - REMUNERAÇÃO ]]</f>
        <v>6.9604253777777769</v>
      </c>
      <c r="AV105" s="22">
        <f>SUMIF(tabParametros[Código do Posto],tabCustoUnit[[#This Row],[Código do Posto]],tabParametros[Ausências Legais])*tabCustoUnit[[#This Row],[MODULO 1 - REMUNERAÇÃO ]]</f>
        <v>1.671417936111111</v>
      </c>
      <c r="AW105" s="22">
        <f>SUMIF(tabParametros[Código do Posto],tabCustoUnit[[#This Row],[Código do Posto]],tabParametros[Licença Paternidade])*tabCustoUnit[[#This Row],[MODULO 1 - REMUNERAÇÃO ]]</f>
        <v>0.14081123708333332</v>
      </c>
      <c r="AX105" s="22">
        <f>SUMIF(tabParametros[Código do Posto],tabCustoUnit[[#This Row],[Código do Posto]],tabParametros[Ausência por Acidente de Trabalho])*tabCustoUnit[[#This Row],[MODULO 1 - REMUNERAÇÃO ]]</f>
        <v>0.17172102083333335</v>
      </c>
      <c r="AY105" s="22">
        <f>SUMIF(tabParametros[Código do Posto],tabCustoUnit[[#This Row],[Código do Posto]],tabParametros[Férias, Adicional de Férias e 13º  com empregada em gozo de Licença Maternidade])*tabCustoUnit[[#This Row],[MODULO 1 - REMUNERAÇÃO ]]</f>
        <v>1.0684863518518517</v>
      </c>
      <c r="AZ105" s="22">
        <f>SUMIF(tabParametros[Código do Posto],tabCustoUnit[[#This Row],[Código do Posto]],tabParametros[Incidência do Submódulo 2.1 sobre Ausências Legais])*tabCustoUnit[[#This Row],[MODULO 1 - REMUNERAÇÃO ]]</f>
        <v>3.7848618071425006</v>
      </c>
      <c r="BA105" s="22">
        <f>SUM(tabCustoUnit[[#This Row],[Ausência por Doença]:[Incidência do Submódulo 2.1 sobre Ausências Legais]])</f>
        <v>13.797723730799909</v>
      </c>
      <c r="BB105" s="22">
        <f>SUMIF(tabParametros[Código do Posto],tabCustoUnit[[#This Row],[Código do Posto]],tabParametros[Intervalo para Repouso ou Alimentação])</f>
        <v>0</v>
      </c>
      <c r="BC105" s="22">
        <f>tabCustoUnit[[#This Row],[Intervalo para Repouso ou Alimentação]]</f>
        <v>0</v>
      </c>
      <c r="BD105" s="22">
        <f>IF(VLOOKUP(tabCustoUnit[[#This Row],[Código do Posto]],PARAMETROS!$A$4:$BJ$255,7,0)&lt;=0,0,
IFERROR((tabCustoUnit[[#This Row],[MODULO 1 - REMUNERAÇÃO ]]*VLOOKUP(tabCustoUnit[[#This Row],[Código do Posto]],PARAMETROS!$A$4:$BJ$255,49,0))/(VLOOKUP(tabCustoUnit[[#This Row],[Código do Posto]],PARAMETROS!$A$4:$BJ$255,7,0)*VLOOKUP(tabCustoUnit[[#This Row],[Código do Posto]],PARAMETROS!$A$4:$BJ$255,8,0)),0)
)</f>
        <v>0</v>
      </c>
      <c r="BE105" s="22">
        <f>tabCustoUnit[[#This Row],[Suspensão Temporária do Contrato de Trabalho]]</f>
        <v>0</v>
      </c>
      <c r="BF105" s="22">
        <f>tabCustoUnit[[#This Row],[Submódulo 4.1]]+tabCustoUnit[[#This Row],[Submódulo 4.2]]+tabCustoUnit[[#This Row],[Submódulo 4.3]]</f>
        <v>13.797723730799909</v>
      </c>
      <c r="BG105" s="22">
        <f>VLOOKUP(tabCustoUnit[[#This Row],[Código do Posto]],tabParametros[],MATCH(tabCustoUnit[[#Headers],[Uniformes e EPIs]],tabParametros[#Headers],0),0)</f>
        <v>62.806666666666665</v>
      </c>
      <c r="BH105" s="22">
        <f>VLOOKUP(tabCustoUnit[[#This Row],[Código do Posto]],tabParametros[],MATCH(tabCustoUnit[[#Headers],[Materiais de Consumo]],tabParametros[#Headers],0),0)</f>
        <v>17.759106479291944</v>
      </c>
      <c r="BI105" s="22">
        <f>VLOOKUP(tabCustoUnit[[#This Row],[Código do Posto]],tabParametros[],MATCH(tabCustoUnit[[#Headers],[Máquinas e Equipamentos (depreciação)]],tabParametros[#Headers],0),0)</f>
        <v>32.264696957412788</v>
      </c>
      <c r="BJ105" s="22">
        <f>VLOOKUP(tabCustoUnit[[#This Row],[Código do Posto]],tabParametros[],MATCH(tabCustoUnit[[#Headers],[Produtos de Limpeza e Materiais de Higiene Pessoal]],tabParametros[#Headers],0),0)</f>
        <v>345.13576638965827</v>
      </c>
      <c r="BK105" s="22">
        <f>VLOOKUP(tabCustoUnit[[#This Row],[Código do Posto]],tabParametros[],MATCH(tabCustoUnit[[#Headers],[Outros (especificar)]],tabParametros[#Headers],0),0)</f>
        <v>0</v>
      </c>
      <c r="BL105" s="22">
        <f>SUM(tabCustoUnit[[#This Row],[Uniformes e EPIs]:[Outros (especificar)]])</f>
        <v>457.96623649302967</v>
      </c>
      <c r="BM105" s="22">
        <f>tabCustoUnit[[#This Row],[MODULO 1 - REMUNERAÇÃO ]]+tabCustoUnit[[#This Row],[MÓDULO 2 - Total Encargos e Benefícios mensais e diários]]+tabCustoUnit[[#This Row],[MÓDULO 3 – PROVISÃO PARA RESCISÃO]]+tabCustoUnit[[#This Row],[MÓDULO 4 – CUSTO DE REPOSIÇÃO DO PROFISSIONAL AUSENTE]]+tabCustoUnit[[#This Row],[MÓDULO 5 – INSUMOS DIVERSOS]]</f>
        <v>2710.0964025844678</v>
      </c>
      <c r="BN105" s="22">
        <f>VLOOKUP(tabCustoUnit[[#This Row],[Código do Posto]],tabParametros[],MATCH(tabCustoUnit[[#Headers],[Custos Indiretos]],tabParametros[#Headers],0),0)</f>
        <v>189.64880140242613</v>
      </c>
      <c r="BO105" s="22">
        <f>VLOOKUP(tabCustoUnit[[#This Row],[Código do Posto]],tabParametros[],MATCH(tabCustoUnit[[#Headers],[Lucro]],tabParametros[#Headers],0),0)</f>
        <v>159.30499317803796</v>
      </c>
      <c r="BP105" s="26">
        <f>((100/((1-tabCustoUnit[[#This Row],[Resumo de Alíquotas (PIS+CONFINS+ISS)]]))-100)*VLOOKUP(tabCustoUnit[[#This Row],[Código do Posto]],tabParametros[],MATCH(tabCustoUnit[[#Headers],[COFINS]],tabParametros[#Headers],0),0))/(tabCustoUnit[[#This Row],[Resumo de Alíquotas (PIS+CONFINS+ISS)]]*100)</f>
        <v>8.5633802816901458E-2</v>
      </c>
      <c r="BQ105" s="26">
        <f>((100/((100-(tabCustoUnit[[#This Row],[Resumo de Alíquotas (PIS+CONFINS+ISS)]]*100))%)-100)*VLOOKUP(tabCustoUnit[[#This Row],[Código do Posto]],tabParametros[],MATCH(tabCustoUnit[[#Headers],[PIS]],tabParametros[#Headers],0),0))/(tabCustoUnit[[#This Row],[Resumo de Alíquotas (PIS+CONFINS+ISS)]]*100)</f>
        <v>1.8591549295774657E-2</v>
      </c>
      <c r="BR105" s="28">
        <f>VLOOKUP(tabCustoUnit[[#This Row],[Código do Posto]],tabParametros[],MATCH(tabCustoUnit[[#Headers],[ISS]],tabParametros[#Headers],0),0)</f>
        <v>0.02</v>
      </c>
      <c r="BS105" s="26">
        <f>(((100/((100-(tabCustoUnit[[#This Row],[Resumo de Alíquotas (PIS+CONFINS+ISS)]]*100))%)-100)*tabCustoUnit[[#This Row],[ISS]])/tabCustoUnit[[#This Row],[Resumo de Alíquotas (PIS+CONFINS+ISS)]])/100</f>
        <v>2.2535211267605645E-2</v>
      </c>
      <c r="BT105" s="26">
        <f>(VLOOKUP(tabCustoUnit[[#This Row],[Código do Posto]],tabParametros[],MATCH(tabCustoUnit[[#Headers],[COFINS]],tabParametros[#Headers],0),0)+
VLOOKUP(tabCustoUnit[[#This Row],[Código do Posto]],tabParametros[],MATCH(tabCustoUnit[[#Headers],[PIS]],tabParametros[#Headers],0),0)+
VLOOKUP(tabCustoUnit[[#This Row],[Código do Posto]],tabParametros[],MATCH(tabCustoUnit[[#Headers],[ISS]],tabParametros[#Headers],0),0))</f>
        <v>0.1125</v>
      </c>
      <c r="BU105" s="138">
        <f>tabCustoUnit[[#This Row],[COFINS]]+tabCustoUnit[[#This Row],[PIS]]+tabCustoUnit[[#This Row],[ISS (Conversão Alíquota s/ fatura)]]</f>
        <v>0.12676056338028174</v>
      </c>
      <c r="BV105" s="22">
        <f>(tabCustoUnit[[#This Row],[TOTAL MÓDULOS 1+2+3+4+5]]+tabCustoUnit[[#This Row],[Custos Indiretos]]+tabCustoUnit[[#This Row],[Lucro]])*tabCustoUnit[[#This Row],[PIS + COFINS + ISS (Total Conversão  Alíquota s/ Fatura)]]</f>
        <v>387.7669264011887</v>
      </c>
      <c r="BW105" s="22">
        <f>tabCustoUnit[[#This Row],[Custos Indiretos]]+tabCustoUnit[[#This Row],[Lucro]]+tabCustoUnit[[#This Row],[Valor dos Tributos (ISS, PIS, CONFINS)]]</f>
        <v>736.72072098165279</v>
      </c>
      <c r="BX105" s="22">
        <f>tabCustoUnit[[#This Row],[TOTAL MÓDULOS 1+2+3+4+5]]+tabCustoUnit[[#This Row],[MÓDULO 6 – CUSTOS INDIRETOS, TRIBUTOS E LUCRO]]</f>
        <v>3446.8171235661207</v>
      </c>
      <c r="BY105" s="22">
        <f>tabCustoUnit[[#This Row],[CUSTO TOTAL MENSAL]]*12</f>
        <v>41361.805482793447</v>
      </c>
      <c r="BZ105" s="24">
        <f>VLOOKUP(tabCustoUnit[[#This Row],[Código do Posto]],tabParametros[],MATCH(tabCustoUnit[[#Headers],[ANO DA CCT]],tabParametros[#Headers],0),0)</f>
        <v>45658</v>
      </c>
      <c r="CA105" s="25" t="str">
        <f>VLOOKUP(tabCustoUnit[[#This Row],[Código do Posto]],tabParametros[],MATCH(tabCustoUnit[[#Headers],[Nº DE PEDIDO DA CCT]],tabParametros[#Headers],0),0)</f>
        <v>-</v>
      </c>
      <c r="CB105" s="25" t="str">
        <f>VLOOKUP(tabCustoUnit[[#This Row],[Código do Posto]],tabParametros[],MATCH(tabCustoUnit[[#Headers],[TERMO ADITIVO ALTERAÇÃO DA CCT]],tabParametros[#Headers],0),0)</f>
        <v>-</v>
      </c>
    </row>
    <row r="106" spans="1:80" x14ac:dyDescent="0.25">
      <c r="A106" s="20" t="s">
        <v>1445</v>
      </c>
      <c r="B106" t="s">
        <v>98</v>
      </c>
      <c r="C106" t="s">
        <v>1246</v>
      </c>
      <c r="D106" t="s">
        <v>1000</v>
      </c>
      <c r="E106" s="20" t="s">
        <v>9</v>
      </c>
      <c r="F106" s="20" t="s">
        <v>10</v>
      </c>
      <c r="G106" s="21">
        <v>1088.3699999999999</v>
      </c>
      <c r="H106" s="21">
        <v>0</v>
      </c>
      <c r="I106" s="21">
        <v>0</v>
      </c>
      <c r="J106" s="21">
        <v>0</v>
      </c>
      <c r="K106" s="21">
        <v>0</v>
      </c>
      <c r="L106" s="21">
        <v>0</v>
      </c>
      <c r="M106" s="21">
        <v>0</v>
      </c>
      <c r="N106" s="21">
        <v>39.1813</v>
      </c>
      <c r="O106" s="21">
        <f>SUM(tabCustoUnit[[#This Row],[Salário Base]:[Adicional de Acúmulo de função]])</f>
        <v>1127.5512999999999</v>
      </c>
      <c r="P106" s="21">
        <f>tabCustoUnit[[#This Row],[MODULO 1 - REMUNERAÇÃO ]]*SUMIFS(tabParametros[INSS],tabParametros[Código do Posto],tabCustoUnit[[#This Row],[Código do Posto]])</f>
        <v>225.51025999999999</v>
      </c>
      <c r="Q106" s="21">
        <f>tabCustoUnit[[#This Row],[MODULO 1 - REMUNERAÇÃO ]]*SUMIFS(tabParametros[SESI OU SESC],tabParametros[Código do Posto],tabCustoUnit[[#This Row],[Código do Posto]])</f>
        <v>16.913269499999998</v>
      </c>
      <c r="R106" s="21">
        <f>tabCustoUnit[[#This Row],[MODULO 1 - REMUNERAÇÃO ]]*SUMIFS(tabParametros[SENAI OU SENAC],tabParametros[Código do Posto],tabCustoUnit[[#This Row],[Código do Posto]])</f>
        <v>11.275512999999998</v>
      </c>
      <c r="S106" s="21">
        <f>tabCustoUnit[[#This Row],[MODULO 1 - REMUNERAÇÃO ]]*SUMIFS(tabParametros[INCRA],tabParametros[Código do Posto],tabCustoUnit[[#This Row],[Código do Posto]])</f>
        <v>2.2551025999999998</v>
      </c>
      <c r="T106" s="21">
        <f>tabCustoUnit[[#This Row],[MODULO 1 - REMUNERAÇÃO ]]*SUMIFS(tabParametros[Salário Educação],tabParametros[Código do Posto],tabCustoUnit[[#This Row],[Código do Posto]])</f>
        <v>28.188782499999999</v>
      </c>
      <c r="U106" s="21">
        <f>tabCustoUnit[[#This Row],[MODULO 1 - REMUNERAÇÃO ]]*SUMIFS(tabParametros[FGTS],tabParametros[Código do Posto],tabCustoUnit[[#This Row],[Código do Posto]])</f>
        <v>90.204103999999987</v>
      </c>
      <c r="V106" s="21">
        <f>tabCustoUnit[[#This Row],[MODULO 1 - REMUNERAÇÃO ]]*SUMIFS(tabParametros[RAT Ajustado],tabParametros[Código do Posto],tabCustoUnit[[#This Row],[Código do Posto]])</f>
        <v>45.102051999999993</v>
      </c>
      <c r="W106" s="21">
        <f>tabCustoUnit[[#This Row],[MODULO 1 - REMUNERAÇÃO ]]*SUMIFS(tabParametros[SEBRAE],tabParametros[Código do Posto],tabCustoUnit[[#This Row],[Código do Posto]])</f>
        <v>6.7653077999999995</v>
      </c>
      <c r="X106" s="21">
        <f>SUM(tabCustoUnit[[#This Row],[INSS]:[SEBRAE]])</f>
        <v>426.21439139999995</v>
      </c>
      <c r="Y106" s="21">
        <f>tabCustoUnit[[#This Row],[MODULO 1 - REMUNERAÇÃO ]]*SUMIFS(tabParametros[13º salário (titular)],tabParametros[Código do Posto],tabCustoUnit[[#This Row],[Código do Posto]])</f>
        <v>93.962608333333321</v>
      </c>
      <c r="Z106" s="21">
        <f>tabCustoUnit[[#This Row],[MODULO 1 - REMUNERAÇÃO ]]*SUMIFS(tabParametros[Férias e Adicional de Férias (titular)],tabParametros[Código do Posto],tabCustoUnit[[#This Row],[Código do Posto]])</f>
        <v>125.28347777777776</v>
      </c>
      <c r="AA106" s="21">
        <f>IFERROR((tabCustoUnit[[#This Row],[Submódulo 2.1]]/tabCustoUnit[[#This Row],[MODULO 1 - REMUNERAÇÃO ]])*SUM(tabCustoUnit[[#This Row],[13º salário (titular)]:[Férias e Adicional de Férias (titular)]]),0)</f>
        <v>82.875020549999988</v>
      </c>
      <c r="AB106" s="21">
        <f>SUM(tabCustoUnit[[#This Row],[13º salário (titular)]:[Incidência do Submódulo 2.1 sobre 13º Salário, Férias e Adicional de Férias]])</f>
        <v>302.12110666111107</v>
      </c>
      <c r="AC106" s="22">
        <f>_xlfn.LET(_xlpm.VT,SUMIF(tabParametros[Código do Posto],tabCustoUnit[[#This Row],[Código do Posto]],tabParametros[Vale - Transporte])*2*20,
IF((_xlpm.VT-tabCustoUnit[[#This Row],[Salário Base]]*0.06)&gt;=0,(_xlpm.VT-tabCustoUnit[[#This Row],[Salário Base]]*0.06),0)
)</f>
        <v>190.69780000000003</v>
      </c>
      <c r="AD106" s="22">
        <f>IF(SUMIF(tabParametros[Código do Posto],tabCustoUnit[[#This Row],[Código do Posto]],tabParametros[Vale - Alimentação])&lt;=0,0,
SUMIF(tabParametros[Código do Posto],tabCustoUnit[[#This Row],[Código do Posto]],tabParametros[Vale - Alimentação])*20-1)</f>
        <v>582</v>
      </c>
      <c r="AE106" s="22">
        <f>SUMIF(tabParametros[Código do Posto],tabCustoUnit[[#This Row],[Código do Posto]],tabParametros[Cesta Básica])</f>
        <v>0</v>
      </c>
      <c r="AF106" s="22">
        <f>SUMIF(tabParametros[Código do Posto],tabCustoUnit[[#This Row],[Código do Posto]],tabParametros[PAF])</f>
        <v>0</v>
      </c>
      <c r="AG106" s="22">
        <f>SUMIF(tabParametros[Código do Posto],tabCustoUnit[[#This Row],[Código do Posto]],tabParametros[PQM])</f>
        <v>15.07</v>
      </c>
      <c r="AH106" s="22">
        <f>SUMIF(tabParametros[Código do Posto],tabCustoUnit[[#This Row],[Código do Posto]],tabParametros[PAT])</f>
        <v>0</v>
      </c>
      <c r="AI106" s="22">
        <f>SUMIF(tabParametros[Código do Posto],tabCustoUnit[[#This Row],[Código do Posto]],tabParametros[Seguro de Vida])</f>
        <v>3.36</v>
      </c>
      <c r="AJ106" s="22">
        <f>SUMIF(tabParametros[Código do Posto],tabCustoUnit[[#This Row],[Código do Posto]],tabParametros[Despesas de Viagem])</f>
        <v>0</v>
      </c>
      <c r="AK106" s="22">
        <f>SUM(tabCustoUnit[[#This Row],[Vale - Transporte (Descontada parcela do empregado)]:[Despesas de Viagem]])</f>
        <v>791.12780000000009</v>
      </c>
      <c r="AL106" s="22">
        <f>tabCustoUnit[[#This Row],[Submódulo 2.1]]+tabCustoUnit[[#This Row],[Submódulo 2.2]]+tabCustoUnit[[#This Row],[Submódulo 2.3]]</f>
        <v>1519.4632980611111</v>
      </c>
      <c r="AM106" s="22">
        <f>SUMIF(tabParametros[Código do Posto],tabCustoUnit[[#This Row],[Código do Posto]],tabParametros[Aviso Prévio Indenizado (API) e Reflexo do Aviso Prévio Indenizado])*tabCustoUnit[[#This Row],[MODULO 1 - REMUNERAÇÃO ]]</f>
        <v>7.9061269683063262</v>
      </c>
      <c r="AN106" s="22">
        <f>SUMIF(tabParametros[Código do Posto],tabCustoUnit[[#This Row],[Código do Posto]],tabParametros[Incidência do FGTS sobre API e Reflexo do API])*tabCustoUnit[[#This Row],[MODULO 1 - REMUNERAÇÃO ]]</f>
        <v>0.6324901574645061</v>
      </c>
      <c r="AO106" s="22">
        <f>SUMIF(tabParametros[Código do Posto],tabCustoUnit[[#This Row],[Código do Posto]],tabParametros[Multa Rescisória do FGTS sobre o Aviso Prévio Indenizado])*tabCustoUnit[[#This Row],[MODULO 1 - REMUNERAÇÃO ]]</f>
        <v>0.25299606298580246</v>
      </c>
      <c r="AP106" s="22">
        <f>SUMIF(tabParametros[Código do Posto],tabCustoUnit[[#This Row],[Código do Posto]],tabParametros[Aviso Prévio Trabalhado - APT])*tabCustoUnit[[#This Row],[MODULO 1 - REMUNERAÇÃO ]]</f>
        <v>3.94642955</v>
      </c>
      <c r="AQ106" s="22">
        <f>SUMIF(tabParametros[Código do Posto],tabCustoUnit[[#This Row],[Código do Posto]],tabParametros[Incidência dos encargos do submódulo 2.1 sobre Aviso Prévio Trabalhado])*tabCustoUnit[[#This Row],[MODULO 1 - REMUNERAÇÃO ]]</f>
        <v>1.4917503699000003</v>
      </c>
      <c r="AR106" s="22">
        <f>SUMIF(tabParametros[Código do Posto],tabCustoUnit[[#This Row],[Código do Posto]],tabParametros[Multa Rescisória do FGTS])*tabCustoUnit[[#This Row],[MODULO 1 - REMUNERAÇÃO ]]</f>
        <v>34.478013084444434</v>
      </c>
      <c r="AS106" s="22">
        <f>SUMIF(tabParametros[Código do Posto],tabCustoUnit[[#This Row],[Código do Posto]],tabParametros[Indenização Adicional (Art. 9º da Lei nº 7.238/84)])*tabCustoUnit[[#This Row],[MODULO 1 - REMUNERAÇÃO ]]</f>
        <v>0.93962608333333331</v>
      </c>
      <c r="AT106" s="22">
        <f>SUM(tabCustoUnit[[#This Row],[Aviso Prévio Indenizado (API) e Reflexo do Aviso Prévio Indenizado]:[Indenização Adicional (Art. 9º da Lei nº 7.238/84)]])</f>
        <v>49.647432276434401</v>
      </c>
      <c r="AU106" s="22">
        <f>SUMIF(tabParametros[Código do Posto],tabCustoUnit[[#This Row],[Código do Posto]],tabParametros[Ausência por Doença])*tabCustoUnit[[#This Row],[MODULO 1 - REMUNERAÇÃO ]]</f>
        <v>9.5215443111111089</v>
      </c>
      <c r="AV106" s="22">
        <f>SUMIF(tabParametros[Código do Posto],tabCustoUnit[[#This Row],[Código do Posto]],tabParametros[Ausências Legais])*tabCustoUnit[[#This Row],[MODULO 1 - REMUNERAÇÃO ]]</f>
        <v>2.2864234694444439</v>
      </c>
      <c r="AW106" s="22">
        <f>SUMIF(tabParametros[Código do Posto],tabCustoUnit[[#This Row],[Código do Posto]],tabParametros[Licença Paternidade])*tabCustoUnit[[#This Row],[MODULO 1 - REMUNERAÇÃO ]]</f>
        <v>0.19262334708333331</v>
      </c>
      <c r="AX106" s="22">
        <f>SUMIF(tabParametros[Código do Posto],tabCustoUnit[[#This Row],[Código do Posto]],tabParametros[Ausência por Acidente de Trabalho])*tabCustoUnit[[#This Row],[MODULO 1 - REMUNERAÇÃO ]]</f>
        <v>0.23490652083333333</v>
      </c>
      <c r="AY106" s="22">
        <f>SUMIF(tabParametros[Código do Posto],tabCustoUnit[[#This Row],[Código do Posto]],tabParametros[Férias, Adicional de Férias e 13º  com empregada em gozo de Licença Maternidade])*tabCustoUnit[[#This Row],[MODULO 1 - REMUNERAÇÃO ]]</f>
        <v>1.4616405740740739</v>
      </c>
      <c r="AZ106" s="22">
        <f>SUMIF(tabParametros[Código do Posto],tabCustoUnit[[#This Row],[Código do Posto]],tabParametros[Incidência do Submódulo 2.1 sobre Ausências Legais])*tabCustoUnit[[#This Row],[MODULO 1 - REMUNERAÇÃO ]]</f>
        <v>5.1775182481225004</v>
      </c>
      <c r="BA106" s="22">
        <f>SUM(tabCustoUnit[[#This Row],[Ausência por Doença]:[Incidência do Submódulo 2.1 sobre Ausências Legais]])</f>
        <v>18.874656470668793</v>
      </c>
      <c r="BB106" s="22">
        <f>SUMIF(tabParametros[Código do Posto],tabCustoUnit[[#This Row],[Código do Posto]],tabParametros[Intervalo para Repouso ou Alimentação])</f>
        <v>0</v>
      </c>
      <c r="BC106" s="22">
        <f>tabCustoUnit[[#This Row],[Intervalo para Repouso ou Alimentação]]</f>
        <v>0</v>
      </c>
      <c r="BD106" s="22">
        <f>IF(VLOOKUP(tabCustoUnit[[#This Row],[Código do Posto]],PARAMETROS!$A$4:$BJ$255,7,0)&lt;=0,0,
IFERROR((tabCustoUnit[[#This Row],[MODULO 1 - REMUNERAÇÃO ]]*VLOOKUP(tabCustoUnit[[#This Row],[Código do Posto]],PARAMETROS!$A$4:$BJ$255,49,0))/(VLOOKUP(tabCustoUnit[[#This Row],[Código do Posto]],PARAMETROS!$A$4:$BJ$255,7,0)*VLOOKUP(tabCustoUnit[[#This Row],[Código do Posto]],PARAMETROS!$A$4:$BJ$255,8,0)),0)
)</f>
        <v>0</v>
      </c>
      <c r="BE106" s="22">
        <f>tabCustoUnit[[#This Row],[Suspensão Temporária do Contrato de Trabalho]]</f>
        <v>0</v>
      </c>
      <c r="BF106" s="22">
        <f>tabCustoUnit[[#This Row],[Submódulo 4.1]]+tabCustoUnit[[#This Row],[Submódulo 4.2]]+tabCustoUnit[[#This Row],[Submódulo 4.3]]</f>
        <v>18.874656470668793</v>
      </c>
      <c r="BG106" s="22">
        <f>VLOOKUP(tabCustoUnit[[#This Row],[Código do Posto]],tabParametros[],MATCH(tabCustoUnit[[#Headers],[Uniformes e EPIs]],tabParametros[#Headers],0),0)</f>
        <v>100.80916666666666</v>
      </c>
      <c r="BH106" s="22">
        <f>VLOOKUP(tabCustoUnit[[#This Row],[Código do Posto]],tabParametros[],MATCH(tabCustoUnit[[#Headers],[Materiais de Consumo]],tabParametros[#Headers],0),0)</f>
        <v>24.216963380852651</v>
      </c>
      <c r="BI106" s="22">
        <f>VLOOKUP(tabCustoUnit[[#This Row],[Código do Posto]],tabParametros[],MATCH(tabCustoUnit[[#Headers],[Máquinas e Equipamentos (depreciação)]],tabParametros[#Headers],0),0)</f>
        <v>43.997314032835618</v>
      </c>
      <c r="BJ106" s="22">
        <f>VLOOKUP(tabCustoUnit[[#This Row],[Código do Posto]],tabParametros[],MATCH(tabCustoUnit[[#Headers],[Produtos de Limpeza e Materiais de Higiene Pessoal]],tabParametros[#Headers],0),0)</f>
        <v>470.6396814404431</v>
      </c>
      <c r="BK106" s="22">
        <f>VLOOKUP(tabCustoUnit[[#This Row],[Código do Posto]],tabParametros[],MATCH(tabCustoUnit[[#Headers],[Outros (especificar)]],tabParametros[#Headers],0),0)</f>
        <v>0</v>
      </c>
      <c r="BL106" s="22">
        <f>SUM(tabCustoUnit[[#This Row],[Uniformes e EPIs]:[Outros (especificar)]])</f>
        <v>639.66312552079808</v>
      </c>
      <c r="BM106" s="22">
        <f>tabCustoUnit[[#This Row],[MODULO 1 - REMUNERAÇÃO ]]+tabCustoUnit[[#This Row],[MÓDULO 2 - Total Encargos e Benefícios mensais e diários]]+tabCustoUnit[[#This Row],[MÓDULO 3 – PROVISÃO PARA RESCISÃO]]+tabCustoUnit[[#This Row],[MÓDULO 4 – CUSTO DE REPOSIÇÃO DO PROFISSIONAL AUSENTE]]+tabCustoUnit[[#This Row],[MÓDULO 5 – INSUMOS DIVERSOS]]</f>
        <v>3355.1998123290123</v>
      </c>
      <c r="BN106" s="22">
        <f>VLOOKUP(tabCustoUnit[[#This Row],[Código do Posto]],tabParametros[],MATCH(tabCustoUnit[[#Headers],[Custos Indiretos]],tabParametros[#Headers],0),0)</f>
        <v>189.64880140242613</v>
      </c>
      <c r="BO106" s="22">
        <f>VLOOKUP(tabCustoUnit[[#This Row],[Código do Posto]],tabParametros[],MATCH(tabCustoUnit[[#Headers],[Lucro]],tabParametros[#Headers],0),0)</f>
        <v>159.30499317803796</v>
      </c>
      <c r="BP106" s="26">
        <f>((100/((1-tabCustoUnit[[#This Row],[Resumo de Alíquotas (PIS+CONFINS+ISS)]]))-100)*VLOOKUP(tabCustoUnit[[#This Row],[Código do Posto]],tabParametros[],MATCH(tabCustoUnit[[#Headers],[COFINS]],tabParametros[#Headers],0),0))/(tabCustoUnit[[#This Row],[Resumo de Alíquotas (PIS+CONFINS+ISS)]]*100)</f>
        <v>8.6118980169971604E-2</v>
      </c>
      <c r="BQ106" s="26">
        <f>((100/((100-(tabCustoUnit[[#This Row],[Resumo de Alíquotas (PIS+CONFINS+ISS)]]*100))%)-100)*VLOOKUP(tabCustoUnit[[#This Row],[Código do Posto]],tabParametros[],MATCH(tabCustoUnit[[#Headers],[PIS]],tabParametros[#Headers],0),0))/(tabCustoUnit[[#This Row],[Resumo de Alíquotas (PIS+CONFINS+ISS)]]*100)</f>
        <v>1.8696883852691224E-2</v>
      </c>
      <c r="BR106" s="28">
        <f>VLOOKUP(tabCustoUnit[[#This Row],[Código do Posto]],tabParametros[],MATCH(tabCustoUnit[[#Headers],[ISS]],tabParametros[#Headers],0),0)</f>
        <v>2.5000000000000001E-2</v>
      </c>
      <c r="BS106" s="26">
        <f>(((100/((100-(tabCustoUnit[[#This Row],[Resumo de Alíquotas (PIS+CONFINS+ISS)]]*100))%)-100)*tabCustoUnit[[#This Row],[ISS]])/tabCustoUnit[[#This Row],[Resumo de Alíquotas (PIS+CONFINS+ISS)]])/100</f>
        <v>2.8328611898017008E-2</v>
      </c>
      <c r="BT106" s="26">
        <f>(VLOOKUP(tabCustoUnit[[#This Row],[Código do Posto]],tabParametros[],MATCH(tabCustoUnit[[#Headers],[COFINS]],tabParametros[#Headers],0),0)+
VLOOKUP(tabCustoUnit[[#This Row],[Código do Posto]],tabParametros[],MATCH(tabCustoUnit[[#Headers],[PIS]],tabParametros[#Headers],0),0)+
VLOOKUP(tabCustoUnit[[#This Row],[Código do Posto]],tabParametros[],MATCH(tabCustoUnit[[#Headers],[ISS]],tabParametros[#Headers],0),0))</f>
        <v>0.11749999999999999</v>
      </c>
      <c r="BU106" s="138">
        <f>tabCustoUnit[[#This Row],[COFINS]]+tabCustoUnit[[#This Row],[PIS]]+tabCustoUnit[[#This Row],[ISS (Conversão Alíquota s/ fatura)]]</f>
        <v>0.13314447592067982</v>
      </c>
      <c r="BV106" s="22">
        <f>(tabCustoUnit[[#This Row],[TOTAL MÓDULOS 1+2+3+4+5]]+tabCustoUnit[[#This Row],[Custos Indiretos]]+tabCustoUnit[[#This Row],[Lucro]])*tabCustoUnit[[#This Row],[PIS + COFINS + ISS (Total Conversão  Alíquota s/ Fatura)]]</f>
        <v>493.18759072165807</v>
      </c>
      <c r="BW106" s="22">
        <f>tabCustoUnit[[#This Row],[Custos Indiretos]]+tabCustoUnit[[#This Row],[Lucro]]+tabCustoUnit[[#This Row],[Valor dos Tributos (ISS, PIS, CONFINS)]]</f>
        <v>842.14138530212222</v>
      </c>
      <c r="BX106" s="22">
        <f>tabCustoUnit[[#This Row],[TOTAL MÓDULOS 1+2+3+4+5]]+tabCustoUnit[[#This Row],[MÓDULO 6 – CUSTOS INDIRETOS, TRIBUTOS E LUCRO]]</f>
        <v>4197.3411976311345</v>
      </c>
      <c r="BY106" s="22">
        <f>tabCustoUnit[[#This Row],[CUSTO TOTAL MENSAL]]*12</f>
        <v>50368.094371573614</v>
      </c>
      <c r="BZ106" s="24">
        <f>VLOOKUP(tabCustoUnit[[#This Row],[Código do Posto]],tabParametros[],MATCH(tabCustoUnit[[#Headers],[ANO DA CCT]],tabParametros[#Headers],0),0)</f>
        <v>45658</v>
      </c>
      <c r="CA106" s="25" t="str">
        <f>VLOOKUP(tabCustoUnit[[#This Row],[Código do Posto]],tabParametros[],MATCH(tabCustoUnit[[#Headers],[Nº DE PEDIDO DA CCT]],tabParametros[#Headers],0),0)</f>
        <v>-</v>
      </c>
      <c r="CB106" s="25" t="str">
        <f>VLOOKUP(tabCustoUnit[[#This Row],[Código do Posto]],tabParametros[],MATCH(tabCustoUnit[[#Headers],[TERMO ADITIVO ALTERAÇÃO DA CCT]],tabParametros[#Headers],0),0)</f>
        <v>-</v>
      </c>
    </row>
    <row r="107" spans="1:80" x14ac:dyDescent="0.25">
      <c r="A107" s="20" t="s">
        <v>1446</v>
      </c>
      <c r="B107" t="s">
        <v>99</v>
      </c>
      <c r="C107" t="s">
        <v>1247</v>
      </c>
      <c r="D107" t="s">
        <v>992</v>
      </c>
      <c r="E107" s="20" t="s">
        <v>9</v>
      </c>
      <c r="F107" s="20" t="s">
        <v>10</v>
      </c>
      <c r="G107" s="21">
        <v>544.17999999999995</v>
      </c>
      <c r="H107" s="21">
        <v>0</v>
      </c>
      <c r="I107" s="21">
        <v>0</v>
      </c>
      <c r="J107" s="21">
        <v>0</v>
      </c>
      <c r="K107" s="21">
        <v>0</v>
      </c>
      <c r="L107" s="21">
        <v>0</v>
      </c>
      <c r="M107" s="21">
        <v>0</v>
      </c>
      <c r="N107" s="21">
        <v>19.590499999999999</v>
      </c>
      <c r="O107" s="21">
        <f>SUM(tabCustoUnit[[#This Row],[Salário Base]:[Adicional de Acúmulo de função]])</f>
        <v>563.77049999999997</v>
      </c>
      <c r="P107" s="21">
        <f>tabCustoUnit[[#This Row],[MODULO 1 - REMUNERAÇÃO ]]*SUMIFS(tabParametros[INSS],tabParametros[Código do Posto],tabCustoUnit[[#This Row],[Código do Posto]])</f>
        <v>112.75409999999999</v>
      </c>
      <c r="Q107" s="21">
        <f>tabCustoUnit[[#This Row],[MODULO 1 - REMUNERAÇÃO ]]*SUMIFS(tabParametros[SESI OU SESC],tabParametros[Código do Posto],tabCustoUnit[[#This Row],[Código do Posto]])</f>
        <v>8.4565574999999988</v>
      </c>
      <c r="R107" s="21">
        <f>tabCustoUnit[[#This Row],[MODULO 1 - REMUNERAÇÃO ]]*SUMIFS(tabParametros[SENAI OU SENAC],tabParametros[Código do Posto],tabCustoUnit[[#This Row],[Código do Posto]])</f>
        <v>5.6377049999999995</v>
      </c>
      <c r="S107" s="21">
        <f>tabCustoUnit[[#This Row],[MODULO 1 - REMUNERAÇÃO ]]*SUMIFS(tabParametros[INCRA],tabParametros[Código do Posto],tabCustoUnit[[#This Row],[Código do Posto]])</f>
        <v>1.1275409999999999</v>
      </c>
      <c r="T107" s="21">
        <f>tabCustoUnit[[#This Row],[MODULO 1 - REMUNERAÇÃO ]]*SUMIFS(tabParametros[Salário Educação],tabParametros[Código do Posto],tabCustoUnit[[#This Row],[Código do Posto]])</f>
        <v>14.094262499999999</v>
      </c>
      <c r="U107" s="21">
        <f>tabCustoUnit[[#This Row],[MODULO 1 - REMUNERAÇÃO ]]*SUMIFS(tabParametros[FGTS],tabParametros[Código do Posto],tabCustoUnit[[#This Row],[Código do Posto]])</f>
        <v>45.101639999999996</v>
      </c>
      <c r="V107" s="21">
        <f>tabCustoUnit[[#This Row],[MODULO 1 - REMUNERAÇÃO ]]*SUMIFS(tabParametros[RAT Ajustado],tabParametros[Código do Posto],tabCustoUnit[[#This Row],[Código do Posto]])</f>
        <v>22.550819999999998</v>
      </c>
      <c r="W107" s="21">
        <f>tabCustoUnit[[#This Row],[MODULO 1 - REMUNERAÇÃO ]]*SUMIFS(tabParametros[SEBRAE],tabParametros[Código do Posto],tabCustoUnit[[#This Row],[Código do Posto]])</f>
        <v>3.3826229999999997</v>
      </c>
      <c r="X107" s="21">
        <f>SUM(tabCustoUnit[[#This Row],[INSS]:[SEBRAE]])</f>
        <v>213.10524899999996</v>
      </c>
      <c r="Y107" s="21">
        <f>tabCustoUnit[[#This Row],[MODULO 1 - REMUNERAÇÃO ]]*SUMIFS(tabParametros[13º salário (titular)],tabParametros[Código do Posto],tabCustoUnit[[#This Row],[Código do Posto]])</f>
        <v>46.980874999999997</v>
      </c>
      <c r="Z107" s="21">
        <f>tabCustoUnit[[#This Row],[MODULO 1 - REMUNERAÇÃO ]]*SUMIFS(tabParametros[Férias e Adicional de Férias (titular)],tabParametros[Código do Posto],tabCustoUnit[[#This Row],[Código do Posto]])</f>
        <v>62.641166666666663</v>
      </c>
      <c r="AA107" s="21">
        <f>IFERROR((tabCustoUnit[[#This Row],[Submódulo 2.1]]/tabCustoUnit[[#This Row],[MODULO 1 - REMUNERAÇÃO ]])*SUM(tabCustoUnit[[#This Row],[13º salário (titular)]:[Férias e Adicional de Férias (titular)]]),0)</f>
        <v>41.437131749999992</v>
      </c>
      <c r="AB107" s="21">
        <f>SUM(tabCustoUnit[[#This Row],[13º salário (titular)]:[Incidência do Submódulo 2.1 sobre 13º Salário, Férias e Adicional de Férias]])</f>
        <v>151.05917341666665</v>
      </c>
      <c r="AC107" s="22">
        <f>_xlfn.LET(_xlpm.VT,SUMIF(tabParametros[Código do Posto],tabCustoUnit[[#This Row],[Código do Posto]],tabParametros[Vale - Transporte])*2*20,
IF((_xlpm.VT-tabCustoUnit[[#This Row],[Salário Base]]*0.06)&gt;=0,(_xlpm.VT-tabCustoUnit[[#This Row],[Salário Base]]*0.06),0)
)</f>
        <v>223.3492</v>
      </c>
      <c r="AD107" s="22">
        <f>IF(SUMIF(tabParametros[Código do Posto],tabCustoUnit[[#This Row],[Código do Posto]],tabParametros[Vale - Alimentação])&lt;=0,0,
SUMIF(tabParametros[Código do Posto],tabCustoUnit[[#This Row],[Código do Posto]],tabParametros[Vale - Alimentação])*20-1)</f>
        <v>0</v>
      </c>
      <c r="AE107" s="22">
        <f>SUMIF(tabParametros[Código do Posto],tabCustoUnit[[#This Row],[Código do Posto]],tabParametros[Cesta Básica])</f>
        <v>387.79</v>
      </c>
      <c r="AF107" s="22">
        <f>SUMIF(tabParametros[Código do Posto],tabCustoUnit[[#This Row],[Código do Posto]],tabParametros[PAF])</f>
        <v>42.97</v>
      </c>
      <c r="AG107" s="22">
        <f>SUMIF(tabParametros[Código do Posto],tabCustoUnit[[#This Row],[Código do Posto]],tabParametros[PQM])</f>
        <v>0</v>
      </c>
      <c r="AH107" s="22">
        <f>SUMIF(tabParametros[Código do Posto],tabCustoUnit[[#This Row],[Código do Posto]],tabParametros[PAT])</f>
        <v>0</v>
      </c>
      <c r="AI107" s="22">
        <f>SUMIF(tabParametros[Código do Posto],tabCustoUnit[[#This Row],[Código do Posto]],tabParametros[Seguro de Vida])</f>
        <v>3.36</v>
      </c>
      <c r="AJ107" s="22">
        <f>SUMIF(tabParametros[Código do Posto],tabCustoUnit[[#This Row],[Código do Posto]],tabParametros[Despesas de Viagem])</f>
        <v>0</v>
      </c>
      <c r="AK107" s="22">
        <f>SUM(tabCustoUnit[[#This Row],[Vale - Transporte (Descontada parcela do empregado)]:[Despesas de Viagem]])</f>
        <v>657.46920000000011</v>
      </c>
      <c r="AL107" s="22">
        <f>tabCustoUnit[[#This Row],[Submódulo 2.1]]+tabCustoUnit[[#This Row],[Submódulo 2.2]]+tabCustoUnit[[#This Row],[Submódulo 2.3]]</f>
        <v>1021.6336224166668</v>
      </c>
      <c r="AM107" s="22">
        <f>SUMIF(tabParametros[Código do Posto],tabCustoUnit[[#This Row],[Código do Posto]],tabParametros[Aviso Prévio Indenizado (API) e Reflexo do Aviso Prévio Indenizado])*tabCustoUnit[[#This Row],[MODULO 1 - REMUNERAÇÃO ]]</f>
        <v>3.9530273735532404</v>
      </c>
      <c r="AN107" s="22">
        <f>SUMIF(tabParametros[Código do Posto],tabCustoUnit[[#This Row],[Código do Posto]],tabParametros[Incidência do FGTS sobre API e Reflexo do API])*tabCustoUnit[[#This Row],[MODULO 1 - REMUNERAÇÃO ]]</f>
        <v>0.31624218988425928</v>
      </c>
      <c r="AO107" s="22">
        <f>SUMIF(tabParametros[Código do Posto],tabCustoUnit[[#This Row],[Código do Posto]],tabParametros[Multa Rescisória do FGTS sobre o Aviso Prévio Indenizado])*tabCustoUnit[[#This Row],[MODULO 1 - REMUNERAÇÃO ]]</f>
        <v>0.12649687595370371</v>
      </c>
      <c r="AP107" s="22">
        <f>SUMIF(tabParametros[Código do Posto],tabCustoUnit[[#This Row],[Código do Posto]],tabParametros[Aviso Prévio Trabalhado - APT])*tabCustoUnit[[#This Row],[MODULO 1 - REMUNERAÇÃO ]]</f>
        <v>1.9731967500000003</v>
      </c>
      <c r="AQ107" s="22">
        <f>SUMIF(tabParametros[Código do Posto],tabCustoUnit[[#This Row],[Código do Posto]],tabParametros[Incidência dos encargos do submódulo 2.1 sobre Aviso Prévio Trabalhado])*tabCustoUnit[[#This Row],[MODULO 1 - REMUNERAÇÃO ]]</f>
        <v>0.74586837150000018</v>
      </c>
      <c r="AR107" s="22">
        <f>SUMIF(tabParametros[Código do Posto],tabCustoUnit[[#This Row],[Código do Posto]],tabParametros[Multa Rescisória do FGTS])*tabCustoUnit[[#This Row],[MODULO 1 - REMUNERAÇÃO ]]</f>
        <v>17.238849066666663</v>
      </c>
      <c r="AS107" s="22">
        <f>SUMIF(tabParametros[Código do Posto],tabCustoUnit[[#This Row],[Código do Posto]],tabParametros[Indenização Adicional (Art. 9º da Lei nº 7.238/84)])*tabCustoUnit[[#This Row],[MODULO 1 - REMUNERAÇÃO ]]</f>
        <v>0.46980875</v>
      </c>
      <c r="AT107" s="22">
        <f>SUM(tabCustoUnit[[#This Row],[Aviso Prévio Indenizado (API) e Reflexo do Aviso Prévio Indenizado]:[Indenização Adicional (Art. 9º da Lei nº 7.238/84)]])</f>
        <v>24.823489377557866</v>
      </c>
      <c r="AU107" s="22">
        <f>SUMIF(tabParametros[Código do Posto],tabCustoUnit[[#This Row],[Código do Posto]],tabParametros[Ausência por Doença])*tabCustoUnit[[#This Row],[MODULO 1 - REMUNERAÇÃO ]]</f>
        <v>4.7607286666666662</v>
      </c>
      <c r="AV107" s="22">
        <f>SUMIF(tabParametros[Código do Posto],tabCustoUnit[[#This Row],[Código do Posto]],tabParametros[Ausências Legais])*tabCustoUnit[[#This Row],[MODULO 1 - REMUNERAÇÃO ]]</f>
        <v>1.1432012916666665</v>
      </c>
      <c r="AW107" s="22">
        <f>SUMIF(tabParametros[Código do Posto],tabCustoUnit[[#This Row],[Código do Posto]],tabParametros[Licença Paternidade])*tabCustoUnit[[#This Row],[MODULO 1 - REMUNERAÇÃO ]]</f>
        <v>9.6310793749999998E-2</v>
      </c>
      <c r="AX107" s="22">
        <f>SUMIF(tabParametros[Código do Posto],tabCustoUnit[[#This Row],[Código do Posto]],tabParametros[Ausência por Acidente de Trabalho])*tabCustoUnit[[#This Row],[MODULO 1 - REMUNERAÇÃO ]]</f>
        <v>0.1174521875</v>
      </c>
      <c r="AY107" s="22">
        <f>SUMIF(tabParametros[Código do Posto],tabCustoUnit[[#This Row],[Código do Posto]],tabParametros[Férias, Adicional de Férias e 13º  com empregada em gozo de Licença Maternidade])*tabCustoUnit[[#This Row],[MODULO 1 - REMUNERAÇÃO ]]</f>
        <v>0.73081361111111109</v>
      </c>
      <c r="AZ107" s="22">
        <f>SUMIF(tabParametros[Código do Posto],tabCustoUnit[[#This Row],[Código do Posto]],tabParametros[Incidência do Submódulo 2.1 sobre Ausências Legais])*tabCustoUnit[[#This Row],[MODULO 1 - REMUNERAÇÃO ]]</f>
        <v>2.5887354761625003</v>
      </c>
      <c r="BA107" s="22">
        <f>SUM(tabCustoUnit[[#This Row],[Ausência por Doença]:[Incidência do Submódulo 2.1 sobre Ausências Legais]])</f>
        <v>9.4372420268569428</v>
      </c>
      <c r="BB107" s="22">
        <f>SUMIF(tabParametros[Código do Posto],tabCustoUnit[[#This Row],[Código do Posto]],tabParametros[Intervalo para Repouso ou Alimentação])</f>
        <v>0</v>
      </c>
      <c r="BC107" s="22">
        <f>tabCustoUnit[[#This Row],[Intervalo para Repouso ou Alimentação]]</f>
        <v>0</v>
      </c>
      <c r="BD107" s="22">
        <f>IF(VLOOKUP(tabCustoUnit[[#This Row],[Código do Posto]],PARAMETROS!$A$4:$BJ$255,7,0)&lt;=0,0,
IFERROR((tabCustoUnit[[#This Row],[MODULO 1 - REMUNERAÇÃO ]]*VLOOKUP(tabCustoUnit[[#This Row],[Código do Posto]],PARAMETROS!$A$4:$BJ$255,49,0))/(VLOOKUP(tabCustoUnit[[#This Row],[Código do Posto]],PARAMETROS!$A$4:$BJ$255,7,0)*VLOOKUP(tabCustoUnit[[#This Row],[Código do Posto]],PARAMETROS!$A$4:$BJ$255,8,0)),0)
)</f>
        <v>0</v>
      </c>
      <c r="BE107" s="22">
        <f>tabCustoUnit[[#This Row],[Suspensão Temporária do Contrato de Trabalho]]</f>
        <v>0</v>
      </c>
      <c r="BF107" s="22">
        <f>tabCustoUnit[[#This Row],[Submódulo 4.1]]+tabCustoUnit[[#This Row],[Submódulo 4.2]]+tabCustoUnit[[#This Row],[Submódulo 4.3]]</f>
        <v>9.4372420268569428</v>
      </c>
      <c r="BG107" s="22">
        <f>VLOOKUP(tabCustoUnit[[#This Row],[Código do Posto]],tabParametros[],MATCH(tabCustoUnit[[#Headers],[Uniformes e EPIs]],tabParametros[#Headers],0),0)</f>
        <v>62.806666666666665</v>
      </c>
      <c r="BH107" s="22">
        <f>VLOOKUP(tabCustoUnit[[#This Row],[Código do Posto]],tabParametros[],MATCH(tabCustoUnit[[#Headers],[Materiais de Consumo]],tabParametros[#Headers],0),0)</f>
        <v>12.108481690426325</v>
      </c>
      <c r="BI107" s="22">
        <f>VLOOKUP(tabCustoUnit[[#This Row],[Código do Posto]],tabParametros[],MATCH(tabCustoUnit[[#Headers],[Máquinas e Equipamentos (depreciação)]],tabParametros[#Headers],0),0)</f>
        <v>21.998657016417809</v>
      </c>
      <c r="BJ107" s="22">
        <f>VLOOKUP(tabCustoUnit[[#This Row],[Código do Posto]],tabParametros[],MATCH(tabCustoUnit[[#Headers],[Produtos de Limpeza e Materiais de Higiene Pessoal]],tabParametros[#Headers],0),0)</f>
        <v>235.31984072022155</v>
      </c>
      <c r="BK107" s="22">
        <f>VLOOKUP(tabCustoUnit[[#This Row],[Código do Posto]],tabParametros[],MATCH(tabCustoUnit[[#Headers],[Outros (especificar)]],tabParametros[#Headers],0),0)</f>
        <v>0</v>
      </c>
      <c r="BL107" s="22">
        <f>SUM(tabCustoUnit[[#This Row],[Uniformes e EPIs]:[Outros (especificar)]])</f>
        <v>332.23364609373232</v>
      </c>
      <c r="BM107" s="22">
        <f>tabCustoUnit[[#This Row],[MODULO 1 - REMUNERAÇÃO ]]+tabCustoUnit[[#This Row],[MÓDULO 2 - Total Encargos e Benefícios mensais e diários]]+tabCustoUnit[[#This Row],[MÓDULO 3 – PROVISÃO PARA RESCISÃO]]+tabCustoUnit[[#This Row],[MÓDULO 4 – CUSTO DE REPOSIÇÃO DO PROFISSIONAL AUSENTE]]+tabCustoUnit[[#This Row],[MÓDULO 5 – INSUMOS DIVERSOS]]</f>
        <v>1951.8984999148138</v>
      </c>
      <c r="BN107" s="22">
        <f>VLOOKUP(tabCustoUnit[[#This Row],[Código do Posto]],tabParametros[],MATCH(tabCustoUnit[[#Headers],[Custos Indiretos]],tabParametros[#Headers],0),0)</f>
        <v>189.64880140242613</v>
      </c>
      <c r="BO107" s="22">
        <f>VLOOKUP(tabCustoUnit[[#This Row],[Código do Posto]],tabParametros[],MATCH(tabCustoUnit[[#Headers],[Lucro]],tabParametros[#Headers],0),0)</f>
        <v>159.30499317803796</v>
      </c>
      <c r="BP107" s="26">
        <f>((100/((1-tabCustoUnit[[#This Row],[Resumo de Alíquotas (PIS+CONFINS+ISS)]]))-100)*VLOOKUP(tabCustoUnit[[#This Row],[Código do Posto]],tabParametros[],MATCH(tabCustoUnit[[#Headers],[COFINS]],tabParametros[#Headers],0),0))/(tabCustoUnit[[#This Row],[Resumo de Alíquotas (PIS+CONFINS+ISS)]]*100)</f>
        <v>8.5633802816901458E-2</v>
      </c>
      <c r="BQ107" s="26">
        <f>((100/((100-(tabCustoUnit[[#This Row],[Resumo de Alíquotas (PIS+CONFINS+ISS)]]*100))%)-100)*VLOOKUP(tabCustoUnit[[#This Row],[Código do Posto]],tabParametros[],MATCH(tabCustoUnit[[#Headers],[PIS]],tabParametros[#Headers],0),0))/(tabCustoUnit[[#This Row],[Resumo de Alíquotas (PIS+CONFINS+ISS)]]*100)</f>
        <v>1.8591549295774657E-2</v>
      </c>
      <c r="BR107" s="28">
        <f>VLOOKUP(tabCustoUnit[[#This Row],[Código do Posto]],tabParametros[],MATCH(tabCustoUnit[[#Headers],[ISS]],tabParametros[#Headers],0),0)</f>
        <v>0.02</v>
      </c>
      <c r="BS107" s="26">
        <f>(((100/((100-(tabCustoUnit[[#This Row],[Resumo de Alíquotas (PIS+CONFINS+ISS)]]*100))%)-100)*tabCustoUnit[[#This Row],[ISS]])/tabCustoUnit[[#This Row],[Resumo de Alíquotas (PIS+CONFINS+ISS)]])/100</f>
        <v>2.2535211267605645E-2</v>
      </c>
      <c r="BT107" s="26">
        <f>(VLOOKUP(tabCustoUnit[[#This Row],[Código do Posto]],tabParametros[],MATCH(tabCustoUnit[[#Headers],[COFINS]],tabParametros[#Headers],0),0)+
VLOOKUP(tabCustoUnit[[#This Row],[Código do Posto]],tabParametros[],MATCH(tabCustoUnit[[#Headers],[PIS]],tabParametros[#Headers],0),0)+
VLOOKUP(tabCustoUnit[[#This Row],[Código do Posto]],tabParametros[],MATCH(tabCustoUnit[[#Headers],[ISS]],tabParametros[#Headers],0),0))</f>
        <v>0.1125</v>
      </c>
      <c r="BU107" s="138">
        <f>tabCustoUnit[[#This Row],[COFINS]]+tabCustoUnit[[#This Row],[PIS]]+tabCustoUnit[[#This Row],[ISS (Conversão Alíquota s/ fatura)]]</f>
        <v>0.12676056338028174</v>
      </c>
      <c r="BV107" s="22">
        <f>(tabCustoUnit[[#This Row],[TOTAL MÓDULOS 1+2+3+4+5]]+tabCustoUnit[[#This Row],[Custos Indiretos]]+tabCustoUnit[[#This Row],[Lucro]])*tabCustoUnit[[#This Row],[PIS + COFINS + ISS (Total Conversão  Alíquota s/ Fatura)]]</f>
        <v>291.65733310503532</v>
      </c>
      <c r="BW107" s="22">
        <f>tabCustoUnit[[#This Row],[Custos Indiretos]]+tabCustoUnit[[#This Row],[Lucro]]+tabCustoUnit[[#This Row],[Valor dos Tributos (ISS, PIS, CONFINS)]]</f>
        <v>640.61112768549947</v>
      </c>
      <c r="BX107" s="22">
        <f>tabCustoUnit[[#This Row],[TOTAL MÓDULOS 1+2+3+4+5]]+tabCustoUnit[[#This Row],[MÓDULO 6 – CUSTOS INDIRETOS, TRIBUTOS E LUCRO]]</f>
        <v>2592.5096276003133</v>
      </c>
      <c r="BY107" s="22">
        <f>tabCustoUnit[[#This Row],[CUSTO TOTAL MENSAL]]*12</f>
        <v>31110.115531203759</v>
      </c>
      <c r="BZ107" s="24">
        <f>VLOOKUP(tabCustoUnit[[#This Row],[Código do Posto]],tabParametros[],MATCH(tabCustoUnit[[#Headers],[ANO DA CCT]],tabParametros[#Headers],0),0)</f>
        <v>45658</v>
      </c>
      <c r="CA107" s="25" t="str">
        <f>VLOOKUP(tabCustoUnit[[#This Row],[Código do Posto]],tabParametros[],MATCH(tabCustoUnit[[#Headers],[Nº DE PEDIDO DA CCT]],tabParametros[#Headers],0),0)</f>
        <v>-</v>
      </c>
      <c r="CB107" s="25" t="str">
        <f>VLOOKUP(tabCustoUnit[[#This Row],[Código do Posto]],tabParametros[],MATCH(tabCustoUnit[[#Headers],[TERMO ADITIVO ALTERAÇÃO DA CCT]],tabParametros[#Headers],0),0)</f>
        <v>-</v>
      </c>
    </row>
    <row r="108" spans="1:80" x14ac:dyDescent="0.25">
      <c r="A108" s="20" t="s">
        <v>1447</v>
      </c>
      <c r="B108" t="s">
        <v>100</v>
      </c>
      <c r="C108" t="s">
        <v>1247</v>
      </c>
      <c r="D108" t="s">
        <v>1000</v>
      </c>
      <c r="E108" s="20" t="s">
        <v>9</v>
      </c>
      <c r="F108" s="20" t="s">
        <v>10</v>
      </c>
      <c r="G108" s="21">
        <v>544.17999999999995</v>
      </c>
      <c r="H108" s="21">
        <v>0</v>
      </c>
      <c r="I108" s="21">
        <v>0</v>
      </c>
      <c r="J108" s="21">
        <v>0</v>
      </c>
      <c r="K108" s="21">
        <v>0</v>
      </c>
      <c r="L108" s="21">
        <v>0</v>
      </c>
      <c r="M108" s="21">
        <v>0</v>
      </c>
      <c r="N108" s="21">
        <v>19.590499999999999</v>
      </c>
      <c r="O108" s="21">
        <f>SUM(tabCustoUnit[[#This Row],[Salário Base]:[Adicional de Acúmulo de função]])</f>
        <v>563.77049999999997</v>
      </c>
      <c r="P108" s="21">
        <f>tabCustoUnit[[#This Row],[MODULO 1 - REMUNERAÇÃO ]]*SUMIFS(tabParametros[INSS],tabParametros[Código do Posto],tabCustoUnit[[#This Row],[Código do Posto]])</f>
        <v>112.75409999999999</v>
      </c>
      <c r="Q108" s="21">
        <f>tabCustoUnit[[#This Row],[MODULO 1 - REMUNERAÇÃO ]]*SUMIFS(tabParametros[SESI OU SESC],tabParametros[Código do Posto],tabCustoUnit[[#This Row],[Código do Posto]])</f>
        <v>8.4565574999999988</v>
      </c>
      <c r="R108" s="21">
        <f>tabCustoUnit[[#This Row],[MODULO 1 - REMUNERAÇÃO ]]*SUMIFS(tabParametros[SENAI OU SENAC],tabParametros[Código do Posto],tabCustoUnit[[#This Row],[Código do Posto]])</f>
        <v>5.6377049999999995</v>
      </c>
      <c r="S108" s="21">
        <f>tabCustoUnit[[#This Row],[MODULO 1 - REMUNERAÇÃO ]]*SUMIFS(tabParametros[INCRA],tabParametros[Código do Posto],tabCustoUnit[[#This Row],[Código do Posto]])</f>
        <v>1.1275409999999999</v>
      </c>
      <c r="T108" s="21">
        <f>tabCustoUnit[[#This Row],[MODULO 1 - REMUNERAÇÃO ]]*SUMIFS(tabParametros[Salário Educação],tabParametros[Código do Posto],tabCustoUnit[[#This Row],[Código do Posto]])</f>
        <v>14.094262499999999</v>
      </c>
      <c r="U108" s="21">
        <f>tabCustoUnit[[#This Row],[MODULO 1 - REMUNERAÇÃO ]]*SUMIFS(tabParametros[FGTS],tabParametros[Código do Posto],tabCustoUnit[[#This Row],[Código do Posto]])</f>
        <v>45.101639999999996</v>
      </c>
      <c r="V108" s="21">
        <f>tabCustoUnit[[#This Row],[MODULO 1 - REMUNERAÇÃO ]]*SUMIFS(tabParametros[RAT Ajustado],tabParametros[Código do Posto],tabCustoUnit[[#This Row],[Código do Posto]])</f>
        <v>22.550819999999998</v>
      </c>
      <c r="W108" s="21">
        <f>tabCustoUnit[[#This Row],[MODULO 1 - REMUNERAÇÃO ]]*SUMIFS(tabParametros[SEBRAE],tabParametros[Código do Posto],tabCustoUnit[[#This Row],[Código do Posto]])</f>
        <v>3.3826229999999997</v>
      </c>
      <c r="X108" s="21">
        <f>SUM(tabCustoUnit[[#This Row],[INSS]:[SEBRAE]])</f>
        <v>213.10524899999996</v>
      </c>
      <c r="Y108" s="21">
        <f>tabCustoUnit[[#This Row],[MODULO 1 - REMUNERAÇÃO ]]*SUMIFS(tabParametros[13º salário (titular)],tabParametros[Código do Posto],tabCustoUnit[[#This Row],[Código do Posto]])</f>
        <v>46.980874999999997</v>
      </c>
      <c r="Z108" s="21">
        <f>tabCustoUnit[[#This Row],[MODULO 1 - REMUNERAÇÃO ]]*SUMIFS(tabParametros[Férias e Adicional de Férias (titular)],tabParametros[Código do Posto],tabCustoUnit[[#This Row],[Código do Posto]])</f>
        <v>62.641166666666663</v>
      </c>
      <c r="AA108" s="21">
        <f>IFERROR((tabCustoUnit[[#This Row],[Submódulo 2.1]]/tabCustoUnit[[#This Row],[MODULO 1 - REMUNERAÇÃO ]])*SUM(tabCustoUnit[[#This Row],[13º salário (titular)]:[Férias e Adicional de Férias (titular)]]),0)</f>
        <v>41.437131749999992</v>
      </c>
      <c r="AB108" s="21">
        <f>SUM(tabCustoUnit[[#This Row],[13º salário (titular)]:[Incidência do Submódulo 2.1 sobre 13º Salário, Férias e Adicional de Férias]])</f>
        <v>151.05917341666665</v>
      </c>
      <c r="AC108" s="22">
        <f>_xlfn.LET(_xlpm.VT,SUMIF(tabParametros[Código do Posto],tabCustoUnit[[#This Row],[Código do Posto]],tabParametros[Vale - Transporte])*2*20,
IF((_xlpm.VT-tabCustoUnit[[#This Row],[Salário Base]]*0.06)&gt;=0,(_xlpm.VT-tabCustoUnit[[#This Row],[Salário Base]]*0.06),0)
)</f>
        <v>223.3492</v>
      </c>
      <c r="AD108" s="22">
        <f>IF(SUMIF(tabParametros[Código do Posto],tabCustoUnit[[#This Row],[Código do Posto]],tabParametros[Vale - Alimentação])&lt;=0,0,
SUMIF(tabParametros[Código do Posto],tabCustoUnit[[#This Row],[Código do Posto]],tabParametros[Vale - Alimentação])*20-1)</f>
        <v>582</v>
      </c>
      <c r="AE108" s="22">
        <f>SUMIF(tabParametros[Código do Posto],tabCustoUnit[[#This Row],[Código do Posto]],tabParametros[Cesta Básica])</f>
        <v>0</v>
      </c>
      <c r="AF108" s="22">
        <f>SUMIF(tabParametros[Código do Posto],tabCustoUnit[[#This Row],[Código do Posto]],tabParametros[PAF])</f>
        <v>0</v>
      </c>
      <c r="AG108" s="22">
        <f>SUMIF(tabParametros[Código do Posto],tabCustoUnit[[#This Row],[Código do Posto]],tabParametros[PQM])</f>
        <v>15.07</v>
      </c>
      <c r="AH108" s="22">
        <f>SUMIF(tabParametros[Código do Posto],tabCustoUnit[[#This Row],[Código do Posto]],tabParametros[PAT])</f>
        <v>0</v>
      </c>
      <c r="AI108" s="22">
        <f>SUMIF(tabParametros[Código do Posto],tabCustoUnit[[#This Row],[Código do Posto]],tabParametros[Seguro de Vida])</f>
        <v>3.36</v>
      </c>
      <c r="AJ108" s="22">
        <f>SUMIF(tabParametros[Código do Posto],tabCustoUnit[[#This Row],[Código do Posto]],tabParametros[Despesas de Viagem])</f>
        <v>0</v>
      </c>
      <c r="AK108" s="22">
        <f>SUM(tabCustoUnit[[#This Row],[Vale - Transporte (Descontada parcela do empregado)]:[Despesas de Viagem]])</f>
        <v>823.77920000000006</v>
      </c>
      <c r="AL108" s="22">
        <f>tabCustoUnit[[#This Row],[Submódulo 2.1]]+tabCustoUnit[[#This Row],[Submódulo 2.2]]+tabCustoUnit[[#This Row],[Submódulo 2.3]]</f>
        <v>1187.9436224166666</v>
      </c>
      <c r="AM108" s="22">
        <f>SUMIF(tabParametros[Código do Posto],tabCustoUnit[[#This Row],[Código do Posto]],tabParametros[Aviso Prévio Indenizado (API) e Reflexo do Aviso Prévio Indenizado])*tabCustoUnit[[#This Row],[MODULO 1 - REMUNERAÇÃO ]]</f>
        <v>3.9530273735532404</v>
      </c>
      <c r="AN108" s="22">
        <f>SUMIF(tabParametros[Código do Posto],tabCustoUnit[[#This Row],[Código do Posto]],tabParametros[Incidência do FGTS sobre API e Reflexo do API])*tabCustoUnit[[#This Row],[MODULO 1 - REMUNERAÇÃO ]]</f>
        <v>0.31624218988425928</v>
      </c>
      <c r="AO108" s="22">
        <f>SUMIF(tabParametros[Código do Posto],tabCustoUnit[[#This Row],[Código do Posto]],tabParametros[Multa Rescisória do FGTS sobre o Aviso Prévio Indenizado])*tabCustoUnit[[#This Row],[MODULO 1 - REMUNERAÇÃO ]]</f>
        <v>0.12649687595370371</v>
      </c>
      <c r="AP108" s="22">
        <f>SUMIF(tabParametros[Código do Posto],tabCustoUnit[[#This Row],[Código do Posto]],tabParametros[Aviso Prévio Trabalhado - APT])*tabCustoUnit[[#This Row],[MODULO 1 - REMUNERAÇÃO ]]</f>
        <v>1.9731967500000003</v>
      </c>
      <c r="AQ108" s="22">
        <f>SUMIF(tabParametros[Código do Posto],tabCustoUnit[[#This Row],[Código do Posto]],tabParametros[Incidência dos encargos do submódulo 2.1 sobre Aviso Prévio Trabalhado])*tabCustoUnit[[#This Row],[MODULO 1 - REMUNERAÇÃO ]]</f>
        <v>0.74586837150000018</v>
      </c>
      <c r="AR108" s="22">
        <f>SUMIF(tabParametros[Código do Posto],tabCustoUnit[[#This Row],[Código do Posto]],tabParametros[Multa Rescisória do FGTS])*tabCustoUnit[[#This Row],[MODULO 1 - REMUNERAÇÃO ]]</f>
        <v>17.238849066666663</v>
      </c>
      <c r="AS108" s="22">
        <f>SUMIF(tabParametros[Código do Posto],tabCustoUnit[[#This Row],[Código do Posto]],tabParametros[Indenização Adicional (Art. 9º da Lei nº 7.238/84)])*tabCustoUnit[[#This Row],[MODULO 1 - REMUNERAÇÃO ]]</f>
        <v>0.46980875</v>
      </c>
      <c r="AT108" s="22">
        <f>SUM(tabCustoUnit[[#This Row],[Aviso Prévio Indenizado (API) e Reflexo do Aviso Prévio Indenizado]:[Indenização Adicional (Art. 9º da Lei nº 7.238/84)]])</f>
        <v>24.823489377557866</v>
      </c>
      <c r="AU108" s="22">
        <f>SUMIF(tabParametros[Código do Posto],tabCustoUnit[[#This Row],[Código do Posto]],tabParametros[Ausência por Doença])*tabCustoUnit[[#This Row],[MODULO 1 - REMUNERAÇÃO ]]</f>
        <v>4.7607286666666662</v>
      </c>
      <c r="AV108" s="22">
        <f>SUMIF(tabParametros[Código do Posto],tabCustoUnit[[#This Row],[Código do Posto]],tabParametros[Ausências Legais])*tabCustoUnit[[#This Row],[MODULO 1 - REMUNERAÇÃO ]]</f>
        <v>1.1432012916666665</v>
      </c>
      <c r="AW108" s="22">
        <f>SUMIF(tabParametros[Código do Posto],tabCustoUnit[[#This Row],[Código do Posto]],tabParametros[Licença Paternidade])*tabCustoUnit[[#This Row],[MODULO 1 - REMUNERAÇÃO ]]</f>
        <v>9.6310793749999998E-2</v>
      </c>
      <c r="AX108" s="22">
        <f>SUMIF(tabParametros[Código do Posto],tabCustoUnit[[#This Row],[Código do Posto]],tabParametros[Ausência por Acidente de Trabalho])*tabCustoUnit[[#This Row],[MODULO 1 - REMUNERAÇÃO ]]</f>
        <v>0.1174521875</v>
      </c>
      <c r="AY108" s="22">
        <f>SUMIF(tabParametros[Código do Posto],tabCustoUnit[[#This Row],[Código do Posto]],tabParametros[Férias, Adicional de Férias e 13º  com empregada em gozo de Licença Maternidade])*tabCustoUnit[[#This Row],[MODULO 1 - REMUNERAÇÃO ]]</f>
        <v>0.73081361111111109</v>
      </c>
      <c r="AZ108" s="22">
        <f>SUMIF(tabParametros[Código do Posto],tabCustoUnit[[#This Row],[Código do Posto]],tabParametros[Incidência do Submódulo 2.1 sobre Ausências Legais])*tabCustoUnit[[#This Row],[MODULO 1 - REMUNERAÇÃO ]]</f>
        <v>2.5887354761625003</v>
      </c>
      <c r="BA108" s="22">
        <f>SUM(tabCustoUnit[[#This Row],[Ausência por Doença]:[Incidência do Submódulo 2.1 sobre Ausências Legais]])</f>
        <v>9.4372420268569428</v>
      </c>
      <c r="BB108" s="22">
        <f>SUMIF(tabParametros[Código do Posto],tabCustoUnit[[#This Row],[Código do Posto]],tabParametros[Intervalo para Repouso ou Alimentação])</f>
        <v>0</v>
      </c>
      <c r="BC108" s="22">
        <f>tabCustoUnit[[#This Row],[Intervalo para Repouso ou Alimentação]]</f>
        <v>0</v>
      </c>
      <c r="BD108" s="22">
        <f>IF(VLOOKUP(tabCustoUnit[[#This Row],[Código do Posto]],PARAMETROS!$A$4:$BJ$255,7,0)&lt;=0,0,
IFERROR((tabCustoUnit[[#This Row],[MODULO 1 - REMUNERAÇÃO ]]*VLOOKUP(tabCustoUnit[[#This Row],[Código do Posto]],PARAMETROS!$A$4:$BJ$255,49,0))/(VLOOKUP(tabCustoUnit[[#This Row],[Código do Posto]],PARAMETROS!$A$4:$BJ$255,7,0)*VLOOKUP(tabCustoUnit[[#This Row],[Código do Posto]],PARAMETROS!$A$4:$BJ$255,8,0)),0)
)</f>
        <v>0</v>
      </c>
      <c r="BE108" s="22">
        <f>tabCustoUnit[[#This Row],[Suspensão Temporária do Contrato de Trabalho]]</f>
        <v>0</v>
      </c>
      <c r="BF108" s="22">
        <f>tabCustoUnit[[#This Row],[Submódulo 4.1]]+tabCustoUnit[[#This Row],[Submódulo 4.2]]+tabCustoUnit[[#This Row],[Submódulo 4.3]]</f>
        <v>9.4372420268569428</v>
      </c>
      <c r="BG108" s="22">
        <f>VLOOKUP(tabCustoUnit[[#This Row],[Código do Posto]],tabParametros[],MATCH(tabCustoUnit[[#Headers],[Uniformes e EPIs]],tabParametros[#Headers],0),0)</f>
        <v>62.806666666666665</v>
      </c>
      <c r="BH108" s="22">
        <f>VLOOKUP(tabCustoUnit[[#This Row],[Código do Posto]],tabParametros[],MATCH(tabCustoUnit[[#Headers],[Materiais de Consumo]],tabParametros[#Headers],0),0)</f>
        <v>12.108481690426325</v>
      </c>
      <c r="BI108" s="22">
        <f>VLOOKUP(tabCustoUnit[[#This Row],[Código do Posto]],tabParametros[],MATCH(tabCustoUnit[[#Headers],[Máquinas e Equipamentos (depreciação)]],tabParametros[#Headers],0),0)</f>
        <v>21.998657016417809</v>
      </c>
      <c r="BJ108" s="22">
        <f>VLOOKUP(tabCustoUnit[[#This Row],[Código do Posto]],tabParametros[],MATCH(tabCustoUnit[[#Headers],[Produtos de Limpeza e Materiais de Higiene Pessoal]],tabParametros[#Headers],0),0)</f>
        <v>235.31984072022155</v>
      </c>
      <c r="BK108" s="22">
        <f>VLOOKUP(tabCustoUnit[[#This Row],[Código do Posto]],tabParametros[],MATCH(tabCustoUnit[[#Headers],[Outros (especificar)]],tabParametros[#Headers],0),0)</f>
        <v>0</v>
      </c>
      <c r="BL108" s="22">
        <f>SUM(tabCustoUnit[[#This Row],[Uniformes e EPIs]:[Outros (especificar)]])</f>
        <v>332.23364609373232</v>
      </c>
      <c r="BM108" s="22">
        <f>tabCustoUnit[[#This Row],[MODULO 1 - REMUNERAÇÃO ]]+tabCustoUnit[[#This Row],[MÓDULO 2 - Total Encargos e Benefícios mensais e diários]]+tabCustoUnit[[#This Row],[MÓDULO 3 – PROVISÃO PARA RESCISÃO]]+tabCustoUnit[[#This Row],[MÓDULO 4 – CUSTO DE REPOSIÇÃO DO PROFISSIONAL AUSENTE]]+tabCustoUnit[[#This Row],[MÓDULO 5 – INSUMOS DIVERSOS]]</f>
        <v>2118.2084999148137</v>
      </c>
      <c r="BN108" s="22">
        <f>VLOOKUP(tabCustoUnit[[#This Row],[Código do Posto]],tabParametros[],MATCH(tabCustoUnit[[#Headers],[Custos Indiretos]],tabParametros[#Headers],0),0)</f>
        <v>189.64880140242613</v>
      </c>
      <c r="BO108" s="22">
        <f>VLOOKUP(tabCustoUnit[[#This Row],[Código do Posto]],tabParametros[],MATCH(tabCustoUnit[[#Headers],[Lucro]],tabParametros[#Headers],0),0)</f>
        <v>159.30499317803796</v>
      </c>
      <c r="BP108" s="26">
        <f>((100/((1-tabCustoUnit[[#This Row],[Resumo de Alíquotas (PIS+CONFINS+ISS)]]))-100)*VLOOKUP(tabCustoUnit[[#This Row],[Código do Posto]],tabParametros[],MATCH(tabCustoUnit[[#Headers],[COFINS]],tabParametros[#Headers],0),0))/(tabCustoUnit[[#This Row],[Resumo de Alíquotas (PIS+CONFINS+ISS)]]*100)</f>
        <v>8.6609686609686695E-2</v>
      </c>
      <c r="BQ108" s="26">
        <f>((100/((100-(tabCustoUnit[[#This Row],[Resumo de Alíquotas (PIS+CONFINS+ISS)]]*100))%)-100)*VLOOKUP(tabCustoUnit[[#This Row],[Código do Posto]],tabParametros[],MATCH(tabCustoUnit[[#Headers],[PIS]],tabParametros[#Headers],0),0))/(tabCustoUnit[[#This Row],[Resumo de Alíquotas (PIS+CONFINS+ISS)]]*100)</f>
        <v>1.880341880341882E-2</v>
      </c>
      <c r="BR108" s="28">
        <f>VLOOKUP(tabCustoUnit[[#This Row],[Código do Posto]],tabParametros[],MATCH(tabCustoUnit[[#Headers],[ISS]],tabParametros[#Headers],0),0)</f>
        <v>0.03</v>
      </c>
      <c r="BS108" s="26">
        <f>(((100/((100-(tabCustoUnit[[#This Row],[Resumo de Alíquotas (PIS+CONFINS+ISS)]]*100))%)-100)*tabCustoUnit[[#This Row],[ISS]])/tabCustoUnit[[#This Row],[Resumo de Alíquotas (PIS+CONFINS+ISS)]])/100</f>
        <v>3.4188034188034219E-2</v>
      </c>
      <c r="BT108" s="26">
        <f>(VLOOKUP(tabCustoUnit[[#This Row],[Código do Posto]],tabParametros[],MATCH(tabCustoUnit[[#Headers],[COFINS]],tabParametros[#Headers],0),0)+
VLOOKUP(tabCustoUnit[[#This Row],[Código do Posto]],tabParametros[],MATCH(tabCustoUnit[[#Headers],[PIS]],tabParametros[#Headers],0),0)+
VLOOKUP(tabCustoUnit[[#This Row],[Código do Posto]],tabParametros[],MATCH(tabCustoUnit[[#Headers],[ISS]],tabParametros[#Headers],0),0))</f>
        <v>0.1225</v>
      </c>
      <c r="BU108" s="138">
        <f>tabCustoUnit[[#This Row],[COFINS]]+tabCustoUnit[[#This Row],[PIS]]+tabCustoUnit[[#This Row],[ISS (Conversão Alíquota s/ fatura)]]</f>
        <v>0.13960113960113973</v>
      </c>
      <c r="BV108" s="22">
        <f>(tabCustoUnit[[#This Row],[TOTAL MÓDULOS 1+2+3+4+5]]+tabCustoUnit[[#This Row],[Custos Indiretos]]+tabCustoUnit[[#This Row],[Lucro]])*tabCustoUnit[[#This Row],[PIS + COFINS + ISS (Total Conversão  Alíquota s/ Fatura)]]</f>
        <v>344.41866789250349</v>
      </c>
      <c r="BW108" s="22">
        <f>tabCustoUnit[[#This Row],[Custos Indiretos]]+tabCustoUnit[[#This Row],[Lucro]]+tabCustoUnit[[#This Row],[Valor dos Tributos (ISS, PIS, CONFINS)]]</f>
        <v>693.37246247296753</v>
      </c>
      <c r="BX108" s="22">
        <f>tabCustoUnit[[#This Row],[TOTAL MÓDULOS 1+2+3+4+5]]+tabCustoUnit[[#This Row],[MÓDULO 6 – CUSTOS INDIRETOS, TRIBUTOS E LUCRO]]</f>
        <v>2811.5809623877813</v>
      </c>
      <c r="BY108" s="22">
        <f>tabCustoUnit[[#This Row],[CUSTO TOTAL MENSAL]]*12</f>
        <v>33738.971548653375</v>
      </c>
      <c r="BZ108" s="24">
        <f>VLOOKUP(tabCustoUnit[[#This Row],[Código do Posto]],tabParametros[],MATCH(tabCustoUnit[[#Headers],[ANO DA CCT]],tabParametros[#Headers],0),0)</f>
        <v>45658</v>
      </c>
      <c r="CA108" s="25" t="str">
        <f>VLOOKUP(tabCustoUnit[[#This Row],[Código do Posto]],tabParametros[],MATCH(tabCustoUnit[[#Headers],[Nº DE PEDIDO DA CCT]],tabParametros[#Headers],0),0)</f>
        <v>-</v>
      </c>
      <c r="CB108" s="25" t="str">
        <f>VLOOKUP(tabCustoUnit[[#This Row],[Código do Posto]],tabParametros[],MATCH(tabCustoUnit[[#Headers],[TERMO ADITIVO ALTERAÇÃO DA CCT]],tabParametros[#Headers],0),0)</f>
        <v>-</v>
      </c>
    </row>
    <row r="109" spans="1:80" x14ac:dyDescent="0.25">
      <c r="A109" s="20" t="s">
        <v>1448</v>
      </c>
      <c r="B109" t="s">
        <v>101</v>
      </c>
      <c r="C109" t="s">
        <v>1245</v>
      </c>
      <c r="D109" t="s">
        <v>1045</v>
      </c>
      <c r="E109" s="20" t="s">
        <v>9</v>
      </c>
      <c r="F109" s="20" t="s">
        <v>10</v>
      </c>
      <c r="G109" s="21">
        <v>1649.12</v>
      </c>
      <c r="H109" s="21">
        <v>0</v>
      </c>
      <c r="I109" s="21">
        <v>0</v>
      </c>
      <c r="J109" s="21">
        <v>0</v>
      </c>
      <c r="K109" s="21">
        <v>0</v>
      </c>
      <c r="L109" s="21">
        <v>0</v>
      </c>
      <c r="M109" s="21">
        <v>0</v>
      </c>
      <c r="N109" s="21">
        <v>53.971200000000003</v>
      </c>
      <c r="O109" s="21">
        <f>SUM(tabCustoUnit[[#This Row],[Salário Base]:[Adicional de Acúmulo de função]])</f>
        <v>1703.0911999999998</v>
      </c>
      <c r="P109" s="21">
        <f>tabCustoUnit[[#This Row],[MODULO 1 - REMUNERAÇÃO ]]*SUMIFS(tabParametros[INSS],tabParametros[Código do Posto],tabCustoUnit[[#This Row],[Código do Posto]])</f>
        <v>340.61824000000001</v>
      </c>
      <c r="Q109" s="21">
        <f>tabCustoUnit[[#This Row],[MODULO 1 - REMUNERAÇÃO ]]*SUMIFS(tabParametros[SESI OU SESC],tabParametros[Código do Posto],tabCustoUnit[[#This Row],[Código do Posto]])</f>
        <v>25.546367999999998</v>
      </c>
      <c r="R109" s="21">
        <f>tabCustoUnit[[#This Row],[MODULO 1 - REMUNERAÇÃO ]]*SUMIFS(tabParametros[SENAI OU SENAC],tabParametros[Código do Posto],tabCustoUnit[[#This Row],[Código do Posto]])</f>
        <v>17.030911999999997</v>
      </c>
      <c r="S109" s="21">
        <f>tabCustoUnit[[#This Row],[MODULO 1 - REMUNERAÇÃO ]]*SUMIFS(tabParametros[INCRA],tabParametros[Código do Posto],tabCustoUnit[[#This Row],[Código do Posto]])</f>
        <v>3.4061823999999996</v>
      </c>
      <c r="T109" s="21">
        <f>tabCustoUnit[[#This Row],[MODULO 1 - REMUNERAÇÃO ]]*SUMIFS(tabParametros[Salário Educação],tabParametros[Código do Posto],tabCustoUnit[[#This Row],[Código do Posto]])</f>
        <v>42.577280000000002</v>
      </c>
      <c r="U109" s="21">
        <f>tabCustoUnit[[#This Row],[MODULO 1 - REMUNERAÇÃO ]]*SUMIFS(tabParametros[FGTS],tabParametros[Código do Posto],tabCustoUnit[[#This Row],[Código do Posto]])</f>
        <v>136.24729599999998</v>
      </c>
      <c r="V109" s="21">
        <f>tabCustoUnit[[#This Row],[MODULO 1 - REMUNERAÇÃO ]]*SUMIFS(tabParametros[RAT Ajustado],tabParametros[Código do Posto],tabCustoUnit[[#This Row],[Código do Posto]])</f>
        <v>68.123647999999989</v>
      </c>
      <c r="W109" s="21">
        <f>tabCustoUnit[[#This Row],[MODULO 1 - REMUNERAÇÃO ]]*SUMIFS(tabParametros[SEBRAE],tabParametros[Código do Posto],tabCustoUnit[[#This Row],[Código do Posto]])</f>
        <v>10.2185472</v>
      </c>
      <c r="X109" s="21">
        <f>SUM(tabCustoUnit[[#This Row],[INSS]:[SEBRAE]])</f>
        <v>643.76847359999999</v>
      </c>
      <c r="Y109" s="21">
        <f>tabCustoUnit[[#This Row],[MODULO 1 - REMUNERAÇÃO ]]*SUMIFS(tabParametros[13º salário (titular)],tabParametros[Código do Posto],tabCustoUnit[[#This Row],[Código do Posto]])</f>
        <v>141.92426666666665</v>
      </c>
      <c r="Z109" s="21">
        <f>tabCustoUnit[[#This Row],[MODULO 1 - REMUNERAÇÃO ]]*SUMIFS(tabParametros[Férias e Adicional de Férias (titular)],tabParametros[Código do Posto],tabCustoUnit[[#This Row],[Código do Posto]])</f>
        <v>189.23235555555553</v>
      </c>
      <c r="AA109" s="21">
        <f>IFERROR((tabCustoUnit[[#This Row],[Submódulo 2.1]]/tabCustoUnit[[#This Row],[MODULO 1 - REMUNERAÇÃO ]])*SUM(tabCustoUnit[[#This Row],[13º salário (titular)]:[Férias e Adicional de Férias (titular)]]),0)</f>
        <v>125.17720319999999</v>
      </c>
      <c r="AB109" s="21">
        <f>SUM(tabCustoUnit[[#This Row],[13º salário (titular)]:[Incidência do Submódulo 2.1 sobre 13º Salário, Férias e Adicional de Férias]])</f>
        <v>456.33382542222216</v>
      </c>
      <c r="AC109" s="22">
        <f>_xlfn.LET(_xlpm.VT,SUMIF(tabParametros[Código do Posto],tabCustoUnit[[#This Row],[Código do Posto]],tabParametros[Vale - Transporte])*2*20,
IF((_xlpm.VT-tabCustoUnit[[#This Row],[Salário Base]]*0.06)&gt;=0,(_xlpm.VT-tabCustoUnit[[#This Row],[Salário Base]]*0.06),0)
)</f>
        <v>157.05279999999999</v>
      </c>
      <c r="AD109" s="22">
        <f>IF(SUMIF(tabParametros[Código do Posto],tabCustoUnit[[#This Row],[Código do Posto]],tabParametros[Vale - Alimentação])&lt;=0,0,
SUMIF(tabParametros[Código do Posto],tabCustoUnit[[#This Row],[Código do Posto]],tabParametros[Vale - Alimentação])*20-1)</f>
        <v>582</v>
      </c>
      <c r="AE109" s="22">
        <f>SUMIF(tabParametros[Código do Posto],tabCustoUnit[[#This Row],[Código do Posto]],tabParametros[Cesta Básica])</f>
        <v>0</v>
      </c>
      <c r="AF109" s="22">
        <f>SUMIF(tabParametros[Código do Posto],tabCustoUnit[[#This Row],[Código do Posto]],tabParametros[PAF])</f>
        <v>77.25</v>
      </c>
      <c r="AG109" s="22">
        <f>SUMIF(tabParametros[Código do Posto],tabCustoUnit[[#This Row],[Código do Posto]],tabParametros[PQM])</f>
        <v>0</v>
      </c>
      <c r="AH109" s="22">
        <f>SUMIF(tabParametros[Código do Posto],tabCustoUnit[[#This Row],[Código do Posto]],tabParametros[PAT])</f>
        <v>0</v>
      </c>
      <c r="AI109" s="22">
        <f>SUMIF(tabParametros[Código do Posto],tabCustoUnit[[#This Row],[Código do Posto]],tabParametros[Seguro de Vida])</f>
        <v>3.36</v>
      </c>
      <c r="AJ109" s="22">
        <f>SUMIF(tabParametros[Código do Posto],tabCustoUnit[[#This Row],[Código do Posto]],tabParametros[Despesas de Viagem])</f>
        <v>0</v>
      </c>
      <c r="AK109" s="22">
        <f>SUM(tabCustoUnit[[#This Row],[Vale - Transporte (Descontada parcela do empregado)]:[Despesas de Viagem]])</f>
        <v>819.66279999999995</v>
      </c>
      <c r="AL109" s="22">
        <f>tabCustoUnit[[#This Row],[Submódulo 2.1]]+tabCustoUnit[[#This Row],[Submódulo 2.2]]+tabCustoUnit[[#This Row],[Submódulo 2.3]]</f>
        <v>1919.7650990222223</v>
      </c>
      <c r="AM109" s="22">
        <f>SUMIF(tabParametros[Código do Posto],tabCustoUnit[[#This Row],[Código do Posto]],tabParametros[Aviso Prévio Indenizado (API) e Reflexo do Aviso Prévio Indenizado])*tabCustoUnit[[#This Row],[MODULO 1 - REMUNERAÇÃO ]]</f>
        <v>11.941678632098764</v>
      </c>
      <c r="AN109" s="22">
        <f>SUMIF(tabParametros[Código do Posto],tabCustoUnit[[#This Row],[Código do Posto]],tabParametros[Incidência do FGTS sobre API e Reflexo do API])*tabCustoUnit[[#This Row],[MODULO 1 - REMUNERAÇÃO ]]</f>
        <v>0.9553342905679012</v>
      </c>
      <c r="AO109" s="22">
        <f>SUMIF(tabParametros[Código do Posto],tabCustoUnit[[#This Row],[Código do Posto]],tabParametros[Multa Rescisória do FGTS sobre o Aviso Prévio Indenizado])*tabCustoUnit[[#This Row],[MODULO 1 - REMUNERAÇÃO ]]</f>
        <v>0.38213371622716052</v>
      </c>
      <c r="AP109" s="22">
        <f>SUMIF(tabParametros[Código do Posto],tabCustoUnit[[#This Row],[Código do Posto]],tabParametros[Aviso Prévio Trabalhado - APT])*tabCustoUnit[[#This Row],[MODULO 1 - REMUNERAÇÃO ]]</f>
        <v>5.9608192000000004</v>
      </c>
      <c r="AQ109" s="22">
        <f>SUMIF(tabParametros[Código do Posto],tabCustoUnit[[#This Row],[Código do Posto]],tabParametros[Incidência dos encargos do submódulo 2.1 sobre Aviso Prévio Trabalhado])*tabCustoUnit[[#This Row],[MODULO 1 - REMUNERAÇÃO ]]</f>
        <v>2.2531896576000006</v>
      </c>
      <c r="AR109" s="22">
        <f>SUMIF(tabParametros[Código do Posto],tabCustoUnit[[#This Row],[Código do Posto]],tabParametros[Multa Rescisória do FGTS])*tabCustoUnit[[#This Row],[MODULO 1 - REMUNERAÇÃO ]]</f>
        <v>52.076744248888879</v>
      </c>
      <c r="AS109" s="22">
        <f>SUMIF(tabParametros[Código do Posto],tabCustoUnit[[#This Row],[Código do Posto]],tabParametros[Indenização Adicional (Art. 9º da Lei nº 7.238/84)])*tabCustoUnit[[#This Row],[MODULO 1 - REMUNERAÇÃO ]]</f>
        <v>1.4192426666666667</v>
      </c>
      <c r="AT109" s="22">
        <f>SUM(tabCustoUnit[[#This Row],[Aviso Prévio Indenizado (API) e Reflexo do Aviso Prévio Indenizado]:[Indenização Adicional (Art. 9º da Lei nº 7.238/84)]])</f>
        <v>74.989142412049375</v>
      </c>
      <c r="AU109" s="22">
        <f>SUMIF(tabParametros[Código do Posto],tabCustoUnit[[#This Row],[Código do Posto]],tabParametros[Ausência por Doença])*tabCustoUnit[[#This Row],[MODULO 1 - REMUNERAÇÃO ]]</f>
        <v>14.38165902222222</v>
      </c>
      <c r="AV109" s="22">
        <f>SUMIF(tabParametros[Código do Posto],tabCustoUnit[[#This Row],[Código do Posto]],tabParametros[Ausências Legais])*tabCustoUnit[[#This Row],[MODULO 1 - REMUNERAÇÃO ]]</f>
        <v>3.4534904888888884</v>
      </c>
      <c r="AW109" s="22">
        <f>SUMIF(tabParametros[Código do Posto],tabCustoUnit[[#This Row],[Código do Posto]],tabParametros[Licença Paternidade])*tabCustoUnit[[#This Row],[MODULO 1 - REMUNERAÇÃO ]]</f>
        <v>0.29094474666666664</v>
      </c>
      <c r="AX109" s="22">
        <f>SUMIF(tabParametros[Código do Posto],tabCustoUnit[[#This Row],[Código do Posto]],tabParametros[Ausência por Acidente de Trabalho])*tabCustoUnit[[#This Row],[MODULO 1 - REMUNERAÇÃO ]]</f>
        <v>0.35481066666666666</v>
      </c>
      <c r="AY109" s="22">
        <f>SUMIF(tabParametros[Código do Posto],tabCustoUnit[[#This Row],[Código do Posto]],tabParametros[Férias, Adicional de Férias e 13º  com empregada em gozo de Licença Maternidade])*tabCustoUnit[[#This Row],[MODULO 1 - REMUNERAÇÃO ]]</f>
        <v>2.2077108148148143</v>
      </c>
      <c r="AZ109" s="22">
        <f>SUMIF(tabParametros[Código do Posto],tabCustoUnit[[#This Row],[Código do Posto]],tabParametros[Incidência do Submódulo 2.1 sobre Ausências Legais])*tabCustoUnit[[#This Row],[MODULO 1 - REMUNERAÇÃO ]]</f>
        <v>7.8202967494400006</v>
      </c>
      <c r="BA109" s="22">
        <f>SUM(tabCustoUnit[[#This Row],[Ausência por Doença]:[Incidência do Submódulo 2.1 sobre Ausências Legais]])</f>
        <v>28.508912488699256</v>
      </c>
      <c r="BB109" s="22">
        <f>SUMIF(tabParametros[Código do Posto],tabCustoUnit[[#This Row],[Código do Posto]],tabParametros[Intervalo para Repouso ou Alimentação])</f>
        <v>0</v>
      </c>
      <c r="BC109" s="22">
        <f>tabCustoUnit[[#This Row],[Intervalo para Repouso ou Alimentação]]</f>
        <v>0</v>
      </c>
      <c r="BD109" s="22">
        <f>IF(VLOOKUP(tabCustoUnit[[#This Row],[Código do Posto]],PARAMETROS!$A$4:$BJ$255,7,0)&lt;=0,0,
IFERROR((tabCustoUnit[[#This Row],[MODULO 1 - REMUNERAÇÃO ]]*VLOOKUP(tabCustoUnit[[#This Row],[Código do Posto]],PARAMETROS!$A$4:$BJ$255,49,0))/(VLOOKUP(tabCustoUnit[[#This Row],[Código do Posto]],PARAMETROS!$A$4:$BJ$255,7,0)*VLOOKUP(tabCustoUnit[[#This Row],[Código do Posto]],PARAMETROS!$A$4:$BJ$255,8,0)),0)
)</f>
        <v>0</v>
      </c>
      <c r="BE109" s="22">
        <f>tabCustoUnit[[#This Row],[Suspensão Temporária do Contrato de Trabalho]]</f>
        <v>0</v>
      </c>
      <c r="BF109" s="22">
        <f>tabCustoUnit[[#This Row],[Submódulo 4.1]]+tabCustoUnit[[#This Row],[Submódulo 4.2]]+tabCustoUnit[[#This Row],[Submódulo 4.3]]</f>
        <v>28.508912488699256</v>
      </c>
      <c r="BG109" s="22">
        <f>VLOOKUP(tabCustoUnit[[#This Row],[Código do Posto]],tabParametros[],MATCH(tabCustoUnit[[#Headers],[Uniformes e EPIs]],tabParametros[#Headers],0),0)</f>
        <v>100.80916666666666</v>
      </c>
      <c r="BH109" s="22">
        <f>VLOOKUP(tabCustoUnit[[#This Row],[Código do Posto]],tabParametros[],MATCH(tabCustoUnit[[#Headers],[Materiais de Consumo]],tabParametros[#Headers],0),0)</f>
        <v>35.518212958583888</v>
      </c>
      <c r="BI109" s="22">
        <f>VLOOKUP(tabCustoUnit[[#This Row],[Código do Posto]],tabParametros[],MATCH(tabCustoUnit[[#Headers],[Máquinas e Equipamentos (depreciação)]],tabParametros[#Headers],0),0)</f>
        <v>64.529393914825576</v>
      </c>
      <c r="BJ109" s="22">
        <f>VLOOKUP(tabCustoUnit[[#This Row],[Código do Posto]],tabParametros[],MATCH(tabCustoUnit[[#Headers],[Produtos de Limpeza e Materiais de Higiene Pessoal]],tabParametros[#Headers],0),0)</f>
        <v>690.27153277931654</v>
      </c>
      <c r="BK109" s="22">
        <f>VLOOKUP(tabCustoUnit[[#This Row],[Código do Posto]],tabParametros[],MATCH(tabCustoUnit[[#Headers],[Outros (especificar)]],tabParametros[#Headers],0),0)</f>
        <v>0</v>
      </c>
      <c r="BL109" s="22">
        <f>SUM(tabCustoUnit[[#This Row],[Uniformes e EPIs]:[Outros (especificar)]])</f>
        <v>891.12830631939266</v>
      </c>
      <c r="BM109" s="22">
        <f>tabCustoUnit[[#This Row],[MODULO 1 - REMUNERAÇÃO ]]+tabCustoUnit[[#This Row],[MÓDULO 2 - Total Encargos e Benefícios mensais e diários]]+tabCustoUnit[[#This Row],[MÓDULO 3 – PROVISÃO PARA RESCISÃO]]+tabCustoUnit[[#This Row],[MÓDULO 4 – CUSTO DE REPOSIÇÃO DO PROFISSIONAL AUSENTE]]+tabCustoUnit[[#This Row],[MÓDULO 5 – INSUMOS DIVERSOS]]</f>
        <v>4617.4826602423636</v>
      </c>
      <c r="BN109" s="22">
        <f>VLOOKUP(tabCustoUnit[[#This Row],[Código do Posto]],tabParametros[],MATCH(tabCustoUnit[[#Headers],[Custos Indiretos]],tabParametros[#Headers],0),0)</f>
        <v>189.64880140242613</v>
      </c>
      <c r="BO109" s="22">
        <f>VLOOKUP(tabCustoUnit[[#This Row],[Código do Posto]],tabParametros[],MATCH(tabCustoUnit[[#Headers],[Lucro]],tabParametros[#Headers],0),0)</f>
        <v>159.30499317803796</v>
      </c>
      <c r="BP109" s="26">
        <f>((100/((1-tabCustoUnit[[#This Row],[Resumo de Alíquotas (PIS+CONFINS+ISS)]]))-100)*VLOOKUP(tabCustoUnit[[#This Row],[Código do Posto]],tabParametros[],MATCH(tabCustoUnit[[#Headers],[COFINS]],tabParametros[#Headers],0),0))/(tabCustoUnit[[#This Row],[Resumo de Alíquotas (PIS+CONFINS+ISS)]]*100)</f>
        <v>8.7608069164265154E-2</v>
      </c>
      <c r="BQ109" s="26">
        <f>((100/((100-(tabCustoUnit[[#This Row],[Resumo de Alíquotas (PIS+CONFINS+ISS)]]*100))%)-100)*VLOOKUP(tabCustoUnit[[#This Row],[Código do Posto]],tabParametros[],MATCH(tabCustoUnit[[#Headers],[PIS]],tabParametros[#Headers],0),0))/(tabCustoUnit[[#This Row],[Resumo de Alíquotas (PIS+CONFINS+ISS)]]*100)</f>
        <v>1.9020172910662814E-2</v>
      </c>
      <c r="BR109" s="28">
        <f>VLOOKUP(tabCustoUnit[[#This Row],[Código do Posto]],tabParametros[],MATCH(tabCustoUnit[[#Headers],[ISS]],tabParametros[#Headers],0),0)</f>
        <v>0.04</v>
      </c>
      <c r="BS109" s="26">
        <f>(((100/((100-(tabCustoUnit[[#This Row],[Resumo de Alíquotas (PIS+CONFINS+ISS)]]*100))%)-100)*tabCustoUnit[[#This Row],[ISS]])/tabCustoUnit[[#This Row],[Resumo de Alíquotas (PIS+CONFINS+ISS)]])/100</f>
        <v>4.6109510086455294E-2</v>
      </c>
      <c r="BT109" s="26">
        <f>(VLOOKUP(tabCustoUnit[[#This Row],[Código do Posto]],tabParametros[],MATCH(tabCustoUnit[[#Headers],[COFINS]],tabParametros[#Headers],0),0)+
VLOOKUP(tabCustoUnit[[#This Row],[Código do Posto]],tabParametros[],MATCH(tabCustoUnit[[#Headers],[PIS]],tabParametros[#Headers],0),0)+
VLOOKUP(tabCustoUnit[[#This Row],[Código do Posto]],tabParametros[],MATCH(tabCustoUnit[[#Headers],[ISS]],tabParametros[#Headers],0),0))</f>
        <v>0.13250000000000001</v>
      </c>
      <c r="BU109" s="138">
        <f>tabCustoUnit[[#This Row],[COFINS]]+tabCustoUnit[[#This Row],[PIS]]+tabCustoUnit[[#This Row],[ISS (Conversão Alíquota s/ fatura)]]</f>
        <v>0.15273775216138324</v>
      </c>
      <c r="BV109" s="22">
        <f>(tabCustoUnit[[#This Row],[TOTAL MÓDULOS 1+2+3+4+5]]+tabCustoUnit[[#This Row],[Custos Indiretos]]+tabCustoUnit[[#This Row],[Lucro]])*tabCustoUnit[[#This Row],[PIS + COFINS + ISS (Total Conversão  Alíquota s/ Fatura)]]</f>
        <v>758.56234036198794</v>
      </c>
      <c r="BW109" s="22">
        <f>tabCustoUnit[[#This Row],[Custos Indiretos]]+tabCustoUnit[[#This Row],[Lucro]]+tabCustoUnit[[#This Row],[Valor dos Tributos (ISS, PIS, CONFINS)]]</f>
        <v>1107.516134942452</v>
      </c>
      <c r="BX109" s="22">
        <f>tabCustoUnit[[#This Row],[TOTAL MÓDULOS 1+2+3+4+5]]+tabCustoUnit[[#This Row],[MÓDULO 6 – CUSTOS INDIRETOS, TRIBUTOS E LUCRO]]</f>
        <v>5724.9987951848161</v>
      </c>
      <c r="BY109" s="22">
        <f>tabCustoUnit[[#This Row],[CUSTO TOTAL MENSAL]]*12</f>
        <v>68699.985542217793</v>
      </c>
      <c r="BZ109" s="24">
        <f>VLOOKUP(tabCustoUnit[[#This Row],[Código do Posto]],tabParametros[],MATCH(tabCustoUnit[[#Headers],[ANO DA CCT]],tabParametros[#Headers],0),0)</f>
        <v>45658</v>
      </c>
      <c r="CA109" s="25" t="str">
        <f>VLOOKUP(tabCustoUnit[[#This Row],[Código do Posto]],tabParametros[],MATCH(tabCustoUnit[[#Headers],[Nº DE PEDIDO DA CCT]],tabParametros[#Headers],0),0)</f>
        <v>-</v>
      </c>
      <c r="CB109" s="25" t="str">
        <f>VLOOKUP(tabCustoUnit[[#This Row],[Código do Posto]],tabParametros[],MATCH(tabCustoUnit[[#Headers],[TERMO ADITIVO ALTERAÇÃO DA CCT]],tabParametros[#Headers],0),0)</f>
        <v>-</v>
      </c>
    </row>
    <row r="110" spans="1:80" x14ac:dyDescent="0.25">
      <c r="A110" s="20" t="s">
        <v>1449</v>
      </c>
      <c r="B110" t="s">
        <v>102</v>
      </c>
      <c r="C110" t="s">
        <v>1246</v>
      </c>
      <c r="D110" t="s">
        <v>1002</v>
      </c>
      <c r="E110" s="20" t="s">
        <v>9</v>
      </c>
      <c r="F110" s="20" t="s">
        <v>10</v>
      </c>
      <c r="G110" s="21">
        <v>1124.3900000000001</v>
      </c>
      <c r="H110" s="21">
        <v>0</v>
      </c>
      <c r="I110" s="21">
        <v>0</v>
      </c>
      <c r="J110" s="21">
        <v>0</v>
      </c>
      <c r="K110" s="21">
        <v>0</v>
      </c>
      <c r="L110" s="21">
        <v>0</v>
      </c>
      <c r="M110" s="21">
        <v>0</v>
      </c>
      <c r="N110" s="21">
        <v>40.478000000000002</v>
      </c>
      <c r="O110" s="21">
        <f>SUM(tabCustoUnit[[#This Row],[Salário Base]:[Adicional de Acúmulo de função]])</f>
        <v>1164.8680000000002</v>
      </c>
      <c r="P110" s="21">
        <f>tabCustoUnit[[#This Row],[MODULO 1 - REMUNERAÇÃO ]]*SUMIFS(tabParametros[INSS],tabParametros[Código do Posto],tabCustoUnit[[#This Row],[Código do Posto]])</f>
        <v>232.97360000000003</v>
      </c>
      <c r="Q110" s="21">
        <f>tabCustoUnit[[#This Row],[MODULO 1 - REMUNERAÇÃO ]]*SUMIFS(tabParametros[SESI OU SESC],tabParametros[Código do Posto],tabCustoUnit[[#This Row],[Código do Posto]])</f>
        <v>17.473020000000002</v>
      </c>
      <c r="R110" s="21">
        <f>tabCustoUnit[[#This Row],[MODULO 1 - REMUNERAÇÃO ]]*SUMIFS(tabParametros[SENAI OU SENAC],tabParametros[Código do Posto],tabCustoUnit[[#This Row],[Código do Posto]])</f>
        <v>11.648680000000002</v>
      </c>
      <c r="S110" s="21">
        <f>tabCustoUnit[[#This Row],[MODULO 1 - REMUNERAÇÃO ]]*SUMIFS(tabParametros[INCRA],tabParametros[Código do Posto],tabCustoUnit[[#This Row],[Código do Posto]])</f>
        <v>2.3297360000000005</v>
      </c>
      <c r="T110" s="21">
        <f>tabCustoUnit[[#This Row],[MODULO 1 - REMUNERAÇÃO ]]*SUMIFS(tabParametros[Salário Educação],tabParametros[Código do Posto],tabCustoUnit[[#This Row],[Código do Posto]])</f>
        <v>29.121700000000004</v>
      </c>
      <c r="U110" s="21">
        <f>tabCustoUnit[[#This Row],[MODULO 1 - REMUNERAÇÃO ]]*SUMIFS(tabParametros[FGTS],tabParametros[Código do Posto],tabCustoUnit[[#This Row],[Código do Posto]])</f>
        <v>93.189440000000019</v>
      </c>
      <c r="V110" s="21">
        <f>tabCustoUnit[[#This Row],[MODULO 1 - REMUNERAÇÃO ]]*SUMIFS(tabParametros[RAT Ajustado],tabParametros[Código do Posto],tabCustoUnit[[#This Row],[Código do Posto]])</f>
        <v>46.594720000000009</v>
      </c>
      <c r="W110" s="21">
        <f>tabCustoUnit[[#This Row],[MODULO 1 - REMUNERAÇÃO ]]*SUMIFS(tabParametros[SEBRAE],tabParametros[Código do Posto],tabCustoUnit[[#This Row],[Código do Posto]])</f>
        <v>6.9892080000000014</v>
      </c>
      <c r="X110" s="21">
        <f>SUM(tabCustoUnit[[#This Row],[INSS]:[SEBRAE]])</f>
        <v>440.32010400000001</v>
      </c>
      <c r="Y110" s="21">
        <f>tabCustoUnit[[#This Row],[MODULO 1 - REMUNERAÇÃO ]]*SUMIFS(tabParametros[13º salário (titular)],tabParametros[Código do Posto],tabCustoUnit[[#This Row],[Código do Posto]])</f>
        <v>97.072333333333347</v>
      </c>
      <c r="Z110" s="21">
        <f>tabCustoUnit[[#This Row],[MODULO 1 - REMUNERAÇÃO ]]*SUMIFS(tabParametros[Férias e Adicional de Férias (titular)],tabParametros[Código do Posto],tabCustoUnit[[#This Row],[Código do Posto]])</f>
        <v>129.42977777777779</v>
      </c>
      <c r="AA110" s="21">
        <f>IFERROR((tabCustoUnit[[#This Row],[Submódulo 2.1]]/tabCustoUnit[[#This Row],[MODULO 1 - REMUNERAÇÃO ]])*SUM(tabCustoUnit[[#This Row],[13º salário (titular)]:[Férias e Adicional de Férias (titular)]]),0)</f>
        <v>85.617797999999993</v>
      </c>
      <c r="AB110" s="21">
        <f>SUM(tabCustoUnit[[#This Row],[13º salário (titular)]:[Incidência do Submódulo 2.1 sobre 13º Salário, Férias e Adicional de Férias]])</f>
        <v>312.11990911111116</v>
      </c>
      <c r="AC110" s="22">
        <f>_xlfn.LET(_xlpm.VT,SUMIF(tabParametros[Código do Posto],tabCustoUnit[[#This Row],[Código do Posto]],tabParametros[Vale - Transporte])*2*20,
IF((_xlpm.VT-tabCustoUnit[[#This Row],[Salário Base]]*0.06)&gt;=0,(_xlpm.VT-tabCustoUnit[[#This Row],[Salário Base]]*0.06),0)
)</f>
        <v>188.53659999999999</v>
      </c>
      <c r="AD110" s="22">
        <f>IF(SUMIF(tabParametros[Código do Posto],tabCustoUnit[[#This Row],[Código do Posto]],tabParametros[Vale - Alimentação])&lt;=0,0,
SUMIF(tabParametros[Código do Posto],tabCustoUnit[[#This Row],[Código do Posto]],tabParametros[Vale - Alimentação])*20-1)</f>
        <v>582</v>
      </c>
      <c r="AE110" s="22">
        <f>SUMIF(tabParametros[Código do Posto],tabCustoUnit[[#This Row],[Código do Posto]],tabParametros[Cesta Básica])</f>
        <v>0</v>
      </c>
      <c r="AF110" s="22">
        <f>SUMIF(tabParametros[Código do Posto],tabCustoUnit[[#This Row],[Código do Posto]],tabParametros[PAF])</f>
        <v>0</v>
      </c>
      <c r="AG110" s="22">
        <f>SUMIF(tabParametros[Código do Posto],tabCustoUnit[[#This Row],[Código do Posto]],tabParametros[PQM])</f>
        <v>15.07</v>
      </c>
      <c r="AH110" s="22">
        <f>SUMIF(tabParametros[Código do Posto],tabCustoUnit[[#This Row],[Código do Posto]],tabParametros[PAT])</f>
        <v>0</v>
      </c>
      <c r="AI110" s="22">
        <f>SUMIF(tabParametros[Código do Posto],tabCustoUnit[[#This Row],[Código do Posto]],tabParametros[Seguro de Vida])</f>
        <v>3.36</v>
      </c>
      <c r="AJ110" s="22">
        <f>SUMIF(tabParametros[Código do Posto],tabCustoUnit[[#This Row],[Código do Posto]],tabParametros[Despesas de Viagem])</f>
        <v>0</v>
      </c>
      <c r="AK110" s="22">
        <f>SUM(tabCustoUnit[[#This Row],[Vale - Transporte (Descontada parcela do empregado)]:[Despesas de Viagem]])</f>
        <v>788.96660000000008</v>
      </c>
      <c r="AL110" s="22">
        <f>tabCustoUnit[[#This Row],[Submódulo 2.1]]+tabCustoUnit[[#This Row],[Submódulo 2.2]]+tabCustoUnit[[#This Row],[Submódulo 2.3]]</f>
        <v>1541.4066131111113</v>
      </c>
      <c r="AM110" s="22">
        <f>SUMIF(tabParametros[Código do Posto],tabCustoUnit[[#This Row],[Código do Posto]],tabParametros[Aviso Prévio Indenizado (API) e Reflexo do Aviso Prévio Indenizado])*tabCustoUnit[[#This Row],[MODULO 1 - REMUNERAÇÃO ]]</f>
        <v>8.1677829729938285</v>
      </c>
      <c r="AN110" s="22">
        <f>SUMIF(tabParametros[Código do Posto],tabCustoUnit[[#This Row],[Código do Posto]],tabParametros[Incidência do FGTS sobre API e Reflexo do API])*tabCustoUnit[[#This Row],[MODULO 1 - REMUNERAÇÃO ]]</f>
        <v>0.65342263783950627</v>
      </c>
      <c r="AO110" s="22">
        <f>SUMIF(tabParametros[Código do Posto],tabCustoUnit[[#This Row],[Código do Posto]],tabParametros[Multa Rescisória do FGTS sobre o Aviso Prévio Indenizado])*tabCustoUnit[[#This Row],[MODULO 1 - REMUNERAÇÃO ]]</f>
        <v>0.26136905513580255</v>
      </c>
      <c r="AP110" s="22">
        <f>SUMIF(tabParametros[Código do Posto],tabCustoUnit[[#This Row],[Código do Posto]],tabParametros[Aviso Prévio Trabalhado - APT])*tabCustoUnit[[#This Row],[MODULO 1 - REMUNERAÇÃO ]]</f>
        <v>4.0770380000000008</v>
      </c>
      <c r="AQ110" s="22">
        <f>SUMIF(tabParametros[Código do Posto],tabCustoUnit[[#This Row],[Código do Posto]],tabParametros[Incidência dos encargos do submódulo 2.1 sobre Aviso Prévio Trabalhado])*tabCustoUnit[[#This Row],[MODULO 1 - REMUNERAÇÃO ]]</f>
        <v>1.5411203640000006</v>
      </c>
      <c r="AR110" s="22">
        <f>SUMIF(tabParametros[Código do Posto],tabCustoUnit[[#This Row],[Código do Posto]],tabParametros[Multa Rescisória do FGTS])*tabCustoUnit[[#This Row],[MODULO 1 - REMUNERAÇÃO ]]</f>
        <v>35.619074844444441</v>
      </c>
      <c r="AS110" s="22">
        <f>SUMIF(tabParametros[Código do Posto],tabCustoUnit[[#This Row],[Código do Posto]],tabParametros[Indenização Adicional (Art. 9º da Lei nº 7.238/84)])*tabCustoUnit[[#This Row],[MODULO 1 - REMUNERAÇÃO ]]</f>
        <v>0.97072333333333349</v>
      </c>
      <c r="AT110" s="22">
        <f>SUM(tabCustoUnit[[#This Row],[Aviso Prévio Indenizado (API) e Reflexo do Aviso Prévio Indenizado]:[Indenização Adicional (Art. 9º da Lei nº 7.238/84)]])</f>
        <v>51.290531207746916</v>
      </c>
      <c r="AU110" s="22">
        <f>SUMIF(tabParametros[Código do Posto],tabCustoUnit[[#This Row],[Código do Posto]],tabParametros[Ausência por Doença])*tabCustoUnit[[#This Row],[MODULO 1 - REMUNERAÇÃO ]]</f>
        <v>9.8366631111111111</v>
      </c>
      <c r="AV110" s="22">
        <f>SUMIF(tabParametros[Código do Posto],tabCustoUnit[[#This Row],[Código do Posto]],tabParametros[Ausências Legais])*tabCustoUnit[[#This Row],[MODULO 1 - REMUNERAÇÃO ]]</f>
        <v>2.3620934444444446</v>
      </c>
      <c r="AW110" s="22">
        <f>SUMIF(tabParametros[Código do Posto],tabCustoUnit[[#This Row],[Código do Posto]],tabParametros[Licença Paternidade])*tabCustoUnit[[#This Row],[MODULO 1 - REMUNERAÇÃO ]]</f>
        <v>0.19899828333333336</v>
      </c>
      <c r="AX110" s="22">
        <f>SUMIF(tabParametros[Código do Posto],tabCustoUnit[[#This Row],[Código do Posto]],tabParametros[Ausência por Acidente de Trabalho])*tabCustoUnit[[#This Row],[MODULO 1 - REMUNERAÇÃO ]]</f>
        <v>0.24268083333333337</v>
      </c>
      <c r="AY110" s="22">
        <f>SUMIF(tabParametros[Código do Posto],tabCustoUnit[[#This Row],[Código do Posto]],tabParametros[Férias, Adicional de Férias e 13º  com empregada em gozo de Licença Maternidade])*tabCustoUnit[[#This Row],[MODULO 1 - REMUNERAÇÃO ]]</f>
        <v>1.5100140740740742</v>
      </c>
      <c r="AZ110" s="22">
        <f>SUMIF(tabParametros[Código do Posto],tabCustoUnit[[#This Row],[Código do Posto]],tabParametros[Incidência do Submódulo 2.1 sobre Ausências Legais])*tabCustoUnit[[#This Row],[MODULO 1 - REMUNERAÇÃO ]]</f>
        <v>5.3488700041000019</v>
      </c>
      <c r="BA110" s="22">
        <f>SUM(tabCustoUnit[[#This Row],[Ausência por Doença]:[Incidência do Submódulo 2.1 sobre Ausências Legais]])</f>
        <v>19.499319750396296</v>
      </c>
      <c r="BB110" s="22">
        <f>SUMIF(tabParametros[Código do Posto],tabCustoUnit[[#This Row],[Código do Posto]],tabParametros[Intervalo para Repouso ou Alimentação])</f>
        <v>0</v>
      </c>
      <c r="BC110" s="22">
        <f>tabCustoUnit[[#This Row],[Intervalo para Repouso ou Alimentação]]</f>
        <v>0</v>
      </c>
      <c r="BD110" s="22">
        <f>IF(VLOOKUP(tabCustoUnit[[#This Row],[Código do Posto]],PARAMETROS!$A$4:$BJ$255,7,0)&lt;=0,0,
IFERROR((tabCustoUnit[[#This Row],[MODULO 1 - REMUNERAÇÃO ]]*VLOOKUP(tabCustoUnit[[#This Row],[Código do Posto]],PARAMETROS!$A$4:$BJ$255,49,0))/(VLOOKUP(tabCustoUnit[[#This Row],[Código do Posto]],PARAMETROS!$A$4:$BJ$255,7,0)*VLOOKUP(tabCustoUnit[[#This Row],[Código do Posto]],PARAMETROS!$A$4:$BJ$255,8,0)),0)
)</f>
        <v>0</v>
      </c>
      <c r="BE110" s="22">
        <f>tabCustoUnit[[#This Row],[Suspensão Temporária do Contrato de Trabalho]]</f>
        <v>0</v>
      </c>
      <c r="BF110" s="22">
        <f>tabCustoUnit[[#This Row],[Submódulo 4.1]]+tabCustoUnit[[#This Row],[Submódulo 4.2]]+tabCustoUnit[[#This Row],[Submódulo 4.3]]</f>
        <v>19.499319750396296</v>
      </c>
      <c r="BG110" s="22">
        <f>VLOOKUP(tabCustoUnit[[#This Row],[Código do Posto]],tabParametros[],MATCH(tabCustoUnit[[#Headers],[Uniformes e EPIs]],tabParametros[#Headers],0),0)</f>
        <v>100.80916666666666</v>
      </c>
      <c r="BH110" s="22">
        <f>VLOOKUP(tabCustoUnit[[#This Row],[Código do Posto]],tabParametros[],MATCH(tabCustoUnit[[#Headers],[Materiais de Consumo]],tabParametros[#Headers],0),0)</f>
        <v>24.216963380852651</v>
      </c>
      <c r="BI110" s="22">
        <f>VLOOKUP(tabCustoUnit[[#This Row],[Código do Posto]],tabParametros[],MATCH(tabCustoUnit[[#Headers],[Máquinas e Equipamentos (depreciação)]],tabParametros[#Headers],0),0)</f>
        <v>43.997314032835618</v>
      </c>
      <c r="BJ110" s="22">
        <f>VLOOKUP(tabCustoUnit[[#This Row],[Código do Posto]],tabParametros[],MATCH(tabCustoUnit[[#Headers],[Produtos de Limpeza e Materiais de Higiene Pessoal]],tabParametros[#Headers],0),0)</f>
        <v>470.6396814404431</v>
      </c>
      <c r="BK110" s="22">
        <f>VLOOKUP(tabCustoUnit[[#This Row],[Código do Posto]],tabParametros[],MATCH(tabCustoUnit[[#Headers],[Outros (especificar)]],tabParametros[#Headers],0),0)</f>
        <v>0</v>
      </c>
      <c r="BL110" s="22">
        <f>SUM(tabCustoUnit[[#This Row],[Uniformes e EPIs]:[Outros (especificar)]])</f>
        <v>639.66312552079808</v>
      </c>
      <c r="BM110" s="22">
        <f>tabCustoUnit[[#This Row],[MODULO 1 - REMUNERAÇÃO ]]+tabCustoUnit[[#This Row],[MÓDULO 2 - Total Encargos e Benefícios mensais e diários]]+tabCustoUnit[[#This Row],[MÓDULO 3 – PROVISÃO PARA RESCISÃO]]+tabCustoUnit[[#This Row],[MÓDULO 4 – CUSTO DE REPOSIÇÃO DO PROFISSIONAL AUSENTE]]+tabCustoUnit[[#This Row],[MÓDULO 5 – INSUMOS DIVERSOS]]</f>
        <v>3416.727589590053</v>
      </c>
      <c r="BN110" s="22">
        <f>VLOOKUP(tabCustoUnit[[#This Row],[Código do Posto]],tabParametros[],MATCH(tabCustoUnit[[#Headers],[Custos Indiretos]],tabParametros[#Headers],0),0)</f>
        <v>189.64880140242613</v>
      </c>
      <c r="BO110" s="22">
        <f>VLOOKUP(tabCustoUnit[[#This Row],[Código do Posto]],tabParametros[],MATCH(tabCustoUnit[[#Headers],[Lucro]],tabParametros[#Headers],0),0)</f>
        <v>159.30499317803796</v>
      </c>
      <c r="BP110" s="26">
        <f>((100/((1-tabCustoUnit[[#This Row],[Resumo de Alíquotas (PIS+CONFINS+ISS)]]))-100)*VLOOKUP(tabCustoUnit[[#This Row],[Código do Posto]],tabParametros[],MATCH(tabCustoUnit[[#Headers],[COFINS]],tabParametros[#Headers],0),0))/(tabCustoUnit[[#This Row],[Resumo de Alíquotas (PIS+CONFINS+ISS)]]*100)</f>
        <v>8.5633802816901458E-2</v>
      </c>
      <c r="BQ110" s="26">
        <f>((100/((100-(tabCustoUnit[[#This Row],[Resumo de Alíquotas (PIS+CONFINS+ISS)]]*100))%)-100)*VLOOKUP(tabCustoUnit[[#This Row],[Código do Posto]],tabParametros[],MATCH(tabCustoUnit[[#Headers],[PIS]],tabParametros[#Headers],0),0))/(tabCustoUnit[[#This Row],[Resumo de Alíquotas (PIS+CONFINS+ISS)]]*100)</f>
        <v>1.8591549295774657E-2</v>
      </c>
      <c r="BR110" s="28">
        <f>VLOOKUP(tabCustoUnit[[#This Row],[Código do Posto]],tabParametros[],MATCH(tabCustoUnit[[#Headers],[ISS]],tabParametros[#Headers],0),0)</f>
        <v>0.02</v>
      </c>
      <c r="BS110" s="26">
        <f>(((100/((100-(tabCustoUnit[[#This Row],[Resumo de Alíquotas (PIS+CONFINS+ISS)]]*100))%)-100)*tabCustoUnit[[#This Row],[ISS]])/tabCustoUnit[[#This Row],[Resumo de Alíquotas (PIS+CONFINS+ISS)]])/100</f>
        <v>2.2535211267605645E-2</v>
      </c>
      <c r="BT110" s="26">
        <f>(VLOOKUP(tabCustoUnit[[#This Row],[Código do Posto]],tabParametros[],MATCH(tabCustoUnit[[#Headers],[COFINS]],tabParametros[#Headers],0),0)+
VLOOKUP(tabCustoUnit[[#This Row],[Código do Posto]],tabParametros[],MATCH(tabCustoUnit[[#Headers],[PIS]],tabParametros[#Headers],0),0)+
VLOOKUP(tabCustoUnit[[#This Row],[Código do Posto]],tabParametros[],MATCH(tabCustoUnit[[#Headers],[ISS]],tabParametros[#Headers],0),0))</f>
        <v>0.1125</v>
      </c>
      <c r="BU110" s="138">
        <f>tabCustoUnit[[#This Row],[COFINS]]+tabCustoUnit[[#This Row],[PIS]]+tabCustoUnit[[#This Row],[ISS (Conversão Alíquota s/ fatura)]]</f>
        <v>0.12676056338028174</v>
      </c>
      <c r="BV110" s="22">
        <f>(tabCustoUnit[[#This Row],[TOTAL MÓDULOS 1+2+3+4+5]]+tabCustoUnit[[#This Row],[Custos Indiretos]]+tabCustoUnit[[#This Row],[Lucro]])*tabCustoUnit[[#This Row],[PIS + COFINS + ISS (Total Conversão  Alíquota s/ Fatura)]]</f>
        <v>477.33989376809393</v>
      </c>
      <c r="BW110" s="22">
        <f>tabCustoUnit[[#This Row],[Custos Indiretos]]+tabCustoUnit[[#This Row],[Lucro]]+tabCustoUnit[[#This Row],[Valor dos Tributos (ISS, PIS, CONFINS)]]</f>
        <v>826.29368834855802</v>
      </c>
      <c r="BX110" s="22">
        <f>tabCustoUnit[[#This Row],[TOTAL MÓDULOS 1+2+3+4+5]]+tabCustoUnit[[#This Row],[MÓDULO 6 – CUSTOS INDIRETOS, TRIBUTOS E LUCRO]]</f>
        <v>4243.0212779386111</v>
      </c>
      <c r="BY110" s="22">
        <f>tabCustoUnit[[#This Row],[CUSTO TOTAL MENSAL]]*12</f>
        <v>50916.255335263333</v>
      </c>
      <c r="BZ110" s="24">
        <f>VLOOKUP(tabCustoUnit[[#This Row],[Código do Posto]],tabParametros[],MATCH(tabCustoUnit[[#Headers],[ANO DA CCT]],tabParametros[#Headers],0),0)</f>
        <v>45658</v>
      </c>
      <c r="CA110" s="25" t="str">
        <f>VLOOKUP(tabCustoUnit[[#This Row],[Código do Posto]],tabParametros[],MATCH(tabCustoUnit[[#Headers],[Nº DE PEDIDO DA CCT]],tabParametros[#Headers],0),0)</f>
        <v>-</v>
      </c>
      <c r="CB110" s="25" t="str">
        <f>VLOOKUP(tabCustoUnit[[#This Row],[Código do Posto]],tabParametros[],MATCH(tabCustoUnit[[#Headers],[TERMO ADITIVO ALTERAÇÃO DA CCT]],tabParametros[#Headers],0),0)</f>
        <v>-</v>
      </c>
    </row>
    <row r="111" spans="1:80" x14ac:dyDescent="0.25">
      <c r="A111" s="20" t="s">
        <v>1450</v>
      </c>
      <c r="B111" t="s">
        <v>103</v>
      </c>
      <c r="C111" t="s">
        <v>1244</v>
      </c>
      <c r="D111" t="s">
        <v>1037</v>
      </c>
      <c r="E111" s="20" t="s">
        <v>9</v>
      </c>
      <c r="F111" s="20" t="s">
        <v>10</v>
      </c>
      <c r="G111" s="21">
        <v>798.14</v>
      </c>
      <c r="H111" s="21">
        <v>0</v>
      </c>
      <c r="I111" s="21">
        <v>0</v>
      </c>
      <c r="J111" s="21">
        <v>0</v>
      </c>
      <c r="K111" s="21">
        <v>0</v>
      </c>
      <c r="L111" s="21">
        <v>0</v>
      </c>
      <c r="M111" s="21">
        <v>0</v>
      </c>
      <c r="N111" s="21">
        <v>26.120899999999999</v>
      </c>
      <c r="O111" s="21">
        <f>SUM(tabCustoUnit[[#This Row],[Salário Base]:[Adicional de Acúmulo de função]])</f>
        <v>824.26089999999999</v>
      </c>
      <c r="P111" s="21">
        <f>tabCustoUnit[[#This Row],[MODULO 1 - REMUNERAÇÃO ]]*SUMIFS(tabParametros[INSS],tabParametros[Código do Posto],tabCustoUnit[[#This Row],[Código do Posto]])</f>
        <v>164.85218</v>
      </c>
      <c r="Q111" s="21">
        <f>tabCustoUnit[[#This Row],[MODULO 1 - REMUNERAÇÃO ]]*SUMIFS(tabParametros[SESI OU SESC],tabParametros[Código do Posto],tabCustoUnit[[#This Row],[Código do Posto]])</f>
        <v>12.363913499999999</v>
      </c>
      <c r="R111" s="21">
        <f>tabCustoUnit[[#This Row],[MODULO 1 - REMUNERAÇÃO ]]*SUMIFS(tabParametros[SENAI OU SENAC],tabParametros[Código do Posto],tabCustoUnit[[#This Row],[Código do Posto]])</f>
        <v>8.2426089999999999</v>
      </c>
      <c r="S111" s="21">
        <f>tabCustoUnit[[#This Row],[MODULO 1 - REMUNERAÇÃO ]]*SUMIFS(tabParametros[INCRA],tabParametros[Código do Posto],tabCustoUnit[[#This Row],[Código do Posto]])</f>
        <v>1.6485217999999999</v>
      </c>
      <c r="T111" s="21">
        <f>tabCustoUnit[[#This Row],[MODULO 1 - REMUNERAÇÃO ]]*SUMIFS(tabParametros[Salário Educação],tabParametros[Código do Posto],tabCustoUnit[[#This Row],[Código do Posto]])</f>
        <v>20.606522500000001</v>
      </c>
      <c r="U111" s="21">
        <f>tabCustoUnit[[#This Row],[MODULO 1 - REMUNERAÇÃO ]]*SUMIFS(tabParametros[FGTS],tabParametros[Código do Posto],tabCustoUnit[[#This Row],[Código do Posto]])</f>
        <v>65.940871999999999</v>
      </c>
      <c r="V111" s="21">
        <f>tabCustoUnit[[#This Row],[MODULO 1 - REMUNERAÇÃO ]]*SUMIFS(tabParametros[RAT Ajustado],tabParametros[Código do Posto],tabCustoUnit[[#This Row],[Código do Posto]])</f>
        <v>32.970435999999999</v>
      </c>
      <c r="W111" s="21">
        <f>tabCustoUnit[[#This Row],[MODULO 1 - REMUNERAÇÃO ]]*SUMIFS(tabParametros[SEBRAE],tabParametros[Código do Posto],tabCustoUnit[[#This Row],[Código do Posto]])</f>
        <v>4.9455654000000004</v>
      </c>
      <c r="X111" s="21">
        <f>SUM(tabCustoUnit[[#This Row],[INSS]:[SEBRAE]])</f>
        <v>311.57062020000001</v>
      </c>
      <c r="Y111" s="21">
        <f>tabCustoUnit[[#This Row],[MODULO 1 - REMUNERAÇÃO ]]*SUMIFS(tabParametros[13º salário (titular)],tabParametros[Código do Posto],tabCustoUnit[[#This Row],[Código do Posto]])</f>
        <v>68.688408333333328</v>
      </c>
      <c r="Z111" s="21">
        <f>tabCustoUnit[[#This Row],[MODULO 1 - REMUNERAÇÃO ]]*SUMIFS(tabParametros[Férias e Adicional de Férias (titular)],tabParametros[Código do Posto],tabCustoUnit[[#This Row],[Código do Posto]])</f>
        <v>91.584544444444433</v>
      </c>
      <c r="AA111" s="21">
        <f>IFERROR((tabCustoUnit[[#This Row],[Submódulo 2.1]]/tabCustoUnit[[#This Row],[MODULO 1 - REMUNERAÇÃO ]])*SUM(tabCustoUnit[[#This Row],[13º salário (titular)]:[Férias e Adicional de Férias (titular)]]),0)</f>
        <v>60.583176149999993</v>
      </c>
      <c r="AB111" s="21">
        <f>SUM(tabCustoUnit[[#This Row],[13º salário (titular)]:[Incidência do Submódulo 2.1 sobre 13º Salário, Férias e Adicional de Férias]])</f>
        <v>220.85612892777775</v>
      </c>
      <c r="AC111" s="22">
        <f>_xlfn.LET(_xlpm.VT,SUMIF(tabParametros[Código do Posto],tabCustoUnit[[#This Row],[Código do Posto]],tabParametros[Vale - Transporte])*2*20,
IF((_xlpm.VT-tabCustoUnit[[#This Row],[Salário Base]]*0.06)&gt;=0,(_xlpm.VT-tabCustoUnit[[#This Row],[Salário Base]]*0.06),0)
)</f>
        <v>208.11160000000001</v>
      </c>
      <c r="AD111" s="22">
        <f>IF(SUMIF(tabParametros[Código do Posto],tabCustoUnit[[#This Row],[Código do Posto]],tabParametros[Vale - Alimentação])&lt;=0,0,
SUMIF(tabParametros[Código do Posto],tabCustoUnit[[#This Row],[Código do Posto]],tabParametros[Vale - Alimentação])*20-1)</f>
        <v>582</v>
      </c>
      <c r="AE111" s="22">
        <f>SUMIF(tabParametros[Código do Posto],tabCustoUnit[[#This Row],[Código do Posto]],tabParametros[Cesta Básica])</f>
        <v>0</v>
      </c>
      <c r="AF111" s="22">
        <f>SUMIF(tabParametros[Código do Posto],tabCustoUnit[[#This Row],[Código do Posto]],tabParametros[PAF])</f>
        <v>51.86</v>
      </c>
      <c r="AG111" s="22">
        <f>SUMIF(tabParametros[Código do Posto],tabCustoUnit[[#This Row],[Código do Posto]],tabParametros[PQM])</f>
        <v>0</v>
      </c>
      <c r="AH111" s="22">
        <f>SUMIF(tabParametros[Código do Posto],tabCustoUnit[[#This Row],[Código do Posto]],tabParametros[PAT])</f>
        <v>0</v>
      </c>
      <c r="AI111" s="22">
        <f>SUMIF(tabParametros[Código do Posto],tabCustoUnit[[#This Row],[Código do Posto]],tabParametros[Seguro de Vida])</f>
        <v>3.36</v>
      </c>
      <c r="AJ111" s="22">
        <f>SUMIF(tabParametros[Código do Posto],tabCustoUnit[[#This Row],[Código do Posto]],tabParametros[Despesas de Viagem])</f>
        <v>0</v>
      </c>
      <c r="AK111" s="22">
        <f>SUM(tabCustoUnit[[#This Row],[Vale - Transporte (Descontada parcela do empregado)]:[Despesas de Viagem]])</f>
        <v>845.33159999999998</v>
      </c>
      <c r="AL111" s="22">
        <f>tabCustoUnit[[#This Row],[Submódulo 2.1]]+tabCustoUnit[[#This Row],[Submódulo 2.2]]+tabCustoUnit[[#This Row],[Submódulo 2.3]]</f>
        <v>1377.7583491277778</v>
      </c>
      <c r="AM111" s="22">
        <f>SUMIF(tabParametros[Código do Posto],tabCustoUnit[[#This Row],[Código do Posto]],tabParametros[Aviso Prévio Indenizado (API) e Reflexo do Aviso Prévio Indenizado])*tabCustoUnit[[#This Row],[MODULO 1 - REMUNERAÇÃO ]]</f>
        <v>5.7795253576581791</v>
      </c>
      <c r="AN111" s="22">
        <f>SUMIF(tabParametros[Código do Posto],tabCustoUnit[[#This Row],[Código do Posto]],tabParametros[Incidência do FGTS sobre API e Reflexo do API])*tabCustoUnit[[#This Row],[MODULO 1 - REMUNERAÇÃO ]]</f>
        <v>0.46236202861265435</v>
      </c>
      <c r="AO111" s="22">
        <f>SUMIF(tabParametros[Código do Posto],tabCustoUnit[[#This Row],[Código do Posto]],tabParametros[Multa Rescisória do FGTS sobre o Aviso Prévio Indenizado])*tabCustoUnit[[#This Row],[MODULO 1 - REMUNERAÇÃO ]]</f>
        <v>0.18494481144506175</v>
      </c>
      <c r="AP111" s="22">
        <f>SUMIF(tabParametros[Código do Posto],tabCustoUnit[[#This Row],[Código do Posto]],tabParametros[Aviso Prévio Trabalhado - APT])*tabCustoUnit[[#This Row],[MODULO 1 - REMUNERAÇÃO ]]</f>
        <v>2.8849131500000005</v>
      </c>
      <c r="AQ111" s="22">
        <f>SUMIF(tabParametros[Código do Posto],tabCustoUnit[[#This Row],[Código do Posto]],tabParametros[Incidência dos encargos do submódulo 2.1 sobre Aviso Prévio Trabalhado])*tabCustoUnit[[#This Row],[MODULO 1 - REMUNERAÇÃO ]]</f>
        <v>1.0904971707000004</v>
      </c>
      <c r="AR111" s="22">
        <f>SUMIF(tabParametros[Código do Posto],tabCustoUnit[[#This Row],[Código do Posto]],tabParametros[Multa Rescisória do FGTS])*tabCustoUnit[[#This Row],[MODULO 1 - REMUNERAÇÃO ]]</f>
        <v>25.204066631111107</v>
      </c>
      <c r="AS111" s="22">
        <f>SUMIF(tabParametros[Código do Posto],tabCustoUnit[[#This Row],[Código do Posto]],tabParametros[Indenização Adicional (Art. 9º da Lei nº 7.238/84)])*tabCustoUnit[[#This Row],[MODULO 1 - REMUNERAÇÃO ]]</f>
        <v>0.6868840833333334</v>
      </c>
      <c r="AT111" s="22">
        <f>SUM(tabCustoUnit[[#This Row],[Aviso Prévio Indenizado (API) e Reflexo do Aviso Prévio Indenizado]:[Indenização Adicional (Art. 9º da Lei nº 7.238/84)]])</f>
        <v>36.293193232860339</v>
      </c>
      <c r="AU111" s="22">
        <f>SUMIF(tabParametros[Código do Posto],tabCustoUnit[[#This Row],[Código do Posto]],tabParametros[Ausência por Doença])*tabCustoUnit[[#This Row],[MODULO 1 - REMUNERAÇÃO ]]</f>
        <v>6.9604253777777769</v>
      </c>
      <c r="AV111" s="22">
        <f>SUMIF(tabParametros[Código do Posto],tabCustoUnit[[#This Row],[Código do Posto]],tabParametros[Ausências Legais])*tabCustoUnit[[#This Row],[MODULO 1 - REMUNERAÇÃO ]]</f>
        <v>1.671417936111111</v>
      </c>
      <c r="AW111" s="22">
        <f>SUMIF(tabParametros[Código do Posto],tabCustoUnit[[#This Row],[Código do Posto]],tabParametros[Licença Paternidade])*tabCustoUnit[[#This Row],[MODULO 1 - REMUNERAÇÃO ]]</f>
        <v>0.14081123708333332</v>
      </c>
      <c r="AX111" s="22">
        <f>SUMIF(tabParametros[Código do Posto],tabCustoUnit[[#This Row],[Código do Posto]],tabParametros[Ausência por Acidente de Trabalho])*tabCustoUnit[[#This Row],[MODULO 1 - REMUNERAÇÃO ]]</f>
        <v>0.17172102083333335</v>
      </c>
      <c r="AY111" s="22">
        <f>SUMIF(tabParametros[Código do Posto],tabCustoUnit[[#This Row],[Código do Posto]],tabParametros[Férias, Adicional de Férias e 13º  com empregada em gozo de Licença Maternidade])*tabCustoUnit[[#This Row],[MODULO 1 - REMUNERAÇÃO ]]</f>
        <v>1.0684863518518517</v>
      </c>
      <c r="AZ111" s="22">
        <f>SUMIF(tabParametros[Código do Posto],tabCustoUnit[[#This Row],[Código do Posto]],tabParametros[Incidência do Submódulo 2.1 sobre Ausências Legais])*tabCustoUnit[[#This Row],[MODULO 1 - REMUNERAÇÃO ]]</f>
        <v>3.7848618071425006</v>
      </c>
      <c r="BA111" s="22">
        <f>SUM(tabCustoUnit[[#This Row],[Ausência por Doença]:[Incidência do Submódulo 2.1 sobre Ausências Legais]])</f>
        <v>13.797723730799909</v>
      </c>
      <c r="BB111" s="22">
        <f>SUMIF(tabParametros[Código do Posto],tabCustoUnit[[#This Row],[Código do Posto]],tabParametros[Intervalo para Repouso ou Alimentação])</f>
        <v>0</v>
      </c>
      <c r="BC111" s="22">
        <f>tabCustoUnit[[#This Row],[Intervalo para Repouso ou Alimentação]]</f>
        <v>0</v>
      </c>
      <c r="BD111" s="22">
        <f>IF(VLOOKUP(tabCustoUnit[[#This Row],[Código do Posto]],PARAMETROS!$A$4:$BJ$255,7,0)&lt;=0,0,
IFERROR((tabCustoUnit[[#This Row],[MODULO 1 - REMUNERAÇÃO ]]*VLOOKUP(tabCustoUnit[[#This Row],[Código do Posto]],PARAMETROS!$A$4:$BJ$255,49,0))/(VLOOKUP(tabCustoUnit[[#This Row],[Código do Posto]],PARAMETROS!$A$4:$BJ$255,7,0)*VLOOKUP(tabCustoUnit[[#This Row],[Código do Posto]],PARAMETROS!$A$4:$BJ$255,8,0)),0)
)</f>
        <v>0</v>
      </c>
      <c r="BE111" s="22">
        <f>tabCustoUnit[[#This Row],[Suspensão Temporária do Contrato de Trabalho]]</f>
        <v>0</v>
      </c>
      <c r="BF111" s="22">
        <f>tabCustoUnit[[#This Row],[Submódulo 4.1]]+tabCustoUnit[[#This Row],[Submódulo 4.2]]+tabCustoUnit[[#This Row],[Submódulo 4.3]]</f>
        <v>13.797723730799909</v>
      </c>
      <c r="BG111" s="22">
        <f>VLOOKUP(tabCustoUnit[[#This Row],[Código do Posto]],tabParametros[],MATCH(tabCustoUnit[[#Headers],[Uniformes e EPIs]],tabParametros[#Headers],0),0)</f>
        <v>62.806666666666665</v>
      </c>
      <c r="BH111" s="22">
        <f>VLOOKUP(tabCustoUnit[[#This Row],[Código do Posto]],tabParametros[],MATCH(tabCustoUnit[[#Headers],[Materiais de Consumo]],tabParametros[#Headers],0),0)</f>
        <v>17.759106479291944</v>
      </c>
      <c r="BI111" s="22">
        <f>VLOOKUP(tabCustoUnit[[#This Row],[Código do Posto]],tabParametros[],MATCH(tabCustoUnit[[#Headers],[Máquinas e Equipamentos (depreciação)]],tabParametros[#Headers],0),0)</f>
        <v>32.264696957412788</v>
      </c>
      <c r="BJ111" s="22">
        <f>VLOOKUP(tabCustoUnit[[#This Row],[Código do Posto]],tabParametros[],MATCH(tabCustoUnit[[#Headers],[Produtos de Limpeza e Materiais de Higiene Pessoal]],tabParametros[#Headers],0),0)</f>
        <v>345.13576638965827</v>
      </c>
      <c r="BK111" s="22">
        <f>VLOOKUP(tabCustoUnit[[#This Row],[Código do Posto]],tabParametros[],MATCH(tabCustoUnit[[#Headers],[Outros (especificar)]],tabParametros[#Headers],0),0)</f>
        <v>0</v>
      </c>
      <c r="BL111" s="22">
        <f>SUM(tabCustoUnit[[#This Row],[Uniformes e EPIs]:[Outros (especificar)]])</f>
        <v>457.96623649302967</v>
      </c>
      <c r="BM111" s="22">
        <f>tabCustoUnit[[#This Row],[MODULO 1 - REMUNERAÇÃO ]]+tabCustoUnit[[#This Row],[MÓDULO 2 - Total Encargos e Benefícios mensais e diários]]+tabCustoUnit[[#This Row],[MÓDULO 3 – PROVISÃO PARA RESCISÃO]]+tabCustoUnit[[#This Row],[MÓDULO 4 – CUSTO DE REPOSIÇÃO DO PROFISSIONAL AUSENTE]]+tabCustoUnit[[#This Row],[MÓDULO 5 – INSUMOS DIVERSOS]]</f>
        <v>2710.0764025844674</v>
      </c>
      <c r="BN111" s="22">
        <f>VLOOKUP(tabCustoUnit[[#This Row],[Código do Posto]],tabParametros[],MATCH(tabCustoUnit[[#Headers],[Custos Indiretos]],tabParametros[#Headers],0),0)</f>
        <v>189.64880140242613</v>
      </c>
      <c r="BO111" s="22">
        <f>VLOOKUP(tabCustoUnit[[#This Row],[Código do Posto]],tabParametros[],MATCH(tabCustoUnit[[#Headers],[Lucro]],tabParametros[#Headers],0),0)</f>
        <v>159.30499317803796</v>
      </c>
      <c r="BP111" s="26">
        <f>((100/((1-tabCustoUnit[[#This Row],[Resumo de Alíquotas (PIS+CONFINS+ISS)]]))-100)*VLOOKUP(tabCustoUnit[[#This Row],[Código do Posto]],tabParametros[],MATCH(tabCustoUnit[[#Headers],[COFINS]],tabParametros[#Headers],0),0))/(tabCustoUnit[[#This Row],[Resumo de Alíquotas (PIS+CONFINS+ISS)]]*100)</f>
        <v>8.8629737609329504E-2</v>
      </c>
      <c r="BQ111" s="26">
        <f>((100/((100-(tabCustoUnit[[#This Row],[Resumo de Alíquotas (PIS+CONFINS+ISS)]]*100))%)-100)*VLOOKUP(tabCustoUnit[[#This Row],[Código do Posto]],tabParametros[],MATCH(tabCustoUnit[[#Headers],[PIS]],tabParametros[#Headers],0),0))/(tabCustoUnit[[#This Row],[Resumo de Alíquotas (PIS+CONFINS+ISS)]]*100)</f>
        <v>1.9241982507288629E-2</v>
      </c>
      <c r="BR111" s="28">
        <f>VLOOKUP(tabCustoUnit[[#This Row],[Código do Posto]],tabParametros[],MATCH(tabCustoUnit[[#Headers],[ISS]],tabParametros[#Headers],0),0)</f>
        <v>0.05</v>
      </c>
      <c r="BS111" s="26">
        <f>(((100/((100-(tabCustoUnit[[#This Row],[Resumo de Alíquotas (PIS+CONFINS+ISS)]]*100))%)-100)*tabCustoUnit[[#This Row],[ISS]])/tabCustoUnit[[#This Row],[Resumo de Alíquotas (PIS+CONFINS+ISS)]])/100</f>
        <v>5.8309037900874633E-2</v>
      </c>
      <c r="BT111" s="26">
        <f>(VLOOKUP(tabCustoUnit[[#This Row],[Código do Posto]],tabParametros[],MATCH(tabCustoUnit[[#Headers],[COFINS]],tabParametros[#Headers],0),0)+
VLOOKUP(tabCustoUnit[[#This Row],[Código do Posto]],tabParametros[],MATCH(tabCustoUnit[[#Headers],[PIS]],tabParametros[#Headers],0),0)+
VLOOKUP(tabCustoUnit[[#This Row],[Código do Posto]],tabParametros[],MATCH(tabCustoUnit[[#Headers],[ISS]],tabParametros[#Headers],0),0))</f>
        <v>0.14250000000000002</v>
      </c>
      <c r="BU111" s="138">
        <f>tabCustoUnit[[#This Row],[COFINS]]+tabCustoUnit[[#This Row],[PIS]]+tabCustoUnit[[#This Row],[ISS (Conversão Alíquota s/ fatura)]]</f>
        <v>0.16618075801749277</v>
      </c>
      <c r="BV111" s="22">
        <f>(tabCustoUnit[[#This Row],[TOTAL MÓDULOS 1+2+3+4+5]]+tabCustoUnit[[#This Row],[Custos Indiretos]]+tabCustoUnit[[#This Row],[Lucro]])*tabCustoUnit[[#This Row],[PIS + COFINS + ISS (Total Conversão  Alíquota s/ Fatura)]]</f>
        <v>508.35195696326866</v>
      </c>
      <c r="BW111" s="22">
        <f>tabCustoUnit[[#This Row],[Custos Indiretos]]+tabCustoUnit[[#This Row],[Lucro]]+tabCustoUnit[[#This Row],[Valor dos Tributos (ISS, PIS, CONFINS)]]</f>
        <v>857.30575154373275</v>
      </c>
      <c r="BX111" s="22">
        <f>tabCustoUnit[[#This Row],[TOTAL MÓDULOS 1+2+3+4+5]]+tabCustoUnit[[#This Row],[MÓDULO 6 – CUSTOS INDIRETOS, TRIBUTOS E LUCRO]]</f>
        <v>3567.3821541282</v>
      </c>
      <c r="BY111" s="22">
        <f>tabCustoUnit[[#This Row],[CUSTO TOTAL MENSAL]]*12</f>
        <v>42808.585849538402</v>
      </c>
      <c r="BZ111" s="24">
        <f>VLOOKUP(tabCustoUnit[[#This Row],[Código do Posto]],tabParametros[],MATCH(tabCustoUnit[[#Headers],[ANO DA CCT]],tabParametros[#Headers],0),0)</f>
        <v>45658</v>
      </c>
      <c r="CA111" s="25" t="str">
        <f>VLOOKUP(tabCustoUnit[[#This Row],[Código do Posto]],tabParametros[],MATCH(tabCustoUnit[[#Headers],[Nº DE PEDIDO DA CCT]],tabParametros[#Headers],0),0)</f>
        <v>-</v>
      </c>
      <c r="CB111" s="25" t="str">
        <f>VLOOKUP(tabCustoUnit[[#This Row],[Código do Posto]],tabParametros[],MATCH(tabCustoUnit[[#Headers],[TERMO ADITIVO ALTERAÇÃO DA CCT]],tabParametros[#Headers],0),0)</f>
        <v>-</v>
      </c>
    </row>
    <row r="112" spans="1:80" x14ac:dyDescent="0.25">
      <c r="A112" s="20" t="s">
        <v>1451</v>
      </c>
      <c r="B112" t="s">
        <v>104</v>
      </c>
      <c r="C112" t="s">
        <v>1247</v>
      </c>
      <c r="D112" t="s">
        <v>1000</v>
      </c>
      <c r="E112" s="20" t="s">
        <v>9</v>
      </c>
      <c r="F112" s="20" t="s">
        <v>10</v>
      </c>
      <c r="G112" s="21">
        <v>544.17999999999995</v>
      </c>
      <c r="H112" s="21">
        <v>0</v>
      </c>
      <c r="I112" s="21">
        <v>0</v>
      </c>
      <c r="J112" s="21">
        <v>0</v>
      </c>
      <c r="K112" s="21">
        <v>0</v>
      </c>
      <c r="L112" s="21">
        <v>0</v>
      </c>
      <c r="M112" s="21">
        <v>0</v>
      </c>
      <c r="N112" s="21">
        <v>19.590499999999999</v>
      </c>
      <c r="O112" s="21">
        <f>SUM(tabCustoUnit[[#This Row],[Salário Base]:[Adicional de Acúmulo de função]])</f>
        <v>563.77049999999997</v>
      </c>
      <c r="P112" s="21">
        <f>tabCustoUnit[[#This Row],[MODULO 1 - REMUNERAÇÃO ]]*SUMIFS(tabParametros[INSS],tabParametros[Código do Posto],tabCustoUnit[[#This Row],[Código do Posto]])</f>
        <v>112.75409999999999</v>
      </c>
      <c r="Q112" s="21">
        <f>tabCustoUnit[[#This Row],[MODULO 1 - REMUNERAÇÃO ]]*SUMIFS(tabParametros[SESI OU SESC],tabParametros[Código do Posto],tabCustoUnit[[#This Row],[Código do Posto]])</f>
        <v>8.4565574999999988</v>
      </c>
      <c r="R112" s="21">
        <f>tabCustoUnit[[#This Row],[MODULO 1 - REMUNERAÇÃO ]]*SUMIFS(tabParametros[SENAI OU SENAC],tabParametros[Código do Posto],tabCustoUnit[[#This Row],[Código do Posto]])</f>
        <v>5.6377049999999995</v>
      </c>
      <c r="S112" s="21">
        <f>tabCustoUnit[[#This Row],[MODULO 1 - REMUNERAÇÃO ]]*SUMIFS(tabParametros[INCRA],tabParametros[Código do Posto],tabCustoUnit[[#This Row],[Código do Posto]])</f>
        <v>1.1275409999999999</v>
      </c>
      <c r="T112" s="21">
        <f>tabCustoUnit[[#This Row],[MODULO 1 - REMUNERAÇÃO ]]*SUMIFS(tabParametros[Salário Educação],tabParametros[Código do Posto],tabCustoUnit[[#This Row],[Código do Posto]])</f>
        <v>14.094262499999999</v>
      </c>
      <c r="U112" s="21">
        <f>tabCustoUnit[[#This Row],[MODULO 1 - REMUNERAÇÃO ]]*SUMIFS(tabParametros[FGTS],tabParametros[Código do Posto],tabCustoUnit[[#This Row],[Código do Posto]])</f>
        <v>45.101639999999996</v>
      </c>
      <c r="V112" s="21">
        <f>tabCustoUnit[[#This Row],[MODULO 1 - REMUNERAÇÃO ]]*SUMIFS(tabParametros[RAT Ajustado],tabParametros[Código do Posto],tabCustoUnit[[#This Row],[Código do Posto]])</f>
        <v>22.550819999999998</v>
      </c>
      <c r="W112" s="21">
        <f>tabCustoUnit[[#This Row],[MODULO 1 - REMUNERAÇÃO ]]*SUMIFS(tabParametros[SEBRAE],tabParametros[Código do Posto],tabCustoUnit[[#This Row],[Código do Posto]])</f>
        <v>3.3826229999999997</v>
      </c>
      <c r="X112" s="21">
        <f>SUM(tabCustoUnit[[#This Row],[INSS]:[SEBRAE]])</f>
        <v>213.10524899999996</v>
      </c>
      <c r="Y112" s="21">
        <f>tabCustoUnit[[#This Row],[MODULO 1 - REMUNERAÇÃO ]]*SUMIFS(tabParametros[13º salário (titular)],tabParametros[Código do Posto],tabCustoUnit[[#This Row],[Código do Posto]])</f>
        <v>46.980874999999997</v>
      </c>
      <c r="Z112" s="21">
        <f>tabCustoUnit[[#This Row],[MODULO 1 - REMUNERAÇÃO ]]*SUMIFS(tabParametros[Férias e Adicional de Férias (titular)],tabParametros[Código do Posto],tabCustoUnit[[#This Row],[Código do Posto]])</f>
        <v>62.641166666666663</v>
      </c>
      <c r="AA112" s="21">
        <f>IFERROR((tabCustoUnit[[#This Row],[Submódulo 2.1]]/tabCustoUnit[[#This Row],[MODULO 1 - REMUNERAÇÃO ]])*SUM(tabCustoUnit[[#This Row],[13º salário (titular)]:[Férias e Adicional de Férias (titular)]]),0)</f>
        <v>41.437131749999992</v>
      </c>
      <c r="AB112" s="21">
        <f>SUM(tabCustoUnit[[#This Row],[13º salário (titular)]:[Incidência do Submódulo 2.1 sobre 13º Salário, Férias e Adicional de Férias]])</f>
        <v>151.05917341666665</v>
      </c>
      <c r="AC112" s="22">
        <f>_xlfn.LET(_xlpm.VT,SUMIF(tabParametros[Código do Posto],tabCustoUnit[[#This Row],[Código do Posto]],tabParametros[Vale - Transporte])*2*20,
IF((_xlpm.VT-tabCustoUnit[[#This Row],[Salário Base]]*0.06)&gt;=0,(_xlpm.VT-tabCustoUnit[[#This Row],[Salário Base]]*0.06),0)
)</f>
        <v>223.3492</v>
      </c>
      <c r="AD112" s="22">
        <f>IF(SUMIF(tabParametros[Código do Posto],tabCustoUnit[[#This Row],[Código do Posto]],tabParametros[Vale - Alimentação])&lt;=0,0,
SUMIF(tabParametros[Código do Posto],tabCustoUnit[[#This Row],[Código do Posto]],tabParametros[Vale - Alimentação])*20-1)</f>
        <v>582</v>
      </c>
      <c r="AE112" s="22">
        <f>SUMIF(tabParametros[Código do Posto],tabCustoUnit[[#This Row],[Código do Posto]],tabParametros[Cesta Básica])</f>
        <v>0</v>
      </c>
      <c r="AF112" s="22">
        <f>SUMIF(tabParametros[Código do Posto],tabCustoUnit[[#This Row],[Código do Posto]],tabParametros[PAF])</f>
        <v>0</v>
      </c>
      <c r="AG112" s="22">
        <f>SUMIF(tabParametros[Código do Posto],tabCustoUnit[[#This Row],[Código do Posto]],tabParametros[PQM])</f>
        <v>15.07</v>
      </c>
      <c r="AH112" s="22">
        <f>SUMIF(tabParametros[Código do Posto],tabCustoUnit[[#This Row],[Código do Posto]],tabParametros[PAT])</f>
        <v>0</v>
      </c>
      <c r="AI112" s="22">
        <f>SUMIF(tabParametros[Código do Posto],tabCustoUnit[[#This Row],[Código do Posto]],tabParametros[Seguro de Vida])</f>
        <v>3.36</v>
      </c>
      <c r="AJ112" s="22">
        <f>SUMIF(tabParametros[Código do Posto],tabCustoUnit[[#This Row],[Código do Posto]],tabParametros[Despesas de Viagem])</f>
        <v>0</v>
      </c>
      <c r="AK112" s="22">
        <f>SUM(tabCustoUnit[[#This Row],[Vale - Transporte (Descontada parcela do empregado)]:[Despesas de Viagem]])</f>
        <v>823.77920000000006</v>
      </c>
      <c r="AL112" s="22">
        <f>tabCustoUnit[[#This Row],[Submódulo 2.1]]+tabCustoUnit[[#This Row],[Submódulo 2.2]]+tabCustoUnit[[#This Row],[Submódulo 2.3]]</f>
        <v>1187.9436224166666</v>
      </c>
      <c r="AM112" s="22">
        <f>SUMIF(tabParametros[Código do Posto],tabCustoUnit[[#This Row],[Código do Posto]],tabParametros[Aviso Prévio Indenizado (API) e Reflexo do Aviso Prévio Indenizado])*tabCustoUnit[[#This Row],[MODULO 1 - REMUNERAÇÃO ]]</f>
        <v>3.9530273735532404</v>
      </c>
      <c r="AN112" s="22">
        <f>SUMIF(tabParametros[Código do Posto],tabCustoUnit[[#This Row],[Código do Posto]],tabParametros[Incidência do FGTS sobre API e Reflexo do API])*tabCustoUnit[[#This Row],[MODULO 1 - REMUNERAÇÃO ]]</f>
        <v>0.31624218988425928</v>
      </c>
      <c r="AO112" s="22">
        <f>SUMIF(tabParametros[Código do Posto],tabCustoUnit[[#This Row],[Código do Posto]],tabParametros[Multa Rescisória do FGTS sobre o Aviso Prévio Indenizado])*tabCustoUnit[[#This Row],[MODULO 1 - REMUNERAÇÃO ]]</f>
        <v>0.12649687595370371</v>
      </c>
      <c r="AP112" s="22">
        <f>SUMIF(tabParametros[Código do Posto],tabCustoUnit[[#This Row],[Código do Posto]],tabParametros[Aviso Prévio Trabalhado - APT])*tabCustoUnit[[#This Row],[MODULO 1 - REMUNERAÇÃO ]]</f>
        <v>1.9731967500000003</v>
      </c>
      <c r="AQ112" s="22">
        <f>SUMIF(tabParametros[Código do Posto],tabCustoUnit[[#This Row],[Código do Posto]],tabParametros[Incidência dos encargos do submódulo 2.1 sobre Aviso Prévio Trabalhado])*tabCustoUnit[[#This Row],[MODULO 1 - REMUNERAÇÃO ]]</f>
        <v>0.74586837150000018</v>
      </c>
      <c r="AR112" s="22">
        <f>SUMIF(tabParametros[Código do Posto],tabCustoUnit[[#This Row],[Código do Posto]],tabParametros[Multa Rescisória do FGTS])*tabCustoUnit[[#This Row],[MODULO 1 - REMUNERAÇÃO ]]</f>
        <v>17.238849066666663</v>
      </c>
      <c r="AS112" s="22">
        <f>SUMIF(tabParametros[Código do Posto],tabCustoUnit[[#This Row],[Código do Posto]],tabParametros[Indenização Adicional (Art. 9º da Lei nº 7.238/84)])*tabCustoUnit[[#This Row],[MODULO 1 - REMUNERAÇÃO ]]</f>
        <v>0.46980875</v>
      </c>
      <c r="AT112" s="22">
        <f>SUM(tabCustoUnit[[#This Row],[Aviso Prévio Indenizado (API) e Reflexo do Aviso Prévio Indenizado]:[Indenização Adicional (Art. 9º da Lei nº 7.238/84)]])</f>
        <v>24.823489377557866</v>
      </c>
      <c r="AU112" s="22">
        <f>SUMIF(tabParametros[Código do Posto],tabCustoUnit[[#This Row],[Código do Posto]],tabParametros[Ausência por Doença])*tabCustoUnit[[#This Row],[MODULO 1 - REMUNERAÇÃO ]]</f>
        <v>4.7607286666666662</v>
      </c>
      <c r="AV112" s="22">
        <f>SUMIF(tabParametros[Código do Posto],tabCustoUnit[[#This Row],[Código do Posto]],tabParametros[Ausências Legais])*tabCustoUnit[[#This Row],[MODULO 1 - REMUNERAÇÃO ]]</f>
        <v>1.1432012916666665</v>
      </c>
      <c r="AW112" s="22">
        <f>SUMIF(tabParametros[Código do Posto],tabCustoUnit[[#This Row],[Código do Posto]],tabParametros[Licença Paternidade])*tabCustoUnit[[#This Row],[MODULO 1 - REMUNERAÇÃO ]]</f>
        <v>9.6310793749999998E-2</v>
      </c>
      <c r="AX112" s="22">
        <f>SUMIF(tabParametros[Código do Posto],tabCustoUnit[[#This Row],[Código do Posto]],tabParametros[Ausência por Acidente de Trabalho])*tabCustoUnit[[#This Row],[MODULO 1 - REMUNERAÇÃO ]]</f>
        <v>0.1174521875</v>
      </c>
      <c r="AY112" s="22">
        <f>SUMIF(tabParametros[Código do Posto],tabCustoUnit[[#This Row],[Código do Posto]],tabParametros[Férias, Adicional de Férias e 13º  com empregada em gozo de Licença Maternidade])*tabCustoUnit[[#This Row],[MODULO 1 - REMUNERAÇÃO ]]</f>
        <v>0.73081361111111109</v>
      </c>
      <c r="AZ112" s="22">
        <f>SUMIF(tabParametros[Código do Posto],tabCustoUnit[[#This Row],[Código do Posto]],tabParametros[Incidência do Submódulo 2.1 sobre Ausências Legais])*tabCustoUnit[[#This Row],[MODULO 1 - REMUNERAÇÃO ]]</f>
        <v>2.5887354761625003</v>
      </c>
      <c r="BA112" s="22">
        <f>SUM(tabCustoUnit[[#This Row],[Ausência por Doença]:[Incidência do Submódulo 2.1 sobre Ausências Legais]])</f>
        <v>9.4372420268569428</v>
      </c>
      <c r="BB112" s="22">
        <f>SUMIF(tabParametros[Código do Posto],tabCustoUnit[[#This Row],[Código do Posto]],tabParametros[Intervalo para Repouso ou Alimentação])</f>
        <v>0</v>
      </c>
      <c r="BC112" s="22">
        <f>tabCustoUnit[[#This Row],[Intervalo para Repouso ou Alimentação]]</f>
        <v>0</v>
      </c>
      <c r="BD112" s="22">
        <f>IF(VLOOKUP(tabCustoUnit[[#This Row],[Código do Posto]],PARAMETROS!$A$4:$BJ$255,7,0)&lt;=0,0,
IFERROR((tabCustoUnit[[#This Row],[MODULO 1 - REMUNERAÇÃO ]]*VLOOKUP(tabCustoUnit[[#This Row],[Código do Posto]],PARAMETROS!$A$4:$BJ$255,49,0))/(VLOOKUP(tabCustoUnit[[#This Row],[Código do Posto]],PARAMETROS!$A$4:$BJ$255,7,0)*VLOOKUP(tabCustoUnit[[#This Row],[Código do Posto]],PARAMETROS!$A$4:$BJ$255,8,0)),0)
)</f>
        <v>0</v>
      </c>
      <c r="BE112" s="22">
        <f>tabCustoUnit[[#This Row],[Suspensão Temporária do Contrato de Trabalho]]</f>
        <v>0</v>
      </c>
      <c r="BF112" s="22">
        <f>tabCustoUnit[[#This Row],[Submódulo 4.1]]+tabCustoUnit[[#This Row],[Submódulo 4.2]]+tabCustoUnit[[#This Row],[Submódulo 4.3]]</f>
        <v>9.4372420268569428</v>
      </c>
      <c r="BG112" s="22">
        <f>VLOOKUP(tabCustoUnit[[#This Row],[Código do Posto]],tabParametros[],MATCH(tabCustoUnit[[#Headers],[Uniformes e EPIs]],tabParametros[#Headers],0),0)</f>
        <v>62.806666666666665</v>
      </c>
      <c r="BH112" s="22">
        <f>VLOOKUP(tabCustoUnit[[#This Row],[Código do Posto]],tabParametros[],MATCH(tabCustoUnit[[#Headers],[Materiais de Consumo]],tabParametros[#Headers],0),0)</f>
        <v>12.108481690426325</v>
      </c>
      <c r="BI112" s="22">
        <f>VLOOKUP(tabCustoUnit[[#This Row],[Código do Posto]],tabParametros[],MATCH(tabCustoUnit[[#Headers],[Máquinas e Equipamentos (depreciação)]],tabParametros[#Headers],0),0)</f>
        <v>21.998657016417809</v>
      </c>
      <c r="BJ112" s="22">
        <f>VLOOKUP(tabCustoUnit[[#This Row],[Código do Posto]],tabParametros[],MATCH(tabCustoUnit[[#Headers],[Produtos de Limpeza e Materiais de Higiene Pessoal]],tabParametros[#Headers],0),0)</f>
        <v>235.31984072022155</v>
      </c>
      <c r="BK112" s="22">
        <f>VLOOKUP(tabCustoUnit[[#This Row],[Código do Posto]],tabParametros[],MATCH(tabCustoUnit[[#Headers],[Outros (especificar)]],tabParametros[#Headers],0),0)</f>
        <v>0</v>
      </c>
      <c r="BL112" s="22">
        <f>SUM(tabCustoUnit[[#This Row],[Uniformes e EPIs]:[Outros (especificar)]])</f>
        <v>332.23364609373232</v>
      </c>
      <c r="BM112" s="22">
        <f>tabCustoUnit[[#This Row],[MODULO 1 - REMUNERAÇÃO ]]+tabCustoUnit[[#This Row],[MÓDULO 2 - Total Encargos e Benefícios mensais e diários]]+tabCustoUnit[[#This Row],[MÓDULO 3 – PROVISÃO PARA RESCISÃO]]+tabCustoUnit[[#This Row],[MÓDULO 4 – CUSTO DE REPOSIÇÃO DO PROFISSIONAL AUSENTE]]+tabCustoUnit[[#This Row],[MÓDULO 5 – INSUMOS DIVERSOS]]</f>
        <v>2118.2084999148137</v>
      </c>
      <c r="BN112" s="22">
        <f>VLOOKUP(tabCustoUnit[[#This Row],[Código do Posto]],tabParametros[],MATCH(tabCustoUnit[[#Headers],[Custos Indiretos]],tabParametros[#Headers],0),0)</f>
        <v>189.64880140242613</v>
      </c>
      <c r="BO112" s="22">
        <f>VLOOKUP(tabCustoUnit[[#This Row],[Código do Posto]],tabParametros[],MATCH(tabCustoUnit[[#Headers],[Lucro]],tabParametros[#Headers],0),0)</f>
        <v>159.30499317803796</v>
      </c>
      <c r="BP112" s="26">
        <f>((100/((1-tabCustoUnit[[#This Row],[Resumo de Alíquotas (PIS+CONFINS+ISS)]]))-100)*VLOOKUP(tabCustoUnit[[#This Row],[Código do Posto]],tabParametros[],MATCH(tabCustoUnit[[#Headers],[COFINS]],tabParametros[#Headers],0),0))/(tabCustoUnit[[#This Row],[Resumo de Alíquotas (PIS+CONFINS+ISS)]]*100)</f>
        <v>8.8629737609329504E-2</v>
      </c>
      <c r="BQ112" s="26">
        <f>((100/((100-(tabCustoUnit[[#This Row],[Resumo de Alíquotas (PIS+CONFINS+ISS)]]*100))%)-100)*VLOOKUP(tabCustoUnit[[#This Row],[Código do Posto]],tabParametros[],MATCH(tabCustoUnit[[#Headers],[PIS]],tabParametros[#Headers],0),0))/(tabCustoUnit[[#This Row],[Resumo de Alíquotas (PIS+CONFINS+ISS)]]*100)</f>
        <v>1.9241982507288629E-2</v>
      </c>
      <c r="BR112" s="28">
        <f>VLOOKUP(tabCustoUnit[[#This Row],[Código do Posto]],tabParametros[],MATCH(tabCustoUnit[[#Headers],[ISS]],tabParametros[#Headers],0),0)</f>
        <v>0.05</v>
      </c>
      <c r="BS112" s="26">
        <f>(((100/((100-(tabCustoUnit[[#This Row],[Resumo de Alíquotas (PIS+CONFINS+ISS)]]*100))%)-100)*tabCustoUnit[[#This Row],[ISS]])/tabCustoUnit[[#This Row],[Resumo de Alíquotas (PIS+CONFINS+ISS)]])/100</f>
        <v>5.8309037900874633E-2</v>
      </c>
      <c r="BT112" s="26">
        <f>(VLOOKUP(tabCustoUnit[[#This Row],[Código do Posto]],tabParametros[],MATCH(tabCustoUnit[[#Headers],[COFINS]],tabParametros[#Headers],0),0)+
VLOOKUP(tabCustoUnit[[#This Row],[Código do Posto]],tabParametros[],MATCH(tabCustoUnit[[#Headers],[PIS]],tabParametros[#Headers],0),0)+
VLOOKUP(tabCustoUnit[[#This Row],[Código do Posto]],tabParametros[],MATCH(tabCustoUnit[[#Headers],[ISS]],tabParametros[#Headers],0),0))</f>
        <v>0.14250000000000002</v>
      </c>
      <c r="BU112" s="138">
        <f>tabCustoUnit[[#This Row],[COFINS]]+tabCustoUnit[[#This Row],[PIS]]+tabCustoUnit[[#This Row],[ISS (Conversão Alíquota s/ fatura)]]</f>
        <v>0.16618075801749277</v>
      </c>
      <c r="BV112" s="22">
        <f>(tabCustoUnit[[#This Row],[TOTAL MÓDULOS 1+2+3+4+5]]+tabCustoUnit[[#This Row],[Custos Indiretos]]+tabCustoUnit[[#This Row],[Lucro]])*tabCustoUnit[[#This Row],[PIS + COFINS + ISS (Total Conversão  Alíquota s/ Fatura)]]</f>
        <v>409.99490025140199</v>
      </c>
      <c r="BW112" s="22">
        <f>tabCustoUnit[[#This Row],[Custos Indiretos]]+tabCustoUnit[[#This Row],[Lucro]]+tabCustoUnit[[#This Row],[Valor dos Tributos (ISS, PIS, CONFINS)]]</f>
        <v>758.94869483186608</v>
      </c>
      <c r="BX112" s="22">
        <f>tabCustoUnit[[#This Row],[TOTAL MÓDULOS 1+2+3+4+5]]+tabCustoUnit[[#This Row],[MÓDULO 6 – CUSTOS INDIRETOS, TRIBUTOS E LUCRO]]</f>
        <v>2877.15719474668</v>
      </c>
      <c r="BY112" s="22">
        <f>tabCustoUnit[[#This Row],[CUSTO TOTAL MENSAL]]*12</f>
        <v>34525.88633696016</v>
      </c>
      <c r="BZ112" s="24">
        <f>VLOOKUP(tabCustoUnit[[#This Row],[Código do Posto]],tabParametros[],MATCH(tabCustoUnit[[#Headers],[ANO DA CCT]],tabParametros[#Headers],0),0)</f>
        <v>45658</v>
      </c>
      <c r="CA112" s="25" t="str">
        <f>VLOOKUP(tabCustoUnit[[#This Row],[Código do Posto]],tabParametros[],MATCH(tabCustoUnit[[#Headers],[Nº DE PEDIDO DA CCT]],tabParametros[#Headers],0),0)</f>
        <v>-</v>
      </c>
      <c r="CB112" s="25" t="str">
        <f>VLOOKUP(tabCustoUnit[[#This Row],[Código do Posto]],tabParametros[],MATCH(tabCustoUnit[[#Headers],[TERMO ADITIVO ALTERAÇÃO DA CCT]],tabParametros[#Headers],0),0)</f>
        <v>-</v>
      </c>
    </row>
    <row r="113" spans="1:80" x14ac:dyDescent="0.25">
      <c r="A113" s="20" t="s">
        <v>1090</v>
      </c>
      <c r="B113" t="s">
        <v>105</v>
      </c>
      <c r="C113" t="s">
        <v>1244</v>
      </c>
      <c r="D113" t="s">
        <v>1035</v>
      </c>
      <c r="E113" s="20" t="s">
        <v>9</v>
      </c>
      <c r="F113" s="20" t="s">
        <v>10</v>
      </c>
      <c r="G113" s="21">
        <v>824.56</v>
      </c>
      <c r="H113" s="21">
        <v>0</v>
      </c>
      <c r="I113" s="21">
        <v>0</v>
      </c>
      <c r="J113" s="21">
        <v>0</v>
      </c>
      <c r="K113" s="21">
        <v>0</v>
      </c>
      <c r="L113" s="21">
        <v>0</v>
      </c>
      <c r="M113" s="21">
        <v>0</v>
      </c>
      <c r="N113" s="21">
        <v>26.985600000000002</v>
      </c>
      <c r="O113" s="21">
        <f>SUM(tabCustoUnit[[#This Row],[Salário Base]:[Adicional de Acúmulo de função]])</f>
        <v>851.54559999999992</v>
      </c>
      <c r="P113" s="21">
        <f>tabCustoUnit[[#This Row],[MODULO 1 - REMUNERAÇÃO ]]*SUMIFS(tabParametros[INSS],tabParametros[Código do Posto],tabCustoUnit[[#This Row],[Código do Posto]])</f>
        <v>170.30912000000001</v>
      </c>
      <c r="Q113" s="21">
        <f>tabCustoUnit[[#This Row],[MODULO 1 - REMUNERAÇÃO ]]*SUMIFS(tabParametros[SESI OU SESC],tabParametros[Código do Posto],tabCustoUnit[[#This Row],[Código do Posto]])</f>
        <v>12.773183999999999</v>
      </c>
      <c r="R113" s="21">
        <f>tabCustoUnit[[#This Row],[MODULO 1 - REMUNERAÇÃO ]]*SUMIFS(tabParametros[SENAI OU SENAC],tabParametros[Código do Posto],tabCustoUnit[[#This Row],[Código do Posto]])</f>
        <v>8.5154559999999986</v>
      </c>
      <c r="S113" s="21">
        <f>tabCustoUnit[[#This Row],[MODULO 1 - REMUNERAÇÃO ]]*SUMIFS(tabParametros[INCRA],tabParametros[Código do Posto],tabCustoUnit[[#This Row],[Código do Posto]])</f>
        <v>1.7030911999999998</v>
      </c>
      <c r="T113" s="21">
        <f>tabCustoUnit[[#This Row],[MODULO 1 - REMUNERAÇÃO ]]*SUMIFS(tabParametros[Salário Educação],tabParametros[Código do Posto],tabCustoUnit[[#This Row],[Código do Posto]])</f>
        <v>21.288640000000001</v>
      </c>
      <c r="U113" s="21">
        <f>tabCustoUnit[[#This Row],[MODULO 1 - REMUNERAÇÃO ]]*SUMIFS(tabParametros[FGTS],tabParametros[Código do Posto],tabCustoUnit[[#This Row],[Código do Posto]])</f>
        <v>68.123647999999989</v>
      </c>
      <c r="V113" s="21">
        <f>tabCustoUnit[[#This Row],[MODULO 1 - REMUNERAÇÃO ]]*SUMIFS(tabParametros[RAT Ajustado],tabParametros[Código do Posto],tabCustoUnit[[#This Row],[Código do Posto]])</f>
        <v>34.061823999999994</v>
      </c>
      <c r="W113" s="21">
        <f>tabCustoUnit[[#This Row],[MODULO 1 - REMUNERAÇÃO ]]*SUMIFS(tabParametros[SEBRAE],tabParametros[Código do Posto],tabCustoUnit[[#This Row],[Código do Posto]])</f>
        <v>5.1092735999999999</v>
      </c>
      <c r="X113" s="21">
        <f>SUM(tabCustoUnit[[#This Row],[INSS]:[SEBRAE]])</f>
        <v>321.8842368</v>
      </c>
      <c r="Y113" s="21">
        <f>tabCustoUnit[[#This Row],[MODULO 1 - REMUNERAÇÃO ]]*SUMIFS(tabParametros[13º salário (titular)],tabParametros[Código do Posto],tabCustoUnit[[#This Row],[Código do Posto]])</f>
        <v>70.962133333333327</v>
      </c>
      <c r="Z113" s="21">
        <f>tabCustoUnit[[#This Row],[MODULO 1 - REMUNERAÇÃO ]]*SUMIFS(tabParametros[Férias e Adicional de Férias (titular)],tabParametros[Código do Posto],tabCustoUnit[[#This Row],[Código do Posto]])</f>
        <v>94.616177777777764</v>
      </c>
      <c r="AA113" s="21">
        <f>IFERROR((tabCustoUnit[[#This Row],[Submódulo 2.1]]/tabCustoUnit[[#This Row],[MODULO 1 - REMUNERAÇÃO ]])*SUM(tabCustoUnit[[#This Row],[13º salário (titular)]:[Férias e Adicional de Férias (titular)]]),0)</f>
        <v>62.588601599999997</v>
      </c>
      <c r="AB113" s="21">
        <f>SUM(tabCustoUnit[[#This Row],[13º salário (titular)]:[Incidência do Submódulo 2.1 sobre 13º Salário, Férias e Adicional de Férias]])</f>
        <v>228.16691271111108</v>
      </c>
      <c r="AC113" s="22">
        <f>_xlfn.LET(_xlpm.VT,SUMIF(tabParametros[Código do Posto],tabCustoUnit[[#This Row],[Código do Posto]],tabParametros[Vale - Transporte])*2*20,
IF((_xlpm.VT-tabCustoUnit[[#This Row],[Salário Base]]*0.06)&gt;=0,(_xlpm.VT-tabCustoUnit[[#This Row],[Salário Base]]*0.06),0)
)</f>
        <v>206.5264</v>
      </c>
      <c r="AD113" s="22">
        <f>IF(SUMIF(tabParametros[Código do Posto],tabCustoUnit[[#This Row],[Código do Posto]],tabParametros[Vale - Alimentação])&lt;=0,0,
SUMIF(tabParametros[Código do Posto],tabCustoUnit[[#This Row],[Código do Posto]],tabParametros[Vale - Alimentação])*20-1)</f>
        <v>582</v>
      </c>
      <c r="AE113" s="22">
        <f>SUMIF(tabParametros[Código do Posto],tabCustoUnit[[#This Row],[Código do Posto]],tabParametros[Cesta Básica])</f>
        <v>0</v>
      </c>
      <c r="AF113" s="22">
        <f>SUMIF(tabParametros[Código do Posto],tabCustoUnit[[#This Row],[Código do Posto]],tabParametros[PAF])</f>
        <v>51.86</v>
      </c>
      <c r="AG113" s="22">
        <f>SUMIF(tabParametros[Código do Posto],tabCustoUnit[[#This Row],[Código do Posto]],tabParametros[PQM])</f>
        <v>0</v>
      </c>
      <c r="AH113" s="22">
        <f>SUMIF(tabParametros[Código do Posto],tabCustoUnit[[#This Row],[Código do Posto]],tabParametros[PAT])</f>
        <v>0</v>
      </c>
      <c r="AI113" s="22">
        <f>SUMIF(tabParametros[Código do Posto],tabCustoUnit[[#This Row],[Código do Posto]],tabParametros[Seguro de Vida])</f>
        <v>3.36</v>
      </c>
      <c r="AJ113" s="22">
        <f>SUMIF(tabParametros[Código do Posto],tabCustoUnit[[#This Row],[Código do Posto]],tabParametros[Despesas de Viagem])</f>
        <v>0</v>
      </c>
      <c r="AK113" s="22">
        <f>SUM(tabCustoUnit[[#This Row],[Vale - Transporte (Descontada parcela do empregado)]:[Despesas de Viagem]])</f>
        <v>843.74639999999999</v>
      </c>
      <c r="AL113" s="22">
        <f>tabCustoUnit[[#This Row],[Submódulo 2.1]]+tabCustoUnit[[#This Row],[Submódulo 2.2]]+tabCustoUnit[[#This Row],[Submódulo 2.3]]</f>
        <v>1393.7975495111111</v>
      </c>
      <c r="AM113" s="22">
        <f>SUMIF(tabParametros[Código do Posto],tabCustoUnit[[#This Row],[Código do Posto]],tabParametros[Aviso Prévio Indenizado (API) e Reflexo do Aviso Prévio Indenizado])*tabCustoUnit[[#This Row],[MODULO 1 - REMUNERAÇÃO ]]</f>
        <v>5.970839316049382</v>
      </c>
      <c r="AN113" s="22">
        <f>SUMIF(tabParametros[Código do Posto],tabCustoUnit[[#This Row],[Código do Posto]],tabParametros[Incidência do FGTS sobre API e Reflexo do API])*tabCustoUnit[[#This Row],[MODULO 1 - REMUNERAÇÃO ]]</f>
        <v>0.4776671452839506</v>
      </c>
      <c r="AO113" s="22">
        <f>SUMIF(tabParametros[Código do Posto],tabCustoUnit[[#This Row],[Código do Posto]],tabParametros[Multa Rescisória do FGTS sobre o Aviso Prévio Indenizado])*tabCustoUnit[[#This Row],[MODULO 1 - REMUNERAÇÃO ]]</f>
        <v>0.19106685811358026</v>
      </c>
      <c r="AP113" s="22">
        <f>SUMIF(tabParametros[Código do Posto],tabCustoUnit[[#This Row],[Código do Posto]],tabParametros[Aviso Prévio Trabalhado - APT])*tabCustoUnit[[#This Row],[MODULO 1 - REMUNERAÇÃO ]]</f>
        <v>2.9804096000000002</v>
      </c>
      <c r="AQ113" s="22">
        <f>SUMIF(tabParametros[Código do Posto],tabCustoUnit[[#This Row],[Código do Posto]],tabParametros[Incidência dos encargos do submódulo 2.1 sobre Aviso Prévio Trabalhado])*tabCustoUnit[[#This Row],[MODULO 1 - REMUNERAÇÃO ]]</f>
        <v>1.1265948288000003</v>
      </c>
      <c r="AR113" s="22">
        <f>SUMIF(tabParametros[Código do Posto],tabCustoUnit[[#This Row],[Código do Posto]],tabParametros[Multa Rescisória do FGTS])*tabCustoUnit[[#This Row],[MODULO 1 - REMUNERAÇÃO ]]</f>
        <v>26.038372124444439</v>
      </c>
      <c r="AS113" s="22">
        <f>SUMIF(tabParametros[Código do Posto],tabCustoUnit[[#This Row],[Código do Posto]],tabParametros[Indenização Adicional (Art. 9º da Lei nº 7.238/84)])*tabCustoUnit[[#This Row],[MODULO 1 - REMUNERAÇÃO ]]</f>
        <v>0.70962133333333333</v>
      </c>
      <c r="AT113" s="22">
        <f>SUM(tabCustoUnit[[#This Row],[Aviso Prévio Indenizado (API) e Reflexo do Aviso Prévio Indenizado]:[Indenização Adicional (Art. 9º da Lei nº 7.238/84)]])</f>
        <v>37.494571206024688</v>
      </c>
      <c r="AU113" s="22">
        <f>SUMIF(tabParametros[Código do Posto],tabCustoUnit[[#This Row],[Código do Posto]],tabParametros[Ausência por Doença])*tabCustoUnit[[#This Row],[MODULO 1 - REMUNERAÇÃO ]]</f>
        <v>7.1908295111111098</v>
      </c>
      <c r="AV113" s="22">
        <f>SUMIF(tabParametros[Código do Posto],tabCustoUnit[[#This Row],[Código do Posto]],tabParametros[Ausências Legais])*tabCustoUnit[[#This Row],[MODULO 1 - REMUNERAÇÃO ]]</f>
        <v>1.7267452444444442</v>
      </c>
      <c r="AW113" s="22">
        <f>SUMIF(tabParametros[Código do Posto],tabCustoUnit[[#This Row],[Código do Posto]],tabParametros[Licença Paternidade])*tabCustoUnit[[#This Row],[MODULO 1 - REMUNERAÇÃO ]]</f>
        <v>0.14547237333333332</v>
      </c>
      <c r="AX113" s="22">
        <f>SUMIF(tabParametros[Código do Posto],tabCustoUnit[[#This Row],[Código do Posto]],tabParametros[Ausência por Acidente de Trabalho])*tabCustoUnit[[#This Row],[MODULO 1 - REMUNERAÇÃO ]]</f>
        <v>0.17740533333333333</v>
      </c>
      <c r="AY113" s="22">
        <f>SUMIF(tabParametros[Código do Posto],tabCustoUnit[[#This Row],[Código do Posto]],tabParametros[Férias, Adicional de Férias e 13º  com empregada em gozo de Licença Maternidade])*tabCustoUnit[[#This Row],[MODULO 1 - REMUNERAÇÃO ]]</f>
        <v>1.1038554074074072</v>
      </c>
      <c r="AZ113" s="22">
        <f>SUMIF(tabParametros[Código do Posto],tabCustoUnit[[#This Row],[Código do Posto]],tabParametros[Incidência do Submódulo 2.1 sobre Ausências Legais])*tabCustoUnit[[#This Row],[MODULO 1 - REMUNERAÇÃO ]]</f>
        <v>3.9101483747200003</v>
      </c>
      <c r="BA113" s="22">
        <f>SUM(tabCustoUnit[[#This Row],[Ausência por Doença]:[Incidência do Submódulo 2.1 sobre Ausências Legais]])</f>
        <v>14.254456244349628</v>
      </c>
      <c r="BB113" s="22">
        <f>SUMIF(tabParametros[Código do Posto],tabCustoUnit[[#This Row],[Código do Posto]],tabParametros[Intervalo para Repouso ou Alimentação])</f>
        <v>0</v>
      </c>
      <c r="BC113" s="22">
        <f>tabCustoUnit[[#This Row],[Intervalo para Repouso ou Alimentação]]</f>
        <v>0</v>
      </c>
      <c r="BD113" s="22">
        <f>IF(VLOOKUP(tabCustoUnit[[#This Row],[Código do Posto]],PARAMETROS!$A$4:$BJ$255,7,0)&lt;=0,0,
IFERROR((tabCustoUnit[[#This Row],[MODULO 1 - REMUNERAÇÃO ]]*VLOOKUP(tabCustoUnit[[#This Row],[Código do Posto]],PARAMETROS!$A$4:$BJ$255,49,0))/(VLOOKUP(tabCustoUnit[[#This Row],[Código do Posto]],PARAMETROS!$A$4:$BJ$255,7,0)*VLOOKUP(tabCustoUnit[[#This Row],[Código do Posto]],PARAMETROS!$A$4:$BJ$255,8,0)),0)
)</f>
        <v>0</v>
      </c>
      <c r="BE113" s="22">
        <f>tabCustoUnit[[#This Row],[Suspensão Temporária do Contrato de Trabalho]]</f>
        <v>0</v>
      </c>
      <c r="BF113" s="22">
        <f>tabCustoUnit[[#This Row],[Submódulo 4.1]]+tabCustoUnit[[#This Row],[Submódulo 4.2]]+tabCustoUnit[[#This Row],[Submódulo 4.3]]</f>
        <v>14.254456244349628</v>
      </c>
      <c r="BG113" s="22">
        <f>VLOOKUP(tabCustoUnit[[#This Row],[Código do Posto]],tabParametros[],MATCH(tabCustoUnit[[#Headers],[Uniformes e EPIs]],tabParametros[#Headers],0),0)</f>
        <v>62.806666666666665</v>
      </c>
      <c r="BH113" s="22">
        <f>VLOOKUP(tabCustoUnit[[#This Row],[Código do Posto]],tabParametros[],MATCH(tabCustoUnit[[#Headers],[Materiais de Consumo]],tabParametros[#Headers],0),0)</f>
        <v>17.759106479291944</v>
      </c>
      <c r="BI113" s="22">
        <f>VLOOKUP(tabCustoUnit[[#This Row],[Código do Posto]],tabParametros[],MATCH(tabCustoUnit[[#Headers],[Máquinas e Equipamentos (depreciação)]],tabParametros[#Headers],0),0)</f>
        <v>32.264696957412788</v>
      </c>
      <c r="BJ113" s="22">
        <f>VLOOKUP(tabCustoUnit[[#This Row],[Código do Posto]],tabParametros[],MATCH(tabCustoUnit[[#Headers],[Produtos de Limpeza e Materiais de Higiene Pessoal]],tabParametros[#Headers],0),0)</f>
        <v>345.13576638965827</v>
      </c>
      <c r="BK113" s="22">
        <f>VLOOKUP(tabCustoUnit[[#This Row],[Código do Posto]],tabParametros[],MATCH(tabCustoUnit[[#Headers],[Outros (especificar)]],tabParametros[#Headers],0),0)</f>
        <v>0</v>
      </c>
      <c r="BL113" s="22">
        <f>SUM(tabCustoUnit[[#This Row],[Uniformes e EPIs]:[Outros (especificar)]])</f>
        <v>457.96623649302967</v>
      </c>
      <c r="BM113" s="22">
        <f>tabCustoUnit[[#This Row],[MODULO 1 - REMUNERAÇÃO ]]+tabCustoUnit[[#This Row],[MÓDULO 2 - Total Encargos e Benefícios mensais e diários]]+tabCustoUnit[[#This Row],[MÓDULO 3 – PROVISÃO PARA RESCISÃO]]+tabCustoUnit[[#This Row],[MÓDULO 4 – CUSTO DE REPOSIÇÃO DO PROFISSIONAL AUSENTE]]+tabCustoUnit[[#This Row],[MÓDULO 5 – INSUMOS DIVERSOS]]</f>
        <v>2755.0584134545147</v>
      </c>
      <c r="BN113" s="22">
        <f>VLOOKUP(tabCustoUnit[[#This Row],[Código do Posto]],tabParametros[],MATCH(tabCustoUnit[[#Headers],[Custos Indiretos]],tabParametros[#Headers],0),0)</f>
        <v>189.64880140242613</v>
      </c>
      <c r="BO113" s="22">
        <f>VLOOKUP(tabCustoUnit[[#This Row],[Código do Posto]],tabParametros[],MATCH(tabCustoUnit[[#Headers],[Lucro]],tabParametros[#Headers],0),0)</f>
        <v>159.30499317803796</v>
      </c>
      <c r="BP113" s="26">
        <f>((100/((1-tabCustoUnit[[#This Row],[Resumo de Alíquotas (PIS+CONFINS+ISS)]]))-100)*VLOOKUP(tabCustoUnit[[#This Row],[Código do Posto]],tabParametros[],MATCH(tabCustoUnit[[#Headers],[COFINS]],tabParametros[#Headers],0),0))/(tabCustoUnit[[#This Row],[Resumo de Alíquotas (PIS+CONFINS+ISS)]]*100)</f>
        <v>8.6609686609686695E-2</v>
      </c>
      <c r="BQ113" s="26">
        <f>((100/((100-(tabCustoUnit[[#This Row],[Resumo de Alíquotas (PIS+CONFINS+ISS)]]*100))%)-100)*VLOOKUP(tabCustoUnit[[#This Row],[Código do Posto]],tabParametros[],MATCH(tabCustoUnit[[#Headers],[PIS]],tabParametros[#Headers],0),0))/(tabCustoUnit[[#This Row],[Resumo de Alíquotas (PIS+CONFINS+ISS)]]*100)</f>
        <v>1.880341880341882E-2</v>
      </c>
      <c r="BR113" s="28">
        <f>VLOOKUP(tabCustoUnit[[#This Row],[Código do Posto]],tabParametros[],MATCH(tabCustoUnit[[#Headers],[ISS]],tabParametros[#Headers],0),0)</f>
        <v>0.03</v>
      </c>
      <c r="BS113" s="26">
        <f>(((100/((100-(tabCustoUnit[[#This Row],[Resumo de Alíquotas (PIS+CONFINS+ISS)]]*100))%)-100)*tabCustoUnit[[#This Row],[ISS]])/tabCustoUnit[[#This Row],[Resumo de Alíquotas (PIS+CONFINS+ISS)]])/100</f>
        <v>3.4188034188034219E-2</v>
      </c>
      <c r="BT113" s="26">
        <f>(VLOOKUP(tabCustoUnit[[#This Row],[Código do Posto]],tabParametros[],MATCH(tabCustoUnit[[#Headers],[COFINS]],tabParametros[#Headers],0),0)+
VLOOKUP(tabCustoUnit[[#This Row],[Código do Posto]],tabParametros[],MATCH(tabCustoUnit[[#Headers],[PIS]],tabParametros[#Headers],0),0)+
VLOOKUP(tabCustoUnit[[#This Row],[Código do Posto]],tabParametros[],MATCH(tabCustoUnit[[#Headers],[ISS]],tabParametros[#Headers],0),0))</f>
        <v>0.1225</v>
      </c>
      <c r="BU113" s="138">
        <f>tabCustoUnit[[#This Row],[COFINS]]+tabCustoUnit[[#This Row],[PIS]]+tabCustoUnit[[#This Row],[ISS (Conversão Alíquota s/ fatura)]]</f>
        <v>0.13960113960113973</v>
      </c>
      <c r="BV113" s="22">
        <f>(tabCustoUnit[[#This Row],[TOTAL MÓDULOS 1+2+3+4+5]]+tabCustoUnit[[#This Row],[Custos Indiretos]]+tabCustoUnit[[#This Row],[Lucro]])*tabCustoUnit[[#This Row],[PIS + COFINS + ISS (Total Conversão  Alíquota s/ Fatura)]]</f>
        <v>433.32364157753307</v>
      </c>
      <c r="BW113" s="22">
        <f>tabCustoUnit[[#This Row],[Custos Indiretos]]+tabCustoUnit[[#This Row],[Lucro]]+tabCustoUnit[[#This Row],[Valor dos Tributos (ISS, PIS, CONFINS)]]</f>
        <v>782.27743615799716</v>
      </c>
      <c r="BX113" s="22">
        <f>tabCustoUnit[[#This Row],[TOTAL MÓDULOS 1+2+3+4+5]]+tabCustoUnit[[#This Row],[MÓDULO 6 – CUSTOS INDIRETOS, TRIBUTOS E LUCRO]]</f>
        <v>3537.335849612512</v>
      </c>
      <c r="BY113" s="22">
        <f>tabCustoUnit[[#This Row],[CUSTO TOTAL MENSAL]]*12</f>
        <v>42448.030195350148</v>
      </c>
      <c r="BZ113" s="24">
        <f>VLOOKUP(tabCustoUnit[[#This Row],[Código do Posto]],tabParametros[],MATCH(tabCustoUnit[[#Headers],[ANO DA CCT]],tabParametros[#Headers],0),0)</f>
        <v>45658</v>
      </c>
      <c r="CA113" s="25" t="str">
        <f>VLOOKUP(tabCustoUnit[[#This Row],[Código do Posto]],tabParametros[],MATCH(tabCustoUnit[[#Headers],[Nº DE PEDIDO DA CCT]],tabParametros[#Headers],0),0)</f>
        <v>-</v>
      </c>
      <c r="CB113" s="25" t="str">
        <f>VLOOKUP(tabCustoUnit[[#This Row],[Código do Posto]],tabParametros[],MATCH(tabCustoUnit[[#Headers],[TERMO ADITIVO ALTERAÇÃO DA CCT]],tabParametros[#Headers],0),0)</f>
        <v>-</v>
      </c>
    </row>
    <row r="114" spans="1:80" x14ac:dyDescent="0.25">
      <c r="A114" s="20" t="s">
        <v>1272</v>
      </c>
      <c r="B114" t="s">
        <v>105</v>
      </c>
      <c r="C114" t="s">
        <v>1246</v>
      </c>
      <c r="D114" t="s">
        <v>1035</v>
      </c>
      <c r="E114" s="20" t="s">
        <v>9</v>
      </c>
      <c r="F114" s="20" t="s">
        <v>10</v>
      </c>
      <c r="G114" s="21">
        <v>1124.3900000000001</v>
      </c>
      <c r="H114" s="21">
        <v>0</v>
      </c>
      <c r="I114" s="21">
        <v>0</v>
      </c>
      <c r="J114" s="21">
        <v>0</v>
      </c>
      <c r="K114" s="21">
        <v>0</v>
      </c>
      <c r="L114" s="21">
        <v>0</v>
      </c>
      <c r="M114" s="21">
        <v>0</v>
      </c>
      <c r="N114" s="21">
        <v>40.478000000000002</v>
      </c>
      <c r="O114" s="21">
        <f>SUM(tabCustoUnit[[#This Row],[Salário Base]:[Adicional de Acúmulo de função]])</f>
        <v>1164.8680000000002</v>
      </c>
      <c r="P114" s="21">
        <f>tabCustoUnit[[#This Row],[MODULO 1 - REMUNERAÇÃO ]]*SUMIFS(tabParametros[INSS],tabParametros[Código do Posto],tabCustoUnit[[#This Row],[Código do Posto]])</f>
        <v>232.97360000000003</v>
      </c>
      <c r="Q114" s="21">
        <f>tabCustoUnit[[#This Row],[MODULO 1 - REMUNERAÇÃO ]]*SUMIFS(tabParametros[SESI OU SESC],tabParametros[Código do Posto],tabCustoUnit[[#This Row],[Código do Posto]])</f>
        <v>17.473020000000002</v>
      </c>
      <c r="R114" s="21">
        <f>tabCustoUnit[[#This Row],[MODULO 1 - REMUNERAÇÃO ]]*SUMIFS(tabParametros[SENAI OU SENAC],tabParametros[Código do Posto],tabCustoUnit[[#This Row],[Código do Posto]])</f>
        <v>11.648680000000002</v>
      </c>
      <c r="S114" s="21">
        <f>tabCustoUnit[[#This Row],[MODULO 1 - REMUNERAÇÃO ]]*SUMIFS(tabParametros[INCRA],tabParametros[Código do Posto],tabCustoUnit[[#This Row],[Código do Posto]])</f>
        <v>2.3297360000000005</v>
      </c>
      <c r="T114" s="21">
        <f>tabCustoUnit[[#This Row],[MODULO 1 - REMUNERAÇÃO ]]*SUMIFS(tabParametros[Salário Educação],tabParametros[Código do Posto],tabCustoUnit[[#This Row],[Código do Posto]])</f>
        <v>29.121700000000004</v>
      </c>
      <c r="U114" s="21">
        <f>tabCustoUnit[[#This Row],[MODULO 1 - REMUNERAÇÃO ]]*SUMIFS(tabParametros[FGTS],tabParametros[Código do Posto],tabCustoUnit[[#This Row],[Código do Posto]])</f>
        <v>93.189440000000019</v>
      </c>
      <c r="V114" s="21">
        <f>tabCustoUnit[[#This Row],[MODULO 1 - REMUNERAÇÃO ]]*SUMIFS(tabParametros[RAT Ajustado],tabParametros[Código do Posto],tabCustoUnit[[#This Row],[Código do Posto]])</f>
        <v>46.594720000000009</v>
      </c>
      <c r="W114" s="21">
        <f>tabCustoUnit[[#This Row],[MODULO 1 - REMUNERAÇÃO ]]*SUMIFS(tabParametros[SEBRAE],tabParametros[Código do Posto],tabCustoUnit[[#This Row],[Código do Posto]])</f>
        <v>6.9892080000000014</v>
      </c>
      <c r="X114" s="21">
        <f>SUM(tabCustoUnit[[#This Row],[INSS]:[SEBRAE]])</f>
        <v>440.32010400000001</v>
      </c>
      <c r="Y114" s="21">
        <f>tabCustoUnit[[#This Row],[MODULO 1 - REMUNERAÇÃO ]]*SUMIFS(tabParametros[13º salário (titular)],tabParametros[Código do Posto],tabCustoUnit[[#This Row],[Código do Posto]])</f>
        <v>97.072333333333347</v>
      </c>
      <c r="Z114" s="21">
        <f>tabCustoUnit[[#This Row],[MODULO 1 - REMUNERAÇÃO ]]*SUMIFS(tabParametros[Férias e Adicional de Férias (titular)],tabParametros[Código do Posto],tabCustoUnit[[#This Row],[Código do Posto]])</f>
        <v>129.42977777777779</v>
      </c>
      <c r="AA114" s="21">
        <f>IFERROR((tabCustoUnit[[#This Row],[Submódulo 2.1]]/tabCustoUnit[[#This Row],[MODULO 1 - REMUNERAÇÃO ]])*SUM(tabCustoUnit[[#This Row],[13º salário (titular)]:[Férias e Adicional de Férias (titular)]]),0)</f>
        <v>85.617797999999993</v>
      </c>
      <c r="AB114" s="21">
        <f>SUM(tabCustoUnit[[#This Row],[13º salário (titular)]:[Incidência do Submódulo 2.1 sobre 13º Salário, Férias e Adicional de Férias]])</f>
        <v>312.11990911111116</v>
      </c>
      <c r="AC114" s="22">
        <f>_xlfn.LET(_xlpm.VT,SUMIF(tabParametros[Código do Posto],tabCustoUnit[[#This Row],[Código do Posto]],tabParametros[Vale - Transporte])*2*20,
IF((_xlpm.VT-tabCustoUnit[[#This Row],[Salário Base]]*0.06)&gt;=0,(_xlpm.VT-tabCustoUnit[[#This Row],[Salário Base]]*0.06),0)
)</f>
        <v>188.53659999999999</v>
      </c>
      <c r="AD114" s="22">
        <f>IF(SUMIF(tabParametros[Código do Posto],tabCustoUnit[[#This Row],[Código do Posto]],tabParametros[Vale - Alimentação])&lt;=0,0,
SUMIF(tabParametros[Código do Posto],tabCustoUnit[[#This Row],[Código do Posto]],tabParametros[Vale - Alimentação])*20-1)</f>
        <v>582</v>
      </c>
      <c r="AE114" s="22">
        <f>SUMIF(tabParametros[Código do Posto],tabCustoUnit[[#This Row],[Código do Posto]],tabParametros[Cesta Básica])</f>
        <v>0</v>
      </c>
      <c r="AF114" s="22">
        <f>SUMIF(tabParametros[Código do Posto],tabCustoUnit[[#This Row],[Código do Posto]],tabParametros[PAF])</f>
        <v>51.86</v>
      </c>
      <c r="AG114" s="22">
        <f>SUMIF(tabParametros[Código do Posto],tabCustoUnit[[#This Row],[Código do Posto]],tabParametros[PQM])</f>
        <v>0</v>
      </c>
      <c r="AH114" s="22">
        <f>SUMIF(tabParametros[Código do Posto],tabCustoUnit[[#This Row],[Código do Posto]],tabParametros[PAT])</f>
        <v>0</v>
      </c>
      <c r="AI114" s="22">
        <f>SUMIF(tabParametros[Código do Posto],tabCustoUnit[[#This Row],[Código do Posto]],tabParametros[Seguro de Vida])</f>
        <v>3.36</v>
      </c>
      <c r="AJ114" s="22">
        <f>SUMIF(tabParametros[Código do Posto],tabCustoUnit[[#This Row],[Código do Posto]],tabParametros[Despesas de Viagem])</f>
        <v>0</v>
      </c>
      <c r="AK114" s="22">
        <f>SUM(tabCustoUnit[[#This Row],[Vale - Transporte (Descontada parcela do empregado)]:[Despesas de Viagem]])</f>
        <v>825.75660000000005</v>
      </c>
      <c r="AL114" s="22">
        <f>tabCustoUnit[[#This Row],[Submódulo 2.1]]+tabCustoUnit[[#This Row],[Submódulo 2.2]]+tabCustoUnit[[#This Row],[Submódulo 2.3]]</f>
        <v>1578.1966131111112</v>
      </c>
      <c r="AM114" s="22">
        <f>SUMIF(tabParametros[Código do Posto],tabCustoUnit[[#This Row],[Código do Posto]],tabParametros[Aviso Prévio Indenizado (API) e Reflexo do Aviso Prévio Indenizado])*tabCustoUnit[[#This Row],[MODULO 1 - REMUNERAÇÃO ]]</f>
        <v>8.1677829729938285</v>
      </c>
      <c r="AN114" s="22">
        <f>SUMIF(tabParametros[Código do Posto],tabCustoUnit[[#This Row],[Código do Posto]],tabParametros[Incidência do FGTS sobre API e Reflexo do API])*tabCustoUnit[[#This Row],[MODULO 1 - REMUNERAÇÃO ]]</f>
        <v>0.65342263783950627</v>
      </c>
      <c r="AO114" s="22">
        <f>SUMIF(tabParametros[Código do Posto],tabCustoUnit[[#This Row],[Código do Posto]],tabParametros[Multa Rescisória do FGTS sobre o Aviso Prévio Indenizado])*tabCustoUnit[[#This Row],[MODULO 1 - REMUNERAÇÃO ]]</f>
        <v>0.26136905513580255</v>
      </c>
      <c r="AP114" s="22">
        <f>SUMIF(tabParametros[Código do Posto],tabCustoUnit[[#This Row],[Código do Posto]],tabParametros[Aviso Prévio Trabalhado - APT])*tabCustoUnit[[#This Row],[MODULO 1 - REMUNERAÇÃO ]]</f>
        <v>4.0770380000000008</v>
      </c>
      <c r="AQ114" s="22">
        <f>SUMIF(tabParametros[Código do Posto],tabCustoUnit[[#This Row],[Código do Posto]],tabParametros[Incidência dos encargos do submódulo 2.1 sobre Aviso Prévio Trabalhado])*tabCustoUnit[[#This Row],[MODULO 1 - REMUNERAÇÃO ]]</f>
        <v>1.5411203640000006</v>
      </c>
      <c r="AR114" s="22">
        <f>SUMIF(tabParametros[Código do Posto],tabCustoUnit[[#This Row],[Código do Posto]],tabParametros[Multa Rescisória do FGTS])*tabCustoUnit[[#This Row],[MODULO 1 - REMUNERAÇÃO ]]</f>
        <v>35.619074844444441</v>
      </c>
      <c r="AS114" s="22">
        <f>SUMIF(tabParametros[Código do Posto],tabCustoUnit[[#This Row],[Código do Posto]],tabParametros[Indenização Adicional (Art. 9º da Lei nº 7.238/84)])*tabCustoUnit[[#This Row],[MODULO 1 - REMUNERAÇÃO ]]</f>
        <v>0.97072333333333349</v>
      </c>
      <c r="AT114" s="22">
        <f>SUM(tabCustoUnit[[#This Row],[Aviso Prévio Indenizado (API) e Reflexo do Aviso Prévio Indenizado]:[Indenização Adicional (Art. 9º da Lei nº 7.238/84)]])</f>
        <v>51.290531207746916</v>
      </c>
      <c r="AU114" s="22">
        <f>SUMIF(tabParametros[Código do Posto],tabCustoUnit[[#This Row],[Código do Posto]],tabParametros[Ausência por Doença])*tabCustoUnit[[#This Row],[MODULO 1 - REMUNERAÇÃO ]]</f>
        <v>9.8366631111111111</v>
      </c>
      <c r="AV114" s="22">
        <f>SUMIF(tabParametros[Código do Posto],tabCustoUnit[[#This Row],[Código do Posto]],tabParametros[Ausências Legais])*tabCustoUnit[[#This Row],[MODULO 1 - REMUNERAÇÃO ]]</f>
        <v>2.3620934444444446</v>
      </c>
      <c r="AW114" s="22">
        <f>SUMIF(tabParametros[Código do Posto],tabCustoUnit[[#This Row],[Código do Posto]],tabParametros[Licença Paternidade])*tabCustoUnit[[#This Row],[MODULO 1 - REMUNERAÇÃO ]]</f>
        <v>0.19899828333333336</v>
      </c>
      <c r="AX114" s="22">
        <f>SUMIF(tabParametros[Código do Posto],tabCustoUnit[[#This Row],[Código do Posto]],tabParametros[Ausência por Acidente de Trabalho])*tabCustoUnit[[#This Row],[MODULO 1 - REMUNERAÇÃO ]]</f>
        <v>0.24268083333333337</v>
      </c>
      <c r="AY114" s="22">
        <f>SUMIF(tabParametros[Código do Posto],tabCustoUnit[[#This Row],[Código do Posto]],tabParametros[Férias, Adicional de Férias e 13º  com empregada em gozo de Licença Maternidade])*tabCustoUnit[[#This Row],[MODULO 1 - REMUNERAÇÃO ]]</f>
        <v>1.5100140740740742</v>
      </c>
      <c r="AZ114" s="22">
        <f>SUMIF(tabParametros[Código do Posto],tabCustoUnit[[#This Row],[Código do Posto]],tabParametros[Incidência do Submódulo 2.1 sobre Ausências Legais])*tabCustoUnit[[#This Row],[MODULO 1 - REMUNERAÇÃO ]]</f>
        <v>5.3488700041000019</v>
      </c>
      <c r="BA114" s="22">
        <f>SUM(tabCustoUnit[[#This Row],[Ausência por Doença]:[Incidência do Submódulo 2.1 sobre Ausências Legais]])</f>
        <v>19.499319750396296</v>
      </c>
      <c r="BB114" s="22">
        <f>SUMIF(tabParametros[Código do Posto],tabCustoUnit[[#This Row],[Código do Posto]],tabParametros[Intervalo para Repouso ou Alimentação])</f>
        <v>0</v>
      </c>
      <c r="BC114" s="22">
        <f>tabCustoUnit[[#This Row],[Intervalo para Repouso ou Alimentação]]</f>
        <v>0</v>
      </c>
      <c r="BD114" s="22">
        <f>IF(VLOOKUP(tabCustoUnit[[#This Row],[Código do Posto]],PARAMETROS!$A$4:$BJ$255,7,0)&lt;=0,0,
IFERROR((tabCustoUnit[[#This Row],[MODULO 1 - REMUNERAÇÃO ]]*VLOOKUP(tabCustoUnit[[#This Row],[Código do Posto]],PARAMETROS!$A$4:$BJ$255,49,0))/(VLOOKUP(tabCustoUnit[[#This Row],[Código do Posto]],PARAMETROS!$A$4:$BJ$255,7,0)*VLOOKUP(tabCustoUnit[[#This Row],[Código do Posto]],PARAMETROS!$A$4:$BJ$255,8,0)),0)
)</f>
        <v>0</v>
      </c>
      <c r="BE114" s="22">
        <f>tabCustoUnit[[#This Row],[Suspensão Temporária do Contrato de Trabalho]]</f>
        <v>0</v>
      </c>
      <c r="BF114" s="22">
        <f>tabCustoUnit[[#This Row],[Submódulo 4.1]]+tabCustoUnit[[#This Row],[Submódulo 4.2]]+tabCustoUnit[[#This Row],[Submódulo 4.3]]</f>
        <v>19.499319750396296</v>
      </c>
      <c r="BG114" s="22">
        <f>VLOOKUP(tabCustoUnit[[#This Row],[Código do Posto]],tabParametros[],MATCH(tabCustoUnit[[#Headers],[Uniformes e EPIs]],tabParametros[#Headers],0),0)</f>
        <v>100.80916666666666</v>
      </c>
      <c r="BH114" s="22">
        <f>VLOOKUP(tabCustoUnit[[#This Row],[Código do Posto]],tabParametros[],MATCH(tabCustoUnit[[#Headers],[Materiais de Consumo]],tabParametros[#Headers],0),0)</f>
        <v>24.216963380852651</v>
      </c>
      <c r="BI114" s="22">
        <f>VLOOKUP(tabCustoUnit[[#This Row],[Código do Posto]],tabParametros[],MATCH(tabCustoUnit[[#Headers],[Máquinas e Equipamentos (depreciação)]],tabParametros[#Headers],0),0)</f>
        <v>43.997314032835618</v>
      </c>
      <c r="BJ114" s="22">
        <f>VLOOKUP(tabCustoUnit[[#This Row],[Código do Posto]],tabParametros[],MATCH(tabCustoUnit[[#Headers],[Produtos de Limpeza e Materiais de Higiene Pessoal]],tabParametros[#Headers],0),0)</f>
        <v>470.6396814404431</v>
      </c>
      <c r="BK114" s="22">
        <f>VLOOKUP(tabCustoUnit[[#This Row],[Código do Posto]],tabParametros[],MATCH(tabCustoUnit[[#Headers],[Outros (especificar)]],tabParametros[#Headers],0),0)</f>
        <v>0</v>
      </c>
      <c r="BL114" s="22">
        <f>SUM(tabCustoUnit[[#This Row],[Uniformes e EPIs]:[Outros (especificar)]])</f>
        <v>639.66312552079808</v>
      </c>
      <c r="BM114" s="22">
        <f>tabCustoUnit[[#This Row],[MODULO 1 - REMUNERAÇÃO ]]+tabCustoUnit[[#This Row],[MÓDULO 2 - Total Encargos e Benefícios mensais e diários]]+tabCustoUnit[[#This Row],[MÓDULO 3 – PROVISÃO PARA RESCISÃO]]+tabCustoUnit[[#This Row],[MÓDULO 4 – CUSTO DE REPOSIÇÃO DO PROFISSIONAL AUSENTE]]+tabCustoUnit[[#This Row],[MÓDULO 5 – INSUMOS DIVERSOS]]</f>
        <v>3453.5175895900529</v>
      </c>
      <c r="BN114" s="22">
        <f>VLOOKUP(tabCustoUnit[[#This Row],[Código do Posto]],tabParametros[],MATCH(tabCustoUnit[[#Headers],[Custos Indiretos]],tabParametros[#Headers],0),0)</f>
        <v>189.64880140242613</v>
      </c>
      <c r="BO114" s="22">
        <f>VLOOKUP(tabCustoUnit[[#This Row],[Código do Posto]],tabParametros[],MATCH(tabCustoUnit[[#Headers],[Lucro]],tabParametros[#Headers],0),0)</f>
        <v>159.30499317803796</v>
      </c>
      <c r="BP114" s="26">
        <f>((100/((1-tabCustoUnit[[#This Row],[Resumo de Alíquotas (PIS+CONFINS+ISS)]]))-100)*VLOOKUP(tabCustoUnit[[#This Row],[Código do Posto]],tabParametros[],MATCH(tabCustoUnit[[#Headers],[COFINS]],tabParametros[#Headers],0),0))/(tabCustoUnit[[#This Row],[Resumo de Alíquotas (PIS+CONFINS+ISS)]]*100)</f>
        <v>8.6609686609686695E-2</v>
      </c>
      <c r="BQ114" s="26">
        <f>((100/((100-(tabCustoUnit[[#This Row],[Resumo de Alíquotas (PIS+CONFINS+ISS)]]*100))%)-100)*VLOOKUP(tabCustoUnit[[#This Row],[Código do Posto]],tabParametros[],MATCH(tabCustoUnit[[#Headers],[PIS]],tabParametros[#Headers],0),0))/(tabCustoUnit[[#This Row],[Resumo de Alíquotas (PIS+CONFINS+ISS)]]*100)</f>
        <v>1.880341880341882E-2</v>
      </c>
      <c r="BR114" s="28">
        <f>VLOOKUP(tabCustoUnit[[#This Row],[Código do Posto]],tabParametros[],MATCH(tabCustoUnit[[#Headers],[ISS]],tabParametros[#Headers],0),0)</f>
        <v>0.03</v>
      </c>
      <c r="BS114" s="26">
        <f>(((100/((100-(tabCustoUnit[[#This Row],[Resumo de Alíquotas (PIS+CONFINS+ISS)]]*100))%)-100)*tabCustoUnit[[#This Row],[ISS]])/tabCustoUnit[[#This Row],[Resumo de Alíquotas (PIS+CONFINS+ISS)]])/100</f>
        <v>3.4188034188034219E-2</v>
      </c>
      <c r="BT114" s="26">
        <f>(VLOOKUP(tabCustoUnit[[#This Row],[Código do Posto]],tabParametros[],MATCH(tabCustoUnit[[#Headers],[COFINS]],tabParametros[#Headers],0),0)+
VLOOKUP(tabCustoUnit[[#This Row],[Código do Posto]],tabParametros[],MATCH(tabCustoUnit[[#Headers],[PIS]],tabParametros[#Headers],0),0)+
VLOOKUP(tabCustoUnit[[#This Row],[Código do Posto]],tabParametros[],MATCH(tabCustoUnit[[#Headers],[ISS]],tabParametros[#Headers],0),0))</f>
        <v>0.1225</v>
      </c>
      <c r="BU114" s="138">
        <f>tabCustoUnit[[#This Row],[COFINS]]+tabCustoUnit[[#This Row],[PIS]]+tabCustoUnit[[#This Row],[ISS (Conversão Alíquota s/ fatura)]]</f>
        <v>0.13960113960113973</v>
      </c>
      <c r="BV114" s="22">
        <f>(tabCustoUnit[[#This Row],[TOTAL MÓDULOS 1+2+3+4+5]]+tabCustoUnit[[#This Row],[Custos Indiretos]]+tabCustoUnit[[#This Row],[Lucro]])*tabCustoUnit[[#This Row],[PIS + COFINS + ISS (Total Conversão  Alíquota s/ Fatura)]]</f>
        <v>530.82933853092743</v>
      </c>
      <c r="BW114" s="22">
        <f>tabCustoUnit[[#This Row],[Custos Indiretos]]+tabCustoUnit[[#This Row],[Lucro]]+tabCustoUnit[[#This Row],[Valor dos Tributos (ISS, PIS, CONFINS)]]</f>
        <v>879.78313311139152</v>
      </c>
      <c r="BX114" s="22">
        <f>tabCustoUnit[[#This Row],[TOTAL MÓDULOS 1+2+3+4+5]]+tabCustoUnit[[#This Row],[MÓDULO 6 – CUSTOS INDIRETOS, TRIBUTOS E LUCRO]]</f>
        <v>4333.3007227014441</v>
      </c>
      <c r="BY114" s="22">
        <f>tabCustoUnit[[#This Row],[CUSTO TOTAL MENSAL]]*12</f>
        <v>51999.608672417329</v>
      </c>
      <c r="BZ114" s="24">
        <f>VLOOKUP(tabCustoUnit[[#This Row],[Código do Posto]],tabParametros[],MATCH(tabCustoUnit[[#Headers],[ANO DA CCT]],tabParametros[#Headers],0),0)</f>
        <v>45658</v>
      </c>
      <c r="CA114" s="25" t="str">
        <f>VLOOKUP(tabCustoUnit[[#This Row],[Código do Posto]],tabParametros[],MATCH(tabCustoUnit[[#Headers],[Nº DE PEDIDO DA CCT]],tabParametros[#Headers],0),0)</f>
        <v>-</v>
      </c>
      <c r="CB114" s="25" t="str">
        <f>VLOOKUP(tabCustoUnit[[#This Row],[Código do Posto]],tabParametros[],MATCH(tabCustoUnit[[#Headers],[TERMO ADITIVO ALTERAÇÃO DA CCT]],tabParametros[#Headers],0),0)</f>
        <v>-</v>
      </c>
    </row>
    <row r="115" spans="1:80" x14ac:dyDescent="0.25">
      <c r="A115" s="20" t="s">
        <v>1452</v>
      </c>
      <c r="B115" t="s">
        <v>105</v>
      </c>
      <c r="C115" t="s">
        <v>1245</v>
      </c>
      <c r="D115" t="s">
        <v>1035</v>
      </c>
      <c r="E115" s="20" t="s">
        <v>9</v>
      </c>
      <c r="F115" s="20" t="s">
        <v>10</v>
      </c>
      <c r="G115" s="21">
        <v>1649.12</v>
      </c>
      <c r="H115" s="21">
        <v>0</v>
      </c>
      <c r="I115" s="21">
        <v>0</v>
      </c>
      <c r="J115" s="21">
        <v>0</v>
      </c>
      <c r="K115" s="21">
        <v>0</v>
      </c>
      <c r="L115" s="21">
        <v>0</v>
      </c>
      <c r="M115" s="21">
        <v>0</v>
      </c>
      <c r="N115" s="21">
        <v>53.971200000000003</v>
      </c>
      <c r="O115" s="21">
        <f>SUM(tabCustoUnit[[#This Row],[Salário Base]:[Adicional de Acúmulo de função]])</f>
        <v>1703.0911999999998</v>
      </c>
      <c r="P115" s="21">
        <f>tabCustoUnit[[#This Row],[MODULO 1 - REMUNERAÇÃO ]]*SUMIFS(tabParametros[INSS],tabParametros[Código do Posto],tabCustoUnit[[#This Row],[Código do Posto]])</f>
        <v>340.61824000000001</v>
      </c>
      <c r="Q115" s="21">
        <f>tabCustoUnit[[#This Row],[MODULO 1 - REMUNERAÇÃO ]]*SUMIFS(tabParametros[SESI OU SESC],tabParametros[Código do Posto],tabCustoUnit[[#This Row],[Código do Posto]])</f>
        <v>25.546367999999998</v>
      </c>
      <c r="R115" s="21">
        <f>tabCustoUnit[[#This Row],[MODULO 1 - REMUNERAÇÃO ]]*SUMIFS(tabParametros[SENAI OU SENAC],tabParametros[Código do Posto],tabCustoUnit[[#This Row],[Código do Posto]])</f>
        <v>17.030911999999997</v>
      </c>
      <c r="S115" s="21">
        <f>tabCustoUnit[[#This Row],[MODULO 1 - REMUNERAÇÃO ]]*SUMIFS(tabParametros[INCRA],tabParametros[Código do Posto],tabCustoUnit[[#This Row],[Código do Posto]])</f>
        <v>3.4061823999999996</v>
      </c>
      <c r="T115" s="21">
        <f>tabCustoUnit[[#This Row],[MODULO 1 - REMUNERAÇÃO ]]*SUMIFS(tabParametros[Salário Educação],tabParametros[Código do Posto],tabCustoUnit[[#This Row],[Código do Posto]])</f>
        <v>42.577280000000002</v>
      </c>
      <c r="U115" s="21">
        <f>tabCustoUnit[[#This Row],[MODULO 1 - REMUNERAÇÃO ]]*SUMIFS(tabParametros[FGTS],tabParametros[Código do Posto],tabCustoUnit[[#This Row],[Código do Posto]])</f>
        <v>136.24729599999998</v>
      </c>
      <c r="V115" s="21">
        <f>tabCustoUnit[[#This Row],[MODULO 1 - REMUNERAÇÃO ]]*SUMIFS(tabParametros[RAT Ajustado],tabParametros[Código do Posto],tabCustoUnit[[#This Row],[Código do Posto]])</f>
        <v>68.123647999999989</v>
      </c>
      <c r="W115" s="21">
        <f>tabCustoUnit[[#This Row],[MODULO 1 - REMUNERAÇÃO ]]*SUMIFS(tabParametros[SEBRAE],tabParametros[Código do Posto],tabCustoUnit[[#This Row],[Código do Posto]])</f>
        <v>10.2185472</v>
      </c>
      <c r="X115" s="21">
        <f>SUM(tabCustoUnit[[#This Row],[INSS]:[SEBRAE]])</f>
        <v>643.76847359999999</v>
      </c>
      <c r="Y115" s="21">
        <f>tabCustoUnit[[#This Row],[MODULO 1 - REMUNERAÇÃO ]]*SUMIFS(tabParametros[13º salário (titular)],tabParametros[Código do Posto],tabCustoUnit[[#This Row],[Código do Posto]])</f>
        <v>141.92426666666665</v>
      </c>
      <c r="Z115" s="21">
        <f>tabCustoUnit[[#This Row],[MODULO 1 - REMUNERAÇÃO ]]*SUMIFS(tabParametros[Férias e Adicional de Férias (titular)],tabParametros[Código do Posto],tabCustoUnit[[#This Row],[Código do Posto]])</f>
        <v>189.23235555555553</v>
      </c>
      <c r="AA115" s="21">
        <f>IFERROR((tabCustoUnit[[#This Row],[Submódulo 2.1]]/tabCustoUnit[[#This Row],[MODULO 1 - REMUNERAÇÃO ]])*SUM(tabCustoUnit[[#This Row],[13º salário (titular)]:[Férias e Adicional de Férias (titular)]]),0)</f>
        <v>125.17720319999999</v>
      </c>
      <c r="AB115" s="21">
        <f>SUM(tabCustoUnit[[#This Row],[13º salário (titular)]:[Incidência do Submódulo 2.1 sobre 13º Salário, Férias e Adicional de Férias]])</f>
        <v>456.33382542222216</v>
      </c>
      <c r="AC115" s="22">
        <f>_xlfn.LET(_xlpm.VT,SUMIF(tabParametros[Código do Posto],tabCustoUnit[[#This Row],[Código do Posto]],tabParametros[Vale - Transporte])*2*20,
IF((_xlpm.VT-tabCustoUnit[[#This Row],[Salário Base]]*0.06)&gt;=0,(_xlpm.VT-tabCustoUnit[[#This Row],[Salário Base]]*0.06),0)
)</f>
        <v>157.05279999999999</v>
      </c>
      <c r="AD115" s="22">
        <f>IF(SUMIF(tabParametros[Código do Posto],tabCustoUnit[[#This Row],[Código do Posto]],tabParametros[Vale - Alimentação])&lt;=0,0,
SUMIF(tabParametros[Código do Posto],tabCustoUnit[[#This Row],[Código do Posto]],tabParametros[Vale - Alimentação])*20-1)</f>
        <v>582</v>
      </c>
      <c r="AE115" s="22">
        <f>SUMIF(tabParametros[Código do Posto],tabCustoUnit[[#This Row],[Código do Posto]],tabParametros[Cesta Básica])</f>
        <v>0</v>
      </c>
      <c r="AF115" s="22">
        <f>SUMIF(tabParametros[Código do Posto],tabCustoUnit[[#This Row],[Código do Posto]],tabParametros[PAF])</f>
        <v>51.86</v>
      </c>
      <c r="AG115" s="22">
        <f>SUMIF(tabParametros[Código do Posto],tabCustoUnit[[#This Row],[Código do Posto]],tabParametros[PQM])</f>
        <v>0</v>
      </c>
      <c r="AH115" s="22">
        <f>SUMIF(tabParametros[Código do Posto],tabCustoUnit[[#This Row],[Código do Posto]],tabParametros[PAT])</f>
        <v>0</v>
      </c>
      <c r="AI115" s="22">
        <f>SUMIF(tabParametros[Código do Posto],tabCustoUnit[[#This Row],[Código do Posto]],tabParametros[Seguro de Vida])</f>
        <v>3.36</v>
      </c>
      <c r="AJ115" s="22">
        <f>SUMIF(tabParametros[Código do Posto],tabCustoUnit[[#This Row],[Código do Posto]],tabParametros[Despesas de Viagem])</f>
        <v>0</v>
      </c>
      <c r="AK115" s="22">
        <f>SUM(tabCustoUnit[[#This Row],[Vale - Transporte (Descontada parcela do empregado)]:[Despesas de Viagem]])</f>
        <v>794.27279999999996</v>
      </c>
      <c r="AL115" s="22">
        <f>tabCustoUnit[[#This Row],[Submódulo 2.1]]+tabCustoUnit[[#This Row],[Submódulo 2.2]]+tabCustoUnit[[#This Row],[Submódulo 2.3]]</f>
        <v>1894.3750990222222</v>
      </c>
      <c r="AM115" s="22">
        <f>SUMIF(tabParametros[Código do Posto],tabCustoUnit[[#This Row],[Código do Posto]],tabParametros[Aviso Prévio Indenizado (API) e Reflexo do Aviso Prévio Indenizado])*tabCustoUnit[[#This Row],[MODULO 1 - REMUNERAÇÃO ]]</f>
        <v>11.941678632098764</v>
      </c>
      <c r="AN115" s="22">
        <f>SUMIF(tabParametros[Código do Posto],tabCustoUnit[[#This Row],[Código do Posto]],tabParametros[Incidência do FGTS sobre API e Reflexo do API])*tabCustoUnit[[#This Row],[MODULO 1 - REMUNERAÇÃO ]]</f>
        <v>0.9553342905679012</v>
      </c>
      <c r="AO115" s="22">
        <f>SUMIF(tabParametros[Código do Posto],tabCustoUnit[[#This Row],[Código do Posto]],tabParametros[Multa Rescisória do FGTS sobre o Aviso Prévio Indenizado])*tabCustoUnit[[#This Row],[MODULO 1 - REMUNERAÇÃO ]]</f>
        <v>0.38213371622716052</v>
      </c>
      <c r="AP115" s="22">
        <f>SUMIF(tabParametros[Código do Posto],tabCustoUnit[[#This Row],[Código do Posto]],tabParametros[Aviso Prévio Trabalhado - APT])*tabCustoUnit[[#This Row],[MODULO 1 - REMUNERAÇÃO ]]</f>
        <v>5.9608192000000004</v>
      </c>
      <c r="AQ115" s="22">
        <f>SUMIF(tabParametros[Código do Posto],tabCustoUnit[[#This Row],[Código do Posto]],tabParametros[Incidência dos encargos do submódulo 2.1 sobre Aviso Prévio Trabalhado])*tabCustoUnit[[#This Row],[MODULO 1 - REMUNERAÇÃO ]]</f>
        <v>2.2531896576000006</v>
      </c>
      <c r="AR115" s="22">
        <f>SUMIF(tabParametros[Código do Posto],tabCustoUnit[[#This Row],[Código do Posto]],tabParametros[Multa Rescisória do FGTS])*tabCustoUnit[[#This Row],[MODULO 1 - REMUNERAÇÃO ]]</f>
        <v>52.076744248888879</v>
      </c>
      <c r="AS115" s="22">
        <f>SUMIF(tabParametros[Código do Posto],tabCustoUnit[[#This Row],[Código do Posto]],tabParametros[Indenização Adicional (Art. 9º da Lei nº 7.238/84)])*tabCustoUnit[[#This Row],[MODULO 1 - REMUNERAÇÃO ]]</f>
        <v>1.4192426666666667</v>
      </c>
      <c r="AT115" s="22">
        <f>SUM(tabCustoUnit[[#This Row],[Aviso Prévio Indenizado (API) e Reflexo do Aviso Prévio Indenizado]:[Indenização Adicional (Art. 9º da Lei nº 7.238/84)]])</f>
        <v>74.989142412049375</v>
      </c>
      <c r="AU115" s="22">
        <f>SUMIF(tabParametros[Código do Posto],tabCustoUnit[[#This Row],[Código do Posto]],tabParametros[Ausência por Doença])*tabCustoUnit[[#This Row],[MODULO 1 - REMUNERAÇÃO ]]</f>
        <v>14.38165902222222</v>
      </c>
      <c r="AV115" s="22">
        <f>SUMIF(tabParametros[Código do Posto],tabCustoUnit[[#This Row],[Código do Posto]],tabParametros[Ausências Legais])*tabCustoUnit[[#This Row],[MODULO 1 - REMUNERAÇÃO ]]</f>
        <v>3.4534904888888884</v>
      </c>
      <c r="AW115" s="22">
        <f>SUMIF(tabParametros[Código do Posto],tabCustoUnit[[#This Row],[Código do Posto]],tabParametros[Licença Paternidade])*tabCustoUnit[[#This Row],[MODULO 1 - REMUNERAÇÃO ]]</f>
        <v>0.29094474666666664</v>
      </c>
      <c r="AX115" s="22">
        <f>SUMIF(tabParametros[Código do Posto],tabCustoUnit[[#This Row],[Código do Posto]],tabParametros[Ausência por Acidente de Trabalho])*tabCustoUnit[[#This Row],[MODULO 1 - REMUNERAÇÃO ]]</f>
        <v>0.35481066666666666</v>
      </c>
      <c r="AY115" s="22">
        <f>SUMIF(tabParametros[Código do Posto],tabCustoUnit[[#This Row],[Código do Posto]],tabParametros[Férias, Adicional de Férias e 13º  com empregada em gozo de Licença Maternidade])*tabCustoUnit[[#This Row],[MODULO 1 - REMUNERAÇÃO ]]</f>
        <v>2.2077108148148143</v>
      </c>
      <c r="AZ115" s="22">
        <f>SUMIF(tabParametros[Código do Posto],tabCustoUnit[[#This Row],[Código do Posto]],tabParametros[Incidência do Submódulo 2.1 sobre Ausências Legais])*tabCustoUnit[[#This Row],[MODULO 1 - REMUNERAÇÃO ]]</f>
        <v>7.8202967494400006</v>
      </c>
      <c r="BA115" s="22">
        <f>SUM(tabCustoUnit[[#This Row],[Ausência por Doença]:[Incidência do Submódulo 2.1 sobre Ausências Legais]])</f>
        <v>28.508912488699256</v>
      </c>
      <c r="BB115" s="22">
        <f>SUMIF(tabParametros[Código do Posto],tabCustoUnit[[#This Row],[Código do Posto]],tabParametros[Intervalo para Repouso ou Alimentação])</f>
        <v>0</v>
      </c>
      <c r="BC115" s="22">
        <f>tabCustoUnit[[#This Row],[Intervalo para Repouso ou Alimentação]]</f>
        <v>0</v>
      </c>
      <c r="BD115" s="22">
        <f>IF(VLOOKUP(tabCustoUnit[[#This Row],[Código do Posto]],PARAMETROS!$A$4:$BJ$255,7,0)&lt;=0,0,
IFERROR((tabCustoUnit[[#This Row],[MODULO 1 - REMUNERAÇÃO ]]*VLOOKUP(tabCustoUnit[[#This Row],[Código do Posto]],PARAMETROS!$A$4:$BJ$255,49,0))/(VLOOKUP(tabCustoUnit[[#This Row],[Código do Posto]],PARAMETROS!$A$4:$BJ$255,7,0)*VLOOKUP(tabCustoUnit[[#This Row],[Código do Posto]],PARAMETROS!$A$4:$BJ$255,8,0)),0)
)</f>
        <v>0</v>
      </c>
      <c r="BE115" s="22">
        <f>tabCustoUnit[[#This Row],[Suspensão Temporária do Contrato de Trabalho]]</f>
        <v>0</v>
      </c>
      <c r="BF115" s="22">
        <f>tabCustoUnit[[#This Row],[Submódulo 4.1]]+tabCustoUnit[[#This Row],[Submódulo 4.2]]+tabCustoUnit[[#This Row],[Submódulo 4.3]]</f>
        <v>28.508912488699256</v>
      </c>
      <c r="BG115" s="22">
        <f>VLOOKUP(tabCustoUnit[[#This Row],[Código do Posto]],tabParametros[],MATCH(tabCustoUnit[[#Headers],[Uniformes e EPIs]],tabParametros[#Headers],0),0)</f>
        <v>100.80916666666666</v>
      </c>
      <c r="BH115" s="22">
        <f>VLOOKUP(tabCustoUnit[[#This Row],[Código do Posto]],tabParametros[],MATCH(tabCustoUnit[[#Headers],[Materiais de Consumo]],tabParametros[#Headers],0),0)</f>
        <v>35.518212958583888</v>
      </c>
      <c r="BI115" s="22">
        <f>VLOOKUP(tabCustoUnit[[#This Row],[Código do Posto]],tabParametros[],MATCH(tabCustoUnit[[#Headers],[Máquinas e Equipamentos (depreciação)]],tabParametros[#Headers],0),0)</f>
        <v>64.529393914825576</v>
      </c>
      <c r="BJ115" s="22">
        <f>VLOOKUP(tabCustoUnit[[#This Row],[Código do Posto]],tabParametros[],MATCH(tabCustoUnit[[#Headers],[Produtos de Limpeza e Materiais de Higiene Pessoal]],tabParametros[#Headers],0),0)</f>
        <v>690.27153277931654</v>
      </c>
      <c r="BK115" s="22">
        <f>VLOOKUP(tabCustoUnit[[#This Row],[Código do Posto]],tabParametros[],MATCH(tabCustoUnit[[#Headers],[Outros (especificar)]],tabParametros[#Headers],0),0)</f>
        <v>0</v>
      </c>
      <c r="BL115" s="22">
        <f>SUM(tabCustoUnit[[#This Row],[Uniformes e EPIs]:[Outros (especificar)]])</f>
        <v>891.12830631939266</v>
      </c>
      <c r="BM115" s="22">
        <f>tabCustoUnit[[#This Row],[MODULO 1 - REMUNERAÇÃO ]]+tabCustoUnit[[#This Row],[MÓDULO 2 - Total Encargos e Benefícios mensais e diários]]+tabCustoUnit[[#This Row],[MÓDULO 3 – PROVISÃO PARA RESCISÃO]]+tabCustoUnit[[#This Row],[MÓDULO 4 – CUSTO DE REPOSIÇÃO DO PROFISSIONAL AUSENTE]]+tabCustoUnit[[#This Row],[MÓDULO 5 – INSUMOS DIVERSOS]]</f>
        <v>4592.0926602423633</v>
      </c>
      <c r="BN115" s="22">
        <f>VLOOKUP(tabCustoUnit[[#This Row],[Código do Posto]],tabParametros[],MATCH(tabCustoUnit[[#Headers],[Custos Indiretos]],tabParametros[#Headers],0),0)</f>
        <v>189.64880140242613</v>
      </c>
      <c r="BO115" s="22">
        <f>VLOOKUP(tabCustoUnit[[#This Row],[Código do Posto]],tabParametros[],MATCH(tabCustoUnit[[#Headers],[Lucro]],tabParametros[#Headers],0),0)</f>
        <v>159.30499317803796</v>
      </c>
      <c r="BP115" s="26">
        <f>((100/((1-tabCustoUnit[[#This Row],[Resumo de Alíquotas (PIS+CONFINS+ISS)]]))-100)*VLOOKUP(tabCustoUnit[[#This Row],[Código do Posto]],tabParametros[],MATCH(tabCustoUnit[[#Headers],[COFINS]],tabParametros[#Headers],0),0))/(tabCustoUnit[[#This Row],[Resumo de Alíquotas (PIS+CONFINS+ISS)]]*100)</f>
        <v>8.6609686609686695E-2</v>
      </c>
      <c r="BQ115" s="26">
        <f>((100/((100-(tabCustoUnit[[#This Row],[Resumo de Alíquotas (PIS+CONFINS+ISS)]]*100))%)-100)*VLOOKUP(tabCustoUnit[[#This Row],[Código do Posto]],tabParametros[],MATCH(tabCustoUnit[[#Headers],[PIS]],tabParametros[#Headers],0),0))/(tabCustoUnit[[#This Row],[Resumo de Alíquotas (PIS+CONFINS+ISS)]]*100)</f>
        <v>1.880341880341882E-2</v>
      </c>
      <c r="BR115" s="28">
        <f>VLOOKUP(tabCustoUnit[[#This Row],[Código do Posto]],tabParametros[],MATCH(tabCustoUnit[[#Headers],[ISS]],tabParametros[#Headers],0),0)</f>
        <v>0.03</v>
      </c>
      <c r="BS115" s="26">
        <f>(((100/((100-(tabCustoUnit[[#This Row],[Resumo de Alíquotas (PIS+CONFINS+ISS)]]*100))%)-100)*tabCustoUnit[[#This Row],[ISS]])/tabCustoUnit[[#This Row],[Resumo de Alíquotas (PIS+CONFINS+ISS)]])/100</f>
        <v>3.4188034188034219E-2</v>
      </c>
      <c r="BT115" s="26">
        <f>(VLOOKUP(tabCustoUnit[[#This Row],[Código do Posto]],tabParametros[],MATCH(tabCustoUnit[[#Headers],[COFINS]],tabParametros[#Headers],0),0)+
VLOOKUP(tabCustoUnit[[#This Row],[Código do Posto]],tabParametros[],MATCH(tabCustoUnit[[#Headers],[PIS]],tabParametros[#Headers],0),0)+
VLOOKUP(tabCustoUnit[[#This Row],[Código do Posto]],tabParametros[],MATCH(tabCustoUnit[[#Headers],[ISS]],tabParametros[#Headers],0),0))</f>
        <v>0.1225</v>
      </c>
      <c r="BU115" s="138">
        <f>tabCustoUnit[[#This Row],[COFINS]]+tabCustoUnit[[#This Row],[PIS]]+tabCustoUnit[[#This Row],[ISS (Conversão Alíquota s/ fatura)]]</f>
        <v>0.13960113960113973</v>
      </c>
      <c r="BV115" s="22">
        <f>(tabCustoUnit[[#This Row],[TOTAL MÓDULOS 1+2+3+4+5]]+tabCustoUnit[[#This Row],[Custos Indiretos]]+tabCustoUnit[[#This Row],[Lucro]])*tabCustoUnit[[#This Row],[PIS + COFINS + ISS (Total Conversão  Alíquota s/ Fatura)]]</f>
        <v>689.77571591543813</v>
      </c>
      <c r="BW115" s="22">
        <f>tabCustoUnit[[#This Row],[Custos Indiretos]]+tabCustoUnit[[#This Row],[Lucro]]+tabCustoUnit[[#This Row],[Valor dos Tributos (ISS, PIS, CONFINS)]]</f>
        <v>1038.7295104959021</v>
      </c>
      <c r="BX115" s="22">
        <f>tabCustoUnit[[#This Row],[TOTAL MÓDULOS 1+2+3+4+5]]+tabCustoUnit[[#This Row],[MÓDULO 6 – CUSTOS INDIRETOS, TRIBUTOS E LUCRO]]</f>
        <v>5630.8221707382654</v>
      </c>
      <c r="BY115" s="22">
        <f>tabCustoUnit[[#This Row],[CUSTO TOTAL MENSAL]]*12</f>
        <v>67569.866048859185</v>
      </c>
      <c r="BZ115" s="24">
        <f>VLOOKUP(tabCustoUnit[[#This Row],[Código do Posto]],tabParametros[],MATCH(tabCustoUnit[[#Headers],[ANO DA CCT]],tabParametros[#Headers],0),0)</f>
        <v>45658</v>
      </c>
      <c r="CA115" s="25" t="str">
        <f>VLOOKUP(tabCustoUnit[[#This Row],[Código do Posto]],tabParametros[],MATCH(tabCustoUnit[[#Headers],[Nº DE PEDIDO DA CCT]],tabParametros[#Headers],0),0)</f>
        <v>-</v>
      </c>
      <c r="CB115" s="25" t="str">
        <f>VLOOKUP(tabCustoUnit[[#This Row],[Código do Posto]],tabParametros[],MATCH(tabCustoUnit[[#Headers],[TERMO ADITIVO ALTERAÇÃO DA CCT]],tabParametros[#Headers],0),0)</f>
        <v>-</v>
      </c>
    </row>
    <row r="116" spans="1:80" x14ac:dyDescent="0.25">
      <c r="A116" s="20" t="s">
        <v>1453</v>
      </c>
      <c r="B116" t="s">
        <v>106</v>
      </c>
      <c r="C116" t="s">
        <v>1246</v>
      </c>
      <c r="D116" t="s">
        <v>106</v>
      </c>
      <c r="E116" s="20" t="s">
        <v>9</v>
      </c>
      <c r="F116" s="20" t="s">
        <v>10</v>
      </c>
      <c r="G116" s="21">
        <v>1124.3900000000001</v>
      </c>
      <c r="H116" s="21">
        <v>0</v>
      </c>
      <c r="I116" s="21">
        <v>0</v>
      </c>
      <c r="J116" s="21">
        <v>0</v>
      </c>
      <c r="K116" s="21">
        <v>0</v>
      </c>
      <c r="L116" s="21">
        <v>0</v>
      </c>
      <c r="M116" s="21">
        <v>0</v>
      </c>
      <c r="N116" s="21">
        <v>40.478000000000002</v>
      </c>
      <c r="O116" s="21">
        <f>SUM(tabCustoUnit[[#This Row],[Salário Base]:[Adicional de Acúmulo de função]])</f>
        <v>1164.8680000000002</v>
      </c>
      <c r="P116" s="21">
        <f>tabCustoUnit[[#This Row],[MODULO 1 - REMUNERAÇÃO ]]*SUMIFS(tabParametros[INSS],tabParametros[Código do Posto],tabCustoUnit[[#This Row],[Código do Posto]])</f>
        <v>232.97360000000003</v>
      </c>
      <c r="Q116" s="21">
        <f>tabCustoUnit[[#This Row],[MODULO 1 - REMUNERAÇÃO ]]*SUMIFS(tabParametros[SESI OU SESC],tabParametros[Código do Posto],tabCustoUnit[[#This Row],[Código do Posto]])</f>
        <v>17.473020000000002</v>
      </c>
      <c r="R116" s="21">
        <f>tabCustoUnit[[#This Row],[MODULO 1 - REMUNERAÇÃO ]]*SUMIFS(tabParametros[SENAI OU SENAC],tabParametros[Código do Posto],tabCustoUnit[[#This Row],[Código do Posto]])</f>
        <v>11.648680000000002</v>
      </c>
      <c r="S116" s="21">
        <f>tabCustoUnit[[#This Row],[MODULO 1 - REMUNERAÇÃO ]]*SUMIFS(tabParametros[INCRA],tabParametros[Código do Posto],tabCustoUnit[[#This Row],[Código do Posto]])</f>
        <v>2.3297360000000005</v>
      </c>
      <c r="T116" s="21">
        <f>tabCustoUnit[[#This Row],[MODULO 1 - REMUNERAÇÃO ]]*SUMIFS(tabParametros[Salário Educação],tabParametros[Código do Posto],tabCustoUnit[[#This Row],[Código do Posto]])</f>
        <v>29.121700000000004</v>
      </c>
      <c r="U116" s="21">
        <f>tabCustoUnit[[#This Row],[MODULO 1 - REMUNERAÇÃO ]]*SUMIFS(tabParametros[FGTS],tabParametros[Código do Posto],tabCustoUnit[[#This Row],[Código do Posto]])</f>
        <v>93.189440000000019</v>
      </c>
      <c r="V116" s="21">
        <f>tabCustoUnit[[#This Row],[MODULO 1 - REMUNERAÇÃO ]]*SUMIFS(tabParametros[RAT Ajustado],tabParametros[Código do Posto],tabCustoUnit[[#This Row],[Código do Posto]])</f>
        <v>46.594720000000009</v>
      </c>
      <c r="W116" s="21">
        <f>tabCustoUnit[[#This Row],[MODULO 1 - REMUNERAÇÃO ]]*SUMIFS(tabParametros[SEBRAE],tabParametros[Código do Posto],tabCustoUnit[[#This Row],[Código do Posto]])</f>
        <v>6.9892080000000014</v>
      </c>
      <c r="X116" s="21">
        <f>SUM(tabCustoUnit[[#This Row],[INSS]:[SEBRAE]])</f>
        <v>440.32010400000001</v>
      </c>
      <c r="Y116" s="21">
        <f>tabCustoUnit[[#This Row],[MODULO 1 - REMUNERAÇÃO ]]*SUMIFS(tabParametros[13º salário (titular)],tabParametros[Código do Posto],tabCustoUnit[[#This Row],[Código do Posto]])</f>
        <v>97.072333333333347</v>
      </c>
      <c r="Z116" s="21">
        <f>tabCustoUnit[[#This Row],[MODULO 1 - REMUNERAÇÃO ]]*SUMIFS(tabParametros[Férias e Adicional de Férias (titular)],tabParametros[Código do Posto],tabCustoUnit[[#This Row],[Código do Posto]])</f>
        <v>129.42977777777779</v>
      </c>
      <c r="AA116" s="21">
        <f>IFERROR((tabCustoUnit[[#This Row],[Submódulo 2.1]]/tabCustoUnit[[#This Row],[MODULO 1 - REMUNERAÇÃO ]])*SUM(tabCustoUnit[[#This Row],[13º salário (titular)]:[Férias e Adicional de Férias (titular)]]),0)</f>
        <v>85.617797999999993</v>
      </c>
      <c r="AB116" s="21">
        <f>SUM(tabCustoUnit[[#This Row],[13º salário (titular)]:[Incidência do Submódulo 2.1 sobre 13º Salário, Férias e Adicional de Férias]])</f>
        <v>312.11990911111116</v>
      </c>
      <c r="AC116" s="22">
        <f>_xlfn.LET(_xlpm.VT,SUMIF(tabParametros[Código do Posto],tabCustoUnit[[#This Row],[Código do Posto]],tabParametros[Vale - Transporte])*2*20,
IF((_xlpm.VT-tabCustoUnit[[#This Row],[Salário Base]]*0.06)&gt;=0,(_xlpm.VT-tabCustoUnit[[#This Row],[Salário Base]]*0.06),0)
)</f>
        <v>188.53659999999999</v>
      </c>
      <c r="AD116" s="22">
        <f>IF(SUMIF(tabParametros[Código do Posto],tabCustoUnit[[#This Row],[Código do Posto]],tabParametros[Vale - Alimentação])&lt;=0,0,
SUMIF(tabParametros[Código do Posto],tabCustoUnit[[#This Row],[Código do Posto]],tabParametros[Vale - Alimentação])*20-1)</f>
        <v>582</v>
      </c>
      <c r="AE116" s="22">
        <f>SUMIF(tabParametros[Código do Posto],tabCustoUnit[[#This Row],[Código do Posto]],tabParametros[Cesta Básica])</f>
        <v>0</v>
      </c>
      <c r="AF116" s="22">
        <f>SUMIF(tabParametros[Código do Posto],tabCustoUnit[[#This Row],[Código do Posto]],tabParametros[PAF])</f>
        <v>51.88</v>
      </c>
      <c r="AG116" s="22">
        <f>SUMIF(tabParametros[Código do Posto],tabCustoUnit[[#This Row],[Código do Posto]],tabParametros[PQM])</f>
        <v>0</v>
      </c>
      <c r="AH116" s="22">
        <f>SUMIF(tabParametros[Código do Posto],tabCustoUnit[[#This Row],[Código do Posto]],tabParametros[PAT])</f>
        <v>0</v>
      </c>
      <c r="AI116" s="22">
        <f>SUMIF(tabParametros[Código do Posto],tabCustoUnit[[#This Row],[Código do Posto]],tabParametros[Seguro de Vida])</f>
        <v>3.36</v>
      </c>
      <c r="AJ116" s="22">
        <f>SUMIF(tabParametros[Código do Posto],tabCustoUnit[[#This Row],[Código do Posto]],tabParametros[Despesas de Viagem])</f>
        <v>0</v>
      </c>
      <c r="AK116" s="22">
        <f>SUM(tabCustoUnit[[#This Row],[Vale - Transporte (Descontada parcela do empregado)]:[Despesas de Viagem]])</f>
        <v>825.77660000000003</v>
      </c>
      <c r="AL116" s="22">
        <f>tabCustoUnit[[#This Row],[Submódulo 2.1]]+tabCustoUnit[[#This Row],[Submódulo 2.2]]+tabCustoUnit[[#This Row],[Submódulo 2.3]]</f>
        <v>1578.2166131111112</v>
      </c>
      <c r="AM116" s="22">
        <f>SUMIF(tabParametros[Código do Posto],tabCustoUnit[[#This Row],[Código do Posto]],tabParametros[Aviso Prévio Indenizado (API) e Reflexo do Aviso Prévio Indenizado])*tabCustoUnit[[#This Row],[MODULO 1 - REMUNERAÇÃO ]]</f>
        <v>8.1677829729938285</v>
      </c>
      <c r="AN116" s="22">
        <f>SUMIF(tabParametros[Código do Posto],tabCustoUnit[[#This Row],[Código do Posto]],tabParametros[Incidência do FGTS sobre API e Reflexo do API])*tabCustoUnit[[#This Row],[MODULO 1 - REMUNERAÇÃO ]]</f>
        <v>0.65342263783950627</v>
      </c>
      <c r="AO116" s="22">
        <f>SUMIF(tabParametros[Código do Posto],tabCustoUnit[[#This Row],[Código do Posto]],tabParametros[Multa Rescisória do FGTS sobre o Aviso Prévio Indenizado])*tabCustoUnit[[#This Row],[MODULO 1 - REMUNERAÇÃO ]]</f>
        <v>0.26136905513580255</v>
      </c>
      <c r="AP116" s="22">
        <f>SUMIF(tabParametros[Código do Posto],tabCustoUnit[[#This Row],[Código do Posto]],tabParametros[Aviso Prévio Trabalhado - APT])*tabCustoUnit[[#This Row],[MODULO 1 - REMUNERAÇÃO ]]</f>
        <v>4.0770380000000008</v>
      </c>
      <c r="AQ116" s="22">
        <f>SUMIF(tabParametros[Código do Posto],tabCustoUnit[[#This Row],[Código do Posto]],tabParametros[Incidência dos encargos do submódulo 2.1 sobre Aviso Prévio Trabalhado])*tabCustoUnit[[#This Row],[MODULO 1 - REMUNERAÇÃO ]]</f>
        <v>1.5411203640000006</v>
      </c>
      <c r="AR116" s="22">
        <f>SUMIF(tabParametros[Código do Posto],tabCustoUnit[[#This Row],[Código do Posto]],tabParametros[Multa Rescisória do FGTS])*tabCustoUnit[[#This Row],[MODULO 1 - REMUNERAÇÃO ]]</f>
        <v>35.619074844444441</v>
      </c>
      <c r="AS116" s="22">
        <f>SUMIF(tabParametros[Código do Posto],tabCustoUnit[[#This Row],[Código do Posto]],tabParametros[Indenização Adicional (Art. 9º da Lei nº 7.238/84)])*tabCustoUnit[[#This Row],[MODULO 1 - REMUNERAÇÃO ]]</f>
        <v>0.97072333333333349</v>
      </c>
      <c r="AT116" s="22">
        <f>SUM(tabCustoUnit[[#This Row],[Aviso Prévio Indenizado (API) e Reflexo do Aviso Prévio Indenizado]:[Indenização Adicional (Art. 9º da Lei nº 7.238/84)]])</f>
        <v>51.290531207746916</v>
      </c>
      <c r="AU116" s="22">
        <f>SUMIF(tabParametros[Código do Posto],tabCustoUnit[[#This Row],[Código do Posto]],tabParametros[Ausência por Doença])*tabCustoUnit[[#This Row],[MODULO 1 - REMUNERAÇÃO ]]</f>
        <v>9.8366631111111111</v>
      </c>
      <c r="AV116" s="22">
        <f>SUMIF(tabParametros[Código do Posto],tabCustoUnit[[#This Row],[Código do Posto]],tabParametros[Ausências Legais])*tabCustoUnit[[#This Row],[MODULO 1 - REMUNERAÇÃO ]]</f>
        <v>2.3620934444444446</v>
      </c>
      <c r="AW116" s="22">
        <f>SUMIF(tabParametros[Código do Posto],tabCustoUnit[[#This Row],[Código do Posto]],tabParametros[Licença Paternidade])*tabCustoUnit[[#This Row],[MODULO 1 - REMUNERAÇÃO ]]</f>
        <v>0.19899828333333336</v>
      </c>
      <c r="AX116" s="22">
        <f>SUMIF(tabParametros[Código do Posto],tabCustoUnit[[#This Row],[Código do Posto]],tabParametros[Ausência por Acidente de Trabalho])*tabCustoUnit[[#This Row],[MODULO 1 - REMUNERAÇÃO ]]</f>
        <v>0.24268083333333337</v>
      </c>
      <c r="AY116" s="22">
        <f>SUMIF(tabParametros[Código do Posto],tabCustoUnit[[#This Row],[Código do Posto]],tabParametros[Férias, Adicional de Férias e 13º  com empregada em gozo de Licença Maternidade])*tabCustoUnit[[#This Row],[MODULO 1 - REMUNERAÇÃO ]]</f>
        <v>1.5100140740740742</v>
      </c>
      <c r="AZ116" s="22">
        <f>SUMIF(tabParametros[Código do Posto],tabCustoUnit[[#This Row],[Código do Posto]],tabParametros[Incidência do Submódulo 2.1 sobre Ausências Legais])*tabCustoUnit[[#This Row],[MODULO 1 - REMUNERAÇÃO ]]</f>
        <v>5.3488700041000019</v>
      </c>
      <c r="BA116" s="22">
        <f>SUM(tabCustoUnit[[#This Row],[Ausência por Doença]:[Incidência do Submódulo 2.1 sobre Ausências Legais]])</f>
        <v>19.499319750396296</v>
      </c>
      <c r="BB116" s="22">
        <f>SUMIF(tabParametros[Código do Posto],tabCustoUnit[[#This Row],[Código do Posto]],tabParametros[Intervalo para Repouso ou Alimentação])</f>
        <v>0</v>
      </c>
      <c r="BC116" s="22">
        <f>tabCustoUnit[[#This Row],[Intervalo para Repouso ou Alimentação]]</f>
        <v>0</v>
      </c>
      <c r="BD116" s="22">
        <f>IF(VLOOKUP(tabCustoUnit[[#This Row],[Código do Posto]],PARAMETROS!$A$4:$BJ$255,7,0)&lt;=0,0,
IFERROR((tabCustoUnit[[#This Row],[MODULO 1 - REMUNERAÇÃO ]]*VLOOKUP(tabCustoUnit[[#This Row],[Código do Posto]],PARAMETROS!$A$4:$BJ$255,49,0))/(VLOOKUP(tabCustoUnit[[#This Row],[Código do Posto]],PARAMETROS!$A$4:$BJ$255,7,0)*VLOOKUP(tabCustoUnit[[#This Row],[Código do Posto]],PARAMETROS!$A$4:$BJ$255,8,0)),0)
)</f>
        <v>0</v>
      </c>
      <c r="BE116" s="22">
        <f>tabCustoUnit[[#This Row],[Suspensão Temporária do Contrato de Trabalho]]</f>
        <v>0</v>
      </c>
      <c r="BF116" s="22">
        <f>tabCustoUnit[[#This Row],[Submódulo 4.1]]+tabCustoUnit[[#This Row],[Submódulo 4.2]]+tabCustoUnit[[#This Row],[Submódulo 4.3]]</f>
        <v>19.499319750396296</v>
      </c>
      <c r="BG116" s="22">
        <f>VLOOKUP(tabCustoUnit[[#This Row],[Código do Posto]],tabParametros[],MATCH(tabCustoUnit[[#Headers],[Uniformes e EPIs]],tabParametros[#Headers],0),0)</f>
        <v>100.80916666666666</v>
      </c>
      <c r="BH116" s="22">
        <f>VLOOKUP(tabCustoUnit[[#This Row],[Código do Posto]],tabParametros[],MATCH(tabCustoUnit[[#Headers],[Materiais de Consumo]],tabParametros[#Headers],0),0)</f>
        <v>24.216963380852651</v>
      </c>
      <c r="BI116" s="22">
        <f>VLOOKUP(tabCustoUnit[[#This Row],[Código do Posto]],tabParametros[],MATCH(tabCustoUnit[[#Headers],[Máquinas e Equipamentos (depreciação)]],tabParametros[#Headers],0),0)</f>
        <v>43.997314032835618</v>
      </c>
      <c r="BJ116" s="22">
        <f>VLOOKUP(tabCustoUnit[[#This Row],[Código do Posto]],tabParametros[],MATCH(tabCustoUnit[[#Headers],[Produtos de Limpeza e Materiais de Higiene Pessoal]],tabParametros[#Headers],0),0)</f>
        <v>470.6396814404431</v>
      </c>
      <c r="BK116" s="22">
        <f>VLOOKUP(tabCustoUnit[[#This Row],[Código do Posto]],tabParametros[],MATCH(tabCustoUnit[[#Headers],[Outros (especificar)]],tabParametros[#Headers],0),0)</f>
        <v>0</v>
      </c>
      <c r="BL116" s="22">
        <f>SUM(tabCustoUnit[[#This Row],[Uniformes e EPIs]:[Outros (especificar)]])</f>
        <v>639.66312552079808</v>
      </c>
      <c r="BM116" s="22">
        <f>tabCustoUnit[[#This Row],[MODULO 1 - REMUNERAÇÃO ]]+tabCustoUnit[[#This Row],[MÓDULO 2 - Total Encargos e Benefícios mensais e diários]]+tabCustoUnit[[#This Row],[MÓDULO 3 – PROVISÃO PARA RESCISÃO]]+tabCustoUnit[[#This Row],[MÓDULO 4 – CUSTO DE REPOSIÇÃO DO PROFISSIONAL AUSENTE]]+tabCustoUnit[[#This Row],[MÓDULO 5 – INSUMOS DIVERSOS]]</f>
        <v>3453.5375895900524</v>
      </c>
      <c r="BN116" s="22">
        <f>VLOOKUP(tabCustoUnit[[#This Row],[Código do Posto]],tabParametros[],MATCH(tabCustoUnit[[#Headers],[Custos Indiretos]],tabParametros[#Headers],0),0)</f>
        <v>189.64880140242613</v>
      </c>
      <c r="BO116" s="22">
        <f>VLOOKUP(tabCustoUnit[[#This Row],[Código do Posto]],tabParametros[],MATCH(tabCustoUnit[[#Headers],[Lucro]],tabParametros[#Headers],0),0)</f>
        <v>159.30499317803796</v>
      </c>
      <c r="BP116" s="26">
        <f>((100/((1-tabCustoUnit[[#This Row],[Resumo de Alíquotas (PIS+CONFINS+ISS)]]))-100)*VLOOKUP(tabCustoUnit[[#This Row],[Código do Posto]],tabParametros[],MATCH(tabCustoUnit[[#Headers],[COFINS]],tabParametros[#Headers],0),0))/(tabCustoUnit[[#This Row],[Resumo de Alíquotas (PIS+CONFINS+ISS)]]*100)</f>
        <v>8.6609686609686695E-2</v>
      </c>
      <c r="BQ116" s="26">
        <f>((100/((100-(tabCustoUnit[[#This Row],[Resumo de Alíquotas (PIS+CONFINS+ISS)]]*100))%)-100)*VLOOKUP(tabCustoUnit[[#This Row],[Código do Posto]],tabParametros[],MATCH(tabCustoUnit[[#Headers],[PIS]],tabParametros[#Headers],0),0))/(tabCustoUnit[[#This Row],[Resumo de Alíquotas (PIS+CONFINS+ISS)]]*100)</f>
        <v>1.880341880341882E-2</v>
      </c>
      <c r="BR116" s="28">
        <f>VLOOKUP(tabCustoUnit[[#This Row],[Código do Posto]],tabParametros[],MATCH(tabCustoUnit[[#Headers],[ISS]],tabParametros[#Headers],0),0)</f>
        <v>0.03</v>
      </c>
      <c r="BS116" s="26">
        <f>(((100/((100-(tabCustoUnit[[#This Row],[Resumo de Alíquotas (PIS+CONFINS+ISS)]]*100))%)-100)*tabCustoUnit[[#This Row],[ISS]])/tabCustoUnit[[#This Row],[Resumo de Alíquotas (PIS+CONFINS+ISS)]])/100</f>
        <v>3.4188034188034219E-2</v>
      </c>
      <c r="BT116" s="26">
        <f>(VLOOKUP(tabCustoUnit[[#This Row],[Código do Posto]],tabParametros[],MATCH(tabCustoUnit[[#Headers],[COFINS]],tabParametros[#Headers],0),0)+
VLOOKUP(tabCustoUnit[[#This Row],[Código do Posto]],tabParametros[],MATCH(tabCustoUnit[[#Headers],[PIS]],tabParametros[#Headers],0),0)+
VLOOKUP(tabCustoUnit[[#This Row],[Código do Posto]],tabParametros[],MATCH(tabCustoUnit[[#Headers],[ISS]],tabParametros[#Headers],0),0))</f>
        <v>0.1225</v>
      </c>
      <c r="BU116" s="138">
        <f>tabCustoUnit[[#This Row],[COFINS]]+tabCustoUnit[[#This Row],[PIS]]+tabCustoUnit[[#This Row],[ISS (Conversão Alíquota s/ fatura)]]</f>
        <v>0.13960113960113973</v>
      </c>
      <c r="BV116" s="22">
        <f>(tabCustoUnit[[#This Row],[TOTAL MÓDULOS 1+2+3+4+5]]+tabCustoUnit[[#This Row],[Custos Indiretos]]+tabCustoUnit[[#This Row],[Lucro]])*tabCustoUnit[[#This Row],[PIS + COFINS + ISS (Total Conversão  Alíquota s/ Fatura)]]</f>
        <v>530.83213055371937</v>
      </c>
      <c r="BW116" s="22">
        <f>tabCustoUnit[[#This Row],[Custos Indiretos]]+tabCustoUnit[[#This Row],[Lucro]]+tabCustoUnit[[#This Row],[Valor dos Tributos (ISS, PIS, CONFINS)]]</f>
        <v>879.78592513418346</v>
      </c>
      <c r="BX116" s="22">
        <f>tabCustoUnit[[#This Row],[TOTAL MÓDULOS 1+2+3+4+5]]+tabCustoUnit[[#This Row],[MÓDULO 6 – CUSTOS INDIRETOS, TRIBUTOS E LUCRO]]</f>
        <v>4333.3235147242358</v>
      </c>
      <c r="BY116" s="22">
        <f>tabCustoUnit[[#This Row],[CUSTO TOTAL MENSAL]]*12</f>
        <v>51999.88217669083</v>
      </c>
      <c r="BZ116" s="24">
        <f>VLOOKUP(tabCustoUnit[[#This Row],[Código do Posto]],tabParametros[],MATCH(tabCustoUnit[[#Headers],[ANO DA CCT]],tabParametros[#Headers],0),0)</f>
        <v>45658</v>
      </c>
      <c r="CA116" s="25" t="str">
        <f>VLOOKUP(tabCustoUnit[[#This Row],[Código do Posto]],tabParametros[],MATCH(tabCustoUnit[[#Headers],[Nº DE PEDIDO DA CCT]],tabParametros[#Headers],0),0)</f>
        <v>-</v>
      </c>
      <c r="CB116" s="25" t="str">
        <f>VLOOKUP(tabCustoUnit[[#This Row],[Código do Posto]],tabParametros[],MATCH(tabCustoUnit[[#Headers],[TERMO ADITIVO ALTERAÇÃO DA CCT]],tabParametros[#Headers],0),0)</f>
        <v>-</v>
      </c>
    </row>
    <row r="117" spans="1:80" x14ac:dyDescent="0.25">
      <c r="A117" s="20" t="s">
        <v>1454</v>
      </c>
      <c r="B117" t="s">
        <v>107</v>
      </c>
      <c r="C117" t="s">
        <v>1245</v>
      </c>
      <c r="D117" t="s">
        <v>1000</v>
      </c>
      <c r="E117" s="20" t="s">
        <v>9</v>
      </c>
      <c r="F117" s="20" t="s">
        <v>10</v>
      </c>
      <c r="G117" s="21">
        <v>1596.28</v>
      </c>
      <c r="H117" s="21">
        <v>0</v>
      </c>
      <c r="I117" s="21">
        <v>0</v>
      </c>
      <c r="J117" s="21">
        <v>0</v>
      </c>
      <c r="K117" s="21">
        <v>0</v>
      </c>
      <c r="L117" s="21">
        <v>0</v>
      </c>
      <c r="M117" s="21">
        <v>0</v>
      </c>
      <c r="N117" s="21">
        <v>52.241900000000001</v>
      </c>
      <c r="O117" s="21">
        <f>SUM(tabCustoUnit[[#This Row],[Salário Base]:[Adicional de Acúmulo de função]])</f>
        <v>1648.5219</v>
      </c>
      <c r="P117" s="21">
        <f>tabCustoUnit[[#This Row],[MODULO 1 - REMUNERAÇÃO ]]*SUMIFS(tabParametros[INSS],tabParametros[Código do Posto],tabCustoUnit[[#This Row],[Código do Posto]])</f>
        <v>329.70438000000001</v>
      </c>
      <c r="Q117" s="21">
        <f>tabCustoUnit[[#This Row],[MODULO 1 - REMUNERAÇÃO ]]*SUMIFS(tabParametros[SESI OU SESC],tabParametros[Código do Posto],tabCustoUnit[[#This Row],[Código do Posto]])</f>
        <v>24.727828499999998</v>
      </c>
      <c r="R117" s="21">
        <f>tabCustoUnit[[#This Row],[MODULO 1 - REMUNERAÇÃO ]]*SUMIFS(tabParametros[SENAI OU SENAC],tabParametros[Código do Posto],tabCustoUnit[[#This Row],[Código do Posto]])</f>
        <v>16.485219000000001</v>
      </c>
      <c r="S117" s="21">
        <f>tabCustoUnit[[#This Row],[MODULO 1 - REMUNERAÇÃO ]]*SUMIFS(tabParametros[INCRA],tabParametros[Código do Posto],tabCustoUnit[[#This Row],[Código do Posto]])</f>
        <v>3.2970438</v>
      </c>
      <c r="T117" s="21">
        <f>tabCustoUnit[[#This Row],[MODULO 1 - REMUNERAÇÃO ]]*SUMIFS(tabParametros[Salário Educação],tabParametros[Código do Posto],tabCustoUnit[[#This Row],[Código do Posto]])</f>
        <v>41.213047500000002</v>
      </c>
      <c r="U117" s="21">
        <f>tabCustoUnit[[#This Row],[MODULO 1 - REMUNERAÇÃO ]]*SUMIFS(tabParametros[FGTS],tabParametros[Código do Posto],tabCustoUnit[[#This Row],[Código do Posto]])</f>
        <v>131.88175200000001</v>
      </c>
      <c r="V117" s="21">
        <f>tabCustoUnit[[#This Row],[MODULO 1 - REMUNERAÇÃO ]]*SUMIFS(tabParametros[RAT Ajustado],tabParametros[Código do Posto],tabCustoUnit[[#This Row],[Código do Posto]])</f>
        <v>65.940876000000003</v>
      </c>
      <c r="W117" s="21">
        <f>tabCustoUnit[[#This Row],[MODULO 1 - REMUNERAÇÃO ]]*SUMIFS(tabParametros[SEBRAE],tabParametros[Código do Posto],tabCustoUnit[[#This Row],[Código do Posto]])</f>
        <v>9.8911314000000008</v>
      </c>
      <c r="X117" s="21">
        <f>SUM(tabCustoUnit[[#This Row],[INSS]:[SEBRAE]])</f>
        <v>623.14127819999999</v>
      </c>
      <c r="Y117" s="21">
        <f>tabCustoUnit[[#This Row],[MODULO 1 - REMUNERAÇÃO ]]*SUMIFS(tabParametros[13º salário (titular)],tabParametros[Código do Posto],tabCustoUnit[[#This Row],[Código do Posto]])</f>
        <v>137.376825</v>
      </c>
      <c r="Z117" s="21">
        <f>tabCustoUnit[[#This Row],[MODULO 1 - REMUNERAÇÃO ]]*SUMIFS(tabParametros[Férias e Adicional de Férias (titular)],tabParametros[Código do Posto],tabCustoUnit[[#This Row],[Código do Posto]])</f>
        <v>183.16909999999999</v>
      </c>
      <c r="AA117" s="21">
        <f>IFERROR((tabCustoUnit[[#This Row],[Submódulo 2.1]]/tabCustoUnit[[#This Row],[MODULO 1 - REMUNERAÇÃO ]])*SUM(tabCustoUnit[[#This Row],[13º salário (titular)]:[Férias e Adicional de Férias (titular)]]),0)</f>
        <v>121.16635965</v>
      </c>
      <c r="AB117" s="21">
        <f>SUM(tabCustoUnit[[#This Row],[13º salário (titular)]:[Incidência do Submódulo 2.1 sobre 13º Salário, Férias e Adicional de Férias]])</f>
        <v>441.71228465000002</v>
      </c>
      <c r="AC117" s="22">
        <f>_xlfn.LET(_xlpm.VT,SUMIF(tabParametros[Código do Posto],tabCustoUnit[[#This Row],[Código do Posto]],tabParametros[Vale - Transporte])*2*20,
IF((_xlpm.VT-tabCustoUnit[[#This Row],[Salário Base]]*0.06)&gt;=0,(_xlpm.VT-tabCustoUnit[[#This Row],[Salário Base]]*0.06),0)
)</f>
        <v>160.22320000000002</v>
      </c>
      <c r="AD117" s="22">
        <f>IF(SUMIF(tabParametros[Código do Posto],tabCustoUnit[[#This Row],[Código do Posto]],tabParametros[Vale - Alimentação])&lt;=0,0,
SUMIF(tabParametros[Código do Posto],tabCustoUnit[[#This Row],[Código do Posto]],tabParametros[Vale - Alimentação])*20-1)</f>
        <v>582</v>
      </c>
      <c r="AE117" s="22">
        <f>SUMIF(tabParametros[Código do Posto],tabCustoUnit[[#This Row],[Código do Posto]],tabParametros[Cesta Básica])</f>
        <v>0</v>
      </c>
      <c r="AF117" s="22">
        <f>SUMIF(tabParametros[Código do Posto],tabCustoUnit[[#This Row],[Código do Posto]],tabParametros[PAF])</f>
        <v>0</v>
      </c>
      <c r="AG117" s="22">
        <f>SUMIF(tabParametros[Código do Posto],tabCustoUnit[[#This Row],[Código do Posto]],tabParametros[PQM])</f>
        <v>15.07</v>
      </c>
      <c r="AH117" s="22">
        <f>SUMIF(tabParametros[Código do Posto],tabCustoUnit[[#This Row],[Código do Posto]],tabParametros[PAT])</f>
        <v>0</v>
      </c>
      <c r="AI117" s="22">
        <f>SUMIF(tabParametros[Código do Posto],tabCustoUnit[[#This Row],[Código do Posto]],tabParametros[Seguro de Vida])</f>
        <v>3.36</v>
      </c>
      <c r="AJ117" s="22">
        <f>SUMIF(tabParametros[Código do Posto],tabCustoUnit[[#This Row],[Código do Posto]],tabParametros[Despesas de Viagem])</f>
        <v>0</v>
      </c>
      <c r="AK117" s="22">
        <f>SUM(tabCustoUnit[[#This Row],[Vale - Transporte (Descontada parcela do empregado)]:[Despesas de Viagem]])</f>
        <v>760.65320000000008</v>
      </c>
      <c r="AL117" s="22">
        <f>tabCustoUnit[[#This Row],[Submódulo 2.1]]+tabCustoUnit[[#This Row],[Submódulo 2.2]]+tabCustoUnit[[#This Row],[Submódulo 2.3]]</f>
        <v>1825.5067628500001</v>
      </c>
      <c r="AM117" s="22">
        <f>SUMIF(tabParametros[Código do Posto],tabCustoUnit[[#This Row],[Código do Posto]],tabParametros[Aviso Prévio Indenizado (API) e Reflexo do Aviso Prévio Indenizado])*tabCustoUnit[[#This Row],[MODULO 1 - REMUNERAÇÃO ]]</f>
        <v>11.559051416493055</v>
      </c>
      <c r="AN117" s="22">
        <f>SUMIF(tabParametros[Código do Posto],tabCustoUnit[[#This Row],[Código do Posto]],tabParametros[Incidência do FGTS sobre API e Reflexo do API])*tabCustoUnit[[#This Row],[MODULO 1 - REMUNERAÇÃO ]]</f>
        <v>0.92472411331944449</v>
      </c>
      <c r="AO117" s="22">
        <f>SUMIF(tabParametros[Código do Posto],tabCustoUnit[[#This Row],[Código do Posto]],tabParametros[Multa Rescisória do FGTS sobre o Aviso Prévio Indenizado])*tabCustoUnit[[#This Row],[MODULO 1 - REMUNERAÇÃO ]]</f>
        <v>0.36988964532777785</v>
      </c>
      <c r="AP117" s="22">
        <f>SUMIF(tabParametros[Código do Posto],tabCustoUnit[[#This Row],[Código do Posto]],tabParametros[Aviso Prévio Trabalhado - APT])*tabCustoUnit[[#This Row],[MODULO 1 - REMUNERAÇÃO ]]</f>
        <v>5.7698266500000006</v>
      </c>
      <c r="AQ117" s="22">
        <f>SUMIF(tabParametros[Código do Posto],tabCustoUnit[[#This Row],[Código do Posto]],tabParametros[Incidência dos encargos do submódulo 2.1 sobre Aviso Prévio Trabalhado])*tabCustoUnit[[#This Row],[MODULO 1 - REMUNERAÇÃO ]]</f>
        <v>2.1809944737000007</v>
      </c>
      <c r="AR117" s="22">
        <f>SUMIF(tabParametros[Código do Posto],tabCustoUnit[[#This Row],[Código do Posto]],tabParametros[Multa Rescisória do FGTS])*tabCustoUnit[[#This Row],[MODULO 1 - REMUNERAÇÃO ]]</f>
        <v>50.40813631999999</v>
      </c>
      <c r="AS117" s="22">
        <f>SUMIF(tabParametros[Código do Posto],tabCustoUnit[[#This Row],[Código do Posto]],tabParametros[Indenização Adicional (Art. 9º da Lei nº 7.238/84)])*tabCustoUnit[[#This Row],[MODULO 1 - REMUNERAÇÃO ]]</f>
        <v>1.3737682500000001</v>
      </c>
      <c r="AT117" s="22">
        <f>SUM(tabCustoUnit[[#This Row],[Aviso Prévio Indenizado (API) e Reflexo do Aviso Prévio Indenizado]:[Indenização Adicional (Art. 9º da Lei nº 7.238/84)]])</f>
        <v>72.586390868840269</v>
      </c>
      <c r="AU117" s="22">
        <f>SUMIF(tabParametros[Código do Posto],tabCustoUnit[[#This Row],[Código do Posto]],tabParametros[Ausência por Doença])*tabCustoUnit[[#This Row],[MODULO 1 - REMUNERAÇÃO ]]</f>
        <v>13.920851599999999</v>
      </c>
      <c r="AV117" s="22">
        <f>SUMIF(tabParametros[Código do Posto],tabCustoUnit[[#This Row],[Código do Posto]],tabParametros[Ausências Legais])*tabCustoUnit[[#This Row],[MODULO 1 - REMUNERAÇÃO ]]</f>
        <v>3.3428360749999997</v>
      </c>
      <c r="AW117" s="22">
        <f>SUMIF(tabParametros[Código do Posto],tabCustoUnit[[#This Row],[Código do Posto]],tabParametros[Licença Paternidade])*tabCustoUnit[[#This Row],[MODULO 1 - REMUNERAÇÃO ]]</f>
        <v>0.28162249125</v>
      </c>
      <c r="AX117" s="22">
        <f>SUMIF(tabParametros[Código do Posto],tabCustoUnit[[#This Row],[Código do Posto]],tabParametros[Ausência por Acidente de Trabalho])*tabCustoUnit[[#This Row],[MODULO 1 - REMUNERAÇÃO ]]</f>
        <v>0.34344206250000003</v>
      </c>
      <c r="AY117" s="22">
        <f>SUMIF(tabParametros[Código do Posto],tabCustoUnit[[#This Row],[Código do Posto]],tabParametros[Férias, Adicional de Férias e 13º  com empregada em gozo de Licença Maternidade])*tabCustoUnit[[#This Row],[MODULO 1 - REMUNERAÇÃO ]]</f>
        <v>2.1369728333333331</v>
      </c>
      <c r="AZ117" s="22">
        <f>SUMIF(tabParametros[Código do Posto],tabCustoUnit[[#This Row],[Código do Posto]],tabParametros[Incidência do Submódulo 2.1 sobre Ausências Legais])*tabCustoUnit[[#This Row],[MODULO 1 - REMUNERAÇÃO ]]</f>
        <v>7.5697240734675013</v>
      </c>
      <c r="BA117" s="22">
        <f>SUM(tabCustoUnit[[#This Row],[Ausência por Doença]:[Incidência do Submódulo 2.1 sobre Ausências Legais]])</f>
        <v>27.595449135550833</v>
      </c>
      <c r="BB117" s="22">
        <f>SUMIF(tabParametros[Código do Posto],tabCustoUnit[[#This Row],[Código do Posto]],tabParametros[Intervalo para Repouso ou Alimentação])</f>
        <v>0</v>
      </c>
      <c r="BC117" s="22">
        <f>tabCustoUnit[[#This Row],[Intervalo para Repouso ou Alimentação]]</f>
        <v>0</v>
      </c>
      <c r="BD117" s="22">
        <f>IF(VLOOKUP(tabCustoUnit[[#This Row],[Código do Posto]],PARAMETROS!$A$4:$BJ$255,7,0)&lt;=0,0,
IFERROR((tabCustoUnit[[#This Row],[MODULO 1 - REMUNERAÇÃO ]]*VLOOKUP(tabCustoUnit[[#This Row],[Código do Posto]],PARAMETROS!$A$4:$BJ$255,49,0))/(VLOOKUP(tabCustoUnit[[#This Row],[Código do Posto]],PARAMETROS!$A$4:$BJ$255,7,0)*VLOOKUP(tabCustoUnit[[#This Row],[Código do Posto]],PARAMETROS!$A$4:$BJ$255,8,0)),0)
)</f>
        <v>0</v>
      </c>
      <c r="BE117" s="22">
        <f>tabCustoUnit[[#This Row],[Suspensão Temporária do Contrato de Trabalho]]</f>
        <v>0</v>
      </c>
      <c r="BF117" s="22">
        <f>tabCustoUnit[[#This Row],[Submódulo 4.1]]+tabCustoUnit[[#This Row],[Submódulo 4.2]]+tabCustoUnit[[#This Row],[Submódulo 4.3]]</f>
        <v>27.595449135550833</v>
      </c>
      <c r="BG117" s="22">
        <f>VLOOKUP(tabCustoUnit[[#This Row],[Código do Posto]],tabParametros[],MATCH(tabCustoUnit[[#Headers],[Uniformes e EPIs]],tabParametros[#Headers],0),0)</f>
        <v>100.80916666666666</v>
      </c>
      <c r="BH117" s="22">
        <f>VLOOKUP(tabCustoUnit[[#This Row],[Código do Posto]],tabParametros[],MATCH(tabCustoUnit[[#Headers],[Materiais de Consumo]],tabParametros[#Headers],0),0)</f>
        <v>35.518212958583888</v>
      </c>
      <c r="BI117" s="22">
        <f>VLOOKUP(tabCustoUnit[[#This Row],[Código do Posto]],tabParametros[],MATCH(tabCustoUnit[[#Headers],[Máquinas e Equipamentos (depreciação)]],tabParametros[#Headers],0),0)</f>
        <v>64.529393914825576</v>
      </c>
      <c r="BJ117" s="22">
        <f>VLOOKUP(tabCustoUnit[[#This Row],[Código do Posto]],tabParametros[],MATCH(tabCustoUnit[[#Headers],[Produtos de Limpeza e Materiais de Higiene Pessoal]],tabParametros[#Headers],0),0)</f>
        <v>690.27153277931654</v>
      </c>
      <c r="BK117" s="22">
        <f>VLOOKUP(tabCustoUnit[[#This Row],[Código do Posto]],tabParametros[],MATCH(tabCustoUnit[[#Headers],[Outros (especificar)]],tabParametros[#Headers],0),0)</f>
        <v>0</v>
      </c>
      <c r="BL117" s="22">
        <f>SUM(tabCustoUnit[[#This Row],[Uniformes e EPIs]:[Outros (especificar)]])</f>
        <v>891.12830631939266</v>
      </c>
      <c r="BM117" s="22">
        <f>tabCustoUnit[[#This Row],[MODULO 1 - REMUNERAÇÃO ]]+tabCustoUnit[[#This Row],[MÓDULO 2 - Total Encargos e Benefícios mensais e diários]]+tabCustoUnit[[#This Row],[MÓDULO 3 – PROVISÃO PARA RESCISÃO]]+tabCustoUnit[[#This Row],[MÓDULO 4 – CUSTO DE REPOSIÇÃO DO PROFISSIONAL AUSENTE]]+tabCustoUnit[[#This Row],[MÓDULO 5 – INSUMOS DIVERSOS]]</f>
        <v>4465.3388091737834</v>
      </c>
      <c r="BN117" s="22">
        <f>VLOOKUP(tabCustoUnit[[#This Row],[Código do Posto]],tabParametros[],MATCH(tabCustoUnit[[#Headers],[Custos Indiretos]],tabParametros[#Headers],0),0)</f>
        <v>189.64880140242613</v>
      </c>
      <c r="BO117" s="22">
        <f>VLOOKUP(tabCustoUnit[[#This Row],[Código do Posto]],tabParametros[],MATCH(tabCustoUnit[[#Headers],[Lucro]],tabParametros[#Headers],0),0)</f>
        <v>159.30499317803796</v>
      </c>
      <c r="BP117" s="26">
        <f>((100/((1-tabCustoUnit[[#This Row],[Resumo de Alíquotas (PIS+CONFINS+ISS)]]))-100)*VLOOKUP(tabCustoUnit[[#This Row],[Código do Posto]],tabParametros[],MATCH(tabCustoUnit[[#Headers],[COFINS]],tabParametros[#Headers],0),0))/(tabCustoUnit[[#This Row],[Resumo de Alíquotas (PIS+CONFINS+ISS)]]*100)</f>
        <v>8.6609686609686695E-2</v>
      </c>
      <c r="BQ117" s="26">
        <f>((100/((100-(tabCustoUnit[[#This Row],[Resumo de Alíquotas (PIS+CONFINS+ISS)]]*100))%)-100)*VLOOKUP(tabCustoUnit[[#This Row],[Código do Posto]],tabParametros[],MATCH(tabCustoUnit[[#Headers],[PIS]],tabParametros[#Headers],0),0))/(tabCustoUnit[[#This Row],[Resumo de Alíquotas (PIS+CONFINS+ISS)]]*100)</f>
        <v>1.880341880341882E-2</v>
      </c>
      <c r="BR117" s="28">
        <f>VLOOKUP(tabCustoUnit[[#This Row],[Código do Posto]],tabParametros[],MATCH(tabCustoUnit[[#Headers],[ISS]],tabParametros[#Headers],0),0)</f>
        <v>0.03</v>
      </c>
      <c r="BS117" s="26">
        <f>(((100/((100-(tabCustoUnit[[#This Row],[Resumo de Alíquotas (PIS+CONFINS+ISS)]]*100))%)-100)*tabCustoUnit[[#This Row],[ISS]])/tabCustoUnit[[#This Row],[Resumo de Alíquotas (PIS+CONFINS+ISS)]])/100</f>
        <v>3.4188034188034219E-2</v>
      </c>
      <c r="BT117" s="26">
        <f>(VLOOKUP(tabCustoUnit[[#This Row],[Código do Posto]],tabParametros[],MATCH(tabCustoUnit[[#Headers],[COFINS]],tabParametros[#Headers],0),0)+
VLOOKUP(tabCustoUnit[[#This Row],[Código do Posto]],tabParametros[],MATCH(tabCustoUnit[[#Headers],[PIS]],tabParametros[#Headers],0),0)+
VLOOKUP(tabCustoUnit[[#This Row],[Código do Posto]],tabParametros[],MATCH(tabCustoUnit[[#Headers],[ISS]],tabParametros[#Headers],0),0))</f>
        <v>0.1225</v>
      </c>
      <c r="BU117" s="138">
        <f>tabCustoUnit[[#This Row],[COFINS]]+tabCustoUnit[[#This Row],[PIS]]+tabCustoUnit[[#This Row],[ISS (Conversão Alíquota s/ fatura)]]</f>
        <v>0.13960113960113973</v>
      </c>
      <c r="BV117" s="22">
        <f>(tabCustoUnit[[#This Row],[TOTAL MÓDULOS 1+2+3+4+5]]+tabCustoUnit[[#This Row],[Custos Indiretos]]+tabCustoUnit[[#This Row],[Lucro]])*tabCustoUnit[[#This Row],[PIS + COFINS + ISS (Total Conversão  Alíquota s/ Fatura)]]</f>
        <v>672.08073385743126</v>
      </c>
      <c r="BW117" s="22">
        <f>tabCustoUnit[[#This Row],[Custos Indiretos]]+tabCustoUnit[[#This Row],[Lucro]]+tabCustoUnit[[#This Row],[Valor dos Tributos (ISS, PIS, CONFINS)]]</f>
        <v>1021.0345284378953</v>
      </c>
      <c r="BX117" s="22">
        <f>tabCustoUnit[[#This Row],[TOTAL MÓDULOS 1+2+3+4+5]]+tabCustoUnit[[#This Row],[MÓDULO 6 – CUSTOS INDIRETOS, TRIBUTOS E LUCRO]]</f>
        <v>5486.3733376116788</v>
      </c>
      <c r="BY117" s="22">
        <f>tabCustoUnit[[#This Row],[CUSTO TOTAL MENSAL]]*12</f>
        <v>65836.480051340142</v>
      </c>
      <c r="BZ117" s="24">
        <f>VLOOKUP(tabCustoUnit[[#This Row],[Código do Posto]],tabParametros[],MATCH(tabCustoUnit[[#Headers],[ANO DA CCT]],tabParametros[#Headers],0),0)</f>
        <v>45658</v>
      </c>
      <c r="CA117" s="25" t="str">
        <f>VLOOKUP(tabCustoUnit[[#This Row],[Código do Posto]],tabParametros[],MATCH(tabCustoUnit[[#Headers],[Nº DE PEDIDO DA CCT]],tabParametros[#Headers],0),0)</f>
        <v>-</v>
      </c>
      <c r="CB117" s="25" t="str">
        <f>VLOOKUP(tabCustoUnit[[#This Row],[Código do Posto]],tabParametros[],MATCH(tabCustoUnit[[#Headers],[TERMO ADITIVO ALTERAÇÃO DA CCT]],tabParametros[#Headers],0),0)</f>
        <v>-</v>
      </c>
    </row>
    <row r="118" spans="1:80" x14ac:dyDescent="0.25">
      <c r="A118" s="20" t="s">
        <v>1455</v>
      </c>
      <c r="B118" t="s">
        <v>108</v>
      </c>
      <c r="C118" t="s">
        <v>1247</v>
      </c>
      <c r="D118" t="s">
        <v>1000</v>
      </c>
      <c r="E118" s="20" t="s">
        <v>9</v>
      </c>
      <c r="F118" s="20" t="s">
        <v>10</v>
      </c>
      <c r="G118" s="21">
        <v>544.17999999999995</v>
      </c>
      <c r="H118" s="21">
        <v>0</v>
      </c>
      <c r="I118" s="21">
        <v>0</v>
      </c>
      <c r="J118" s="21">
        <v>0</v>
      </c>
      <c r="K118" s="21">
        <v>0</v>
      </c>
      <c r="L118" s="21">
        <v>0</v>
      </c>
      <c r="M118" s="21">
        <v>0</v>
      </c>
      <c r="N118" s="21">
        <v>19.590499999999999</v>
      </c>
      <c r="O118" s="21">
        <f>SUM(tabCustoUnit[[#This Row],[Salário Base]:[Adicional de Acúmulo de função]])</f>
        <v>563.77049999999997</v>
      </c>
      <c r="P118" s="21">
        <f>tabCustoUnit[[#This Row],[MODULO 1 - REMUNERAÇÃO ]]*SUMIFS(tabParametros[INSS],tabParametros[Código do Posto],tabCustoUnit[[#This Row],[Código do Posto]])</f>
        <v>112.75409999999999</v>
      </c>
      <c r="Q118" s="21">
        <f>tabCustoUnit[[#This Row],[MODULO 1 - REMUNERAÇÃO ]]*SUMIFS(tabParametros[SESI OU SESC],tabParametros[Código do Posto],tabCustoUnit[[#This Row],[Código do Posto]])</f>
        <v>8.4565574999999988</v>
      </c>
      <c r="R118" s="21">
        <f>tabCustoUnit[[#This Row],[MODULO 1 - REMUNERAÇÃO ]]*SUMIFS(tabParametros[SENAI OU SENAC],tabParametros[Código do Posto],tabCustoUnit[[#This Row],[Código do Posto]])</f>
        <v>5.6377049999999995</v>
      </c>
      <c r="S118" s="21">
        <f>tabCustoUnit[[#This Row],[MODULO 1 - REMUNERAÇÃO ]]*SUMIFS(tabParametros[INCRA],tabParametros[Código do Posto],tabCustoUnit[[#This Row],[Código do Posto]])</f>
        <v>1.1275409999999999</v>
      </c>
      <c r="T118" s="21">
        <f>tabCustoUnit[[#This Row],[MODULO 1 - REMUNERAÇÃO ]]*SUMIFS(tabParametros[Salário Educação],tabParametros[Código do Posto],tabCustoUnit[[#This Row],[Código do Posto]])</f>
        <v>14.094262499999999</v>
      </c>
      <c r="U118" s="21">
        <f>tabCustoUnit[[#This Row],[MODULO 1 - REMUNERAÇÃO ]]*SUMIFS(tabParametros[FGTS],tabParametros[Código do Posto],tabCustoUnit[[#This Row],[Código do Posto]])</f>
        <v>45.101639999999996</v>
      </c>
      <c r="V118" s="21">
        <f>tabCustoUnit[[#This Row],[MODULO 1 - REMUNERAÇÃO ]]*SUMIFS(tabParametros[RAT Ajustado],tabParametros[Código do Posto],tabCustoUnit[[#This Row],[Código do Posto]])</f>
        <v>22.550819999999998</v>
      </c>
      <c r="W118" s="21">
        <f>tabCustoUnit[[#This Row],[MODULO 1 - REMUNERAÇÃO ]]*SUMIFS(tabParametros[SEBRAE],tabParametros[Código do Posto],tabCustoUnit[[#This Row],[Código do Posto]])</f>
        <v>3.3826229999999997</v>
      </c>
      <c r="X118" s="21">
        <f>SUM(tabCustoUnit[[#This Row],[INSS]:[SEBRAE]])</f>
        <v>213.10524899999996</v>
      </c>
      <c r="Y118" s="21">
        <f>tabCustoUnit[[#This Row],[MODULO 1 - REMUNERAÇÃO ]]*SUMIFS(tabParametros[13º salário (titular)],tabParametros[Código do Posto],tabCustoUnit[[#This Row],[Código do Posto]])</f>
        <v>46.980874999999997</v>
      </c>
      <c r="Z118" s="21">
        <f>tabCustoUnit[[#This Row],[MODULO 1 - REMUNERAÇÃO ]]*SUMIFS(tabParametros[Férias e Adicional de Férias (titular)],tabParametros[Código do Posto],tabCustoUnit[[#This Row],[Código do Posto]])</f>
        <v>62.641166666666663</v>
      </c>
      <c r="AA118" s="21">
        <f>IFERROR((tabCustoUnit[[#This Row],[Submódulo 2.1]]/tabCustoUnit[[#This Row],[MODULO 1 - REMUNERAÇÃO ]])*SUM(tabCustoUnit[[#This Row],[13º salário (titular)]:[Férias e Adicional de Férias (titular)]]),0)</f>
        <v>41.437131749999992</v>
      </c>
      <c r="AB118" s="21">
        <f>SUM(tabCustoUnit[[#This Row],[13º salário (titular)]:[Incidência do Submódulo 2.1 sobre 13º Salário, Férias e Adicional de Férias]])</f>
        <v>151.05917341666665</v>
      </c>
      <c r="AC118" s="22">
        <f>_xlfn.LET(_xlpm.VT,SUMIF(tabParametros[Código do Posto],tabCustoUnit[[#This Row],[Código do Posto]],tabParametros[Vale - Transporte])*2*20,
IF((_xlpm.VT-tabCustoUnit[[#This Row],[Salário Base]]*0.06)&gt;=0,(_xlpm.VT-tabCustoUnit[[#This Row],[Salário Base]]*0.06),0)
)</f>
        <v>223.3492</v>
      </c>
      <c r="AD118" s="22">
        <f>IF(SUMIF(tabParametros[Código do Posto],tabCustoUnit[[#This Row],[Código do Posto]],tabParametros[Vale - Alimentação])&lt;=0,0,
SUMIF(tabParametros[Código do Posto],tabCustoUnit[[#This Row],[Código do Posto]],tabParametros[Vale - Alimentação])*20-1)</f>
        <v>582</v>
      </c>
      <c r="AE118" s="22">
        <f>SUMIF(tabParametros[Código do Posto],tabCustoUnit[[#This Row],[Código do Posto]],tabParametros[Cesta Básica])</f>
        <v>0</v>
      </c>
      <c r="AF118" s="22">
        <f>SUMIF(tabParametros[Código do Posto],tabCustoUnit[[#This Row],[Código do Posto]],tabParametros[PAF])</f>
        <v>0</v>
      </c>
      <c r="AG118" s="22">
        <f>SUMIF(tabParametros[Código do Posto],tabCustoUnit[[#This Row],[Código do Posto]],tabParametros[PQM])</f>
        <v>15.07</v>
      </c>
      <c r="AH118" s="22">
        <f>SUMIF(tabParametros[Código do Posto],tabCustoUnit[[#This Row],[Código do Posto]],tabParametros[PAT])</f>
        <v>0</v>
      </c>
      <c r="AI118" s="22">
        <f>SUMIF(tabParametros[Código do Posto],tabCustoUnit[[#This Row],[Código do Posto]],tabParametros[Seguro de Vida])</f>
        <v>3.36</v>
      </c>
      <c r="AJ118" s="22">
        <f>SUMIF(tabParametros[Código do Posto],tabCustoUnit[[#This Row],[Código do Posto]],tabParametros[Despesas de Viagem])</f>
        <v>0</v>
      </c>
      <c r="AK118" s="22">
        <f>SUM(tabCustoUnit[[#This Row],[Vale - Transporte (Descontada parcela do empregado)]:[Despesas de Viagem]])</f>
        <v>823.77920000000006</v>
      </c>
      <c r="AL118" s="22">
        <f>tabCustoUnit[[#This Row],[Submódulo 2.1]]+tabCustoUnit[[#This Row],[Submódulo 2.2]]+tabCustoUnit[[#This Row],[Submódulo 2.3]]</f>
        <v>1187.9436224166666</v>
      </c>
      <c r="AM118" s="22">
        <f>SUMIF(tabParametros[Código do Posto],tabCustoUnit[[#This Row],[Código do Posto]],tabParametros[Aviso Prévio Indenizado (API) e Reflexo do Aviso Prévio Indenizado])*tabCustoUnit[[#This Row],[MODULO 1 - REMUNERAÇÃO ]]</f>
        <v>3.9530273735532404</v>
      </c>
      <c r="AN118" s="22">
        <f>SUMIF(tabParametros[Código do Posto],tabCustoUnit[[#This Row],[Código do Posto]],tabParametros[Incidência do FGTS sobre API e Reflexo do API])*tabCustoUnit[[#This Row],[MODULO 1 - REMUNERAÇÃO ]]</f>
        <v>0.31624218988425928</v>
      </c>
      <c r="AO118" s="22">
        <f>SUMIF(tabParametros[Código do Posto],tabCustoUnit[[#This Row],[Código do Posto]],tabParametros[Multa Rescisória do FGTS sobre o Aviso Prévio Indenizado])*tabCustoUnit[[#This Row],[MODULO 1 - REMUNERAÇÃO ]]</f>
        <v>0.12649687595370371</v>
      </c>
      <c r="AP118" s="22">
        <f>SUMIF(tabParametros[Código do Posto],tabCustoUnit[[#This Row],[Código do Posto]],tabParametros[Aviso Prévio Trabalhado - APT])*tabCustoUnit[[#This Row],[MODULO 1 - REMUNERAÇÃO ]]</f>
        <v>1.9731967500000003</v>
      </c>
      <c r="AQ118" s="22">
        <f>SUMIF(tabParametros[Código do Posto],tabCustoUnit[[#This Row],[Código do Posto]],tabParametros[Incidência dos encargos do submódulo 2.1 sobre Aviso Prévio Trabalhado])*tabCustoUnit[[#This Row],[MODULO 1 - REMUNERAÇÃO ]]</f>
        <v>0.74586837150000018</v>
      </c>
      <c r="AR118" s="22">
        <f>SUMIF(tabParametros[Código do Posto],tabCustoUnit[[#This Row],[Código do Posto]],tabParametros[Multa Rescisória do FGTS])*tabCustoUnit[[#This Row],[MODULO 1 - REMUNERAÇÃO ]]</f>
        <v>17.238849066666663</v>
      </c>
      <c r="AS118" s="22">
        <f>SUMIF(tabParametros[Código do Posto],tabCustoUnit[[#This Row],[Código do Posto]],tabParametros[Indenização Adicional (Art. 9º da Lei nº 7.238/84)])*tabCustoUnit[[#This Row],[MODULO 1 - REMUNERAÇÃO ]]</f>
        <v>0.46980875</v>
      </c>
      <c r="AT118" s="22">
        <f>SUM(tabCustoUnit[[#This Row],[Aviso Prévio Indenizado (API) e Reflexo do Aviso Prévio Indenizado]:[Indenização Adicional (Art. 9º da Lei nº 7.238/84)]])</f>
        <v>24.823489377557866</v>
      </c>
      <c r="AU118" s="22">
        <f>SUMIF(tabParametros[Código do Posto],tabCustoUnit[[#This Row],[Código do Posto]],tabParametros[Ausência por Doença])*tabCustoUnit[[#This Row],[MODULO 1 - REMUNERAÇÃO ]]</f>
        <v>4.7607286666666662</v>
      </c>
      <c r="AV118" s="22">
        <f>SUMIF(tabParametros[Código do Posto],tabCustoUnit[[#This Row],[Código do Posto]],tabParametros[Ausências Legais])*tabCustoUnit[[#This Row],[MODULO 1 - REMUNERAÇÃO ]]</f>
        <v>1.1432012916666665</v>
      </c>
      <c r="AW118" s="22">
        <f>SUMIF(tabParametros[Código do Posto],tabCustoUnit[[#This Row],[Código do Posto]],tabParametros[Licença Paternidade])*tabCustoUnit[[#This Row],[MODULO 1 - REMUNERAÇÃO ]]</f>
        <v>9.6310793749999998E-2</v>
      </c>
      <c r="AX118" s="22">
        <f>SUMIF(tabParametros[Código do Posto],tabCustoUnit[[#This Row],[Código do Posto]],tabParametros[Ausência por Acidente de Trabalho])*tabCustoUnit[[#This Row],[MODULO 1 - REMUNERAÇÃO ]]</f>
        <v>0.1174521875</v>
      </c>
      <c r="AY118" s="22">
        <f>SUMIF(tabParametros[Código do Posto],tabCustoUnit[[#This Row],[Código do Posto]],tabParametros[Férias, Adicional de Férias e 13º  com empregada em gozo de Licença Maternidade])*tabCustoUnit[[#This Row],[MODULO 1 - REMUNERAÇÃO ]]</f>
        <v>0.73081361111111109</v>
      </c>
      <c r="AZ118" s="22">
        <f>SUMIF(tabParametros[Código do Posto],tabCustoUnit[[#This Row],[Código do Posto]],tabParametros[Incidência do Submódulo 2.1 sobre Ausências Legais])*tabCustoUnit[[#This Row],[MODULO 1 - REMUNERAÇÃO ]]</f>
        <v>2.5887354761625003</v>
      </c>
      <c r="BA118" s="22">
        <f>SUM(tabCustoUnit[[#This Row],[Ausência por Doença]:[Incidência do Submódulo 2.1 sobre Ausências Legais]])</f>
        <v>9.4372420268569428</v>
      </c>
      <c r="BB118" s="22">
        <f>SUMIF(tabParametros[Código do Posto],tabCustoUnit[[#This Row],[Código do Posto]],tabParametros[Intervalo para Repouso ou Alimentação])</f>
        <v>0</v>
      </c>
      <c r="BC118" s="22">
        <f>tabCustoUnit[[#This Row],[Intervalo para Repouso ou Alimentação]]</f>
        <v>0</v>
      </c>
      <c r="BD118" s="22">
        <f>IF(VLOOKUP(tabCustoUnit[[#This Row],[Código do Posto]],PARAMETROS!$A$4:$BJ$255,7,0)&lt;=0,0,
IFERROR((tabCustoUnit[[#This Row],[MODULO 1 - REMUNERAÇÃO ]]*VLOOKUP(tabCustoUnit[[#This Row],[Código do Posto]],PARAMETROS!$A$4:$BJ$255,49,0))/(VLOOKUP(tabCustoUnit[[#This Row],[Código do Posto]],PARAMETROS!$A$4:$BJ$255,7,0)*VLOOKUP(tabCustoUnit[[#This Row],[Código do Posto]],PARAMETROS!$A$4:$BJ$255,8,0)),0)
)</f>
        <v>0</v>
      </c>
      <c r="BE118" s="22">
        <f>tabCustoUnit[[#This Row],[Suspensão Temporária do Contrato de Trabalho]]</f>
        <v>0</v>
      </c>
      <c r="BF118" s="22">
        <f>tabCustoUnit[[#This Row],[Submódulo 4.1]]+tabCustoUnit[[#This Row],[Submódulo 4.2]]+tabCustoUnit[[#This Row],[Submódulo 4.3]]</f>
        <v>9.4372420268569428</v>
      </c>
      <c r="BG118" s="22">
        <f>VLOOKUP(tabCustoUnit[[#This Row],[Código do Posto]],tabParametros[],MATCH(tabCustoUnit[[#Headers],[Uniformes e EPIs]],tabParametros[#Headers],0),0)</f>
        <v>62.806666666666665</v>
      </c>
      <c r="BH118" s="22">
        <f>VLOOKUP(tabCustoUnit[[#This Row],[Código do Posto]],tabParametros[],MATCH(tabCustoUnit[[#Headers],[Materiais de Consumo]],tabParametros[#Headers],0),0)</f>
        <v>12.108481690426325</v>
      </c>
      <c r="BI118" s="22">
        <f>VLOOKUP(tabCustoUnit[[#This Row],[Código do Posto]],tabParametros[],MATCH(tabCustoUnit[[#Headers],[Máquinas e Equipamentos (depreciação)]],tabParametros[#Headers],0),0)</f>
        <v>21.998657016417809</v>
      </c>
      <c r="BJ118" s="22">
        <f>VLOOKUP(tabCustoUnit[[#This Row],[Código do Posto]],tabParametros[],MATCH(tabCustoUnit[[#Headers],[Produtos de Limpeza e Materiais de Higiene Pessoal]],tabParametros[#Headers],0),0)</f>
        <v>235.31984072022155</v>
      </c>
      <c r="BK118" s="22">
        <f>VLOOKUP(tabCustoUnit[[#This Row],[Código do Posto]],tabParametros[],MATCH(tabCustoUnit[[#Headers],[Outros (especificar)]],tabParametros[#Headers],0),0)</f>
        <v>0</v>
      </c>
      <c r="BL118" s="22">
        <f>SUM(tabCustoUnit[[#This Row],[Uniformes e EPIs]:[Outros (especificar)]])</f>
        <v>332.23364609373232</v>
      </c>
      <c r="BM118" s="22">
        <f>tabCustoUnit[[#This Row],[MODULO 1 - REMUNERAÇÃO ]]+tabCustoUnit[[#This Row],[MÓDULO 2 - Total Encargos e Benefícios mensais e diários]]+tabCustoUnit[[#This Row],[MÓDULO 3 – PROVISÃO PARA RESCISÃO]]+tabCustoUnit[[#This Row],[MÓDULO 4 – CUSTO DE REPOSIÇÃO DO PROFISSIONAL AUSENTE]]+tabCustoUnit[[#This Row],[MÓDULO 5 – INSUMOS DIVERSOS]]</f>
        <v>2118.2084999148137</v>
      </c>
      <c r="BN118" s="22">
        <f>VLOOKUP(tabCustoUnit[[#This Row],[Código do Posto]],tabParametros[],MATCH(tabCustoUnit[[#Headers],[Custos Indiretos]],tabParametros[#Headers],0),0)</f>
        <v>189.64880140242613</v>
      </c>
      <c r="BO118" s="22">
        <f>VLOOKUP(tabCustoUnit[[#This Row],[Código do Posto]],tabParametros[],MATCH(tabCustoUnit[[#Headers],[Lucro]],tabParametros[#Headers],0),0)</f>
        <v>159.30499317803796</v>
      </c>
      <c r="BP118" s="26">
        <f>((100/((1-tabCustoUnit[[#This Row],[Resumo de Alíquotas (PIS+CONFINS+ISS)]]))-100)*VLOOKUP(tabCustoUnit[[#This Row],[Código do Posto]],tabParametros[],MATCH(tabCustoUnit[[#Headers],[COFINS]],tabParametros[#Headers],0),0))/(tabCustoUnit[[#This Row],[Resumo de Alíquotas (PIS+CONFINS+ISS)]]*100)</f>
        <v>8.8629737609329504E-2</v>
      </c>
      <c r="BQ118" s="26">
        <f>((100/((100-(tabCustoUnit[[#This Row],[Resumo de Alíquotas (PIS+CONFINS+ISS)]]*100))%)-100)*VLOOKUP(tabCustoUnit[[#This Row],[Código do Posto]],tabParametros[],MATCH(tabCustoUnit[[#Headers],[PIS]],tabParametros[#Headers],0),0))/(tabCustoUnit[[#This Row],[Resumo de Alíquotas (PIS+CONFINS+ISS)]]*100)</f>
        <v>1.9241982507288629E-2</v>
      </c>
      <c r="BR118" s="28">
        <f>VLOOKUP(tabCustoUnit[[#This Row],[Código do Posto]],tabParametros[],MATCH(tabCustoUnit[[#Headers],[ISS]],tabParametros[#Headers],0),0)</f>
        <v>0.05</v>
      </c>
      <c r="BS118" s="26">
        <f>(((100/((100-(tabCustoUnit[[#This Row],[Resumo de Alíquotas (PIS+CONFINS+ISS)]]*100))%)-100)*tabCustoUnit[[#This Row],[ISS]])/tabCustoUnit[[#This Row],[Resumo de Alíquotas (PIS+CONFINS+ISS)]])/100</f>
        <v>5.8309037900874633E-2</v>
      </c>
      <c r="BT118" s="26">
        <f>(VLOOKUP(tabCustoUnit[[#This Row],[Código do Posto]],tabParametros[],MATCH(tabCustoUnit[[#Headers],[COFINS]],tabParametros[#Headers],0),0)+
VLOOKUP(tabCustoUnit[[#This Row],[Código do Posto]],tabParametros[],MATCH(tabCustoUnit[[#Headers],[PIS]],tabParametros[#Headers],0),0)+
VLOOKUP(tabCustoUnit[[#This Row],[Código do Posto]],tabParametros[],MATCH(tabCustoUnit[[#Headers],[ISS]],tabParametros[#Headers],0),0))</f>
        <v>0.14250000000000002</v>
      </c>
      <c r="BU118" s="138">
        <f>tabCustoUnit[[#This Row],[COFINS]]+tabCustoUnit[[#This Row],[PIS]]+tabCustoUnit[[#This Row],[ISS (Conversão Alíquota s/ fatura)]]</f>
        <v>0.16618075801749277</v>
      </c>
      <c r="BV118" s="22">
        <f>(tabCustoUnit[[#This Row],[TOTAL MÓDULOS 1+2+3+4+5]]+tabCustoUnit[[#This Row],[Custos Indiretos]]+tabCustoUnit[[#This Row],[Lucro]])*tabCustoUnit[[#This Row],[PIS + COFINS + ISS (Total Conversão  Alíquota s/ Fatura)]]</f>
        <v>409.99490025140199</v>
      </c>
      <c r="BW118" s="22">
        <f>tabCustoUnit[[#This Row],[Custos Indiretos]]+tabCustoUnit[[#This Row],[Lucro]]+tabCustoUnit[[#This Row],[Valor dos Tributos (ISS, PIS, CONFINS)]]</f>
        <v>758.94869483186608</v>
      </c>
      <c r="BX118" s="22">
        <f>tabCustoUnit[[#This Row],[TOTAL MÓDULOS 1+2+3+4+5]]+tabCustoUnit[[#This Row],[MÓDULO 6 – CUSTOS INDIRETOS, TRIBUTOS E LUCRO]]</f>
        <v>2877.15719474668</v>
      </c>
      <c r="BY118" s="22">
        <f>tabCustoUnit[[#This Row],[CUSTO TOTAL MENSAL]]*12</f>
        <v>34525.88633696016</v>
      </c>
      <c r="BZ118" s="24">
        <f>VLOOKUP(tabCustoUnit[[#This Row],[Código do Posto]],tabParametros[],MATCH(tabCustoUnit[[#Headers],[ANO DA CCT]],tabParametros[#Headers],0),0)</f>
        <v>45658</v>
      </c>
      <c r="CA118" s="25" t="str">
        <f>VLOOKUP(tabCustoUnit[[#This Row],[Código do Posto]],tabParametros[],MATCH(tabCustoUnit[[#Headers],[Nº DE PEDIDO DA CCT]],tabParametros[#Headers],0),0)</f>
        <v>-</v>
      </c>
      <c r="CB118" s="25" t="str">
        <f>VLOOKUP(tabCustoUnit[[#This Row],[Código do Posto]],tabParametros[],MATCH(tabCustoUnit[[#Headers],[TERMO ADITIVO ALTERAÇÃO DA CCT]],tabParametros[#Headers],0),0)</f>
        <v>-</v>
      </c>
    </row>
    <row r="119" spans="1:80" x14ac:dyDescent="0.25">
      <c r="A119" s="20" t="s">
        <v>1456</v>
      </c>
      <c r="B119" t="s">
        <v>109</v>
      </c>
      <c r="C119" t="s">
        <v>1244</v>
      </c>
      <c r="D119" t="s">
        <v>1023</v>
      </c>
      <c r="E119" s="20" t="s">
        <v>9</v>
      </c>
      <c r="F119" s="20" t="s">
        <v>10</v>
      </c>
      <c r="G119" s="21">
        <v>798.14</v>
      </c>
      <c r="H119" s="21">
        <v>0</v>
      </c>
      <c r="I119" s="21">
        <v>0</v>
      </c>
      <c r="J119" s="21">
        <v>0</v>
      </c>
      <c r="K119" s="21">
        <v>0</v>
      </c>
      <c r="L119" s="21">
        <v>0</v>
      </c>
      <c r="M119" s="21">
        <v>0</v>
      </c>
      <c r="N119" s="21">
        <v>26.120899999999999</v>
      </c>
      <c r="O119" s="21">
        <f>SUM(tabCustoUnit[[#This Row],[Salário Base]:[Adicional de Acúmulo de função]])</f>
        <v>824.26089999999999</v>
      </c>
      <c r="P119" s="21">
        <f>tabCustoUnit[[#This Row],[MODULO 1 - REMUNERAÇÃO ]]*SUMIFS(tabParametros[INSS],tabParametros[Código do Posto],tabCustoUnit[[#This Row],[Código do Posto]])</f>
        <v>164.85218</v>
      </c>
      <c r="Q119" s="21">
        <f>tabCustoUnit[[#This Row],[MODULO 1 - REMUNERAÇÃO ]]*SUMIFS(tabParametros[SESI OU SESC],tabParametros[Código do Posto],tabCustoUnit[[#This Row],[Código do Posto]])</f>
        <v>12.363913499999999</v>
      </c>
      <c r="R119" s="21">
        <f>tabCustoUnit[[#This Row],[MODULO 1 - REMUNERAÇÃO ]]*SUMIFS(tabParametros[SENAI OU SENAC],tabParametros[Código do Posto],tabCustoUnit[[#This Row],[Código do Posto]])</f>
        <v>8.2426089999999999</v>
      </c>
      <c r="S119" s="21">
        <f>tabCustoUnit[[#This Row],[MODULO 1 - REMUNERAÇÃO ]]*SUMIFS(tabParametros[INCRA],tabParametros[Código do Posto],tabCustoUnit[[#This Row],[Código do Posto]])</f>
        <v>1.6485217999999999</v>
      </c>
      <c r="T119" s="21">
        <f>tabCustoUnit[[#This Row],[MODULO 1 - REMUNERAÇÃO ]]*SUMIFS(tabParametros[Salário Educação],tabParametros[Código do Posto],tabCustoUnit[[#This Row],[Código do Posto]])</f>
        <v>20.606522500000001</v>
      </c>
      <c r="U119" s="21">
        <f>tabCustoUnit[[#This Row],[MODULO 1 - REMUNERAÇÃO ]]*SUMIFS(tabParametros[FGTS],tabParametros[Código do Posto],tabCustoUnit[[#This Row],[Código do Posto]])</f>
        <v>65.940871999999999</v>
      </c>
      <c r="V119" s="21">
        <f>tabCustoUnit[[#This Row],[MODULO 1 - REMUNERAÇÃO ]]*SUMIFS(tabParametros[RAT Ajustado],tabParametros[Código do Posto],tabCustoUnit[[#This Row],[Código do Posto]])</f>
        <v>32.970435999999999</v>
      </c>
      <c r="W119" s="21">
        <f>tabCustoUnit[[#This Row],[MODULO 1 - REMUNERAÇÃO ]]*SUMIFS(tabParametros[SEBRAE],tabParametros[Código do Posto],tabCustoUnit[[#This Row],[Código do Posto]])</f>
        <v>4.9455654000000004</v>
      </c>
      <c r="X119" s="21">
        <f>SUM(tabCustoUnit[[#This Row],[INSS]:[SEBRAE]])</f>
        <v>311.57062020000001</v>
      </c>
      <c r="Y119" s="21">
        <f>tabCustoUnit[[#This Row],[MODULO 1 - REMUNERAÇÃO ]]*SUMIFS(tabParametros[13º salário (titular)],tabParametros[Código do Posto],tabCustoUnit[[#This Row],[Código do Posto]])</f>
        <v>68.688408333333328</v>
      </c>
      <c r="Z119" s="21">
        <f>tabCustoUnit[[#This Row],[MODULO 1 - REMUNERAÇÃO ]]*SUMIFS(tabParametros[Férias e Adicional de Férias (titular)],tabParametros[Código do Posto],tabCustoUnit[[#This Row],[Código do Posto]])</f>
        <v>91.584544444444433</v>
      </c>
      <c r="AA119" s="21">
        <f>IFERROR((tabCustoUnit[[#This Row],[Submódulo 2.1]]/tabCustoUnit[[#This Row],[MODULO 1 - REMUNERAÇÃO ]])*SUM(tabCustoUnit[[#This Row],[13º salário (titular)]:[Férias e Adicional de Férias (titular)]]),0)</f>
        <v>60.583176149999993</v>
      </c>
      <c r="AB119" s="21">
        <f>SUM(tabCustoUnit[[#This Row],[13º salário (titular)]:[Incidência do Submódulo 2.1 sobre 13º Salário, Férias e Adicional de Férias]])</f>
        <v>220.85612892777775</v>
      </c>
      <c r="AC119" s="22">
        <f>_xlfn.LET(_xlpm.VT,SUMIF(tabParametros[Código do Posto],tabCustoUnit[[#This Row],[Código do Posto]],tabParametros[Vale - Transporte])*2*20,
IF((_xlpm.VT-tabCustoUnit[[#This Row],[Salário Base]]*0.06)&gt;=0,(_xlpm.VT-tabCustoUnit[[#This Row],[Salário Base]]*0.06),0)
)</f>
        <v>208.11160000000001</v>
      </c>
      <c r="AD119" s="22">
        <f>IF(SUMIF(tabParametros[Código do Posto],tabCustoUnit[[#This Row],[Código do Posto]],tabParametros[Vale - Alimentação])&lt;=0,0,
SUMIF(tabParametros[Código do Posto],tabCustoUnit[[#This Row],[Código do Posto]],tabParametros[Vale - Alimentação])*20-1)</f>
        <v>582</v>
      </c>
      <c r="AE119" s="22">
        <f>SUMIF(tabParametros[Código do Posto],tabCustoUnit[[#This Row],[Código do Posto]],tabParametros[Cesta Básica])</f>
        <v>0</v>
      </c>
      <c r="AF119" s="22">
        <f>SUMIF(tabParametros[Código do Posto],tabCustoUnit[[#This Row],[Código do Posto]],tabParametros[PAF])</f>
        <v>53.27</v>
      </c>
      <c r="AG119" s="22">
        <f>SUMIF(tabParametros[Código do Posto],tabCustoUnit[[#This Row],[Código do Posto]],tabParametros[PQM])</f>
        <v>0</v>
      </c>
      <c r="AH119" s="22">
        <f>SUMIF(tabParametros[Código do Posto],tabCustoUnit[[#This Row],[Código do Posto]],tabParametros[PAT])</f>
        <v>0</v>
      </c>
      <c r="AI119" s="22">
        <f>SUMIF(tabParametros[Código do Posto],tabCustoUnit[[#This Row],[Código do Posto]],tabParametros[Seguro de Vida])</f>
        <v>3.36</v>
      </c>
      <c r="AJ119" s="22">
        <f>SUMIF(tabParametros[Código do Posto],tabCustoUnit[[#This Row],[Código do Posto]],tabParametros[Despesas de Viagem])</f>
        <v>0</v>
      </c>
      <c r="AK119" s="22">
        <f>SUM(tabCustoUnit[[#This Row],[Vale - Transporte (Descontada parcela do empregado)]:[Despesas de Viagem]])</f>
        <v>846.74159999999995</v>
      </c>
      <c r="AL119" s="22">
        <f>tabCustoUnit[[#This Row],[Submódulo 2.1]]+tabCustoUnit[[#This Row],[Submódulo 2.2]]+tabCustoUnit[[#This Row],[Submódulo 2.3]]</f>
        <v>1379.1683491277777</v>
      </c>
      <c r="AM119" s="22">
        <f>SUMIF(tabParametros[Código do Posto],tabCustoUnit[[#This Row],[Código do Posto]],tabParametros[Aviso Prévio Indenizado (API) e Reflexo do Aviso Prévio Indenizado])*tabCustoUnit[[#This Row],[MODULO 1 - REMUNERAÇÃO ]]</f>
        <v>5.7795253576581791</v>
      </c>
      <c r="AN119" s="22">
        <f>SUMIF(tabParametros[Código do Posto],tabCustoUnit[[#This Row],[Código do Posto]],tabParametros[Incidência do FGTS sobre API e Reflexo do API])*tabCustoUnit[[#This Row],[MODULO 1 - REMUNERAÇÃO ]]</f>
        <v>0.46236202861265435</v>
      </c>
      <c r="AO119" s="22">
        <f>SUMIF(tabParametros[Código do Posto],tabCustoUnit[[#This Row],[Código do Posto]],tabParametros[Multa Rescisória do FGTS sobre o Aviso Prévio Indenizado])*tabCustoUnit[[#This Row],[MODULO 1 - REMUNERAÇÃO ]]</f>
        <v>0.18494481144506175</v>
      </c>
      <c r="AP119" s="22">
        <f>SUMIF(tabParametros[Código do Posto],tabCustoUnit[[#This Row],[Código do Posto]],tabParametros[Aviso Prévio Trabalhado - APT])*tabCustoUnit[[#This Row],[MODULO 1 - REMUNERAÇÃO ]]</f>
        <v>2.8849131500000005</v>
      </c>
      <c r="AQ119" s="22">
        <f>SUMIF(tabParametros[Código do Posto],tabCustoUnit[[#This Row],[Código do Posto]],tabParametros[Incidência dos encargos do submódulo 2.1 sobre Aviso Prévio Trabalhado])*tabCustoUnit[[#This Row],[MODULO 1 - REMUNERAÇÃO ]]</f>
        <v>1.0904971707000004</v>
      </c>
      <c r="AR119" s="22">
        <f>SUMIF(tabParametros[Código do Posto],tabCustoUnit[[#This Row],[Código do Posto]],tabParametros[Multa Rescisória do FGTS])*tabCustoUnit[[#This Row],[MODULO 1 - REMUNERAÇÃO ]]</f>
        <v>25.204066631111107</v>
      </c>
      <c r="AS119" s="22">
        <f>SUMIF(tabParametros[Código do Posto],tabCustoUnit[[#This Row],[Código do Posto]],tabParametros[Indenização Adicional (Art. 9º da Lei nº 7.238/84)])*tabCustoUnit[[#This Row],[MODULO 1 - REMUNERAÇÃO ]]</f>
        <v>0.6868840833333334</v>
      </c>
      <c r="AT119" s="22">
        <f>SUM(tabCustoUnit[[#This Row],[Aviso Prévio Indenizado (API) e Reflexo do Aviso Prévio Indenizado]:[Indenização Adicional (Art. 9º da Lei nº 7.238/84)]])</f>
        <v>36.293193232860339</v>
      </c>
      <c r="AU119" s="22">
        <f>SUMIF(tabParametros[Código do Posto],tabCustoUnit[[#This Row],[Código do Posto]],tabParametros[Ausência por Doença])*tabCustoUnit[[#This Row],[MODULO 1 - REMUNERAÇÃO ]]</f>
        <v>6.9604253777777769</v>
      </c>
      <c r="AV119" s="22">
        <f>SUMIF(tabParametros[Código do Posto],tabCustoUnit[[#This Row],[Código do Posto]],tabParametros[Ausências Legais])*tabCustoUnit[[#This Row],[MODULO 1 - REMUNERAÇÃO ]]</f>
        <v>1.671417936111111</v>
      </c>
      <c r="AW119" s="22">
        <f>SUMIF(tabParametros[Código do Posto],tabCustoUnit[[#This Row],[Código do Posto]],tabParametros[Licença Paternidade])*tabCustoUnit[[#This Row],[MODULO 1 - REMUNERAÇÃO ]]</f>
        <v>0.14081123708333332</v>
      </c>
      <c r="AX119" s="22">
        <f>SUMIF(tabParametros[Código do Posto],tabCustoUnit[[#This Row],[Código do Posto]],tabParametros[Ausência por Acidente de Trabalho])*tabCustoUnit[[#This Row],[MODULO 1 - REMUNERAÇÃO ]]</f>
        <v>0.17172102083333335</v>
      </c>
      <c r="AY119" s="22">
        <f>SUMIF(tabParametros[Código do Posto],tabCustoUnit[[#This Row],[Código do Posto]],tabParametros[Férias, Adicional de Férias e 13º  com empregada em gozo de Licença Maternidade])*tabCustoUnit[[#This Row],[MODULO 1 - REMUNERAÇÃO ]]</f>
        <v>1.0684863518518517</v>
      </c>
      <c r="AZ119" s="22">
        <f>SUMIF(tabParametros[Código do Posto],tabCustoUnit[[#This Row],[Código do Posto]],tabParametros[Incidência do Submódulo 2.1 sobre Ausências Legais])*tabCustoUnit[[#This Row],[MODULO 1 - REMUNERAÇÃO ]]</f>
        <v>3.7848618071425006</v>
      </c>
      <c r="BA119" s="22">
        <f>SUM(tabCustoUnit[[#This Row],[Ausência por Doença]:[Incidência do Submódulo 2.1 sobre Ausências Legais]])</f>
        <v>13.797723730799909</v>
      </c>
      <c r="BB119" s="22">
        <f>SUMIF(tabParametros[Código do Posto],tabCustoUnit[[#This Row],[Código do Posto]],tabParametros[Intervalo para Repouso ou Alimentação])</f>
        <v>0</v>
      </c>
      <c r="BC119" s="22">
        <f>tabCustoUnit[[#This Row],[Intervalo para Repouso ou Alimentação]]</f>
        <v>0</v>
      </c>
      <c r="BD119" s="22">
        <f>IF(VLOOKUP(tabCustoUnit[[#This Row],[Código do Posto]],PARAMETROS!$A$4:$BJ$255,7,0)&lt;=0,0,
IFERROR((tabCustoUnit[[#This Row],[MODULO 1 - REMUNERAÇÃO ]]*VLOOKUP(tabCustoUnit[[#This Row],[Código do Posto]],PARAMETROS!$A$4:$BJ$255,49,0))/(VLOOKUP(tabCustoUnit[[#This Row],[Código do Posto]],PARAMETROS!$A$4:$BJ$255,7,0)*VLOOKUP(tabCustoUnit[[#This Row],[Código do Posto]],PARAMETROS!$A$4:$BJ$255,8,0)),0)
)</f>
        <v>0</v>
      </c>
      <c r="BE119" s="22">
        <f>tabCustoUnit[[#This Row],[Suspensão Temporária do Contrato de Trabalho]]</f>
        <v>0</v>
      </c>
      <c r="BF119" s="22">
        <f>tabCustoUnit[[#This Row],[Submódulo 4.1]]+tabCustoUnit[[#This Row],[Submódulo 4.2]]+tabCustoUnit[[#This Row],[Submódulo 4.3]]</f>
        <v>13.797723730799909</v>
      </c>
      <c r="BG119" s="22">
        <f>VLOOKUP(tabCustoUnit[[#This Row],[Código do Posto]],tabParametros[],MATCH(tabCustoUnit[[#Headers],[Uniformes e EPIs]],tabParametros[#Headers],0),0)</f>
        <v>62.806666666666665</v>
      </c>
      <c r="BH119" s="22">
        <f>VLOOKUP(tabCustoUnit[[#This Row],[Código do Posto]],tabParametros[],MATCH(tabCustoUnit[[#Headers],[Materiais de Consumo]],tabParametros[#Headers],0),0)</f>
        <v>17.759106479291944</v>
      </c>
      <c r="BI119" s="22">
        <f>VLOOKUP(tabCustoUnit[[#This Row],[Código do Posto]],tabParametros[],MATCH(tabCustoUnit[[#Headers],[Máquinas e Equipamentos (depreciação)]],tabParametros[#Headers],0),0)</f>
        <v>32.264696957412788</v>
      </c>
      <c r="BJ119" s="22">
        <f>VLOOKUP(tabCustoUnit[[#This Row],[Código do Posto]],tabParametros[],MATCH(tabCustoUnit[[#Headers],[Produtos de Limpeza e Materiais de Higiene Pessoal]],tabParametros[#Headers],0),0)</f>
        <v>345.13576638965827</v>
      </c>
      <c r="BK119" s="22">
        <f>VLOOKUP(tabCustoUnit[[#This Row],[Código do Posto]],tabParametros[],MATCH(tabCustoUnit[[#Headers],[Outros (especificar)]],tabParametros[#Headers],0),0)</f>
        <v>0</v>
      </c>
      <c r="BL119" s="22">
        <f>SUM(tabCustoUnit[[#This Row],[Uniformes e EPIs]:[Outros (especificar)]])</f>
        <v>457.96623649302967</v>
      </c>
      <c r="BM119" s="22">
        <f>tabCustoUnit[[#This Row],[MODULO 1 - REMUNERAÇÃO ]]+tabCustoUnit[[#This Row],[MÓDULO 2 - Total Encargos e Benefícios mensais e diários]]+tabCustoUnit[[#This Row],[MÓDULO 3 – PROVISÃO PARA RESCISÃO]]+tabCustoUnit[[#This Row],[MÓDULO 4 – CUSTO DE REPOSIÇÃO DO PROFISSIONAL AUSENTE]]+tabCustoUnit[[#This Row],[MÓDULO 5 – INSUMOS DIVERSOS]]</f>
        <v>2711.4864025844672</v>
      </c>
      <c r="BN119" s="22">
        <f>VLOOKUP(tabCustoUnit[[#This Row],[Código do Posto]],tabParametros[],MATCH(tabCustoUnit[[#Headers],[Custos Indiretos]],tabParametros[#Headers],0),0)</f>
        <v>189.64880140242613</v>
      </c>
      <c r="BO119" s="22">
        <f>VLOOKUP(tabCustoUnit[[#This Row],[Código do Posto]],tabParametros[],MATCH(tabCustoUnit[[#Headers],[Lucro]],tabParametros[#Headers],0),0)</f>
        <v>159.30499317803796</v>
      </c>
      <c r="BP119" s="26">
        <f>((100/((1-tabCustoUnit[[#This Row],[Resumo de Alíquotas (PIS+CONFINS+ISS)]]))-100)*VLOOKUP(tabCustoUnit[[#This Row],[Código do Posto]],tabParametros[],MATCH(tabCustoUnit[[#Headers],[COFINS]],tabParametros[#Headers],0),0))/(tabCustoUnit[[#This Row],[Resumo de Alíquotas (PIS+CONFINS+ISS)]]*100)</f>
        <v>8.5633802816901458E-2</v>
      </c>
      <c r="BQ119" s="26">
        <f>((100/((100-(tabCustoUnit[[#This Row],[Resumo de Alíquotas (PIS+CONFINS+ISS)]]*100))%)-100)*VLOOKUP(tabCustoUnit[[#This Row],[Código do Posto]],tabParametros[],MATCH(tabCustoUnit[[#Headers],[PIS]],tabParametros[#Headers],0),0))/(tabCustoUnit[[#This Row],[Resumo de Alíquotas (PIS+CONFINS+ISS)]]*100)</f>
        <v>1.8591549295774657E-2</v>
      </c>
      <c r="BR119" s="28">
        <f>VLOOKUP(tabCustoUnit[[#This Row],[Código do Posto]],tabParametros[],MATCH(tabCustoUnit[[#Headers],[ISS]],tabParametros[#Headers],0),0)</f>
        <v>0.02</v>
      </c>
      <c r="BS119" s="26">
        <f>(((100/((100-(tabCustoUnit[[#This Row],[Resumo de Alíquotas (PIS+CONFINS+ISS)]]*100))%)-100)*tabCustoUnit[[#This Row],[ISS]])/tabCustoUnit[[#This Row],[Resumo de Alíquotas (PIS+CONFINS+ISS)]])/100</f>
        <v>2.2535211267605645E-2</v>
      </c>
      <c r="BT119" s="26">
        <f>(VLOOKUP(tabCustoUnit[[#This Row],[Código do Posto]],tabParametros[],MATCH(tabCustoUnit[[#Headers],[COFINS]],tabParametros[#Headers],0),0)+
VLOOKUP(tabCustoUnit[[#This Row],[Código do Posto]],tabParametros[],MATCH(tabCustoUnit[[#Headers],[PIS]],tabParametros[#Headers],0),0)+
VLOOKUP(tabCustoUnit[[#This Row],[Código do Posto]],tabParametros[],MATCH(tabCustoUnit[[#Headers],[ISS]],tabParametros[#Headers],0),0))</f>
        <v>0.1125</v>
      </c>
      <c r="BU119" s="138">
        <f>tabCustoUnit[[#This Row],[COFINS]]+tabCustoUnit[[#This Row],[PIS]]+tabCustoUnit[[#This Row],[ISS (Conversão Alíquota s/ fatura)]]</f>
        <v>0.12676056338028174</v>
      </c>
      <c r="BV119" s="22">
        <f>(tabCustoUnit[[#This Row],[TOTAL MÓDULOS 1+2+3+4+5]]+tabCustoUnit[[#This Row],[Custos Indiretos]]+tabCustoUnit[[#This Row],[Lucro]])*tabCustoUnit[[#This Row],[PIS + COFINS + ISS (Total Conversão  Alíquota s/ Fatura)]]</f>
        <v>387.94312358428721</v>
      </c>
      <c r="BW119" s="22">
        <f>tabCustoUnit[[#This Row],[Custos Indiretos]]+tabCustoUnit[[#This Row],[Lucro]]+tabCustoUnit[[#This Row],[Valor dos Tributos (ISS, PIS, CONFINS)]]</f>
        <v>736.89691816475124</v>
      </c>
      <c r="BX119" s="22">
        <f>tabCustoUnit[[#This Row],[TOTAL MÓDULOS 1+2+3+4+5]]+tabCustoUnit[[#This Row],[MÓDULO 6 – CUSTOS INDIRETOS, TRIBUTOS E LUCRO]]</f>
        <v>3448.3833207492185</v>
      </c>
      <c r="BY119" s="22">
        <f>tabCustoUnit[[#This Row],[CUSTO TOTAL MENSAL]]*12</f>
        <v>41380.59984899062</v>
      </c>
      <c r="BZ119" s="24">
        <f>VLOOKUP(tabCustoUnit[[#This Row],[Código do Posto]],tabParametros[],MATCH(tabCustoUnit[[#Headers],[ANO DA CCT]],tabParametros[#Headers],0),0)</f>
        <v>45658</v>
      </c>
      <c r="CA119" s="25" t="str">
        <f>VLOOKUP(tabCustoUnit[[#This Row],[Código do Posto]],tabParametros[],MATCH(tabCustoUnit[[#Headers],[Nº DE PEDIDO DA CCT]],tabParametros[#Headers],0),0)</f>
        <v>-</v>
      </c>
      <c r="CB119" s="25" t="str">
        <f>VLOOKUP(tabCustoUnit[[#This Row],[Código do Posto]],tabParametros[],MATCH(tabCustoUnit[[#Headers],[TERMO ADITIVO ALTERAÇÃO DA CCT]],tabParametros[#Headers],0),0)</f>
        <v>-</v>
      </c>
    </row>
    <row r="120" spans="1:80" x14ac:dyDescent="0.25">
      <c r="A120" s="20" t="s">
        <v>1457</v>
      </c>
      <c r="B120" t="s">
        <v>109</v>
      </c>
      <c r="C120" t="s">
        <v>1245</v>
      </c>
      <c r="D120" t="s">
        <v>1023</v>
      </c>
      <c r="E120" s="20" t="s">
        <v>9</v>
      </c>
      <c r="F120" s="20" t="s">
        <v>10</v>
      </c>
      <c r="G120" s="21">
        <v>1596.28</v>
      </c>
      <c r="H120" s="21">
        <v>0</v>
      </c>
      <c r="I120" s="21">
        <v>0</v>
      </c>
      <c r="J120" s="21">
        <v>0</v>
      </c>
      <c r="K120" s="21">
        <v>0</v>
      </c>
      <c r="L120" s="21">
        <v>0</v>
      </c>
      <c r="M120" s="21">
        <v>0</v>
      </c>
      <c r="N120" s="21">
        <v>52.241900000000001</v>
      </c>
      <c r="O120" s="21">
        <f>SUM(tabCustoUnit[[#This Row],[Salário Base]:[Adicional de Acúmulo de função]])</f>
        <v>1648.5219</v>
      </c>
      <c r="P120" s="21">
        <f>tabCustoUnit[[#This Row],[MODULO 1 - REMUNERAÇÃO ]]*SUMIFS(tabParametros[INSS],tabParametros[Código do Posto],tabCustoUnit[[#This Row],[Código do Posto]])</f>
        <v>329.70438000000001</v>
      </c>
      <c r="Q120" s="21">
        <f>tabCustoUnit[[#This Row],[MODULO 1 - REMUNERAÇÃO ]]*SUMIFS(tabParametros[SESI OU SESC],tabParametros[Código do Posto],tabCustoUnit[[#This Row],[Código do Posto]])</f>
        <v>24.727828499999998</v>
      </c>
      <c r="R120" s="21">
        <f>tabCustoUnit[[#This Row],[MODULO 1 - REMUNERAÇÃO ]]*SUMIFS(tabParametros[SENAI OU SENAC],tabParametros[Código do Posto],tabCustoUnit[[#This Row],[Código do Posto]])</f>
        <v>16.485219000000001</v>
      </c>
      <c r="S120" s="21">
        <f>tabCustoUnit[[#This Row],[MODULO 1 - REMUNERAÇÃO ]]*SUMIFS(tabParametros[INCRA],tabParametros[Código do Posto],tabCustoUnit[[#This Row],[Código do Posto]])</f>
        <v>3.2970438</v>
      </c>
      <c r="T120" s="21">
        <f>tabCustoUnit[[#This Row],[MODULO 1 - REMUNERAÇÃO ]]*SUMIFS(tabParametros[Salário Educação],tabParametros[Código do Posto],tabCustoUnit[[#This Row],[Código do Posto]])</f>
        <v>41.213047500000002</v>
      </c>
      <c r="U120" s="21">
        <f>tabCustoUnit[[#This Row],[MODULO 1 - REMUNERAÇÃO ]]*SUMIFS(tabParametros[FGTS],tabParametros[Código do Posto],tabCustoUnit[[#This Row],[Código do Posto]])</f>
        <v>131.88175200000001</v>
      </c>
      <c r="V120" s="21">
        <f>tabCustoUnit[[#This Row],[MODULO 1 - REMUNERAÇÃO ]]*SUMIFS(tabParametros[RAT Ajustado],tabParametros[Código do Posto],tabCustoUnit[[#This Row],[Código do Posto]])</f>
        <v>65.940876000000003</v>
      </c>
      <c r="W120" s="21">
        <f>tabCustoUnit[[#This Row],[MODULO 1 - REMUNERAÇÃO ]]*SUMIFS(tabParametros[SEBRAE],tabParametros[Código do Posto],tabCustoUnit[[#This Row],[Código do Posto]])</f>
        <v>9.8911314000000008</v>
      </c>
      <c r="X120" s="21">
        <f>SUM(tabCustoUnit[[#This Row],[INSS]:[SEBRAE]])</f>
        <v>623.14127819999999</v>
      </c>
      <c r="Y120" s="21">
        <f>tabCustoUnit[[#This Row],[MODULO 1 - REMUNERAÇÃO ]]*SUMIFS(tabParametros[13º salário (titular)],tabParametros[Código do Posto],tabCustoUnit[[#This Row],[Código do Posto]])</f>
        <v>137.376825</v>
      </c>
      <c r="Z120" s="21">
        <f>tabCustoUnit[[#This Row],[MODULO 1 - REMUNERAÇÃO ]]*SUMIFS(tabParametros[Férias e Adicional de Férias (titular)],tabParametros[Código do Posto],tabCustoUnit[[#This Row],[Código do Posto]])</f>
        <v>183.16909999999999</v>
      </c>
      <c r="AA120" s="21">
        <f>IFERROR((tabCustoUnit[[#This Row],[Submódulo 2.1]]/tabCustoUnit[[#This Row],[MODULO 1 - REMUNERAÇÃO ]])*SUM(tabCustoUnit[[#This Row],[13º salário (titular)]:[Férias e Adicional de Férias (titular)]]),0)</f>
        <v>121.16635965</v>
      </c>
      <c r="AB120" s="21">
        <f>SUM(tabCustoUnit[[#This Row],[13º salário (titular)]:[Incidência do Submódulo 2.1 sobre 13º Salário, Férias e Adicional de Férias]])</f>
        <v>441.71228465000002</v>
      </c>
      <c r="AC120" s="22">
        <f>_xlfn.LET(_xlpm.VT,SUMIF(tabParametros[Código do Posto],tabCustoUnit[[#This Row],[Código do Posto]],tabParametros[Vale - Transporte])*2*20,
IF((_xlpm.VT-tabCustoUnit[[#This Row],[Salário Base]]*0.06)&gt;=0,(_xlpm.VT-tabCustoUnit[[#This Row],[Salário Base]]*0.06),0)
)</f>
        <v>160.22320000000002</v>
      </c>
      <c r="AD120" s="22">
        <f>IF(SUMIF(tabParametros[Código do Posto],tabCustoUnit[[#This Row],[Código do Posto]],tabParametros[Vale - Alimentação])&lt;=0,0,
SUMIF(tabParametros[Código do Posto],tabCustoUnit[[#This Row],[Código do Posto]],tabParametros[Vale - Alimentação])*20-1)</f>
        <v>582</v>
      </c>
      <c r="AE120" s="22">
        <f>SUMIF(tabParametros[Código do Posto],tabCustoUnit[[#This Row],[Código do Posto]],tabParametros[Cesta Básica])</f>
        <v>0</v>
      </c>
      <c r="AF120" s="22">
        <f>SUMIF(tabParametros[Código do Posto],tabCustoUnit[[#This Row],[Código do Posto]],tabParametros[PAF])</f>
        <v>53.27</v>
      </c>
      <c r="AG120" s="22">
        <f>SUMIF(tabParametros[Código do Posto],tabCustoUnit[[#This Row],[Código do Posto]],tabParametros[PQM])</f>
        <v>0</v>
      </c>
      <c r="AH120" s="22">
        <f>SUMIF(tabParametros[Código do Posto],tabCustoUnit[[#This Row],[Código do Posto]],tabParametros[PAT])</f>
        <v>0</v>
      </c>
      <c r="AI120" s="22">
        <f>SUMIF(tabParametros[Código do Posto],tabCustoUnit[[#This Row],[Código do Posto]],tabParametros[Seguro de Vida])</f>
        <v>3.36</v>
      </c>
      <c r="AJ120" s="22">
        <f>SUMIF(tabParametros[Código do Posto],tabCustoUnit[[#This Row],[Código do Posto]],tabParametros[Despesas de Viagem])</f>
        <v>0</v>
      </c>
      <c r="AK120" s="22">
        <f>SUM(tabCustoUnit[[#This Row],[Vale - Transporte (Descontada parcela do empregado)]:[Despesas de Viagem]])</f>
        <v>798.85320000000002</v>
      </c>
      <c r="AL120" s="22">
        <f>tabCustoUnit[[#This Row],[Submódulo 2.1]]+tabCustoUnit[[#This Row],[Submódulo 2.2]]+tabCustoUnit[[#This Row],[Submódulo 2.3]]</f>
        <v>1863.7067628499999</v>
      </c>
      <c r="AM120" s="22">
        <f>SUMIF(tabParametros[Código do Posto],tabCustoUnit[[#This Row],[Código do Posto]],tabParametros[Aviso Prévio Indenizado (API) e Reflexo do Aviso Prévio Indenizado])*tabCustoUnit[[#This Row],[MODULO 1 - REMUNERAÇÃO ]]</f>
        <v>11.559051416493055</v>
      </c>
      <c r="AN120" s="22">
        <f>SUMIF(tabParametros[Código do Posto],tabCustoUnit[[#This Row],[Código do Posto]],tabParametros[Incidência do FGTS sobre API e Reflexo do API])*tabCustoUnit[[#This Row],[MODULO 1 - REMUNERAÇÃO ]]</f>
        <v>0.92472411331944449</v>
      </c>
      <c r="AO120" s="22">
        <f>SUMIF(tabParametros[Código do Posto],tabCustoUnit[[#This Row],[Código do Posto]],tabParametros[Multa Rescisória do FGTS sobre o Aviso Prévio Indenizado])*tabCustoUnit[[#This Row],[MODULO 1 - REMUNERAÇÃO ]]</f>
        <v>0.36988964532777785</v>
      </c>
      <c r="AP120" s="22">
        <f>SUMIF(tabParametros[Código do Posto],tabCustoUnit[[#This Row],[Código do Posto]],tabParametros[Aviso Prévio Trabalhado - APT])*tabCustoUnit[[#This Row],[MODULO 1 - REMUNERAÇÃO ]]</f>
        <v>5.7698266500000006</v>
      </c>
      <c r="AQ120" s="22">
        <f>SUMIF(tabParametros[Código do Posto],tabCustoUnit[[#This Row],[Código do Posto]],tabParametros[Incidência dos encargos do submódulo 2.1 sobre Aviso Prévio Trabalhado])*tabCustoUnit[[#This Row],[MODULO 1 - REMUNERAÇÃO ]]</f>
        <v>2.1809944737000007</v>
      </c>
      <c r="AR120" s="22">
        <f>SUMIF(tabParametros[Código do Posto],tabCustoUnit[[#This Row],[Código do Posto]],tabParametros[Multa Rescisória do FGTS])*tabCustoUnit[[#This Row],[MODULO 1 - REMUNERAÇÃO ]]</f>
        <v>50.40813631999999</v>
      </c>
      <c r="AS120" s="22">
        <f>SUMIF(tabParametros[Código do Posto],tabCustoUnit[[#This Row],[Código do Posto]],tabParametros[Indenização Adicional (Art. 9º da Lei nº 7.238/84)])*tabCustoUnit[[#This Row],[MODULO 1 - REMUNERAÇÃO ]]</f>
        <v>1.3737682500000001</v>
      </c>
      <c r="AT120" s="22">
        <f>SUM(tabCustoUnit[[#This Row],[Aviso Prévio Indenizado (API) e Reflexo do Aviso Prévio Indenizado]:[Indenização Adicional (Art. 9º da Lei nº 7.238/84)]])</f>
        <v>72.586390868840269</v>
      </c>
      <c r="AU120" s="22">
        <f>SUMIF(tabParametros[Código do Posto],tabCustoUnit[[#This Row],[Código do Posto]],tabParametros[Ausência por Doença])*tabCustoUnit[[#This Row],[MODULO 1 - REMUNERAÇÃO ]]</f>
        <v>13.920851599999999</v>
      </c>
      <c r="AV120" s="22">
        <f>SUMIF(tabParametros[Código do Posto],tabCustoUnit[[#This Row],[Código do Posto]],tabParametros[Ausências Legais])*tabCustoUnit[[#This Row],[MODULO 1 - REMUNERAÇÃO ]]</f>
        <v>3.3428360749999997</v>
      </c>
      <c r="AW120" s="22">
        <f>SUMIF(tabParametros[Código do Posto],tabCustoUnit[[#This Row],[Código do Posto]],tabParametros[Licença Paternidade])*tabCustoUnit[[#This Row],[MODULO 1 - REMUNERAÇÃO ]]</f>
        <v>0.28162249125</v>
      </c>
      <c r="AX120" s="22">
        <f>SUMIF(tabParametros[Código do Posto],tabCustoUnit[[#This Row],[Código do Posto]],tabParametros[Ausência por Acidente de Trabalho])*tabCustoUnit[[#This Row],[MODULO 1 - REMUNERAÇÃO ]]</f>
        <v>0.34344206250000003</v>
      </c>
      <c r="AY120" s="22">
        <f>SUMIF(tabParametros[Código do Posto],tabCustoUnit[[#This Row],[Código do Posto]],tabParametros[Férias, Adicional de Férias e 13º  com empregada em gozo de Licença Maternidade])*tabCustoUnit[[#This Row],[MODULO 1 - REMUNERAÇÃO ]]</f>
        <v>2.1369728333333331</v>
      </c>
      <c r="AZ120" s="22">
        <f>SUMIF(tabParametros[Código do Posto],tabCustoUnit[[#This Row],[Código do Posto]],tabParametros[Incidência do Submódulo 2.1 sobre Ausências Legais])*tabCustoUnit[[#This Row],[MODULO 1 - REMUNERAÇÃO ]]</f>
        <v>7.5697240734675013</v>
      </c>
      <c r="BA120" s="22">
        <f>SUM(tabCustoUnit[[#This Row],[Ausência por Doença]:[Incidência do Submódulo 2.1 sobre Ausências Legais]])</f>
        <v>27.595449135550833</v>
      </c>
      <c r="BB120" s="22">
        <f>SUMIF(tabParametros[Código do Posto],tabCustoUnit[[#This Row],[Código do Posto]],tabParametros[Intervalo para Repouso ou Alimentação])</f>
        <v>0</v>
      </c>
      <c r="BC120" s="22">
        <f>tabCustoUnit[[#This Row],[Intervalo para Repouso ou Alimentação]]</f>
        <v>0</v>
      </c>
      <c r="BD120" s="22">
        <f>IF(VLOOKUP(tabCustoUnit[[#This Row],[Código do Posto]],PARAMETROS!$A$4:$BJ$255,7,0)&lt;=0,0,
IFERROR((tabCustoUnit[[#This Row],[MODULO 1 - REMUNERAÇÃO ]]*VLOOKUP(tabCustoUnit[[#This Row],[Código do Posto]],PARAMETROS!$A$4:$BJ$255,49,0))/(VLOOKUP(tabCustoUnit[[#This Row],[Código do Posto]],PARAMETROS!$A$4:$BJ$255,7,0)*VLOOKUP(tabCustoUnit[[#This Row],[Código do Posto]],PARAMETROS!$A$4:$BJ$255,8,0)),0)
)</f>
        <v>0</v>
      </c>
      <c r="BE120" s="22">
        <f>tabCustoUnit[[#This Row],[Suspensão Temporária do Contrato de Trabalho]]</f>
        <v>0</v>
      </c>
      <c r="BF120" s="22">
        <f>tabCustoUnit[[#This Row],[Submódulo 4.1]]+tabCustoUnit[[#This Row],[Submódulo 4.2]]+tabCustoUnit[[#This Row],[Submódulo 4.3]]</f>
        <v>27.595449135550833</v>
      </c>
      <c r="BG120" s="22">
        <f>VLOOKUP(tabCustoUnit[[#This Row],[Código do Posto]],tabParametros[],MATCH(tabCustoUnit[[#Headers],[Uniformes e EPIs]],tabParametros[#Headers],0),0)</f>
        <v>100.80916666666666</v>
      </c>
      <c r="BH120" s="22">
        <f>VLOOKUP(tabCustoUnit[[#This Row],[Código do Posto]],tabParametros[],MATCH(tabCustoUnit[[#Headers],[Materiais de Consumo]],tabParametros[#Headers],0),0)</f>
        <v>35.518212958583888</v>
      </c>
      <c r="BI120" s="22">
        <f>VLOOKUP(tabCustoUnit[[#This Row],[Código do Posto]],tabParametros[],MATCH(tabCustoUnit[[#Headers],[Máquinas e Equipamentos (depreciação)]],tabParametros[#Headers],0),0)</f>
        <v>64.529393914825576</v>
      </c>
      <c r="BJ120" s="22">
        <f>VLOOKUP(tabCustoUnit[[#This Row],[Código do Posto]],tabParametros[],MATCH(tabCustoUnit[[#Headers],[Produtos de Limpeza e Materiais de Higiene Pessoal]],tabParametros[#Headers],0),0)</f>
        <v>690.27153277931654</v>
      </c>
      <c r="BK120" s="22">
        <f>VLOOKUP(tabCustoUnit[[#This Row],[Código do Posto]],tabParametros[],MATCH(tabCustoUnit[[#Headers],[Outros (especificar)]],tabParametros[#Headers],0),0)</f>
        <v>0</v>
      </c>
      <c r="BL120" s="22">
        <f>SUM(tabCustoUnit[[#This Row],[Uniformes e EPIs]:[Outros (especificar)]])</f>
        <v>891.12830631939266</v>
      </c>
      <c r="BM120" s="22">
        <f>tabCustoUnit[[#This Row],[MODULO 1 - REMUNERAÇÃO ]]+tabCustoUnit[[#This Row],[MÓDULO 2 - Total Encargos e Benefícios mensais e diários]]+tabCustoUnit[[#This Row],[MÓDULO 3 – PROVISÃO PARA RESCISÃO]]+tabCustoUnit[[#This Row],[MÓDULO 4 – CUSTO DE REPOSIÇÃO DO PROFISSIONAL AUSENTE]]+tabCustoUnit[[#This Row],[MÓDULO 5 – INSUMOS DIVERSOS]]</f>
        <v>4503.5388091737832</v>
      </c>
      <c r="BN120" s="22">
        <f>VLOOKUP(tabCustoUnit[[#This Row],[Código do Posto]],tabParametros[],MATCH(tabCustoUnit[[#Headers],[Custos Indiretos]],tabParametros[#Headers],0),0)</f>
        <v>189.64880140242613</v>
      </c>
      <c r="BO120" s="22">
        <f>VLOOKUP(tabCustoUnit[[#This Row],[Código do Posto]],tabParametros[],MATCH(tabCustoUnit[[#Headers],[Lucro]],tabParametros[#Headers],0),0)</f>
        <v>159.30499317803796</v>
      </c>
      <c r="BP120" s="26">
        <f>((100/((1-tabCustoUnit[[#This Row],[Resumo de Alíquotas (PIS+CONFINS+ISS)]]))-100)*VLOOKUP(tabCustoUnit[[#This Row],[Código do Posto]],tabParametros[],MATCH(tabCustoUnit[[#Headers],[COFINS]],tabParametros[#Headers],0),0))/(tabCustoUnit[[#This Row],[Resumo de Alíquotas (PIS+CONFINS+ISS)]]*100)</f>
        <v>8.5633802816901458E-2</v>
      </c>
      <c r="BQ120" s="26">
        <f>((100/((100-(tabCustoUnit[[#This Row],[Resumo de Alíquotas (PIS+CONFINS+ISS)]]*100))%)-100)*VLOOKUP(tabCustoUnit[[#This Row],[Código do Posto]],tabParametros[],MATCH(tabCustoUnit[[#Headers],[PIS]],tabParametros[#Headers],0),0))/(tabCustoUnit[[#This Row],[Resumo de Alíquotas (PIS+CONFINS+ISS)]]*100)</f>
        <v>1.8591549295774657E-2</v>
      </c>
      <c r="BR120" s="28">
        <f>VLOOKUP(tabCustoUnit[[#This Row],[Código do Posto]],tabParametros[],MATCH(tabCustoUnit[[#Headers],[ISS]],tabParametros[#Headers],0),0)</f>
        <v>0.02</v>
      </c>
      <c r="BS120" s="26">
        <f>(((100/((100-(tabCustoUnit[[#This Row],[Resumo de Alíquotas (PIS+CONFINS+ISS)]]*100))%)-100)*tabCustoUnit[[#This Row],[ISS]])/tabCustoUnit[[#This Row],[Resumo de Alíquotas (PIS+CONFINS+ISS)]])/100</f>
        <v>2.2535211267605645E-2</v>
      </c>
      <c r="BT120" s="26">
        <f>(VLOOKUP(tabCustoUnit[[#This Row],[Código do Posto]],tabParametros[],MATCH(tabCustoUnit[[#Headers],[COFINS]],tabParametros[#Headers],0),0)+
VLOOKUP(tabCustoUnit[[#This Row],[Código do Posto]],tabParametros[],MATCH(tabCustoUnit[[#Headers],[PIS]],tabParametros[#Headers],0),0)+
VLOOKUP(tabCustoUnit[[#This Row],[Código do Posto]],tabParametros[],MATCH(tabCustoUnit[[#Headers],[ISS]],tabParametros[#Headers],0),0))</f>
        <v>0.1125</v>
      </c>
      <c r="BU120" s="138">
        <f>tabCustoUnit[[#This Row],[COFINS]]+tabCustoUnit[[#This Row],[PIS]]+tabCustoUnit[[#This Row],[ISS (Conversão Alíquota s/ fatura)]]</f>
        <v>0.12676056338028174</v>
      </c>
      <c r="BV120" s="22">
        <f>(tabCustoUnit[[#This Row],[TOTAL MÓDULOS 1+2+3+4+5]]+tabCustoUnit[[#This Row],[Custos Indiretos]]+tabCustoUnit[[#This Row],[Lucro]])*tabCustoUnit[[#This Row],[PIS + COFINS + ISS (Total Conversão  Alíquota s/ Fatura)]]</f>
        <v>615.10469625053861</v>
      </c>
      <c r="BW120" s="22">
        <f>tabCustoUnit[[#This Row],[Custos Indiretos]]+tabCustoUnit[[#This Row],[Lucro]]+tabCustoUnit[[#This Row],[Valor dos Tributos (ISS, PIS, CONFINS)]]</f>
        <v>964.0584908310027</v>
      </c>
      <c r="BX120" s="22">
        <f>tabCustoUnit[[#This Row],[TOTAL MÓDULOS 1+2+3+4+5]]+tabCustoUnit[[#This Row],[MÓDULO 6 – CUSTOS INDIRETOS, TRIBUTOS E LUCRO]]</f>
        <v>5467.5973000047861</v>
      </c>
      <c r="BY120" s="22">
        <f>tabCustoUnit[[#This Row],[CUSTO TOTAL MENSAL]]*12</f>
        <v>65611.167600057437</v>
      </c>
      <c r="BZ120" s="24">
        <f>VLOOKUP(tabCustoUnit[[#This Row],[Código do Posto]],tabParametros[],MATCH(tabCustoUnit[[#Headers],[ANO DA CCT]],tabParametros[#Headers],0),0)</f>
        <v>45658</v>
      </c>
      <c r="CA120" s="25" t="str">
        <f>VLOOKUP(tabCustoUnit[[#This Row],[Código do Posto]],tabParametros[],MATCH(tabCustoUnit[[#Headers],[Nº DE PEDIDO DA CCT]],tabParametros[#Headers],0),0)</f>
        <v>-</v>
      </c>
      <c r="CB120" s="25" t="str">
        <f>VLOOKUP(tabCustoUnit[[#This Row],[Código do Posto]],tabParametros[],MATCH(tabCustoUnit[[#Headers],[TERMO ADITIVO ALTERAÇÃO DA CCT]],tabParametros[#Headers],0),0)</f>
        <v>-</v>
      </c>
    </row>
    <row r="121" spans="1:80" x14ac:dyDescent="0.25">
      <c r="A121" s="20" t="s">
        <v>1458</v>
      </c>
      <c r="B121" t="s">
        <v>110</v>
      </c>
      <c r="C121" t="s">
        <v>1247</v>
      </c>
      <c r="D121" t="s">
        <v>1000</v>
      </c>
      <c r="E121" s="20" t="s">
        <v>9</v>
      </c>
      <c r="F121" s="20" t="s">
        <v>10</v>
      </c>
      <c r="G121" s="21">
        <v>544.17999999999995</v>
      </c>
      <c r="H121" s="21">
        <v>0</v>
      </c>
      <c r="I121" s="21">
        <v>0</v>
      </c>
      <c r="J121" s="21">
        <v>0</v>
      </c>
      <c r="K121" s="21">
        <v>0</v>
      </c>
      <c r="L121" s="21">
        <v>0</v>
      </c>
      <c r="M121" s="21">
        <v>0</v>
      </c>
      <c r="N121" s="21">
        <v>19.590499999999999</v>
      </c>
      <c r="O121" s="21">
        <f>SUM(tabCustoUnit[[#This Row],[Salário Base]:[Adicional de Acúmulo de função]])</f>
        <v>563.77049999999997</v>
      </c>
      <c r="P121" s="21">
        <f>tabCustoUnit[[#This Row],[MODULO 1 - REMUNERAÇÃO ]]*SUMIFS(tabParametros[INSS],tabParametros[Código do Posto],tabCustoUnit[[#This Row],[Código do Posto]])</f>
        <v>112.75409999999999</v>
      </c>
      <c r="Q121" s="21">
        <f>tabCustoUnit[[#This Row],[MODULO 1 - REMUNERAÇÃO ]]*SUMIFS(tabParametros[SESI OU SESC],tabParametros[Código do Posto],tabCustoUnit[[#This Row],[Código do Posto]])</f>
        <v>8.4565574999999988</v>
      </c>
      <c r="R121" s="21">
        <f>tabCustoUnit[[#This Row],[MODULO 1 - REMUNERAÇÃO ]]*SUMIFS(tabParametros[SENAI OU SENAC],tabParametros[Código do Posto],tabCustoUnit[[#This Row],[Código do Posto]])</f>
        <v>5.6377049999999995</v>
      </c>
      <c r="S121" s="21">
        <f>tabCustoUnit[[#This Row],[MODULO 1 - REMUNERAÇÃO ]]*SUMIFS(tabParametros[INCRA],tabParametros[Código do Posto],tabCustoUnit[[#This Row],[Código do Posto]])</f>
        <v>1.1275409999999999</v>
      </c>
      <c r="T121" s="21">
        <f>tabCustoUnit[[#This Row],[MODULO 1 - REMUNERAÇÃO ]]*SUMIFS(tabParametros[Salário Educação],tabParametros[Código do Posto],tabCustoUnit[[#This Row],[Código do Posto]])</f>
        <v>14.094262499999999</v>
      </c>
      <c r="U121" s="21">
        <f>tabCustoUnit[[#This Row],[MODULO 1 - REMUNERAÇÃO ]]*SUMIFS(tabParametros[FGTS],tabParametros[Código do Posto],tabCustoUnit[[#This Row],[Código do Posto]])</f>
        <v>45.101639999999996</v>
      </c>
      <c r="V121" s="21">
        <f>tabCustoUnit[[#This Row],[MODULO 1 - REMUNERAÇÃO ]]*SUMIFS(tabParametros[RAT Ajustado],tabParametros[Código do Posto],tabCustoUnit[[#This Row],[Código do Posto]])</f>
        <v>22.550819999999998</v>
      </c>
      <c r="W121" s="21">
        <f>tabCustoUnit[[#This Row],[MODULO 1 - REMUNERAÇÃO ]]*SUMIFS(tabParametros[SEBRAE],tabParametros[Código do Posto],tabCustoUnit[[#This Row],[Código do Posto]])</f>
        <v>3.3826229999999997</v>
      </c>
      <c r="X121" s="21">
        <f>SUM(tabCustoUnit[[#This Row],[INSS]:[SEBRAE]])</f>
        <v>213.10524899999996</v>
      </c>
      <c r="Y121" s="21">
        <f>tabCustoUnit[[#This Row],[MODULO 1 - REMUNERAÇÃO ]]*SUMIFS(tabParametros[13º salário (titular)],tabParametros[Código do Posto],tabCustoUnit[[#This Row],[Código do Posto]])</f>
        <v>46.980874999999997</v>
      </c>
      <c r="Z121" s="21">
        <f>tabCustoUnit[[#This Row],[MODULO 1 - REMUNERAÇÃO ]]*SUMIFS(tabParametros[Férias e Adicional de Férias (titular)],tabParametros[Código do Posto],tabCustoUnit[[#This Row],[Código do Posto]])</f>
        <v>62.641166666666663</v>
      </c>
      <c r="AA121" s="21">
        <f>IFERROR((tabCustoUnit[[#This Row],[Submódulo 2.1]]/tabCustoUnit[[#This Row],[MODULO 1 - REMUNERAÇÃO ]])*SUM(tabCustoUnit[[#This Row],[13º salário (titular)]:[Férias e Adicional de Férias (titular)]]),0)</f>
        <v>41.437131749999992</v>
      </c>
      <c r="AB121" s="21">
        <f>SUM(tabCustoUnit[[#This Row],[13º salário (titular)]:[Incidência do Submódulo 2.1 sobre 13º Salário, Férias e Adicional de Férias]])</f>
        <v>151.05917341666665</v>
      </c>
      <c r="AC121" s="22">
        <f>_xlfn.LET(_xlpm.VT,SUMIF(tabParametros[Código do Posto],tabCustoUnit[[#This Row],[Código do Posto]],tabParametros[Vale - Transporte])*2*20,
IF((_xlpm.VT-tabCustoUnit[[#This Row],[Salário Base]]*0.06)&gt;=0,(_xlpm.VT-tabCustoUnit[[#This Row],[Salário Base]]*0.06),0)
)</f>
        <v>223.3492</v>
      </c>
      <c r="AD121" s="22">
        <f>IF(SUMIF(tabParametros[Código do Posto],tabCustoUnit[[#This Row],[Código do Posto]],tabParametros[Vale - Alimentação])&lt;=0,0,
SUMIF(tabParametros[Código do Posto],tabCustoUnit[[#This Row],[Código do Posto]],tabParametros[Vale - Alimentação])*20-1)</f>
        <v>582</v>
      </c>
      <c r="AE121" s="22">
        <f>SUMIF(tabParametros[Código do Posto],tabCustoUnit[[#This Row],[Código do Posto]],tabParametros[Cesta Básica])</f>
        <v>0</v>
      </c>
      <c r="AF121" s="22">
        <f>SUMIF(tabParametros[Código do Posto],tabCustoUnit[[#This Row],[Código do Posto]],tabParametros[PAF])</f>
        <v>0</v>
      </c>
      <c r="AG121" s="22">
        <f>SUMIF(tabParametros[Código do Posto],tabCustoUnit[[#This Row],[Código do Posto]],tabParametros[PQM])</f>
        <v>15.07</v>
      </c>
      <c r="AH121" s="22">
        <f>SUMIF(tabParametros[Código do Posto],tabCustoUnit[[#This Row],[Código do Posto]],tabParametros[PAT])</f>
        <v>0</v>
      </c>
      <c r="AI121" s="22">
        <f>SUMIF(tabParametros[Código do Posto],tabCustoUnit[[#This Row],[Código do Posto]],tabParametros[Seguro de Vida])</f>
        <v>3.36</v>
      </c>
      <c r="AJ121" s="22">
        <f>SUMIF(tabParametros[Código do Posto],tabCustoUnit[[#This Row],[Código do Posto]],tabParametros[Despesas de Viagem])</f>
        <v>0</v>
      </c>
      <c r="AK121" s="22">
        <f>SUM(tabCustoUnit[[#This Row],[Vale - Transporte (Descontada parcela do empregado)]:[Despesas de Viagem]])</f>
        <v>823.77920000000006</v>
      </c>
      <c r="AL121" s="22">
        <f>tabCustoUnit[[#This Row],[Submódulo 2.1]]+tabCustoUnit[[#This Row],[Submódulo 2.2]]+tabCustoUnit[[#This Row],[Submódulo 2.3]]</f>
        <v>1187.9436224166666</v>
      </c>
      <c r="AM121" s="22">
        <f>SUMIF(tabParametros[Código do Posto],tabCustoUnit[[#This Row],[Código do Posto]],tabParametros[Aviso Prévio Indenizado (API) e Reflexo do Aviso Prévio Indenizado])*tabCustoUnit[[#This Row],[MODULO 1 - REMUNERAÇÃO ]]</f>
        <v>3.9530273735532404</v>
      </c>
      <c r="AN121" s="22">
        <f>SUMIF(tabParametros[Código do Posto],tabCustoUnit[[#This Row],[Código do Posto]],tabParametros[Incidência do FGTS sobre API e Reflexo do API])*tabCustoUnit[[#This Row],[MODULO 1 - REMUNERAÇÃO ]]</f>
        <v>0.31624218988425928</v>
      </c>
      <c r="AO121" s="22">
        <f>SUMIF(tabParametros[Código do Posto],tabCustoUnit[[#This Row],[Código do Posto]],tabParametros[Multa Rescisória do FGTS sobre o Aviso Prévio Indenizado])*tabCustoUnit[[#This Row],[MODULO 1 - REMUNERAÇÃO ]]</f>
        <v>0.12649687595370371</v>
      </c>
      <c r="AP121" s="22">
        <f>SUMIF(tabParametros[Código do Posto],tabCustoUnit[[#This Row],[Código do Posto]],tabParametros[Aviso Prévio Trabalhado - APT])*tabCustoUnit[[#This Row],[MODULO 1 - REMUNERAÇÃO ]]</f>
        <v>1.9731967500000003</v>
      </c>
      <c r="AQ121" s="22">
        <f>SUMIF(tabParametros[Código do Posto],tabCustoUnit[[#This Row],[Código do Posto]],tabParametros[Incidência dos encargos do submódulo 2.1 sobre Aviso Prévio Trabalhado])*tabCustoUnit[[#This Row],[MODULO 1 - REMUNERAÇÃO ]]</f>
        <v>0.74586837150000018</v>
      </c>
      <c r="AR121" s="22">
        <f>SUMIF(tabParametros[Código do Posto],tabCustoUnit[[#This Row],[Código do Posto]],tabParametros[Multa Rescisória do FGTS])*tabCustoUnit[[#This Row],[MODULO 1 - REMUNERAÇÃO ]]</f>
        <v>17.238849066666663</v>
      </c>
      <c r="AS121" s="22">
        <f>SUMIF(tabParametros[Código do Posto],tabCustoUnit[[#This Row],[Código do Posto]],tabParametros[Indenização Adicional (Art. 9º da Lei nº 7.238/84)])*tabCustoUnit[[#This Row],[MODULO 1 - REMUNERAÇÃO ]]</f>
        <v>0.46980875</v>
      </c>
      <c r="AT121" s="22">
        <f>SUM(tabCustoUnit[[#This Row],[Aviso Prévio Indenizado (API) e Reflexo do Aviso Prévio Indenizado]:[Indenização Adicional (Art. 9º da Lei nº 7.238/84)]])</f>
        <v>24.823489377557866</v>
      </c>
      <c r="AU121" s="22">
        <f>SUMIF(tabParametros[Código do Posto],tabCustoUnit[[#This Row],[Código do Posto]],tabParametros[Ausência por Doença])*tabCustoUnit[[#This Row],[MODULO 1 - REMUNERAÇÃO ]]</f>
        <v>4.7607286666666662</v>
      </c>
      <c r="AV121" s="22">
        <f>SUMIF(tabParametros[Código do Posto],tabCustoUnit[[#This Row],[Código do Posto]],tabParametros[Ausências Legais])*tabCustoUnit[[#This Row],[MODULO 1 - REMUNERAÇÃO ]]</f>
        <v>1.1432012916666665</v>
      </c>
      <c r="AW121" s="22">
        <f>SUMIF(tabParametros[Código do Posto],tabCustoUnit[[#This Row],[Código do Posto]],tabParametros[Licença Paternidade])*tabCustoUnit[[#This Row],[MODULO 1 - REMUNERAÇÃO ]]</f>
        <v>9.6310793749999998E-2</v>
      </c>
      <c r="AX121" s="22">
        <f>SUMIF(tabParametros[Código do Posto],tabCustoUnit[[#This Row],[Código do Posto]],tabParametros[Ausência por Acidente de Trabalho])*tabCustoUnit[[#This Row],[MODULO 1 - REMUNERAÇÃO ]]</f>
        <v>0.1174521875</v>
      </c>
      <c r="AY121" s="22">
        <f>SUMIF(tabParametros[Código do Posto],tabCustoUnit[[#This Row],[Código do Posto]],tabParametros[Férias, Adicional de Férias e 13º  com empregada em gozo de Licença Maternidade])*tabCustoUnit[[#This Row],[MODULO 1 - REMUNERAÇÃO ]]</f>
        <v>0.73081361111111109</v>
      </c>
      <c r="AZ121" s="22">
        <f>SUMIF(tabParametros[Código do Posto],tabCustoUnit[[#This Row],[Código do Posto]],tabParametros[Incidência do Submódulo 2.1 sobre Ausências Legais])*tabCustoUnit[[#This Row],[MODULO 1 - REMUNERAÇÃO ]]</f>
        <v>2.5887354761625003</v>
      </c>
      <c r="BA121" s="22">
        <f>SUM(tabCustoUnit[[#This Row],[Ausência por Doença]:[Incidência do Submódulo 2.1 sobre Ausências Legais]])</f>
        <v>9.4372420268569428</v>
      </c>
      <c r="BB121" s="22">
        <f>SUMIF(tabParametros[Código do Posto],tabCustoUnit[[#This Row],[Código do Posto]],tabParametros[Intervalo para Repouso ou Alimentação])</f>
        <v>0</v>
      </c>
      <c r="BC121" s="22">
        <f>tabCustoUnit[[#This Row],[Intervalo para Repouso ou Alimentação]]</f>
        <v>0</v>
      </c>
      <c r="BD121" s="22">
        <f>IF(VLOOKUP(tabCustoUnit[[#This Row],[Código do Posto]],PARAMETROS!$A$4:$BJ$255,7,0)&lt;=0,0,
IFERROR((tabCustoUnit[[#This Row],[MODULO 1 - REMUNERAÇÃO ]]*VLOOKUP(tabCustoUnit[[#This Row],[Código do Posto]],PARAMETROS!$A$4:$BJ$255,49,0))/(VLOOKUP(tabCustoUnit[[#This Row],[Código do Posto]],PARAMETROS!$A$4:$BJ$255,7,0)*VLOOKUP(tabCustoUnit[[#This Row],[Código do Posto]],PARAMETROS!$A$4:$BJ$255,8,0)),0)
)</f>
        <v>0</v>
      </c>
      <c r="BE121" s="22">
        <f>tabCustoUnit[[#This Row],[Suspensão Temporária do Contrato de Trabalho]]</f>
        <v>0</v>
      </c>
      <c r="BF121" s="22">
        <f>tabCustoUnit[[#This Row],[Submódulo 4.1]]+tabCustoUnit[[#This Row],[Submódulo 4.2]]+tabCustoUnit[[#This Row],[Submódulo 4.3]]</f>
        <v>9.4372420268569428</v>
      </c>
      <c r="BG121" s="22">
        <f>VLOOKUP(tabCustoUnit[[#This Row],[Código do Posto]],tabParametros[],MATCH(tabCustoUnit[[#Headers],[Uniformes e EPIs]],tabParametros[#Headers],0),0)</f>
        <v>62.806666666666665</v>
      </c>
      <c r="BH121" s="22">
        <f>VLOOKUP(tabCustoUnit[[#This Row],[Código do Posto]],tabParametros[],MATCH(tabCustoUnit[[#Headers],[Materiais de Consumo]],tabParametros[#Headers],0),0)</f>
        <v>12.108481690426325</v>
      </c>
      <c r="BI121" s="22">
        <f>VLOOKUP(tabCustoUnit[[#This Row],[Código do Posto]],tabParametros[],MATCH(tabCustoUnit[[#Headers],[Máquinas e Equipamentos (depreciação)]],tabParametros[#Headers],0),0)</f>
        <v>21.998657016417809</v>
      </c>
      <c r="BJ121" s="22">
        <f>VLOOKUP(tabCustoUnit[[#This Row],[Código do Posto]],tabParametros[],MATCH(tabCustoUnit[[#Headers],[Produtos de Limpeza e Materiais de Higiene Pessoal]],tabParametros[#Headers],0),0)</f>
        <v>235.31984072022155</v>
      </c>
      <c r="BK121" s="22">
        <f>VLOOKUP(tabCustoUnit[[#This Row],[Código do Posto]],tabParametros[],MATCH(tabCustoUnit[[#Headers],[Outros (especificar)]],tabParametros[#Headers],0),0)</f>
        <v>0</v>
      </c>
      <c r="BL121" s="22">
        <f>SUM(tabCustoUnit[[#This Row],[Uniformes e EPIs]:[Outros (especificar)]])</f>
        <v>332.23364609373232</v>
      </c>
      <c r="BM121" s="22">
        <f>tabCustoUnit[[#This Row],[MODULO 1 - REMUNERAÇÃO ]]+tabCustoUnit[[#This Row],[MÓDULO 2 - Total Encargos e Benefícios mensais e diários]]+tabCustoUnit[[#This Row],[MÓDULO 3 – PROVISÃO PARA RESCISÃO]]+tabCustoUnit[[#This Row],[MÓDULO 4 – CUSTO DE REPOSIÇÃO DO PROFISSIONAL AUSENTE]]+tabCustoUnit[[#This Row],[MÓDULO 5 – INSUMOS DIVERSOS]]</f>
        <v>2118.2084999148137</v>
      </c>
      <c r="BN121" s="22">
        <f>VLOOKUP(tabCustoUnit[[#This Row],[Código do Posto]],tabParametros[],MATCH(tabCustoUnit[[#Headers],[Custos Indiretos]],tabParametros[#Headers],0),0)</f>
        <v>189.64880140242613</v>
      </c>
      <c r="BO121" s="22">
        <f>VLOOKUP(tabCustoUnit[[#This Row],[Código do Posto]],tabParametros[],MATCH(tabCustoUnit[[#Headers],[Lucro]],tabParametros[#Headers],0),0)</f>
        <v>159.30499317803796</v>
      </c>
      <c r="BP121" s="26">
        <f>((100/((1-tabCustoUnit[[#This Row],[Resumo de Alíquotas (PIS+CONFINS+ISS)]]))-100)*VLOOKUP(tabCustoUnit[[#This Row],[Código do Posto]],tabParametros[],MATCH(tabCustoUnit[[#Headers],[COFINS]],tabParametros[#Headers],0),0))/(tabCustoUnit[[#This Row],[Resumo de Alíquotas (PIS+CONFINS+ISS)]]*100)</f>
        <v>8.8629737609329504E-2</v>
      </c>
      <c r="BQ121" s="26">
        <f>((100/((100-(tabCustoUnit[[#This Row],[Resumo de Alíquotas (PIS+CONFINS+ISS)]]*100))%)-100)*VLOOKUP(tabCustoUnit[[#This Row],[Código do Posto]],tabParametros[],MATCH(tabCustoUnit[[#Headers],[PIS]],tabParametros[#Headers],0),0))/(tabCustoUnit[[#This Row],[Resumo de Alíquotas (PIS+CONFINS+ISS)]]*100)</f>
        <v>1.9241982507288629E-2</v>
      </c>
      <c r="BR121" s="28">
        <f>VLOOKUP(tabCustoUnit[[#This Row],[Código do Posto]],tabParametros[],MATCH(tabCustoUnit[[#Headers],[ISS]],tabParametros[#Headers],0),0)</f>
        <v>0.05</v>
      </c>
      <c r="BS121" s="26">
        <f>(((100/((100-(tabCustoUnit[[#This Row],[Resumo de Alíquotas (PIS+CONFINS+ISS)]]*100))%)-100)*tabCustoUnit[[#This Row],[ISS]])/tabCustoUnit[[#This Row],[Resumo de Alíquotas (PIS+CONFINS+ISS)]])/100</f>
        <v>5.8309037900874633E-2</v>
      </c>
      <c r="BT121" s="26">
        <f>(VLOOKUP(tabCustoUnit[[#This Row],[Código do Posto]],tabParametros[],MATCH(tabCustoUnit[[#Headers],[COFINS]],tabParametros[#Headers],0),0)+
VLOOKUP(tabCustoUnit[[#This Row],[Código do Posto]],tabParametros[],MATCH(tabCustoUnit[[#Headers],[PIS]],tabParametros[#Headers],0),0)+
VLOOKUP(tabCustoUnit[[#This Row],[Código do Posto]],tabParametros[],MATCH(tabCustoUnit[[#Headers],[ISS]],tabParametros[#Headers],0),0))</f>
        <v>0.14250000000000002</v>
      </c>
      <c r="BU121" s="138">
        <f>tabCustoUnit[[#This Row],[COFINS]]+tabCustoUnit[[#This Row],[PIS]]+tabCustoUnit[[#This Row],[ISS (Conversão Alíquota s/ fatura)]]</f>
        <v>0.16618075801749277</v>
      </c>
      <c r="BV121" s="22">
        <f>(tabCustoUnit[[#This Row],[TOTAL MÓDULOS 1+2+3+4+5]]+tabCustoUnit[[#This Row],[Custos Indiretos]]+tabCustoUnit[[#This Row],[Lucro]])*tabCustoUnit[[#This Row],[PIS + COFINS + ISS (Total Conversão  Alíquota s/ Fatura)]]</f>
        <v>409.99490025140199</v>
      </c>
      <c r="BW121" s="22">
        <f>tabCustoUnit[[#This Row],[Custos Indiretos]]+tabCustoUnit[[#This Row],[Lucro]]+tabCustoUnit[[#This Row],[Valor dos Tributos (ISS, PIS, CONFINS)]]</f>
        <v>758.94869483186608</v>
      </c>
      <c r="BX121" s="22">
        <f>tabCustoUnit[[#This Row],[TOTAL MÓDULOS 1+2+3+4+5]]+tabCustoUnit[[#This Row],[MÓDULO 6 – CUSTOS INDIRETOS, TRIBUTOS E LUCRO]]</f>
        <v>2877.15719474668</v>
      </c>
      <c r="BY121" s="22">
        <f>tabCustoUnit[[#This Row],[CUSTO TOTAL MENSAL]]*12</f>
        <v>34525.88633696016</v>
      </c>
      <c r="BZ121" s="24">
        <f>VLOOKUP(tabCustoUnit[[#This Row],[Código do Posto]],tabParametros[],MATCH(tabCustoUnit[[#Headers],[ANO DA CCT]],tabParametros[#Headers],0),0)</f>
        <v>45658</v>
      </c>
      <c r="CA121" s="25" t="str">
        <f>VLOOKUP(tabCustoUnit[[#This Row],[Código do Posto]],tabParametros[],MATCH(tabCustoUnit[[#Headers],[Nº DE PEDIDO DA CCT]],tabParametros[#Headers],0),0)</f>
        <v>-</v>
      </c>
      <c r="CB121" s="25" t="str">
        <f>VLOOKUP(tabCustoUnit[[#This Row],[Código do Posto]],tabParametros[],MATCH(tabCustoUnit[[#Headers],[TERMO ADITIVO ALTERAÇÃO DA CCT]],tabParametros[#Headers],0),0)</f>
        <v>-</v>
      </c>
    </row>
    <row r="122" spans="1:80" x14ac:dyDescent="0.25">
      <c r="A122" s="20" t="s">
        <v>1459</v>
      </c>
      <c r="B122" t="s">
        <v>111</v>
      </c>
      <c r="C122" t="s">
        <v>1247</v>
      </c>
      <c r="D122" t="s">
        <v>1026</v>
      </c>
      <c r="E122" s="20" t="s">
        <v>9</v>
      </c>
      <c r="F122" s="20" t="s">
        <v>10</v>
      </c>
      <c r="G122" s="21">
        <v>544.17999999999995</v>
      </c>
      <c r="H122" s="21">
        <v>0</v>
      </c>
      <c r="I122" s="21">
        <v>0</v>
      </c>
      <c r="J122" s="21">
        <v>0</v>
      </c>
      <c r="K122" s="21">
        <v>0</v>
      </c>
      <c r="L122" s="21">
        <v>0</v>
      </c>
      <c r="M122" s="21">
        <v>0</v>
      </c>
      <c r="N122" s="21">
        <v>19.590499999999999</v>
      </c>
      <c r="O122" s="21">
        <f>SUM(tabCustoUnit[[#This Row],[Salário Base]:[Adicional de Acúmulo de função]])</f>
        <v>563.77049999999997</v>
      </c>
      <c r="P122" s="21">
        <f>tabCustoUnit[[#This Row],[MODULO 1 - REMUNERAÇÃO ]]*SUMIFS(tabParametros[INSS],tabParametros[Código do Posto],tabCustoUnit[[#This Row],[Código do Posto]])</f>
        <v>112.75409999999999</v>
      </c>
      <c r="Q122" s="21">
        <f>tabCustoUnit[[#This Row],[MODULO 1 - REMUNERAÇÃO ]]*SUMIFS(tabParametros[SESI OU SESC],tabParametros[Código do Posto],tabCustoUnit[[#This Row],[Código do Posto]])</f>
        <v>8.4565574999999988</v>
      </c>
      <c r="R122" s="21">
        <f>tabCustoUnit[[#This Row],[MODULO 1 - REMUNERAÇÃO ]]*SUMIFS(tabParametros[SENAI OU SENAC],tabParametros[Código do Posto],tabCustoUnit[[#This Row],[Código do Posto]])</f>
        <v>5.6377049999999995</v>
      </c>
      <c r="S122" s="21">
        <f>tabCustoUnit[[#This Row],[MODULO 1 - REMUNERAÇÃO ]]*SUMIFS(tabParametros[INCRA],tabParametros[Código do Posto],tabCustoUnit[[#This Row],[Código do Posto]])</f>
        <v>1.1275409999999999</v>
      </c>
      <c r="T122" s="21">
        <f>tabCustoUnit[[#This Row],[MODULO 1 - REMUNERAÇÃO ]]*SUMIFS(tabParametros[Salário Educação],tabParametros[Código do Posto],tabCustoUnit[[#This Row],[Código do Posto]])</f>
        <v>14.094262499999999</v>
      </c>
      <c r="U122" s="21">
        <f>tabCustoUnit[[#This Row],[MODULO 1 - REMUNERAÇÃO ]]*SUMIFS(tabParametros[FGTS],tabParametros[Código do Posto],tabCustoUnit[[#This Row],[Código do Posto]])</f>
        <v>45.101639999999996</v>
      </c>
      <c r="V122" s="21">
        <f>tabCustoUnit[[#This Row],[MODULO 1 - REMUNERAÇÃO ]]*SUMIFS(tabParametros[RAT Ajustado],tabParametros[Código do Posto],tabCustoUnit[[#This Row],[Código do Posto]])</f>
        <v>22.550819999999998</v>
      </c>
      <c r="W122" s="21">
        <f>tabCustoUnit[[#This Row],[MODULO 1 - REMUNERAÇÃO ]]*SUMIFS(tabParametros[SEBRAE],tabParametros[Código do Posto],tabCustoUnit[[#This Row],[Código do Posto]])</f>
        <v>3.3826229999999997</v>
      </c>
      <c r="X122" s="21">
        <f>SUM(tabCustoUnit[[#This Row],[INSS]:[SEBRAE]])</f>
        <v>213.10524899999996</v>
      </c>
      <c r="Y122" s="21">
        <f>tabCustoUnit[[#This Row],[MODULO 1 - REMUNERAÇÃO ]]*SUMIFS(tabParametros[13º salário (titular)],tabParametros[Código do Posto],tabCustoUnit[[#This Row],[Código do Posto]])</f>
        <v>46.980874999999997</v>
      </c>
      <c r="Z122" s="21">
        <f>tabCustoUnit[[#This Row],[MODULO 1 - REMUNERAÇÃO ]]*SUMIFS(tabParametros[Férias e Adicional de Férias (titular)],tabParametros[Código do Posto],tabCustoUnit[[#This Row],[Código do Posto]])</f>
        <v>62.641166666666663</v>
      </c>
      <c r="AA122" s="21">
        <f>IFERROR((tabCustoUnit[[#This Row],[Submódulo 2.1]]/tabCustoUnit[[#This Row],[MODULO 1 - REMUNERAÇÃO ]])*SUM(tabCustoUnit[[#This Row],[13º salário (titular)]:[Férias e Adicional de Férias (titular)]]),0)</f>
        <v>41.437131749999992</v>
      </c>
      <c r="AB122" s="21">
        <f>SUM(tabCustoUnit[[#This Row],[13º salário (titular)]:[Incidência do Submódulo 2.1 sobre 13º Salário, Férias e Adicional de Férias]])</f>
        <v>151.05917341666665</v>
      </c>
      <c r="AC122" s="22">
        <f>_xlfn.LET(_xlpm.VT,SUMIF(tabParametros[Código do Posto],tabCustoUnit[[#This Row],[Código do Posto]],tabParametros[Vale - Transporte])*2*20,
IF((_xlpm.VT-tabCustoUnit[[#This Row],[Salário Base]]*0.06)&gt;=0,(_xlpm.VT-tabCustoUnit[[#This Row],[Salário Base]]*0.06),0)
)</f>
        <v>223.3492</v>
      </c>
      <c r="AD122" s="22">
        <f>IF(SUMIF(tabParametros[Código do Posto],tabCustoUnit[[#This Row],[Código do Posto]],tabParametros[Vale - Alimentação])&lt;=0,0,
SUMIF(tabParametros[Código do Posto],tabCustoUnit[[#This Row],[Código do Posto]],tabParametros[Vale - Alimentação])*20-1)</f>
        <v>582</v>
      </c>
      <c r="AE122" s="22">
        <f>SUMIF(tabParametros[Código do Posto],tabCustoUnit[[#This Row],[Código do Posto]],tabParametros[Cesta Básica])</f>
        <v>0</v>
      </c>
      <c r="AF122" s="22">
        <f>SUMIF(tabParametros[Código do Posto],tabCustoUnit[[#This Row],[Código do Posto]],tabParametros[PAF])</f>
        <v>0</v>
      </c>
      <c r="AG122" s="22">
        <f>SUMIF(tabParametros[Código do Posto],tabCustoUnit[[#This Row],[Código do Posto]],tabParametros[PQM])</f>
        <v>15.07</v>
      </c>
      <c r="AH122" s="22">
        <f>SUMIF(tabParametros[Código do Posto],tabCustoUnit[[#This Row],[Código do Posto]],tabParametros[PAT])</f>
        <v>0</v>
      </c>
      <c r="AI122" s="22">
        <f>SUMIF(tabParametros[Código do Posto],tabCustoUnit[[#This Row],[Código do Posto]],tabParametros[Seguro de Vida])</f>
        <v>3.36</v>
      </c>
      <c r="AJ122" s="22">
        <f>SUMIF(tabParametros[Código do Posto],tabCustoUnit[[#This Row],[Código do Posto]],tabParametros[Despesas de Viagem])</f>
        <v>0</v>
      </c>
      <c r="AK122" s="22">
        <f>SUM(tabCustoUnit[[#This Row],[Vale - Transporte (Descontada parcela do empregado)]:[Despesas de Viagem]])</f>
        <v>823.77920000000006</v>
      </c>
      <c r="AL122" s="22">
        <f>tabCustoUnit[[#This Row],[Submódulo 2.1]]+tabCustoUnit[[#This Row],[Submódulo 2.2]]+tabCustoUnit[[#This Row],[Submódulo 2.3]]</f>
        <v>1187.9436224166666</v>
      </c>
      <c r="AM122" s="22">
        <f>SUMIF(tabParametros[Código do Posto],tabCustoUnit[[#This Row],[Código do Posto]],tabParametros[Aviso Prévio Indenizado (API) e Reflexo do Aviso Prévio Indenizado])*tabCustoUnit[[#This Row],[MODULO 1 - REMUNERAÇÃO ]]</f>
        <v>3.9530273735532404</v>
      </c>
      <c r="AN122" s="22">
        <f>SUMIF(tabParametros[Código do Posto],tabCustoUnit[[#This Row],[Código do Posto]],tabParametros[Incidência do FGTS sobre API e Reflexo do API])*tabCustoUnit[[#This Row],[MODULO 1 - REMUNERAÇÃO ]]</f>
        <v>0.31624218988425928</v>
      </c>
      <c r="AO122" s="22">
        <f>SUMIF(tabParametros[Código do Posto],tabCustoUnit[[#This Row],[Código do Posto]],tabParametros[Multa Rescisória do FGTS sobre o Aviso Prévio Indenizado])*tabCustoUnit[[#This Row],[MODULO 1 - REMUNERAÇÃO ]]</f>
        <v>0.12649687595370371</v>
      </c>
      <c r="AP122" s="22">
        <f>SUMIF(tabParametros[Código do Posto],tabCustoUnit[[#This Row],[Código do Posto]],tabParametros[Aviso Prévio Trabalhado - APT])*tabCustoUnit[[#This Row],[MODULO 1 - REMUNERAÇÃO ]]</f>
        <v>1.9731967500000003</v>
      </c>
      <c r="AQ122" s="22">
        <f>SUMIF(tabParametros[Código do Posto],tabCustoUnit[[#This Row],[Código do Posto]],tabParametros[Incidência dos encargos do submódulo 2.1 sobre Aviso Prévio Trabalhado])*tabCustoUnit[[#This Row],[MODULO 1 - REMUNERAÇÃO ]]</f>
        <v>0.74586837150000018</v>
      </c>
      <c r="AR122" s="22">
        <f>SUMIF(tabParametros[Código do Posto],tabCustoUnit[[#This Row],[Código do Posto]],tabParametros[Multa Rescisória do FGTS])*tabCustoUnit[[#This Row],[MODULO 1 - REMUNERAÇÃO ]]</f>
        <v>17.238849066666663</v>
      </c>
      <c r="AS122" s="22">
        <f>SUMIF(tabParametros[Código do Posto],tabCustoUnit[[#This Row],[Código do Posto]],tabParametros[Indenização Adicional (Art. 9º da Lei nº 7.238/84)])*tabCustoUnit[[#This Row],[MODULO 1 - REMUNERAÇÃO ]]</f>
        <v>0.46980875</v>
      </c>
      <c r="AT122" s="22">
        <f>SUM(tabCustoUnit[[#This Row],[Aviso Prévio Indenizado (API) e Reflexo do Aviso Prévio Indenizado]:[Indenização Adicional (Art. 9º da Lei nº 7.238/84)]])</f>
        <v>24.823489377557866</v>
      </c>
      <c r="AU122" s="22">
        <f>SUMIF(tabParametros[Código do Posto],tabCustoUnit[[#This Row],[Código do Posto]],tabParametros[Ausência por Doença])*tabCustoUnit[[#This Row],[MODULO 1 - REMUNERAÇÃO ]]</f>
        <v>4.7607286666666662</v>
      </c>
      <c r="AV122" s="22">
        <f>SUMIF(tabParametros[Código do Posto],tabCustoUnit[[#This Row],[Código do Posto]],tabParametros[Ausências Legais])*tabCustoUnit[[#This Row],[MODULO 1 - REMUNERAÇÃO ]]</f>
        <v>1.1432012916666665</v>
      </c>
      <c r="AW122" s="22">
        <f>SUMIF(tabParametros[Código do Posto],tabCustoUnit[[#This Row],[Código do Posto]],tabParametros[Licença Paternidade])*tabCustoUnit[[#This Row],[MODULO 1 - REMUNERAÇÃO ]]</f>
        <v>9.6310793749999998E-2</v>
      </c>
      <c r="AX122" s="22">
        <f>SUMIF(tabParametros[Código do Posto],tabCustoUnit[[#This Row],[Código do Posto]],tabParametros[Ausência por Acidente de Trabalho])*tabCustoUnit[[#This Row],[MODULO 1 - REMUNERAÇÃO ]]</f>
        <v>0.1174521875</v>
      </c>
      <c r="AY122" s="22">
        <f>SUMIF(tabParametros[Código do Posto],tabCustoUnit[[#This Row],[Código do Posto]],tabParametros[Férias, Adicional de Férias e 13º  com empregada em gozo de Licença Maternidade])*tabCustoUnit[[#This Row],[MODULO 1 - REMUNERAÇÃO ]]</f>
        <v>0.73081361111111109</v>
      </c>
      <c r="AZ122" s="22">
        <f>SUMIF(tabParametros[Código do Posto],tabCustoUnit[[#This Row],[Código do Posto]],tabParametros[Incidência do Submódulo 2.1 sobre Ausências Legais])*tabCustoUnit[[#This Row],[MODULO 1 - REMUNERAÇÃO ]]</f>
        <v>2.5887354761625003</v>
      </c>
      <c r="BA122" s="22">
        <f>SUM(tabCustoUnit[[#This Row],[Ausência por Doença]:[Incidência do Submódulo 2.1 sobre Ausências Legais]])</f>
        <v>9.4372420268569428</v>
      </c>
      <c r="BB122" s="22">
        <f>SUMIF(tabParametros[Código do Posto],tabCustoUnit[[#This Row],[Código do Posto]],tabParametros[Intervalo para Repouso ou Alimentação])</f>
        <v>0</v>
      </c>
      <c r="BC122" s="22">
        <f>tabCustoUnit[[#This Row],[Intervalo para Repouso ou Alimentação]]</f>
        <v>0</v>
      </c>
      <c r="BD122" s="22">
        <f>IF(VLOOKUP(tabCustoUnit[[#This Row],[Código do Posto]],PARAMETROS!$A$4:$BJ$255,7,0)&lt;=0,0,
IFERROR((tabCustoUnit[[#This Row],[MODULO 1 - REMUNERAÇÃO ]]*VLOOKUP(tabCustoUnit[[#This Row],[Código do Posto]],PARAMETROS!$A$4:$BJ$255,49,0))/(VLOOKUP(tabCustoUnit[[#This Row],[Código do Posto]],PARAMETROS!$A$4:$BJ$255,7,0)*VLOOKUP(tabCustoUnit[[#This Row],[Código do Posto]],PARAMETROS!$A$4:$BJ$255,8,0)),0)
)</f>
        <v>0</v>
      </c>
      <c r="BE122" s="22">
        <f>tabCustoUnit[[#This Row],[Suspensão Temporária do Contrato de Trabalho]]</f>
        <v>0</v>
      </c>
      <c r="BF122" s="22">
        <f>tabCustoUnit[[#This Row],[Submódulo 4.1]]+tabCustoUnit[[#This Row],[Submódulo 4.2]]+tabCustoUnit[[#This Row],[Submódulo 4.3]]</f>
        <v>9.4372420268569428</v>
      </c>
      <c r="BG122" s="22">
        <f>VLOOKUP(tabCustoUnit[[#This Row],[Código do Posto]],tabParametros[],MATCH(tabCustoUnit[[#Headers],[Uniformes e EPIs]],tabParametros[#Headers],0),0)</f>
        <v>62.806666666666665</v>
      </c>
      <c r="BH122" s="22">
        <f>VLOOKUP(tabCustoUnit[[#This Row],[Código do Posto]],tabParametros[],MATCH(tabCustoUnit[[#Headers],[Materiais de Consumo]],tabParametros[#Headers],0),0)</f>
        <v>12.108481690426325</v>
      </c>
      <c r="BI122" s="22">
        <f>VLOOKUP(tabCustoUnit[[#This Row],[Código do Posto]],tabParametros[],MATCH(tabCustoUnit[[#Headers],[Máquinas e Equipamentos (depreciação)]],tabParametros[#Headers],0),0)</f>
        <v>21.998657016417809</v>
      </c>
      <c r="BJ122" s="22">
        <f>VLOOKUP(tabCustoUnit[[#This Row],[Código do Posto]],tabParametros[],MATCH(tabCustoUnit[[#Headers],[Produtos de Limpeza e Materiais de Higiene Pessoal]],tabParametros[#Headers],0),0)</f>
        <v>235.31984072022155</v>
      </c>
      <c r="BK122" s="22">
        <f>VLOOKUP(tabCustoUnit[[#This Row],[Código do Posto]],tabParametros[],MATCH(tabCustoUnit[[#Headers],[Outros (especificar)]],tabParametros[#Headers],0),0)</f>
        <v>0</v>
      </c>
      <c r="BL122" s="22">
        <f>SUM(tabCustoUnit[[#This Row],[Uniformes e EPIs]:[Outros (especificar)]])</f>
        <v>332.23364609373232</v>
      </c>
      <c r="BM122" s="22">
        <f>tabCustoUnit[[#This Row],[MODULO 1 - REMUNERAÇÃO ]]+tabCustoUnit[[#This Row],[MÓDULO 2 - Total Encargos e Benefícios mensais e diários]]+tabCustoUnit[[#This Row],[MÓDULO 3 – PROVISÃO PARA RESCISÃO]]+tabCustoUnit[[#This Row],[MÓDULO 4 – CUSTO DE REPOSIÇÃO DO PROFISSIONAL AUSENTE]]+tabCustoUnit[[#This Row],[MÓDULO 5 – INSUMOS DIVERSOS]]</f>
        <v>2118.2084999148137</v>
      </c>
      <c r="BN122" s="22">
        <f>VLOOKUP(tabCustoUnit[[#This Row],[Código do Posto]],tabParametros[],MATCH(tabCustoUnit[[#Headers],[Custos Indiretos]],tabParametros[#Headers],0),0)</f>
        <v>189.64880140242613</v>
      </c>
      <c r="BO122" s="22">
        <f>VLOOKUP(tabCustoUnit[[#This Row],[Código do Posto]],tabParametros[],MATCH(tabCustoUnit[[#Headers],[Lucro]],tabParametros[#Headers],0),0)</f>
        <v>159.30499317803796</v>
      </c>
      <c r="BP122" s="26">
        <f>((100/((1-tabCustoUnit[[#This Row],[Resumo de Alíquotas (PIS+CONFINS+ISS)]]))-100)*VLOOKUP(tabCustoUnit[[#This Row],[Código do Posto]],tabParametros[],MATCH(tabCustoUnit[[#Headers],[COFINS]],tabParametros[#Headers],0),0))/(tabCustoUnit[[#This Row],[Resumo de Alíquotas (PIS+CONFINS+ISS)]]*100)</f>
        <v>8.6609686609686695E-2</v>
      </c>
      <c r="BQ122" s="26">
        <f>((100/((100-(tabCustoUnit[[#This Row],[Resumo de Alíquotas (PIS+CONFINS+ISS)]]*100))%)-100)*VLOOKUP(tabCustoUnit[[#This Row],[Código do Posto]],tabParametros[],MATCH(tabCustoUnit[[#Headers],[PIS]],tabParametros[#Headers],0),0))/(tabCustoUnit[[#This Row],[Resumo de Alíquotas (PIS+CONFINS+ISS)]]*100)</f>
        <v>1.880341880341882E-2</v>
      </c>
      <c r="BR122" s="28">
        <f>VLOOKUP(tabCustoUnit[[#This Row],[Código do Posto]],tabParametros[],MATCH(tabCustoUnit[[#Headers],[ISS]],tabParametros[#Headers],0),0)</f>
        <v>0.03</v>
      </c>
      <c r="BS122" s="26">
        <f>(((100/((100-(tabCustoUnit[[#This Row],[Resumo de Alíquotas (PIS+CONFINS+ISS)]]*100))%)-100)*tabCustoUnit[[#This Row],[ISS]])/tabCustoUnit[[#This Row],[Resumo de Alíquotas (PIS+CONFINS+ISS)]])/100</f>
        <v>3.4188034188034219E-2</v>
      </c>
      <c r="BT122" s="26">
        <f>(VLOOKUP(tabCustoUnit[[#This Row],[Código do Posto]],tabParametros[],MATCH(tabCustoUnit[[#Headers],[COFINS]],tabParametros[#Headers],0),0)+
VLOOKUP(tabCustoUnit[[#This Row],[Código do Posto]],tabParametros[],MATCH(tabCustoUnit[[#Headers],[PIS]],tabParametros[#Headers],0),0)+
VLOOKUP(tabCustoUnit[[#This Row],[Código do Posto]],tabParametros[],MATCH(tabCustoUnit[[#Headers],[ISS]],tabParametros[#Headers],0),0))</f>
        <v>0.1225</v>
      </c>
      <c r="BU122" s="138">
        <f>tabCustoUnit[[#This Row],[COFINS]]+tabCustoUnit[[#This Row],[PIS]]+tabCustoUnit[[#This Row],[ISS (Conversão Alíquota s/ fatura)]]</f>
        <v>0.13960113960113973</v>
      </c>
      <c r="BV122" s="22">
        <f>(tabCustoUnit[[#This Row],[TOTAL MÓDULOS 1+2+3+4+5]]+tabCustoUnit[[#This Row],[Custos Indiretos]]+tabCustoUnit[[#This Row],[Lucro]])*tabCustoUnit[[#This Row],[PIS + COFINS + ISS (Total Conversão  Alíquota s/ Fatura)]]</f>
        <v>344.41866789250349</v>
      </c>
      <c r="BW122" s="22">
        <f>tabCustoUnit[[#This Row],[Custos Indiretos]]+tabCustoUnit[[#This Row],[Lucro]]+tabCustoUnit[[#This Row],[Valor dos Tributos (ISS, PIS, CONFINS)]]</f>
        <v>693.37246247296753</v>
      </c>
      <c r="BX122" s="22">
        <f>tabCustoUnit[[#This Row],[TOTAL MÓDULOS 1+2+3+4+5]]+tabCustoUnit[[#This Row],[MÓDULO 6 – CUSTOS INDIRETOS, TRIBUTOS E LUCRO]]</f>
        <v>2811.5809623877813</v>
      </c>
      <c r="BY122" s="22">
        <f>tabCustoUnit[[#This Row],[CUSTO TOTAL MENSAL]]*12</f>
        <v>33738.971548653375</v>
      </c>
      <c r="BZ122" s="24">
        <f>VLOOKUP(tabCustoUnit[[#This Row],[Código do Posto]],tabParametros[],MATCH(tabCustoUnit[[#Headers],[ANO DA CCT]],tabParametros[#Headers],0),0)</f>
        <v>45658</v>
      </c>
      <c r="CA122" s="25" t="str">
        <f>VLOOKUP(tabCustoUnit[[#This Row],[Código do Posto]],tabParametros[],MATCH(tabCustoUnit[[#Headers],[Nº DE PEDIDO DA CCT]],tabParametros[#Headers],0),0)</f>
        <v>-</v>
      </c>
      <c r="CB122" s="25" t="str">
        <f>VLOOKUP(tabCustoUnit[[#This Row],[Código do Posto]],tabParametros[],MATCH(tabCustoUnit[[#Headers],[TERMO ADITIVO ALTERAÇÃO DA CCT]],tabParametros[#Headers],0),0)</f>
        <v>-</v>
      </c>
    </row>
    <row r="123" spans="1:80" x14ac:dyDescent="0.25">
      <c r="A123" s="20" t="s">
        <v>1460</v>
      </c>
      <c r="B123" t="s">
        <v>112</v>
      </c>
      <c r="C123" t="s">
        <v>1247</v>
      </c>
      <c r="D123" t="s">
        <v>1023</v>
      </c>
      <c r="E123" s="20" t="s">
        <v>9</v>
      </c>
      <c r="F123" s="20" t="s">
        <v>10</v>
      </c>
      <c r="G123" s="21">
        <v>544.17999999999995</v>
      </c>
      <c r="H123" s="21">
        <v>0</v>
      </c>
      <c r="I123" s="21">
        <v>0</v>
      </c>
      <c r="J123" s="21">
        <v>0</v>
      </c>
      <c r="K123" s="21">
        <v>0</v>
      </c>
      <c r="L123" s="21">
        <v>0</v>
      </c>
      <c r="M123" s="21">
        <v>0</v>
      </c>
      <c r="N123" s="21">
        <v>19.590499999999999</v>
      </c>
      <c r="O123" s="21">
        <f>SUM(tabCustoUnit[[#This Row],[Salário Base]:[Adicional de Acúmulo de função]])</f>
        <v>563.77049999999997</v>
      </c>
      <c r="P123" s="21">
        <f>tabCustoUnit[[#This Row],[MODULO 1 - REMUNERAÇÃO ]]*SUMIFS(tabParametros[INSS],tabParametros[Código do Posto],tabCustoUnit[[#This Row],[Código do Posto]])</f>
        <v>112.75409999999999</v>
      </c>
      <c r="Q123" s="21">
        <f>tabCustoUnit[[#This Row],[MODULO 1 - REMUNERAÇÃO ]]*SUMIFS(tabParametros[SESI OU SESC],tabParametros[Código do Posto],tabCustoUnit[[#This Row],[Código do Posto]])</f>
        <v>8.4565574999999988</v>
      </c>
      <c r="R123" s="21">
        <f>tabCustoUnit[[#This Row],[MODULO 1 - REMUNERAÇÃO ]]*SUMIFS(tabParametros[SENAI OU SENAC],tabParametros[Código do Posto],tabCustoUnit[[#This Row],[Código do Posto]])</f>
        <v>5.6377049999999995</v>
      </c>
      <c r="S123" s="21">
        <f>tabCustoUnit[[#This Row],[MODULO 1 - REMUNERAÇÃO ]]*SUMIFS(tabParametros[INCRA],tabParametros[Código do Posto],tabCustoUnit[[#This Row],[Código do Posto]])</f>
        <v>1.1275409999999999</v>
      </c>
      <c r="T123" s="21">
        <f>tabCustoUnit[[#This Row],[MODULO 1 - REMUNERAÇÃO ]]*SUMIFS(tabParametros[Salário Educação],tabParametros[Código do Posto],tabCustoUnit[[#This Row],[Código do Posto]])</f>
        <v>14.094262499999999</v>
      </c>
      <c r="U123" s="21">
        <f>tabCustoUnit[[#This Row],[MODULO 1 - REMUNERAÇÃO ]]*SUMIFS(tabParametros[FGTS],tabParametros[Código do Posto],tabCustoUnit[[#This Row],[Código do Posto]])</f>
        <v>45.101639999999996</v>
      </c>
      <c r="V123" s="21">
        <f>tabCustoUnit[[#This Row],[MODULO 1 - REMUNERAÇÃO ]]*SUMIFS(tabParametros[RAT Ajustado],tabParametros[Código do Posto],tabCustoUnit[[#This Row],[Código do Posto]])</f>
        <v>22.550819999999998</v>
      </c>
      <c r="W123" s="21">
        <f>tabCustoUnit[[#This Row],[MODULO 1 - REMUNERAÇÃO ]]*SUMIFS(tabParametros[SEBRAE],tabParametros[Código do Posto],tabCustoUnit[[#This Row],[Código do Posto]])</f>
        <v>3.3826229999999997</v>
      </c>
      <c r="X123" s="21">
        <f>SUM(tabCustoUnit[[#This Row],[INSS]:[SEBRAE]])</f>
        <v>213.10524899999996</v>
      </c>
      <c r="Y123" s="21">
        <f>tabCustoUnit[[#This Row],[MODULO 1 - REMUNERAÇÃO ]]*SUMIFS(tabParametros[13º salário (titular)],tabParametros[Código do Posto],tabCustoUnit[[#This Row],[Código do Posto]])</f>
        <v>46.980874999999997</v>
      </c>
      <c r="Z123" s="21">
        <f>tabCustoUnit[[#This Row],[MODULO 1 - REMUNERAÇÃO ]]*SUMIFS(tabParametros[Férias e Adicional de Férias (titular)],tabParametros[Código do Posto],tabCustoUnit[[#This Row],[Código do Posto]])</f>
        <v>62.641166666666663</v>
      </c>
      <c r="AA123" s="21">
        <f>IFERROR((tabCustoUnit[[#This Row],[Submódulo 2.1]]/tabCustoUnit[[#This Row],[MODULO 1 - REMUNERAÇÃO ]])*SUM(tabCustoUnit[[#This Row],[13º salário (titular)]:[Férias e Adicional de Férias (titular)]]),0)</f>
        <v>41.437131749999992</v>
      </c>
      <c r="AB123" s="21">
        <f>SUM(tabCustoUnit[[#This Row],[13º salário (titular)]:[Incidência do Submódulo 2.1 sobre 13º Salário, Férias e Adicional de Férias]])</f>
        <v>151.05917341666665</v>
      </c>
      <c r="AC123" s="22">
        <f>_xlfn.LET(_xlpm.VT,SUMIF(tabParametros[Código do Posto],tabCustoUnit[[#This Row],[Código do Posto]],tabParametros[Vale - Transporte])*2*20,
IF((_xlpm.VT-tabCustoUnit[[#This Row],[Salário Base]]*0.06)&gt;=0,(_xlpm.VT-tabCustoUnit[[#This Row],[Salário Base]]*0.06),0)
)</f>
        <v>223.3492</v>
      </c>
      <c r="AD123" s="22">
        <f>IF(SUMIF(tabParametros[Código do Posto],tabCustoUnit[[#This Row],[Código do Posto]],tabParametros[Vale - Alimentação])&lt;=0,0,
SUMIF(tabParametros[Código do Posto],tabCustoUnit[[#This Row],[Código do Posto]],tabParametros[Vale - Alimentação])*20-1)</f>
        <v>582</v>
      </c>
      <c r="AE123" s="22">
        <f>SUMIF(tabParametros[Código do Posto],tabCustoUnit[[#This Row],[Código do Posto]],tabParametros[Cesta Básica])</f>
        <v>0</v>
      </c>
      <c r="AF123" s="22">
        <f>SUMIF(tabParametros[Código do Posto],tabCustoUnit[[#This Row],[Código do Posto]],tabParametros[PAF])</f>
        <v>0</v>
      </c>
      <c r="AG123" s="22">
        <f>SUMIF(tabParametros[Código do Posto],tabCustoUnit[[#This Row],[Código do Posto]],tabParametros[PQM])</f>
        <v>0</v>
      </c>
      <c r="AH123" s="22">
        <f>SUMIF(tabParametros[Código do Posto],tabCustoUnit[[#This Row],[Código do Posto]],tabParametros[PAT])</f>
        <v>0</v>
      </c>
      <c r="AI123" s="22">
        <f>SUMIF(tabParametros[Código do Posto],tabCustoUnit[[#This Row],[Código do Posto]],tabParametros[Seguro de Vida])</f>
        <v>3.36</v>
      </c>
      <c r="AJ123" s="22">
        <f>SUMIF(tabParametros[Código do Posto],tabCustoUnit[[#This Row],[Código do Posto]],tabParametros[Despesas de Viagem])</f>
        <v>0</v>
      </c>
      <c r="AK123" s="22">
        <f>SUM(tabCustoUnit[[#This Row],[Vale - Transporte (Descontada parcela do empregado)]:[Despesas de Viagem]])</f>
        <v>808.70920000000001</v>
      </c>
      <c r="AL123" s="22">
        <f>tabCustoUnit[[#This Row],[Submódulo 2.1]]+tabCustoUnit[[#This Row],[Submódulo 2.2]]+tabCustoUnit[[#This Row],[Submódulo 2.3]]</f>
        <v>1172.8736224166666</v>
      </c>
      <c r="AM123" s="22">
        <f>SUMIF(tabParametros[Código do Posto],tabCustoUnit[[#This Row],[Código do Posto]],tabParametros[Aviso Prévio Indenizado (API) e Reflexo do Aviso Prévio Indenizado])*tabCustoUnit[[#This Row],[MODULO 1 - REMUNERAÇÃO ]]</f>
        <v>3.9530273735532404</v>
      </c>
      <c r="AN123" s="22">
        <f>SUMIF(tabParametros[Código do Posto],tabCustoUnit[[#This Row],[Código do Posto]],tabParametros[Incidência do FGTS sobre API e Reflexo do API])*tabCustoUnit[[#This Row],[MODULO 1 - REMUNERAÇÃO ]]</f>
        <v>0.31624218988425928</v>
      </c>
      <c r="AO123" s="22">
        <f>SUMIF(tabParametros[Código do Posto],tabCustoUnit[[#This Row],[Código do Posto]],tabParametros[Multa Rescisória do FGTS sobre o Aviso Prévio Indenizado])*tabCustoUnit[[#This Row],[MODULO 1 - REMUNERAÇÃO ]]</f>
        <v>0.12649687595370371</v>
      </c>
      <c r="AP123" s="22">
        <f>SUMIF(tabParametros[Código do Posto],tabCustoUnit[[#This Row],[Código do Posto]],tabParametros[Aviso Prévio Trabalhado - APT])*tabCustoUnit[[#This Row],[MODULO 1 - REMUNERAÇÃO ]]</f>
        <v>1.9731967500000003</v>
      </c>
      <c r="AQ123" s="22">
        <f>SUMIF(tabParametros[Código do Posto],tabCustoUnit[[#This Row],[Código do Posto]],tabParametros[Incidência dos encargos do submódulo 2.1 sobre Aviso Prévio Trabalhado])*tabCustoUnit[[#This Row],[MODULO 1 - REMUNERAÇÃO ]]</f>
        <v>0.74586837150000018</v>
      </c>
      <c r="AR123" s="22">
        <f>SUMIF(tabParametros[Código do Posto],tabCustoUnit[[#This Row],[Código do Posto]],tabParametros[Multa Rescisória do FGTS])*tabCustoUnit[[#This Row],[MODULO 1 - REMUNERAÇÃO ]]</f>
        <v>17.238849066666663</v>
      </c>
      <c r="AS123" s="22">
        <f>SUMIF(tabParametros[Código do Posto],tabCustoUnit[[#This Row],[Código do Posto]],tabParametros[Indenização Adicional (Art. 9º da Lei nº 7.238/84)])*tabCustoUnit[[#This Row],[MODULO 1 - REMUNERAÇÃO ]]</f>
        <v>0.46980875</v>
      </c>
      <c r="AT123" s="22">
        <f>SUM(tabCustoUnit[[#This Row],[Aviso Prévio Indenizado (API) e Reflexo do Aviso Prévio Indenizado]:[Indenização Adicional (Art. 9º da Lei nº 7.238/84)]])</f>
        <v>24.823489377557866</v>
      </c>
      <c r="AU123" s="22">
        <f>SUMIF(tabParametros[Código do Posto],tabCustoUnit[[#This Row],[Código do Posto]],tabParametros[Ausência por Doença])*tabCustoUnit[[#This Row],[MODULO 1 - REMUNERAÇÃO ]]</f>
        <v>4.7607286666666662</v>
      </c>
      <c r="AV123" s="22">
        <f>SUMIF(tabParametros[Código do Posto],tabCustoUnit[[#This Row],[Código do Posto]],tabParametros[Ausências Legais])*tabCustoUnit[[#This Row],[MODULO 1 - REMUNERAÇÃO ]]</f>
        <v>1.1432012916666665</v>
      </c>
      <c r="AW123" s="22">
        <f>SUMIF(tabParametros[Código do Posto],tabCustoUnit[[#This Row],[Código do Posto]],tabParametros[Licença Paternidade])*tabCustoUnit[[#This Row],[MODULO 1 - REMUNERAÇÃO ]]</f>
        <v>9.6310793749999998E-2</v>
      </c>
      <c r="AX123" s="22">
        <f>SUMIF(tabParametros[Código do Posto],tabCustoUnit[[#This Row],[Código do Posto]],tabParametros[Ausência por Acidente de Trabalho])*tabCustoUnit[[#This Row],[MODULO 1 - REMUNERAÇÃO ]]</f>
        <v>0.1174521875</v>
      </c>
      <c r="AY123" s="22">
        <f>SUMIF(tabParametros[Código do Posto],tabCustoUnit[[#This Row],[Código do Posto]],tabParametros[Férias, Adicional de Férias e 13º  com empregada em gozo de Licença Maternidade])*tabCustoUnit[[#This Row],[MODULO 1 - REMUNERAÇÃO ]]</f>
        <v>0.73081361111111109</v>
      </c>
      <c r="AZ123" s="22">
        <f>SUMIF(tabParametros[Código do Posto],tabCustoUnit[[#This Row],[Código do Posto]],tabParametros[Incidência do Submódulo 2.1 sobre Ausências Legais])*tabCustoUnit[[#This Row],[MODULO 1 - REMUNERAÇÃO ]]</f>
        <v>2.5887354761625003</v>
      </c>
      <c r="BA123" s="22">
        <f>SUM(tabCustoUnit[[#This Row],[Ausência por Doença]:[Incidência do Submódulo 2.1 sobre Ausências Legais]])</f>
        <v>9.4372420268569428</v>
      </c>
      <c r="BB123" s="22">
        <f>SUMIF(tabParametros[Código do Posto],tabCustoUnit[[#This Row],[Código do Posto]],tabParametros[Intervalo para Repouso ou Alimentação])</f>
        <v>0</v>
      </c>
      <c r="BC123" s="22">
        <f>tabCustoUnit[[#This Row],[Intervalo para Repouso ou Alimentação]]</f>
        <v>0</v>
      </c>
      <c r="BD123" s="22">
        <f>IF(VLOOKUP(tabCustoUnit[[#This Row],[Código do Posto]],PARAMETROS!$A$4:$BJ$255,7,0)&lt;=0,0,
IFERROR((tabCustoUnit[[#This Row],[MODULO 1 - REMUNERAÇÃO ]]*VLOOKUP(tabCustoUnit[[#This Row],[Código do Posto]],PARAMETROS!$A$4:$BJ$255,49,0))/(VLOOKUP(tabCustoUnit[[#This Row],[Código do Posto]],PARAMETROS!$A$4:$BJ$255,7,0)*VLOOKUP(tabCustoUnit[[#This Row],[Código do Posto]],PARAMETROS!$A$4:$BJ$255,8,0)),0)
)</f>
        <v>0</v>
      </c>
      <c r="BE123" s="22">
        <f>tabCustoUnit[[#This Row],[Suspensão Temporária do Contrato de Trabalho]]</f>
        <v>0</v>
      </c>
      <c r="BF123" s="22">
        <f>tabCustoUnit[[#This Row],[Submódulo 4.1]]+tabCustoUnit[[#This Row],[Submódulo 4.2]]+tabCustoUnit[[#This Row],[Submódulo 4.3]]</f>
        <v>9.4372420268569428</v>
      </c>
      <c r="BG123" s="22">
        <f>VLOOKUP(tabCustoUnit[[#This Row],[Código do Posto]],tabParametros[],MATCH(tabCustoUnit[[#Headers],[Uniformes e EPIs]],tabParametros[#Headers],0),0)</f>
        <v>62.806666666666665</v>
      </c>
      <c r="BH123" s="22">
        <f>VLOOKUP(tabCustoUnit[[#This Row],[Código do Posto]],tabParametros[],MATCH(tabCustoUnit[[#Headers],[Materiais de Consumo]],tabParametros[#Headers],0),0)</f>
        <v>12.108481690426325</v>
      </c>
      <c r="BI123" s="22">
        <f>VLOOKUP(tabCustoUnit[[#This Row],[Código do Posto]],tabParametros[],MATCH(tabCustoUnit[[#Headers],[Máquinas e Equipamentos (depreciação)]],tabParametros[#Headers],0),0)</f>
        <v>21.998657016417809</v>
      </c>
      <c r="BJ123" s="22">
        <f>VLOOKUP(tabCustoUnit[[#This Row],[Código do Posto]],tabParametros[],MATCH(tabCustoUnit[[#Headers],[Produtos de Limpeza e Materiais de Higiene Pessoal]],tabParametros[#Headers],0),0)</f>
        <v>235.31984072022155</v>
      </c>
      <c r="BK123" s="22">
        <f>VLOOKUP(tabCustoUnit[[#This Row],[Código do Posto]],tabParametros[],MATCH(tabCustoUnit[[#Headers],[Outros (especificar)]],tabParametros[#Headers],0),0)</f>
        <v>0</v>
      </c>
      <c r="BL123" s="22">
        <f>SUM(tabCustoUnit[[#This Row],[Uniformes e EPIs]:[Outros (especificar)]])</f>
        <v>332.23364609373232</v>
      </c>
      <c r="BM123" s="22">
        <f>tabCustoUnit[[#This Row],[MODULO 1 - REMUNERAÇÃO ]]+tabCustoUnit[[#This Row],[MÓDULO 2 - Total Encargos e Benefícios mensais e diários]]+tabCustoUnit[[#This Row],[MÓDULO 3 – PROVISÃO PARA RESCISÃO]]+tabCustoUnit[[#This Row],[MÓDULO 4 – CUSTO DE REPOSIÇÃO DO PROFISSIONAL AUSENTE]]+tabCustoUnit[[#This Row],[MÓDULO 5 – INSUMOS DIVERSOS]]</f>
        <v>2103.1384999148136</v>
      </c>
      <c r="BN123" s="22">
        <f>VLOOKUP(tabCustoUnit[[#This Row],[Código do Posto]],tabParametros[],MATCH(tabCustoUnit[[#Headers],[Custos Indiretos]],tabParametros[#Headers],0),0)</f>
        <v>189.64880140242613</v>
      </c>
      <c r="BO123" s="22">
        <f>VLOOKUP(tabCustoUnit[[#This Row],[Código do Posto]],tabParametros[],MATCH(tabCustoUnit[[#Headers],[Lucro]],tabParametros[#Headers],0),0)</f>
        <v>159.30499317803796</v>
      </c>
      <c r="BP123" s="26">
        <f>((100/((1-tabCustoUnit[[#This Row],[Resumo de Alíquotas (PIS+CONFINS+ISS)]]))-100)*VLOOKUP(tabCustoUnit[[#This Row],[Código do Posto]],tabParametros[],MATCH(tabCustoUnit[[#Headers],[COFINS]],tabParametros[#Headers],0),0))/(tabCustoUnit[[#This Row],[Resumo de Alíquotas (PIS+CONFINS+ISS)]]*100)</f>
        <v>8.6609686609686695E-2</v>
      </c>
      <c r="BQ123" s="26">
        <f>((100/((100-(tabCustoUnit[[#This Row],[Resumo de Alíquotas (PIS+CONFINS+ISS)]]*100))%)-100)*VLOOKUP(tabCustoUnit[[#This Row],[Código do Posto]],tabParametros[],MATCH(tabCustoUnit[[#Headers],[PIS]],tabParametros[#Headers],0),0))/(tabCustoUnit[[#This Row],[Resumo de Alíquotas (PIS+CONFINS+ISS)]]*100)</f>
        <v>1.880341880341882E-2</v>
      </c>
      <c r="BR123" s="28">
        <f>VLOOKUP(tabCustoUnit[[#This Row],[Código do Posto]],tabParametros[],MATCH(tabCustoUnit[[#Headers],[ISS]],tabParametros[#Headers],0),0)</f>
        <v>0.03</v>
      </c>
      <c r="BS123" s="26">
        <f>(((100/((100-(tabCustoUnit[[#This Row],[Resumo de Alíquotas (PIS+CONFINS+ISS)]]*100))%)-100)*tabCustoUnit[[#This Row],[ISS]])/tabCustoUnit[[#This Row],[Resumo de Alíquotas (PIS+CONFINS+ISS)]])/100</f>
        <v>3.4188034188034219E-2</v>
      </c>
      <c r="BT123" s="26">
        <f>(VLOOKUP(tabCustoUnit[[#This Row],[Código do Posto]],tabParametros[],MATCH(tabCustoUnit[[#Headers],[COFINS]],tabParametros[#Headers],0),0)+
VLOOKUP(tabCustoUnit[[#This Row],[Código do Posto]],tabParametros[],MATCH(tabCustoUnit[[#Headers],[PIS]],tabParametros[#Headers],0),0)+
VLOOKUP(tabCustoUnit[[#This Row],[Código do Posto]],tabParametros[],MATCH(tabCustoUnit[[#Headers],[ISS]],tabParametros[#Headers],0),0))</f>
        <v>0.1225</v>
      </c>
      <c r="BU123" s="138">
        <f>tabCustoUnit[[#This Row],[COFINS]]+tabCustoUnit[[#This Row],[PIS]]+tabCustoUnit[[#This Row],[ISS (Conversão Alíquota s/ fatura)]]</f>
        <v>0.13960113960113973</v>
      </c>
      <c r="BV123" s="22">
        <f>(tabCustoUnit[[#This Row],[TOTAL MÓDULOS 1+2+3+4+5]]+tabCustoUnit[[#This Row],[Custos Indiretos]]+tabCustoUnit[[#This Row],[Lucro]])*tabCustoUnit[[#This Row],[PIS + COFINS + ISS (Total Conversão  Alíquota s/ Fatura)]]</f>
        <v>342.31487871871428</v>
      </c>
      <c r="BW123" s="22">
        <f>tabCustoUnit[[#This Row],[Custos Indiretos]]+tabCustoUnit[[#This Row],[Lucro]]+tabCustoUnit[[#This Row],[Valor dos Tributos (ISS, PIS, CONFINS)]]</f>
        <v>691.26867329917832</v>
      </c>
      <c r="BX123" s="22">
        <f>tabCustoUnit[[#This Row],[TOTAL MÓDULOS 1+2+3+4+5]]+tabCustoUnit[[#This Row],[MÓDULO 6 – CUSTOS INDIRETOS, TRIBUTOS E LUCRO]]</f>
        <v>2794.4071732139919</v>
      </c>
      <c r="BY123" s="22">
        <f>tabCustoUnit[[#This Row],[CUSTO TOTAL MENSAL]]*12</f>
        <v>33532.886078567899</v>
      </c>
      <c r="BZ123" s="24">
        <f>VLOOKUP(tabCustoUnit[[#This Row],[Código do Posto]],tabParametros[],MATCH(tabCustoUnit[[#Headers],[ANO DA CCT]],tabParametros[#Headers],0),0)</f>
        <v>45658</v>
      </c>
      <c r="CA123" s="25" t="str">
        <f>VLOOKUP(tabCustoUnit[[#This Row],[Código do Posto]],tabParametros[],MATCH(tabCustoUnit[[#Headers],[Nº DE PEDIDO DA CCT]],tabParametros[#Headers],0),0)</f>
        <v>-</v>
      </c>
      <c r="CB123" s="25" t="str">
        <f>VLOOKUP(tabCustoUnit[[#This Row],[Código do Posto]],tabParametros[],MATCH(tabCustoUnit[[#Headers],[TERMO ADITIVO ALTERAÇÃO DA CCT]],tabParametros[#Headers],0),0)</f>
        <v>-</v>
      </c>
    </row>
    <row r="124" spans="1:80" x14ac:dyDescent="0.25">
      <c r="A124" s="20" t="s">
        <v>1273</v>
      </c>
      <c r="B124" t="s">
        <v>113</v>
      </c>
      <c r="C124" t="s">
        <v>1247</v>
      </c>
      <c r="D124" t="s">
        <v>992</v>
      </c>
      <c r="E124" s="20" t="s">
        <v>9</v>
      </c>
      <c r="F124" s="20" t="s">
        <v>10</v>
      </c>
      <c r="G124" s="21">
        <v>544.17999999999995</v>
      </c>
      <c r="H124" s="21">
        <v>0</v>
      </c>
      <c r="I124" s="21">
        <v>0</v>
      </c>
      <c r="J124" s="21">
        <v>0</v>
      </c>
      <c r="K124" s="21">
        <v>0</v>
      </c>
      <c r="L124" s="21">
        <v>0</v>
      </c>
      <c r="M124" s="21">
        <v>0</v>
      </c>
      <c r="N124" s="21">
        <v>19.590499999999999</v>
      </c>
      <c r="O124" s="21">
        <f>SUM(tabCustoUnit[[#This Row],[Salário Base]:[Adicional de Acúmulo de função]])</f>
        <v>563.77049999999997</v>
      </c>
      <c r="P124" s="21">
        <f>tabCustoUnit[[#This Row],[MODULO 1 - REMUNERAÇÃO ]]*SUMIFS(tabParametros[INSS],tabParametros[Código do Posto],tabCustoUnit[[#This Row],[Código do Posto]])</f>
        <v>112.75409999999999</v>
      </c>
      <c r="Q124" s="21">
        <f>tabCustoUnit[[#This Row],[MODULO 1 - REMUNERAÇÃO ]]*SUMIFS(tabParametros[SESI OU SESC],tabParametros[Código do Posto],tabCustoUnit[[#This Row],[Código do Posto]])</f>
        <v>8.4565574999999988</v>
      </c>
      <c r="R124" s="21">
        <f>tabCustoUnit[[#This Row],[MODULO 1 - REMUNERAÇÃO ]]*SUMIFS(tabParametros[SENAI OU SENAC],tabParametros[Código do Posto],tabCustoUnit[[#This Row],[Código do Posto]])</f>
        <v>5.6377049999999995</v>
      </c>
      <c r="S124" s="21">
        <f>tabCustoUnit[[#This Row],[MODULO 1 - REMUNERAÇÃO ]]*SUMIFS(tabParametros[INCRA],tabParametros[Código do Posto],tabCustoUnit[[#This Row],[Código do Posto]])</f>
        <v>1.1275409999999999</v>
      </c>
      <c r="T124" s="21">
        <f>tabCustoUnit[[#This Row],[MODULO 1 - REMUNERAÇÃO ]]*SUMIFS(tabParametros[Salário Educação],tabParametros[Código do Posto],tabCustoUnit[[#This Row],[Código do Posto]])</f>
        <v>14.094262499999999</v>
      </c>
      <c r="U124" s="21">
        <f>tabCustoUnit[[#This Row],[MODULO 1 - REMUNERAÇÃO ]]*SUMIFS(tabParametros[FGTS],tabParametros[Código do Posto],tabCustoUnit[[#This Row],[Código do Posto]])</f>
        <v>45.101639999999996</v>
      </c>
      <c r="V124" s="21">
        <f>tabCustoUnit[[#This Row],[MODULO 1 - REMUNERAÇÃO ]]*SUMIFS(tabParametros[RAT Ajustado],tabParametros[Código do Posto],tabCustoUnit[[#This Row],[Código do Posto]])</f>
        <v>22.550819999999998</v>
      </c>
      <c r="W124" s="21">
        <f>tabCustoUnit[[#This Row],[MODULO 1 - REMUNERAÇÃO ]]*SUMIFS(tabParametros[SEBRAE],tabParametros[Código do Posto],tabCustoUnit[[#This Row],[Código do Posto]])</f>
        <v>3.3826229999999997</v>
      </c>
      <c r="X124" s="21">
        <f>SUM(tabCustoUnit[[#This Row],[INSS]:[SEBRAE]])</f>
        <v>213.10524899999996</v>
      </c>
      <c r="Y124" s="21">
        <f>tabCustoUnit[[#This Row],[MODULO 1 - REMUNERAÇÃO ]]*SUMIFS(tabParametros[13º salário (titular)],tabParametros[Código do Posto],tabCustoUnit[[#This Row],[Código do Posto]])</f>
        <v>46.980874999999997</v>
      </c>
      <c r="Z124" s="21">
        <f>tabCustoUnit[[#This Row],[MODULO 1 - REMUNERAÇÃO ]]*SUMIFS(tabParametros[Férias e Adicional de Férias (titular)],tabParametros[Código do Posto],tabCustoUnit[[#This Row],[Código do Posto]])</f>
        <v>62.641166666666663</v>
      </c>
      <c r="AA124" s="21">
        <f>IFERROR((tabCustoUnit[[#This Row],[Submódulo 2.1]]/tabCustoUnit[[#This Row],[MODULO 1 - REMUNERAÇÃO ]])*SUM(tabCustoUnit[[#This Row],[13º salário (titular)]:[Férias e Adicional de Férias (titular)]]),0)</f>
        <v>41.437131749999992</v>
      </c>
      <c r="AB124" s="21">
        <f>SUM(tabCustoUnit[[#This Row],[13º salário (titular)]:[Incidência do Submódulo 2.1 sobre 13º Salário, Férias e Adicional de Férias]])</f>
        <v>151.05917341666665</v>
      </c>
      <c r="AC124" s="22">
        <f>_xlfn.LET(_xlpm.VT,SUMIF(tabParametros[Código do Posto],tabCustoUnit[[#This Row],[Código do Posto]],tabParametros[Vale - Transporte])*2*20,
IF((_xlpm.VT-tabCustoUnit[[#This Row],[Salário Base]]*0.06)&gt;=0,(_xlpm.VT-tabCustoUnit[[#This Row],[Salário Base]]*0.06),0)
)</f>
        <v>223.3492</v>
      </c>
      <c r="AD124" s="22">
        <f>IF(SUMIF(tabParametros[Código do Posto],tabCustoUnit[[#This Row],[Código do Posto]],tabParametros[Vale - Alimentação])&lt;=0,0,
SUMIF(tabParametros[Código do Posto],tabCustoUnit[[#This Row],[Código do Posto]],tabParametros[Vale - Alimentação])*20-1)</f>
        <v>0</v>
      </c>
      <c r="AE124" s="22">
        <f>SUMIF(tabParametros[Código do Posto],tabCustoUnit[[#This Row],[Código do Posto]],tabParametros[Cesta Básica])</f>
        <v>387.79</v>
      </c>
      <c r="AF124" s="22">
        <f>SUMIF(tabParametros[Código do Posto],tabCustoUnit[[#This Row],[Código do Posto]],tabParametros[PAF])</f>
        <v>42.97</v>
      </c>
      <c r="AG124" s="22">
        <f>SUMIF(tabParametros[Código do Posto],tabCustoUnit[[#This Row],[Código do Posto]],tabParametros[PQM])</f>
        <v>0</v>
      </c>
      <c r="AH124" s="22">
        <f>SUMIF(tabParametros[Código do Posto],tabCustoUnit[[#This Row],[Código do Posto]],tabParametros[PAT])</f>
        <v>0</v>
      </c>
      <c r="AI124" s="22">
        <f>SUMIF(tabParametros[Código do Posto],tabCustoUnit[[#This Row],[Código do Posto]],tabParametros[Seguro de Vida])</f>
        <v>3.36</v>
      </c>
      <c r="AJ124" s="22">
        <f>SUMIF(tabParametros[Código do Posto],tabCustoUnit[[#This Row],[Código do Posto]],tabParametros[Despesas de Viagem])</f>
        <v>0</v>
      </c>
      <c r="AK124" s="22">
        <f>SUM(tabCustoUnit[[#This Row],[Vale - Transporte (Descontada parcela do empregado)]:[Despesas de Viagem]])</f>
        <v>657.46920000000011</v>
      </c>
      <c r="AL124" s="22">
        <f>tabCustoUnit[[#This Row],[Submódulo 2.1]]+tabCustoUnit[[#This Row],[Submódulo 2.2]]+tabCustoUnit[[#This Row],[Submódulo 2.3]]</f>
        <v>1021.6336224166668</v>
      </c>
      <c r="AM124" s="22">
        <f>SUMIF(tabParametros[Código do Posto],tabCustoUnit[[#This Row],[Código do Posto]],tabParametros[Aviso Prévio Indenizado (API) e Reflexo do Aviso Prévio Indenizado])*tabCustoUnit[[#This Row],[MODULO 1 - REMUNERAÇÃO ]]</f>
        <v>3.9530273735532404</v>
      </c>
      <c r="AN124" s="22">
        <f>SUMIF(tabParametros[Código do Posto],tabCustoUnit[[#This Row],[Código do Posto]],tabParametros[Incidência do FGTS sobre API e Reflexo do API])*tabCustoUnit[[#This Row],[MODULO 1 - REMUNERAÇÃO ]]</f>
        <v>0.31624218988425928</v>
      </c>
      <c r="AO124" s="22">
        <f>SUMIF(tabParametros[Código do Posto],tabCustoUnit[[#This Row],[Código do Posto]],tabParametros[Multa Rescisória do FGTS sobre o Aviso Prévio Indenizado])*tabCustoUnit[[#This Row],[MODULO 1 - REMUNERAÇÃO ]]</f>
        <v>0.12649687595370371</v>
      </c>
      <c r="AP124" s="22">
        <f>SUMIF(tabParametros[Código do Posto],tabCustoUnit[[#This Row],[Código do Posto]],tabParametros[Aviso Prévio Trabalhado - APT])*tabCustoUnit[[#This Row],[MODULO 1 - REMUNERAÇÃO ]]</f>
        <v>1.9731967500000003</v>
      </c>
      <c r="AQ124" s="22">
        <f>SUMIF(tabParametros[Código do Posto],tabCustoUnit[[#This Row],[Código do Posto]],tabParametros[Incidência dos encargos do submódulo 2.1 sobre Aviso Prévio Trabalhado])*tabCustoUnit[[#This Row],[MODULO 1 - REMUNERAÇÃO ]]</f>
        <v>0.74586837150000018</v>
      </c>
      <c r="AR124" s="22">
        <f>SUMIF(tabParametros[Código do Posto],tabCustoUnit[[#This Row],[Código do Posto]],tabParametros[Multa Rescisória do FGTS])*tabCustoUnit[[#This Row],[MODULO 1 - REMUNERAÇÃO ]]</f>
        <v>17.238849066666663</v>
      </c>
      <c r="AS124" s="22">
        <f>SUMIF(tabParametros[Código do Posto],tabCustoUnit[[#This Row],[Código do Posto]],tabParametros[Indenização Adicional (Art. 9º da Lei nº 7.238/84)])*tabCustoUnit[[#This Row],[MODULO 1 - REMUNERAÇÃO ]]</f>
        <v>0.46980875</v>
      </c>
      <c r="AT124" s="22">
        <f>SUM(tabCustoUnit[[#This Row],[Aviso Prévio Indenizado (API) e Reflexo do Aviso Prévio Indenizado]:[Indenização Adicional (Art. 9º da Lei nº 7.238/84)]])</f>
        <v>24.823489377557866</v>
      </c>
      <c r="AU124" s="22">
        <f>SUMIF(tabParametros[Código do Posto],tabCustoUnit[[#This Row],[Código do Posto]],tabParametros[Ausência por Doença])*tabCustoUnit[[#This Row],[MODULO 1 - REMUNERAÇÃO ]]</f>
        <v>4.7607286666666662</v>
      </c>
      <c r="AV124" s="22">
        <f>SUMIF(tabParametros[Código do Posto],tabCustoUnit[[#This Row],[Código do Posto]],tabParametros[Ausências Legais])*tabCustoUnit[[#This Row],[MODULO 1 - REMUNERAÇÃO ]]</f>
        <v>1.1432012916666665</v>
      </c>
      <c r="AW124" s="22">
        <f>SUMIF(tabParametros[Código do Posto],tabCustoUnit[[#This Row],[Código do Posto]],tabParametros[Licença Paternidade])*tabCustoUnit[[#This Row],[MODULO 1 - REMUNERAÇÃO ]]</f>
        <v>9.6310793749999998E-2</v>
      </c>
      <c r="AX124" s="22">
        <f>SUMIF(tabParametros[Código do Posto],tabCustoUnit[[#This Row],[Código do Posto]],tabParametros[Ausência por Acidente de Trabalho])*tabCustoUnit[[#This Row],[MODULO 1 - REMUNERAÇÃO ]]</f>
        <v>0.1174521875</v>
      </c>
      <c r="AY124" s="22">
        <f>SUMIF(tabParametros[Código do Posto],tabCustoUnit[[#This Row],[Código do Posto]],tabParametros[Férias, Adicional de Férias e 13º  com empregada em gozo de Licença Maternidade])*tabCustoUnit[[#This Row],[MODULO 1 - REMUNERAÇÃO ]]</f>
        <v>0.73081361111111109</v>
      </c>
      <c r="AZ124" s="22">
        <f>SUMIF(tabParametros[Código do Posto],tabCustoUnit[[#This Row],[Código do Posto]],tabParametros[Incidência do Submódulo 2.1 sobre Ausências Legais])*tabCustoUnit[[#This Row],[MODULO 1 - REMUNERAÇÃO ]]</f>
        <v>2.5887354761625003</v>
      </c>
      <c r="BA124" s="22">
        <f>SUM(tabCustoUnit[[#This Row],[Ausência por Doença]:[Incidência do Submódulo 2.1 sobre Ausências Legais]])</f>
        <v>9.4372420268569428</v>
      </c>
      <c r="BB124" s="22">
        <f>SUMIF(tabParametros[Código do Posto],tabCustoUnit[[#This Row],[Código do Posto]],tabParametros[Intervalo para Repouso ou Alimentação])</f>
        <v>0</v>
      </c>
      <c r="BC124" s="22">
        <f>tabCustoUnit[[#This Row],[Intervalo para Repouso ou Alimentação]]</f>
        <v>0</v>
      </c>
      <c r="BD124" s="22">
        <f>IF(VLOOKUP(tabCustoUnit[[#This Row],[Código do Posto]],PARAMETROS!$A$4:$BJ$255,7,0)&lt;=0,0,
IFERROR((tabCustoUnit[[#This Row],[MODULO 1 - REMUNERAÇÃO ]]*VLOOKUP(tabCustoUnit[[#This Row],[Código do Posto]],PARAMETROS!$A$4:$BJ$255,49,0))/(VLOOKUP(tabCustoUnit[[#This Row],[Código do Posto]],PARAMETROS!$A$4:$BJ$255,7,0)*VLOOKUP(tabCustoUnit[[#This Row],[Código do Posto]],PARAMETROS!$A$4:$BJ$255,8,0)),0)
)</f>
        <v>0</v>
      </c>
      <c r="BE124" s="22">
        <f>tabCustoUnit[[#This Row],[Suspensão Temporária do Contrato de Trabalho]]</f>
        <v>0</v>
      </c>
      <c r="BF124" s="22">
        <f>tabCustoUnit[[#This Row],[Submódulo 4.1]]+tabCustoUnit[[#This Row],[Submódulo 4.2]]+tabCustoUnit[[#This Row],[Submódulo 4.3]]</f>
        <v>9.4372420268569428</v>
      </c>
      <c r="BG124" s="22">
        <f>VLOOKUP(tabCustoUnit[[#This Row],[Código do Posto]],tabParametros[],MATCH(tabCustoUnit[[#Headers],[Uniformes e EPIs]],tabParametros[#Headers],0),0)</f>
        <v>62.806666666666665</v>
      </c>
      <c r="BH124" s="22">
        <f>VLOOKUP(tabCustoUnit[[#This Row],[Código do Posto]],tabParametros[],MATCH(tabCustoUnit[[#Headers],[Materiais de Consumo]],tabParametros[#Headers],0),0)</f>
        <v>12.108481690426325</v>
      </c>
      <c r="BI124" s="22">
        <f>VLOOKUP(tabCustoUnit[[#This Row],[Código do Posto]],tabParametros[],MATCH(tabCustoUnit[[#Headers],[Máquinas e Equipamentos (depreciação)]],tabParametros[#Headers],0),0)</f>
        <v>21.998657016417809</v>
      </c>
      <c r="BJ124" s="22">
        <f>VLOOKUP(tabCustoUnit[[#This Row],[Código do Posto]],tabParametros[],MATCH(tabCustoUnit[[#Headers],[Produtos de Limpeza e Materiais de Higiene Pessoal]],tabParametros[#Headers],0),0)</f>
        <v>235.31984072022155</v>
      </c>
      <c r="BK124" s="22">
        <f>VLOOKUP(tabCustoUnit[[#This Row],[Código do Posto]],tabParametros[],MATCH(tabCustoUnit[[#Headers],[Outros (especificar)]],tabParametros[#Headers],0),0)</f>
        <v>0</v>
      </c>
      <c r="BL124" s="22">
        <f>SUM(tabCustoUnit[[#This Row],[Uniformes e EPIs]:[Outros (especificar)]])</f>
        <v>332.23364609373232</v>
      </c>
      <c r="BM124" s="22">
        <f>tabCustoUnit[[#This Row],[MODULO 1 - REMUNERAÇÃO ]]+tabCustoUnit[[#This Row],[MÓDULO 2 - Total Encargos e Benefícios mensais e diários]]+tabCustoUnit[[#This Row],[MÓDULO 3 – PROVISÃO PARA RESCISÃO]]+tabCustoUnit[[#This Row],[MÓDULO 4 – CUSTO DE REPOSIÇÃO DO PROFISSIONAL AUSENTE]]+tabCustoUnit[[#This Row],[MÓDULO 5 – INSUMOS DIVERSOS]]</f>
        <v>1951.8984999148138</v>
      </c>
      <c r="BN124" s="22">
        <f>VLOOKUP(tabCustoUnit[[#This Row],[Código do Posto]],tabParametros[],MATCH(tabCustoUnit[[#Headers],[Custos Indiretos]],tabParametros[#Headers],0),0)</f>
        <v>189.64880140242613</v>
      </c>
      <c r="BO124" s="22">
        <f>VLOOKUP(tabCustoUnit[[#This Row],[Código do Posto]],tabParametros[],MATCH(tabCustoUnit[[#Headers],[Lucro]],tabParametros[#Headers],0),0)</f>
        <v>159.30499317803796</v>
      </c>
      <c r="BP124" s="26">
        <f>((100/((1-tabCustoUnit[[#This Row],[Resumo de Alíquotas (PIS+CONFINS+ISS)]]))-100)*VLOOKUP(tabCustoUnit[[#This Row],[Código do Posto]],tabParametros[],MATCH(tabCustoUnit[[#Headers],[COFINS]],tabParametros[#Headers],0),0))/(tabCustoUnit[[#This Row],[Resumo de Alíquotas (PIS+CONFINS+ISS)]]*100)</f>
        <v>8.8629737609329504E-2</v>
      </c>
      <c r="BQ124" s="26">
        <f>((100/((100-(tabCustoUnit[[#This Row],[Resumo de Alíquotas (PIS+CONFINS+ISS)]]*100))%)-100)*VLOOKUP(tabCustoUnit[[#This Row],[Código do Posto]],tabParametros[],MATCH(tabCustoUnit[[#Headers],[PIS]],tabParametros[#Headers],0),0))/(tabCustoUnit[[#This Row],[Resumo de Alíquotas (PIS+CONFINS+ISS)]]*100)</f>
        <v>1.9241982507288629E-2</v>
      </c>
      <c r="BR124" s="28">
        <f>VLOOKUP(tabCustoUnit[[#This Row],[Código do Posto]],tabParametros[],MATCH(tabCustoUnit[[#Headers],[ISS]],tabParametros[#Headers],0),0)</f>
        <v>0.05</v>
      </c>
      <c r="BS124" s="26">
        <f>(((100/((100-(tabCustoUnit[[#This Row],[Resumo de Alíquotas (PIS+CONFINS+ISS)]]*100))%)-100)*tabCustoUnit[[#This Row],[ISS]])/tabCustoUnit[[#This Row],[Resumo de Alíquotas (PIS+CONFINS+ISS)]])/100</f>
        <v>5.8309037900874633E-2</v>
      </c>
      <c r="BT124" s="26">
        <f>(VLOOKUP(tabCustoUnit[[#This Row],[Código do Posto]],tabParametros[],MATCH(tabCustoUnit[[#Headers],[COFINS]],tabParametros[#Headers],0),0)+
VLOOKUP(tabCustoUnit[[#This Row],[Código do Posto]],tabParametros[],MATCH(tabCustoUnit[[#Headers],[PIS]],tabParametros[#Headers],0),0)+
VLOOKUP(tabCustoUnit[[#This Row],[Código do Posto]],tabParametros[],MATCH(tabCustoUnit[[#Headers],[ISS]],tabParametros[#Headers],0),0))</f>
        <v>0.14250000000000002</v>
      </c>
      <c r="BU124" s="138">
        <f>tabCustoUnit[[#This Row],[COFINS]]+tabCustoUnit[[#This Row],[PIS]]+tabCustoUnit[[#This Row],[ISS (Conversão Alíquota s/ fatura)]]</f>
        <v>0.16618075801749277</v>
      </c>
      <c r="BV124" s="22">
        <f>(tabCustoUnit[[#This Row],[TOTAL MÓDULOS 1+2+3+4+5]]+tabCustoUnit[[#This Row],[Custos Indiretos]]+tabCustoUnit[[#This Row],[Lucro]])*tabCustoUnit[[#This Row],[PIS + COFINS + ISS (Total Conversão  Alíquota s/ Fatura)]]</f>
        <v>382.35737838551279</v>
      </c>
      <c r="BW124" s="22">
        <f>tabCustoUnit[[#This Row],[Custos Indiretos]]+tabCustoUnit[[#This Row],[Lucro]]+tabCustoUnit[[#This Row],[Valor dos Tributos (ISS, PIS, CONFINS)]]</f>
        <v>731.31117296597688</v>
      </c>
      <c r="BX124" s="22">
        <f>tabCustoUnit[[#This Row],[TOTAL MÓDULOS 1+2+3+4+5]]+tabCustoUnit[[#This Row],[MÓDULO 6 – CUSTOS INDIRETOS, TRIBUTOS E LUCRO]]</f>
        <v>2683.2096728807905</v>
      </c>
      <c r="BY124" s="22">
        <f>tabCustoUnit[[#This Row],[CUSTO TOTAL MENSAL]]*12</f>
        <v>32198.516074569488</v>
      </c>
      <c r="BZ124" s="24">
        <f>VLOOKUP(tabCustoUnit[[#This Row],[Código do Posto]],tabParametros[],MATCH(tabCustoUnit[[#Headers],[ANO DA CCT]],tabParametros[#Headers],0),0)</f>
        <v>45658</v>
      </c>
      <c r="CA124" s="25" t="str">
        <f>VLOOKUP(tabCustoUnit[[#This Row],[Código do Posto]],tabParametros[],MATCH(tabCustoUnit[[#Headers],[Nº DE PEDIDO DA CCT]],tabParametros[#Headers],0),0)</f>
        <v>-</v>
      </c>
      <c r="CB124" s="25" t="str">
        <f>VLOOKUP(tabCustoUnit[[#This Row],[Código do Posto]],tabParametros[],MATCH(tabCustoUnit[[#Headers],[TERMO ADITIVO ALTERAÇÃO DA CCT]],tabParametros[#Headers],0),0)</f>
        <v>-</v>
      </c>
    </row>
    <row r="125" spans="1:80" x14ac:dyDescent="0.25">
      <c r="A125" s="20" t="s">
        <v>1461</v>
      </c>
      <c r="B125" t="s">
        <v>113</v>
      </c>
      <c r="C125" t="s">
        <v>1244</v>
      </c>
      <c r="D125" t="s">
        <v>992</v>
      </c>
      <c r="E125" s="20" t="s">
        <v>9</v>
      </c>
      <c r="F125" s="20" t="s">
        <v>10</v>
      </c>
      <c r="G125" s="21">
        <v>798.14</v>
      </c>
      <c r="H125" s="21">
        <v>0</v>
      </c>
      <c r="I125" s="21">
        <v>0</v>
      </c>
      <c r="J125" s="21">
        <v>0</v>
      </c>
      <c r="K125" s="21">
        <v>0</v>
      </c>
      <c r="L125" s="21">
        <v>0</v>
      </c>
      <c r="M125" s="21">
        <v>0</v>
      </c>
      <c r="N125" s="21">
        <v>26.120899999999999</v>
      </c>
      <c r="O125" s="21">
        <f>SUM(tabCustoUnit[[#This Row],[Salário Base]:[Adicional de Acúmulo de função]])</f>
        <v>824.26089999999999</v>
      </c>
      <c r="P125" s="21">
        <f>tabCustoUnit[[#This Row],[MODULO 1 - REMUNERAÇÃO ]]*SUMIFS(tabParametros[INSS],tabParametros[Código do Posto],tabCustoUnit[[#This Row],[Código do Posto]])</f>
        <v>164.85218</v>
      </c>
      <c r="Q125" s="21">
        <f>tabCustoUnit[[#This Row],[MODULO 1 - REMUNERAÇÃO ]]*SUMIFS(tabParametros[SESI OU SESC],tabParametros[Código do Posto],tabCustoUnit[[#This Row],[Código do Posto]])</f>
        <v>12.363913499999999</v>
      </c>
      <c r="R125" s="21">
        <f>tabCustoUnit[[#This Row],[MODULO 1 - REMUNERAÇÃO ]]*SUMIFS(tabParametros[SENAI OU SENAC],tabParametros[Código do Posto],tabCustoUnit[[#This Row],[Código do Posto]])</f>
        <v>8.2426089999999999</v>
      </c>
      <c r="S125" s="21">
        <f>tabCustoUnit[[#This Row],[MODULO 1 - REMUNERAÇÃO ]]*SUMIFS(tabParametros[INCRA],tabParametros[Código do Posto],tabCustoUnit[[#This Row],[Código do Posto]])</f>
        <v>1.6485217999999999</v>
      </c>
      <c r="T125" s="21">
        <f>tabCustoUnit[[#This Row],[MODULO 1 - REMUNERAÇÃO ]]*SUMIFS(tabParametros[Salário Educação],tabParametros[Código do Posto],tabCustoUnit[[#This Row],[Código do Posto]])</f>
        <v>20.606522500000001</v>
      </c>
      <c r="U125" s="21">
        <f>tabCustoUnit[[#This Row],[MODULO 1 - REMUNERAÇÃO ]]*SUMIFS(tabParametros[FGTS],tabParametros[Código do Posto],tabCustoUnit[[#This Row],[Código do Posto]])</f>
        <v>65.940871999999999</v>
      </c>
      <c r="V125" s="21">
        <f>tabCustoUnit[[#This Row],[MODULO 1 - REMUNERAÇÃO ]]*SUMIFS(tabParametros[RAT Ajustado],tabParametros[Código do Posto],tabCustoUnit[[#This Row],[Código do Posto]])</f>
        <v>32.970435999999999</v>
      </c>
      <c r="W125" s="21">
        <f>tabCustoUnit[[#This Row],[MODULO 1 - REMUNERAÇÃO ]]*SUMIFS(tabParametros[SEBRAE],tabParametros[Código do Posto],tabCustoUnit[[#This Row],[Código do Posto]])</f>
        <v>4.9455654000000004</v>
      </c>
      <c r="X125" s="21">
        <f>SUM(tabCustoUnit[[#This Row],[INSS]:[SEBRAE]])</f>
        <v>311.57062020000001</v>
      </c>
      <c r="Y125" s="21">
        <f>tabCustoUnit[[#This Row],[MODULO 1 - REMUNERAÇÃO ]]*SUMIFS(tabParametros[13º salário (titular)],tabParametros[Código do Posto],tabCustoUnit[[#This Row],[Código do Posto]])</f>
        <v>68.688408333333328</v>
      </c>
      <c r="Z125" s="21">
        <f>tabCustoUnit[[#This Row],[MODULO 1 - REMUNERAÇÃO ]]*SUMIFS(tabParametros[Férias e Adicional de Férias (titular)],tabParametros[Código do Posto],tabCustoUnit[[#This Row],[Código do Posto]])</f>
        <v>91.584544444444433</v>
      </c>
      <c r="AA125" s="21">
        <f>IFERROR((tabCustoUnit[[#This Row],[Submódulo 2.1]]/tabCustoUnit[[#This Row],[MODULO 1 - REMUNERAÇÃO ]])*SUM(tabCustoUnit[[#This Row],[13º salário (titular)]:[Férias e Adicional de Férias (titular)]]),0)</f>
        <v>60.583176149999993</v>
      </c>
      <c r="AB125" s="21">
        <f>SUM(tabCustoUnit[[#This Row],[13º salário (titular)]:[Incidência do Submódulo 2.1 sobre 13º Salário, Férias e Adicional de Férias]])</f>
        <v>220.85612892777775</v>
      </c>
      <c r="AC125" s="22">
        <f>_xlfn.LET(_xlpm.VT,SUMIF(tabParametros[Código do Posto],tabCustoUnit[[#This Row],[Código do Posto]],tabParametros[Vale - Transporte])*2*20,
IF((_xlpm.VT-tabCustoUnit[[#This Row],[Salário Base]]*0.06)&gt;=0,(_xlpm.VT-tabCustoUnit[[#This Row],[Salário Base]]*0.06),0)
)</f>
        <v>208.11160000000001</v>
      </c>
      <c r="AD125" s="22">
        <f>IF(SUMIF(tabParametros[Código do Posto],tabCustoUnit[[#This Row],[Código do Posto]],tabParametros[Vale - Alimentação])&lt;=0,0,
SUMIF(tabParametros[Código do Posto],tabCustoUnit[[#This Row],[Código do Posto]],tabParametros[Vale - Alimentação])*20-1)</f>
        <v>0</v>
      </c>
      <c r="AE125" s="22">
        <f>SUMIF(tabParametros[Código do Posto],tabCustoUnit[[#This Row],[Código do Posto]],tabParametros[Cesta Básica])</f>
        <v>387.79</v>
      </c>
      <c r="AF125" s="22">
        <f>SUMIF(tabParametros[Código do Posto],tabCustoUnit[[#This Row],[Código do Posto]],tabParametros[PAF])</f>
        <v>42.97</v>
      </c>
      <c r="AG125" s="22">
        <f>SUMIF(tabParametros[Código do Posto],tabCustoUnit[[#This Row],[Código do Posto]],tabParametros[PQM])</f>
        <v>0</v>
      </c>
      <c r="AH125" s="22">
        <f>SUMIF(tabParametros[Código do Posto],tabCustoUnit[[#This Row],[Código do Posto]],tabParametros[PAT])</f>
        <v>0</v>
      </c>
      <c r="AI125" s="22">
        <f>SUMIF(tabParametros[Código do Posto],tabCustoUnit[[#This Row],[Código do Posto]],tabParametros[Seguro de Vida])</f>
        <v>3.36</v>
      </c>
      <c r="AJ125" s="22">
        <f>SUMIF(tabParametros[Código do Posto],tabCustoUnit[[#This Row],[Código do Posto]],tabParametros[Despesas de Viagem])</f>
        <v>0</v>
      </c>
      <c r="AK125" s="22">
        <f>SUM(tabCustoUnit[[#This Row],[Vale - Transporte (Descontada parcela do empregado)]:[Despesas de Viagem]])</f>
        <v>642.23160000000007</v>
      </c>
      <c r="AL125" s="22">
        <f>tabCustoUnit[[#This Row],[Submódulo 2.1]]+tabCustoUnit[[#This Row],[Submódulo 2.2]]+tabCustoUnit[[#This Row],[Submódulo 2.3]]</f>
        <v>1174.6583491277779</v>
      </c>
      <c r="AM125" s="22">
        <f>SUMIF(tabParametros[Código do Posto],tabCustoUnit[[#This Row],[Código do Posto]],tabParametros[Aviso Prévio Indenizado (API) e Reflexo do Aviso Prévio Indenizado])*tabCustoUnit[[#This Row],[MODULO 1 - REMUNERAÇÃO ]]</f>
        <v>5.7795253576581791</v>
      </c>
      <c r="AN125" s="22">
        <f>SUMIF(tabParametros[Código do Posto],tabCustoUnit[[#This Row],[Código do Posto]],tabParametros[Incidência do FGTS sobre API e Reflexo do API])*tabCustoUnit[[#This Row],[MODULO 1 - REMUNERAÇÃO ]]</f>
        <v>0.46236202861265435</v>
      </c>
      <c r="AO125" s="22">
        <f>SUMIF(tabParametros[Código do Posto],tabCustoUnit[[#This Row],[Código do Posto]],tabParametros[Multa Rescisória do FGTS sobre o Aviso Prévio Indenizado])*tabCustoUnit[[#This Row],[MODULO 1 - REMUNERAÇÃO ]]</f>
        <v>0.18494481144506175</v>
      </c>
      <c r="AP125" s="22">
        <f>SUMIF(tabParametros[Código do Posto],tabCustoUnit[[#This Row],[Código do Posto]],tabParametros[Aviso Prévio Trabalhado - APT])*tabCustoUnit[[#This Row],[MODULO 1 - REMUNERAÇÃO ]]</f>
        <v>2.8849131500000005</v>
      </c>
      <c r="AQ125" s="22">
        <f>SUMIF(tabParametros[Código do Posto],tabCustoUnit[[#This Row],[Código do Posto]],tabParametros[Incidência dos encargos do submódulo 2.1 sobre Aviso Prévio Trabalhado])*tabCustoUnit[[#This Row],[MODULO 1 - REMUNERAÇÃO ]]</f>
        <v>1.0904971707000004</v>
      </c>
      <c r="AR125" s="22">
        <f>SUMIF(tabParametros[Código do Posto],tabCustoUnit[[#This Row],[Código do Posto]],tabParametros[Multa Rescisória do FGTS])*tabCustoUnit[[#This Row],[MODULO 1 - REMUNERAÇÃO ]]</f>
        <v>25.204066631111107</v>
      </c>
      <c r="AS125" s="22">
        <f>SUMIF(tabParametros[Código do Posto],tabCustoUnit[[#This Row],[Código do Posto]],tabParametros[Indenização Adicional (Art. 9º da Lei nº 7.238/84)])*tabCustoUnit[[#This Row],[MODULO 1 - REMUNERAÇÃO ]]</f>
        <v>0.6868840833333334</v>
      </c>
      <c r="AT125" s="22">
        <f>SUM(tabCustoUnit[[#This Row],[Aviso Prévio Indenizado (API) e Reflexo do Aviso Prévio Indenizado]:[Indenização Adicional (Art. 9º da Lei nº 7.238/84)]])</f>
        <v>36.293193232860339</v>
      </c>
      <c r="AU125" s="22">
        <f>SUMIF(tabParametros[Código do Posto],tabCustoUnit[[#This Row],[Código do Posto]],tabParametros[Ausência por Doença])*tabCustoUnit[[#This Row],[MODULO 1 - REMUNERAÇÃO ]]</f>
        <v>6.9604253777777769</v>
      </c>
      <c r="AV125" s="22">
        <f>SUMIF(tabParametros[Código do Posto],tabCustoUnit[[#This Row],[Código do Posto]],tabParametros[Ausências Legais])*tabCustoUnit[[#This Row],[MODULO 1 - REMUNERAÇÃO ]]</f>
        <v>1.671417936111111</v>
      </c>
      <c r="AW125" s="22">
        <f>SUMIF(tabParametros[Código do Posto],tabCustoUnit[[#This Row],[Código do Posto]],tabParametros[Licença Paternidade])*tabCustoUnit[[#This Row],[MODULO 1 - REMUNERAÇÃO ]]</f>
        <v>0.14081123708333332</v>
      </c>
      <c r="AX125" s="22">
        <f>SUMIF(tabParametros[Código do Posto],tabCustoUnit[[#This Row],[Código do Posto]],tabParametros[Ausência por Acidente de Trabalho])*tabCustoUnit[[#This Row],[MODULO 1 - REMUNERAÇÃO ]]</f>
        <v>0.17172102083333335</v>
      </c>
      <c r="AY125" s="22">
        <f>SUMIF(tabParametros[Código do Posto],tabCustoUnit[[#This Row],[Código do Posto]],tabParametros[Férias, Adicional de Férias e 13º  com empregada em gozo de Licença Maternidade])*tabCustoUnit[[#This Row],[MODULO 1 - REMUNERAÇÃO ]]</f>
        <v>1.0684863518518517</v>
      </c>
      <c r="AZ125" s="22">
        <f>SUMIF(tabParametros[Código do Posto],tabCustoUnit[[#This Row],[Código do Posto]],tabParametros[Incidência do Submódulo 2.1 sobre Ausências Legais])*tabCustoUnit[[#This Row],[MODULO 1 - REMUNERAÇÃO ]]</f>
        <v>3.7848618071425006</v>
      </c>
      <c r="BA125" s="22">
        <f>SUM(tabCustoUnit[[#This Row],[Ausência por Doença]:[Incidência do Submódulo 2.1 sobre Ausências Legais]])</f>
        <v>13.797723730799909</v>
      </c>
      <c r="BB125" s="22">
        <f>SUMIF(tabParametros[Código do Posto],tabCustoUnit[[#This Row],[Código do Posto]],tabParametros[Intervalo para Repouso ou Alimentação])</f>
        <v>0</v>
      </c>
      <c r="BC125" s="22">
        <f>tabCustoUnit[[#This Row],[Intervalo para Repouso ou Alimentação]]</f>
        <v>0</v>
      </c>
      <c r="BD125" s="22">
        <f>IF(VLOOKUP(tabCustoUnit[[#This Row],[Código do Posto]],PARAMETROS!$A$4:$BJ$255,7,0)&lt;=0,0,
IFERROR((tabCustoUnit[[#This Row],[MODULO 1 - REMUNERAÇÃO ]]*VLOOKUP(tabCustoUnit[[#This Row],[Código do Posto]],PARAMETROS!$A$4:$BJ$255,49,0))/(VLOOKUP(tabCustoUnit[[#This Row],[Código do Posto]],PARAMETROS!$A$4:$BJ$255,7,0)*VLOOKUP(tabCustoUnit[[#This Row],[Código do Posto]],PARAMETROS!$A$4:$BJ$255,8,0)),0)
)</f>
        <v>0</v>
      </c>
      <c r="BE125" s="22">
        <f>tabCustoUnit[[#This Row],[Suspensão Temporária do Contrato de Trabalho]]</f>
        <v>0</v>
      </c>
      <c r="BF125" s="22">
        <f>tabCustoUnit[[#This Row],[Submódulo 4.1]]+tabCustoUnit[[#This Row],[Submódulo 4.2]]+tabCustoUnit[[#This Row],[Submódulo 4.3]]</f>
        <v>13.797723730799909</v>
      </c>
      <c r="BG125" s="22">
        <f>VLOOKUP(tabCustoUnit[[#This Row],[Código do Posto]],tabParametros[],MATCH(tabCustoUnit[[#Headers],[Uniformes e EPIs]],tabParametros[#Headers],0),0)</f>
        <v>62.806666666666665</v>
      </c>
      <c r="BH125" s="22">
        <f>VLOOKUP(tabCustoUnit[[#This Row],[Código do Posto]],tabParametros[],MATCH(tabCustoUnit[[#Headers],[Materiais de Consumo]],tabParametros[#Headers],0),0)</f>
        <v>17.759106479291944</v>
      </c>
      <c r="BI125" s="22">
        <f>VLOOKUP(tabCustoUnit[[#This Row],[Código do Posto]],tabParametros[],MATCH(tabCustoUnit[[#Headers],[Máquinas e Equipamentos (depreciação)]],tabParametros[#Headers],0),0)</f>
        <v>32.264696957412788</v>
      </c>
      <c r="BJ125" s="22">
        <f>VLOOKUP(tabCustoUnit[[#This Row],[Código do Posto]],tabParametros[],MATCH(tabCustoUnit[[#Headers],[Produtos de Limpeza e Materiais de Higiene Pessoal]],tabParametros[#Headers],0),0)</f>
        <v>345.13576638965827</v>
      </c>
      <c r="BK125" s="22">
        <f>VLOOKUP(tabCustoUnit[[#This Row],[Código do Posto]],tabParametros[],MATCH(tabCustoUnit[[#Headers],[Outros (especificar)]],tabParametros[#Headers],0),0)</f>
        <v>0</v>
      </c>
      <c r="BL125" s="22">
        <f>SUM(tabCustoUnit[[#This Row],[Uniformes e EPIs]:[Outros (especificar)]])</f>
        <v>457.96623649302967</v>
      </c>
      <c r="BM125" s="22">
        <f>tabCustoUnit[[#This Row],[MODULO 1 - REMUNERAÇÃO ]]+tabCustoUnit[[#This Row],[MÓDULO 2 - Total Encargos e Benefícios mensais e diários]]+tabCustoUnit[[#This Row],[MÓDULO 3 – PROVISÃO PARA RESCISÃO]]+tabCustoUnit[[#This Row],[MÓDULO 4 – CUSTO DE REPOSIÇÃO DO PROFISSIONAL AUSENTE]]+tabCustoUnit[[#This Row],[MÓDULO 5 – INSUMOS DIVERSOS]]</f>
        <v>2506.9764025844679</v>
      </c>
      <c r="BN125" s="22">
        <f>VLOOKUP(tabCustoUnit[[#This Row],[Código do Posto]],tabParametros[],MATCH(tabCustoUnit[[#Headers],[Custos Indiretos]],tabParametros[#Headers],0),0)</f>
        <v>189.64880140242613</v>
      </c>
      <c r="BO125" s="22">
        <f>VLOOKUP(tabCustoUnit[[#This Row],[Código do Posto]],tabParametros[],MATCH(tabCustoUnit[[#Headers],[Lucro]],tabParametros[#Headers],0),0)</f>
        <v>159.30499317803796</v>
      </c>
      <c r="BP125" s="26">
        <f>((100/((1-tabCustoUnit[[#This Row],[Resumo de Alíquotas (PIS+CONFINS+ISS)]]))-100)*VLOOKUP(tabCustoUnit[[#This Row],[Código do Posto]],tabParametros[],MATCH(tabCustoUnit[[#Headers],[COFINS]],tabParametros[#Headers],0),0))/(tabCustoUnit[[#This Row],[Resumo de Alíquotas (PIS+CONFINS+ISS)]]*100)</f>
        <v>8.8629737609329504E-2</v>
      </c>
      <c r="BQ125" s="26">
        <f>((100/((100-(tabCustoUnit[[#This Row],[Resumo de Alíquotas (PIS+CONFINS+ISS)]]*100))%)-100)*VLOOKUP(tabCustoUnit[[#This Row],[Código do Posto]],tabParametros[],MATCH(tabCustoUnit[[#Headers],[PIS]],tabParametros[#Headers],0),0))/(tabCustoUnit[[#This Row],[Resumo de Alíquotas (PIS+CONFINS+ISS)]]*100)</f>
        <v>1.9241982507288629E-2</v>
      </c>
      <c r="BR125" s="28">
        <f>VLOOKUP(tabCustoUnit[[#This Row],[Código do Posto]],tabParametros[],MATCH(tabCustoUnit[[#Headers],[ISS]],tabParametros[#Headers],0),0)</f>
        <v>0.05</v>
      </c>
      <c r="BS125" s="26">
        <f>(((100/((100-(tabCustoUnit[[#This Row],[Resumo de Alíquotas (PIS+CONFINS+ISS)]]*100))%)-100)*tabCustoUnit[[#This Row],[ISS]])/tabCustoUnit[[#This Row],[Resumo de Alíquotas (PIS+CONFINS+ISS)]])/100</f>
        <v>5.8309037900874633E-2</v>
      </c>
      <c r="BT125" s="26">
        <f>(VLOOKUP(tabCustoUnit[[#This Row],[Código do Posto]],tabParametros[],MATCH(tabCustoUnit[[#Headers],[COFINS]],tabParametros[#Headers],0),0)+
VLOOKUP(tabCustoUnit[[#This Row],[Código do Posto]],tabParametros[],MATCH(tabCustoUnit[[#Headers],[PIS]],tabParametros[#Headers],0),0)+
VLOOKUP(tabCustoUnit[[#This Row],[Código do Posto]],tabParametros[],MATCH(tabCustoUnit[[#Headers],[ISS]],tabParametros[#Headers],0),0))</f>
        <v>0.14250000000000002</v>
      </c>
      <c r="BU125" s="138">
        <f>tabCustoUnit[[#This Row],[COFINS]]+tabCustoUnit[[#This Row],[PIS]]+tabCustoUnit[[#This Row],[ISS (Conversão Alíquota s/ fatura)]]</f>
        <v>0.16618075801749277</v>
      </c>
      <c r="BV125" s="22">
        <f>(tabCustoUnit[[#This Row],[TOTAL MÓDULOS 1+2+3+4+5]]+tabCustoUnit[[#This Row],[Custos Indiretos]]+tabCustoUnit[[#This Row],[Lucro]])*tabCustoUnit[[#This Row],[PIS + COFINS + ISS (Total Conversão  Alíquota s/ Fatura)]]</f>
        <v>474.60064500991598</v>
      </c>
      <c r="BW125" s="22">
        <f>tabCustoUnit[[#This Row],[Custos Indiretos]]+tabCustoUnit[[#This Row],[Lucro]]+tabCustoUnit[[#This Row],[Valor dos Tributos (ISS, PIS, CONFINS)]]</f>
        <v>823.55443959038007</v>
      </c>
      <c r="BX125" s="22">
        <f>tabCustoUnit[[#This Row],[TOTAL MÓDULOS 1+2+3+4+5]]+tabCustoUnit[[#This Row],[MÓDULO 6 – CUSTOS INDIRETOS, TRIBUTOS E LUCRO]]</f>
        <v>3330.5308421748477</v>
      </c>
      <c r="BY125" s="22">
        <f>tabCustoUnit[[#This Row],[CUSTO TOTAL MENSAL]]*12</f>
        <v>39966.370106098169</v>
      </c>
      <c r="BZ125" s="24">
        <f>VLOOKUP(tabCustoUnit[[#This Row],[Código do Posto]],tabParametros[],MATCH(tabCustoUnit[[#Headers],[ANO DA CCT]],tabParametros[#Headers],0),0)</f>
        <v>45658</v>
      </c>
      <c r="CA125" s="25" t="str">
        <f>VLOOKUP(tabCustoUnit[[#This Row],[Código do Posto]],tabParametros[],MATCH(tabCustoUnit[[#Headers],[Nº DE PEDIDO DA CCT]],tabParametros[#Headers],0),0)</f>
        <v>-</v>
      </c>
      <c r="CB125" s="25" t="str">
        <f>VLOOKUP(tabCustoUnit[[#This Row],[Código do Posto]],tabParametros[],MATCH(tabCustoUnit[[#Headers],[TERMO ADITIVO ALTERAÇÃO DA CCT]],tabParametros[#Headers],0),0)</f>
        <v>-</v>
      </c>
    </row>
    <row r="126" spans="1:80" x14ac:dyDescent="0.25">
      <c r="A126" s="20" t="s">
        <v>1462</v>
      </c>
      <c r="B126" t="s">
        <v>114</v>
      </c>
      <c r="C126" t="s">
        <v>1247</v>
      </c>
      <c r="D126" t="s">
        <v>1010</v>
      </c>
      <c r="E126" s="20" t="s">
        <v>9</v>
      </c>
      <c r="F126" s="20" t="s">
        <v>10</v>
      </c>
      <c r="G126" s="21">
        <v>544.17999999999995</v>
      </c>
      <c r="H126" s="21">
        <v>0</v>
      </c>
      <c r="I126" s="21">
        <v>0</v>
      </c>
      <c r="J126" s="21">
        <v>0</v>
      </c>
      <c r="K126" s="21">
        <v>0</v>
      </c>
      <c r="L126" s="21">
        <v>0</v>
      </c>
      <c r="M126" s="21">
        <v>0</v>
      </c>
      <c r="N126" s="21">
        <v>19.590499999999999</v>
      </c>
      <c r="O126" s="21">
        <f>SUM(tabCustoUnit[[#This Row],[Salário Base]:[Adicional de Acúmulo de função]])</f>
        <v>563.77049999999997</v>
      </c>
      <c r="P126" s="21">
        <f>tabCustoUnit[[#This Row],[MODULO 1 - REMUNERAÇÃO ]]*SUMIFS(tabParametros[INSS],tabParametros[Código do Posto],tabCustoUnit[[#This Row],[Código do Posto]])</f>
        <v>112.75409999999999</v>
      </c>
      <c r="Q126" s="21">
        <f>tabCustoUnit[[#This Row],[MODULO 1 - REMUNERAÇÃO ]]*SUMIFS(tabParametros[SESI OU SESC],tabParametros[Código do Posto],tabCustoUnit[[#This Row],[Código do Posto]])</f>
        <v>8.4565574999999988</v>
      </c>
      <c r="R126" s="21">
        <f>tabCustoUnit[[#This Row],[MODULO 1 - REMUNERAÇÃO ]]*SUMIFS(tabParametros[SENAI OU SENAC],tabParametros[Código do Posto],tabCustoUnit[[#This Row],[Código do Posto]])</f>
        <v>5.6377049999999995</v>
      </c>
      <c r="S126" s="21">
        <f>tabCustoUnit[[#This Row],[MODULO 1 - REMUNERAÇÃO ]]*SUMIFS(tabParametros[INCRA],tabParametros[Código do Posto],tabCustoUnit[[#This Row],[Código do Posto]])</f>
        <v>1.1275409999999999</v>
      </c>
      <c r="T126" s="21">
        <f>tabCustoUnit[[#This Row],[MODULO 1 - REMUNERAÇÃO ]]*SUMIFS(tabParametros[Salário Educação],tabParametros[Código do Posto],tabCustoUnit[[#This Row],[Código do Posto]])</f>
        <v>14.094262499999999</v>
      </c>
      <c r="U126" s="21">
        <f>tabCustoUnit[[#This Row],[MODULO 1 - REMUNERAÇÃO ]]*SUMIFS(tabParametros[FGTS],tabParametros[Código do Posto],tabCustoUnit[[#This Row],[Código do Posto]])</f>
        <v>45.101639999999996</v>
      </c>
      <c r="V126" s="21">
        <f>tabCustoUnit[[#This Row],[MODULO 1 - REMUNERAÇÃO ]]*SUMIFS(tabParametros[RAT Ajustado],tabParametros[Código do Posto],tabCustoUnit[[#This Row],[Código do Posto]])</f>
        <v>22.550819999999998</v>
      </c>
      <c r="W126" s="21">
        <f>tabCustoUnit[[#This Row],[MODULO 1 - REMUNERAÇÃO ]]*SUMIFS(tabParametros[SEBRAE],tabParametros[Código do Posto],tabCustoUnit[[#This Row],[Código do Posto]])</f>
        <v>3.3826229999999997</v>
      </c>
      <c r="X126" s="21">
        <f>SUM(tabCustoUnit[[#This Row],[INSS]:[SEBRAE]])</f>
        <v>213.10524899999996</v>
      </c>
      <c r="Y126" s="21">
        <f>tabCustoUnit[[#This Row],[MODULO 1 - REMUNERAÇÃO ]]*SUMIFS(tabParametros[13º salário (titular)],tabParametros[Código do Posto],tabCustoUnit[[#This Row],[Código do Posto]])</f>
        <v>46.980874999999997</v>
      </c>
      <c r="Z126" s="21">
        <f>tabCustoUnit[[#This Row],[MODULO 1 - REMUNERAÇÃO ]]*SUMIFS(tabParametros[Férias e Adicional de Férias (titular)],tabParametros[Código do Posto],tabCustoUnit[[#This Row],[Código do Posto]])</f>
        <v>62.641166666666663</v>
      </c>
      <c r="AA126" s="21">
        <f>IFERROR((tabCustoUnit[[#This Row],[Submódulo 2.1]]/tabCustoUnit[[#This Row],[MODULO 1 - REMUNERAÇÃO ]])*SUM(tabCustoUnit[[#This Row],[13º salário (titular)]:[Férias e Adicional de Férias (titular)]]),0)</f>
        <v>41.437131749999992</v>
      </c>
      <c r="AB126" s="21">
        <f>SUM(tabCustoUnit[[#This Row],[13º salário (titular)]:[Incidência do Submódulo 2.1 sobre 13º Salário, Férias e Adicional de Férias]])</f>
        <v>151.05917341666665</v>
      </c>
      <c r="AC126" s="22">
        <f>_xlfn.LET(_xlpm.VT,SUMIF(tabParametros[Código do Posto],tabCustoUnit[[#This Row],[Código do Posto]],tabParametros[Vale - Transporte])*2*20,
IF((_xlpm.VT-tabCustoUnit[[#This Row],[Salário Base]]*0.06)&gt;=0,(_xlpm.VT-tabCustoUnit[[#This Row],[Salário Base]]*0.06),0)
)</f>
        <v>223.3492</v>
      </c>
      <c r="AD126" s="22">
        <f>IF(SUMIF(tabParametros[Código do Posto],tabCustoUnit[[#This Row],[Código do Posto]],tabParametros[Vale - Alimentação])&lt;=0,0,
SUMIF(tabParametros[Código do Posto],tabCustoUnit[[#This Row],[Código do Posto]],tabParametros[Vale - Alimentação])*20-1)</f>
        <v>582</v>
      </c>
      <c r="AE126" s="22">
        <f>SUMIF(tabParametros[Código do Posto],tabCustoUnit[[#This Row],[Código do Posto]],tabParametros[Cesta Básica])</f>
        <v>0</v>
      </c>
      <c r="AF126" s="22">
        <f>SUMIF(tabParametros[Código do Posto],tabCustoUnit[[#This Row],[Código do Posto]],tabParametros[PAF])</f>
        <v>0</v>
      </c>
      <c r="AG126" s="22">
        <f>SUMIF(tabParametros[Código do Posto],tabCustoUnit[[#This Row],[Código do Posto]],tabParametros[PQM])</f>
        <v>0</v>
      </c>
      <c r="AH126" s="22">
        <f>SUMIF(tabParametros[Código do Posto],tabCustoUnit[[#This Row],[Código do Posto]],tabParametros[PAT])</f>
        <v>0</v>
      </c>
      <c r="AI126" s="22">
        <f>SUMIF(tabParametros[Código do Posto],tabCustoUnit[[#This Row],[Código do Posto]],tabParametros[Seguro de Vida])</f>
        <v>3.36</v>
      </c>
      <c r="AJ126" s="22">
        <f>SUMIF(tabParametros[Código do Posto],tabCustoUnit[[#This Row],[Código do Posto]],tabParametros[Despesas de Viagem])</f>
        <v>0</v>
      </c>
      <c r="AK126" s="22">
        <f>SUM(tabCustoUnit[[#This Row],[Vale - Transporte (Descontada parcela do empregado)]:[Despesas de Viagem]])</f>
        <v>808.70920000000001</v>
      </c>
      <c r="AL126" s="22">
        <f>tabCustoUnit[[#This Row],[Submódulo 2.1]]+tabCustoUnit[[#This Row],[Submódulo 2.2]]+tabCustoUnit[[#This Row],[Submódulo 2.3]]</f>
        <v>1172.8736224166666</v>
      </c>
      <c r="AM126" s="22">
        <f>SUMIF(tabParametros[Código do Posto],tabCustoUnit[[#This Row],[Código do Posto]],tabParametros[Aviso Prévio Indenizado (API) e Reflexo do Aviso Prévio Indenizado])*tabCustoUnit[[#This Row],[MODULO 1 - REMUNERAÇÃO ]]</f>
        <v>3.9530273735532404</v>
      </c>
      <c r="AN126" s="22">
        <f>SUMIF(tabParametros[Código do Posto],tabCustoUnit[[#This Row],[Código do Posto]],tabParametros[Incidência do FGTS sobre API e Reflexo do API])*tabCustoUnit[[#This Row],[MODULO 1 - REMUNERAÇÃO ]]</f>
        <v>0.31624218988425928</v>
      </c>
      <c r="AO126" s="22">
        <f>SUMIF(tabParametros[Código do Posto],tabCustoUnit[[#This Row],[Código do Posto]],tabParametros[Multa Rescisória do FGTS sobre o Aviso Prévio Indenizado])*tabCustoUnit[[#This Row],[MODULO 1 - REMUNERAÇÃO ]]</f>
        <v>0.12649687595370371</v>
      </c>
      <c r="AP126" s="22">
        <f>SUMIF(tabParametros[Código do Posto],tabCustoUnit[[#This Row],[Código do Posto]],tabParametros[Aviso Prévio Trabalhado - APT])*tabCustoUnit[[#This Row],[MODULO 1 - REMUNERAÇÃO ]]</f>
        <v>1.9731967500000003</v>
      </c>
      <c r="AQ126" s="22">
        <f>SUMIF(tabParametros[Código do Posto],tabCustoUnit[[#This Row],[Código do Posto]],tabParametros[Incidência dos encargos do submódulo 2.1 sobre Aviso Prévio Trabalhado])*tabCustoUnit[[#This Row],[MODULO 1 - REMUNERAÇÃO ]]</f>
        <v>0.74586837150000018</v>
      </c>
      <c r="AR126" s="22">
        <f>SUMIF(tabParametros[Código do Posto],tabCustoUnit[[#This Row],[Código do Posto]],tabParametros[Multa Rescisória do FGTS])*tabCustoUnit[[#This Row],[MODULO 1 - REMUNERAÇÃO ]]</f>
        <v>17.238849066666663</v>
      </c>
      <c r="AS126" s="22">
        <f>SUMIF(tabParametros[Código do Posto],tabCustoUnit[[#This Row],[Código do Posto]],tabParametros[Indenização Adicional (Art. 9º da Lei nº 7.238/84)])*tabCustoUnit[[#This Row],[MODULO 1 - REMUNERAÇÃO ]]</f>
        <v>0.46980875</v>
      </c>
      <c r="AT126" s="22">
        <f>SUM(tabCustoUnit[[#This Row],[Aviso Prévio Indenizado (API) e Reflexo do Aviso Prévio Indenizado]:[Indenização Adicional (Art. 9º da Lei nº 7.238/84)]])</f>
        <v>24.823489377557866</v>
      </c>
      <c r="AU126" s="22">
        <f>SUMIF(tabParametros[Código do Posto],tabCustoUnit[[#This Row],[Código do Posto]],tabParametros[Ausência por Doença])*tabCustoUnit[[#This Row],[MODULO 1 - REMUNERAÇÃO ]]</f>
        <v>4.7607286666666662</v>
      </c>
      <c r="AV126" s="22">
        <f>SUMIF(tabParametros[Código do Posto],tabCustoUnit[[#This Row],[Código do Posto]],tabParametros[Ausências Legais])*tabCustoUnit[[#This Row],[MODULO 1 - REMUNERAÇÃO ]]</f>
        <v>1.1432012916666665</v>
      </c>
      <c r="AW126" s="22">
        <f>SUMIF(tabParametros[Código do Posto],tabCustoUnit[[#This Row],[Código do Posto]],tabParametros[Licença Paternidade])*tabCustoUnit[[#This Row],[MODULO 1 - REMUNERAÇÃO ]]</f>
        <v>9.6310793749999998E-2</v>
      </c>
      <c r="AX126" s="22">
        <f>SUMIF(tabParametros[Código do Posto],tabCustoUnit[[#This Row],[Código do Posto]],tabParametros[Ausência por Acidente de Trabalho])*tabCustoUnit[[#This Row],[MODULO 1 - REMUNERAÇÃO ]]</f>
        <v>0.1174521875</v>
      </c>
      <c r="AY126" s="22">
        <f>SUMIF(tabParametros[Código do Posto],tabCustoUnit[[#This Row],[Código do Posto]],tabParametros[Férias, Adicional de Férias e 13º  com empregada em gozo de Licença Maternidade])*tabCustoUnit[[#This Row],[MODULO 1 - REMUNERAÇÃO ]]</f>
        <v>0.73081361111111109</v>
      </c>
      <c r="AZ126" s="22">
        <f>SUMIF(tabParametros[Código do Posto],tabCustoUnit[[#This Row],[Código do Posto]],tabParametros[Incidência do Submódulo 2.1 sobre Ausências Legais])*tabCustoUnit[[#This Row],[MODULO 1 - REMUNERAÇÃO ]]</f>
        <v>2.5887354761625003</v>
      </c>
      <c r="BA126" s="22">
        <f>SUM(tabCustoUnit[[#This Row],[Ausência por Doença]:[Incidência do Submódulo 2.1 sobre Ausências Legais]])</f>
        <v>9.4372420268569428</v>
      </c>
      <c r="BB126" s="22">
        <f>SUMIF(tabParametros[Código do Posto],tabCustoUnit[[#This Row],[Código do Posto]],tabParametros[Intervalo para Repouso ou Alimentação])</f>
        <v>0</v>
      </c>
      <c r="BC126" s="22">
        <f>tabCustoUnit[[#This Row],[Intervalo para Repouso ou Alimentação]]</f>
        <v>0</v>
      </c>
      <c r="BD126" s="22">
        <f>IF(VLOOKUP(tabCustoUnit[[#This Row],[Código do Posto]],PARAMETROS!$A$4:$BJ$255,7,0)&lt;=0,0,
IFERROR((tabCustoUnit[[#This Row],[MODULO 1 - REMUNERAÇÃO ]]*VLOOKUP(tabCustoUnit[[#This Row],[Código do Posto]],PARAMETROS!$A$4:$BJ$255,49,0))/(VLOOKUP(tabCustoUnit[[#This Row],[Código do Posto]],PARAMETROS!$A$4:$BJ$255,7,0)*VLOOKUP(tabCustoUnit[[#This Row],[Código do Posto]],PARAMETROS!$A$4:$BJ$255,8,0)),0)
)</f>
        <v>0</v>
      </c>
      <c r="BE126" s="22">
        <f>tabCustoUnit[[#This Row],[Suspensão Temporária do Contrato de Trabalho]]</f>
        <v>0</v>
      </c>
      <c r="BF126" s="22">
        <f>tabCustoUnit[[#This Row],[Submódulo 4.1]]+tabCustoUnit[[#This Row],[Submódulo 4.2]]+tabCustoUnit[[#This Row],[Submódulo 4.3]]</f>
        <v>9.4372420268569428</v>
      </c>
      <c r="BG126" s="22">
        <f>VLOOKUP(tabCustoUnit[[#This Row],[Código do Posto]],tabParametros[],MATCH(tabCustoUnit[[#Headers],[Uniformes e EPIs]],tabParametros[#Headers],0),0)</f>
        <v>62.806666666666665</v>
      </c>
      <c r="BH126" s="22">
        <f>VLOOKUP(tabCustoUnit[[#This Row],[Código do Posto]],tabParametros[],MATCH(tabCustoUnit[[#Headers],[Materiais de Consumo]],tabParametros[#Headers],0),0)</f>
        <v>12.108481690426325</v>
      </c>
      <c r="BI126" s="22">
        <f>VLOOKUP(tabCustoUnit[[#This Row],[Código do Posto]],tabParametros[],MATCH(tabCustoUnit[[#Headers],[Máquinas e Equipamentos (depreciação)]],tabParametros[#Headers],0),0)</f>
        <v>21.998657016417809</v>
      </c>
      <c r="BJ126" s="22">
        <f>VLOOKUP(tabCustoUnit[[#This Row],[Código do Posto]],tabParametros[],MATCH(tabCustoUnit[[#Headers],[Produtos de Limpeza e Materiais de Higiene Pessoal]],tabParametros[#Headers],0),0)</f>
        <v>235.31984072022155</v>
      </c>
      <c r="BK126" s="22">
        <f>VLOOKUP(tabCustoUnit[[#This Row],[Código do Posto]],tabParametros[],MATCH(tabCustoUnit[[#Headers],[Outros (especificar)]],tabParametros[#Headers],0),0)</f>
        <v>0</v>
      </c>
      <c r="BL126" s="22">
        <f>SUM(tabCustoUnit[[#This Row],[Uniformes e EPIs]:[Outros (especificar)]])</f>
        <v>332.23364609373232</v>
      </c>
      <c r="BM126" s="22">
        <f>tabCustoUnit[[#This Row],[MODULO 1 - REMUNERAÇÃO ]]+tabCustoUnit[[#This Row],[MÓDULO 2 - Total Encargos e Benefícios mensais e diários]]+tabCustoUnit[[#This Row],[MÓDULO 3 – PROVISÃO PARA RESCISÃO]]+tabCustoUnit[[#This Row],[MÓDULO 4 – CUSTO DE REPOSIÇÃO DO PROFISSIONAL AUSENTE]]+tabCustoUnit[[#This Row],[MÓDULO 5 – INSUMOS DIVERSOS]]</f>
        <v>2103.1384999148136</v>
      </c>
      <c r="BN126" s="22">
        <f>VLOOKUP(tabCustoUnit[[#This Row],[Código do Posto]],tabParametros[],MATCH(tabCustoUnit[[#Headers],[Custos Indiretos]],tabParametros[#Headers],0),0)</f>
        <v>189.64880140242613</v>
      </c>
      <c r="BO126" s="22">
        <f>VLOOKUP(tabCustoUnit[[#This Row],[Código do Posto]],tabParametros[],MATCH(tabCustoUnit[[#Headers],[Lucro]],tabParametros[#Headers],0),0)</f>
        <v>159.30499317803796</v>
      </c>
      <c r="BP126" s="26">
        <f>((100/((1-tabCustoUnit[[#This Row],[Resumo de Alíquotas (PIS+CONFINS+ISS)]]))-100)*VLOOKUP(tabCustoUnit[[#This Row],[Código do Posto]],tabParametros[],MATCH(tabCustoUnit[[#Headers],[COFINS]],tabParametros[#Headers],0),0))/(tabCustoUnit[[#This Row],[Resumo de Alíquotas (PIS+CONFINS+ISS)]]*100)</f>
        <v>8.6609686609686695E-2</v>
      </c>
      <c r="BQ126" s="26">
        <f>((100/((100-(tabCustoUnit[[#This Row],[Resumo de Alíquotas (PIS+CONFINS+ISS)]]*100))%)-100)*VLOOKUP(tabCustoUnit[[#This Row],[Código do Posto]],tabParametros[],MATCH(tabCustoUnit[[#Headers],[PIS]],tabParametros[#Headers],0),0))/(tabCustoUnit[[#This Row],[Resumo de Alíquotas (PIS+CONFINS+ISS)]]*100)</f>
        <v>1.880341880341882E-2</v>
      </c>
      <c r="BR126" s="28">
        <f>VLOOKUP(tabCustoUnit[[#This Row],[Código do Posto]],tabParametros[],MATCH(tabCustoUnit[[#Headers],[ISS]],tabParametros[#Headers],0),0)</f>
        <v>0.03</v>
      </c>
      <c r="BS126" s="26">
        <f>(((100/((100-(tabCustoUnit[[#This Row],[Resumo de Alíquotas (PIS+CONFINS+ISS)]]*100))%)-100)*tabCustoUnit[[#This Row],[ISS]])/tabCustoUnit[[#This Row],[Resumo de Alíquotas (PIS+CONFINS+ISS)]])/100</f>
        <v>3.4188034188034219E-2</v>
      </c>
      <c r="BT126" s="26">
        <f>(VLOOKUP(tabCustoUnit[[#This Row],[Código do Posto]],tabParametros[],MATCH(tabCustoUnit[[#Headers],[COFINS]],tabParametros[#Headers],0),0)+
VLOOKUP(tabCustoUnit[[#This Row],[Código do Posto]],tabParametros[],MATCH(tabCustoUnit[[#Headers],[PIS]],tabParametros[#Headers],0),0)+
VLOOKUP(tabCustoUnit[[#This Row],[Código do Posto]],tabParametros[],MATCH(tabCustoUnit[[#Headers],[ISS]],tabParametros[#Headers],0),0))</f>
        <v>0.1225</v>
      </c>
      <c r="BU126" s="138">
        <f>tabCustoUnit[[#This Row],[COFINS]]+tabCustoUnit[[#This Row],[PIS]]+tabCustoUnit[[#This Row],[ISS (Conversão Alíquota s/ fatura)]]</f>
        <v>0.13960113960113973</v>
      </c>
      <c r="BV126" s="22">
        <f>(tabCustoUnit[[#This Row],[TOTAL MÓDULOS 1+2+3+4+5]]+tabCustoUnit[[#This Row],[Custos Indiretos]]+tabCustoUnit[[#This Row],[Lucro]])*tabCustoUnit[[#This Row],[PIS + COFINS + ISS (Total Conversão  Alíquota s/ Fatura)]]</f>
        <v>342.31487871871428</v>
      </c>
      <c r="BW126" s="22">
        <f>tabCustoUnit[[#This Row],[Custos Indiretos]]+tabCustoUnit[[#This Row],[Lucro]]+tabCustoUnit[[#This Row],[Valor dos Tributos (ISS, PIS, CONFINS)]]</f>
        <v>691.26867329917832</v>
      </c>
      <c r="BX126" s="22">
        <f>tabCustoUnit[[#This Row],[TOTAL MÓDULOS 1+2+3+4+5]]+tabCustoUnit[[#This Row],[MÓDULO 6 – CUSTOS INDIRETOS, TRIBUTOS E LUCRO]]</f>
        <v>2794.4071732139919</v>
      </c>
      <c r="BY126" s="22">
        <f>tabCustoUnit[[#This Row],[CUSTO TOTAL MENSAL]]*12</f>
        <v>33532.886078567899</v>
      </c>
      <c r="BZ126" s="24">
        <f>VLOOKUP(tabCustoUnit[[#This Row],[Código do Posto]],tabParametros[],MATCH(tabCustoUnit[[#Headers],[ANO DA CCT]],tabParametros[#Headers],0),0)</f>
        <v>45658</v>
      </c>
      <c r="CA126" s="25" t="str">
        <f>VLOOKUP(tabCustoUnit[[#This Row],[Código do Posto]],tabParametros[],MATCH(tabCustoUnit[[#Headers],[Nº DE PEDIDO DA CCT]],tabParametros[#Headers],0),0)</f>
        <v>-</v>
      </c>
      <c r="CB126" s="25" t="str">
        <f>VLOOKUP(tabCustoUnit[[#This Row],[Código do Posto]],tabParametros[],MATCH(tabCustoUnit[[#Headers],[TERMO ADITIVO ALTERAÇÃO DA CCT]],tabParametros[#Headers],0),0)</f>
        <v>-</v>
      </c>
    </row>
    <row r="127" spans="1:80" x14ac:dyDescent="0.25">
      <c r="A127" s="20" t="s">
        <v>1463</v>
      </c>
      <c r="B127" t="s">
        <v>115</v>
      </c>
      <c r="C127" t="s">
        <v>1245</v>
      </c>
      <c r="D127" t="s">
        <v>1000</v>
      </c>
      <c r="E127" s="20" t="s">
        <v>9</v>
      </c>
      <c r="F127" s="20" t="s">
        <v>10</v>
      </c>
      <c r="G127" s="21">
        <v>1596.28</v>
      </c>
      <c r="H127" s="21">
        <v>0</v>
      </c>
      <c r="I127" s="21">
        <v>0</v>
      </c>
      <c r="J127" s="21">
        <v>0</v>
      </c>
      <c r="K127" s="21">
        <v>0</v>
      </c>
      <c r="L127" s="21">
        <v>0</v>
      </c>
      <c r="M127" s="21">
        <v>0</v>
      </c>
      <c r="N127" s="21">
        <v>52.241900000000001</v>
      </c>
      <c r="O127" s="21">
        <f>SUM(tabCustoUnit[[#This Row],[Salário Base]:[Adicional de Acúmulo de função]])</f>
        <v>1648.5219</v>
      </c>
      <c r="P127" s="21">
        <f>tabCustoUnit[[#This Row],[MODULO 1 - REMUNERAÇÃO ]]*SUMIFS(tabParametros[INSS],tabParametros[Código do Posto],tabCustoUnit[[#This Row],[Código do Posto]])</f>
        <v>329.70438000000001</v>
      </c>
      <c r="Q127" s="21">
        <f>tabCustoUnit[[#This Row],[MODULO 1 - REMUNERAÇÃO ]]*SUMIFS(tabParametros[SESI OU SESC],tabParametros[Código do Posto],tabCustoUnit[[#This Row],[Código do Posto]])</f>
        <v>24.727828499999998</v>
      </c>
      <c r="R127" s="21">
        <f>tabCustoUnit[[#This Row],[MODULO 1 - REMUNERAÇÃO ]]*SUMIFS(tabParametros[SENAI OU SENAC],tabParametros[Código do Posto],tabCustoUnit[[#This Row],[Código do Posto]])</f>
        <v>16.485219000000001</v>
      </c>
      <c r="S127" s="21">
        <f>tabCustoUnit[[#This Row],[MODULO 1 - REMUNERAÇÃO ]]*SUMIFS(tabParametros[INCRA],tabParametros[Código do Posto],tabCustoUnit[[#This Row],[Código do Posto]])</f>
        <v>3.2970438</v>
      </c>
      <c r="T127" s="21">
        <f>tabCustoUnit[[#This Row],[MODULO 1 - REMUNERAÇÃO ]]*SUMIFS(tabParametros[Salário Educação],tabParametros[Código do Posto],tabCustoUnit[[#This Row],[Código do Posto]])</f>
        <v>41.213047500000002</v>
      </c>
      <c r="U127" s="21">
        <f>tabCustoUnit[[#This Row],[MODULO 1 - REMUNERAÇÃO ]]*SUMIFS(tabParametros[FGTS],tabParametros[Código do Posto],tabCustoUnit[[#This Row],[Código do Posto]])</f>
        <v>131.88175200000001</v>
      </c>
      <c r="V127" s="21">
        <f>tabCustoUnit[[#This Row],[MODULO 1 - REMUNERAÇÃO ]]*SUMIFS(tabParametros[RAT Ajustado],tabParametros[Código do Posto],tabCustoUnit[[#This Row],[Código do Posto]])</f>
        <v>65.940876000000003</v>
      </c>
      <c r="W127" s="21">
        <f>tabCustoUnit[[#This Row],[MODULO 1 - REMUNERAÇÃO ]]*SUMIFS(tabParametros[SEBRAE],tabParametros[Código do Posto],tabCustoUnit[[#This Row],[Código do Posto]])</f>
        <v>9.8911314000000008</v>
      </c>
      <c r="X127" s="21">
        <f>SUM(tabCustoUnit[[#This Row],[INSS]:[SEBRAE]])</f>
        <v>623.14127819999999</v>
      </c>
      <c r="Y127" s="21">
        <f>tabCustoUnit[[#This Row],[MODULO 1 - REMUNERAÇÃO ]]*SUMIFS(tabParametros[13º salário (titular)],tabParametros[Código do Posto],tabCustoUnit[[#This Row],[Código do Posto]])</f>
        <v>137.376825</v>
      </c>
      <c r="Z127" s="21">
        <f>tabCustoUnit[[#This Row],[MODULO 1 - REMUNERAÇÃO ]]*SUMIFS(tabParametros[Férias e Adicional de Férias (titular)],tabParametros[Código do Posto],tabCustoUnit[[#This Row],[Código do Posto]])</f>
        <v>183.16909999999999</v>
      </c>
      <c r="AA127" s="21">
        <f>IFERROR((tabCustoUnit[[#This Row],[Submódulo 2.1]]/tabCustoUnit[[#This Row],[MODULO 1 - REMUNERAÇÃO ]])*SUM(tabCustoUnit[[#This Row],[13º salário (titular)]:[Férias e Adicional de Férias (titular)]]),0)</f>
        <v>121.16635965</v>
      </c>
      <c r="AB127" s="21">
        <f>SUM(tabCustoUnit[[#This Row],[13º salário (titular)]:[Incidência do Submódulo 2.1 sobre 13º Salário, Férias e Adicional de Férias]])</f>
        <v>441.71228465000002</v>
      </c>
      <c r="AC127" s="22">
        <f>_xlfn.LET(_xlpm.VT,SUMIF(tabParametros[Código do Posto],tabCustoUnit[[#This Row],[Código do Posto]],tabParametros[Vale - Transporte])*2*20,
IF((_xlpm.VT-tabCustoUnit[[#This Row],[Salário Base]]*0.06)&gt;=0,(_xlpm.VT-tabCustoUnit[[#This Row],[Salário Base]]*0.06),0)
)</f>
        <v>160.22320000000002</v>
      </c>
      <c r="AD127" s="22">
        <f>IF(SUMIF(tabParametros[Código do Posto],tabCustoUnit[[#This Row],[Código do Posto]],tabParametros[Vale - Alimentação])&lt;=0,0,
SUMIF(tabParametros[Código do Posto],tabCustoUnit[[#This Row],[Código do Posto]],tabParametros[Vale - Alimentação])*20-1)</f>
        <v>582</v>
      </c>
      <c r="AE127" s="22">
        <f>SUMIF(tabParametros[Código do Posto],tabCustoUnit[[#This Row],[Código do Posto]],tabParametros[Cesta Básica])</f>
        <v>0</v>
      </c>
      <c r="AF127" s="22">
        <f>SUMIF(tabParametros[Código do Posto],tabCustoUnit[[#This Row],[Código do Posto]],tabParametros[PAF])</f>
        <v>0</v>
      </c>
      <c r="AG127" s="22">
        <f>SUMIF(tabParametros[Código do Posto],tabCustoUnit[[#This Row],[Código do Posto]],tabParametros[PQM])</f>
        <v>15.07</v>
      </c>
      <c r="AH127" s="22">
        <f>SUMIF(tabParametros[Código do Posto],tabCustoUnit[[#This Row],[Código do Posto]],tabParametros[PAT])</f>
        <v>0</v>
      </c>
      <c r="AI127" s="22">
        <f>SUMIF(tabParametros[Código do Posto],tabCustoUnit[[#This Row],[Código do Posto]],tabParametros[Seguro de Vida])</f>
        <v>3.36</v>
      </c>
      <c r="AJ127" s="22">
        <f>SUMIF(tabParametros[Código do Posto],tabCustoUnit[[#This Row],[Código do Posto]],tabParametros[Despesas de Viagem])</f>
        <v>0</v>
      </c>
      <c r="AK127" s="22">
        <f>SUM(tabCustoUnit[[#This Row],[Vale - Transporte (Descontada parcela do empregado)]:[Despesas de Viagem]])</f>
        <v>760.65320000000008</v>
      </c>
      <c r="AL127" s="22">
        <f>tabCustoUnit[[#This Row],[Submódulo 2.1]]+tabCustoUnit[[#This Row],[Submódulo 2.2]]+tabCustoUnit[[#This Row],[Submódulo 2.3]]</f>
        <v>1825.5067628500001</v>
      </c>
      <c r="AM127" s="22">
        <f>SUMIF(tabParametros[Código do Posto],tabCustoUnit[[#This Row],[Código do Posto]],tabParametros[Aviso Prévio Indenizado (API) e Reflexo do Aviso Prévio Indenizado])*tabCustoUnit[[#This Row],[MODULO 1 - REMUNERAÇÃO ]]</f>
        <v>11.559051416493055</v>
      </c>
      <c r="AN127" s="22">
        <f>SUMIF(tabParametros[Código do Posto],tabCustoUnit[[#This Row],[Código do Posto]],tabParametros[Incidência do FGTS sobre API e Reflexo do API])*tabCustoUnit[[#This Row],[MODULO 1 - REMUNERAÇÃO ]]</f>
        <v>0.92472411331944449</v>
      </c>
      <c r="AO127" s="22">
        <f>SUMIF(tabParametros[Código do Posto],tabCustoUnit[[#This Row],[Código do Posto]],tabParametros[Multa Rescisória do FGTS sobre o Aviso Prévio Indenizado])*tabCustoUnit[[#This Row],[MODULO 1 - REMUNERAÇÃO ]]</f>
        <v>0.36988964532777785</v>
      </c>
      <c r="AP127" s="22">
        <f>SUMIF(tabParametros[Código do Posto],tabCustoUnit[[#This Row],[Código do Posto]],tabParametros[Aviso Prévio Trabalhado - APT])*tabCustoUnit[[#This Row],[MODULO 1 - REMUNERAÇÃO ]]</f>
        <v>5.7698266500000006</v>
      </c>
      <c r="AQ127" s="22">
        <f>SUMIF(tabParametros[Código do Posto],tabCustoUnit[[#This Row],[Código do Posto]],tabParametros[Incidência dos encargos do submódulo 2.1 sobre Aviso Prévio Trabalhado])*tabCustoUnit[[#This Row],[MODULO 1 - REMUNERAÇÃO ]]</f>
        <v>2.1809944737000007</v>
      </c>
      <c r="AR127" s="22">
        <f>SUMIF(tabParametros[Código do Posto],tabCustoUnit[[#This Row],[Código do Posto]],tabParametros[Multa Rescisória do FGTS])*tabCustoUnit[[#This Row],[MODULO 1 - REMUNERAÇÃO ]]</f>
        <v>50.40813631999999</v>
      </c>
      <c r="AS127" s="22">
        <f>SUMIF(tabParametros[Código do Posto],tabCustoUnit[[#This Row],[Código do Posto]],tabParametros[Indenização Adicional (Art. 9º da Lei nº 7.238/84)])*tabCustoUnit[[#This Row],[MODULO 1 - REMUNERAÇÃO ]]</f>
        <v>1.3737682500000001</v>
      </c>
      <c r="AT127" s="22">
        <f>SUM(tabCustoUnit[[#This Row],[Aviso Prévio Indenizado (API) e Reflexo do Aviso Prévio Indenizado]:[Indenização Adicional (Art. 9º da Lei nº 7.238/84)]])</f>
        <v>72.586390868840269</v>
      </c>
      <c r="AU127" s="22">
        <f>SUMIF(tabParametros[Código do Posto],tabCustoUnit[[#This Row],[Código do Posto]],tabParametros[Ausência por Doença])*tabCustoUnit[[#This Row],[MODULO 1 - REMUNERAÇÃO ]]</f>
        <v>13.920851599999999</v>
      </c>
      <c r="AV127" s="22">
        <f>SUMIF(tabParametros[Código do Posto],tabCustoUnit[[#This Row],[Código do Posto]],tabParametros[Ausências Legais])*tabCustoUnit[[#This Row],[MODULO 1 - REMUNERAÇÃO ]]</f>
        <v>3.3428360749999997</v>
      </c>
      <c r="AW127" s="22">
        <f>SUMIF(tabParametros[Código do Posto],tabCustoUnit[[#This Row],[Código do Posto]],tabParametros[Licença Paternidade])*tabCustoUnit[[#This Row],[MODULO 1 - REMUNERAÇÃO ]]</f>
        <v>0.28162249125</v>
      </c>
      <c r="AX127" s="22">
        <f>SUMIF(tabParametros[Código do Posto],tabCustoUnit[[#This Row],[Código do Posto]],tabParametros[Ausência por Acidente de Trabalho])*tabCustoUnit[[#This Row],[MODULO 1 - REMUNERAÇÃO ]]</f>
        <v>0.34344206250000003</v>
      </c>
      <c r="AY127" s="22">
        <f>SUMIF(tabParametros[Código do Posto],tabCustoUnit[[#This Row],[Código do Posto]],tabParametros[Férias, Adicional de Férias e 13º  com empregada em gozo de Licença Maternidade])*tabCustoUnit[[#This Row],[MODULO 1 - REMUNERAÇÃO ]]</f>
        <v>2.1369728333333331</v>
      </c>
      <c r="AZ127" s="22">
        <f>SUMIF(tabParametros[Código do Posto],tabCustoUnit[[#This Row],[Código do Posto]],tabParametros[Incidência do Submódulo 2.1 sobre Ausências Legais])*tabCustoUnit[[#This Row],[MODULO 1 - REMUNERAÇÃO ]]</f>
        <v>7.5697240734675013</v>
      </c>
      <c r="BA127" s="22">
        <f>SUM(tabCustoUnit[[#This Row],[Ausência por Doença]:[Incidência do Submódulo 2.1 sobre Ausências Legais]])</f>
        <v>27.595449135550833</v>
      </c>
      <c r="BB127" s="22">
        <f>SUMIF(tabParametros[Código do Posto],tabCustoUnit[[#This Row],[Código do Posto]],tabParametros[Intervalo para Repouso ou Alimentação])</f>
        <v>0</v>
      </c>
      <c r="BC127" s="22">
        <f>tabCustoUnit[[#This Row],[Intervalo para Repouso ou Alimentação]]</f>
        <v>0</v>
      </c>
      <c r="BD127" s="22">
        <f>IF(VLOOKUP(tabCustoUnit[[#This Row],[Código do Posto]],PARAMETROS!$A$4:$BJ$255,7,0)&lt;=0,0,
IFERROR((tabCustoUnit[[#This Row],[MODULO 1 - REMUNERAÇÃO ]]*VLOOKUP(tabCustoUnit[[#This Row],[Código do Posto]],PARAMETROS!$A$4:$BJ$255,49,0))/(VLOOKUP(tabCustoUnit[[#This Row],[Código do Posto]],PARAMETROS!$A$4:$BJ$255,7,0)*VLOOKUP(tabCustoUnit[[#This Row],[Código do Posto]],PARAMETROS!$A$4:$BJ$255,8,0)),0)
)</f>
        <v>0</v>
      </c>
      <c r="BE127" s="22">
        <f>tabCustoUnit[[#This Row],[Suspensão Temporária do Contrato de Trabalho]]</f>
        <v>0</v>
      </c>
      <c r="BF127" s="22">
        <f>tabCustoUnit[[#This Row],[Submódulo 4.1]]+tabCustoUnit[[#This Row],[Submódulo 4.2]]+tabCustoUnit[[#This Row],[Submódulo 4.3]]</f>
        <v>27.595449135550833</v>
      </c>
      <c r="BG127" s="22">
        <f>VLOOKUP(tabCustoUnit[[#This Row],[Código do Posto]],tabParametros[],MATCH(tabCustoUnit[[#Headers],[Uniformes e EPIs]],tabParametros[#Headers],0),0)</f>
        <v>100.80916666666666</v>
      </c>
      <c r="BH127" s="22">
        <f>VLOOKUP(tabCustoUnit[[#This Row],[Código do Posto]],tabParametros[],MATCH(tabCustoUnit[[#Headers],[Materiais de Consumo]],tabParametros[#Headers],0),0)</f>
        <v>35.518212958583888</v>
      </c>
      <c r="BI127" s="22">
        <f>VLOOKUP(tabCustoUnit[[#This Row],[Código do Posto]],tabParametros[],MATCH(tabCustoUnit[[#Headers],[Máquinas e Equipamentos (depreciação)]],tabParametros[#Headers],0),0)</f>
        <v>64.529393914825576</v>
      </c>
      <c r="BJ127" s="22">
        <f>VLOOKUP(tabCustoUnit[[#This Row],[Código do Posto]],tabParametros[],MATCH(tabCustoUnit[[#Headers],[Produtos de Limpeza e Materiais de Higiene Pessoal]],tabParametros[#Headers],0),0)</f>
        <v>690.27153277931654</v>
      </c>
      <c r="BK127" s="22">
        <f>VLOOKUP(tabCustoUnit[[#This Row],[Código do Posto]],tabParametros[],MATCH(tabCustoUnit[[#Headers],[Outros (especificar)]],tabParametros[#Headers],0),0)</f>
        <v>0</v>
      </c>
      <c r="BL127" s="22">
        <f>SUM(tabCustoUnit[[#This Row],[Uniformes e EPIs]:[Outros (especificar)]])</f>
        <v>891.12830631939266</v>
      </c>
      <c r="BM127" s="22">
        <f>tabCustoUnit[[#This Row],[MODULO 1 - REMUNERAÇÃO ]]+tabCustoUnit[[#This Row],[MÓDULO 2 - Total Encargos e Benefícios mensais e diários]]+tabCustoUnit[[#This Row],[MÓDULO 3 – PROVISÃO PARA RESCISÃO]]+tabCustoUnit[[#This Row],[MÓDULO 4 – CUSTO DE REPOSIÇÃO DO PROFISSIONAL AUSENTE]]+tabCustoUnit[[#This Row],[MÓDULO 5 – INSUMOS DIVERSOS]]</f>
        <v>4465.3388091737834</v>
      </c>
      <c r="BN127" s="22">
        <f>VLOOKUP(tabCustoUnit[[#This Row],[Código do Posto]],tabParametros[],MATCH(tabCustoUnit[[#Headers],[Custos Indiretos]],tabParametros[#Headers],0),0)</f>
        <v>189.64880140242613</v>
      </c>
      <c r="BO127" s="22">
        <f>VLOOKUP(tabCustoUnit[[#This Row],[Código do Posto]],tabParametros[],MATCH(tabCustoUnit[[#Headers],[Lucro]],tabParametros[#Headers],0),0)</f>
        <v>159.30499317803796</v>
      </c>
      <c r="BP127" s="26">
        <f>((100/((1-tabCustoUnit[[#This Row],[Resumo de Alíquotas (PIS+CONFINS+ISS)]]))-100)*VLOOKUP(tabCustoUnit[[#This Row],[Código do Posto]],tabParametros[],MATCH(tabCustoUnit[[#Headers],[COFINS]],tabParametros[#Headers],0),0))/(tabCustoUnit[[#This Row],[Resumo de Alíquotas (PIS+CONFINS+ISS)]]*100)</f>
        <v>8.5633802816901458E-2</v>
      </c>
      <c r="BQ127" s="26">
        <f>((100/((100-(tabCustoUnit[[#This Row],[Resumo de Alíquotas (PIS+CONFINS+ISS)]]*100))%)-100)*VLOOKUP(tabCustoUnit[[#This Row],[Código do Posto]],tabParametros[],MATCH(tabCustoUnit[[#Headers],[PIS]],tabParametros[#Headers],0),0))/(tabCustoUnit[[#This Row],[Resumo de Alíquotas (PIS+CONFINS+ISS)]]*100)</f>
        <v>1.8591549295774657E-2</v>
      </c>
      <c r="BR127" s="28">
        <f>VLOOKUP(tabCustoUnit[[#This Row],[Código do Posto]],tabParametros[],MATCH(tabCustoUnit[[#Headers],[ISS]],tabParametros[#Headers],0),0)</f>
        <v>0.02</v>
      </c>
      <c r="BS127" s="26">
        <f>(((100/((100-(tabCustoUnit[[#This Row],[Resumo de Alíquotas (PIS+CONFINS+ISS)]]*100))%)-100)*tabCustoUnit[[#This Row],[ISS]])/tabCustoUnit[[#This Row],[Resumo de Alíquotas (PIS+CONFINS+ISS)]])/100</f>
        <v>2.2535211267605645E-2</v>
      </c>
      <c r="BT127" s="26">
        <f>(VLOOKUP(tabCustoUnit[[#This Row],[Código do Posto]],tabParametros[],MATCH(tabCustoUnit[[#Headers],[COFINS]],tabParametros[#Headers],0),0)+
VLOOKUP(tabCustoUnit[[#This Row],[Código do Posto]],tabParametros[],MATCH(tabCustoUnit[[#Headers],[PIS]],tabParametros[#Headers],0),0)+
VLOOKUP(tabCustoUnit[[#This Row],[Código do Posto]],tabParametros[],MATCH(tabCustoUnit[[#Headers],[ISS]],tabParametros[#Headers],0),0))</f>
        <v>0.1125</v>
      </c>
      <c r="BU127" s="138">
        <f>tabCustoUnit[[#This Row],[COFINS]]+tabCustoUnit[[#This Row],[PIS]]+tabCustoUnit[[#This Row],[ISS (Conversão Alíquota s/ fatura)]]</f>
        <v>0.12676056338028174</v>
      </c>
      <c r="BV127" s="22">
        <f>(tabCustoUnit[[#This Row],[TOTAL MÓDULOS 1+2+3+4+5]]+tabCustoUnit[[#This Row],[Custos Indiretos]]+tabCustoUnit[[#This Row],[Lucro]])*tabCustoUnit[[#This Row],[PIS + COFINS + ISS (Total Conversão  Alíquota s/ Fatura)]]</f>
        <v>610.26244272941187</v>
      </c>
      <c r="BW127" s="22">
        <f>tabCustoUnit[[#This Row],[Custos Indiretos]]+tabCustoUnit[[#This Row],[Lucro]]+tabCustoUnit[[#This Row],[Valor dos Tributos (ISS, PIS, CONFINS)]]</f>
        <v>959.21623730987596</v>
      </c>
      <c r="BX127" s="22">
        <f>tabCustoUnit[[#This Row],[TOTAL MÓDULOS 1+2+3+4+5]]+tabCustoUnit[[#This Row],[MÓDULO 6 – CUSTOS INDIRETOS, TRIBUTOS E LUCRO]]</f>
        <v>5424.5550464836597</v>
      </c>
      <c r="BY127" s="22">
        <f>tabCustoUnit[[#This Row],[CUSTO TOTAL MENSAL]]*12</f>
        <v>65094.660557803916</v>
      </c>
      <c r="BZ127" s="24">
        <f>VLOOKUP(tabCustoUnit[[#This Row],[Código do Posto]],tabParametros[],MATCH(tabCustoUnit[[#Headers],[ANO DA CCT]],tabParametros[#Headers],0),0)</f>
        <v>45658</v>
      </c>
      <c r="CA127" s="25" t="str">
        <f>VLOOKUP(tabCustoUnit[[#This Row],[Código do Posto]],tabParametros[],MATCH(tabCustoUnit[[#Headers],[Nº DE PEDIDO DA CCT]],tabParametros[#Headers],0),0)</f>
        <v>-</v>
      </c>
      <c r="CB127" s="25" t="str">
        <f>VLOOKUP(tabCustoUnit[[#This Row],[Código do Posto]],tabParametros[],MATCH(tabCustoUnit[[#Headers],[TERMO ADITIVO ALTERAÇÃO DA CCT]],tabParametros[#Headers],0),0)</f>
        <v>-</v>
      </c>
    </row>
    <row r="128" spans="1:80" x14ac:dyDescent="0.25">
      <c r="A128" s="20" t="s">
        <v>1464</v>
      </c>
      <c r="B128" t="s">
        <v>116</v>
      </c>
      <c r="C128" t="s">
        <v>1246</v>
      </c>
      <c r="D128" t="s">
        <v>992</v>
      </c>
      <c r="E128" s="20" t="s">
        <v>9</v>
      </c>
      <c r="F128" s="20" t="s">
        <v>10</v>
      </c>
      <c r="G128" s="21">
        <v>1088.3699999999999</v>
      </c>
      <c r="H128" s="21">
        <v>0</v>
      </c>
      <c r="I128" s="21">
        <v>0</v>
      </c>
      <c r="J128" s="21">
        <v>0</v>
      </c>
      <c r="K128" s="21">
        <v>0</v>
      </c>
      <c r="L128" s="21">
        <v>0</v>
      </c>
      <c r="M128" s="21">
        <v>0</v>
      </c>
      <c r="N128" s="21">
        <v>39.1813</v>
      </c>
      <c r="O128" s="21">
        <f>SUM(tabCustoUnit[[#This Row],[Salário Base]:[Adicional de Acúmulo de função]])</f>
        <v>1127.5512999999999</v>
      </c>
      <c r="P128" s="21">
        <f>tabCustoUnit[[#This Row],[MODULO 1 - REMUNERAÇÃO ]]*SUMIFS(tabParametros[INSS],tabParametros[Código do Posto],tabCustoUnit[[#This Row],[Código do Posto]])</f>
        <v>225.51025999999999</v>
      </c>
      <c r="Q128" s="21">
        <f>tabCustoUnit[[#This Row],[MODULO 1 - REMUNERAÇÃO ]]*SUMIFS(tabParametros[SESI OU SESC],tabParametros[Código do Posto],tabCustoUnit[[#This Row],[Código do Posto]])</f>
        <v>16.913269499999998</v>
      </c>
      <c r="R128" s="21">
        <f>tabCustoUnit[[#This Row],[MODULO 1 - REMUNERAÇÃO ]]*SUMIFS(tabParametros[SENAI OU SENAC],tabParametros[Código do Posto],tabCustoUnit[[#This Row],[Código do Posto]])</f>
        <v>11.275512999999998</v>
      </c>
      <c r="S128" s="21">
        <f>tabCustoUnit[[#This Row],[MODULO 1 - REMUNERAÇÃO ]]*SUMIFS(tabParametros[INCRA],tabParametros[Código do Posto],tabCustoUnit[[#This Row],[Código do Posto]])</f>
        <v>2.2551025999999998</v>
      </c>
      <c r="T128" s="21">
        <f>tabCustoUnit[[#This Row],[MODULO 1 - REMUNERAÇÃO ]]*SUMIFS(tabParametros[Salário Educação],tabParametros[Código do Posto],tabCustoUnit[[#This Row],[Código do Posto]])</f>
        <v>28.188782499999999</v>
      </c>
      <c r="U128" s="21">
        <f>tabCustoUnit[[#This Row],[MODULO 1 - REMUNERAÇÃO ]]*SUMIFS(tabParametros[FGTS],tabParametros[Código do Posto],tabCustoUnit[[#This Row],[Código do Posto]])</f>
        <v>90.204103999999987</v>
      </c>
      <c r="V128" s="21">
        <f>tabCustoUnit[[#This Row],[MODULO 1 - REMUNERAÇÃO ]]*SUMIFS(tabParametros[RAT Ajustado],tabParametros[Código do Posto],tabCustoUnit[[#This Row],[Código do Posto]])</f>
        <v>45.102051999999993</v>
      </c>
      <c r="W128" s="21">
        <f>tabCustoUnit[[#This Row],[MODULO 1 - REMUNERAÇÃO ]]*SUMIFS(tabParametros[SEBRAE],tabParametros[Código do Posto],tabCustoUnit[[#This Row],[Código do Posto]])</f>
        <v>6.7653077999999995</v>
      </c>
      <c r="X128" s="21">
        <f>SUM(tabCustoUnit[[#This Row],[INSS]:[SEBRAE]])</f>
        <v>426.21439139999995</v>
      </c>
      <c r="Y128" s="21">
        <f>tabCustoUnit[[#This Row],[MODULO 1 - REMUNERAÇÃO ]]*SUMIFS(tabParametros[13º salário (titular)],tabParametros[Código do Posto],tabCustoUnit[[#This Row],[Código do Posto]])</f>
        <v>93.962608333333321</v>
      </c>
      <c r="Z128" s="21">
        <f>tabCustoUnit[[#This Row],[MODULO 1 - REMUNERAÇÃO ]]*SUMIFS(tabParametros[Férias e Adicional de Férias (titular)],tabParametros[Código do Posto],tabCustoUnit[[#This Row],[Código do Posto]])</f>
        <v>125.28347777777776</v>
      </c>
      <c r="AA128" s="21">
        <f>IFERROR((tabCustoUnit[[#This Row],[Submódulo 2.1]]/tabCustoUnit[[#This Row],[MODULO 1 - REMUNERAÇÃO ]])*SUM(tabCustoUnit[[#This Row],[13º salário (titular)]:[Férias e Adicional de Férias (titular)]]),0)</f>
        <v>82.875020549999988</v>
      </c>
      <c r="AB128" s="21">
        <f>SUM(tabCustoUnit[[#This Row],[13º salário (titular)]:[Incidência do Submódulo 2.1 sobre 13º Salário, Férias e Adicional de Férias]])</f>
        <v>302.12110666111107</v>
      </c>
      <c r="AC128" s="22">
        <f>_xlfn.LET(_xlpm.VT,SUMIF(tabParametros[Código do Posto],tabCustoUnit[[#This Row],[Código do Posto]],tabParametros[Vale - Transporte])*2*20,
IF((_xlpm.VT-tabCustoUnit[[#This Row],[Salário Base]]*0.06)&gt;=0,(_xlpm.VT-tabCustoUnit[[#This Row],[Salário Base]]*0.06),0)
)</f>
        <v>190.69780000000003</v>
      </c>
      <c r="AD128" s="22">
        <f>IF(SUMIF(tabParametros[Código do Posto],tabCustoUnit[[#This Row],[Código do Posto]],tabParametros[Vale - Alimentação])&lt;=0,0,
SUMIF(tabParametros[Código do Posto],tabCustoUnit[[#This Row],[Código do Posto]],tabParametros[Vale - Alimentação])*20-1)</f>
        <v>0</v>
      </c>
      <c r="AE128" s="22">
        <f>SUMIF(tabParametros[Código do Posto],tabCustoUnit[[#This Row],[Código do Posto]],tabParametros[Cesta Básica])</f>
        <v>387.79</v>
      </c>
      <c r="AF128" s="22">
        <f>SUMIF(tabParametros[Código do Posto],tabCustoUnit[[#This Row],[Código do Posto]],tabParametros[PAF])</f>
        <v>42.97</v>
      </c>
      <c r="AG128" s="22">
        <f>SUMIF(tabParametros[Código do Posto],tabCustoUnit[[#This Row],[Código do Posto]],tabParametros[PQM])</f>
        <v>0</v>
      </c>
      <c r="AH128" s="22">
        <f>SUMIF(tabParametros[Código do Posto],tabCustoUnit[[#This Row],[Código do Posto]],tabParametros[PAT])</f>
        <v>0</v>
      </c>
      <c r="AI128" s="22">
        <f>SUMIF(tabParametros[Código do Posto],tabCustoUnit[[#This Row],[Código do Posto]],tabParametros[Seguro de Vida])</f>
        <v>3.36</v>
      </c>
      <c r="AJ128" s="22">
        <f>SUMIF(tabParametros[Código do Posto],tabCustoUnit[[#This Row],[Código do Posto]],tabParametros[Despesas de Viagem])</f>
        <v>0</v>
      </c>
      <c r="AK128" s="22">
        <f>SUM(tabCustoUnit[[#This Row],[Vale - Transporte (Descontada parcela do empregado)]:[Despesas de Viagem]])</f>
        <v>624.81780000000015</v>
      </c>
      <c r="AL128" s="22">
        <f>tabCustoUnit[[#This Row],[Submódulo 2.1]]+tabCustoUnit[[#This Row],[Submódulo 2.2]]+tabCustoUnit[[#This Row],[Submódulo 2.3]]</f>
        <v>1353.1532980611112</v>
      </c>
      <c r="AM128" s="22">
        <f>SUMIF(tabParametros[Código do Posto],tabCustoUnit[[#This Row],[Código do Posto]],tabParametros[Aviso Prévio Indenizado (API) e Reflexo do Aviso Prévio Indenizado])*tabCustoUnit[[#This Row],[MODULO 1 - REMUNERAÇÃO ]]</f>
        <v>7.9061269683063262</v>
      </c>
      <c r="AN128" s="22">
        <f>SUMIF(tabParametros[Código do Posto],tabCustoUnit[[#This Row],[Código do Posto]],tabParametros[Incidência do FGTS sobre API e Reflexo do API])*tabCustoUnit[[#This Row],[MODULO 1 - REMUNERAÇÃO ]]</f>
        <v>0.6324901574645061</v>
      </c>
      <c r="AO128" s="22">
        <f>SUMIF(tabParametros[Código do Posto],tabCustoUnit[[#This Row],[Código do Posto]],tabParametros[Multa Rescisória do FGTS sobre o Aviso Prévio Indenizado])*tabCustoUnit[[#This Row],[MODULO 1 - REMUNERAÇÃO ]]</f>
        <v>0.25299606298580246</v>
      </c>
      <c r="AP128" s="22">
        <f>SUMIF(tabParametros[Código do Posto],tabCustoUnit[[#This Row],[Código do Posto]],tabParametros[Aviso Prévio Trabalhado - APT])*tabCustoUnit[[#This Row],[MODULO 1 - REMUNERAÇÃO ]]</f>
        <v>3.94642955</v>
      </c>
      <c r="AQ128" s="22">
        <f>SUMIF(tabParametros[Código do Posto],tabCustoUnit[[#This Row],[Código do Posto]],tabParametros[Incidência dos encargos do submódulo 2.1 sobre Aviso Prévio Trabalhado])*tabCustoUnit[[#This Row],[MODULO 1 - REMUNERAÇÃO ]]</f>
        <v>1.4917503699000003</v>
      </c>
      <c r="AR128" s="22">
        <f>SUMIF(tabParametros[Código do Posto],tabCustoUnit[[#This Row],[Código do Posto]],tabParametros[Multa Rescisória do FGTS])*tabCustoUnit[[#This Row],[MODULO 1 - REMUNERAÇÃO ]]</f>
        <v>34.478013084444434</v>
      </c>
      <c r="AS128" s="22">
        <f>SUMIF(tabParametros[Código do Posto],tabCustoUnit[[#This Row],[Código do Posto]],tabParametros[Indenização Adicional (Art. 9º da Lei nº 7.238/84)])*tabCustoUnit[[#This Row],[MODULO 1 - REMUNERAÇÃO ]]</f>
        <v>0.93962608333333331</v>
      </c>
      <c r="AT128" s="22">
        <f>SUM(tabCustoUnit[[#This Row],[Aviso Prévio Indenizado (API) e Reflexo do Aviso Prévio Indenizado]:[Indenização Adicional (Art. 9º da Lei nº 7.238/84)]])</f>
        <v>49.647432276434401</v>
      </c>
      <c r="AU128" s="22">
        <f>SUMIF(tabParametros[Código do Posto],tabCustoUnit[[#This Row],[Código do Posto]],tabParametros[Ausência por Doença])*tabCustoUnit[[#This Row],[MODULO 1 - REMUNERAÇÃO ]]</f>
        <v>9.5215443111111089</v>
      </c>
      <c r="AV128" s="22">
        <f>SUMIF(tabParametros[Código do Posto],tabCustoUnit[[#This Row],[Código do Posto]],tabParametros[Ausências Legais])*tabCustoUnit[[#This Row],[MODULO 1 - REMUNERAÇÃO ]]</f>
        <v>2.2864234694444439</v>
      </c>
      <c r="AW128" s="22">
        <f>SUMIF(tabParametros[Código do Posto],tabCustoUnit[[#This Row],[Código do Posto]],tabParametros[Licença Paternidade])*tabCustoUnit[[#This Row],[MODULO 1 - REMUNERAÇÃO ]]</f>
        <v>0.19262334708333331</v>
      </c>
      <c r="AX128" s="22">
        <f>SUMIF(tabParametros[Código do Posto],tabCustoUnit[[#This Row],[Código do Posto]],tabParametros[Ausência por Acidente de Trabalho])*tabCustoUnit[[#This Row],[MODULO 1 - REMUNERAÇÃO ]]</f>
        <v>0.23490652083333333</v>
      </c>
      <c r="AY128" s="22">
        <f>SUMIF(tabParametros[Código do Posto],tabCustoUnit[[#This Row],[Código do Posto]],tabParametros[Férias, Adicional de Férias e 13º  com empregada em gozo de Licença Maternidade])*tabCustoUnit[[#This Row],[MODULO 1 - REMUNERAÇÃO ]]</f>
        <v>1.4616405740740739</v>
      </c>
      <c r="AZ128" s="22">
        <f>SUMIF(tabParametros[Código do Posto],tabCustoUnit[[#This Row],[Código do Posto]],tabParametros[Incidência do Submódulo 2.1 sobre Ausências Legais])*tabCustoUnit[[#This Row],[MODULO 1 - REMUNERAÇÃO ]]</f>
        <v>5.1775182481225004</v>
      </c>
      <c r="BA128" s="22">
        <f>SUM(tabCustoUnit[[#This Row],[Ausência por Doença]:[Incidência do Submódulo 2.1 sobre Ausências Legais]])</f>
        <v>18.874656470668793</v>
      </c>
      <c r="BB128" s="22">
        <f>SUMIF(tabParametros[Código do Posto],tabCustoUnit[[#This Row],[Código do Posto]],tabParametros[Intervalo para Repouso ou Alimentação])</f>
        <v>0</v>
      </c>
      <c r="BC128" s="22">
        <f>tabCustoUnit[[#This Row],[Intervalo para Repouso ou Alimentação]]</f>
        <v>0</v>
      </c>
      <c r="BD128" s="22">
        <f>IF(VLOOKUP(tabCustoUnit[[#This Row],[Código do Posto]],PARAMETROS!$A$4:$BJ$255,7,0)&lt;=0,0,
IFERROR((tabCustoUnit[[#This Row],[MODULO 1 - REMUNERAÇÃO ]]*VLOOKUP(tabCustoUnit[[#This Row],[Código do Posto]],PARAMETROS!$A$4:$BJ$255,49,0))/(VLOOKUP(tabCustoUnit[[#This Row],[Código do Posto]],PARAMETROS!$A$4:$BJ$255,7,0)*VLOOKUP(tabCustoUnit[[#This Row],[Código do Posto]],PARAMETROS!$A$4:$BJ$255,8,0)),0)
)</f>
        <v>0</v>
      </c>
      <c r="BE128" s="22">
        <f>tabCustoUnit[[#This Row],[Suspensão Temporária do Contrato de Trabalho]]</f>
        <v>0</v>
      </c>
      <c r="BF128" s="22">
        <f>tabCustoUnit[[#This Row],[Submódulo 4.1]]+tabCustoUnit[[#This Row],[Submódulo 4.2]]+tabCustoUnit[[#This Row],[Submódulo 4.3]]</f>
        <v>18.874656470668793</v>
      </c>
      <c r="BG128" s="22">
        <f>VLOOKUP(tabCustoUnit[[#This Row],[Código do Posto]],tabParametros[],MATCH(tabCustoUnit[[#Headers],[Uniformes e EPIs]],tabParametros[#Headers],0),0)</f>
        <v>100.80916666666666</v>
      </c>
      <c r="BH128" s="22">
        <f>VLOOKUP(tabCustoUnit[[#This Row],[Código do Posto]],tabParametros[],MATCH(tabCustoUnit[[#Headers],[Materiais de Consumo]],tabParametros[#Headers],0),0)</f>
        <v>24.216963380852651</v>
      </c>
      <c r="BI128" s="22">
        <f>VLOOKUP(tabCustoUnit[[#This Row],[Código do Posto]],tabParametros[],MATCH(tabCustoUnit[[#Headers],[Máquinas e Equipamentos (depreciação)]],tabParametros[#Headers],0),0)</f>
        <v>43.997314032835618</v>
      </c>
      <c r="BJ128" s="22">
        <f>VLOOKUP(tabCustoUnit[[#This Row],[Código do Posto]],tabParametros[],MATCH(tabCustoUnit[[#Headers],[Produtos de Limpeza e Materiais de Higiene Pessoal]],tabParametros[#Headers],0),0)</f>
        <v>470.6396814404431</v>
      </c>
      <c r="BK128" s="22">
        <f>VLOOKUP(tabCustoUnit[[#This Row],[Código do Posto]],tabParametros[],MATCH(tabCustoUnit[[#Headers],[Outros (especificar)]],tabParametros[#Headers],0),0)</f>
        <v>0</v>
      </c>
      <c r="BL128" s="22">
        <f>SUM(tabCustoUnit[[#This Row],[Uniformes e EPIs]:[Outros (especificar)]])</f>
        <v>639.66312552079808</v>
      </c>
      <c r="BM128" s="22">
        <f>tabCustoUnit[[#This Row],[MODULO 1 - REMUNERAÇÃO ]]+tabCustoUnit[[#This Row],[MÓDULO 2 - Total Encargos e Benefícios mensais e diários]]+tabCustoUnit[[#This Row],[MÓDULO 3 – PROVISÃO PARA RESCISÃO]]+tabCustoUnit[[#This Row],[MÓDULO 4 – CUSTO DE REPOSIÇÃO DO PROFISSIONAL AUSENTE]]+tabCustoUnit[[#This Row],[MÓDULO 5 – INSUMOS DIVERSOS]]</f>
        <v>3188.8898123290123</v>
      </c>
      <c r="BN128" s="22">
        <f>VLOOKUP(tabCustoUnit[[#This Row],[Código do Posto]],tabParametros[],MATCH(tabCustoUnit[[#Headers],[Custos Indiretos]],tabParametros[#Headers],0),0)</f>
        <v>189.64880140242613</v>
      </c>
      <c r="BO128" s="22">
        <f>VLOOKUP(tabCustoUnit[[#This Row],[Código do Posto]],tabParametros[],MATCH(tabCustoUnit[[#Headers],[Lucro]],tabParametros[#Headers],0),0)</f>
        <v>159.30499317803796</v>
      </c>
      <c r="BP128" s="26">
        <f>((100/((1-tabCustoUnit[[#This Row],[Resumo de Alíquotas (PIS+CONFINS+ISS)]]))-100)*VLOOKUP(tabCustoUnit[[#This Row],[Código do Posto]],tabParametros[],MATCH(tabCustoUnit[[#Headers],[COFINS]],tabParametros[#Headers],0),0))/(tabCustoUnit[[#This Row],[Resumo de Alíquotas (PIS+CONFINS+ISS)]]*100)</f>
        <v>8.7608069164265154E-2</v>
      </c>
      <c r="BQ128" s="26">
        <f>((100/((100-(tabCustoUnit[[#This Row],[Resumo de Alíquotas (PIS+CONFINS+ISS)]]*100))%)-100)*VLOOKUP(tabCustoUnit[[#This Row],[Código do Posto]],tabParametros[],MATCH(tabCustoUnit[[#Headers],[PIS]],tabParametros[#Headers],0),0))/(tabCustoUnit[[#This Row],[Resumo de Alíquotas (PIS+CONFINS+ISS)]]*100)</f>
        <v>1.9020172910662814E-2</v>
      </c>
      <c r="BR128" s="28">
        <f>VLOOKUP(tabCustoUnit[[#This Row],[Código do Posto]],tabParametros[],MATCH(tabCustoUnit[[#Headers],[ISS]],tabParametros[#Headers],0),0)</f>
        <v>0.04</v>
      </c>
      <c r="BS128" s="26">
        <f>(((100/((100-(tabCustoUnit[[#This Row],[Resumo de Alíquotas (PIS+CONFINS+ISS)]]*100))%)-100)*tabCustoUnit[[#This Row],[ISS]])/tabCustoUnit[[#This Row],[Resumo de Alíquotas (PIS+CONFINS+ISS)]])/100</f>
        <v>4.6109510086455294E-2</v>
      </c>
      <c r="BT128" s="26">
        <f>(VLOOKUP(tabCustoUnit[[#This Row],[Código do Posto]],tabParametros[],MATCH(tabCustoUnit[[#Headers],[COFINS]],tabParametros[#Headers],0),0)+
VLOOKUP(tabCustoUnit[[#This Row],[Código do Posto]],tabParametros[],MATCH(tabCustoUnit[[#Headers],[PIS]],tabParametros[#Headers],0),0)+
VLOOKUP(tabCustoUnit[[#This Row],[Código do Posto]],tabParametros[],MATCH(tabCustoUnit[[#Headers],[ISS]],tabParametros[#Headers],0),0))</f>
        <v>0.13250000000000001</v>
      </c>
      <c r="BU128" s="138">
        <f>tabCustoUnit[[#This Row],[COFINS]]+tabCustoUnit[[#This Row],[PIS]]+tabCustoUnit[[#This Row],[ISS (Conversão Alíquota s/ fatura)]]</f>
        <v>0.15273775216138324</v>
      </c>
      <c r="BV128" s="22">
        <f>(tabCustoUnit[[#This Row],[TOTAL MÓDULOS 1+2+3+4+5]]+tabCustoUnit[[#This Row],[Custos Indiretos]]+tabCustoUnit[[#This Row],[Lucro]])*tabCustoUnit[[#This Row],[PIS + COFINS + ISS (Total Conversão  Alíquota s/ Fatura)]]</f>
        <v>540.36228001787379</v>
      </c>
      <c r="BW128" s="22">
        <f>tabCustoUnit[[#This Row],[Custos Indiretos]]+tabCustoUnit[[#This Row],[Lucro]]+tabCustoUnit[[#This Row],[Valor dos Tributos (ISS, PIS, CONFINS)]]</f>
        <v>889.31607459833788</v>
      </c>
      <c r="BX128" s="22">
        <f>tabCustoUnit[[#This Row],[TOTAL MÓDULOS 1+2+3+4+5]]+tabCustoUnit[[#This Row],[MÓDULO 6 – CUSTOS INDIRETOS, TRIBUTOS E LUCRO]]</f>
        <v>4078.2058869273501</v>
      </c>
      <c r="BY128" s="22">
        <f>tabCustoUnit[[#This Row],[CUSTO TOTAL MENSAL]]*12</f>
        <v>48938.470643128203</v>
      </c>
      <c r="BZ128" s="24">
        <f>VLOOKUP(tabCustoUnit[[#This Row],[Código do Posto]],tabParametros[],MATCH(tabCustoUnit[[#Headers],[ANO DA CCT]],tabParametros[#Headers],0),0)</f>
        <v>45658</v>
      </c>
      <c r="CA128" s="25" t="str">
        <f>VLOOKUP(tabCustoUnit[[#This Row],[Código do Posto]],tabParametros[],MATCH(tabCustoUnit[[#Headers],[Nº DE PEDIDO DA CCT]],tabParametros[#Headers],0),0)</f>
        <v>-</v>
      </c>
      <c r="CB128" s="25" t="str">
        <f>VLOOKUP(tabCustoUnit[[#This Row],[Código do Posto]],tabParametros[],MATCH(tabCustoUnit[[#Headers],[TERMO ADITIVO ALTERAÇÃO DA CCT]],tabParametros[#Headers],0),0)</f>
        <v>-</v>
      </c>
    </row>
    <row r="129" spans="1:80" x14ac:dyDescent="0.25">
      <c r="A129" s="20" t="s">
        <v>1465</v>
      </c>
      <c r="B129" t="s">
        <v>117</v>
      </c>
      <c r="C129" t="s">
        <v>1244</v>
      </c>
      <c r="D129" t="s">
        <v>992</v>
      </c>
      <c r="E129" s="20" t="s">
        <v>9</v>
      </c>
      <c r="F129" s="20" t="s">
        <v>10</v>
      </c>
      <c r="G129" s="21">
        <v>798.14</v>
      </c>
      <c r="H129" s="21">
        <v>0</v>
      </c>
      <c r="I129" s="21">
        <v>0</v>
      </c>
      <c r="J129" s="21">
        <v>0</v>
      </c>
      <c r="K129" s="21">
        <v>0</v>
      </c>
      <c r="L129" s="21">
        <v>0</v>
      </c>
      <c r="M129" s="21">
        <v>0</v>
      </c>
      <c r="N129" s="21">
        <v>26.120899999999999</v>
      </c>
      <c r="O129" s="21">
        <f>SUM(tabCustoUnit[[#This Row],[Salário Base]:[Adicional de Acúmulo de função]])</f>
        <v>824.26089999999999</v>
      </c>
      <c r="P129" s="21">
        <f>tabCustoUnit[[#This Row],[MODULO 1 - REMUNERAÇÃO ]]*SUMIFS(tabParametros[INSS],tabParametros[Código do Posto],tabCustoUnit[[#This Row],[Código do Posto]])</f>
        <v>164.85218</v>
      </c>
      <c r="Q129" s="21">
        <f>tabCustoUnit[[#This Row],[MODULO 1 - REMUNERAÇÃO ]]*SUMIFS(tabParametros[SESI OU SESC],tabParametros[Código do Posto],tabCustoUnit[[#This Row],[Código do Posto]])</f>
        <v>12.363913499999999</v>
      </c>
      <c r="R129" s="21">
        <f>tabCustoUnit[[#This Row],[MODULO 1 - REMUNERAÇÃO ]]*SUMIFS(tabParametros[SENAI OU SENAC],tabParametros[Código do Posto],tabCustoUnit[[#This Row],[Código do Posto]])</f>
        <v>8.2426089999999999</v>
      </c>
      <c r="S129" s="21">
        <f>tabCustoUnit[[#This Row],[MODULO 1 - REMUNERAÇÃO ]]*SUMIFS(tabParametros[INCRA],tabParametros[Código do Posto],tabCustoUnit[[#This Row],[Código do Posto]])</f>
        <v>1.6485217999999999</v>
      </c>
      <c r="T129" s="21">
        <f>tabCustoUnit[[#This Row],[MODULO 1 - REMUNERAÇÃO ]]*SUMIFS(tabParametros[Salário Educação],tabParametros[Código do Posto],tabCustoUnit[[#This Row],[Código do Posto]])</f>
        <v>20.606522500000001</v>
      </c>
      <c r="U129" s="21">
        <f>tabCustoUnit[[#This Row],[MODULO 1 - REMUNERAÇÃO ]]*SUMIFS(tabParametros[FGTS],tabParametros[Código do Posto],tabCustoUnit[[#This Row],[Código do Posto]])</f>
        <v>65.940871999999999</v>
      </c>
      <c r="V129" s="21">
        <f>tabCustoUnit[[#This Row],[MODULO 1 - REMUNERAÇÃO ]]*SUMIFS(tabParametros[RAT Ajustado],tabParametros[Código do Posto],tabCustoUnit[[#This Row],[Código do Posto]])</f>
        <v>32.970435999999999</v>
      </c>
      <c r="W129" s="21">
        <f>tabCustoUnit[[#This Row],[MODULO 1 - REMUNERAÇÃO ]]*SUMIFS(tabParametros[SEBRAE],tabParametros[Código do Posto],tabCustoUnit[[#This Row],[Código do Posto]])</f>
        <v>4.9455654000000004</v>
      </c>
      <c r="X129" s="21">
        <f>SUM(tabCustoUnit[[#This Row],[INSS]:[SEBRAE]])</f>
        <v>311.57062020000001</v>
      </c>
      <c r="Y129" s="21">
        <f>tabCustoUnit[[#This Row],[MODULO 1 - REMUNERAÇÃO ]]*SUMIFS(tabParametros[13º salário (titular)],tabParametros[Código do Posto],tabCustoUnit[[#This Row],[Código do Posto]])</f>
        <v>68.688408333333328</v>
      </c>
      <c r="Z129" s="21">
        <f>tabCustoUnit[[#This Row],[MODULO 1 - REMUNERAÇÃO ]]*SUMIFS(tabParametros[Férias e Adicional de Férias (titular)],tabParametros[Código do Posto],tabCustoUnit[[#This Row],[Código do Posto]])</f>
        <v>91.584544444444433</v>
      </c>
      <c r="AA129" s="21">
        <f>IFERROR((tabCustoUnit[[#This Row],[Submódulo 2.1]]/tabCustoUnit[[#This Row],[MODULO 1 - REMUNERAÇÃO ]])*SUM(tabCustoUnit[[#This Row],[13º salário (titular)]:[Férias e Adicional de Férias (titular)]]),0)</f>
        <v>60.583176149999993</v>
      </c>
      <c r="AB129" s="21">
        <f>SUM(tabCustoUnit[[#This Row],[13º salário (titular)]:[Incidência do Submódulo 2.1 sobre 13º Salário, Férias e Adicional de Férias]])</f>
        <v>220.85612892777775</v>
      </c>
      <c r="AC129" s="22">
        <f>_xlfn.LET(_xlpm.VT,SUMIF(tabParametros[Código do Posto],tabCustoUnit[[#This Row],[Código do Posto]],tabParametros[Vale - Transporte])*2*20,
IF((_xlpm.VT-tabCustoUnit[[#This Row],[Salário Base]]*0.06)&gt;=0,(_xlpm.VT-tabCustoUnit[[#This Row],[Salário Base]]*0.06),0)
)</f>
        <v>208.11160000000001</v>
      </c>
      <c r="AD129" s="22">
        <f>IF(SUMIF(tabParametros[Código do Posto],tabCustoUnit[[#This Row],[Código do Posto]],tabParametros[Vale - Alimentação])&lt;=0,0,
SUMIF(tabParametros[Código do Posto],tabCustoUnit[[#This Row],[Código do Posto]],tabParametros[Vale - Alimentação])*20-1)</f>
        <v>0</v>
      </c>
      <c r="AE129" s="22">
        <f>SUMIF(tabParametros[Código do Posto],tabCustoUnit[[#This Row],[Código do Posto]],tabParametros[Cesta Básica])</f>
        <v>387.79</v>
      </c>
      <c r="AF129" s="22">
        <f>SUMIF(tabParametros[Código do Posto],tabCustoUnit[[#This Row],[Código do Posto]],tabParametros[PAF])</f>
        <v>42.97</v>
      </c>
      <c r="AG129" s="22">
        <f>SUMIF(tabParametros[Código do Posto],tabCustoUnit[[#This Row],[Código do Posto]],tabParametros[PQM])</f>
        <v>0</v>
      </c>
      <c r="AH129" s="22">
        <f>SUMIF(tabParametros[Código do Posto],tabCustoUnit[[#This Row],[Código do Posto]],tabParametros[PAT])</f>
        <v>0</v>
      </c>
      <c r="AI129" s="22">
        <f>SUMIF(tabParametros[Código do Posto],tabCustoUnit[[#This Row],[Código do Posto]],tabParametros[Seguro de Vida])</f>
        <v>3.36</v>
      </c>
      <c r="AJ129" s="22">
        <f>SUMIF(tabParametros[Código do Posto],tabCustoUnit[[#This Row],[Código do Posto]],tabParametros[Despesas de Viagem])</f>
        <v>0</v>
      </c>
      <c r="AK129" s="22">
        <f>SUM(tabCustoUnit[[#This Row],[Vale - Transporte (Descontada parcela do empregado)]:[Despesas de Viagem]])</f>
        <v>642.23160000000007</v>
      </c>
      <c r="AL129" s="22">
        <f>tabCustoUnit[[#This Row],[Submódulo 2.1]]+tabCustoUnit[[#This Row],[Submódulo 2.2]]+tabCustoUnit[[#This Row],[Submódulo 2.3]]</f>
        <v>1174.6583491277779</v>
      </c>
      <c r="AM129" s="22">
        <f>SUMIF(tabParametros[Código do Posto],tabCustoUnit[[#This Row],[Código do Posto]],tabParametros[Aviso Prévio Indenizado (API) e Reflexo do Aviso Prévio Indenizado])*tabCustoUnit[[#This Row],[MODULO 1 - REMUNERAÇÃO ]]</f>
        <v>5.7795253576581791</v>
      </c>
      <c r="AN129" s="22">
        <f>SUMIF(tabParametros[Código do Posto],tabCustoUnit[[#This Row],[Código do Posto]],tabParametros[Incidência do FGTS sobre API e Reflexo do API])*tabCustoUnit[[#This Row],[MODULO 1 - REMUNERAÇÃO ]]</f>
        <v>0.46236202861265435</v>
      </c>
      <c r="AO129" s="22">
        <f>SUMIF(tabParametros[Código do Posto],tabCustoUnit[[#This Row],[Código do Posto]],tabParametros[Multa Rescisória do FGTS sobre o Aviso Prévio Indenizado])*tabCustoUnit[[#This Row],[MODULO 1 - REMUNERAÇÃO ]]</f>
        <v>0.18494481144506175</v>
      </c>
      <c r="AP129" s="22">
        <f>SUMIF(tabParametros[Código do Posto],tabCustoUnit[[#This Row],[Código do Posto]],tabParametros[Aviso Prévio Trabalhado - APT])*tabCustoUnit[[#This Row],[MODULO 1 - REMUNERAÇÃO ]]</f>
        <v>2.8849131500000005</v>
      </c>
      <c r="AQ129" s="22">
        <f>SUMIF(tabParametros[Código do Posto],tabCustoUnit[[#This Row],[Código do Posto]],tabParametros[Incidência dos encargos do submódulo 2.1 sobre Aviso Prévio Trabalhado])*tabCustoUnit[[#This Row],[MODULO 1 - REMUNERAÇÃO ]]</f>
        <v>1.0904971707000004</v>
      </c>
      <c r="AR129" s="22">
        <f>SUMIF(tabParametros[Código do Posto],tabCustoUnit[[#This Row],[Código do Posto]],tabParametros[Multa Rescisória do FGTS])*tabCustoUnit[[#This Row],[MODULO 1 - REMUNERAÇÃO ]]</f>
        <v>25.204066631111107</v>
      </c>
      <c r="AS129" s="22">
        <f>SUMIF(tabParametros[Código do Posto],tabCustoUnit[[#This Row],[Código do Posto]],tabParametros[Indenização Adicional (Art. 9º da Lei nº 7.238/84)])*tabCustoUnit[[#This Row],[MODULO 1 - REMUNERAÇÃO ]]</f>
        <v>0.6868840833333334</v>
      </c>
      <c r="AT129" s="22">
        <f>SUM(tabCustoUnit[[#This Row],[Aviso Prévio Indenizado (API) e Reflexo do Aviso Prévio Indenizado]:[Indenização Adicional (Art. 9º da Lei nº 7.238/84)]])</f>
        <v>36.293193232860339</v>
      </c>
      <c r="AU129" s="22">
        <f>SUMIF(tabParametros[Código do Posto],tabCustoUnit[[#This Row],[Código do Posto]],tabParametros[Ausência por Doença])*tabCustoUnit[[#This Row],[MODULO 1 - REMUNERAÇÃO ]]</f>
        <v>6.9604253777777769</v>
      </c>
      <c r="AV129" s="22">
        <f>SUMIF(tabParametros[Código do Posto],tabCustoUnit[[#This Row],[Código do Posto]],tabParametros[Ausências Legais])*tabCustoUnit[[#This Row],[MODULO 1 - REMUNERAÇÃO ]]</f>
        <v>1.671417936111111</v>
      </c>
      <c r="AW129" s="22">
        <f>SUMIF(tabParametros[Código do Posto],tabCustoUnit[[#This Row],[Código do Posto]],tabParametros[Licença Paternidade])*tabCustoUnit[[#This Row],[MODULO 1 - REMUNERAÇÃO ]]</f>
        <v>0.14081123708333332</v>
      </c>
      <c r="AX129" s="22">
        <f>SUMIF(tabParametros[Código do Posto],tabCustoUnit[[#This Row],[Código do Posto]],tabParametros[Ausência por Acidente de Trabalho])*tabCustoUnit[[#This Row],[MODULO 1 - REMUNERAÇÃO ]]</f>
        <v>0.17172102083333335</v>
      </c>
      <c r="AY129" s="22">
        <f>SUMIF(tabParametros[Código do Posto],tabCustoUnit[[#This Row],[Código do Posto]],tabParametros[Férias, Adicional de Férias e 13º  com empregada em gozo de Licença Maternidade])*tabCustoUnit[[#This Row],[MODULO 1 - REMUNERAÇÃO ]]</f>
        <v>1.0684863518518517</v>
      </c>
      <c r="AZ129" s="22">
        <f>SUMIF(tabParametros[Código do Posto],tabCustoUnit[[#This Row],[Código do Posto]],tabParametros[Incidência do Submódulo 2.1 sobre Ausências Legais])*tabCustoUnit[[#This Row],[MODULO 1 - REMUNERAÇÃO ]]</f>
        <v>3.7848618071425006</v>
      </c>
      <c r="BA129" s="22">
        <f>SUM(tabCustoUnit[[#This Row],[Ausência por Doença]:[Incidência do Submódulo 2.1 sobre Ausências Legais]])</f>
        <v>13.797723730799909</v>
      </c>
      <c r="BB129" s="22">
        <f>SUMIF(tabParametros[Código do Posto],tabCustoUnit[[#This Row],[Código do Posto]],tabParametros[Intervalo para Repouso ou Alimentação])</f>
        <v>0</v>
      </c>
      <c r="BC129" s="22">
        <f>tabCustoUnit[[#This Row],[Intervalo para Repouso ou Alimentação]]</f>
        <v>0</v>
      </c>
      <c r="BD129" s="22">
        <f>IF(VLOOKUP(tabCustoUnit[[#This Row],[Código do Posto]],PARAMETROS!$A$4:$BJ$255,7,0)&lt;=0,0,
IFERROR((tabCustoUnit[[#This Row],[MODULO 1 - REMUNERAÇÃO ]]*VLOOKUP(tabCustoUnit[[#This Row],[Código do Posto]],PARAMETROS!$A$4:$BJ$255,49,0))/(VLOOKUP(tabCustoUnit[[#This Row],[Código do Posto]],PARAMETROS!$A$4:$BJ$255,7,0)*VLOOKUP(tabCustoUnit[[#This Row],[Código do Posto]],PARAMETROS!$A$4:$BJ$255,8,0)),0)
)</f>
        <v>0</v>
      </c>
      <c r="BE129" s="22">
        <f>tabCustoUnit[[#This Row],[Suspensão Temporária do Contrato de Trabalho]]</f>
        <v>0</v>
      </c>
      <c r="BF129" s="22">
        <f>tabCustoUnit[[#This Row],[Submódulo 4.1]]+tabCustoUnit[[#This Row],[Submódulo 4.2]]+tabCustoUnit[[#This Row],[Submódulo 4.3]]</f>
        <v>13.797723730799909</v>
      </c>
      <c r="BG129" s="22">
        <f>VLOOKUP(tabCustoUnit[[#This Row],[Código do Posto]],tabParametros[],MATCH(tabCustoUnit[[#Headers],[Uniformes e EPIs]],tabParametros[#Headers],0),0)</f>
        <v>62.806666666666665</v>
      </c>
      <c r="BH129" s="22">
        <f>VLOOKUP(tabCustoUnit[[#This Row],[Código do Posto]],tabParametros[],MATCH(tabCustoUnit[[#Headers],[Materiais de Consumo]],tabParametros[#Headers],0),0)</f>
        <v>17.759106479291944</v>
      </c>
      <c r="BI129" s="22">
        <f>VLOOKUP(tabCustoUnit[[#This Row],[Código do Posto]],tabParametros[],MATCH(tabCustoUnit[[#Headers],[Máquinas e Equipamentos (depreciação)]],tabParametros[#Headers],0),0)</f>
        <v>32.264696957412788</v>
      </c>
      <c r="BJ129" s="22">
        <f>VLOOKUP(tabCustoUnit[[#This Row],[Código do Posto]],tabParametros[],MATCH(tabCustoUnit[[#Headers],[Produtos de Limpeza e Materiais de Higiene Pessoal]],tabParametros[#Headers],0),0)</f>
        <v>345.13576638965827</v>
      </c>
      <c r="BK129" s="22">
        <f>VLOOKUP(tabCustoUnit[[#This Row],[Código do Posto]],tabParametros[],MATCH(tabCustoUnit[[#Headers],[Outros (especificar)]],tabParametros[#Headers],0),0)</f>
        <v>0</v>
      </c>
      <c r="BL129" s="22">
        <f>SUM(tabCustoUnit[[#This Row],[Uniformes e EPIs]:[Outros (especificar)]])</f>
        <v>457.96623649302967</v>
      </c>
      <c r="BM129" s="22">
        <f>tabCustoUnit[[#This Row],[MODULO 1 - REMUNERAÇÃO ]]+tabCustoUnit[[#This Row],[MÓDULO 2 - Total Encargos e Benefícios mensais e diários]]+tabCustoUnit[[#This Row],[MÓDULO 3 – PROVISÃO PARA RESCISÃO]]+tabCustoUnit[[#This Row],[MÓDULO 4 – CUSTO DE REPOSIÇÃO DO PROFISSIONAL AUSENTE]]+tabCustoUnit[[#This Row],[MÓDULO 5 – INSUMOS DIVERSOS]]</f>
        <v>2506.9764025844679</v>
      </c>
      <c r="BN129" s="22">
        <f>VLOOKUP(tabCustoUnit[[#This Row],[Código do Posto]],tabParametros[],MATCH(tabCustoUnit[[#Headers],[Custos Indiretos]],tabParametros[#Headers],0),0)</f>
        <v>189.64880140242613</v>
      </c>
      <c r="BO129" s="22">
        <f>VLOOKUP(tabCustoUnit[[#This Row],[Código do Posto]],tabParametros[],MATCH(tabCustoUnit[[#Headers],[Lucro]],tabParametros[#Headers],0),0)</f>
        <v>159.30499317803796</v>
      </c>
      <c r="BP129" s="26">
        <f>((100/((1-tabCustoUnit[[#This Row],[Resumo de Alíquotas (PIS+CONFINS+ISS)]]))-100)*VLOOKUP(tabCustoUnit[[#This Row],[Código do Posto]],tabParametros[],MATCH(tabCustoUnit[[#Headers],[COFINS]],tabParametros[#Headers],0),0))/(tabCustoUnit[[#This Row],[Resumo de Alíquotas (PIS+CONFINS+ISS)]]*100)</f>
        <v>8.6609686609686695E-2</v>
      </c>
      <c r="BQ129" s="26">
        <f>((100/((100-(tabCustoUnit[[#This Row],[Resumo de Alíquotas (PIS+CONFINS+ISS)]]*100))%)-100)*VLOOKUP(tabCustoUnit[[#This Row],[Código do Posto]],tabParametros[],MATCH(tabCustoUnit[[#Headers],[PIS]],tabParametros[#Headers],0),0))/(tabCustoUnit[[#This Row],[Resumo de Alíquotas (PIS+CONFINS+ISS)]]*100)</f>
        <v>1.880341880341882E-2</v>
      </c>
      <c r="BR129" s="28">
        <f>VLOOKUP(tabCustoUnit[[#This Row],[Código do Posto]],tabParametros[],MATCH(tabCustoUnit[[#Headers],[ISS]],tabParametros[#Headers],0),0)</f>
        <v>0.03</v>
      </c>
      <c r="BS129" s="26">
        <f>(((100/((100-(tabCustoUnit[[#This Row],[Resumo de Alíquotas (PIS+CONFINS+ISS)]]*100))%)-100)*tabCustoUnit[[#This Row],[ISS]])/tabCustoUnit[[#This Row],[Resumo de Alíquotas (PIS+CONFINS+ISS)]])/100</f>
        <v>3.4188034188034219E-2</v>
      </c>
      <c r="BT129" s="26">
        <f>(VLOOKUP(tabCustoUnit[[#This Row],[Código do Posto]],tabParametros[],MATCH(tabCustoUnit[[#Headers],[COFINS]],tabParametros[#Headers],0),0)+
VLOOKUP(tabCustoUnit[[#This Row],[Código do Posto]],tabParametros[],MATCH(tabCustoUnit[[#Headers],[PIS]],tabParametros[#Headers],0),0)+
VLOOKUP(tabCustoUnit[[#This Row],[Código do Posto]],tabParametros[],MATCH(tabCustoUnit[[#Headers],[ISS]],tabParametros[#Headers],0),0))</f>
        <v>0.1225</v>
      </c>
      <c r="BU129" s="138">
        <f>tabCustoUnit[[#This Row],[COFINS]]+tabCustoUnit[[#This Row],[PIS]]+tabCustoUnit[[#This Row],[ISS (Conversão Alíquota s/ fatura)]]</f>
        <v>0.13960113960113973</v>
      </c>
      <c r="BV129" s="22">
        <f>(tabCustoUnit[[#This Row],[TOTAL MÓDULOS 1+2+3+4+5]]+tabCustoUnit[[#This Row],[Custos Indiretos]]+tabCustoUnit[[#This Row],[Lucro]])*tabCustoUnit[[#This Row],[PIS + COFINS + ISS (Total Conversão  Alíquota s/ Fatura)]]</f>
        <v>398.69111014553221</v>
      </c>
      <c r="BW129" s="22">
        <f>tabCustoUnit[[#This Row],[Custos Indiretos]]+tabCustoUnit[[#This Row],[Lucro]]+tabCustoUnit[[#This Row],[Valor dos Tributos (ISS, PIS, CONFINS)]]</f>
        <v>747.6449047259963</v>
      </c>
      <c r="BX129" s="22">
        <f>tabCustoUnit[[#This Row],[TOTAL MÓDULOS 1+2+3+4+5]]+tabCustoUnit[[#This Row],[MÓDULO 6 – CUSTOS INDIRETOS, TRIBUTOS E LUCRO]]</f>
        <v>3254.6213073104641</v>
      </c>
      <c r="BY129" s="22">
        <f>tabCustoUnit[[#This Row],[CUSTO TOTAL MENSAL]]*12</f>
        <v>39055.455687725567</v>
      </c>
      <c r="BZ129" s="24">
        <f>VLOOKUP(tabCustoUnit[[#This Row],[Código do Posto]],tabParametros[],MATCH(tabCustoUnit[[#Headers],[ANO DA CCT]],tabParametros[#Headers],0),0)</f>
        <v>45658</v>
      </c>
      <c r="CA129" s="25" t="str">
        <f>VLOOKUP(tabCustoUnit[[#This Row],[Código do Posto]],tabParametros[],MATCH(tabCustoUnit[[#Headers],[Nº DE PEDIDO DA CCT]],tabParametros[#Headers],0),0)</f>
        <v>-</v>
      </c>
      <c r="CB129" s="25" t="str">
        <f>VLOOKUP(tabCustoUnit[[#This Row],[Código do Posto]],tabParametros[],MATCH(tabCustoUnit[[#Headers],[TERMO ADITIVO ALTERAÇÃO DA CCT]],tabParametros[#Headers],0),0)</f>
        <v>-</v>
      </c>
    </row>
    <row r="130" spans="1:80" x14ac:dyDescent="0.25">
      <c r="A130" s="20" t="s">
        <v>1466</v>
      </c>
      <c r="B130" t="s">
        <v>118</v>
      </c>
      <c r="C130" t="s">
        <v>1247</v>
      </c>
      <c r="D130" t="s">
        <v>1000</v>
      </c>
      <c r="E130" s="20" t="s">
        <v>9</v>
      </c>
      <c r="F130" s="20" t="s">
        <v>10</v>
      </c>
      <c r="G130" s="21">
        <v>544.17999999999995</v>
      </c>
      <c r="H130" s="21">
        <v>0</v>
      </c>
      <c r="I130" s="21">
        <v>0</v>
      </c>
      <c r="J130" s="21">
        <v>0</v>
      </c>
      <c r="K130" s="21">
        <v>0</v>
      </c>
      <c r="L130" s="21">
        <v>0</v>
      </c>
      <c r="M130" s="21">
        <v>0</v>
      </c>
      <c r="N130" s="21">
        <v>19.590499999999999</v>
      </c>
      <c r="O130" s="21">
        <f>SUM(tabCustoUnit[[#This Row],[Salário Base]:[Adicional de Acúmulo de função]])</f>
        <v>563.77049999999997</v>
      </c>
      <c r="P130" s="21">
        <f>tabCustoUnit[[#This Row],[MODULO 1 - REMUNERAÇÃO ]]*SUMIFS(tabParametros[INSS],tabParametros[Código do Posto],tabCustoUnit[[#This Row],[Código do Posto]])</f>
        <v>112.75409999999999</v>
      </c>
      <c r="Q130" s="21">
        <f>tabCustoUnit[[#This Row],[MODULO 1 - REMUNERAÇÃO ]]*SUMIFS(tabParametros[SESI OU SESC],tabParametros[Código do Posto],tabCustoUnit[[#This Row],[Código do Posto]])</f>
        <v>8.4565574999999988</v>
      </c>
      <c r="R130" s="21">
        <f>tabCustoUnit[[#This Row],[MODULO 1 - REMUNERAÇÃO ]]*SUMIFS(tabParametros[SENAI OU SENAC],tabParametros[Código do Posto],tabCustoUnit[[#This Row],[Código do Posto]])</f>
        <v>5.6377049999999995</v>
      </c>
      <c r="S130" s="21">
        <f>tabCustoUnit[[#This Row],[MODULO 1 - REMUNERAÇÃO ]]*SUMIFS(tabParametros[INCRA],tabParametros[Código do Posto],tabCustoUnit[[#This Row],[Código do Posto]])</f>
        <v>1.1275409999999999</v>
      </c>
      <c r="T130" s="21">
        <f>tabCustoUnit[[#This Row],[MODULO 1 - REMUNERAÇÃO ]]*SUMIFS(tabParametros[Salário Educação],tabParametros[Código do Posto],tabCustoUnit[[#This Row],[Código do Posto]])</f>
        <v>14.094262499999999</v>
      </c>
      <c r="U130" s="21">
        <f>tabCustoUnit[[#This Row],[MODULO 1 - REMUNERAÇÃO ]]*SUMIFS(tabParametros[FGTS],tabParametros[Código do Posto],tabCustoUnit[[#This Row],[Código do Posto]])</f>
        <v>45.101639999999996</v>
      </c>
      <c r="V130" s="21">
        <f>tabCustoUnit[[#This Row],[MODULO 1 - REMUNERAÇÃO ]]*SUMIFS(tabParametros[RAT Ajustado],tabParametros[Código do Posto],tabCustoUnit[[#This Row],[Código do Posto]])</f>
        <v>22.550819999999998</v>
      </c>
      <c r="W130" s="21">
        <f>tabCustoUnit[[#This Row],[MODULO 1 - REMUNERAÇÃO ]]*SUMIFS(tabParametros[SEBRAE],tabParametros[Código do Posto],tabCustoUnit[[#This Row],[Código do Posto]])</f>
        <v>3.3826229999999997</v>
      </c>
      <c r="X130" s="21">
        <f>SUM(tabCustoUnit[[#This Row],[INSS]:[SEBRAE]])</f>
        <v>213.10524899999996</v>
      </c>
      <c r="Y130" s="21">
        <f>tabCustoUnit[[#This Row],[MODULO 1 - REMUNERAÇÃO ]]*SUMIFS(tabParametros[13º salário (titular)],tabParametros[Código do Posto],tabCustoUnit[[#This Row],[Código do Posto]])</f>
        <v>46.980874999999997</v>
      </c>
      <c r="Z130" s="21">
        <f>tabCustoUnit[[#This Row],[MODULO 1 - REMUNERAÇÃO ]]*SUMIFS(tabParametros[Férias e Adicional de Férias (titular)],tabParametros[Código do Posto],tabCustoUnit[[#This Row],[Código do Posto]])</f>
        <v>62.641166666666663</v>
      </c>
      <c r="AA130" s="21">
        <f>IFERROR((tabCustoUnit[[#This Row],[Submódulo 2.1]]/tabCustoUnit[[#This Row],[MODULO 1 - REMUNERAÇÃO ]])*SUM(tabCustoUnit[[#This Row],[13º salário (titular)]:[Férias e Adicional de Férias (titular)]]),0)</f>
        <v>41.437131749999992</v>
      </c>
      <c r="AB130" s="21">
        <f>SUM(tabCustoUnit[[#This Row],[13º salário (titular)]:[Incidência do Submódulo 2.1 sobre 13º Salário, Férias e Adicional de Férias]])</f>
        <v>151.05917341666665</v>
      </c>
      <c r="AC130" s="22">
        <f>_xlfn.LET(_xlpm.VT,SUMIF(tabParametros[Código do Posto],tabCustoUnit[[#This Row],[Código do Posto]],tabParametros[Vale - Transporte])*2*20,
IF((_xlpm.VT-tabCustoUnit[[#This Row],[Salário Base]]*0.06)&gt;=0,(_xlpm.VT-tabCustoUnit[[#This Row],[Salário Base]]*0.06),0)
)</f>
        <v>223.3492</v>
      </c>
      <c r="AD130" s="22">
        <f>IF(SUMIF(tabParametros[Código do Posto],tabCustoUnit[[#This Row],[Código do Posto]],tabParametros[Vale - Alimentação])&lt;=0,0,
SUMIF(tabParametros[Código do Posto],tabCustoUnit[[#This Row],[Código do Posto]],tabParametros[Vale - Alimentação])*20-1)</f>
        <v>582</v>
      </c>
      <c r="AE130" s="22">
        <f>SUMIF(tabParametros[Código do Posto],tabCustoUnit[[#This Row],[Código do Posto]],tabParametros[Cesta Básica])</f>
        <v>0</v>
      </c>
      <c r="AF130" s="22">
        <f>SUMIF(tabParametros[Código do Posto],tabCustoUnit[[#This Row],[Código do Posto]],tabParametros[PAF])</f>
        <v>0</v>
      </c>
      <c r="AG130" s="22">
        <f>SUMIF(tabParametros[Código do Posto],tabCustoUnit[[#This Row],[Código do Posto]],tabParametros[PQM])</f>
        <v>15.07</v>
      </c>
      <c r="AH130" s="22">
        <f>SUMIF(tabParametros[Código do Posto],tabCustoUnit[[#This Row],[Código do Posto]],tabParametros[PAT])</f>
        <v>0</v>
      </c>
      <c r="AI130" s="22">
        <f>SUMIF(tabParametros[Código do Posto],tabCustoUnit[[#This Row],[Código do Posto]],tabParametros[Seguro de Vida])</f>
        <v>3.36</v>
      </c>
      <c r="AJ130" s="22">
        <f>SUMIF(tabParametros[Código do Posto],tabCustoUnit[[#This Row],[Código do Posto]],tabParametros[Despesas de Viagem])</f>
        <v>0</v>
      </c>
      <c r="AK130" s="22">
        <f>SUM(tabCustoUnit[[#This Row],[Vale - Transporte (Descontada parcela do empregado)]:[Despesas de Viagem]])</f>
        <v>823.77920000000006</v>
      </c>
      <c r="AL130" s="22">
        <f>tabCustoUnit[[#This Row],[Submódulo 2.1]]+tabCustoUnit[[#This Row],[Submódulo 2.2]]+tabCustoUnit[[#This Row],[Submódulo 2.3]]</f>
        <v>1187.9436224166666</v>
      </c>
      <c r="AM130" s="22">
        <f>SUMIF(tabParametros[Código do Posto],tabCustoUnit[[#This Row],[Código do Posto]],tabParametros[Aviso Prévio Indenizado (API) e Reflexo do Aviso Prévio Indenizado])*tabCustoUnit[[#This Row],[MODULO 1 - REMUNERAÇÃO ]]</f>
        <v>3.9530273735532404</v>
      </c>
      <c r="AN130" s="22">
        <f>SUMIF(tabParametros[Código do Posto],tabCustoUnit[[#This Row],[Código do Posto]],tabParametros[Incidência do FGTS sobre API e Reflexo do API])*tabCustoUnit[[#This Row],[MODULO 1 - REMUNERAÇÃO ]]</f>
        <v>0.31624218988425928</v>
      </c>
      <c r="AO130" s="22">
        <f>SUMIF(tabParametros[Código do Posto],tabCustoUnit[[#This Row],[Código do Posto]],tabParametros[Multa Rescisória do FGTS sobre o Aviso Prévio Indenizado])*tabCustoUnit[[#This Row],[MODULO 1 - REMUNERAÇÃO ]]</f>
        <v>0.12649687595370371</v>
      </c>
      <c r="AP130" s="22">
        <f>SUMIF(tabParametros[Código do Posto],tabCustoUnit[[#This Row],[Código do Posto]],tabParametros[Aviso Prévio Trabalhado - APT])*tabCustoUnit[[#This Row],[MODULO 1 - REMUNERAÇÃO ]]</f>
        <v>1.9731967500000003</v>
      </c>
      <c r="AQ130" s="22">
        <f>SUMIF(tabParametros[Código do Posto],tabCustoUnit[[#This Row],[Código do Posto]],tabParametros[Incidência dos encargos do submódulo 2.1 sobre Aviso Prévio Trabalhado])*tabCustoUnit[[#This Row],[MODULO 1 - REMUNERAÇÃO ]]</f>
        <v>0.74586837150000018</v>
      </c>
      <c r="AR130" s="22">
        <f>SUMIF(tabParametros[Código do Posto],tabCustoUnit[[#This Row],[Código do Posto]],tabParametros[Multa Rescisória do FGTS])*tabCustoUnit[[#This Row],[MODULO 1 - REMUNERAÇÃO ]]</f>
        <v>17.238849066666663</v>
      </c>
      <c r="AS130" s="22">
        <f>SUMIF(tabParametros[Código do Posto],tabCustoUnit[[#This Row],[Código do Posto]],tabParametros[Indenização Adicional (Art. 9º da Lei nº 7.238/84)])*tabCustoUnit[[#This Row],[MODULO 1 - REMUNERAÇÃO ]]</f>
        <v>0.46980875</v>
      </c>
      <c r="AT130" s="22">
        <f>SUM(tabCustoUnit[[#This Row],[Aviso Prévio Indenizado (API) e Reflexo do Aviso Prévio Indenizado]:[Indenização Adicional (Art. 9º da Lei nº 7.238/84)]])</f>
        <v>24.823489377557866</v>
      </c>
      <c r="AU130" s="22">
        <f>SUMIF(tabParametros[Código do Posto],tabCustoUnit[[#This Row],[Código do Posto]],tabParametros[Ausência por Doença])*tabCustoUnit[[#This Row],[MODULO 1 - REMUNERAÇÃO ]]</f>
        <v>4.7607286666666662</v>
      </c>
      <c r="AV130" s="22">
        <f>SUMIF(tabParametros[Código do Posto],tabCustoUnit[[#This Row],[Código do Posto]],tabParametros[Ausências Legais])*tabCustoUnit[[#This Row],[MODULO 1 - REMUNERAÇÃO ]]</f>
        <v>1.1432012916666665</v>
      </c>
      <c r="AW130" s="22">
        <f>SUMIF(tabParametros[Código do Posto],tabCustoUnit[[#This Row],[Código do Posto]],tabParametros[Licença Paternidade])*tabCustoUnit[[#This Row],[MODULO 1 - REMUNERAÇÃO ]]</f>
        <v>9.6310793749999998E-2</v>
      </c>
      <c r="AX130" s="22">
        <f>SUMIF(tabParametros[Código do Posto],tabCustoUnit[[#This Row],[Código do Posto]],tabParametros[Ausência por Acidente de Trabalho])*tabCustoUnit[[#This Row],[MODULO 1 - REMUNERAÇÃO ]]</f>
        <v>0.1174521875</v>
      </c>
      <c r="AY130" s="22">
        <f>SUMIF(tabParametros[Código do Posto],tabCustoUnit[[#This Row],[Código do Posto]],tabParametros[Férias, Adicional de Férias e 13º  com empregada em gozo de Licença Maternidade])*tabCustoUnit[[#This Row],[MODULO 1 - REMUNERAÇÃO ]]</f>
        <v>0.73081361111111109</v>
      </c>
      <c r="AZ130" s="22">
        <f>SUMIF(tabParametros[Código do Posto],tabCustoUnit[[#This Row],[Código do Posto]],tabParametros[Incidência do Submódulo 2.1 sobre Ausências Legais])*tabCustoUnit[[#This Row],[MODULO 1 - REMUNERAÇÃO ]]</f>
        <v>2.5887354761625003</v>
      </c>
      <c r="BA130" s="22">
        <f>SUM(tabCustoUnit[[#This Row],[Ausência por Doença]:[Incidência do Submódulo 2.1 sobre Ausências Legais]])</f>
        <v>9.4372420268569428</v>
      </c>
      <c r="BB130" s="22">
        <f>SUMIF(tabParametros[Código do Posto],tabCustoUnit[[#This Row],[Código do Posto]],tabParametros[Intervalo para Repouso ou Alimentação])</f>
        <v>0</v>
      </c>
      <c r="BC130" s="22">
        <f>tabCustoUnit[[#This Row],[Intervalo para Repouso ou Alimentação]]</f>
        <v>0</v>
      </c>
      <c r="BD130" s="22">
        <f>IF(VLOOKUP(tabCustoUnit[[#This Row],[Código do Posto]],PARAMETROS!$A$4:$BJ$255,7,0)&lt;=0,0,
IFERROR((tabCustoUnit[[#This Row],[MODULO 1 - REMUNERAÇÃO ]]*VLOOKUP(tabCustoUnit[[#This Row],[Código do Posto]],PARAMETROS!$A$4:$BJ$255,49,0))/(VLOOKUP(tabCustoUnit[[#This Row],[Código do Posto]],PARAMETROS!$A$4:$BJ$255,7,0)*VLOOKUP(tabCustoUnit[[#This Row],[Código do Posto]],PARAMETROS!$A$4:$BJ$255,8,0)),0)
)</f>
        <v>0</v>
      </c>
      <c r="BE130" s="22">
        <f>tabCustoUnit[[#This Row],[Suspensão Temporária do Contrato de Trabalho]]</f>
        <v>0</v>
      </c>
      <c r="BF130" s="22">
        <f>tabCustoUnit[[#This Row],[Submódulo 4.1]]+tabCustoUnit[[#This Row],[Submódulo 4.2]]+tabCustoUnit[[#This Row],[Submódulo 4.3]]</f>
        <v>9.4372420268569428</v>
      </c>
      <c r="BG130" s="22">
        <f>VLOOKUP(tabCustoUnit[[#This Row],[Código do Posto]],tabParametros[],MATCH(tabCustoUnit[[#Headers],[Uniformes e EPIs]],tabParametros[#Headers],0),0)</f>
        <v>62.806666666666665</v>
      </c>
      <c r="BH130" s="22">
        <f>VLOOKUP(tabCustoUnit[[#This Row],[Código do Posto]],tabParametros[],MATCH(tabCustoUnit[[#Headers],[Materiais de Consumo]],tabParametros[#Headers],0),0)</f>
        <v>12.108481690426325</v>
      </c>
      <c r="BI130" s="22">
        <f>VLOOKUP(tabCustoUnit[[#This Row],[Código do Posto]],tabParametros[],MATCH(tabCustoUnit[[#Headers],[Máquinas e Equipamentos (depreciação)]],tabParametros[#Headers],0),0)</f>
        <v>21.998657016417809</v>
      </c>
      <c r="BJ130" s="22">
        <f>VLOOKUP(tabCustoUnit[[#This Row],[Código do Posto]],tabParametros[],MATCH(tabCustoUnit[[#Headers],[Produtos de Limpeza e Materiais de Higiene Pessoal]],tabParametros[#Headers],0),0)</f>
        <v>235.31984072022155</v>
      </c>
      <c r="BK130" s="22">
        <f>VLOOKUP(tabCustoUnit[[#This Row],[Código do Posto]],tabParametros[],MATCH(tabCustoUnit[[#Headers],[Outros (especificar)]],tabParametros[#Headers],0),0)</f>
        <v>0</v>
      </c>
      <c r="BL130" s="22">
        <f>SUM(tabCustoUnit[[#This Row],[Uniformes e EPIs]:[Outros (especificar)]])</f>
        <v>332.23364609373232</v>
      </c>
      <c r="BM130" s="22">
        <f>tabCustoUnit[[#This Row],[MODULO 1 - REMUNERAÇÃO ]]+tabCustoUnit[[#This Row],[MÓDULO 2 - Total Encargos e Benefícios mensais e diários]]+tabCustoUnit[[#This Row],[MÓDULO 3 – PROVISÃO PARA RESCISÃO]]+tabCustoUnit[[#This Row],[MÓDULO 4 – CUSTO DE REPOSIÇÃO DO PROFISSIONAL AUSENTE]]+tabCustoUnit[[#This Row],[MÓDULO 5 – INSUMOS DIVERSOS]]</f>
        <v>2118.2084999148137</v>
      </c>
      <c r="BN130" s="22">
        <f>VLOOKUP(tabCustoUnit[[#This Row],[Código do Posto]],tabParametros[],MATCH(tabCustoUnit[[#Headers],[Custos Indiretos]],tabParametros[#Headers],0),0)</f>
        <v>189.64880140242613</v>
      </c>
      <c r="BO130" s="22">
        <f>VLOOKUP(tabCustoUnit[[#This Row],[Código do Posto]],tabParametros[],MATCH(tabCustoUnit[[#Headers],[Lucro]],tabParametros[#Headers],0),0)</f>
        <v>159.30499317803796</v>
      </c>
      <c r="BP130" s="26">
        <f>((100/((1-tabCustoUnit[[#This Row],[Resumo de Alíquotas (PIS+CONFINS+ISS)]]))-100)*VLOOKUP(tabCustoUnit[[#This Row],[Código do Posto]],tabParametros[],MATCH(tabCustoUnit[[#Headers],[COFINS]],tabParametros[#Headers],0),0))/(tabCustoUnit[[#This Row],[Resumo de Alíquotas (PIS+CONFINS+ISS)]]*100)</f>
        <v>8.7608069164265154E-2</v>
      </c>
      <c r="BQ130" s="26">
        <f>((100/((100-(tabCustoUnit[[#This Row],[Resumo de Alíquotas (PIS+CONFINS+ISS)]]*100))%)-100)*VLOOKUP(tabCustoUnit[[#This Row],[Código do Posto]],tabParametros[],MATCH(tabCustoUnit[[#Headers],[PIS]],tabParametros[#Headers],0),0))/(tabCustoUnit[[#This Row],[Resumo de Alíquotas (PIS+CONFINS+ISS)]]*100)</f>
        <v>1.9020172910662814E-2</v>
      </c>
      <c r="BR130" s="28">
        <f>VLOOKUP(tabCustoUnit[[#This Row],[Código do Posto]],tabParametros[],MATCH(tabCustoUnit[[#Headers],[ISS]],tabParametros[#Headers],0),0)</f>
        <v>0.04</v>
      </c>
      <c r="BS130" s="26">
        <f>(((100/((100-(tabCustoUnit[[#This Row],[Resumo de Alíquotas (PIS+CONFINS+ISS)]]*100))%)-100)*tabCustoUnit[[#This Row],[ISS]])/tabCustoUnit[[#This Row],[Resumo de Alíquotas (PIS+CONFINS+ISS)]])/100</f>
        <v>4.6109510086455294E-2</v>
      </c>
      <c r="BT130" s="26">
        <f>(VLOOKUP(tabCustoUnit[[#This Row],[Código do Posto]],tabParametros[],MATCH(tabCustoUnit[[#Headers],[COFINS]],tabParametros[#Headers],0),0)+
VLOOKUP(tabCustoUnit[[#This Row],[Código do Posto]],tabParametros[],MATCH(tabCustoUnit[[#Headers],[PIS]],tabParametros[#Headers],0),0)+
VLOOKUP(tabCustoUnit[[#This Row],[Código do Posto]],tabParametros[],MATCH(tabCustoUnit[[#Headers],[ISS]],tabParametros[#Headers],0),0))</f>
        <v>0.13250000000000001</v>
      </c>
      <c r="BU130" s="138">
        <f>tabCustoUnit[[#This Row],[COFINS]]+tabCustoUnit[[#This Row],[PIS]]+tabCustoUnit[[#This Row],[ISS (Conversão Alíquota s/ fatura)]]</f>
        <v>0.15273775216138324</v>
      </c>
      <c r="BV130" s="22">
        <f>(tabCustoUnit[[#This Row],[TOTAL MÓDULOS 1+2+3+4+5]]+tabCustoUnit[[#This Row],[Custos Indiretos]]+tabCustoUnit[[#This Row],[Lucro]])*tabCustoUnit[[#This Row],[PIS + COFINS + ISS (Total Conversão  Alíquota s/ Fatura)]]</f>
        <v>376.82882307852935</v>
      </c>
      <c r="BW130" s="22">
        <f>tabCustoUnit[[#This Row],[Custos Indiretos]]+tabCustoUnit[[#This Row],[Lucro]]+tabCustoUnit[[#This Row],[Valor dos Tributos (ISS, PIS, CONFINS)]]</f>
        <v>725.78261765899344</v>
      </c>
      <c r="BX130" s="22">
        <f>tabCustoUnit[[#This Row],[TOTAL MÓDULOS 1+2+3+4+5]]+tabCustoUnit[[#This Row],[MÓDULO 6 – CUSTOS INDIRETOS, TRIBUTOS E LUCRO]]</f>
        <v>2843.9911175738071</v>
      </c>
      <c r="BY130" s="22">
        <f>tabCustoUnit[[#This Row],[CUSTO TOTAL MENSAL]]*12</f>
        <v>34127.893410885685</v>
      </c>
      <c r="BZ130" s="24">
        <f>VLOOKUP(tabCustoUnit[[#This Row],[Código do Posto]],tabParametros[],MATCH(tabCustoUnit[[#Headers],[ANO DA CCT]],tabParametros[#Headers],0),0)</f>
        <v>45658</v>
      </c>
      <c r="CA130" s="25" t="str">
        <f>VLOOKUP(tabCustoUnit[[#This Row],[Código do Posto]],tabParametros[],MATCH(tabCustoUnit[[#Headers],[Nº DE PEDIDO DA CCT]],tabParametros[#Headers],0),0)</f>
        <v>-</v>
      </c>
      <c r="CB130" s="25" t="str">
        <f>VLOOKUP(tabCustoUnit[[#This Row],[Código do Posto]],tabParametros[],MATCH(tabCustoUnit[[#Headers],[TERMO ADITIVO ALTERAÇÃO DA CCT]],tabParametros[#Headers],0),0)</f>
        <v>-</v>
      </c>
    </row>
    <row r="131" spans="1:80" x14ac:dyDescent="0.25">
      <c r="A131" s="20" t="s">
        <v>1467</v>
      </c>
      <c r="B131" t="s">
        <v>119</v>
      </c>
      <c r="C131" t="s">
        <v>1247</v>
      </c>
      <c r="D131" t="s">
        <v>1000</v>
      </c>
      <c r="E131" s="20" t="s">
        <v>9</v>
      </c>
      <c r="F131" s="20" t="s">
        <v>10</v>
      </c>
      <c r="G131" s="21">
        <v>544.17999999999995</v>
      </c>
      <c r="H131" s="21">
        <v>0</v>
      </c>
      <c r="I131" s="21">
        <v>0</v>
      </c>
      <c r="J131" s="21">
        <v>0</v>
      </c>
      <c r="K131" s="21">
        <v>0</v>
      </c>
      <c r="L131" s="21">
        <v>0</v>
      </c>
      <c r="M131" s="21">
        <v>0</v>
      </c>
      <c r="N131" s="21">
        <v>19.590499999999999</v>
      </c>
      <c r="O131" s="21">
        <f>SUM(tabCustoUnit[[#This Row],[Salário Base]:[Adicional de Acúmulo de função]])</f>
        <v>563.77049999999997</v>
      </c>
      <c r="P131" s="21">
        <f>tabCustoUnit[[#This Row],[MODULO 1 - REMUNERAÇÃO ]]*SUMIFS(tabParametros[INSS],tabParametros[Código do Posto],tabCustoUnit[[#This Row],[Código do Posto]])</f>
        <v>112.75409999999999</v>
      </c>
      <c r="Q131" s="21">
        <f>tabCustoUnit[[#This Row],[MODULO 1 - REMUNERAÇÃO ]]*SUMIFS(tabParametros[SESI OU SESC],tabParametros[Código do Posto],tabCustoUnit[[#This Row],[Código do Posto]])</f>
        <v>8.4565574999999988</v>
      </c>
      <c r="R131" s="21">
        <f>tabCustoUnit[[#This Row],[MODULO 1 - REMUNERAÇÃO ]]*SUMIFS(tabParametros[SENAI OU SENAC],tabParametros[Código do Posto],tabCustoUnit[[#This Row],[Código do Posto]])</f>
        <v>5.6377049999999995</v>
      </c>
      <c r="S131" s="21">
        <f>tabCustoUnit[[#This Row],[MODULO 1 - REMUNERAÇÃO ]]*SUMIFS(tabParametros[INCRA],tabParametros[Código do Posto],tabCustoUnit[[#This Row],[Código do Posto]])</f>
        <v>1.1275409999999999</v>
      </c>
      <c r="T131" s="21">
        <f>tabCustoUnit[[#This Row],[MODULO 1 - REMUNERAÇÃO ]]*SUMIFS(tabParametros[Salário Educação],tabParametros[Código do Posto],tabCustoUnit[[#This Row],[Código do Posto]])</f>
        <v>14.094262499999999</v>
      </c>
      <c r="U131" s="21">
        <f>tabCustoUnit[[#This Row],[MODULO 1 - REMUNERAÇÃO ]]*SUMIFS(tabParametros[FGTS],tabParametros[Código do Posto],tabCustoUnit[[#This Row],[Código do Posto]])</f>
        <v>45.101639999999996</v>
      </c>
      <c r="V131" s="21">
        <f>tabCustoUnit[[#This Row],[MODULO 1 - REMUNERAÇÃO ]]*SUMIFS(tabParametros[RAT Ajustado],tabParametros[Código do Posto],tabCustoUnit[[#This Row],[Código do Posto]])</f>
        <v>22.550819999999998</v>
      </c>
      <c r="W131" s="21">
        <f>tabCustoUnit[[#This Row],[MODULO 1 - REMUNERAÇÃO ]]*SUMIFS(tabParametros[SEBRAE],tabParametros[Código do Posto],tabCustoUnit[[#This Row],[Código do Posto]])</f>
        <v>3.3826229999999997</v>
      </c>
      <c r="X131" s="21">
        <f>SUM(tabCustoUnit[[#This Row],[INSS]:[SEBRAE]])</f>
        <v>213.10524899999996</v>
      </c>
      <c r="Y131" s="21">
        <f>tabCustoUnit[[#This Row],[MODULO 1 - REMUNERAÇÃO ]]*SUMIFS(tabParametros[13º salário (titular)],tabParametros[Código do Posto],tabCustoUnit[[#This Row],[Código do Posto]])</f>
        <v>46.980874999999997</v>
      </c>
      <c r="Z131" s="21">
        <f>tabCustoUnit[[#This Row],[MODULO 1 - REMUNERAÇÃO ]]*SUMIFS(tabParametros[Férias e Adicional de Férias (titular)],tabParametros[Código do Posto],tabCustoUnit[[#This Row],[Código do Posto]])</f>
        <v>62.641166666666663</v>
      </c>
      <c r="AA131" s="21">
        <f>IFERROR((tabCustoUnit[[#This Row],[Submódulo 2.1]]/tabCustoUnit[[#This Row],[MODULO 1 - REMUNERAÇÃO ]])*SUM(tabCustoUnit[[#This Row],[13º salário (titular)]:[Férias e Adicional de Férias (titular)]]),0)</f>
        <v>41.437131749999992</v>
      </c>
      <c r="AB131" s="21">
        <f>SUM(tabCustoUnit[[#This Row],[13º salário (titular)]:[Incidência do Submódulo 2.1 sobre 13º Salário, Férias e Adicional de Férias]])</f>
        <v>151.05917341666665</v>
      </c>
      <c r="AC131" s="22">
        <f>_xlfn.LET(_xlpm.VT,SUMIF(tabParametros[Código do Posto],tabCustoUnit[[#This Row],[Código do Posto]],tabParametros[Vale - Transporte])*2*20,
IF((_xlpm.VT-tabCustoUnit[[#This Row],[Salário Base]]*0.06)&gt;=0,(_xlpm.VT-tabCustoUnit[[#This Row],[Salário Base]]*0.06),0)
)</f>
        <v>223.3492</v>
      </c>
      <c r="AD131" s="22">
        <f>IF(SUMIF(tabParametros[Código do Posto],tabCustoUnit[[#This Row],[Código do Posto]],tabParametros[Vale - Alimentação])&lt;=0,0,
SUMIF(tabParametros[Código do Posto],tabCustoUnit[[#This Row],[Código do Posto]],tabParametros[Vale - Alimentação])*20-1)</f>
        <v>582</v>
      </c>
      <c r="AE131" s="22">
        <f>SUMIF(tabParametros[Código do Posto],tabCustoUnit[[#This Row],[Código do Posto]],tabParametros[Cesta Básica])</f>
        <v>0</v>
      </c>
      <c r="AF131" s="22">
        <f>SUMIF(tabParametros[Código do Posto],tabCustoUnit[[#This Row],[Código do Posto]],tabParametros[PAF])</f>
        <v>0</v>
      </c>
      <c r="AG131" s="22">
        <f>SUMIF(tabParametros[Código do Posto],tabCustoUnit[[#This Row],[Código do Posto]],tabParametros[PQM])</f>
        <v>15.07</v>
      </c>
      <c r="AH131" s="22">
        <f>SUMIF(tabParametros[Código do Posto],tabCustoUnit[[#This Row],[Código do Posto]],tabParametros[PAT])</f>
        <v>0</v>
      </c>
      <c r="AI131" s="22">
        <f>SUMIF(tabParametros[Código do Posto],tabCustoUnit[[#This Row],[Código do Posto]],tabParametros[Seguro de Vida])</f>
        <v>3.36</v>
      </c>
      <c r="AJ131" s="22">
        <f>SUMIF(tabParametros[Código do Posto],tabCustoUnit[[#This Row],[Código do Posto]],tabParametros[Despesas de Viagem])</f>
        <v>0</v>
      </c>
      <c r="AK131" s="22">
        <f>SUM(tabCustoUnit[[#This Row],[Vale - Transporte (Descontada parcela do empregado)]:[Despesas de Viagem]])</f>
        <v>823.77920000000006</v>
      </c>
      <c r="AL131" s="22">
        <f>tabCustoUnit[[#This Row],[Submódulo 2.1]]+tabCustoUnit[[#This Row],[Submódulo 2.2]]+tabCustoUnit[[#This Row],[Submódulo 2.3]]</f>
        <v>1187.9436224166666</v>
      </c>
      <c r="AM131" s="22">
        <f>SUMIF(tabParametros[Código do Posto],tabCustoUnit[[#This Row],[Código do Posto]],tabParametros[Aviso Prévio Indenizado (API) e Reflexo do Aviso Prévio Indenizado])*tabCustoUnit[[#This Row],[MODULO 1 - REMUNERAÇÃO ]]</f>
        <v>3.9530273735532404</v>
      </c>
      <c r="AN131" s="22">
        <f>SUMIF(tabParametros[Código do Posto],tabCustoUnit[[#This Row],[Código do Posto]],tabParametros[Incidência do FGTS sobre API e Reflexo do API])*tabCustoUnit[[#This Row],[MODULO 1 - REMUNERAÇÃO ]]</f>
        <v>0.31624218988425928</v>
      </c>
      <c r="AO131" s="22">
        <f>SUMIF(tabParametros[Código do Posto],tabCustoUnit[[#This Row],[Código do Posto]],tabParametros[Multa Rescisória do FGTS sobre o Aviso Prévio Indenizado])*tabCustoUnit[[#This Row],[MODULO 1 - REMUNERAÇÃO ]]</f>
        <v>0.12649687595370371</v>
      </c>
      <c r="AP131" s="22">
        <f>SUMIF(tabParametros[Código do Posto],tabCustoUnit[[#This Row],[Código do Posto]],tabParametros[Aviso Prévio Trabalhado - APT])*tabCustoUnit[[#This Row],[MODULO 1 - REMUNERAÇÃO ]]</f>
        <v>1.9731967500000003</v>
      </c>
      <c r="AQ131" s="22">
        <f>SUMIF(tabParametros[Código do Posto],tabCustoUnit[[#This Row],[Código do Posto]],tabParametros[Incidência dos encargos do submódulo 2.1 sobre Aviso Prévio Trabalhado])*tabCustoUnit[[#This Row],[MODULO 1 - REMUNERAÇÃO ]]</f>
        <v>0.74586837150000018</v>
      </c>
      <c r="AR131" s="22">
        <f>SUMIF(tabParametros[Código do Posto],tabCustoUnit[[#This Row],[Código do Posto]],tabParametros[Multa Rescisória do FGTS])*tabCustoUnit[[#This Row],[MODULO 1 - REMUNERAÇÃO ]]</f>
        <v>17.238849066666663</v>
      </c>
      <c r="AS131" s="22">
        <f>SUMIF(tabParametros[Código do Posto],tabCustoUnit[[#This Row],[Código do Posto]],tabParametros[Indenização Adicional (Art. 9º da Lei nº 7.238/84)])*tabCustoUnit[[#This Row],[MODULO 1 - REMUNERAÇÃO ]]</f>
        <v>0.46980875</v>
      </c>
      <c r="AT131" s="22">
        <f>SUM(tabCustoUnit[[#This Row],[Aviso Prévio Indenizado (API) e Reflexo do Aviso Prévio Indenizado]:[Indenização Adicional (Art. 9º da Lei nº 7.238/84)]])</f>
        <v>24.823489377557866</v>
      </c>
      <c r="AU131" s="22">
        <f>SUMIF(tabParametros[Código do Posto],tabCustoUnit[[#This Row],[Código do Posto]],tabParametros[Ausência por Doença])*tabCustoUnit[[#This Row],[MODULO 1 - REMUNERAÇÃO ]]</f>
        <v>4.7607286666666662</v>
      </c>
      <c r="AV131" s="22">
        <f>SUMIF(tabParametros[Código do Posto],tabCustoUnit[[#This Row],[Código do Posto]],tabParametros[Ausências Legais])*tabCustoUnit[[#This Row],[MODULO 1 - REMUNERAÇÃO ]]</f>
        <v>1.1432012916666665</v>
      </c>
      <c r="AW131" s="22">
        <f>SUMIF(tabParametros[Código do Posto],tabCustoUnit[[#This Row],[Código do Posto]],tabParametros[Licença Paternidade])*tabCustoUnit[[#This Row],[MODULO 1 - REMUNERAÇÃO ]]</f>
        <v>9.6310793749999998E-2</v>
      </c>
      <c r="AX131" s="22">
        <f>SUMIF(tabParametros[Código do Posto],tabCustoUnit[[#This Row],[Código do Posto]],tabParametros[Ausência por Acidente de Trabalho])*tabCustoUnit[[#This Row],[MODULO 1 - REMUNERAÇÃO ]]</f>
        <v>0.1174521875</v>
      </c>
      <c r="AY131" s="22">
        <f>SUMIF(tabParametros[Código do Posto],tabCustoUnit[[#This Row],[Código do Posto]],tabParametros[Férias, Adicional de Férias e 13º  com empregada em gozo de Licença Maternidade])*tabCustoUnit[[#This Row],[MODULO 1 - REMUNERAÇÃO ]]</f>
        <v>0.73081361111111109</v>
      </c>
      <c r="AZ131" s="22">
        <f>SUMIF(tabParametros[Código do Posto],tabCustoUnit[[#This Row],[Código do Posto]],tabParametros[Incidência do Submódulo 2.1 sobre Ausências Legais])*tabCustoUnit[[#This Row],[MODULO 1 - REMUNERAÇÃO ]]</f>
        <v>2.5887354761625003</v>
      </c>
      <c r="BA131" s="22">
        <f>SUM(tabCustoUnit[[#This Row],[Ausência por Doença]:[Incidência do Submódulo 2.1 sobre Ausências Legais]])</f>
        <v>9.4372420268569428</v>
      </c>
      <c r="BB131" s="22">
        <f>SUMIF(tabParametros[Código do Posto],tabCustoUnit[[#This Row],[Código do Posto]],tabParametros[Intervalo para Repouso ou Alimentação])</f>
        <v>0</v>
      </c>
      <c r="BC131" s="22">
        <f>tabCustoUnit[[#This Row],[Intervalo para Repouso ou Alimentação]]</f>
        <v>0</v>
      </c>
      <c r="BD131" s="22">
        <f>IF(VLOOKUP(tabCustoUnit[[#This Row],[Código do Posto]],PARAMETROS!$A$4:$BJ$255,7,0)&lt;=0,0,
IFERROR((tabCustoUnit[[#This Row],[MODULO 1 - REMUNERAÇÃO ]]*VLOOKUP(tabCustoUnit[[#This Row],[Código do Posto]],PARAMETROS!$A$4:$BJ$255,49,0))/(VLOOKUP(tabCustoUnit[[#This Row],[Código do Posto]],PARAMETROS!$A$4:$BJ$255,7,0)*VLOOKUP(tabCustoUnit[[#This Row],[Código do Posto]],PARAMETROS!$A$4:$BJ$255,8,0)),0)
)</f>
        <v>0</v>
      </c>
      <c r="BE131" s="22">
        <f>tabCustoUnit[[#This Row],[Suspensão Temporária do Contrato de Trabalho]]</f>
        <v>0</v>
      </c>
      <c r="BF131" s="22">
        <f>tabCustoUnit[[#This Row],[Submódulo 4.1]]+tabCustoUnit[[#This Row],[Submódulo 4.2]]+tabCustoUnit[[#This Row],[Submódulo 4.3]]</f>
        <v>9.4372420268569428</v>
      </c>
      <c r="BG131" s="22">
        <f>VLOOKUP(tabCustoUnit[[#This Row],[Código do Posto]],tabParametros[],MATCH(tabCustoUnit[[#Headers],[Uniformes e EPIs]],tabParametros[#Headers],0),0)</f>
        <v>62.806666666666665</v>
      </c>
      <c r="BH131" s="22">
        <f>VLOOKUP(tabCustoUnit[[#This Row],[Código do Posto]],tabParametros[],MATCH(tabCustoUnit[[#Headers],[Materiais de Consumo]],tabParametros[#Headers],0),0)</f>
        <v>12.108481690426325</v>
      </c>
      <c r="BI131" s="22">
        <f>VLOOKUP(tabCustoUnit[[#This Row],[Código do Posto]],tabParametros[],MATCH(tabCustoUnit[[#Headers],[Máquinas e Equipamentos (depreciação)]],tabParametros[#Headers],0),0)</f>
        <v>21.998657016417809</v>
      </c>
      <c r="BJ131" s="22">
        <f>VLOOKUP(tabCustoUnit[[#This Row],[Código do Posto]],tabParametros[],MATCH(tabCustoUnit[[#Headers],[Produtos de Limpeza e Materiais de Higiene Pessoal]],tabParametros[#Headers],0),0)</f>
        <v>235.31984072022155</v>
      </c>
      <c r="BK131" s="22">
        <f>VLOOKUP(tabCustoUnit[[#This Row],[Código do Posto]],tabParametros[],MATCH(tabCustoUnit[[#Headers],[Outros (especificar)]],tabParametros[#Headers],0),0)</f>
        <v>0</v>
      </c>
      <c r="BL131" s="22">
        <f>SUM(tabCustoUnit[[#This Row],[Uniformes e EPIs]:[Outros (especificar)]])</f>
        <v>332.23364609373232</v>
      </c>
      <c r="BM131" s="22">
        <f>tabCustoUnit[[#This Row],[MODULO 1 - REMUNERAÇÃO ]]+tabCustoUnit[[#This Row],[MÓDULO 2 - Total Encargos e Benefícios mensais e diários]]+tabCustoUnit[[#This Row],[MÓDULO 3 – PROVISÃO PARA RESCISÃO]]+tabCustoUnit[[#This Row],[MÓDULO 4 – CUSTO DE REPOSIÇÃO DO PROFISSIONAL AUSENTE]]+tabCustoUnit[[#This Row],[MÓDULO 5 – INSUMOS DIVERSOS]]</f>
        <v>2118.2084999148137</v>
      </c>
      <c r="BN131" s="22">
        <f>VLOOKUP(tabCustoUnit[[#This Row],[Código do Posto]],tabParametros[],MATCH(tabCustoUnit[[#Headers],[Custos Indiretos]],tabParametros[#Headers],0),0)</f>
        <v>189.64880140242613</v>
      </c>
      <c r="BO131" s="22">
        <f>VLOOKUP(tabCustoUnit[[#This Row],[Código do Posto]],tabParametros[],MATCH(tabCustoUnit[[#Headers],[Lucro]],tabParametros[#Headers],0),0)</f>
        <v>159.30499317803796</v>
      </c>
      <c r="BP131" s="26">
        <f>((100/((1-tabCustoUnit[[#This Row],[Resumo de Alíquotas (PIS+CONFINS+ISS)]]))-100)*VLOOKUP(tabCustoUnit[[#This Row],[Código do Posto]],tabParametros[],MATCH(tabCustoUnit[[#Headers],[COFINS]],tabParametros[#Headers],0),0))/(tabCustoUnit[[#This Row],[Resumo de Alíquotas (PIS+CONFINS+ISS)]]*100)</f>
        <v>8.6609686609686695E-2</v>
      </c>
      <c r="BQ131" s="26">
        <f>((100/((100-(tabCustoUnit[[#This Row],[Resumo de Alíquotas (PIS+CONFINS+ISS)]]*100))%)-100)*VLOOKUP(tabCustoUnit[[#This Row],[Código do Posto]],tabParametros[],MATCH(tabCustoUnit[[#Headers],[PIS]],tabParametros[#Headers],0),0))/(tabCustoUnit[[#This Row],[Resumo de Alíquotas (PIS+CONFINS+ISS)]]*100)</f>
        <v>1.880341880341882E-2</v>
      </c>
      <c r="BR131" s="28">
        <f>VLOOKUP(tabCustoUnit[[#This Row],[Código do Posto]],tabParametros[],MATCH(tabCustoUnit[[#Headers],[ISS]],tabParametros[#Headers],0),0)</f>
        <v>0.03</v>
      </c>
      <c r="BS131" s="26">
        <f>(((100/((100-(tabCustoUnit[[#This Row],[Resumo de Alíquotas (PIS+CONFINS+ISS)]]*100))%)-100)*tabCustoUnit[[#This Row],[ISS]])/tabCustoUnit[[#This Row],[Resumo de Alíquotas (PIS+CONFINS+ISS)]])/100</f>
        <v>3.4188034188034219E-2</v>
      </c>
      <c r="BT131" s="26">
        <f>(VLOOKUP(tabCustoUnit[[#This Row],[Código do Posto]],tabParametros[],MATCH(tabCustoUnit[[#Headers],[COFINS]],tabParametros[#Headers],0),0)+
VLOOKUP(tabCustoUnit[[#This Row],[Código do Posto]],tabParametros[],MATCH(tabCustoUnit[[#Headers],[PIS]],tabParametros[#Headers],0),0)+
VLOOKUP(tabCustoUnit[[#This Row],[Código do Posto]],tabParametros[],MATCH(tabCustoUnit[[#Headers],[ISS]],tabParametros[#Headers],0),0))</f>
        <v>0.1225</v>
      </c>
      <c r="BU131" s="138">
        <f>tabCustoUnit[[#This Row],[COFINS]]+tabCustoUnit[[#This Row],[PIS]]+tabCustoUnit[[#This Row],[ISS (Conversão Alíquota s/ fatura)]]</f>
        <v>0.13960113960113973</v>
      </c>
      <c r="BV131" s="22">
        <f>(tabCustoUnit[[#This Row],[TOTAL MÓDULOS 1+2+3+4+5]]+tabCustoUnit[[#This Row],[Custos Indiretos]]+tabCustoUnit[[#This Row],[Lucro]])*tabCustoUnit[[#This Row],[PIS + COFINS + ISS (Total Conversão  Alíquota s/ Fatura)]]</f>
        <v>344.41866789250349</v>
      </c>
      <c r="BW131" s="22">
        <f>tabCustoUnit[[#This Row],[Custos Indiretos]]+tabCustoUnit[[#This Row],[Lucro]]+tabCustoUnit[[#This Row],[Valor dos Tributos (ISS, PIS, CONFINS)]]</f>
        <v>693.37246247296753</v>
      </c>
      <c r="BX131" s="22">
        <f>tabCustoUnit[[#This Row],[TOTAL MÓDULOS 1+2+3+4+5]]+tabCustoUnit[[#This Row],[MÓDULO 6 – CUSTOS INDIRETOS, TRIBUTOS E LUCRO]]</f>
        <v>2811.5809623877813</v>
      </c>
      <c r="BY131" s="22">
        <f>tabCustoUnit[[#This Row],[CUSTO TOTAL MENSAL]]*12</f>
        <v>33738.971548653375</v>
      </c>
      <c r="BZ131" s="24">
        <f>VLOOKUP(tabCustoUnit[[#This Row],[Código do Posto]],tabParametros[],MATCH(tabCustoUnit[[#Headers],[ANO DA CCT]],tabParametros[#Headers],0),0)</f>
        <v>45658</v>
      </c>
      <c r="CA131" s="25" t="str">
        <f>VLOOKUP(tabCustoUnit[[#This Row],[Código do Posto]],tabParametros[],MATCH(tabCustoUnit[[#Headers],[Nº DE PEDIDO DA CCT]],tabParametros[#Headers],0),0)</f>
        <v>-</v>
      </c>
      <c r="CB131" s="25" t="str">
        <f>VLOOKUP(tabCustoUnit[[#This Row],[Código do Posto]],tabParametros[],MATCH(tabCustoUnit[[#Headers],[TERMO ADITIVO ALTERAÇÃO DA CCT]],tabParametros[#Headers],0),0)</f>
        <v>-</v>
      </c>
    </row>
    <row r="132" spans="1:80" x14ac:dyDescent="0.25">
      <c r="A132" s="20" t="s">
        <v>1468</v>
      </c>
      <c r="B132" t="s">
        <v>120</v>
      </c>
      <c r="C132" t="s">
        <v>1245</v>
      </c>
      <c r="D132" t="s">
        <v>1041</v>
      </c>
      <c r="E132" s="20" t="s">
        <v>9</v>
      </c>
      <c r="F132" s="20" t="s">
        <v>10</v>
      </c>
      <c r="G132" s="21">
        <v>1596.28</v>
      </c>
      <c r="H132" s="21">
        <v>0</v>
      </c>
      <c r="I132" s="21">
        <v>0</v>
      </c>
      <c r="J132" s="21">
        <v>0</v>
      </c>
      <c r="K132" s="21">
        <v>0</v>
      </c>
      <c r="L132" s="21">
        <v>0</v>
      </c>
      <c r="M132" s="21">
        <v>0</v>
      </c>
      <c r="N132" s="21">
        <v>52.241900000000001</v>
      </c>
      <c r="O132" s="21">
        <f>SUM(tabCustoUnit[[#This Row],[Salário Base]:[Adicional de Acúmulo de função]])</f>
        <v>1648.5219</v>
      </c>
      <c r="P132" s="21">
        <f>tabCustoUnit[[#This Row],[MODULO 1 - REMUNERAÇÃO ]]*SUMIFS(tabParametros[INSS],tabParametros[Código do Posto],tabCustoUnit[[#This Row],[Código do Posto]])</f>
        <v>329.70438000000001</v>
      </c>
      <c r="Q132" s="21">
        <f>tabCustoUnit[[#This Row],[MODULO 1 - REMUNERAÇÃO ]]*SUMIFS(tabParametros[SESI OU SESC],tabParametros[Código do Posto],tabCustoUnit[[#This Row],[Código do Posto]])</f>
        <v>24.727828499999998</v>
      </c>
      <c r="R132" s="21">
        <f>tabCustoUnit[[#This Row],[MODULO 1 - REMUNERAÇÃO ]]*SUMIFS(tabParametros[SENAI OU SENAC],tabParametros[Código do Posto],tabCustoUnit[[#This Row],[Código do Posto]])</f>
        <v>16.485219000000001</v>
      </c>
      <c r="S132" s="21">
        <f>tabCustoUnit[[#This Row],[MODULO 1 - REMUNERAÇÃO ]]*SUMIFS(tabParametros[INCRA],tabParametros[Código do Posto],tabCustoUnit[[#This Row],[Código do Posto]])</f>
        <v>3.2970438</v>
      </c>
      <c r="T132" s="21">
        <f>tabCustoUnit[[#This Row],[MODULO 1 - REMUNERAÇÃO ]]*SUMIFS(tabParametros[Salário Educação],tabParametros[Código do Posto],tabCustoUnit[[#This Row],[Código do Posto]])</f>
        <v>41.213047500000002</v>
      </c>
      <c r="U132" s="21">
        <f>tabCustoUnit[[#This Row],[MODULO 1 - REMUNERAÇÃO ]]*SUMIFS(tabParametros[FGTS],tabParametros[Código do Posto],tabCustoUnit[[#This Row],[Código do Posto]])</f>
        <v>131.88175200000001</v>
      </c>
      <c r="V132" s="21">
        <f>tabCustoUnit[[#This Row],[MODULO 1 - REMUNERAÇÃO ]]*SUMIFS(tabParametros[RAT Ajustado],tabParametros[Código do Posto],tabCustoUnit[[#This Row],[Código do Posto]])</f>
        <v>65.940876000000003</v>
      </c>
      <c r="W132" s="21">
        <f>tabCustoUnit[[#This Row],[MODULO 1 - REMUNERAÇÃO ]]*SUMIFS(tabParametros[SEBRAE],tabParametros[Código do Posto],tabCustoUnit[[#This Row],[Código do Posto]])</f>
        <v>9.8911314000000008</v>
      </c>
      <c r="X132" s="21">
        <f>SUM(tabCustoUnit[[#This Row],[INSS]:[SEBRAE]])</f>
        <v>623.14127819999999</v>
      </c>
      <c r="Y132" s="21">
        <f>tabCustoUnit[[#This Row],[MODULO 1 - REMUNERAÇÃO ]]*SUMIFS(tabParametros[13º salário (titular)],tabParametros[Código do Posto],tabCustoUnit[[#This Row],[Código do Posto]])</f>
        <v>137.376825</v>
      </c>
      <c r="Z132" s="21">
        <f>tabCustoUnit[[#This Row],[MODULO 1 - REMUNERAÇÃO ]]*SUMIFS(tabParametros[Férias e Adicional de Férias (titular)],tabParametros[Código do Posto],tabCustoUnit[[#This Row],[Código do Posto]])</f>
        <v>183.16909999999999</v>
      </c>
      <c r="AA132" s="21">
        <f>IFERROR((tabCustoUnit[[#This Row],[Submódulo 2.1]]/tabCustoUnit[[#This Row],[MODULO 1 - REMUNERAÇÃO ]])*SUM(tabCustoUnit[[#This Row],[13º salário (titular)]:[Férias e Adicional de Férias (titular)]]),0)</f>
        <v>121.16635965</v>
      </c>
      <c r="AB132" s="21">
        <f>SUM(tabCustoUnit[[#This Row],[13º salário (titular)]:[Incidência do Submódulo 2.1 sobre 13º Salário, Férias e Adicional de Férias]])</f>
        <v>441.71228465000002</v>
      </c>
      <c r="AC132" s="22">
        <f>_xlfn.LET(_xlpm.VT,SUMIF(tabParametros[Código do Posto],tabCustoUnit[[#This Row],[Código do Posto]],tabParametros[Vale - Transporte])*2*20,
IF((_xlpm.VT-tabCustoUnit[[#This Row],[Salário Base]]*0.06)&gt;=0,(_xlpm.VT-tabCustoUnit[[#This Row],[Salário Base]]*0.06),0)
)</f>
        <v>160.22320000000002</v>
      </c>
      <c r="AD132" s="22">
        <f>IF(SUMIF(tabParametros[Código do Posto],tabCustoUnit[[#This Row],[Código do Posto]],tabParametros[Vale - Alimentação])&lt;=0,0,
SUMIF(tabParametros[Código do Posto],tabCustoUnit[[#This Row],[Código do Posto]],tabParametros[Vale - Alimentação])*20-1)</f>
        <v>582</v>
      </c>
      <c r="AE132" s="22">
        <f>SUMIF(tabParametros[Código do Posto],tabCustoUnit[[#This Row],[Código do Posto]],tabParametros[Cesta Básica])</f>
        <v>0</v>
      </c>
      <c r="AF132" s="22">
        <f>SUMIF(tabParametros[Código do Posto],tabCustoUnit[[#This Row],[Código do Posto]],tabParametros[PAF])</f>
        <v>51.86</v>
      </c>
      <c r="AG132" s="22">
        <f>SUMIF(tabParametros[Código do Posto],tabCustoUnit[[#This Row],[Código do Posto]],tabParametros[PQM])</f>
        <v>0</v>
      </c>
      <c r="AH132" s="22">
        <f>SUMIF(tabParametros[Código do Posto],tabCustoUnit[[#This Row],[Código do Posto]],tabParametros[PAT])</f>
        <v>0</v>
      </c>
      <c r="AI132" s="22">
        <f>SUMIF(tabParametros[Código do Posto],tabCustoUnit[[#This Row],[Código do Posto]],tabParametros[Seguro de Vida])</f>
        <v>3.36</v>
      </c>
      <c r="AJ132" s="22">
        <f>SUMIF(tabParametros[Código do Posto],tabCustoUnit[[#This Row],[Código do Posto]],tabParametros[Despesas de Viagem])</f>
        <v>0</v>
      </c>
      <c r="AK132" s="22">
        <f>SUM(tabCustoUnit[[#This Row],[Vale - Transporte (Descontada parcela do empregado)]:[Despesas de Viagem]])</f>
        <v>797.44320000000005</v>
      </c>
      <c r="AL132" s="22">
        <f>tabCustoUnit[[#This Row],[Submódulo 2.1]]+tabCustoUnit[[#This Row],[Submódulo 2.2]]+tabCustoUnit[[#This Row],[Submódulo 2.3]]</f>
        <v>1862.2967628500001</v>
      </c>
      <c r="AM132" s="22">
        <f>SUMIF(tabParametros[Código do Posto],tabCustoUnit[[#This Row],[Código do Posto]],tabParametros[Aviso Prévio Indenizado (API) e Reflexo do Aviso Prévio Indenizado])*tabCustoUnit[[#This Row],[MODULO 1 - REMUNERAÇÃO ]]</f>
        <v>11.559051416493055</v>
      </c>
      <c r="AN132" s="22">
        <f>SUMIF(tabParametros[Código do Posto],tabCustoUnit[[#This Row],[Código do Posto]],tabParametros[Incidência do FGTS sobre API e Reflexo do API])*tabCustoUnit[[#This Row],[MODULO 1 - REMUNERAÇÃO ]]</f>
        <v>0.92472411331944449</v>
      </c>
      <c r="AO132" s="22">
        <f>SUMIF(tabParametros[Código do Posto],tabCustoUnit[[#This Row],[Código do Posto]],tabParametros[Multa Rescisória do FGTS sobre o Aviso Prévio Indenizado])*tabCustoUnit[[#This Row],[MODULO 1 - REMUNERAÇÃO ]]</f>
        <v>0.36988964532777785</v>
      </c>
      <c r="AP132" s="22">
        <f>SUMIF(tabParametros[Código do Posto],tabCustoUnit[[#This Row],[Código do Posto]],tabParametros[Aviso Prévio Trabalhado - APT])*tabCustoUnit[[#This Row],[MODULO 1 - REMUNERAÇÃO ]]</f>
        <v>5.7698266500000006</v>
      </c>
      <c r="AQ132" s="22">
        <f>SUMIF(tabParametros[Código do Posto],tabCustoUnit[[#This Row],[Código do Posto]],tabParametros[Incidência dos encargos do submódulo 2.1 sobre Aviso Prévio Trabalhado])*tabCustoUnit[[#This Row],[MODULO 1 - REMUNERAÇÃO ]]</f>
        <v>2.1809944737000007</v>
      </c>
      <c r="AR132" s="22">
        <f>SUMIF(tabParametros[Código do Posto],tabCustoUnit[[#This Row],[Código do Posto]],tabParametros[Multa Rescisória do FGTS])*tabCustoUnit[[#This Row],[MODULO 1 - REMUNERAÇÃO ]]</f>
        <v>50.40813631999999</v>
      </c>
      <c r="AS132" s="22">
        <f>SUMIF(tabParametros[Código do Posto],tabCustoUnit[[#This Row],[Código do Posto]],tabParametros[Indenização Adicional (Art. 9º da Lei nº 7.238/84)])*tabCustoUnit[[#This Row],[MODULO 1 - REMUNERAÇÃO ]]</f>
        <v>1.3737682500000001</v>
      </c>
      <c r="AT132" s="22">
        <f>SUM(tabCustoUnit[[#This Row],[Aviso Prévio Indenizado (API) e Reflexo do Aviso Prévio Indenizado]:[Indenização Adicional (Art. 9º da Lei nº 7.238/84)]])</f>
        <v>72.586390868840269</v>
      </c>
      <c r="AU132" s="22">
        <f>SUMIF(tabParametros[Código do Posto],tabCustoUnit[[#This Row],[Código do Posto]],tabParametros[Ausência por Doença])*tabCustoUnit[[#This Row],[MODULO 1 - REMUNERAÇÃO ]]</f>
        <v>13.920851599999999</v>
      </c>
      <c r="AV132" s="22">
        <f>SUMIF(tabParametros[Código do Posto],tabCustoUnit[[#This Row],[Código do Posto]],tabParametros[Ausências Legais])*tabCustoUnit[[#This Row],[MODULO 1 - REMUNERAÇÃO ]]</f>
        <v>3.3428360749999997</v>
      </c>
      <c r="AW132" s="22">
        <f>SUMIF(tabParametros[Código do Posto],tabCustoUnit[[#This Row],[Código do Posto]],tabParametros[Licença Paternidade])*tabCustoUnit[[#This Row],[MODULO 1 - REMUNERAÇÃO ]]</f>
        <v>0.28162249125</v>
      </c>
      <c r="AX132" s="22">
        <f>SUMIF(tabParametros[Código do Posto],tabCustoUnit[[#This Row],[Código do Posto]],tabParametros[Ausência por Acidente de Trabalho])*tabCustoUnit[[#This Row],[MODULO 1 - REMUNERAÇÃO ]]</f>
        <v>0.34344206250000003</v>
      </c>
      <c r="AY132" s="22">
        <f>SUMIF(tabParametros[Código do Posto],tabCustoUnit[[#This Row],[Código do Posto]],tabParametros[Férias, Adicional de Férias e 13º  com empregada em gozo de Licença Maternidade])*tabCustoUnit[[#This Row],[MODULO 1 - REMUNERAÇÃO ]]</f>
        <v>2.1369728333333331</v>
      </c>
      <c r="AZ132" s="22">
        <f>SUMIF(tabParametros[Código do Posto],tabCustoUnit[[#This Row],[Código do Posto]],tabParametros[Incidência do Submódulo 2.1 sobre Ausências Legais])*tabCustoUnit[[#This Row],[MODULO 1 - REMUNERAÇÃO ]]</f>
        <v>7.5697240734675013</v>
      </c>
      <c r="BA132" s="22">
        <f>SUM(tabCustoUnit[[#This Row],[Ausência por Doença]:[Incidência do Submódulo 2.1 sobre Ausências Legais]])</f>
        <v>27.595449135550833</v>
      </c>
      <c r="BB132" s="22">
        <f>SUMIF(tabParametros[Código do Posto],tabCustoUnit[[#This Row],[Código do Posto]],tabParametros[Intervalo para Repouso ou Alimentação])</f>
        <v>0</v>
      </c>
      <c r="BC132" s="22">
        <f>tabCustoUnit[[#This Row],[Intervalo para Repouso ou Alimentação]]</f>
        <v>0</v>
      </c>
      <c r="BD132" s="22">
        <f>IF(VLOOKUP(tabCustoUnit[[#This Row],[Código do Posto]],PARAMETROS!$A$4:$BJ$255,7,0)&lt;=0,0,
IFERROR((tabCustoUnit[[#This Row],[MODULO 1 - REMUNERAÇÃO ]]*VLOOKUP(tabCustoUnit[[#This Row],[Código do Posto]],PARAMETROS!$A$4:$BJ$255,49,0))/(VLOOKUP(tabCustoUnit[[#This Row],[Código do Posto]],PARAMETROS!$A$4:$BJ$255,7,0)*VLOOKUP(tabCustoUnit[[#This Row],[Código do Posto]],PARAMETROS!$A$4:$BJ$255,8,0)),0)
)</f>
        <v>0</v>
      </c>
      <c r="BE132" s="22">
        <f>tabCustoUnit[[#This Row],[Suspensão Temporária do Contrato de Trabalho]]</f>
        <v>0</v>
      </c>
      <c r="BF132" s="22">
        <f>tabCustoUnit[[#This Row],[Submódulo 4.1]]+tabCustoUnit[[#This Row],[Submódulo 4.2]]+tabCustoUnit[[#This Row],[Submódulo 4.3]]</f>
        <v>27.595449135550833</v>
      </c>
      <c r="BG132" s="22">
        <f>VLOOKUP(tabCustoUnit[[#This Row],[Código do Posto]],tabParametros[],MATCH(tabCustoUnit[[#Headers],[Uniformes e EPIs]],tabParametros[#Headers],0),0)</f>
        <v>100.80916666666666</v>
      </c>
      <c r="BH132" s="22">
        <f>VLOOKUP(tabCustoUnit[[#This Row],[Código do Posto]],tabParametros[],MATCH(tabCustoUnit[[#Headers],[Materiais de Consumo]],tabParametros[#Headers],0),0)</f>
        <v>35.518212958583888</v>
      </c>
      <c r="BI132" s="22">
        <f>VLOOKUP(tabCustoUnit[[#This Row],[Código do Posto]],tabParametros[],MATCH(tabCustoUnit[[#Headers],[Máquinas e Equipamentos (depreciação)]],tabParametros[#Headers],0),0)</f>
        <v>64.529393914825576</v>
      </c>
      <c r="BJ132" s="22">
        <f>VLOOKUP(tabCustoUnit[[#This Row],[Código do Posto]],tabParametros[],MATCH(tabCustoUnit[[#Headers],[Produtos de Limpeza e Materiais de Higiene Pessoal]],tabParametros[#Headers],0),0)</f>
        <v>690.27153277931654</v>
      </c>
      <c r="BK132" s="22">
        <f>VLOOKUP(tabCustoUnit[[#This Row],[Código do Posto]],tabParametros[],MATCH(tabCustoUnit[[#Headers],[Outros (especificar)]],tabParametros[#Headers],0),0)</f>
        <v>0</v>
      </c>
      <c r="BL132" s="22">
        <f>SUM(tabCustoUnit[[#This Row],[Uniformes e EPIs]:[Outros (especificar)]])</f>
        <v>891.12830631939266</v>
      </c>
      <c r="BM132" s="22">
        <f>tabCustoUnit[[#This Row],[MODULO 1 - REMUNERAÇÃO ]]+tabCustoUnit[[#This Row],[MÓDULO 2 - Total Encargos e Benefícios mensais e diários]]+tabCustoUnit[[#This Row],[MÓDULO 3 – PROVISÃO PARA RESCISÃO]]+tabCustoUnit[[#This Row],[MÓDULO 4 – CUSTO DE REPOSIÇÃO DO PROFISSIONAL AUSENTE]]+tabCustoUnit[[#This Row],[MÓDULO 5 – INSUMOS DIVERSOS]]</f>
        <v>4502.1288091737833</v>
      </c>
      <c r="BN132" s="22">
        <f>VLOOKUP(tabCustoUnit[[#This Row],[Código do Posto]],tabParametros[],MATCH(tabCustoUnit[[#Headers],[Custos Indiretos]],tabParametros[#Headers],0),0)</f>
        <v>189.64880140242613</v>
      </c>
      <c r="BO132" s="22">
        <f>VLOOKUP(tabCustoUnit[[#This Row],[Código do Posto]],tabParametros[],MATCH(tabCustoUnit[[#Headers],[Lucro]],tabParametros[#Headers],0),0)</f>
        <v>159.30499317803796</v>
      </c>
      <c r="BP132" s="26">
        <f>((100/((1-tabCustoUnit[[#This Row],[Resumo de Alíquotas (PIS+CONFINS+ISS)]]))-100)*VLOOKUP(tabCustoUnit[[#This Row],[Código do Posto]],tabParametros[],MATCH(tabCustoUnit[[#Headers],[COFINS]],tabParametros[#Headers],0),0))/(tabCustoUnit[[#This Row],[Resumo de Alíquotas (PIS+CONFINS+ISS)]]*100)</f>
        <v>8.7608069164265154E-2</v>
      </c>
      <c r="BQ132" s="26">
        <f>((100/((100-(tabCustoUnit[[#This Row],[Resumo de Alíquotas (PIS+CONFINS+ISS)]]*100))%)-100)*VLOOKUP(tabCustoUnit[[#This Row],[Código do Posto]],tabParametros[],MATCH(tabCustoUnit[[#Headers],[PIS]],tabParametros[#Headers],0),0))/(tabCustoUnit[[#This Row],[Resumo de Alíquotas (PIS+CONFINS+ISS)]]*100)</f>
        <v>1.9020172910662814E-2</v>
      </c>
      <c r="BR132" s="28">
        <f>VLOOKUP(tabCustoUnit[[#This Row],[Código do Posto]],tabParametros[],MATCH(tabCustoUnit[[#Headers],[ISS]],tabParametros[#Headers],0),0)</f>
        <v>0.04</v>
      </c>
      <c r="BS132" s="26">
        <f>(((100/((100-(tabCustoUnit[[#This Row],[Resumo de Alíquotas (PIS+CONFINS+ISS)]]*100))%)-100)*tabCustoUnit[[#This Row],[ISS]])/tabCustoUnit[[#This Row],[Resumo de Alíquotas (PIS+CONFINS+ISS)]])/100</f>
        <v>4.6109510086455294E-2</v>
      </c>
      <c r="BT132" s="26">
        <f>(VLOOKUP(tabCustoUnit[[#This Row],[Código do Posto]],tabParametros[],MATCH(tabCustoUnit[[#Headers],[COFINS]],tabParametros[#Headers],0),0)+
VLOOKUP(tabCustoUnit[[#This Row],[Código do Posto]],tabParametros[],MATCH(tabCustoUnit[[#Headers],[PIS]],tabParametros[#Headers],0),0)+
VLOOKUP(tabCustoUnit[[#This Row],[Código do Posto]],tabParametros[],MATCH(tabCustoUnit[[#Headers],[ISS]],tabParametros[#Headers],0),0))</f>
        <v>0.13250000000000001</v>
      </c>
      <c r="BU132" s="138">
        <f>tabCustoUnit[[#This Row],[COFINS]]+tabCustoUnit[[#This Row],[PIS]]+tabCustoUnit[[#This Row],[ISS (Conversão Alíquota s/ fatura)]]</f>
        <v>0.15273775216138324</v>
      </c>
      <c r="BV132" s="22">
        <f>(tabCustoUnit[[#This Row],[TOTAL MÓDULOS 1+2+3+4+5]]+tabCustoUnit[[#This Row],[Custos Indiretos]]+tabCustoUnit[[#This Row],[Lucro]])*tabCustoUnit[[#This Row],[PIS + COFINS + ISS (Total Conversão  Alíquota s/ Fatura)]]</f>
        <v>740.94345244661395</v>
      </c>
      <c r="BW132" s="22">
        <f>tabCustoUnit[[#This Row],[Custos Indiretos]]+tabCustoUnit[[#This Row],[Lucro]]+tabCustoUnit[[#This Row],[Valor dos Tributos (ISS, PIS, CONFINS)]]</f>
        <v>1089.897247027078</v>
      </c>
      <c r="BX132" s="22">
        <f>tabCustoUnit[[#This Row],[TOTAL MÓDULOS 1+2+3+4+5]]+tabCustoUnit[[#This Row],[MÓDULO 6 – CUSTOS INDIRETOS, TRIBUTOS E LUCRO]]</f>
        <v>5592.0260562008616</v>
      </c>
      <c r="BY132" s="22">
        <f>tabCustoUnit[[#This Row],[CUSTO TOTAL MENSAL]]*12</f>
        <v>67104.312674410336</v>
      </c>
      <c r="BZ132" s="24">
        <f>VLOOKUP(tabCustoUnit[[#This Row],[Código do Posto]],tabParametros[],MATCH(tabCustoUnit[[#Headers],[ANO DA CCT]],tabParametros[#Headers],0),0)</f>
        <v>45658</v>
      </c>
      <c r="CA132" s="25" t="str">
        <f>VLOOKUP(tabCustoUnit[[#This Row],[Código do Posto]],tabParametros[],MATCH(tabCustoUnit[[#Headers],[Nº DE PEDIDO DA CCT]],tabParametros[#Headers],0),0)</f>
        <v>-</v>
      </c>
      <c r="CB132" s="25" t="str">
        <f>VLOOKUP(tabCustoUnit[[#This Row],[Código do Posto]],tabParametros[],MATCH(tabCustoUnit[[#Headers],[TERMO ADITIVO ALTERAÇÃO DA CCT]],tabParametros[#Headers],0),0)</f>
        <v>-</v>
      </c>
    </row>
    <row r="133" spans="1:80" x14ac:dyDescent="0.25">
      <c r="A133" s="20" t="s">
        <v>1469</v>
      </c>
      <c r="B133" t="s">
        <v>121</v>
      </c>
      <c r="C133" t="s">
        <v>1245</v>
      </c>
      <c r="D133" t="s">
        <v>1041</v>
      </c>
      <c r="E133" s="20" t="s">
        <v>9</v>
      </c>
      <c r="F133" s="20" t="s">
        <v>10</v>
      </c>
      <c r="G133" s="21">
        <v>1596.28</v>
      </c>
      <c r="H133" s="21">
        <v>0</v>
      </c>
      <c r="I133" s="21">
        <v>0</v>
      </c>
      <c r="J133" s="21">
        <v>0</v>
      </c>
      <c r="K133" s="21">
        <v>0</v>
      </c>
      <c r="L133" s="21">
        <v>0</v>
      </c>
      <c r="M133" s="21">
        <v>0</v>
      </c>
      <c r="N133" s="21">
        <v>52.241900000000001</v>
      </c>
      <c r="O133" s="21">
        <f>SUM(tabCustoUnit[[#This Row],[Salário Base]:[Adicional de Acúmulo de função]])</f>
        <v>1648.5219</v>
      </c>
      <c r="P133" s="21">
        <f>tabCustoUnit[[#This Row],[MODULO 1 - REMUNERAÇÃO ]]*SUMIFS(tabParametros[INSS],tabParametros[Código do Posto],tabCustoUnit[[#This Row],[Código do Posto]])</f>
        <v>329.70438000000001</v>
      </c>
      <c r="Q133" s="21">
        <f>tabCustoUnit[[#This Row],[MODULO 1 - REMUNERAÇÃO ]]*SUMIFS(tabParametros[SESI OU SESC],tabParametros[Código do Posto],tabCustoUnit[[#This Row],[Código do Posto]])</f>
        <v>24.727828499999998</v>
      </c>
      <c r="R133" s="21">
        <f>tabCustoUnit[[#This Row],[MODULO 1 - REMUNERAÇÃO ]]*SUMIFS(tabParametros[SENAI OU SENAC],tabParametros[Código do Posto],tabCustoUnit[[#This Row],[Código do Posto]])</f>
        <v>16.485219000000001</v>
      </c>
      <c r="S133" s="21">
        <f>tabCustoUnit[[#This Row],[MODULO 1 - REMUNERAÇÃO ]]*SUMIFS(tabParametros[INCRA],tabParametros[Código do Posto],tabCustoUnit[[#This Row],[Código do Posto]])</f>
        <v>3.2970438</v>
      </c>
      <c r="T133" s="21">
        <f>tabCustoUnit[[#This Row],[MODULO 1 - REMUNERAÇÃO ]]*SUMIFS(tabParametros[Salário Educação],tabParametros[Código do Posto],tabCustoUnit[[#This Row],[Código do Posto]])</f>
        <v>41.213047500000002</v>
      </c>
      <c r="U133" s="21">
        <f>tabCustoUnit[[#This Row],[MODULO 1 - REMUNERAÇÃO ]]*SUMIFS(tabParametros[FGTS],tabParametros[Código do Posto],tabCustoUnit[[#This Row],[Código do Posto]])</f>
        <v>131.88175200000001</v>
      </c>
      <c r="V133" s="21">
        <f>tabCustoUnit[[#This Row],[MODULO 1 - REMUNERAÇÃO ]]*SUMIFS(tabParametros[RAT Ajustado],tabParametros[Código do Posto],tabCustoUnit[[#This Row],[Código do Posto]])</f>
        <v>65.940876000000003</v>
      </c>
      <c r="W133" s="21">
        <f>tabCustoUnit[[#This Row],[MODULO 1 - REMUNERAÇÃO ]]*SUMIFS(tabParametros[SEBRAE],tabParametros[Código do Posto],tabCustoUnit[[#This Row],[Código do Posto]])</f>
        <v>9.8911314000000008</v>
      </c>
      <c r="X133" s="21">
        <f>SUM(tabCustoUnit[[#This Row],[INSS]:[SEBRAE]])</f>
        <v>623.14127819999999</v>
      </c>
      <c r="Y133" s="21">
        <f>tabCustoUnit[[#This Row],[MODULO 1 - REMUNERAÇÃO ]]*SUMIFS(tabParametros[13º salário (titular)],tabParametros[Código do Posto],tabCustoUnit[[#This Row],[Código do Posto]])</f>
        <v>137.376825</v>
      </c>
      <c r="Z133" s="21">
        <f>tabCustoUnit[[#This Row],[MODULO 1 - REMUNERAÇÃO ]]*SUMIFS(tabParametros[Férias e Adicional de Férias (titular)],tabParametros[Código do Posto],tabCustoUnit[[#This Row],[Código do Posto]])</f>
        <v>183.16909999999999</v>
      </c>
      <c r="AA133" s="21">
        <f>IFERROR((tabCustoUnit[[#This Row],[Submódulo 2.1]]/tabCustoUnit[[#This Row],[MODULO 1 - REMUNERAÇÃO ]])*SUM(tabCustoUnit[[#This Row],[13º salário (titular)]:[Férias e Adicional de Férias (titular)]]),0)</f>
        <v>121.16635965</v>
      </c>
      <c r="AB133" s="21">
        <f>SUM(tabCustoUnit[[#This Row],[13º salário (titular)]:[Incidência do Submódulo 2.1 sobre 13º Salário, Férias e Adicional de Férias]])</f>
        <v>441.71228465000002</v>
      </c>
      <c r="AC133" s="22">
        <f>_xlfn.LET(_xlpm.VT,SUMIF(tabParametros[Código do Posto],tabCustoUnit[[#This Row],[Código do Posto]],tabParametros[Vale - Transporte])*2*20,
IF((_xlpm.VT-tabCustoUnit[[#This Row],[Salário Base]]*0.06)&gt;=0,(_xlpm.VT-tabCustoUnit[[#This Row],[Salário Base]]*0.06),0)
)</f>
        <v>160.22320000000002</v>
      </c>
      <c r="AD133" s="22">
        <f>IF(SUMIF(tabParametros[Código do Posto],tabCustoUnit[[#This Row],[Código do Posto]],tabParametros[Vale - Alimentação])&lt;=0,0,
SUMIF(tabParametros[Código do Posto],tabCustoUnit[[#This Row],[Código do Posto]],tabParametros[Vale - Alimentação])*20-1)</f>
        <v>582</v>
      </c>
      <c r="AE133" s="22">
        <f>SUMIF(tabParametros[Código do Posto],tabCustoUnit[[#This Row],[Código do Posto]],tabParametros[Cesta Básica])</f>
        <v>0</v>
      </c>
      <c r="AF133" s="22">
        <f>SUMIF(tabParametros[Código do Posto],tabCustoUnit[[#This Row],[Código do Posto]],tabParametros[PAF])</f>
        <v>51.86</v>
      </c>
      <c r="AG133" s="22">
        <f>SUMIF(tabParametros[Código do Posto],tabCustoUnit[[#This Row],[Código do Posto]],tabParametros[PQM])</f>
        <v>0</v>
      </c>
      <c r="AH133" s="22">
        <f>SUMIF(tabParametros[Código do Posto],tabCustoUnit[[#This Row],[Código do Posto]],tabParametros[PAT])</f>
        <v>0</v>
      </c>
      <c r="AI133" s="22">
        <f>SUMIF(tabParametros[Código do Posto],tabCustoUnit[[#This Row],[Código do Posto]],tabParametros[Seguro de Vida])</f>
        <v>3.36</v>
      </c>
      <c r="AJ133" s="22">
        <f>SUMIF(tabParametros[Código do Posto],tabCustoUnit[[#This Row],[Código do Posto]],tabParametros[Despesas de Viagem])</f>
        <v>0</v>
      </c>
      <c r="AK133" s="22">
        <f>SUM(tabCustoUnit[[#This Row],[Vale - Transporte (Descontada parcela do empregado)]:[Despesas de Viagem]])</f>
        <v>797.44320000000005</v>
      </c>
      <c r="AL133" s="22">
        <f>tabCustoUnit[[#This Row],[Submódulo 2.1]]+tabCustoUnit[[#This Row],[Submódulo 2.2]]+tabCustoUnit[[#This Row],[Submódulo 2.3]]</f>
        <v>1862.2967628500001</v>
      </c>
      <c r="AM133" s="22">
        <f>SUMIF(tabParametros[Código do Posto],tabCustoUnit[[#This Row],[Código do Posto]],tabParametros[Aviso Prévio Indenizado (API) e Reflexo do Aviso Prévio Indenizado])*tabCustoUnit[[#This Row],[MODULO 1 - REMUNERAÇÃO ]]</f>
        <v>11.559051416493055</v>
      </c>
      <c r="AN133" s="22">
        <f>SUMIF(tabParametros[Código do Posto],tabCustoUnit[[#This Row],[Código do Posto]],tabParametros[Incidência do FGTS sobre API e Reflexo do API])*tabCustoUnit[[#This Row],[MODULO 1 - REMUNERAÇÃO ]]</f>
        <v>0.92472411331944449</v>
      </c>
      <c r="AO133" s="22">
        <f>SUMIF(tabParametros[Código do Posto],tabCustoUnit[[#This Row],[Código do Posto]],tabParametros[Multa Rescisória do FGTS sobre o Aviso Prévio Indenizado])*tabCustoUnit[[#This Row],[MODULO 1 - REMUNERAÇÃO ]]</f>
        <v>0.36988964532777785</v>
      </c>
      <c r="AP133" s="22">
        <f>SUMIF(tabParametros[Código do Posto],tabCustoUnit[[#This Row],[Código do Posto]],tabParametros[Aviso Prévio Trabalhado - APT])*tabCustoUnit[[#This Row],[MODULO 1 - REMUNERAÇÃO ]]</f>
        <v>5.7698266500000006</v>
      </c>
      <c r="AQ133" s="22">
        <f>SUMIF(tabParametros[Código do Posto],tabCustoUnit[[#This Row],[Código do Posto]],tabParametros[Incidência dos encargos do submódulo 2.1 sobre Aviso Prévio Trabalhado])*tabCustoUnit[[#This Row],[MODULO 1 - REMUNERAÇÃO ]]</f>
        <v>2.1809944737000007</v>
      </c>
      <c r="AR133" s="22">
        <f>SUMIF(tabParametros[Código do Posto],tabCustoUnit[[#This Row],[Código do Posto]],tabParametros[Multa Rescisória do FGTS])*tabCustoUnit[[#This Row],[MODULO 1 - REMUNERAÇÃO ]]</f>
        <v>50.40813631999999</v>
      </c>
      <c r="AS133" s="22">
        <f>SUMIF(tabParametros[Código do Posto],tabCustoUnit[[#This Row],[Código do Posto]],tabParametros[Indenização Adicional (Art. 9º da Lei nº 7.238/84)])*tabCustoUnit[[#This Row],[MODULO 1 - REMUNERAÇÃO ]]</f>
        <v>1.3737682500000001</v>
      </c>
      <c r="AT133" s="22">
        <f>SUM(tabCustoUnit[[#This Row],[Aviso Prévio Indenizado (API) e Reflexo do Aviso Prévio Indenizado]:[Indenização Adicional (Art. 9º da Lei nº 7.238/84)]])</f>
        <v>72.586390868840269</v>
      </c>
      <c r="AU133" s="22">
        <f>SUMIF(tabParametros[Código do Posto],tabCustoUnit[[#This Row],[Código do Posto]],tabParametros[Ausência por Doença])*tabCustoUnit[[#This Row],[MODULO 1 - REMUNERAÇÃO ]]</f>
        <v>13.920851599999999</v>
      </c>
      <c r="AV133" s="22">
        <f>SUMIF(tabParametros[Código do Posto],tabCustoUnit[[#This Row],[Código do Posto]],tabParametros[Ausências Legais])*tabCustoUnit[[#This Row],[MODULO 1 - REMUNERAÇÃO ]]</f>
        <v>3.3428360749999997</v>
      </c>
      <c r="AW133" s="22">
        <f>SUMIF(tabParametros[Código do Posto],tabCustoUnit[[#This Row],[Código do Posto]],tabParametros[Licença Paternidade])*tabCustoUnit[[#This Row],[MODULO 1 - REMUNERAÇÃO ]]</f>
        <v>0.28162249125</v>
      </c>
      <c r="AX133" s="22">
        <f>SUMIF(tabParametros[Código do Posto],tabCustoUnit[[#This Row],[Código do Posto]],tabParametros[Ausência por Acidente de Trabalho])*tabCustoUnit[[#This Row],[MODULO 1 - REMUNERAÇÃO ]]</f>
        <v>0.34344206250000003</v>
      </c>
      <c r="AY133" s="22">
        <f>SUMIF(tabParametros[Código do Posto],tabCustoUnit[[#This Row],[Código do Posto]],tabParametros[Férias, Adicional de Férias e 13º  com empregada em gozo de Licença Maternidade])*tabCustoUnit[[#This Row],[MODULO 1 - REMUNERAÇÃO ]]</f>
        <v>2.1369728333333331</v>
      </c>
      <c r="AZ133" s="22">
        <f>SUMIF(tabParametros[Código do Posto],tabCustoUnit[[#This Row],[Código do Posto]],tabParametros[Incidência do Submódulo 2.1 sobre Ausências Legais])*tabCustoUnit[[#This Row],[MODULO 1 - REMUNERAÇÃO ]]</f>
        <v>7.5697240734675013</v>
      </c>
      <c r="BA133" s="22">
        <f>SUM(tabCustoUnit[[#This Row],[Ausência por Doença]:[Incidência do Submódulo 2.1 sobre Ausências Legais]])</f>
        <v>27.595449135550833</v>
      </c>
      <c r="BB133" s="22">
        <f>SUMIF(tabParametros[Código do Posto],tabCustoUnit[[#This Row],[Código do Posto]],tabParametros[Intervalo para Repouso ou Alimentação])</f>
        <v>0</v>
      </c>
      <c r="BC133" s="22">
        <f>tabCustoUnit[[#This Row],[Intervalo para Repouso ou Alimentação]]</f>
        <v>0</v>
      </c>
      <c r="BD133" s="22">
        <f>IF(VLOOKUP(tabCustoUnit[[#This Row],[Código do Posto]],PARAMETROS!$A$4:$BJ$255,7,0)&lt;=0,0,
IFERROR((tabCustoUnit[[#This Row],[MODULO 1 - REMUNERAÇÃO ]]*VLOOKUP(tabCustoUnit[[#This Row],[Código do Posto]],PARAMETROS!$A$4:$BJ$255,49,0))/(VLOOKUP(tabCustoUnit[[#This Row],[Código do Posto]],PARAMETROS!$A$4:$BJ$255,7,0)*VLOOKUP(tabCustoUnit[[#This Row],[Código do Posto]],PARAMETROS!$A$4:$BJ$255,8,0)),0)
)</f>
        <v>0</v>
      </c>
      <c r="BE133" s="22">
        <f>tabCustoUnit[[#This Row],[Suspensão Temporária do Contrato de Trabalho]]</f>
        <v>0</v>
      </c>
      <c r="BF133" s="22">
        <f>tabCustoUnit[[#This Row],[Submódulo 4.1]]+tabCustoUnit[[#This Row],[Submódulo 4.2]]+tabCustoUnit[[#This Row],[Submódulo 4.3]]</f>
        <v>27.595449135550833</v>
      </c>
      <c r="BG133" s="22">
        <f>VLOOKUP(tabCustoUnit[[#This Row],[Código do Posto]],tabParametros[],MATCH(tabCustoUnit[[#Headers],[Uniformes e EPIs]],tabParametros[#Headers],0),0)</f>
        <v>100.80916666666666</v>
      </c>
      <c r="BH133" s="22">
        <f>VLOOKUP(tabCustoUnit[[#This Row],[Código do Posto]],tabParametros[],MATCH(tabCustoUnit[[#Headers],[Materiais de Consumo]],tabParametros[#Headers],0),0)</f>
        <v>35.518212958583888</v>
      </c>
      <c r="BI133" s="22">
        <f>VLOOKUP(tabCustoUnit[[#This Row],[Código do Posto]],tabParametros[],MATCH(tabCustoUnit[[#Headers],[Máquinas e Equipamentos (depreciação)]],tabParametros[#Headers],0),0)</f>
        <v>64.529393914825576</v>
      </c>
      <c r="BJ133" s="22">
        <f>VLOOKUP(tabCustoUnit[[#This Row],[Código do Posto]],tabParametros[],MATCH(tabCustoUnit[[#Headers],[Produtos de Limpeza e Materiais de Higiene Pessoal]],tabParametros[#Headers],0),0)</f>
        <v>690.27153277931654</v>
      </c>
      <c r="BK133" s="22">
        <f>VLOOKUP(tabCustoUnit[[#This Row],[Código do Posto]],tabParametros[],MATCH(tabCustoUnit[[#Headers],[Outros (especificar)]],tabParametros[#Headers],0),0)</f>
        <v>0</v>
      </c>
      <c r="BL133" s="22">
        <f>SUM(tabCustoUnit[[#This Row],[Uniformes e EPIs]:[Outros (especificar)]])</f>
        <v>891.12830631939266</v>
      </c>
      <c r="BM133" s="22">
        <f>tabCustoUnit[[#This Row],[MODULO 1 - REMUNERAÇÃO ]]+tabCustoUnit[[#This Row],[MÓDULO 2 - Total Encargos e Benefícios mensais e diários]]+tabCustoUnit[[#This Row],[MÓDULO 3 – PROVISÃO PARA RESCISÃO]]+tabCustoUnit[[#This Row],[MÓDULO 4 – CUSTO DE REPOSIÇÃO DO PROFISSIONAL AUSENTE]]+tabCustoUnit[[#This Row],[MÓDULO 5 – INSUMOS DIVERSOS]]</f>
        <v>4502.1288091737833</v>
      </c>
      <c r="BN133" s="22">
        <f>VLOOKUP(tabCustoUnit[[#This Row],[Código do Posto]],tabParametros[],MATCH(tabCustoUnit[[#Headers],[Custos Indiretos]],tabParametros[#Headers],0),0)</f>
        <v>189.64880140242613</v>
      </c>
      <c r="BO133" s="22">
        <f>VLOOKUP(tabCustoUnit[[#This Row],[Código do Posto]],tabParametros[],MATCH(tabCustoUnit[[#Headers],[Lucro]],tabParametros[#Headers],0),0)</f>
        <v>159.30499317803796</v>
      </c>
      <c r="BP133" s="26">
        <f>((100/((1-tabCustoUnit[[#This Row],[Resumo de Alíquotas (PIS+CONFINS+ISS)]]))-100)*VLOOKUP(tabCustoUnit[[#This Row],[Código do Posto]],tabParametros[],MATCH(tabCustoUnit[[#Headers],[COFINS]],tabParametros[#Headers],0),0))/(tabCustoUnit[[#This Row],[Resumo de Alíquotas (PIS+CONFINS+ISS)]]*100)</f>
        <v>8.6609686609686695E-2</v>
      </c>
      <c r="BQ133" s="26">
        <f>((100/((100-(tabCustoUnit[[#This Row],[Resumo de Alíquotas (PIS+CONFINS+ISS)]]*100))%)-100)*VLOOKUP(tabCustoUnit[[#This Row],[Código do Posto]],tabParametros[],MATCH(tabCustoUnit[[#Headers],[PIS]],tabParametros[#Headers],0),0))/(tabCustoUnit[[#This Row],[Resumo de Alíquotas (PIS+CONFINS+ISS)]]*100)</f>
        <v>1.880341880341882E-2</v>
      </c>
      <c r="BR133" s="28">
        <f>VLOOKUP(tabCustoUnit[[#This Row],[Código do Posto]],tabParametros[],MATCH(tabCustoUnit[[#Headers],[ISS]],tabParametros[#Headers],0),0)</f>
        <v>0.03</v>
      </c>
      <c r="BS133" s="26">
        <f>(((100/((100-(tabCustoUnit[[#This Row],[Resumo de Alíquotas (PIS+CONFINS+ISS)]]*100))%)-100)*tabCustoUnit[[#This Row],[ISS]])/tabCustoUnit[[#This Row],[Resumo de Alíquotas (PIS+CONFINS+ISS)]])/100</f>
        <v>3.4188034188034219E-2</v>
      </c>
      <c r="BT133" s="26">
        <f>(VLOOKUP(tabCustoUnit[[#This Row],[Código do Posto]],tabParametros[],MATCH(tabCustoUnit[[#Headers],[COFINS]],tabParametros[#Headers],0),0)+
VLOOKUP(tabCustoUnit[[#This Row],[Código do Posto]],tabParametros[],MATCH(tabCustoUnit[[#Headers],[PIS]],tabParametros[#Headers],0),0)+
VLOOKUP(tabCustoUnit[[#This Row],[Código do Posto]],tabParametros[],MATCH(tabCustoUnit[[#Headers],[ISS]],tabParametros[#Headers],0),0))</f>
        <v>0.1225</v>
      </c>
      <c r="BU133" s="138">
        <f>tabCustoUnit[[#This Row],[COFINS]]+tabCustoUnit[[#This Row],[PIS]]+tabCustoUnit[[#This Row],[ISS (Conversão Alíquota s/ fatura)]]</f>
        <v>0.13960113960113973</v>
      </c>
      <c r="BV133" s="22">
        <f>(tabCustoUnit[[#This Row],[TOTAL MÓDULOS 1+2+3+4+5]]+tabCustoUnit[[#This Row],[Custos Indiretos]]+tabCustoUnit[[#This Row],[Lucro]])*tabCustoUnit[[#This Row],[PIS + COFINS + ISS (Total Conversão  Alíquota s/ Fatura)]]</f>
        <v>677.21665978335716</v>
      </c>
      <c r="BW133" s="22">
        <f>tabCustoUnit[[#This Row],[Custos Indiretos]]+tabCustoUnit[[#This Row],[Lucro]]+tabCustoUnit[[#This Row],[Valor dos Tributos (ISS, PIS, CONFINS)]]</f>
        <v>1026.1704543638211</v>
      </c>
      <c r="BX133" s="22">
        <f>tabCustoUnit[[#This Row],[TOTAL MÓDULOS 1+2+3+4+5]]+tabCustoUnit[[#This Row],[MÓDULO 6 – CUSTOS INDIRETOS, TRIBUTOS E LUCRO]]</f>
        <v>5528.2992635376049</v>
      </c>
      <c r="BY133" s="22">
        <f>tabCustoUnit[[#This Row],[CUSTO TOTAL MENSAL]]*12</f>
        <v>66339.591162451252</v>
      </c>
      <c r="BZ133" s="24">
        <f>VLOOKUP(tabCustoUnit[[#This Row],[Código do Posto]],tabParametros[],MATCH(tabCustoUnit[[#Headers],[ANO DA CCT]],tabParametros[#Headers],0),0)</f>
        <v>45658</v>
      </c>
      <c r="CA133" s="25" t="str">
        <f>VLOOKUP(tabCustoUnit[[#This Row],[Código do Posto]],tabParametros[],MATCH(tabCustoUnit[[#Headers],[Nº DE PEDIDO DA CCT]],tabParametros[#Headers],0),0)</f>
        <v>-</v>
      </c>
      <c r="CB133" s="25" t="str">
        <f>VLOOKUP(tabCustoUnit[[#This Row],[Código do Posto]],tabParametros[],MATCH(tabCustoUnit[[#Headers],[TERMO ADITIVO ALTERAÇÃO DA CCT]],tabParametros[#Headers],0),0)</f>
        <v>-</v>
      </c>
    </row>
    <row r="134" spans="1:80" x14ac:dyDescent="0.25">
      <c r="A134" s="20" t="s">
        <v>1470</v>
      </c>
      <c r="B134" t="s">
        <v>122</v>
      </c>
      <c r="C134" t="s">
        <v>1247</v>
      </c>
      <c r="D134" t="s">
        <v>1026</v>
      </c>
      <c r="E134" s="20" t="s">
        <v>9</v>
      </c>
      <c r="F134" s="20" t="s">
        <v>10</v>
      </c>
      <c r="G134" s="21">
        <v>544.17999999999995</v>
      </c>
      <c r="H134" s="21">
        <v>0</v>
      </c>
      <c r="I134" s="21">
        <v>0</v>
      </c>
      <c r="J134" s="21">
        <v>0</v>
      </c>
      <c r="K134" s="21">
        <v>0</v>
      </c>
      <c r="L134" s="21">
        <v>0</v>
      </c>
      <c r="M134" s="21">
        <v>0</v>
      </c>
      <c r="N134" s="21">
        <v>19.590499999999999</v>
      </c>
      <c r="O134" s="21">
        <f>SUM(tabCustoUnit[[#This Row],[Salário Base]:[Adicional de Acúmulo de função]])</f>
        <v>563.77049999999997</v>
      </c>
      <c r="P134" s="21">
        <f>tabCustoUnit[[#This Row],[MODULO 1 - REMUNERAÇÃO ]]*SUMIFS(tabParametros[INSS],tabParametros[Código do Posto],tabCustoUnit[[#This Row],[Código do Posto]])</f>
        <v>112.75409999999999</v>
      </c>
      <c r="Q134" s="21">
        <f>tabCustoUnit[[#This Row],[MODULO 1 - REMUNERAÇÃO ]]*SUMIFS(tabParametros[SESI OU SESC],tabParametros[Código do Posto],tabCustoUnit[[#This Row],[Código do Posto]])</f>
        <v>8.4565574999999988</v>
      </c>
      <c r="R134" s="21">
        <f>tabCustoUnit[[#This Row],[MODULO 1 - REMUNERAÇÃO ]]*SUMIFS(tabParametros[SENAI OU SENAC],tabParametros[Código do Posto],tabCustoUnit[[#This Row],[Código do Posto]])</f>
        <v>5.6377049999999995</v>
      </c>
      <c r="S134" s="21">
        <f>tabCustoUnit[[#This Row],[MODULO 1 - REMUNERAÇÃO ]]*SUMIFS(tabParametros[INCRA],tabParametros[Código do Posto],tabCustoUnit[[#This Row],[Código do Posto]])</f>
        <v>1.1275409999999999</v>
      </c>
      <c r="T134" s="21">
        <f>tabCustoUnit[[#This Row],[MODULO 1 - REMUNERAÇÃO ]]*SUMIFS(tabParametros[Salário Educação],tabParametros[Código do Posto],tabCustoUnit[[#This Row],[Código do Posto]])</f>
        <v>14.094262499999999</v>
      </c>
      <c r="U134" s="21">
        <f>tabCustoUnit[[#This Row],[MODULO 1 - REMUNERAÇÃO ]]*SUMIFS(tabParametros[FGTS],tabParametros[Código do Posto],tabCustoUnit[[#This Row],[Código do Posto]])</f>
        <v>45.101639999999996</v>
      </c>
      <c r="V134" s="21">
        <f>tabCustoUnit[[#This Row],[MODULO 1 - REMUNERAÇÃO ]]*SUMIFS(tabParametros[RAT Ajustado],tabParametros[Código do Posto],tabCustoUnit[[#This Row],[Código do Posto]])</f>
        <v>22.550819999999998</v>
      </c>
      <c r="W134" s="21">
        <f>tabCustoUnit[[#This Row],[MODULO 1 - REMUNERAÇÃO ]]*SUMIFS(tabParametros[SEBRAE],tabParametros[Código do Posto],tabCustoUnit[[#This Row],[Código do Posto]])</f>
        <v>3.3826229999999997</v>
      </c>
      <c r="X134" s="21">
        <f>SUM(tabCustoUnit[[#This Row],[INSS]:[SEBRAE]])</f>
        <v>213.10524899999996</v>
      </c>
      <c r="Y134" s="21">
        <f>tabCustoUnit[[#This Row],[MODULO 1 - REMUNERAÇÃO ]]*SUMIFS(tabParametros[13º salário (titular)],tabParametros[Código do Posto],tabCustoUnit[[#This Row],[Código do Posto]])</f>
        <v>46.980874999999997</v>
      </c>
      <c r="Z134" s="21">
        <f>tabCustoUnit[[#This Row],[MODULO 1 - REMUNERAÇÃO ]]*SUMIFS(tabParametros[Férias e Adicional de Férias (titular)],tabParametros[Código do Posto],tabCustoUnit[[#This Row],[Código do Posto]])</f>
        <v>62.641166666666663</v>
      </c>
      <c r="AA134" s="21">
        <f>IFERROR((tabCustoUnit[[#This Row],[Submódulo 2.1]]/tabCustoUnit[[#This Row],[MODULO 1 - REMUNERAÇÃO ]])*SUM(tabCustoUnit[[#This Row],[13º salário (titular)]:[Férias e Adicional de Férias (titular)]]),0)</f>
        <v>41.437131749999992</v>
      </c>
      <c r="AB134" s="21">
        <f>SUM(tabCustoUnit[[#This Row],[13º salário (titular)]:[Incidência do Submódulo 2.1 sobre 13º Salário, Férias e Adicional de Férias]])</f>
        <v>151.05917341666665</v>
      </c>
      <c r="AC134" s="22">
        <f>_xlfn.LET(_xlpm.VT,SUMIF(tabParametros[Código do Posto],tabCustoUnit[[#This Row],[Código do Posto]],tabParametros[Vale - Transporte])*2*20,
IF((_xlpm.VT-tabCustoUnit[[#This Row],[Salário Base]]*0.06)&gt;=0,(_xlpm.VT-tabCustoUnit[[#This Row],[Salário Base]]*0.06),0)
)</f>
        <v>223.3492</v>
      </c>
      <c r="AD134" s="22">
        <f>IF(SUMIF(tabParametros[Código do Posto],tabCustoUnit[[#This Row],[Código do Posto]],tabParametros[Vale - Alimentação])&lt;=0,0,
SUMIF(tabParametros[Código do Posto],tabCustoUnit[[#This Row],[Código do Posto]],tabParametros[Vale - Alimentação])*20-1)</f>
        <v>582</v>
      </c>
      <c r="AE134" s="22">
        <f>SUMIF(tabParametros[Código do Posto],tabCustoUnit[[#This Row],[Código do Posto]],tabParametros[Cesta Básica])</f>
        <v>0</v>
      </c>
      <c r="AF134" s="22">
        <f>SUMIF(tabParametros[Código do Posto],tabCustoUnit[[#This Row],[Código do Posto]],tabParametros[PAF])</f>
        <v>0</v>
      </c>
      <c r="AG134" s="22">
        <f>SUMIF(tabParametros[Código do Posto],tabCustoUnit[[#This Row],[Código do Posto]],tabParametros[PQM])</f>
        <v>15.07</v>
      </c>
      <c r="AH134" s="22">
        <f>SUMIF(tabParametros[Código do Posto],tabCustoUnit[[#This Row],[Código do Posto]],tabParametros[PAT])</f>
        <v>0</v>
      </c>
      <c r="AI134" s="22">
        <f>SUMIF(tabParametros[Código do Posto],tabCustoUnit[[#This Row],[Código do Posto]],tabParametros[Seguro de Vida])</f>
        <v>3.36</v>
      </c>
      <c r="AJ134" s="22">
        <f>SUMIF(tabParametros[Código do Posto],tabCustoUnit[[#This Row],[Código do Posto]],tabParametros[Despesas de Viagem])</f>
        <v>0</v>
      </c>
      <c r="AK134" s="22">
        <f>SUM(tabCustoUnit[[#This Row],[Vale - Transporte (Descontada parcela do empregado)]:[Despesas de Viagem]])</f>
        <v>823.77920000000006</v>
      </c>
      <c r="AL134" s="22">
        <f>tabCustoUnit[[#This Row],[Submódulo 2.1]]+tabCustoUnit[[#This Row],[Submódulo 2.2]]+tabCustoUnit[[#This Row],[Submódulo 2.3]]</f>
        <v>1187.9436224166666</v>
      </c>
      <c r="AM134" s="22">
        <f>SUMIF(tabParametros[Código do Posto],tabCustoUnit[[#This Row],[Código do Posto]],tabParametros[Aviso Prévio Indenizado (API) e Reflexo do Aviso Prévio Indenizado])*tabCustoUnit[[#This Row],[MODULO 1 - REMUNERAÇÃO ]]</f>
        <v>3.9530273735532404</v>
      </c>
      <c r="AN134" s="22">
        <f>SUMIF(tabParametros[Código do Posto],tabCustoUnit[[#This Row],[Código do Posto]],tabParametros[Incidência do FGTS sobre API e Reflexo do API])*tabCustoUnit[[#This Row],[MODULO 1 - REMUNERAÇÃO ]]</f>
        <v>0.31624218988425928</v>
      </c>
      <c r="AO134" s="22">
        <f>SUMIF(tabParametros[Código do Posto],tabCustoUnit[[#This Row],[Código do Posto]],tabParametros[Multa Rescisória do FGTS sobre o Aviso Prévio Indenizado])*tabCustoUnit[[#This Row],[MODULO 1 - REMUNERAÇÃO ]]</f>
        <v>0.12649687595370371</v>
      </c>
      <c r="AP134" s="22">
        <f>SUMIF(tabParametros[Código do Posto],tabCustoUnit[[#This Row],[Código do Posto]],tabParametros[Aviso Prévio Trabalhado - APT])*tabCustoUnit[[#This Row],[MODULO 1 - REMUNERAÇÃO ]]</f>
        <v>1.9731967500000003</v>
      </c>
      <c r="AQ134" s="22">
        <f>SUMIF(tabParametros[Código do Posto],tabCustoUnit[[#This Row],[Código do Posto]],tabParametros[Incidência dos encargos do submódulo 2.1 sobre Aviso Prévio Trabalhado])*tabCustoUnit[[#This Row],[MODULO 1 - REMUNERAÇÃO ]]</f>
        <v>0.74586837150000018</v>
      </c>
      <c r="AR134" s="22">
        <f>SUMIF(tabParametros[Código do Posto],tabCustoUnit[[#This Row],[Código do Posto]],tabParametros[Multa Rescisória do FGTS])*tabCustoUnit[[#This Row],[MODULO 1 - REMUNERAÇÃO ]]</f>
        <v>17.238849066666663</v>
      </c>
      <c r="AS134" s="22">
        <f>SUMIF(tabParametros[Código do Posto],tabCustoUnit[[#This Row],[Código do Posto]],tabParametros[Indenização Adicional (Art. 9º da Lei nº 7.238/84)])*tabCustoUnit[[#This Row],[MODULO 1 - REMUNERAÇÃO ]]</f>
        <v>0.46980875</v>
      </c>
      <c r="AT134" s="22">
        <f>SUM(tabCustoUnit[[#This Row],[Aviso Prévio Indenizado (API) e Reflexo do Aviso Prévio Indenizado]:[Indenização Adicional (Art. 9º da Lei nº 7.238/84)]])</f>
        <v>24.823489377557866</v>
      </c>
      <c r="AU134" s="22">
        <f>SUMIF(tabParametros[Código do Posto],tabCustoUnit[[#This Row],[Código do Posto]],tabParametros[Ausência por Doença])*tabCustoUnit[[#This Row],[MODULO 1 - REMUNERAÇÃO ]]</f>
        <v>4.7607286666666662</v>
      </c>
      <c r="AV134" s="22">
        <f>SUMIF(tabParametros[Código do Posto],tabCustoUnit[[#This Row],[Código do Posto]],tabParametros[Ausências Legais])*tabCustoUnit[[#This Row],[MODULO 1 - REMUNERAÇÃO ]]</f>
        <v>1.1432012916666665</v>
      </c>
      <c r="AW134" s="22">
        <f>SUMIF(tabParametros[Código do Posto],tabCustoUnit[[#This Row],[Código do Posto]],tabParametros[Licença Paternidade])*tabCustoUnit[[#This Row],[MODULO 1 - REMUNERAÇÃO ]]</f>
        <v>9.6310793749999998E-2</v>
      </c>
      <c r="AX134" s="22">
        <f>SUMIF(tabParametros[Código do Posto],tabCustoUnit[[#This Row],[Código do Posto]],tabParametros[Ausência por Acidente de Trabalho])*tabCustoUnit[[#This Row],[MODULO 1 - REMUNERAÇÃO ]]</f>
        <v>0.1174521875</v>
      </c>
      <c r="AY134" s="22">
        <f>SUMIF(tabParametros[Código do Posto],tabCustoUnit[[#This Row],[Código do Posto]],tabParametros[Férias, Adicional de Férias e 13º  com empregada em gozo de Licença Maternidade])*tabCustoUnit[[#This Row],[MODULO 1 - REMUNERAÇÃO ]]</f>
        <v>0.73081361111111109</v>
      </c>
      <c r="AZ134" s="22">
        <f>SUMIF(tabParametros[Código do Posto],tabCustoUnit[[#This Row],[Código do Posto]],tabParametros[Incidência do Submódulo 2.1 sobre Ausências Legais])*tabCustoUnit[[#This Row],[MODULO 1 - REMUNERAÇÃO ]]</f>
        <v>2.5887354761625003</v>
      </c>
      <c r="BA134" s="22">
        <f>SUM(tabCustoUnit[[#This Row],[Ausência por Doença]:[Incidência do Submódulo 2.1 sobre Ausências Legais]])</f>
        <v>9.4372420268569428</v>
      </c>
      <c r="BB134" s="22">
        <f>SUMIF(tabParametros[Código do Posto],tabCustoUnit[[#This Row],[Código do Posto]],tabParametros[Intervalo para Repouso ou Alimentação])</f>
        <v>0</v>
      </c>
      <c r="BC134" s="22">
        <f>tabCustoUnit[[#This Row],[Intervalo para Repouso ou Alimentação]]</f>
        <v>0</v>
      </c>
      <c r="BD134" s="22">
        <f>IF(VLOOKUP(tabCustoUnit[[#This Row],[Código do Posto]],PARAMETROS!$A$4:$BJ$255,7,0)&lt;=0,0,
IFERROR((tabCustoUnit[[#This Row],[MODULO 1 - REMUNERAÇÃO ]]*VLOOKUP(tabCustoUnit[[#This Row],[Código do Posto]],PARAMETROS!$A$4:$BJ$255,49,0))/(VLOOKUP(tabCustoUnit[[#This Row],[Código do Posto]],PARAMETROS!$A$4:$BJ$255,7,0)*VLOOKUP(tabCustoUnit[[#This Row],[Código do Posto]],PARAMETROS!$A$4:$BJ$255,8,0)),0)
)</f>
        <v>0</v>
      </c>
      <c r="BE134" s="22">
        <f>tabCustoUnit[[#This Row],[Suspensão Temporária do Contrato de Trabalho]]</f>
        <v>0</v>
      </c>
      <c r="BF134" s="22">
        <f>tabCustoUnit[[#This Row],[Submódulo 4.1]]+tabCustoUnit[[#This Row],[Submódulo 4.2]]+tabCustoUnit[[#This Row],[Submódulo 4.3]]</f>
        <v>9.4372420268569428</v>
      </c>
      <c r="BG134" s="22">
        <f>VLOOKUP(tabCustoUnit[[#This Row],[Código do Posto]],tabParametros[],MATCH(tabCustoUnit[[#Headers],[Uniformes e EPIs]],tabParametros[#Headers],0),0)</f>
        <v>62.806666666666665</v>
      </c>
      <c r="BH134" s="22">
        <f>VLOOKUP(tabCustoUnit[[#This Row],[Código do Posto]],tabParametros[],MATCH(tabCustoUnit[[#Headers],[Materiais de Consumo]],tabParametros[#Headers],0),0)</f>
        <v>12.108481690426325</v>
      </c>
      <c r="BI134" s="22">
        <f>VLOOKUP(tabCustoUnit[[#This Row],[Código do Posto]],tabParametros[],MATCH(tabCustoUnit[[#Headers],[Máquinas e Equipamentos (depreciação)]],tabParametros[#Headers],0),0)</f>
        <v>21.998657016417809</v>
      </c>
      <c r="BJ134" s="22">
        <f>VLOOKUP(tabCustoUnit[[#This Row],[Código do Posto]],tabParametros[],MATCH(tabCustoUnit[[#Headers],[Produtos de Limpeza e Materiais de Higiene Pessoal]],tabParametros[#Headers],0),0)</f>
        <v>235.31984072022155</v>
      </c>
      <c r="BK134" s="22">
        <f>VLOOKUP(tabCustoUnit[[#This Row],[Código do Posto]],tabParametros[],MATCH(tabCustoUnit[[#Headers],[Outros (especificar)]],tabParametros[#Headers],0),0)</f>
        <v>0</v>
      </c>
      <c r="BL134" s="22">
        <f>SUM(tabCustoUnit[[#This Row],[Uniformes e EPIs]:[Outros (especificar)]])</f>
        <v>332.23364609373232</v>
      </c>
      <c r="BM134" s="22">
        <f>tabCustoUnit[[#This Row],[MODULO 1 - REMUNERAÇÃO ]]+tabCustoUnit[[#This Row],[MÓDULO 2 - Total Encargos e Benefícios mensais e diários]]+tabCustoUnit[[#This Row],[MÓDULO 3 – PROVISÃO PARA RESCISÃO]]+tabCustoUnit[[#This Row],[MÓDULO 4 – CUSTO DE REPOSIÇÃO DO PROFISSIONAL AUSENTE]]+tabCustoUnit[[#This Row],[MÓDULO 5 – INSUMOS DIVERSOS]]</f>
        <v>2118.2084999148137</v>
      </c>
      <c r="BN134" s="22">
        <f>VLOOKUP(tabCustoUnit[[#This Row],[Código do Posto]],tabParametros[],MATCH(tabCustoUnit[[#Headers],[Custos Indiretos]],tabParametros[#Headers],0),0)</f>
        <v>189.64880140242613</v>
      </c>
      <c r="BO134" s="22">
        <f>VLOOKUP(tabCustoUnit[[#This Row],[Código do Posto]],tabParametros[],MATCH(tabCustoUnit[[#Headers],[Lucro]],tabParametros[#Headers],0),0)</f>
        <v>159.30499317803796</v>
      </c>
      <c r="BP134" s="26">
        <f>((100/((1-tabCustoUnit[[#This Row],[Resumo de Alíquotas (PIS+CONFINS+ISS)]]))-100)*VLOOKUP(tabCustoUnit[[#This Row],[Código do Posto]],tabParametros[],MATCH(tabCustoUnit[[#Headers],[COFINS]],tabParametros[#Headers],0),0))/(tabCustoUnit[[#This Row],[Resumo de Alíquotas (PIS+CONFINS+ISS)]]*100)</f>
        <v>8.8629737609329504E-2</v>
      </c>
      <c r="BQ134" s="26">
        <f>((100/((100-(tabCustoUnit[[#This Row],[Resumo de Alíquotas (PIS+CONFINS+ISS)]]*100))%)-100)*VLOOKUP(tabCustoUnit[[#This Row],[Código do Posto]],tabParametros[],MATCH(tabCustoUnit[[#Headers],[PIS]],tabParametros[#Headers],0),0))/(tabCustoUnit[[#This Row],[Resumo de Alíquotas (PIS+CONFINS+ISS)]]*100)</f>
        <v>1.9241982507288629E-2</v>
      </c>
      <c r="BR134" s="28">
        <f>VLOOKUP(tabCustoUnit[[#This Row],[Código do Posto]],tabParametros[],MATCH(tabCustoUnit[[#Headers],[ISS]],tabParametros[#Headers],0),0)</f>
        <v>0.05</v>
      </c>
      <c r="BS134" s="26">
        <f>(((100/((100-(tabCustoUnit[[#This Row],[Resumo de Alíquotas (PIS+CONFINS+ISS)]]*100))%)-100)*tabCustoUnit[[#This Row],[ISS]])/tabCustoUnit[[#This Row],[Resumo de Alíquotas (PIS+CONFINS+ISS)]])/100</f>
        <v>5.8309037900874633E-2</v>
      </c>
      <c r="BT134" s="26">
        <f>(VLOOKUP(tabCustoUnit[[#This Row],[Código do Posto]],tabParametros[],MATCH(tabCustoUnit[[#Headers],[COFINS]],tabParametros[#Headers],0),0)+
VLOOKUP(tabCustoUnit[[#This Row],[Código do Posto]],tabParametros[],MATCH(tabCustoUnit[[#Headers],[PIS]],tabParametros[#Headers],0),0)+
VLOOKUP(tabCustoUnit[[#This Row],[Código do Posto]],tabParametros[],MATCH(tabCustoUnit[[#Headers],[ISS]],tabParametros[#Headers],0),0))</f>
        <v>0.14250000000000002</v>
      </c>
      <c r="BU134" s="138">
        <f>tabCustoUnit[[#This Row],[COFINS]]+tabCustoUnit[[#This Row],[PIS]]+tabCustoUnit[[#This Row],[ISS (Conversão Alíquota s/ fatura)]]</f>
        <v>0.16618075801749277</v>
      </c>
      <c r="BV134" s="22">
        <f>(tabCustoUnit[[#This Row],[TOTAL MÓDULOS 1+2+3+4+5]]+tabCustoUnit[[#This Row],[Custos Indiretos]]+tabCustoUnit[[#This Row],[Lucro]])*tabCustoUnit[[#This Row],[PIS + COFINS + ISS (Total Conversão  Alíquota s/ Fatura)]]</f>
        <v>409.99490025140199</v>
      </c>
      <c r="BW134" s="22">
        <f>tabCustoUnit[[#This Row],[Custos Indiretos]]+tabCustoUnit[[#This Row],[Lucro]]+tabCustoUnit[[#This Row],[Valor dos Tributos (ISS, PIS, CONFINS)]]</f>
        <v>758.94869483186608</v>
      </c>
      <c r="BX134" s="22">
        <f>tabCustoUnit[[#This Row],[TOTAL MÓDULOS 1+2+3+4+5]]+tabCustoUnit[[#This Row],[MÓDULO 6 – CUSTOS INDIRETOS, TRIBUTOS E LUCRO]]</f>
        <v>2877.15719474668</v>
      </c>
      <c r="BY134" s="22">
        <f>tabCustoUnit[[#This Row],[CUSTO TOTAL MENSAL]]*12</f>
        <v>34525.88633696016</v>
      </c>
      <c r="BZ134" s="24">
        <f>VLOOKUP(tabCustoUnit[[#This Row],[Código do Posto]],tabParametros[],MATCH(tabCustoUnit[[#Headers],[ANO DA CCT]],tabParametros[#Headers],0),0)</f>
        <v>45658</v>
      </c>
      <c r="CA134" s="25" t="str">
        <f>VLOOKUP(tabCustoUnit[[#This Row],[Código do Posto]],tabParametros[],MATCH(tabCustoUnit[[#Headers],[Nº DE PEDIDO DA CCT]],tabParametros[#Headers],0),0)</f>
        <v>-</v>
      </c>
      <c r="CB134" s="25" t="str">
        <f>VLOOKUP(tabCustoUnit[[#This Row],[Código do Posto]],tabParametros[],MATCH(tabCustoUnit[[#Headers],[TERMO ADITIVO ALTERAÇÃO DA CCT]],tabParametros[#Headers],0),0)</f>
        <v>-</v>
      </c>
    </row>
    <row r="135" spans="1:80" x14ac:dyDescent="0.25">
      <c r="A135" s="20" t="s">
        <v>1471</v>
      </c>
      <c r="B135" t="s">
        <v>123</v>
      </c>
      <c r="C135" t="s">
        <v>1247</v>
      </c>
      <c r="D135" t="s">
        <v>123</v>
      </c>
      <c r="E135" s="20" t="s">
        <v>9</v>
      </c>
      <c r="F135" s="20" t="s">
        <v>10</v>
      </c>
      <c r="G135" s="21">
        <v>562.20000000000005</v>
      </c>
      <c r="H135" s="21">
        <v>0</v>
      </c>
      <c r="I135" s="21">
        <v>0</v>
      </c>
      <c r="J135" s="21">
        <v>0</v>
      </c>
      <c r="K135" s="21">
        <v>0</v>
      </c>
      <c r="L135" s="21">
        <v>0</v>
      </c>
      <c r="M135" s="21">
        <v>0</v>
      </c>
      <c r="N135" s="21">
        <v>20.2392</v>
      </c>
      <c r="O135" s="21">
        <f>SUM(tabCustoUnit[[#This Row],[Salário Base]:[Adicional de Acúmulo de função]])</f>
        <v>582.43920000000003</v>
      </c>
      <c r="P135" s="21">
        <f>tabCustoUnit[[#This Row],[MODULO 1 - REMUNERAÇÃO ]]*SUMIFS(tabParametros[INSS],tabParametros[Código do Posto],tabCustoUnit[[#This Row],[Código do Posto]])</f>
        <v>116.48784000000001</v>
      </c>
      <c r="Q135" s="21">
        <f>tabCustoUnit[[#This Row],[MODULO 1 - REMUNERAÇÃO ]]*SUMIFS(tabParametros[SESI OU SESC],tabParametros[Código do Posto],tabCustoUnit[[#This Row],[Código do Posto]])</f>
        <v>8.7365879999999994</v>
      </c>
      <c r="R135" s="21">
        <f>tabCustoUnit[[#This Row],[MODULO 1 - REMUNERAÇÃO ]]*SUMIFS(tabParametros[SENAI OU SENAC],tabParametros[Código do Posto],tabCustoUnit[[#This Row],[Código do Posto]])</f>
        <v>5.8243920000000005</v>
      </c>
      <c r="S135" s="21">
        <f>tabCustoUnit[[#This Row],[MODULO 1 - REMUNERAÇÃO ]]*SUMIFS(tabParametros[INCRA],tabParametros[Código do Posto],tabCustoUnit[[#This Row],[Código do Posto]])</f>
        <v>1.1648784000000001</v>
      </c>
      <c r="T135" s="21">
        <f>tabCustoUnit[[#This Row],[MODULO 1 - REMUNERAÇÃO ]]*SUMIFS(tabParametros[Salário Educação],tabParametros[Código do Posto],tabCustoUnit[[#This Row],[Código do Posto]])</f>
        <v>14.560980000000001</v>
      </c>
      <c r="U135" s="21">
        <f>tabCustoUnit[[#This Row],[MODULO 1 - REMUNERAÇÃO ]]*SUMIFS(tabParametros[FGTS],tabParametros[Código do Posto],tabCustoUnit[[#This Row],[Código do Posto]])</f>
        <v>46.595136000000004</v>
      </c>
      <c r="V135" s="21">
        <f>tabCustoUnit[[#This Row],[MODULO 1 - REMUNERAÇÃO ]]*SUMIFS(tabParametros[RAT Ajustado],tabParametros[Código do Posto],tabCustoUnit[[#This Row],[Código do Posto]])</f>
        <v>23.297568000000002</v>
      </c>
      <c r="W135" s="21">
        <f>tabCustoUnit[[#This Row],[MODULO 1 - REMUNERAÇÃO ]]*SUMIFS(tabParametros[SEBRAE],tabParametros[Código do Posto],tabCustoUnit[[#This Row],[Código do Posto]])</f>
        <v>3.4946352000000003</v>
      </c>
      <c r="X135" s="21">
        <f>SUM(tabCustoUnit[[#This Row],[INSS]:[SEBRAE]])</f>
        <v>220.16201760000001</v>
      </c>
      <c r="Y135" s="21">
        <f>tabCustoUnit[[#This Row],[MODULO 1 - REMUNERAÇÃO ]]*SUMIFS(tabParametros[13º salário (titular)],tabParametros[Código do Posto],tabCustoUnit[[#This Row],[Código do Posto]])</f>
        <v>48.5366</v>
      </c>
      <c r="Z135" s="21">
        <f>tabCustoUnit[[#This Row],[MODULO 1 - REMUNERAÇÃO ]]*SUMIFS(tabParametros[Férias e Adicional de Férias (titular)],tabParametros[Código do Posto],tabCustoUnit[[#This Row],[Código do Posto]])</f>
        <v>64.715466666666671</v>
      </c>
      <c r="AA135" s="21">
        <f>IFERROR((tabCustoUnit[[#This Row],[Submódulo 2.1]]/tabCustoUnit[[#This Row],[MODULO 1 - REMUNERAÇÃO ]])*SUM(tabCustoUnit[[#This Row],[13º salário (titular)]:[Férias e Adicional de Férias (titular)]]),0)</f>
        <v>42.809281200000008</v>
      </c>
      <c r="AB135" s="21">
        <f>SUM(tabCustoUnit[[#This Row],[13º salário (titular)]:[Incidência do Submódulo 2.1 sobre 13º Salário, Férias e Adicional de Férias]])</f>
        <v>156.06134786666669</v>
      </c>
      <c r="AC135" s="22">
        <f>_xlfn.LET(_xlpm.VT,SUMIF(tabParametros[Código do Posto],tabCustoUnit[[#This Row],[Código do Posto]],tabParametros[Vale - Transporte])*2*20,
IF((_xlpm.VT-tabCustoUnit[[#This Row],[Salário Base]]*0.06)&gt;=0,(_xlpm.VT-tabCustoUnit[[#This Row],[Salário Base]]*0.06),0)
)</f>
        <v>222.268</v>
      </c>
      <c r="AD135" s="22">
        <f>IF(SUMIF(tabParametros[Código do Posto],tabCustoUnit[[#This Row],[Código do Posto]],tabParametros[Vale - Alimentação])&lt;=0,0,
SUMIF(tabParametros[Código do Posto],tabCustoUnit[[#This Row],[Código do Posto]],tabParametros[Vale - Alimentação])*20-1)</f>
        <v>582</v>
      </c>
      <c r="AE135" s="22">
        <f>SUMIF(tabParametros[Código do Posto],tabCustoUnit[[#This Row],[Código do Posto]],tabParametros[Cesta Básica])</f>
        <v>0</v>
      </c>
      <c r="AF135" s="22">
        <f>SUMIF(tabParametros[Código do Posto],tabCustoUnit[[#This Row],[Código do Posto]],tabParametros[PAF])</f>
        <v>51.88</v>
      </c>
      <c r="AG135" s="22">
        <f>SUMIF(tabParametros[Código do Posto],tabCustoUnit[[#This Row],[Código do Posto]],tabParametros[PQM])</f>
        <v>0</v>
      </c>
      <c r="AH135" s="22">
        <f>SUMIF(tabParametros[Código do Posto],tabCustoUnit[[#This Row],[Código do Posto]],tabParametros[PAT])</f>
        <v>0</v>
      </c>
      <c r="AI135" s="22">
        <f>SUMIF(tabParametros[Código do Posto],tabCustoUnit[[#This Row],[Código do Posto]],tabParametros[Seguro de Vida])</f>
        <v>3.36</v>
      </c>
      <c r="AJ135" s="22">
        <f>SUMIF(tabParametros[Código do Posto],tabCustoUnit[[#This Row],[Código do Posto]],tabParametros[Despesas de Viagem])</f>
        <v>0</v>
      </c>
      <c r="AK135" s="22">
        <f>SUM(tabCustoUnit[[#This Row],[Vale - Transporte (Descontada parcela do empregado)]:[Despesas de Viagem]])</f>
        <v>859.50800000000004</v>
      </c>
      <c r="AL135" s="22">
        <f>tabCustoUnit[[#This Row],[Submódulo 2.1]]+tabCustoUnit[[#This Row],[Submódulo 2.2]]+tabCustoUnit[[#This Row],[Submódulo 2.3]]</f>
        <v>1235.7313654666668</v>
      </c>
      <c r="AM135" s="22">
        <f>SUMIF(tabParametros[Código do Posto],tabCustoUnit[[#This Row],[Código do Posto]],tabParametros[Aviso Prévio Indenizado (API) e Reflexo do Aviso Prévio Indenizado])*tabCustoUnit[[#This Row],[MODULO 1 - REMUNERAÇÃO ]]</f>
        <v>4.0839279476851855</v>
      </c>
      <c r="AN135" s="22">
        <f>SUMIF(tabParametros[Código do Posto],tabCustoUnit[[#This Row],[Código do Posto]],tabParametros[Incidência do FGTS sobre API e Reflexo do API])*tabCustoUnit[[#This Row],[MODULO 1 - REMUNERAÇÃO ]]</f>
        <v>0.32671423581481485</v>
      </c>
      <c r="AO135" s="22">
        <f>SUMIF(tabParametros[Código do Posto],tabCustoUnit[[#This Row],[Código do Posto]],tabParametros[Multa Rescisória do FGTS sobre o Aviso Prévio Indenizado])*tabCustoUnit[[#This Row],[MODULO 1 - REMUNERAÇÃO ]]</f>
        <v>0.13068569432592594</v>
      </c>
      <c r="AP135" s="22">
        <f>SUMIF(tabParametros[Código do Posto],tabCustoUnit[[#This Row],[Código do Posto]],tabParametros[Aviso Prévio Trabalhado - APT])*tabCustoUnit[[#This Row],[MODULO 1 - REMUNERAÇÃO ]]</f>
        <v>2.0385372000000004</v>
      </c>
      <c r="AQ135" s="22">
        <f>SUMIF(tabParametros[Código do Posto],tabCustoUnit[[#This Row],[Código do Posto]],tabParametros[Incidência dos encargos do submódulo 2.1 sobre Aviso Prévio Trabalhado])*tabCustoUnit[[#This Row],[MODULO 1 - REMUNERAÇÃO ]]</f>
        <v>0.77056706160000021</v>
      </c>
      <c r="AR135" s="22">
        <f>SUMIF(tabParametros[Código do Posto],tabCustoUnit[[#This Row],[Código do Posto]],tabParametros[Multa Rescisória do FGTS])*tabCustoUnit[[#This Row],[MODULO 1 - REMUNERAÇÃO ]]</f>
        <v>17.809696426666665</v>
      </c>
      <c r="AS135" s="22">
        <f>SUMIF(tabParametros[Código do Posto],tabCustoUnit[[#This Row],[Código do Posto]],tabParametros[Indenização Adicional (Art. 9º da Lei nº 7.238/84)])*tabCustoUnit[[#This Row],[MODULO 1 - REMUNERAÇÃO ]]</f>
        <v>0.48536600000000008</v>
      </c>
      <c r="AT135" s="22">
        <f>SUM(tabCustoUnit[[#This Row],[Aviso Prévio Indenizado (API) e Reflexo do Aviso Prévio Indenizado]:[Indenização Adicional (Art. 9º da Lei nº 7.238/84)]])</f>
        <v>25.645494566092591</v>
      </c>
      <c r="AU135" s="22">
        <f>SUMIF(tabParametros[Código do Posto],tabCustoUnit[[#This Row],[Código do Posto]],tabParametros[Ausência por Doença])*tabCustoUnit[[#This Row],[MODULO 1 - REMUNERAÇÃO ]]</f>
        <v>4.9183754666666664</v>
      </c>
      <c r="AV135" s="22">
        <f>SUMIF(tabParametros[Código do Posto],tabCustoUnit[[#This Row],[Código do Posto]],tabParametros[Ausências Legais])*tabCustoUnit[[#This Row],[MODULO 1 - REMUNERAÇÃO ]]</f>
        <v>1.1810572666666665</v>
      </c>
      <c r="AW135" s="22">
        <f>SUMIF(tabParametros[Código do Posto],tabCustoUnit[[#This Row],[Código do Posto]],tabParametros[Licença Paternidade])*tabCustoUnit[[#This Row],[MODULO 1 - REMUNERAÇÃO ]]</f>
        <v>9.9500030000000003E-2</v>
      </c>
      <c r="AX135" s="22">
        <f>SUMIF(tabParametros[Código do Posto],tabCustoUnit[[#This Row],[Código do Posto]],tabParametros[Ausência por Acidente de Trabalho])*tabCustoUnit[[#This Row],[MODULO 1 - REMUNERAÇÃO ]]</f>
        <v>0.12134150000000002</v>
      </c>
      <c r="AY135" s="22">
        <f>SUMIF(tabParametros[Código do Posto],tabCustoUnit[[#This Row],[Código do Posto]],tabParametros[Férias, Adicional de Férias e 13º  com empregada em gozo de Licença Maternidade])*tabCustoUnit[[#This Row],[MODULO 1 - REMUNERAÇÃO ]]</f>
        <v>0.75501377777777778</v>
      </c>
      <c r="AZ135" s="22">
        <f>SUMIF(tabParametros[Código do Posto],tabCustoUnit[[#This Row],[Código do Posto]],tabParametros[Incidência do Submódulo 2.1 sobre Ausências Legais])*tabCustoUnit[[#This Row],[MODULO 1 - REMUNERAÇÃO ]]</f>
        <v>2.6744588795400004</v>
      </c>
      <c r="BA135" s="22">
        <f>SUM(tabCustoUnit[[#This Row],[Ausência por Doença]:[Incidência do Submódulo 2.1 sobre Ausências Legais]])</f>
        <v>9.7497469206511109</v>
      </c>
      <c r="BB135" s="22">
        <f>SUMIF(tabParametros[Código do Posto],tabCustoUnit[[#This Row],[Código do Posto]],tabParametros[Intervalo para Repouso ou Alimentação])</f>
        <v>0</v>
      </c>
      <c r="BC135" s="22">
        <f>tabCustoUnit[[#This Row],[Intervalo para Repouso ou Alimentação]]</f>
        <v>0</v>
      </c>
      <c r="BD135" s="22">
        <f>IF(VLOOKUP(tabCustoUnit[[#This Row],[Código do Posto]],PARAMETROS!$A$4:$BJ$255,7,0)&lt;=0,0,
IFERROR((tabCustoUnit[[#This Row],[MODULO 1 - REMUNERAÇÃO ]]*VLOOKUP(tabCustoUnit[[#This Row],[Código do Posto]],PARAMETROS!$A$4:$BJ$255,49,0))/(VLOOKUP(tabCustoUnit[[#This Row],[Código do Posto]],PARAMETROS!$A$4:$BJ$255,7,0)*VLOOKUP(tabCustoUnit[[#This Row],[Código do Posto]],PARAMETROS!$A$4:$BJ$255,8,0)),0)
)</f>
        <v>0</v>
      </c>
      <c r="BE135" s="22">
        <f>tabCustoUnit[[#This Row],[Suspensão Temporária do Contrato de Trabalho]]</f>
        <v>0</v>
      </c>
      <c r="BF135" s="22">
        <f>tabCustoUnit[[#This Row],[Submódulo 4.1]]+tabCustoUnit[[#This Row],[Submódulo 4.2]]+tabCustoUnit[[#This Row],[Submódulo 4.3]]</f>
        <v>9.7497469206511109</v>
      </c>
      <c r="BG135" s="22">
        <f>VLOOKUP(tabCustoUnit[[#This Row],[Código do Posto]],tabParametros[],MATCH(tabCustoUnit[[#Headers],[Uniformes e EPIs]],tabParametros[#Headers],0),0)</f>
        <v>62.806666666666665</v>
      </c>
      <c r="BH135" s="22">
        <f>VLOOKUP(tabCustoUnit[[#This Row],[Código do Posto]],tabParametros[],MATCH(tabCustoUnit[[#Headers],[Materiais de Consumo]],tabParametros[#Headers],0),0)</f>
        <v>12.108481690426325</v>
      </c>
      <c r="BI135" s="22">
        <f>VLOOKUP(tabCustoUnit[[#This Row],[Código do Posto]],tabParametros[],MATCH(tabCustoUnit[[#Headers],[Máquinas e Equipamentos (depreciação)]],tabParametros[#Headers],0),0)</f>
        <v>21.998657016417809</v>
      </c>
      <c r="BJ135" s="22">
        <f>VLOOKUP(tabCustoUnit[[#This Row],[Código do Posto]],tabParametros[],MATCH(tabCustoUnit[[#Headers],[Produtos de Limpeza e Materiais de Higiene Pessoal]],tabParametros[#Headers],0),0)</f>
        <v>235.31984072022155</v>
      </c>
      <c r="BK135" s="22">
        <f>VLOOKUP(tabCustoUnit[[#This Row],[Código do Posto]],tabParametros[],MATCH(tabCustoUnit[[#Headers],[Outros (especificar)]],tabParametros[#Headers],0),0)</f>
        <v>0</v>
      </c>
      <c r="BL135" s="22">
        <f>SUM(tabCustoUnit[[#This Row],[Uniformes e EPIs]:[Outros (especificar)]])</f>
        <v>332.23364609373232</v>
      </c>
      <c r="BM135" s="22">
        <f>tabCustoUnit[[#This Row],[MODULO 1 - REMUNERAÇÃO ]]+tabCustoUnit[[#This Row],[MÓDULO 2 - Total Encargos e Benefícios mensais e diários]]+tabCustoUnit[[#This Row],[MÓDULO 3 – PROVISÃO PARA RESCISÃO]]+tabCustoUnit[[#This Row],[MÓDULO 4 – CUSTO DE REPOSIÇÃO DO PROFISSIONAL AUSENTE]]+tabCustoUnit[[#This Row],[MÓDULO 5 – INSUMOS DIVERSOS]]</f>
        <v>2185.7994530471428</v>
      </c>
      <c r="BN135" s="22">
        <f>VLOOKUP(tabCustoUnit[[#This Row],[Código do Posto]],tabParametros[],MATCH(tabCustoUnit[[#Headers],[Custos Indiretos]],tabParametros[#Headers],0),0)</f>
        <v>189.64880140242613</v>
      </c>
      <c r="BO135" s="22">
        <f>VLOOKUP(tabCustoUnit[[#This Row],[Código do Posto]],tabParametros[],MATCH(tabCustoUnit[[#Headers],[Lucro]],tabParametros[#Headers],0),0)</f>
        <v>159.30499317803796</v>
      </c>
      <c r="BP135" s="26">
        <f>((100/((1-tabCustoUnit[[#This Row],[Resumo de Alíquotas (PIS+CONFINS+ISS)]]))-100)*VLOOKUP(tabCustoUnit[[#This Row],[Código do Posto]],tabParametros[],MATCH(tabCustoUnit[[#Headers],[COFINS]],tabParametros[#Headers],0),0))/(tabCustoUnit[[#This Row],[Resumo de Alíquotas (PIS+CONFINS+ISS)]]*100)</f>
        <v>8.8629737609329504E-2</v>
      </c>
      <c r="BQ135" s="26">
        <f>((100/((100-(tabCustoUnit[[#This Row],[Resumo de Alíquotas (PIS+CONFINS+ISS)]]*100))%)-100)*VLOOKUP(tabCustoUnit[[#This Row],[Código do Posto]],tabParametros[],MATCH(tabCustoUnit[[#Headers],[PIS]],tabParametros[#Headers],0),0))/(tabCustoUnit[[#This Row],[Resumo de Alíquotas (PIS+CONFINS+ISS)]]*100)</f>
        <v>1.9241982507288629E-2</v>
      </c>
      <c r="BR135" s="28">
        <f>VLOOKUP(tabCustoUnit[[#This Row],[Código do Posto]],tabParametros[],MATCH(tabCustoUnit[[#Headers],[ISS]],tabParametros[#Headers],0),0)</f>
        <v>0.05</v>
      </c>
      <c r="BS135" s="26">
        <f>(((100/((100-(tabCustoUnit[[#This Row],[Resumo de Alíquotas (PIS+CONFINS+ISS)]]*100))%)-100)*tabCustoUnit[[#This Row],[ISS]])/tabCustoUnit[[#This Row],[Resumo de Alíquotas (PIS+CONFINS+ISS)]])/100</f>
        <v>5.8309037900874633E-2</v>
      </c>
      <c r="BT135" s="26">
        <f>(VLOOKUP(tabCustoUnit[[#This Row],[Código do Posto]],tabParametros[],MATCH(tabCustoUnit[[#Headers],[COFINS]],tabParametros[#Headers],0),0)+
VLOOKUP(tabCustoUnit[[#This Row],[Código do Posto]],tabParametros[],MATCH(tabCustoUnit[[#Headers],[PIS]],tabParametros[#Headers],0),0)+
VLOOKUP(tabCustoUnit[[#This Row],[Código do Posto]],tabParametros[],MATCH(tabCustoUnit[[#Headers],[ISS]],tabParametros[#Headers],0),0))</f>
        <v>0.14250000000000002</v>
      </c>
      <c r="BU135" s="138">
        <f>tabCustoUnit[[#This Row],[COFINS]]+tabCustoUnit[[#This Row],[PIS]]+tabCustoUnit[[#This Row],[ISS (Conversão Alíquota s/ fatura)]]</f>
        <v>0.16618075801749277</v>
      </c>
      <c r="BV135" s="22">
        <f>(tabCustoUnit[[#This Row],[TOTAL MÓDULOS 1+2+3+4+5]]+tabCustoUnit[[#This Row],[Custos Indiretos]]+tabCustoUnit[[#This Row],[Lucro]])*tabCustoUnit[[#This Row],[PIS + COFINS + ISS (Total Conversão  Alíquota s/ Fatura)]]</f>
        <v>421.22721607805727</v>
      </c>
      <c r="BW135" s="22">
        <f>tabCustoUnit[[#This Row],[Custos Indiretos]]+tabCustoUnit[[#This Row],[Lucro]]+tabCustoUnit[[#This Row],[Valor dos Tributos (ISS, PIS, CONFINS)]]</f>
        <v>770.18101065852136</v>
      </c>
      <c r="BX135" s="22">
        <f>tabCustoUnit[[#This Row],[TOTAL MÓDULOS 1+2+3+4+5]]+tabCustoUnit[[#This Row],[MÓDULO 6 – CUSTOS INDIRETOS, TRIBUTOS E LUCRO]]</f>
        <v>2955.9804637056641</v>
      </c>
      <c r="BY135" s="22">
        <f>tabCustoUnit[[#This Row],[CUSTO TOTAL MENSAL]]*12</f>
        <v>35471.765564467969</v>
      </c>
      <c r="BZ135" s="24">
        <f>VLOOKUP(tabCustoUnit[[#This Row],[Código do Posto]],tabParametros[],MATCH(tabCustoUnit[[#Headers],[ANO DA CCT]],tabParametros[#Headers],0),0)</f>
        <v>45658</v>
      </c>
      <c r="CA135" s="25" t="str">
        <f>VLOOKUP(tabCustoUnit[[#This Row],[Código do Posto]],tabParametros[],MATCH(tabCustoUnit[[#Headers],[Nº DE PEDIDO DA CCT]],tabParametros[#Headers],0),0)</f>
        <v>-</v>
      </c>
      <c r="CB135" s="25" t="str">
        <f>VLOOKUP(tabCustoUnit[[#This Row],[Código do Posto]],tabParametros[],MATCH(tabCustoUnit[[#Headers],[TERMO ADITIVO ALTERAÇÃO DA CCT]],tabParametros[#Headers],0),0)</f>
        <v>-</v>
      </c>
    </row>
    <row r="136" spans="1:80" x14ac:dyDescent="0.25">
      <c r="A136" s="20" t="s">
        <v>1472</v>
      </c>
      <c r="B136" t="s">
        <v>123</v>
      </c>
      <c r="C136" t="s">
        <v>1245</v>
      </c>
      <c r="D136" t="s">
        <v>123</v>
      </c>
      <c r="E136" s="20" t="s">
        <v>9</v>
      </c>
      <c r="F136" s="20" t="s">
        <v>10</v>
      </c>
      <c r="G136" s="21">
        <v>1649.12</v>
      </c>
      <c r="H136" s="21">
        <v>0</v>
      </c>
      <c r="I136" s="21">
        <v>0</v>
      </c>
      <c r="J136" s="21">
        <v>0</v>
      </c>
      <c r="K136" s="21">
        <v>0</v>
      </c>
      <c r="L136" s="21">
        <v>0</v>
      </c>
      <c r="M136" s="21">
        <v>0</v>
      </c>
      <c r="N136" s="21">
        <v>53.971200000000003</v>
      </c>
      <c r="O136" s="21">
        <f>SUM(tabCustoUnit[[#This Row],[Salário Base]:[Adicional de Acúmulo de função]])</f>
        <v>1703.0911999999998</v>
      </c>
      <c r="P136" s="21">
        <f>tabCustoUnit[[#This Row],[MODULO 1 - REMUNERAÇÃO ]]*SUMIFS(tabParametros[INSS],tabParametros[Código do Posto],tabCustoUnit[[#This Row],[Código do Posto]])</f>
        <v>340.61824000000001</v>
      </c>
      <c r="Q136" s="21">
        <f>tabCustoUnit[[#This Row],[MODULO 1 - REMUNERAÇÃO ]]*SUMIFS(tabParametros[SESI OU SESC],tabParametros[Código do Posto],tabCustoUnit[[#This Row],[Código do Posto]])</f>
        <v>25.546367999999998</v>
      </c>
      <c r="R136" s="21">
        <f>tabCustoUnit[[#This Row],[MODULO 1 - REMUNERAÇÃO ]]*SUMIFS(tabParametros[SENAI OU SENAC],tabParametros[Código do Posto],tabCustoUnit[[#This Row],[Código do Posto]])</f>
        <v>17.030911999999997</v>
      </c>
      <c r="S136" s="21">
        <f>tabCustoUnit[[#This Row],[MODULO 1 - REMUNERAÇÃO ]]*SUMIFS(tabParametros[INCRA],tabParametros[Código do Posto],tabCustoUnit[[#This Row],[Código do Posto]])</f>
        <v>3.4061823999999996</v>
      </c>
      <c r="T136" s="21">
        <f>tabCustoUnit[[#This Row],[MODULO 1 - REMUNERAÇÃO ]]*SUMIFS(tabParametros[Salário Educação],tabParametros[Código do Posto],tabCustoUnit[[#This Row],[Código do Posto]])</f>
        <v>42.577280000000002</v>
      </c>
      <c r="U136" s="21">
        <f>tabCustoUnit[[#This Row],[MODULO 1 - REMUNERAÇÃO ]]*SUMIFS(tabParametros[FGTS],tabParametros[Código do Posto],tabCustoUnit[[#This Row],[Código do Posto]])</f>
        <v>136.24729599999998</v>
      </c>
      <c r="V136" s="21">
        <f>tabCustoUnit[[#This Row],[MODULO 1 - REMUNERAÇÃO ]]*SUMIFS(tabParametros[RAT Ajustado],tabParametros[Código do Posto],tabCustoUnit[[#This Row],[Código do Posto]])</f>
        <v>68.123647999999989</v>
      </c>
      <c r="W136" s="21">
        <f>tabCustoUnit[[#This Row],[MODULO 1 - REMUNERAÇÃO ]]*SUMIFS(tabParametros[SEBRAE],tabParametros[Código do Posto],tabCustoUnit[[#This Row],[Código do Posto]])</f>
        <v>10.2185472</v>
      </c>
      <c r="X136" s="21">
        <f>SUM(tabCustoUnit[[#This Row],[INSS]:[SEBRAE]])</f>
        <v>643.76847359999999</v>
      </c>
      <c r="Y136" s="21">
        <f>tabCustoUnit[[#This Row],[MODULO 1 - REMUNERAÇÃO ]]*SUMIFS(tabParametros[13º salário (titular)],tabParametros[Código do Posto],tabCustoUnit[[#This Row],[Código do Posto]])</f>
        <v>141.92426666666665</v>
      </c>
      <c r="Z136" s="21">
        <f>tabCustoUnit[[#This Row],[MODULO 1 - REMUNERAÇÃO ]]*SUMIFS(tabParametros[Férias e Adicional de Férias (titular)],tabParametros[Código do Posto],tabCustoUnit[[#This Row],[Código do Posto]])</f>
        <v>189.23235555555553</v>
      </c>
      <c r="AA136" s="21">
        <f>IFERROR((tabCustoUnit[[#This Row],[Submódulo 2.1]]/tabCustoUnit[[#This Row],[MODULO 1 - REMUNERAÇÃO ]])*SUM(tabCustoUnit[[#This Row],[13º salário (titular)]:[Férias e Adicional de Férias (titular)]]),0)</f>
        <v>125.17720319999999</v>
      </c>
      <c r="AB136" s="21">
        <f>SUM(tabCustoUnit[[#This Row],[13º salário (titular)]:[Incidência do Submódulo 2.1 sobre 13º Salário, Férias e Adicional de Férias]])</f>
        <v>456.33382542222216</v>
      </c>
      <c r="AC136" s="22">
        <f>_xlfn.LET(_xlpm.VT,SUMIF(tabParametros[Código do Posto],tabCustoUnit[[#This Row],[Código do Posto]],tabParametros[Vale - Transporte])*2*20,
IF((_xlpm.VT-tabCustoUnit[[#This Row],[Salário Base]]*0.06)&gt;=0,(_xlpm.VT-tabCustoUnit[[#This Row],[Salário Base]]*0.06),0)
)</f>
        <v>157.05279999999999</v>
      </c>
      <c r="AD136" s="22">
        <f>IF(SUMIF(tabParametros[Código do Posto],tabCustoUnit[[#This Row],[Código do Posto]],tabParametros[Vale - Alimentação])&lt;=0,0,
SUMIF(tabParametros[Código do Posto],tabCustoUnit[[#This Row],[Código do Posto]],tabParametros[Vale - Alimentação])*20-1)</f>
        <v>582</v>
      </c>
      <c r="AE136" s="22">
        <f>SUMIF(tabParametros[Código do Posto],tabCustoUnit[[#This Row],[Código do Posto]],tabParametros[Cesta Básica])</f>
        <v>0</v>
      </c>
      <c r="AF136" s="22">
        <f>SUMIF(tabParametros[Código do Posto],tabCustoUnit[[#This Row],[Código do Posto]],tabParametros[PAF])</f>
        <v>51.88</v>
      </c>
      <c r="AG136" s="22">
        <f>SUMIF(tabParametros[Código do Posto],tabCustoUnit[[#This Row],[Código do Posto]],tabParametros[PQM])</f>
        <v>0</v>
      </c>
      <c r="AH136" s="22">
        <f>SUMIF(tabParametros[Código do Posto],tabCustoUnit[[#This Row],[Código do Posto]],tabParametros[PAT])</f>
        <v>0</v>
      </c>
      <c r="AI136" s="22">
        <f>SUMIF(tabParametros[Código do Posto],tabCustoUnit[[#This Row],[Código do Posto]],tabParametros[Seguro de Vida])</f>
        <v>3.36</v>
      </c>
      <c r="AJ136" s="22">
        <f>SUMIF(tabParametros[Código do Posto],tabCustoUnit[[#This Row],[Código do Posto]],tabParametros[Despesas de Viagem])</f>
        <v>0</v>
      </c>
      <c r="AK136" s="22">
        <f>SUM(tabCustoUnit[[#This Row],[Vale - Transporte (Descontada parcela do empregado)]:[Despesas de Viagem]])</f>
        <v>794.29279999999994</v>
      </c>
      <c r="AL136" s="22">
        <f>tabCustoUnit[[#This Row],[Submódulo 2.1]]+tabCustoUnit[[#This Row],[Submódulo 2.2]]+tabCustoUnit[[#This Row],[Submódulo 2.3]]</f>
        <v>1894.3950990222222</v>
      </c>
      <c r="AM136" s="22">
        <f>SUMIF(tabParametros[Código do Posto],tabCustoUnit[[#This Row],[Código do Posto]],tabParametros[Aviso Prévio Indenizado (API) e Reflexo do Aviso Prévio Indenizado])*tabCustoUnit[[#This Row],[MODULO 1 - REMUNERAÇÃO ]]</f>
        <v>11.941678632098764</v>
      </c>
      <c r="AN136" s="22">
        <f>SUMIF(tabParametros[Código do Posto],tabCustoUnit[[#This Row],[Código do Posto]],tabParametros[Incidência do FGTS sobre API e Reflexo do API])*tabCustoUnit[[#This Row],[MODULO 1 - REMUNERAÇÃO ]]</f>
        <v>0.9553342905679012</v>
      </c>
      <c r="AO136" s="22">
        <f>SUMIF(tabParametros[Código do Posto],tabCustoUnit[[#This Row],[Código do Posto]],tabParametros[Multa Rescisória do FGTS sobre o Aviso Prévio Indenizado])*tabCustoUnit[[#This Row],[MODULO 1 - REMUNERAÇÃO ]]</f>
        <v>0.38213371622716052</v>
      </c>
      <c r="AP136" s="22">
        <f>SUMIF(tabParametros[Código do Posto],tabCustoUnit[[#This Row],[Código do Posto]],tabParametros[Aviso Prévio Trabalhado - APT])*tabCustoUnit[[#This Row],[MODULO 1 - REMUNERAÇÃO ]]</f>
        <v>5.9608192000000004</v>
      </c>
      <c r="AQ136" s="22">
        <f>SUMIF(tabParametros[Código do Posto],tabCustoUnit[[#This Row],[Código do Posto]],tabParametros[Incidência dos encargos do submódulo 2.1 sobre Aviso Prévio Trabalhado])*tabCustoUnit[[#This Row],[MODULO 1 - REMUNERAÇÃO ]]</f>
        <v>2.2531896576000006</v>
      </c>
      <c r="AR136" s="22">
        <f>SUMIF(tabParametros[Código do Posto],tabCustoUnit[[#This Row],[Código do Posto]],tabParametros[Multa Rescisória do FGTS])*tabCustoUnit[[#This Row],[MODULO 1 - REMUNERAÇÃO ]]</f>
        <v>52.076744248888879</v>
      </c>
      <c r="AS136" s="22">
        <f>SUMIF(tabParametros[Código do Posto],tabCustoUnit[[#This Row],[Código do Posto]],tabParametros[Indenização Adicional (Art. 9º da Lei nº 7.238/84)])*tabCustoUnit[[#This Row],[MODULO 1 - REMUNERAÇÃO ]]</f>
        <v>1.4192426666666667</v>
      </c>
      <c r="AT136" s="22">
        <f>SUM(tabCustoUnit[[#This Row],[Aviso Prévio Indenizado (API) e Reflexo do Aviso Prévio Indenizado]:[Indenização Adicional (Art. 9º da Lei nº 7.238/84)]])</f>
        <v>74.989142412049375</v>
      </c>
      <c r="AU136" s="22">
        <f>SUMIF(tabParametros[Código do Posto],tabCustoUnit[[#This Row],[Código do Posto]],tabParametros[Ausência por Doença])*tabCustoUnit[[#This Row],[MODULO 1 - REMUNERAÇÃO ]]</f>
        <v>14.38165902222222</v>
      </c>
      <c r="AV136" s="22">
        <f>SUMIF(tabParametros[Código do Posto],tabCustoUnit[[#This Row],[Código do Posto]],tabParametros[Ausências Legais])*tabCustoUnit[[#This Row],[MODULO 1 - REMUNERAÇÃO ]]</f>
        <v>3.4534904888888884</v>
      </c>
      <c r="AW136" s="22">
        <f>SUMIF(tabParametros[Código do Posto],tabCustoUnit[[#This Row],[Código do Posto]],tabParametros[Licença Paternidade])*tabCustoUnit[[#This Row],[MODULO 1 - REMUNERAÇÃO ]]</f>
        <v>0.29094474666666664</v>
      </c>
      <c r="AX136" s="22">
        <f>SUMIF(tabParametros[Código do Posto],tabCustoUnit[[#This Row],[Código do Posto]],tabParametros[Ausência por Acidente de Trabalho])*tabCustoUnit[[#This Row],[MODULO 1 - REMUNERAÇÃO ]]</f>
        <v>0.35481066666666666</v>
      </c>
      <c r="AY136" s="22">
        <f>SUMIF(tabParametros[Código do Posto],tabCustoUnit[[#This Row],[Código do Posto]],tabParametros[Férias, Adicional de Férias e 13º  com empregada em gozo de Licença Maternidade])*tabCustoUnit[[#This Row],[MODULO 1 - REMUNERAÇÃO ]]</f>
        <v>2.2077108148148143</v>
      </c>
      <c r="AZ136" s="22">
        <f>SUMIF(tabParametros[Código do Posto],tabCustoUnit[[#This Row],[Código do Posto]],tabParametros[Incidência do Submódulo 2.1 sobre Ausências Legais])*tabCustoUnit[[#This Row],[MODULO 1 - REMUNERAÇÃO ]]</f>
        <v>7.8202967494400006</v>
      </c>
      <c r="BA136" s="22">
        <f>SUM(tabCustoUnit[[#This Row],[Ausência por Doença]:[Incidência do Submódulo 2.1 sobre Ausências Legais]])</f>
        <v>28.508912488699256</v>
      </c>
      <c r="BB136" s="22">
        <f>SUMIF(tabParametros[Código do Posto],tabCustoUnit[[#This Row],[Código do Posto]],tabParametros[Intervalo para Repouso ou Alimentação])</f>
        <v>0</v>
      </c>
      <c r="BC136" s="22">
        <f>tabCustoUnit[[#This Row],[Intervalo para Repouso ou Alimentação]]</f>
        <v>0</v>
      </c>
      <c r="BD136" s="22">
        <f>IF(VLOOKUP(tabCustoUnit[[#This Row],[Código do Posto]],PARAMETROS!$A$4:$BJ$255,7,0)&lt;=0,0,
IFERROR((tabCustoUnit[[#This Row],[MODULO 1 - REMUNERAÇÃO ]]*VLOOKUP(tabCustoUnit[[#This Row],[Código do Posto]],PARAMETROS!$A$4:$BJ$255,49,0))/(VLOOKUP(tabCustoUnit[[#This Row],[Código do Posto]],PARAMETROS!$A$4:$BJ$255,7,0)*VLOOKUP(tabCustoUnit[[#This Row],[Código do Posto]],PARAMETROS!$A$4:$BJ$255,8,0)),0)
)</f>
        <v>0</v>
      </c>
      <c r="BE136" s="22">
        <f>tabCustoUnit[[#This Row],[Suspensão Temporária do Contrato de Trabalho]]</f>
        <v>0</v>
      </c>
      <c r="BF136" s="22">
        <f>tabCustoUnit[[#This Row],[Submódulo 4.1]]+tabCustoUnit[[#This Row],[Submódulo 4.2]]+tabCustoUnit[[#This Row],[Submódulo 4.3]]</f>
        <v>28.508912488699256</v>
      </c>
      <c r="BG136" s="22">
        <f>VLOOKUP(tabCustoUnit[[#This Row],[Código do Posto]],tabParametros[],MATCH(tabCustoUnit[[#Headers],[Uniformes e EPIs]],tabParametros[#Headers],0),0)</f>
        <v>100.80916666666666</v>
      </c>
      <c r="BH136" s="22">
        <f>VLOOKUP(tabCustoUnit[[#This Row],[Código do Posto]],tabParametros[],MATCH(tabCustoUnit[[#Headers],[Materiais de Consumo]],tabParametros[#Headers],0),0)</f>
        <v>35.518212958583888</v>
      </c>
      <c r="BI136" s="22">
        <f>VLOOKUP(tabCustoUnit[[#This Row],[Código do Posto]],tabParametros[],MATCH(tabCustoUnit[[#Headers],[Máquinas e Equipamentos (depreciação)]],tabParametros[#Headers],0),0)</f>
        <v>64.529393914825576</v>
      </c>
      <c r="BJ136" s="22">
        <f>VLOOKUP(tabCustoUnit[[#This Row],[Código do Posto]],tabParametros[],MATCH(tabCustoUnit[[#Headers],[Produtos de Limpeza e Materiais de Higiene Pessoal]],tabParametros[#Headers],0),0)</f>
        <v>690.27153277931654</v>
      </c>
      <c r="BK136" s="22">
        <f>VLOOKUP(tabCustoUnit[[#This Row],[Código do Posto]],tabParametros[],MATCH(tabCustoUnit[[#Headers],[Outros (especificar)]],tabParametros[#Headers],0),0)</f>
        <v>0</v>
      </c>
      <c r="BL136" s="22">
        <f>SUM(tabCustoUnit[[#This Row],[Uniformes e EPIs]:[Outros (especificar)]])</f>
        <v>891.12830631939266</v>
      </c>
      <c r="BM136" s="22">
        <f>tabCustoUnit[[#This Row],[MODULO 1 - REMUNERAÇÃO ]]+tabCustoUnit[[#This Row],[MÓDULO 2 - Total Encargos e Benefícios mensais e diários]]+tabCustoUnit[[#This Row],[MÓDULO 3 – PROVISÃO PARA RESCISÃO]]+tabCustoUnit[[#This Row],[MÓDULO 4 – CUSTO DE REPOSIÇÃO DO PROFISSIONAL AUSENTE]]+tabCustoUnit[[#This Row],[MÓDULO 5 – INSUMOS DIVERSOS]]</f>
        <v>4592.1126602423628</v>
      </c>
      <c r="BN136" s="22">
        <f>VLOOKUP(tabCustoUnit[[#This Row],[Código do Posto]],tabParametros[],MATCH(tabCustoUnit[[#Headers],[Custos Indiretos]],tabParametros[#Headers],0),0)</f>
        <v>189.64880140242613</v>
      </c>
      <c r="BO136" s="22">
        <f>VLOOKUP(tabCustoUnit[[#This Row],[Código do Posto]],tabParametros[],MATCH(tabCustoUnit[[#Headers],[Lucro]],tabParametros[#Headers],0),0)</f>
        <v>159.30499317803796</v>
      </c>
      <c r="BP136" s="26">
        <f>((100/((1-tabCustoUnit[[#This Row],[Resumo de Alíquotas (PIS+CONFINS+ISS)]]))-100)*VLOOKUP(tabCustoUnit[[#This Row],[Código do Posto]],tabParametros[],MATCH(tabCustoUnit[[#Headers],[COFINS]],tabParametros[#Headers],0),0))/(tabCustoUnit[[#This Row],[Resumo de Alíquotas (PIS+CONFINS+ISS)]]*100)</f>
        <v>8.8629737609329504E-2</v>
      </c>
      <c r="BQ136" s="26">
        <f>((100/((100-(tabCustoUnit[[#This Row],[Resumo de Alíquotas (PIS+CONFINS+ISS)]]*100))%)-100)*VLOOKUP(tabCustoUnit[[#This Row],[Código do Posto]],tabParametros[],MATCH(tabCustoUnit[[#Headers],[PIS]],tabParametros[#Headers],0),0))/(tabCustoUnit[[#This Row],[Resumo de Alíquotas (PIS+CONFINS+ISS)]]*100)</f>
        <v>1.9241982507288629E-2</v>
      </c>
      <c r="BR136" s="28">
        <f>VLOOKUP(tabCustoUnit[[#This Row],[Código do Posto]],tabParametros[],MATCH(tabCustoUnit[[#Headers],[ISS]],tabParametros[#Headers],0),0)</f>
        <v>0.05</v>
      </c>
      <c r="BS136" s="26">
        <f>(((100/((100-(tabCustoUnit[[#This Row],[Resumo de Alíquotas (PIS+CONFINS+ISS)]]*100))%)-100)*tabCustoUnit[[#This Row],[ISS]])/tabCustoUnit[[#This Row],[Resumo de Alíquotas (PIS+CONFINS+ISS)]])/100</f>
        <v>5.8309037900874633E-2</v>
      </c>
      <c r="BT136" s="26">
        <f>(VLOOKUP(tabCustoUnit[[#This Row],[Código do Posto]],tabParametros[],MATCH(tabCustoUnit[[#Headers],[COFINS]],tabParametros[#Headers],0),0)+
VLOOKUP(tabCustoUnit[[#This Row],[Código do Posto]],tabParametros[],MATCH(tabCustoUnit[[#Headers],[PIS]],tabParametros[#Headers],0),0)+
VLOOKUP(tabCustoUnit[[#This Row],[Código do Posto]],tabParametros[],MATCH(tabCustoUnit[[#Headers],[ISS]],tabParametros[#Headers],0),0))</f>
        <v>0.14250000000000002</v>
      </c>
      <c r="BU136" s="138">
        <f>tabCustoUnit[[#This Row],[COFINS]]+tabCustoUnit[[#This Row],[PIS]]+tabCustoUnit[[#This Row],[ISS (Conversão Alíquota s/ fatura)]]</f>
        <v>0.16618075801749277</v>
      </c>
      <c r="BV136" s="22">
        <f>(tabCustoUnit[[#This Row],[TOTAL MÓDULOS 1+2+3+4+5]]+tabCustoUnit[[#This Row],[Custos Indiretos]]+tabCustoUnit[[#This Row],[Lucro]])*tabCustoUnit[[#This Row],[PIS + COFINS + ISS (Total Conversão  Alíquota s/ Fatura)]]</f>
        <v>821.11016887726305</v>
      </c>
      <c r="BW136" s="22">
        <f>tabCustoUnit[[#This Row],[Custos Indiretos]]+tabCustoUnit[[#This Row],[Lucro]]+tabCustoUnit[[#This Row],[Valor dos Tributos (ISS, PIS, CONFINS)]]</f>
        <v>1170.0639634577271</v>
      </c>
      <c r="BX136" s="22">
        <f>tabCustoUnit[[#This Row],[TOTAL MÓDULOS 1+2+3+4+5]]+tabCustoUnit[[#This Row],[MÓDULO 6 – CUSTOS INDIRETOS, TRIBUTOS E LUCRO]]</f>
        <v>5762.1766237000902</v>
      </c>
      <c r="BY136" s="22">
        <f>tabCustoUnit[[#This Row],[CUSTO TOTAL MENSAL]]*12</f>
        <v>69146.119484401075</v>
      </c>
      <c r="BZ136" s="24">
        <f>VLOOKUP(tabCustoUnit[[#This Row],[Código do Posto]],tabParametros[],MATCH(tabCustoUnit[[#Headers],[ANO DA CCT]],tabParametros[#Headers],0),0)</f>
        <v>45658</v>
      </c>
      <c r="CA136" s="25" t="str">
        <f>VLOOKUP(tabCustoUnit[[#This Row],[Código do Posto]],tabParametros[],MATCH(tabCustoUnit[[#Headers],[Nº DE PEDIDO DA CCT]],tabParametros[#Headers],0),0)</f>
        <v>-</v>
      </c>
      <c r="CB136" s="25" t="str">
        <f>VLOOKUP(tabCustoUnit[[#This Row],[Código do Posto]],tabParametros[],MATCH(tabCustoUnit[[#Headers],[TERMO ADITIVO ALTERAÇÃO DA CCT]],tabParametros[#Headers],0),0)</f>
        <v>-</v>
      </c>
    </row>
    <row r="137" spans="1:80" x14ac:dyDescent="0.25">
      <c r="A137" s="20" t="s">
        <v>1473</v>
      </c>
      <c r="B137" t="s">
        <v>124</v>
      </c>
      <c r="C137" t="s">
        <v>1245</v>
      </c>
      <c r="D137" t="s">
        <v>1000</v>
      </c>
      <c r="E137" s="20" t="s">
        <v>9</v>
      </c>
      <c r="F137" s="20" t="s">
        <v>10</v>
      </c>
      <c r="G137" s="21">
        <v>1596.28</v>
      </c>
      <c r="H137" s="21">
        <v>0</v>
      </c>
      <c r="I137" s="21">
        <v>0</v>
      </c>
      <c r="J137" s="21">
        <v>0</v>
      </c>
      <c r="K137" s="21">
        <v>0</v>
      </c>
      <c r="L137" s="21">
        <v>0</v>
      </c>
      <c r="M137" s="21">
        <v>0</v>
      </c>
      <c r="N137" s="21">
        <v>52.241900000000001</v>
      </c>
      <c r="O137" s="21">
        <f>SUM(tabCustoUnit[[#This Row],[Salário Base]:[Adicional de Acúmulo de função]])</f>
        <v>1648.5219</v>
      </c>
      <c r="P137" s="21">
        <f>tabCustoUnit[[#This Row],[MODULO 1 - REMUNERAÇÃO ]]*SUMIFS(tabParametros[INSS],tabParametros[Código do Posto],tabCustoUnit[[#This Row],[Código do Posto]])</f>
        <v>329.70438000000001</v>
      </c>
      <c r="Q137" s="21">
        <f>tabCustoUnit[[#This Row],[MODULO 1 - REMUNERAÇÃO ]]*SUMIFS(tabParametros[SESI OU SESC],tabParametros[Código do Posto],tabCustoUnit[[#This Row],[Código do Posto]])</f>
        <v>24.727828499999998</v>
      </c>
      <c r="R137" s="21">
        <f>tabCustoUnit[[#This Row],[MODULO 1 - REMUNERAÇÃO ]]*SUMIFS(tabParametros[SENAI OU SENAC],tabParametros[Código do Posto],tabCustoUnit[[#This Row],[Código do Posto]])</f>
        <v>16.485219000000001</v>
      </c>
      <c r="S137" s="21">
        <f>tabCustoUnit[[#This Row],[MODULO 1 - REMUNERAÇÃO ]]*SUMIFS(tabParametros[INCRA],tabParametros[Código do Posto],tabCustoUnit[[#This Row],[Código do Posto]])</f>
        <v>3.2970438</v>
      </c>
      <c r="T137" s="21">
        <f>tabCustoUnit[[#This Row],[MODULO 1 - REMUNERAÇÃO ]]*SUMIFS(tabParametros[Salário Educação],tabParametros[Código do Posto],tabCustoUnit[[#This Row],[Código do Posto]])</f>
        <v>41.213047500000002</v>
      </c>
      <c r="U137" s="21">
        <f>tabCustoUnit[[#This Row],[MODULO 1 - REMUNERAÇÃO ]]*SUMIFS(tabParametros[FGTS],tabParametros[Código do Posto],tabCustoUnit[[#This Row],[Código do Posto]])</f>
        <v>131.88175200000001</v>
      </c>
      <c r="V137" s="21">
        <f>tabCustoUnit[[#This Row],[MODULO 1 - REMUNERAÇÃO ]]*SUMIFS(tabParametros[RAT Ajustado],tabParametros[Código do Posto],tabCustoUnit[[#This Row],[Código do Posto]])</f>
        <v>65.940876000000003</v>
      </c>
      <c r="W137" s="21">
        <f>tabCustoUnit[[#This Row],[MODULO 1 - REMUNERAÇÃO ]]*SUMIFS(tabParametros[SEBRAE],tabParametros[Código do Posto],tabCustoUnit[[#This Row],[Código do Posto]])</f>
        <v>9.8911314000000008</v>
      </c>
      <c r="X137" s="21">
        <f>SUM(tabCustoUnit[[#This Row],[INSS]:[SEBRAE]])</f>
        <v>623.14127819999999</v>
      </c>
      <c r="Y137" s="21">
        <f>tabCustoUnit[[#This Row],[MODULO 1 - REMUNERAÇÃO ]]*SUMIFS(tabParametros[13º salário (titular)],tabParametros[Código do Posto],tabCustoUnit[[#This Row],[Código do Posto]])</f>
        <v>137.376825</v>
      </c>
      <c r="Z137" s="21">
        <f>tabCustoUnit[[#This Row],[MODULO 1 - REMUNERAÇÃO ]]*SUMIFS(tabParametros[Férias e Adicional de Férias (titular)],tabParametros[Código do Posto],tabCustoUnit[[#This Row],[Código do Posto]])</f>
        <v>183.16909999999999</v>
      </c>
      <c r="AA137" s="21">
        <f>IFERROR((tabCustoUnit[[#This Row],[Submódulo 2.1]]/tabCustoUnit[[#This Row],[MODULO 1 - REMUNERAÇÃO ]])*SUM(tabCustoUnit[[#This Row],[13º salário (titular)]:[Férias e Adicional de Férias (titular)]]),0)</f>
        <v>121.16635965</v>
      </c>
      <c r="AB137" s="21">
        <f>SUM(tabCustoUnit[[#This Row],[13º salário (titular)]:[Incidência do Submódulo 2.1 sobre 13º Salário, Férias e Adicional de Férias]])</f>
        <v>441.71228465000002</v>
      </c>
      <c r="AC137" s="22">
        <f>_xlfn.LET(_xlpm.VT,SUMIF(tabParametros[Código do Posto],tabCustoUnit[[#This Row],[Código do Posto]],tabParametros[Vale - Transporte])*2*20,
IF((_xlpm.VT-tabCustoUnit[[#This Row],[Salário Base]]*0.06)&gt;=0,(_xlpm.VT-tabCustoUnit[[#This Row],[Salário Base]]*0.06),0)
)</f>
        <v>160.22320000000002</v>
      </c>
      <c r="AD137" s="22">
        <f>IF(SUMIF(tabParametros[Código do Posto],tabCustoUnit[[#This Row],[Código do Posto]],tabParametros[Vale - Alimentação])&lt;=0,0,
SUMIF(tabParametros[Código do Posto],tabCustoUnit[[#This Row],[Código do Posto]],tabParametros[Vale - Alimentação])*20-1)</f>
        <v>582</v>
      </c>
      <c r="AE137" s="22">
        <f>SUMIF(tabParametros[Código do Posto],tabCustoUnit[[#This Row],[Código do Posto]],tabParametros[Cesta Básica])</f>
        <v>0</v>
      </c>
      <c r="AF137" s="22">
        <f>SUMIF(tabParametros[Código do Posto],tabCustoUnit[[#This Row],[Código do Posto]],tabParametros[PAF])</f>
        <v>0</v>
      </c>
      <c r="AG137" s="22">
        <f>SUMIF(tabParametros[Código do Posto],tabCustoUnit[[#This Row],[Código do Posto]],tabParametros[PQM])</f>
        <v>15.07</v>
      </c>
      <c r="AH137" s="22">
        <f>SUMIF(tabParametros[Código do Posto],tabCustoUnit[[#This Row],[Código do Posto]],tabParametros[PAT])</f>
        <v>0</v>
      </c>
      <c r="AI137" s="22">
        <f>SUMIF(tabParametros[Código do Posto],tabCustoUnit[[#This Row],[Código do Posto]],tabParametros[Seguro de Vida])</f>
        <v>3.36</v>
      </c>
      <c r="AJ137" s="22">
        <f>SUMIF(tabParametros[Código do Posto],tabCustoUnit[[#This Row],[Código do Posto]],tabParametros[Despesas de Viagem])</f>
        <v>0</v>
      </c>
      <c r="AK137" s="22">
        <f>SUM(tabCustoUnit[[#This Row],[Vale - Transporte (Descontada parcela do empregado)]:[Despesas de Viagem]])</f>
        <v>760.65320000000008</v>
      </c>
      <c r="AL137" s="22">
        <f>tabCustoUnit[[#This Row],[Submódulo 2.1]]+tabCustoUnit[[#This Row],[Submódulo 2.2]]+tabCustoUnit[[#This Row],[Submódulo 2.3]]</f>
        <v>1825.5067628500001</v>
      </c>
      <c r="AM137" s="22">
        <f>SUMIF(tabParametros[Código do Posto],tabCustoUnit[[#This Row],[Código do Posto]],tabParametros[Aviso Prévio Indenizado (API) e Reflexo do Aviso Prévio Indenizado])*tabCustoUnit[[#This Row],[MODULO 1 - REMUNERAÇÃO ]]</f>
        <v>11.559051416493055</v>
      </c>
      <c r="AN137" s="22">
        <f>SUMIF(tabParametros[Código do Posto],tabCustoUnit[[#This Row],[Código do Posto]],tabParametros[Incidência do FGTS sobre API e Reflexo do API])*tabCustoUnit[[#This Row],[MODULO 1 - REMUNERAÇÃO ]]</f>
        <v>0.92472411331944449</v>
      </c>
      <c r="AO137" s="22">
        <f>SUMIF(tabParametros[Código do Posto],tabCustoUnit[[#This Row],[Código do Posto]],tabParametros[Multa Rescisória do FGTS sobre o Aviso Prévio Indenizado])*tabCustoUnit[[#This Row],[MODULO 1 - REMUNERAÇÃO ]]</f>
        <v>0.36988964532777785</v>
      </c>
      <c r="AP137" s="22">
        <f>SUMIF(tabParametros[Código do Posto],tabCustoUnit[[#This Row],[Código do Posto]],tabParametros[Aviso Prévio Trabalhado - APT])*tabCustoUnit[[#This Row],[MODULO 1 - REMUNERAÇÃO ]]</f>
        <v>5.7698266500000006</v>
      </c>
      <c r="AQ137" s="22">
        <f>SUMIF(tabParametros[Código do Posto],tabCustoUnit[[#This Row],[Código do Posto]],tabParametros[Incidência dos encargos do submódulo 2.1 sobre Aviso Prévio Trabalhado])*tabCustoUnit[[#This Row],[MODULO 1 - REMUNERAÇÃO ]]</f>
        <v>2.1809944737000007</v>
      </c>
      <c r="AR137" s="22">
        <f>SUMIF(tabParametros[Código do Posto],tabCustoUnit[[#This Row],[Código do Posto]],tabParametros[Multa Rescisória do FGTS])*tabCustoUnit[[#This Row],[MODULO 1 - REMUNERAÇÃO ]]</f>
        <v>50.40813631999999</v>
      </c>
      <c r="AS137" s="22">
        <f>SUMIF(tabParametros[Código do Posto],tabCustoUnit[[#This Row],[Código do Posto]],tabParametros[Indenização Adicional (Art. 9º da Lei nº 7.238/84)])*tabCustoUnit[[#This Row],[MODULO 1 - REMUNERAÇÃO ]]</f>
        <v>1.3737682500000001</v>
      </c>
      <c r="AT137" s="22">
        <f>SUM(tabCustoUnit[[#This Row],[Aviso Prévio Indenizado (API) e Reflexo do Aviso Prévio Indenizado]:[Indenização Adicional (Art. 9º da Lei nº 7.238/84)]])</f>
        <v>72.586390868840269</v>
      </c>
      <c r="AU137" s="22">
        <f>SUMIF(tabParametros[Código do Posto],tabCustoUnit[[#This Row],[Código do Posto]],tabParametros[Ausência por Doença])*tabCustoUnit[[#This Row],[MODULO 1 - REMUNERAÇÃO ]]</f>
        <v>13.920851599999999</v>
      </c>
      <c r="AV137" s="22">
        <f>SUMIF(tabParametros[Código do Posto],tabCustoUnit[[#This Row],[Código do Posto]],tabParametros[Ausências Legais])*tabCustoUnit[[#This Row],[MODULO 1 - REMUNERAÇÃO ]]</f>
        <v>3.3428360749999997</v>
      </c>
      <c r="AW137" s="22">
        <f>SUMIF(tabParametros[Código do Posto],tabCustoUnit[[#This Row],[Código do Posto]],tabParametros[Licença Paternidade])*tabCustoUnit[[#This Row],[MODULO 1 - REMUNERAÇÃO ]]</f>
        <v>0.28162249125</v>
      </c>
      <c r="AX137" s="22">
        <f>SUMIF(tabParametros[Código do Posto],tabCustoUnit[[#This Row],[Código do Posto]],tabParametros[Ausência por Acidente de Trabalho])*tabCustoUnit[[#This Row],[MODULO 1 - REMUNERAÇÃO ]]</f>
        <v>0.34344206250000003</v>
      </c>
      <c r="AY137" s="22">
        <f>SUMIF(tabParametros[Código do Posto],tabCustoUnit[[#This Row],[Código do Posto]],tabParametros[Férias, Adicional de Férias e 13º  com empregada em gozo de Licença Maternidade])*tabCustoUnit[[#This Row],[MODULO 1 - REMUNERAÇÃO ]]</f>
        <v>2.1369728333333331</v>
      </c>
      <c r="AZ137" s="22">
        <f>SUMIF(tabParametros[Código do Posto],tabCustoUnit[[#This Row],[Código do Posto]],tabParametros[Incidência do Submódulo 2.1 sobre Ausências Legais])*tabCustoUnit[[#This Row],[MODULO 1 - REMUNERAÇÃO ]]</f>
        <v>7.5697240734675013</v>
      </c>
      <c r="BA137" s="22">
        <f>SUM(tabCustoUnit[[#This Row],[Ausência por Doença]:[Incidência do Submódulo 2.1 sobre Ausências Legais]])</f>
        <v>27.595449135550833</v>
      </c>
      <c r="BB137" s="22">
        <f>SUMIF(tabParametros[Código do Posto],tabCustoUnit[[#This Row],[Código do Posto]],tabParametros[Intervalo para Repouso ou Alimentação])</f>
        <v>0</v>
      </c>
      <c r="BC137" s="22">
        <f>tabCustoUnit[[#This Row],[Intervalo para Repouso ou Alimentação]]</f>
        <v>0</v>
      </c>
      <c r="BD137" s="22">
        <f>IF(VLOOKUP(tabCustoUnit[[#This Row],[Código do Posto]],PARAMETROS!$A$4:$BJ$255,7,0)&lt;=0,0,
IFERROR((tabCustoUnit[[#This Row],[MODULO 1 - REMUNERAÇÃO ]]*VLOOKUP(tabCustoUnit[[#This Row],[Código do Posto]],PARAMETROS!$A$4:$BJ$255,49,0))/(VLOOKUP(tabCustoUnit[[#This Row],[Código do Posto]],PARAMETROS!$A$4:$BJ$255,7,0)*VLOOKUP(tabCustoUnit[[#This Row],[Código do Posto]],PARAMETROS!$A$4:$BJ$255,8,0)),0)
)</f>
        <v>0</v>
      </c>
      <c r="BE137" s="22">
        <f>tabCustoUnit[[#This Row],[Suspensão Temporária do Contrato de Trabalho]]</f>
        <v>0</v>
      </c>
      <c r="BF137" s="22">
        <f>tabCustoUnit[[#This Row],[Submódulo 4.1]]+tabCustoUnit[[#This Row],[Submódulo 4.2]]+tabCustoUnit[[#This Row],[Submódulo 4.3]]</f>
        <v>27.595449135550833</v>
      </c>
      <c r="BG137" s="22">
        <f>VLOOKUP(tabCustoUnit[[#This Row],[Código do Posto]],tabParametros[],MATCH(tabCustoUnit[[#Headers],[Uniformes e EPIs]],tabParametros[#Headers],0),0)</f>
        <v>100.80916666666666</v>
      </c>
      <c r="BH137" s="22">
        <f>VLOOKUP(tabCustoUnit[[#This Row],[Código do Posto]],tabParametros[],MATCH(tabCustoUnit[[#Headers],[Materiais de Consumo]],tabParametros[#Headers],0),0)</f>
        <v>35.518212958583888</v>
      </c>
      <c r="BI137" s="22">
        <f>VLOOKUP(tabCustoUnit[[#This Row],[Código do Posto]],tabParametros[],MATCH(tabCustoUnit[[#Headers],[Máquinas e Equipamentos (depreciação)]],tabParametros[#Headers],0),0)</f>
        <v>64.529393914825576</v>
      </c>
      <c r="BJ137" s="22">
        <f>VLOOKUP(tabCustoUnit[[#This Row],[Código do Posto]],tabParametros[],MATCH(tabCustoUnit[[#Headers],[Produtos de Limpeza e Materiais de Higiene Pessoal]],tabParametros[#Headers],0),0)</f>
        <v>690.27153277931654</v>
      </c>
      <c r="BK137" s="22">
        <f>VLOOKUP(tabCustoUnit[[#This Row],[Código do Posto]],tabParametros[],MATCH(tabCustoUnit[[#Headers],[Outros (especificar)]],tabParametros[#Headers],0),0)</f>
        <v>0</v>
      </c>
      <c r="BL137" s="22">
        <f>SUM(tabCustoUnit[[#This Row],[Uniformes e EPIs]:[Outros (especificar)]])</f>
        <v>891.12830631939266</v>
      </c>
      <c r="BM137" s="22">
        <f>tabCustoUnit[[#This Row],[MODULO 1 - REMUNERAÇÃO ]]+tabCustoUnit[[#This Row],[MÓDULO 2 - Total Encargos e Benefícios mensais e diários]]+tabCustoUnit[[#This Row],[MÓDULO 3 – PROVISÃO PARA RESCISÃO]]+tabCustoUnit[[#This Row],[MÓDULO 4 – CUSTO DE REPOSIÇÃO DO PROFISSIONAL AUSENTE]]+tabCustoUnit[[#This Row],[MÓDULO 5 – INSUMOS DIVERSOS]]</f>
        <v>4465.3388091737834</v>
      </c>
      <c r="BN137" s="22">
        <f>VLOOKUP(tabCustoUnit[[#This Row],[Código do Posto]],tabParametros[],MATCH(tabCustoUnit[[#Headers],[Custos Indiretos]],tabParametros[#Headers],0),0)</f>
        <v>189.64880140242613</v>
      </c>
      <c r="BO137" s="22">
        <f>VLOOKUP(tabCustoUnit[[#This Row],[Código do Posto]],tabParametros[],MATCH(tabCustoUnit[[#Headers],[Lucro]],tabParametros[#Headers],0),0)</f>
        <v>159.30499317803796</v>
      </c>
      <c r="BP137" s="26">
        <f>((100/((1-tabCustoUnit[[#This Row],[Resumo de Alíquotas (PIS+CONFINS+ISS)]]))-100)*VLOOKUP(tabCustoUnit[[#This Row],[Código do Posto]],tabParametros[],MATCH(tabCustoUnit[[#Headers],[COFINS]],tabParametros[#Headers],0),0))/(tabCustoUnit[[#This Row],[Resumo de Alíquotas (PIS+CONFINS+ISS)]]*100)</f>
        <v>8.6609686609686695E-2</v>
      </c>
      <c r="BQ137" s="26">
        <f>((100/((100-(tabCustoUnit[[#This Row],[Resumo de Alíquotas (PIS+CONFINS+ISS)]]*100))%)-100)*VLOOKUP(tabCustoUnit[[#This Row],[Código do Posto]],tabParametros[],MATCH(tabCustoUnit[[#Headers],[PIS]],tabParametros[#Headers],0),0))/(tabCustoUnit[[#This Row],[Resumo de Alíquotas (PIS+CONFINS+ISS)]]*100)</f>
        <v>1.880341880341882E-2</v>
      </c>
      <c r="BR137" s="28">
        <f>VLOOKUP(tabCustoUnit[[#This Row],[Código do Posto]],tabParametros[],MATCH(tabCustoUnit[[#Headers],[ISS]],tabParametros[#Headers],0),0)</f>
        <v>0.03</v>
      </c>
      <c r="BS137" s="26">
        <f>(((100/((100-(tabCustoUnit[[#This Row],[Resumo de Alíquotas (PIS+CONFINS+ISS)]]*100))%)-100)*tabCustoUnit[[#This Row],[ISS]])/tabCustoUnit[[#This Row],[Resumo de Alíquotas (PIS+CONFINS+ISS)]])/100</f>
        <v>3.4188034188034219E-2</v>
      </c>
      <c r="BT137" s="26">
        <f>(VLOOKUP(tabCustoUnit[[#This Row],[Código do Posto]],tabParametros[],MATCH(tabCustoUnit[[#Headers],[COFINS]],tabParametros[#Headers],0),0)+
VLOOKUP(tabCustoUnit[[#This Row],[Código do Posto]],tabParametros[],MATCH(tabCustoUnit[[#Headers],[PIS]],tabParametros[#Headers],0),0)+
VLOOKUP(tabCustoUnit[[#This Row],[Código do Posto]],tabParametros[],MATCH(tabCustoUnit[[#Headers],[ISS]],tabParametros[#Headers],0),0))</f>
        <v>0.1225</v>
      </c>
      <c r="BU137" s="138">
        <f>tabCustoUnit[[#This Row],[COFINS]]+tabCustoUnit[[#This Row],[PIS]]+tabCustoUnit[[#This Row],[ISS (Conversão Alíquota s/ fatura)]]</f>
        <v>0.13960113960113973</v>
      </c>
      <c r="BV137" s="22">
        <f>(tabCustoUnit[[#This Row],[TOTAL MÓDULOS 1+2+3+4+5]]+tabCustoUnit[[#This Row],[Custos Indiretos]]+tabCustoUnit[[#This Row],[Lucro]])*tabCustoUnit[[#This Row],[PIS + COFINS + ISS (Total Conversão  Alíquota s/ Fatura)]]</f>
        <v>672.08073385743126</v>
      </c>
      <c r="BW137" s="22">
        <f>tabCustoUnit[[#This Row],[Custos Indiretos]]+tabCustoUnit[[#This Row],[Lucro]]+tabCustoUnit[[#This Row],[Valor dos Tributos (ISS, PIS, CONFINS)]]</f>
        <v>1021.0345284378953</v>
      </c>
      <c r="BX137" s="22">
        <f>tabCustoUnit[[#This Row],[TOTAL MÓDULOS 1+2+3+4+5]]+tabCustoUnit[[#This Row],[MÓDULO 6 – CUSTOS INDIRETOS, TRIBUTOS E LUCRO]]</f>
        <v>5486.3733376116788</v>
      </c>
      <c r="BY137" s="22">
        <f>tabCustoUnit[[#This Row],[CUSTO TOTAL MENSAL]]*12</f>
        <v>65836.480051340142</v>
      </c>
      <c r="BZ137" s="24">
        <f>VLOOKUP(tabCustoUnit[[#This Row],[Código do Posto]],tabParametros[],MATCH(tabCustoUnit[[#Headers],[ANO DA CCT]],tabParametros[#Headers],0),0)</f>
        <v>45658</v>
      </c>
      <c r="CA137" s="25" t="str">
        <f>VLOOKUP(tabCustoUnit[[#This Row],[Código do Posto]],tabParametros[],MATCH(tabCustoUnit[[#Headers],[Nº DE PEDIDO DA CCT]],tabParametros[#Headers],0),0)</f>
        <v>-</v>
      </c>
      <c r="CB137" s="25" t="str">
        <f>VLOOKUP(tabCustoUnit[[#This Row],[Código do Posto]],tabParametros[],MATCH(tabCustoUnit[[#Headers],[TERMO ADITIVO ALTERAÇÃO DA CCT]],tabParametros[#Headers],0),0)</f>
        <v>-</v>
      </c>
    </row>
    <row r="138" spans="1:80" x14ac:dyDescent="0.25">
      <c r="A138" s="20" t="s">
        <v>1474</v>
      </c>
      <c r="B138" t="s">
        <v>125</v>
      </c>
      <c r="C138" t="s">
        <v>1244</v>
      </c>
      <c r="D138" t="s">
        <v>125</v>
      </c>
      <c r="E138" s="20" t="s">
        <v>9</v>
      </c>
      <c r="F138" s="20" t="s">
        <v>10</v>
      </c>
      <c r="G138" s="21">
        <v>827.86</v>
      </c>
      <c r="H138" s="21">
        <v>0</v>
      </c>
      <c r="I138" s="21">
        <v>0</v>
      </c>
      <c r="J138" s="21">
        <v>0</v>
      </c>
      <c r="K138" s="21">
        <v>0</v>
      </c>
      <c r="L138" s="21">
        <v>0</v>
      </c>
      <c r="M138" s="21">
        <v>0</v>
      </c>
      <c r="N138" s="21">
        <v>27.093599999999999</v>
      </c>
      <c r="O138" s="21">
        <f>SUM(tabCustoUnit[[#This Row],[Salário Base]:[Adicional de Acúmulo de função]])</f>
        <v>854.95360000000005</v>
      </c>
      <c r="P138" s="21">
        <f>tabCustoUnit[[#This Row],[MODULO 1 - REMUNERAÇÃO ]]*SUMIFS(tabParametros[INSS],tabParametros[Código do Posto],tabCustoUnit[[#This Row],[Código do Posto]])</f>
        <v>170.99072000000001</v>
      </c>
      <c r="Q138" s="21">
        <f>tabCustoUnit[[#This Row],[MODULO 1 - REMUNERAÇÃO ]]*SUMIFS(tabParametros[SESI OU SESC],tabParametros[Código do Posto],tabCustoUnit[[#This Row],[Código do Posto]])</f>
        <v>12.824304</v>
      </c>
      <c r="R138" s="21">
        <f>tabCustoUnit[[#This Row],[MODULO 1 - REMUNERAÇÃO ]]*SUMIFS(tabParametros[SENAI OU SENAC],tabParametros[Código do Posto],tabCustoUnit[[#This Row],[Código do Posto]])</f>
        <v>8.5495359999999998</v>
      </c>
      <c r="S138" s="21">
        <f>tabCustoUnit[[#This Row],[MODULO 1 - REMUNERAÇÃO ]]*SUMIFS(tabParametros[INCRA],tabParametros[Código do Posto],tabCustoUnit[[#This Row],[Código do Posto]])</f>
        <v>1.7099072000000002</v>
      </c>
      <c r="T138" s="21">
        <f>tabCustoUnit[[#This Row],[MODULO 1 - REMUNERAÇÃO ]]*SUMIFS(tabParametros[Salário Educação],tabParametros[Código do Posto],tabCustoUnit[[#This Row],[Código do Posto]])</f>
        <v>21.373840000000001</v>
      </c>
      <c r="U138" s="21">
        <f>tabCustoUnit[[#This Row],[MODULO 1 - REMUNERAÇÃO ]]*SUMIFS(tabParametros[FGTS],tabParametros[Código do Posto],tabCustoUnit[[#This Row],[Código do Posto]])</f>
        <v>68.396287999999998</v>
      </c>
      <c r="V138" s="21">
        <f>tabCustoUnit[[#This Row],[MODULO 1 - REMUNERAÇÃO ]]*SUMIFS(tabParametros[RAT Ajustado],tabParametros[Código do Posto],tabCustoUnit[[#This Row],[Código do Posto]])</f>
        <v>34.198143999999999</v>
      </c>
      <c r="W138" s="21">
        <f>tabCustoUnit[[#This Row],[MODULO 1 - REMUNERAÇÃO ]]*SUMIFS(tabParametros[SEBRAE],tabParametros[Código do Posto],tabCustoUnit[[#This Row],[Código do Posto]])</f>
        <v>5.1297216000000008</v>
      </c>
      <c r="X138" s="21">
        <f>SUM(tabCustoUnit[[#This Row],[INSS]:[SEBRAE]])</f>
        <v>323.17246080000001</v>
      </c>
      <c r="Y138" s="21">
        <f>tabCustoUnit[[#This Row],[MODULO 1 - REMUNERAÇÃO ]]*SUMIFS(tabParametros[13º salário (titular)],tabParametros[Código do Posto],tabCustoUnit[[#This Row],[Código do Posto]])</f>
        <v>71.246133333333333</v>
      </c>
      <c r="Z138" s="21">
        <f>tabCustoUnit[[#This Row],[MODULO 1 - REMUNERAÇÃO ]]*SUMIFS(tabParametros[Férias e Adicional de Férias (titular)],tabParametros[Código do Posto],tabCustoUnit[[#This Row],[Código do Posto]])</f>
        <v>94.994844444444439</v>
      </c>
      <c r="AA138" s="21">
        <f>IFERROR((tabCustoUnit[[#This Row],[Submódulo 2.1]]/tabCustoUnit[[#This Row],[MODULO 1 - REMUNERAÇÃO ]])*SUM(tabCustoUnit[[#This Row],[13º salário (titular)]:[Férias e Adicional de Férias (titular)]]),0)</f>
        <v>62.839089600000001</v>
      </c>
      <c r="AB138" s="21">
        <f>SUM(tabCustoUnit[[#This Row],[13º salário (titular)]:[Incidência do Submódulo 2.1 sobre 13º Salário, Férias e Adicional de Férias]])</f>
        <v>229.08006737777777</v>
      </c>
      <c r="AC138" s="22">
        <f>_xlfn.LET(_xlpm.VT,SUMIF(tabParametros[Código do Posto],tabCustoUnit[[#This Row],[Código do Posto]],tabParametros[Vale - Transporte])*2*20,
IF((_xlpm.VT-tabCustoUnit[[#This Row],[Salário Base]]*0.06)&gt;=0,(_xlpm.VT-tabCustoUnit[[#This Row],[Salário Base]]*0.06),0)
)</f>
        <v>206.32839999999999</v>
      </c>
      <c r="AD138" s="22">
        <f>IF(SUMIF(tabParametros[Código do Posto],tabCustoUnit[[#This Row],[Código do Posto]],tabParametros[Vale - Alimentação])&lt;=0,0,
SUMIF(tabParametros[Código do Posto],tabCustoUnit[[#This Row],[Código do Posto]],tabParametros[Vale - Alimentação])*20-1)</f>
        <v>582</v>
      </c>
      <c r="AE138" s="22">
        <f>SUMIF(tabParametros[Código do Posto],tabCustoUnit[[#This Row],[Código do Posto]],tabParametros[Cesta Básica])</f>
        <v>0</v>
      </c>
      <c r="AF138" s="22">
        <f>SUMIF(tabParametros[Código do Posto],tabCustoUnit[[#This Row],[Código do Posto]],tabParametros[PAF])</f>
        <v>56.3</v>
      </c>
      <c r="AG138" s="22">
        <f>SUMIF(tabParametros[Código do Posto],tabCustoUnit[[#This Row],[Código do Posto]],tabParametros[PQM])</f>
        <v>14.69</v>
      </c>
      <c r="AH138" s="22">
        <f>SUMIF(tabParametros[Código do Posto],tabCustoUnit[[#This Row],[Código do Posto]],tabParametros[PAT])</f>
        <v>0</v>
      </c>
      <c r="AI138" s="22">
        <f>SUMIF(tabParametros[Código do Posto],tabCustoUnit[[#This Row],[Código do Posto]],tabParametros[Seguro de Vida])</f>
        <v>3.36</v>
      </c>
      <c r="AJ138" s="22">
        <f>SUMIF(tabParametros[Código do Posto],tabCustoUnit[[#This Row],[Código do Posto]],tabParametros[Despesas de Viagem])</f>
        <v>0</v>
      </c>
      <c r="AK138" s="22">
        <f>SUM(tabCustoUnit[[#This Row],[Vale - Transporte (Descontada parcela do empregado)]:[Despesas de Viagem]])</f>
        <v>862.67840000000001</v>
      </c>
      <c r="AL138" s="22">
        <f>tabCustoUnit[[#This Row],[Submódulo 2.1]]+tabCustoUnit[[#This Row],[Submódulo 2.2]]+tabCustoUnit[[#This Row],[Submódulo 2.3]]</f>
        <v>1414.9309281777778</v>
      </c>
      <c r="AM138" s="22">
        <f>SUMIF(tabParametros[Código do Posto],tabCustoUnit[[#This Row],[Código do Posto]],tabParametros[Aviso Prévio Indenizado (API) e Reflexo do Aviso Prévio Indenizado])*tabCustoUnit[[#This Row],[MODULO 1 - REMUNERAÇÃO ]]</f>
        <v>5.9947354179012349</v>
      </c>
      <c r="AN138" s="22">
        <f>SUMIF(tabParametros[Código do Posto],tabCustoUnit[[#This Row],[Código do Posto]],tabParametros[Incidência do FGTS sobre API e Reflexo do API])*tabCustoUnit[[#This Row],[MODULO 1 - REMUNERAÇÃO ]]</f>
        <v>0.47957883343209884</v>
      </c>
      <c r="AO138" s="22">
        <f>SUMIF(tabParametros[Código do Posto],tabCustoUnit[[#This Row],[Código do Posto]],tabParametros[Multa Rescisória do FGTS sobre o Aviso Prévio Indenizado])*tabCustoUnit[[#This Row],[MODULO 1 - REMUNERAÇÃO ]]</f>
        <v>0.19183153337283956</v>
      </c>
      <c r="AP138" s="22">
        <f>SUMIF(tabParametros[Código do Posto],tabCustoUnit[[#This Row],[Código do Posto]],tabParametros[Aviso Prévio Trabalhado - APT])*tabCustoUnit[[#This Row],[MODULO 1 - REMUNERAÇÃO ]]</f>
        <v>2.9923376000000008</v>
      </c>
      <c r="AQ138" s="22">
        <f>SUMIF(tabParametros[Código do Posto],tabCustoUnit[[#This Row],[Código do Posto]],tabParametros[Incidência dos encargos do submódulo 2.1 sobre Aviso Prévio Trabalhado])*tabCustoUnit[[#This Row],[MODULO 1 - REMUNERAÇÃO ]]</f>
        <v>1.1311036128000005</v>
      </c>
      <c r="AR138" s="22">
        <f>SUMIF(tabParametros[Código do Posto],tabCustoUnit[[#This Row],[Código do Posto]],tabParametros[Multa Rescisória do FGTS])*tabCustoUnit[[#This Row],[MODULO 1 - REMUNERAÇÃO ]]</f>
        <v>26.142581191111109</v>
      </c>
      <c r="AS138" s="22">
        <f>SUMIF(tabParametros[Código do Posto],tabCustoUnit[[#This Row],[Código do Posto]],tabParametros[Indenização Adicional (Art. 9º da Lei nº 7.238/84)])*tabCustoUnit[[#This Row],[MODULO 1 - REMUNERAÇÃO ]]</f>
        <v>0.71246133333333339</v>
      </c>
      <c r="AT138" s="22">
        <f>SUM(tabCustoUnit[[#This Row],[Aviso Prévio Indenizado (API) e Reflexo do Aviso Prévio Indenizado]:[Indenização Adicional (Art. 9º da Lei nº 7.238/84)]])</f>
        <v>37.644629521950613</v>
      </c>
      <c r="AU138" s="22">
        <f>SUMIF(tabParametros[Código do Posto],tabCustoUnit[[#This Row],[Código do Posto]],tabParametros[Ausência por Doença])*tabCustoUnit[[#This Row],[MODULO 1 - REMUNERAÇÃO ]]</f>
        <v>7.2196081777777774</v>
      </c>
      <c r="AV138" s="22">
        <f>SUMIF(tabParametros[Código do Posto],tabCustoUnit[[#This Row],[Código do Posto]],tabParametros[Ausências Legais])*tabCustoUnit[[#This Row],[MODULO 1 - REMUNERAÇÃO ]]</f>
        <v>1.7336559111111112</v>
      </c>
      <c r="AW138" s="22">
        <f>SUMIF(tabParametros[Código do Posto],tabCustoUnit[[#This Row],[Código do Posto]],tabParametros[Licença Paternidade])*tabCustoUnit[[#This Row],[MODULO 1 - REMUNERAÇÃO ]]</f>
        <v>0.14605457333333333</v>
      </c>
      <c r="AX138" s="22">
        <f>SUMIF(tabParametros[Código do Posto],tabCustoUnit[[#This Row],[Código do Posto]],tabParametros[Ausência por Acidente de Trabalho])*tabCustoUnit[[#This Row],[MODULO 1 - REMUNERAÇÃO ]]</f>
        <v>0.17811533333333335</v>
      </c>
      <c r="AY138" s="22">
        <f>SUMIF(tabParametros[Código do Posto],tabCustoUnit[[#This Row],[Código do Posto]],tabParametros[Férias, Adicional de Férias e 13º  com empregada em gozo de Licença Maternidade])*tabCustoUnit[[#This Row],[MODULO 1 - REMUNERAÇÃO ]]</f>
        <v>1.1082731851851853</v>
      </c>
      <c r="AZ138" s="22">
        <f>SUMIF(tabParametros[Código do Posto],tabCustoUnit[[#This Row],[Código do Posto]],tabParametros[Incidência do Submódulo 2.1 sobre Ausências Legais])*tabCustoUnit[[#This Row],[MODULO 1 - REMUNERAÇÃO ]]</f>
        <v>3.9257973143200009</v>
      </c>
      <c r="BA138" s="22">
        <f>SUM(tabCustoUnit[[#This Row],[Ausência por Doença]:[Incidência do Submódulo 2.1 sobre Ausências Legais]])</f>
        <v>14.31150449506074</v>
      </c>
      <c r="BB138" s="22">
        <f>SUMIF(tabParametros[Código do Posto],tabCustoUnit[[#This Row],[Código do Posto]],tabParametros[Intervalo para Repouso ou Alimentação])</f>
        <v>0</v>
      </c>
      <c r="BC138" s="22">
        <f>tabCustoUnit[[#This Row],[Intervalo para Repouso ou Alimentação]]</f>
        <v>0</v>
      </c>
      <c r="BD138" s="22">
        <f>IF(VLOOKUP(tabCustoUnit[[#This Row],[Código do Posto]],PARAMETROS!$A$4:$BJ$255,7,0)&lt;=0,0,
IFERROR((tabCustoUnit[[#This Row],[MODULO 1 - REMUNERAÇÃO ]]*VLOOKUP(tabCustoUnit[[#This Row],[Código do Posto]],PARAMETROS!$A$4:$BJ$255,49,0))/(VLOOKUP(tabCustoUnit[[#This Row],[Código do Posto]],PARAMETROS!$A$4:$BJ$255,7,0)*VLOOKUP(tabCustoUnit[[#This Row],[Código do Posto]],PARAMETROS!$A$4:$BJ$255,8,0)),0)
)</f>
        <v>0</v>
      </c>
      <c r="BE138" s="22">
        <f>tabCustoUnit[[#This Row],[Suspensão Temporária do Contrato de Trabalho]]</f>
        <v>0</v>
      </c>
      <c r="BF138" s="22">
        <f>tabCustoUnit[[#This Row],[Submódulo 4.1]]+tabCustoUnit[[#This Row],[Submódulo 4.2]]+tabCustoUnit[[#This Row],[Submódulo 4.3]]</f>
        <v>14.31150449506074</v>
      </c>
      <c r="BG138" s="22">
        <f>VLOOKUP(tabCustoUnit[[#This Row],[Código do Posto]],tabParametros[],MATCH(tabCustoUnit[[#Headers],[Uniformes e EPIs]],tabParametros[#Headers],0),0)</f>
        <v>62.806666666666665</v>
      </c>
      <c r="BH138" s="22">
        <f>VLOOKUP(tabCustoUnit[[#This Row],[Código do Posto]],tabParametros[],MATCH(tabCustoUnit[[#Headers],[Materiais de Consumo]],tabParametros[#Headers],0),0)</f>
        <v>17.759106479291944</v>
      </c>
      <c r="BI138" s="22">
        <f>VLOOKUP(tabCustoUnit[[#This Row],[Código do Posto]],tabParametros[],MATCH(tabCustoUnit[[#Headers],[Máquinas e Equipamentos (depreciação)]],tabParametros[#Headers],0),0)</f>
        <v>32.264696957412788</v>
      </c>
      <c r="BJ138" s="22">
        <f>VLOOKUP(tabCustoUnit[[#This Row],[Código do Posto]],tabParametros[],MATCH(tabCustoUnit[[#Headers],[Produtos de Limpeza e Materiais de Higiene Pessoal]],tabParametros[#Headers],0),0)</f>
        <v>345.13576638965827</v>
      </c>
      <c r="BK138" s="22">
        <f>VLOOKUP(tabCustoUnit[[#This Row],[Código do Posto]],tabParametros[],MATCH(tabCustoUnit[[#Headers],[Outros (especificar)]],tabParametros[#Headers],0),0)</f>
        <v>0</v>
      </c>
      <c r="BL138" s="22">
        <f>SUM(tabCustoUnit[[#This Row],[Uniformes e EPIs]:[Outros (especificar)]])</f>
        <v>457.96623649302967</v>
      </c>
      <c r="BM138" s="22">
        <f>tabCustoUnit[[#This Row],[MODULO 1 - REMUNERAÇÃO ]]+tabCustoUnit[[#This Row],[MÓDULO 2 - Total Encargos e Benefícios mensais e diários]]+tabCustoUnit[[#This Row],[MÓDULO 3 – PROVISÃO PARA RESCISÃO]]+tabCustoUnit[[#This Row],[MÓDULO 4 – CUSTO DE REPOSIÇÃO DO PROFISSIONAL AUSENTE]]+tabCustoUnit[[#This Row],[MÓDULO 5 – INSUMOS DIVERSOS]]</f>
        <v>2779.8068986878188</v>
      </c>
      <c r="BN138" s="22">
        <f>VLOOKUP(tabCustoUnit[[#This Row],[Código do Posto]],tabParametros[],MATCH(tabCustoUnit[[#Headers],[Custos Indiretos]],tabParametros[#Headers],0),0)</f>
        <v>189.64880140242613</v>
      </c>
      <c r="BO138" s="22">
        <f>VLOOKUP(tabCustoUnit[[#This Row],[Código do Posto]],tabParametros[],MATCH(tabCustoUnit[[#Headers],[Lucro]],tabParametros[#Headers],0),0)</f>
        <v>159.30499317803796</v>
      </c>
      <c r="BP138" s="26">
        <f>((100/((1-tabCustoUnit[[#This Row],[Resumo de Alíquotas (PIS+CONFINS+ISS)]]))-100)*VLOOKUP(tabCustoUnit[[#This Row],[Código do Posto]],tabParametros[],MATCH(tabCustoUnit[[#Headers],[COFINS]],tabParametros[#Headers],0),0))/(tabCustoUnit[[#This Row],[Resumo de Alíquotas (PIS+CONFINS+ISS)]]*100)</f>
        <v>8.6609686609686695E-2</v>
      </c>
      <c r="BQ138" s="26">
        <f>((100/((100-(tabCustoUnit[[#This Row],[Resumo de Alíquotas (PIS+CONFINS+ISS)]]*100))%)-100)*VLOOKUP(tabCustoUnit[[#This Row],[Código do Posto]],tabParametros[],MATCH(tabCustoUnit[[#Headers],[PIS]],tabParametros[#Headers],0),0))/(tabCustoUnit[[#This Row],[Resumo de Alíquotas (PIS+CONFINS+ISS)]]*100)</f>
        <v>1.880341880341882E-2</v>
      </c>
      <c r="BR138" s="28">
        <f>VLOOKUP(tabCustoUnit[[#This Row],[Código do Posto]],tabParametros[],MATCH(tabCustoUnit[[#Headers],[ISS]],tabParametros[#Headers],0),0)</f>
        <v>0.03</v>
      </c>
      <c r="BS138" s="26">
        <f>(((100/((100-(tabCustoUnit[[#This Row],[Resumo de Alíquotas (PIS+CONFINS+ISS)]]*100))%)-100)*tabCustoUnit[[#This Row],[ISS]])/tabCustoUnit[[#This Row],[Resumo de Alíquotas (PIS+CONFINS+ISS)]])/100</f>
        <v>3.4188034188034219E-2</v>
      </c>
      <c r="BT138" s="26">
        <f>(VLOOKUP(tabCustoUnit[[#This Row],[Código do Posto]],tabParametros[],MATCH(tabCustoUnit[[#Headers],[COFINS]],tabParametros[#Headers],0),0)+
VLOOKUP(tabCustoUnit[[#This Row],[Código do Posto]],tabParametros[],MATCH(tabCustoUnit[[#Headers],[PIS]],tabParametros[#Headers],0),0)+
VLOOKUP(tabCustoUnit[[#This Row],[Código do Posto]],tabParametros[],MATCH(tabCustoUnit[[#Headers],[ISS]],tabParametros[#Headers],0),0))</f>
        <v>0.1225</v>
      </c>
      <c r="BU138" s="138">
        <f>tabCustoUnit[[#This Row],[COFINS]]+tabCustoUnit[[#This Row],[PIS]]+tabCustoUnit[[#This Row],[ISS (Conversão Alíquota s/ fatura)]]</f>
        <v>0.13960113960113973</v>
      </c>
      <c r="BV138" s="22">
        <f>(tabCustoUnit[[#This Row],[TOTAL MÓDULOS 1+2+3+4+5]]+tabCustoUnit[[#This Row],[Custos Indiretos]]+tabCustoUnit[[#This Row],[Lucro]])*tabCustoUnit[[#This Row],[PIS + COFINS + ISS (Total Conversão  Alíquota s/ Fatura)]]</f>
        <v>436.77855831950433</v>
      </c>
      <c r="BW138" s="22">
        <f>tabCustoUnit[[#This Row],[Custos Indiretos]]+tabCustoUnit[[#This Row],[Lucro]]+tabCustoUnit[[#This Row],[Valor dos Tributos (ISS, PIS, CONFINS)]]</f>
        <v>785.73235289996842</v>
      </c>
      <c r="BX138" s="22">
        <f>tabCustoUnit[[#This Row],[TOTAL MÓDULOS 1+2+3+4+5]]+tabCustoUnit[[#This Row],[MÓDULO 6 – CUSTOS INDIRETOS, TRIBUTOS E LUCRO]]</f>
        <v>3565.5392515877875</v>
      </c>
      <c r="BY138" s="22">
        <f>tabCustoUnit[[#This Row],[CUSTO TOTAL MENSAL]]*12</f>
        <v>42786.471019053453</v>
      </c>
      <c r="BZ138" s="24">
        <f>VLOOKUP(tabCustoUnit[[#This Row],[Código do Posto]],tabParametros[],MATCH(tabCustoUnit[[#Headers],[ANO DA CCT]],tabParametros[#Headers],0),0)</f>
        <v>45658</v>
      </c>
      <c r="CA138" s="25" t="str">
        <f>VLOOKUP(tabCustoUnit[[#This Row],[Código do Posto]],tabParametros[],MATCH(tabCustoUnit[[#Headers],[Nº DE PEDIDO DA CCT]],tabParametros[#Headers],0),0)</f>
        <v>-</v>
      </c>
      <c r="CB138" s="25" t="str">
        <f>VLOOKUP(tabCustoUnit[[#This Row],[Código do Posto]],tabParametros[],MATCH(tabCustoUnit[[#Headers],[TERMO ADITIVO ALTERAÇÃO DA CCT]],tabParametros[#Headers],0),0)</f>
        <v>-</v>
      </c>
    </row>
    <row r="139" spans="1:80" x14ac:dyDescent="0.25">
      <c r="A139" s="20" t="s">
        <v>1475</v>
      </c>
      <c r="B139" t="s">
        <v>125</v>
      </c>
      <c r="C139" t="s">
        <v>1245</v>
      </c>
      <c r="D139" t="s">
        <v>125</v>
      </c>
      <c r="E139" s="20" t="s">
        <v>9</v>
      </c>
      <c r="F139" s="20" t="s">
        <v>10</v>
      </c>
      <c r="G139" s="21">
        <v>1655.72</v>
      </c>
      <c r="H139" s="21">
        <v>0</v>
      </c>
      <c r="I139" s="21">
        <v>0</v>
      </c>
      <c r="J139" s="21">
        <v>0</v>
      </c>
      <c r="K139" s="21">
        <v>0</v>
      </c>
      <c r="L139" s="21">
        <v>0</v>
      </c>
      <c r="M139" s="21">
        <v>0</v>
      </c>
      <c r="N139" s="21">
        <v>54.187199999999997</v>
      </c>
      <c r="O139" s="21">
        <f>SUM(tabCustoUnit[[#This Row],[Salário Base]:[Adicional de Acúmulo de função]])</f>
        <v>1709.9072000000001</v>
      </c>
      <c r="P139" s="21">
        <f>tabCustoUnit[[#This Row],[MODULO 1 - REMUNERAÇÃO ]]*SUMIFS(tabParametros[INSS],tabParametros[Código do Posto],tabCustoUnit[[#This Row],[Código do Posto]])</f>
        <v>341.98144000000002</v>
      </c>
      <c r="Q139" s="21">
        <f>tabCustoUnit[[#This Row],[MODULO 1 - REMUNERAÇÃO ]]*SUMIFS(tabParametros[SESI OU SESC],tabParametros[Código do Posto],tabCustoUnit[[#This Row],[Código do Posto]])</f>
        <v>25.648607999999999</v>
      </c>
      <c r="R139" s="21">
        <f>tabCustoUnit[[#This Row],[MODULO 1 - REMUNERAÇÃO ]]*SUMIFS(tabParametros[SENAI OU SENAC],tabParametros[Código do Posto],tabCustoUnit[[#This Row],[Código do Posto]])</f>
        <v>17.099072</v>
      </c>
      <c r="S139" s="21">
        <f>tabCustoUnit[[#This Row],[MODULO 1 - REMUNERAÇÃO ]]*SUMIFS(tabParametros[INCRA],tabParametros[Código do Posto],tabCustoUnit[[#This Row],[Código do Posto]])</f>
        <v>3.4198144000000004</v>
      </c>
      <c r="T139" s="21">
        <f>tabCustoUnit[[#This Row],[MODULO 1 - REMUNERAÇÃO ]]*SUMIFS(tabParametros[Salário Educação],tabParametros[Código do Posto],tabCustoUnit[[#This Row],[Código do Posto]])</f>
        <v>42.747680000000003</v>
      </c>
      <c r="U139" s="21">
        <f>tabCustoUnit[[#This Row],[MODULO 1 - REMUNERAÇÃO ]]*SUMIFS(tabParametros[FGTS],tabParametros[Código do Posto],tabCustoUnit[[#This Row],[Código do Posto]])</f>
        <v>136.792576</v>
      </c>
      <c r="V139" s="21">
        <f>tabCustoUnit[[#This Row],[MODULO 1 - REMUNERAÇÃO ]]*SUMIFS(tabParametros[RAT Ajustado],tabParametros[Código do Posto],tabCustoUnit[[#This Row],[Código do Posto]])</f>
        <v>68.396287999999998</v>
      </c>
      <c r="W139" s="21">
        <f>tabCustoUnit[[#This Row],[MODULO 1 - REMUNERAÇÃO ]]*SUMIFS(tabParametros[SEBRAE],tabParametros[Código do Posto],tabCustoUnit[[#This Row],[Código do Posto]])</f>
        <v>10.259443200000002</v>
      </c>
      <c r="X139" s="21">
        <f>SUM(tabCustoUnit[[#This Row],[INSS]:[SEBRAE]])</f>
        <v>646.34492160000002</v>
      </c>
      <c r="Y139" s="21">
        <f>tabCustoUnit[[#This Row],[MODULO 1 - REMUNERAÇÃO ]]*SUMIFS(tabParametros[13º salário (titular)],tabParametros[Código do Posto],tabCustoUnit[[#This Row],[Código do Posto]])</f>
        <v>142.49226666666667</v>
      </c>
      <c r="Z139" s="21">
        <f>tabCustoUnit[[#This Row],[MODULO 1 - REMUNERAÇÃO ]]*SUMIFS(tabParametros[Férias e Adicional de Férias (titular)],tabParametros[Código do Posto],tabCustoUnit[[#This Row],[Código do Posto]])</f>
        <v>189.98968888888888</v>
      </c>
      <c r="AA139" s="21">
        <f>IFERROR((tabCustoUnit[[#This Row],[Submódulo 2.1]]/tabCustoUnit[[#This Row],[MODULO 1 - REMUNERAÇÃO ]])*SUM(tabCustoUnit[[#This Row],[13º salário (titular)]:[Férias e Adicional de Férias (titular)]]),0)</f>
        <v>125.6781792</v>
      </c>
      <c r="AB139" s="21">
        <f>SUM(tabCustoUnit[[#This Row],[13º salário (titular)]:[Incidência do Submódulo 2.1 sobre 13º Salário, Férias e Adicional de Férias]])</f>
        <v>458.16013475555553</v>
      </c>
      <c r="AC139" s="22">
        <f>_xlfn.LET(_xlpm.VT,SUMIF(tabParametros[Código do Posto],tabCustoUnit[[#This Row],[Código do Posto]],tabParametros[Vale - Transporte])*2*20,
IF((_xlpm.VT-tabCustoUnit[[#This Row],[Salário Base]]*0.06)&gt;=0,(_xlpm.VT-tabCustoUnit[[#This Row],[Salário Base]]*0.06),0)
)</f>
        <v>156.6568</v>
      </c>
      <c r="AD139" s="22">
        <f>IF(SUMIF(tabParametros[Código do Posto],tabCustoUnit[[#This Row],[Código do Posto]],tabParametros[Vale - Alimentação])&lt;=0,0,
SUMIF(tabParametros[Código do Posto],tabCustoUnit[[#This Row],[Código do Posto]],tabParametros[Vale - Alimentação])*20-1)</f>
        <v>582</v>
      </c>
      <c r="AE139" s="22">
        <f>SUMIF(tabParametros[Código do Posto],tabCustoUnit[[#This Row],[Código do Posto]],tabParametros[Cesta Básica])</f>
        <v>0</v>
      </c>
      <c r="AF139" s="22">
        <f>SUMIF(tabParametros[Código do Posto],tabCustoUnit[[#This Row],[Código do Posto]],tabParametros[PAF])</f>
        <v>56.3</v>
      </c>
      <c r="AG139" s="22">
        <f>SUMIF(tabParametros[Código do Posto],tabCustoUnit[[#This Row],[Código do Posto]],tabParametros[PQM])</f>
        <v>14.69</v>
      </c>
      <c r="AH139" s="22">
        <f>SUMIF(tabParametros[Código do Posto],tabCustoUnit[[#This Row],[Código do Posto]],tabParametros[PAT])</f>
        <v>0</v>
      </c>
      <c r="AI139" s="22">
        <f>SUMIF(tabParametros[Código do Posto],tabCustoUnit[[#This Row],[Código do Posto]],tabParametros[Seguro de Vida])</f>
        <v>3.36</v>
      </c>
      <c r="AJ139" s="22">
        <f>SUMIF(tabParametros[Código do Posto],tabCustoUnit[[#This Row],[Código do Posto]],tabParametros[Despesas de Viagem])</f>
        <v>0</v>
      </c>
      <c r="AK139" s="22">
        <f>SUM(tabCustoUnit[[#This Row],[Vale - Transporte (Descontada parcela do empregado)]:[Despesas de Viagem]])</f>
        <v>813.0068</v>
      </c>
      <c r="AL139" s="22">
        <f>tabCustoUnit[[#This Row],[Submódulo 2.1]]+tabCustoUnit[[#This Row],[Submódulo 2.2]]+tabCustoUnit[[#This Row],[Submódulo 2.3]]</f>
        <v>1917.5118563555557</v>
      </c>
      <c r="AM139" s="22">
        <f>SUMIF(tabParametros[Código do Posto],tabCustoUnit[[#This Row],[Código do Posto]],tabParametros[Aviso Prévio Indenizado (API) e Reflexo do Aviso Prévio Indenizado])*tabCustoUnit[[#This Row],[MODULO 1 - REMUNERAÇÃO ]]</f>
        <v>11.98947083580247</v>
      </c>
      <c r="AN139" s="22">
        <f>SUMIF(tabParametros[Código do Posto],tabCustoUnit[[#This Row],[Código do Posto]],tabParametros[Incidência do FGTS sobre API e Reflexo do API])*tabCustoUnit[[#This Row],[MODULO 1 - REMUNERAÇÃO ]]</f>
        <v>0.95915766686419768</v>
      </c>
      <c r="AO139" s="22">
        <f>SUMIF(tabParametros[Código do Posto],tabCustoUnit[[#This Row],[Código do Posto]],tabParametros[Multa Rescisória do FGTS sobre o Aviso Prévio Indenizado])*tabCustoUnit[[#This Row],[MODULO 1 - REMUNERAÇÃO ]]</f>
        <v>0.38366306674567913</v>
      </c>
      <c r="AP139" s="22">
        <f>SUMIF(tabParametros[Código do Posto],tabCustoUnit[[#This Row],[Código do Posto]],tabParametros[Aviso Prévio Trabalhado - APT])*tabCustoUnit[[#This Row],[MODULO 1 - REMUNERAÇÃO ]]</f>
        <v>5.9846752000000016</v>
      </c>
      <c r="AQ139" s="22">
        <f>SUMIF(tabParametros[Código do Posto],tabCustoUnit[[#This Row],[Código do Posto]],tabParametros[Incidência dos encargos do submódulo 2.1 sobre Aviso Prévio Trabalhado])*tabCustoUnit[[#This Row],[MODULO 1 - REMUNERAÇÃO ]]</f>
        <v>2.262207225600001</v>
      </c>
      <c r="AR139" s="22">
        <f>SUMIF(tabParametros[Código do Posto],tabCustoUnit[[#This Row],[Código do Posto]],tabParametros[Multa Rescisória do FGTS])*tabCustoUnit[[#This Row],[MODULO 1 - REMUNERAÇÃO ]]</f>
        <v>52.285162382222218</v>
      </c>
      <c r="AS139" s="22">
        <f>SUMIF(tabParametros[Código do Posto],tabCustoUnit[[#This Row],[Código do Posto]],tabParametros[Indenização Adicional (Art. 9º da Lei nº 7.238/84)])*tabCustoUnit[[#This Row],[MODULO 1 - REMUNERAÇÃO ]]</f>
        <v>1.4249226666666668</v>
      </c>
      <c r="AT139" s="22">
        <f>SUM(tabCustoUnit[[#This Row],[Aviso Prévio Indenizado (API) e Reflexo do Aviso Prévio Indenizado]:[Indenização Adicional (Art. 9º da Lei nº 7.238/84)]])</f>
        <v>75.289259043901225</v>
      </c>
      <c r="AU139" s="22">
        <f>SUMIF(tabParametros[Código do Posto],tabCustoUnit[[#This Row],[Código do Posto]],tabParametros[Ausência por Doença])*tabCustoUnit[[#This Row],[MODULO 1 - REMUNERAÇÃO ]]</f>
        <v>14.439216355555555</v>
      </c>
      <c r="AV139" s="22">
        <f>SUMIF(tabParametros[Código do Posto],tabCustoUnit[[#This Row],[Código do Posto]],tabParametros[Ausências Legais])*tabCustoUnit[[#This Row],[MODULO 1 - REMUNERAÇÃO ]]</f>
        <v>3.4673118222222223</v>
      </c>
      <c r="AW139" s="22">
        <f>SUMIF(tabParametros[Código do Posto],tabCustoUnit[[#This Row],[Código do Posto]],tabParametros[Licença Paternidade])*tabCustoUnit[[#This Row],[MODULO 1 - REMUNERAÇÃO ]]</f>
        <v>0.29210914666666665</v>
      </c>
      <c r="AX139" s="22">
        <f>SUMIF(tabParametros[Código do Posto],tabCustoUnit[[#This Row],[Código do Posto]],tabParametros[Ausência por Acidente de Trabalho])*tabCustoUnit[[#This Row],[MODULO 1 - REMUNERAÇÃO ]]</f>
        <v>0.3562306666666667</v>
      </c>
      <c r="AY139" s="22">
        <f>SUMIF(tabParametros[Código do Posto],tabCustoUnit[[#This Row],[Código do Posto]],tabParametros[Férias, Adicional de Férias e 13º  com empregada em gozo de Licença Maternidade])*tabCustoUnit[[#This Row],[MODULO 1 - REMUNERAÇÃO ]]</f>
        <v>2.2165463703703705</v>
      </c>
      <c r="AZ139" s="22">
        <f>SUMIF(tabParametros[Código do Posto],tabCustoUnit[[#This Row],[Código do Posto]],tabParametros[Incidência do Submódulo 2.1 sobre Ausências Legais])*tabCustoUnit[[#This Row],[MODULO 1 - REMUNERAÇÃO ]]</f>
        <v>7.8515946286400018</v>
      </c>
      <c r="BA139" s="22">
        <f>SUM(tabCustoUnit[[#This Row],[Ausência por Doença]:[Incidência do Submódulo 2.1 sobre Ausências Legais]])</f>
        <v>28.62300899012148</v>
      </c>
      <c r="BB139" s="22">
        <f>SUMIF(tabParametros[Código do Posto],tabCustoUnit[[#This Row],[Código do Posto]],tabParametros[Intervalo para Repouso ou Alimentação])</f>
        <v>0</v>
      </c>
      <c r="BC139" s="22">
        <f>tabCustoUnit[[#This Row],[Intervalo para Repouso ou Alimentação]]</f>
        <v>0</v>
      </c>
      <c r="BD139" s="22">
        <f>IF(VLOOKUP(tabCustoUnit[[#This Row],[Código do Posto]],PARAMETROS!$A$4:$BJ$255,7,0)&lt;=0,0,
IFERROR((tabCustoUnit[[#This Row],[MODULO 1 - REMUNERAÇÃO ]]*VLOOKUP(tabCustoUnit[[#This Row],[Código do Posto]],PARAMETROS!$A$4:$BJ$255,49,0))/(VLOOKUP(tabCustoUnit[[#This Row],[Código do Posto]],PARAMETROS!$A$4:$BJ$255,7,0)*VLOOKUP(tabCustoUnit[[#This Row],[Código do Posto]],PARAMETROS!$A$4:$BJ$255,8,0)),0)
)</f>
        <v>0</v>
      </c>
      <c r="BE139" s="22">
        <f>tabCustoUnit[[#This Row],[Suspensão Temporária do Contrato de Trabalho]]</f>
        <v>0</v>
      </c>
      <c r="BF139" s="22">
        <f>tabCustoUnit[[#This Row],[Submódulo 4.1]]+tabCustoUnit[[#This Row],[Submódulo 4.2]]+tabCustoUnit[[#This Row],[Submódulo 4.3]]</f>
        <v>28.62300899012148</v>
      </c>
      <c r="BG139" s="22">
        <f>VLOOKUP(tabCustoUnit[[#This Row],[Código do Posto]],tabParametros[],MATCH(tabCustoUnit[[#Headers],[Uniformes e EPIs]],tabParametros[#Headers],0),0)</f>
        <v>100.80916666666666</v>
      </c>
      <c r="BH139" s="22">
        <f>VLOOKUP(tabCustoUnit[[#This Row],[Código do Posto]],tabParametros[],MATCH(tabCustoUnit[[#Headers],[Materiais de Consumo]],tabParametros[#Headers],0),0)</f>
        <v>35.518212958583888</v>
      </c>
      <c r="BI139" s="22">
        <f>VLOOKUP(tabCustoUnit[[#This Row],[Código do Posto]],tabParametros[],MATCH(tabCustoUnit[[#Headers],[Máquinas e Equipamentos (depreciação)]],tabParametros[#Headers],0),0)</f>
        <v>64.529393914825576</v>
      </c>
      <c r="BJ139" s="22">
        <f>VLOOKUP(tabCustoUnit[[#This Row],[Código do Posto]],tabParametros[],MATCH(tabCustoUnit[[#Headers],[Produtos de Limpeza e Materiais de Higiene Pessoal]],tabParametros[#Headers],0),0)</f>
        <v>690.27153277931654</v>
      </c>
      <c r="BK139" s="22">
        <f>VLOOKUP(tabCustoUnit[[#This Row],[Código do Posto]],tabParametros[],MATCH(tabCustoUnit[[#Headers],[Outros (especificar)]],tabParametros[#Headers],0),0)</f>
        <v>0</v>
      </c>
      <c r="BL139" s="22">
        <f>SUM(tabCustoUnit[[#This Row],[Uniformes e EPIs]:[Outros (especificar)]])</f>
        <v>891.12830631939266</v>
      </c>
      <c r="BM139" s="22">
        <f>tabCustoUnit[[#This Row],[MODULO 1 - REMUNERAÇÃO ]]+tabCustoUnit[[#This Row],[MÓDULO 2 - Total Encargos e Benefícios mensais e diários]]+tabCustoUnit[[#This Row],[MÓDULO 3 – PROVISÃO PARA RESCISÃO]]+tabCustoUnit[[#This Row],[MÓDULO 4 – CUSTO DE REPOSIÇÃO DO PROFISSIONAL AUSENTE]]+tabCustoUnit[[#This Row],[MÓDULO 5 – INSUMOS DIVERSOS]]</f>
        <v>4622.4596307089714</v>
      </c>
      <c r="BN139" s="22">
        <f>VLOOKUP(tabCustoUnit[[#This Row],[Código do Posto]],tabParametros[],MATCH(tabCustoUnit[[#Headers],[Custos Indiretos]],tabParametros[#Headers],0),0)</f>
        <v>189.64880140242613</v>
      </c>
      <c r="BO139" s="22">
        <f>VLOOKUP(tabCustoUnit[[#This Row],[Código do Posto]],tabParametros[],MATCH(tabCustoUnit[[#Headers],[Lucro]],tabParametros[#Headers],0),0)</f>
        <v>159.30499317803796</v>
      </c>
      <c r="BP139" s="26">
        <f>((100/((1-tabCustoUnit[[#This Row],[Resumo de Alíquotas (PIS+CONFINS+ISS)]]))-100)*VLOOKUP(tabCustoUnit[[#This Row],[Código do Posto]],tabParametros[],MATCH(tabCustoUnit[[#Headers],[COFINS]],tabParametros[#Headers],0),0))/(tabCustoUnit[[#This Row],[Resumo de Alíquotas (PIS+CONFINS+ISS)]]*100)</f>
        <v>8.6609686609686695E-2</v>
      </c>
      <c r="BQ139" s="26">
        <f>((100/((100-(tabCustoUnit[[#This Row],[Resumo de Alíquotas (PIS+CONFINS+ISS)]]*100))%)-100)*VLOOKUP(tabCustoUnit[[#This Row],[Código do Posto]],tabParametros[],MATCH(tabCustoUnit[[#Headers],[PIS]],tabParametros[#Headers],0),0))/(tabCustoUnit[[#This Row],[Resumo de Alíquotas (PIS+CONFINS+ISS)]]*100)</f>
        <v>1.880341880341882E-2</v>
      </c>
      <c r="BR139" s="28">
        <f>VLOOKUP(tabCustoUnit[[#This Row],[Código do Posto]],tabParametros[],MATCH(tabCustoUnit[[#Headers],[ISS]],tabParametros[#Headers],0),0)</f>
        <v>0.03</v>
      </c>
      <c r="BS139" s="26">
        <f>(((100/((100-(tabCustoUnit[[#This Row],[Resumo de Alíquotas (PIS+CONFINS+ISS)]]*100))%)-100)*tabCustoUnit[[#This Row],[ISS]])/tabCustoUnit[[#This Row],[Resumo de Alíquotas (PIS+CONFINS+ISS)]])/100</f>
        <v>3.4188034188034219E-2</v>
      </c>
      <c r="BT139" s="26">
        <f>(VLOOKUP(tabCustoUnit[[#This Row],[Código do Posto]],tabParametros[],MATCH(tabCustoUnit[[#Headers],[COFINS]],tabParametros[#Headers],0),0)+
VLOOKUP(tabCustoUnit[[#This Row],[Código do Posto]],tabParametros[],MATCH(tabCustoUnit[[#Headers],[PIS]],tabParametros[#Headers],0),0)+
VLOOKUP(tabCustoUnit[[#This Row],[Código do Posto]],tabParametros[],MATCH(tabCustoUnit[[#Headers],[ISS]],tabParametros[#Headers],0),0))</f>
        <v>0.1225</v>
      </c>
      <c r="BU139" s="138">
        <f>tabCustoUnit[[#This Row],[COFINS]]+tabCustoUnit[[#This Row],[PIS]]+tabCustoUnit[[#This Row],[ISS (Conversão Alíquota s/ fatura)]]</f>
        <v>0.13960113960113973</v>
      </c>
      <c r="BV139" s="22">
        <f>(tabCustoUnit[[#This Row],[TOTAL MÓDULOS 1+2+3+4+5]]+tabCustoUnit[[#This Row],[Custos Indiretos]]+tabCustoUnit[[#This Row],[Lucro]])*tabCustoUnit[[#This Row],[PIS + COFINS + ISS (Total Conversão  Alíquota s/ Fatura)]]</f>
        <v>694.01497959881078</v>
      </c>
      <c r="BW139" s="22">
        <f>tabCustoUnit[[#This Row],[Custos Indiretos]]+tabCustoUnit[[#This Row],[Lucro]]+tabCustoUnit[[#This Row],[Valor dos Tributos (ISS, PIS, CONFINS)]]</f>
        <v>1042.968774179275</v>
      </c>
      <c r="BX139" s="22">
        <f>tabCustoUnit[[#This Row],[TOTAL MÓDULOS 1+2+3+4+5]]+tabCustoUnit[[#This Row],[MÓDULO 6 – CUSTOS INDIRETOS, TRIBUTOS E LUCRO]]</f>
        <v>5665.4284048882464</v>
      </c>
      <c r="BY139" s="22">
        <f>tabCustoUnit[[#This Row],[CUSTO TOTAL MENSAL]]*12</f>
        <v>67985.140858658953</v>
      </c>
      <c r="BZ139" s="24">
        <f>VLOOKUP(tabCustoUnit[[#This Row],[Código do Posto]],tabParametros[],MATCH(tabCustoUnit[[#Headers],[ANO DA CCT]],tabParametros[#Headers],0),0)</f>
        <v>45658</v>
      </c>
      <c r="CA139" s="25" t="str">
        <f>VLOOKUP(tabCustoUnit[[#This Row],[Código do Posto]],tabParametros[],MATCH(tabCustoUnit[[#Headers],[Nº DE PEDIDO DA CCT]],tabParametros[#Headers],0),0)</f>
        <v>-</v>
      </c>
      <c r="CB139" s="25" t="str">
        <f>VLOOKUP(tabCustoUnit[[#This Row],[Código do Posto]],tabParametros[],MATCH(tabCustoUnit[[#Headers],[TERMO ADITIVO ALTERAÇÃO DA CCT]],tabParametros[#Headers],0),0)</f>
        <v>-</v>
      </c>
    </row>
    <row r="140" spans="1:80" x14ac:dyDescent="0.25">
      <c r="A140" s="20" t="s">
        <v>1476</v>
      </c>
      <c r="B140" t="s">
        <v>126</v>
      </c>
      <c r="C140" t="s">
        <v>1246</v>
      </c>
      <c r="D140" t="s">
        <v>1010</v>
      </c>
      <c r="E140" s="20" t="s">
        <v>9</v>
      </c>
      <c r="F140" s="20" t="s">
        <v>10</v>
      </c>
      <c r="G140" s="21">
        <v>1088.3699999999999</v>
      </c>
      <c r="H140" s="21">
        <v>0</v>
      </c>
      <c r="I140" s="21">
        <v>0</v>
      </c>
      <c r="J140" s="21">
        <v>0</v>
      </c>
      <c r="K140" s="21">
        <v>0</v>
      </c>
      <c r="L140" s="21">
        <v>0</v>
      </c>
      <c r="M140" s="21">
        <v>0</v>
      </c>
      <c r="N140" s="21">
        <v>39.1813</v>
      </c>
      <c r="O140" s="21">
        <f>SUM(tabCustoUnit[[#This Row],[Salário Base]:[Adicional de Acúmulo de função]])</f>
        <v>1127.5512999999999</v>
      </c>
      <c r="P140" s="21">
        <f>tabCustoUnit[[#This Row],[MODULO 1 - REMUNERAÇÃO ]]*SUMIFS(tabParametros[INSS],tabParametros[Código do Posto],tabCustoUnit[[#This Row],[Código do Posto]])</f>
        <v>225.51025999999999</v>
      </c>
      <c r="Q140" s="21">
        <f>tabCustoUnit[[#This Row],[MODULO 1 - REMUNERAÇÃO ]]*SUMIFS(tabParametros[SESI OU SESC],tabParametros[Código do Posto],tabCustoUnit[[#This Row],[Código do Posto]])</f>
        <v>16.913269499999998</v>
      </c>
      <c r="R140" s="21">
        <f>tabCustoUnit[[#This Row],[MODULO 1 - REMUNERAÇÃO ]]*SUMIFS(tabParametros[SENAI OU SENAC],tabParametros[Código do Posto],tabCustoUnit[[#This Row],[Código do Posto]])</f>
        <v>11.275512999999998</v>
      </c>
      <c r="S140" s="21">
        <f>tabCustoUnit[[#This Row],[MODULO 1 - REMUNERAÇÃO ]]*SUMIFS(tabParametros[INCRA],tabParametros[Código do Posto],tabCustoUnit[[#This Row],[Código do Posto]])</f>
        <v>2.2551025999999998</v>
      </c>
      <c r="T140" s="21">
        <f>tabCustoUnit[[#This Row],[MODULO 1 - REMUNERAÇÃO ]]*SUMIFS(tabParametros[Salário Educação],tabParametros[Código do Posto],tabCustoUnit[[#This Row],[Código do Posto]])</f>
        <v>28.188782499999999</v>
      </c>
      <c r="U140" s="21">
        <f>tabCustoUnit[[#This Row],[MODULO 1 - REMUNERAÇÃO ]]*SUMIFS(tabParametros[FGTS],tabParametros[Código do Posto],tabCustoUnit[[#This Row],[Código do Posto]])</f>
        <v>90.204103999999987</v>
      </c>
      <c r="V140" s="21">
        <f>tabCustoUnit[[#This Row],[MODULO 1 - REMUNERAÇÃO ]]*SUMIFS(tabParametros[RAT Ajustado],tabParametros[Código do Posto],tabCustoUnit[[#This Row],[Código do Posto]])</f>
        <v>45.102051999999993</v>
      </c>
      <c r="W140" s="21">
        <f>tabCustoUnit[[#This Row],[MODULO 1 - REMUNERAÇÃO ]]*SUMIFS(tabParametros[SEBRAE],tabParametros[Código do Posto],tabCustoUnit[[#This Row],[Código do Posto]])</f>
        <v>6.7653077999999995</v>
      </c>
      <c r="X140" s="21">
        <f>SUM(tabCustoUnit[[#This Row],[INSS]:[SEBRAE]])</f>
        <v>426.21439139999995</v>
      </c>
      <c r="Y140" s="21">
        <f>tabCustoUnit[[#This Row],[MODULO 1 - REMUNERAÇÃO ]]*SUMIFS(tabParametros[13º salário (titular)],tabParametros[Código do Posto],tabCustoUnit[[#This Row],[Código do Posto]])</f>
        <v>93.962608333333321</v>
      </c>
      <c r="Z140" s="21">
        <f>tabCustoUnit[[#This Row],[MODULO 1 - REMUNERAÇÃO ]]*SUMIFS(tabParametros[Férias e Adicional de Férias (titular)],tabParametros[Código do Posto],tabCustoUnit[[#This Row],[Código do Posto]])</f>
        <v>125.28347777777776</v>
      </c>
      <c r="AA140" s="21">
        <f>IFERROR((tabCustoUnit[[#This Row],[Submódulo 2.1]]/tabCustoUnit[[#This Row],[MODULO 1 - REMUNERAÇÃO ]])*SUM(tabCustoUnit[[#This Row],[13º salário (titular)]:[Férias e Adicional de Férias (titular)]]),0)</f>
        <v>82.875020549999988</v>
      </c>
      <c r="AB140" s="21">
        <f>SUM(tabCustoUnit[[#This Row],[13º salário (titular)]:[Incidência do Submódulo 2.1 sobre 13º Salário, Férias e Adicional de Férias]])</f>
        <v>302.12110666111107</v>
      </c>
      <c r="AC140" s="22">
        <f>_xlfn.LET(_xlpm.VT,SUMIF(tabParametros[Código do Posto],tabCustoUnit[[#This Row],[Código do Posto]],tabParametros[Vale - Transporte])*2*20,
IF((_xlpm.VT-tabCustoUnit[[#This Row],[Salário Base]]*0.06)&gt;=0,(_xlpm.VT-tabCustoUnit[[#This Row],[Salário Base]]*0.06),0)
)</f>
        <v>190.69780000000003</v>
      </c>
      <c r="AD140" s="22">
        <f>IF(SUMIF(tabParametros[Código do Posto],tabCustoUnit[[#This Row],[Código do Posto]],tabParametros[Vale - Alimentação])&lt;=0,0,
SUMIF(tabParametros[Código do Posto],tabCustoUnit[[#This Row],[Código do Posto]],tabParametros[Vale - Alimentação])*20-1)</f>
        <v>582</v>
      </c>
      <c r="AE140" s="22">
        <f>SUMIF(tabParametros[Código do Posto],tabCustoUnit[[#This Row],[Código do Posto]],tabParametros[Cesta Básica])</f>
        <v>0</v>
      </c>
      <c r="AF140" s="22">
        <f>SUMIF(tabParametros[Código do Posto],tabCustoUnit[[#This Row],[Código do Posto]],tabParametros[PAF])</f>
        <v>51.88</v>
      </c>
      <c r="AG140" s="22">
        <f>SUMIF(tabParametros[Código do Posto],tabCustoUnit[[#This Row],[Código do Posto]],tabParametros[PQM])</f>
        <v>0</v>
      </c>
      <c r="AH140" s="22">
        <f>SUMIF(tabParametros[Código do Posto],tabCustoUnit[[#This Row],[Código do Posto]],tabParametros[PAT])</f>
        <v>0</v>
      </c>
      <c r="AI140" s="22">
        <f>SUMIF(tabParametros[Código do Posto],tabCustoUnit[[#This Row],[Código do Posto]],tabParametros[Seguro de Vida])</f>
        <v>3.36</v>
      </c>
      <c r="AJ140" s="22">
        <f>SUMIF(tabParametros[Código do Posto],tabCustoUnit[[#This Row],[Código do Posto]],tabParametros[Despesas de Viagem])</f>
        <v>0</v>
      </c>
      <c r="AK140" s="22">
        <f>SUM(tabCustoUnit[[#This Row],[Vale - Transporte (Descontada parcela do empregado)]:[Despesas de Viagem]])</f>
        <v>827.93780000000004</v>
      </c>
      <c r="AL140" s="22">
        <f>tabCustoUnit[[#This Row],[Submódulo 2.1]]+tabCustoUnit[[#This Row],[Submódulo 2.2]]+tabCustoUnit[[#This Row],[Submódulo 2.3]]</f>
        <v>1556.2732980611111</v>
      </c>
      <c r="AM140" s="22">
        <f>SUMIF(tabParametros[Código do Posto],tabCustoUnit[[#This Row],[Código do Posto]],tabParametros[Aviso Prévio Indenizado (API) e Reflexo do Aviso Prévio Indenizado])*tabCustoUnit[[#This Row],[MODULO 1 - REMUNERAÇÃO ]]</f>
        <v>7.9061269683063262</v>
      </c>
      <c r="AN140" s="22">
        <f>SUMIF(tabParametros[Código do Posto],tabCustoUnit[[#This Row],[Código do Posto]],tabParametros[Incidência do FGTS sobre API e Reflexo do API])*tabCustoUnit[[#This Row],[MODULO 1 - REMUNERAÇÃO ]]</f>
        <v>0.6324901574645061</v>
      </c>
      <c r="AO140" s="22">
        <f>SUMIF(tabParametros[Código do Posto],tabCustoUnit[[#This Row],[Código do Posto]],tabParametros[Multa Rescisória do FGTS sobre o Aviso Prévio Indenizado])*tabCustoUnit[[#This Row],[MODULO 1 - REMUNERAÇÃO ]]</f>
        <v>0.25299606298580246</v>
      </c>
      <c r="AP140" s="22">
        <f>SUMIF(tabParametros[Código do Posto],tabCustoUnit[[#This Row],[Código do Posto]],tabParametros[Aviso Prévio Trabalhado - APT])*tabCustoUnit[[#This Row],[MODULO 1 - REMUNERAÇÃO ]]</f>
        <v>3.94642955</v>
      </c>
      <c r="AQ140" s="22">
        <f>SUMIF(tabParametros[Código do Posto],tabCustoUnit[[#This Row],[Código do Posto]],tabParametros[Incidência dos encargos do submódulo 2.1 sobre Aviso Prévio Trabalhado])*tabCustoUnit[[#This Row],[MODULO 1 - REMUNERAÇÃO ]]</f>
        <v>1.4917503699000003</v>
      </c>
      <c r="AR140" s="22">
        <f>SUMIF(tabParametros[Código do Posto],tabCustoUnit[[#This Row],[Código do Posto]],tabParametros[Multa Rescisória do FGTS])*tabCustoUnit[[#This Row],[MODULO 1 - REMUNERAÇÃO ]]</f>
        <v>34.478013084444434</v>
      </c>
      <c r="AS140" s="22">
        <f>SUMIF(tabParametros[Código do Posto],tabCustoUnit[[#This Row],[Código do Posto]],tabParametros[Indenização Adicional (Art. 9º da Lei nº 7.238/84)])*tabCustoUnit[[#This Row],[MODULO 1 - REMUNERAÇÃO ]]</f>
        <v>0.93962608333333331</v>
      </c>
      <c r="AT140" s="22">
        <f>SUM(tabCustoUnit[[#This Row],[Aviso Prévio Indenizado (API) e Reflexo do Aviso Prévio Indenizado]:[Indenização Adicional (Art. 9º da Lei nº 7.238/84)]])</f>
        <v>49.647432276434401</v>
      </c>
      <c r="AU140" s="22">
        <f>SUMIF(tabParametros[Código do Posto],tabCustoUnit[[#This Row],[Código do Posto]],tabParametros[Ausência por Doença])*tabCustoUnit[[#This Row],[MODULO 1 - REMUNERAÇÃO ]]</f>
        <v>9.5215443111111089</v>
      </c>
      <c r="AV140" s="22">
        <f>SUMIF(tabParametros[Código do Posto],tabCustoUnit[[#This Row],[Código do Posto]],tabParametros[Ausências Legais])*tabCustoUnit[[#This Row],[MODULO 1 - REMUNERAÇÃO ]]</f>
        <v>2.2864234694444439</v>
      </c>
      <c r="AW140" s="22">
        <f>SUMIF(tabParametros[Código do Posto],tabCustoUnit[[#This Row],[Código do Posto]],tabParametros[Licença Paternidade])*tabCustoUnit[[#This Row],[MODULO 1 - REMUNERAÇÃO ]]</f>
        <v>0.19262334708333331</v>
      </c>
      <c r="AX140" s="22">
        <f>SUMIF(tabParametros[Código do Posto],tabCustoUnit[[#This Row],[Código do Posto]],tabParametros[Ausência por Acidente de Trabalho])*tabCustoUnit[[#This Row],[MODULO 1 - REMUNERAÇÃO ]]</f>
        <v>0.23490652083333333</v>
      </c>
      <c r="AY140" s="22">
        <f>SUMIF(tabParametros[Código do Posto],tabCustoUnit[[#This Row],[Código do Posto]],tabParametros[Férias, Adicional de Férias e 13º  com empregada em gozo de Licença Maternidade])*tabCustoUnit[[#This Row],[MODULO 1 - REMUNERAÇÃO ]]</f>
        <v>1.4616405740740739</v>
      </c>
      <c r="AZ140" s="22">
        <f>SUMIF(tabParametros[Código do Posto],tabCustoUnit[[#This Row],[Código do Posto]],tabParametros[Incidência do Submódulo 2.1 sobre Ausências Legais])*tabCustoUnit[[#This Row],[MODULO 1 - REMUNERAÇÃO ]]</f>
        <v>5.1775182481225004</v>
      </c>
      <c r="BA140" s="22">
        <f>SUM(tabCustoUnit[[#This Row],[Ausência por Doença]:[Incidência do Submódulo 2.1 sobre Ausências Legais]])</f>
        <v>18.874656470668793</v>
      </c>
      <c r="BB140" s="22">
        <f>SUMIF(tabParametros[Código do Posto],tabCustoUnit[[#This Row],[Código do Posto]],tabParametros[Intervalo para Repouso ou Alimentação])</f>
        <v>0</v>
      </c>
      <c r="BC140" s="22">
        <f>tabCustoUnit[[#This Row],[Intervalo para Repouso ou Alimentação]]</f>
        <v>0</v>
      </c>
      <c r="BD140" s="22">
        <f>IF(VLOOKUP(tabCustoUnit[[#This Row],[Código do Posto]],PARAMETROS!$A$4:$BJ$255,7,0)&lt;=0,0,
IFERROR((tabCustoUnit[[#This Row],[MODULO 1 - REMUNERAÇÃO ]]*VLOOKUP(tabCustoUnit[[#This Row],[Código do Posto]],PARAMETROS!$A$4:$BJ$255,49,0))/(VLOOKUP(tabCustoUnit[[#This Row],[Código do Posto]],PARAMETROS!$A$4:$BJ$255,7,0)*VLOOKUP(tabCustoUnit[[#This Row],[Código do Posto]],PARAMETROS!$A$4:$BJ$255,8,0)),0)
)</f>
        <v>0</v>
      </c>
      <c r="BE140" s="22">
        <f>tabCustoUnit[[#This Row],[Suspensão Temporária do Contrato de Trabalho]]</f>
        <v>0</v>
      </c>
      <c r="BF140" s="22">
        <f>tabCustoUnit[[#This Row],[Submódulo 4.1]]+tabCustoUnit[[#This Row],[Submódulo 4.2]]+tabCustoUnit[[#This Row],[Submódulo 4.3]]</f>
        <v>18.874656470668793</v>
      </c>
      <c r="BG140" s="22">
        <f>VLOOKUP(tabCustoUnit[[#This Row],[Código do Posto]],tabParametros[],MATCH(tabCustoUnit[[#Headers],[Uniformes e EPIs]],tabParametros[#Headers],0),0)</f>
        <v>100.80916666666666</v>
      </c>
      <c r="BH140" s="22">
        <f>VLOOKUP(tabCustoUnit[[#This Row],[Código do Posto]],tabParametros[],MATCH(tabCustoUnit[[#Headers],[Materiais de Consumo]],tabParametros[#Headers],0),0)</f>
        <v>24.216963380852651</v>
      </c>
      <c r="BI140" s="22">
        <f>VLOOKUP(tabCustoUnit[[#This Row],[Código do Posto]],tabParametros[],MATCH(tabCustoUnit[[#Headers],[Máquinas e Equipamentos (depreciação)]],tabParametros[#Headers],0),0)</f>
        <v>43.997314032835618</v>
      </c>
      <c r="BJ140" s="22">
        <f>VLOOKUP(tabCustoUnit[[#This Row],[Código do Posto]],tabParametros[],MATCH(tabCustoUnit[[#Headers],[Produtos de Limpeza e Materiais de Higiene Pessoal]],tabParametros[#Headers],0),0)</f>
        <v>470.6396814404431</v>
      </c>
      <c r="BK140" s="22">
        <f>VLOOKUP(tabCustoUnit[[#This Row],[Código do Posto]],tabParametros[],MATCH(tabCustoUnit[[#Headers],[Outros (especificar)]],tabParametros[#Headers],0),0)</f>
        <v>0</v>
      </c>
      <c r="BL140" s="22">
        <f>SUM(tabCustoUnit[[#This Row],[Uniformes e EPIs]:[Outros (especificar)]])</f>
        <v>639.66312552079808</v>
      </c>
      <c r="BM140" s="22">
        <f>tabCustoUnit[[#This Row],[MODULO 1 - REMUNERAÇÃO ]]+tabCustoUnit[[#This Row],[MÓDULO 2 - Total Encargos e Benefícios mensais e diários]]+tabCustoUnit[[#This Row],[MÓDULO 3 – PROVISÃO PARA RESCISÃO]]+tabCustoUnit[[#This Row],[MÓDULO 4 – CUSTO DE REPOSIÇÃO DO PROFISSIONAL AUSENTE]]+tabCustoUnit[[#This Row],[MÓDULO 5 – INSUMOS DIVERSOS]]</f>
        <v>3392.0098123290122</v>
      </c>
      <c r="BN140" s="22">
        <f>VLOOKUP(tabCustoUnit[[#This Row],[Código do Posto]],tabParametros[],MATCH(tabCustoUnit[[#Headers],[Custos Indiretos]],tabParametros[#Headers],0),0)</f>
        <v>189.64880140242613</v>
      </c>
      <c r="BO140" s="22">
        <f>VLOOKUP(tabCustoUnit[[#This Row],[Código do Posto]],tabParametros[],MATCH(tabCustoUnit[[#Headers],[Lucro]],tabParametros[#Headers],0),0)</f>
        <v>159.30499317803796</v>
      </c>
      <c r="BP140" s="26">
        <f>((100/((1-tabCustoUnit[[#This Row],[Resumo de Alíquotas (PIS+CONFINS+ISS)]]))-100)*VLOOKUP(tabCustoUnit[[#This Row],[Código do Posto]],tabParametros[],MATCH(tabCustoUnit[[#Headers],[COFINS]],tabParametros[#Headers],0),0))/(tabCustoUnit[[#This Row],[Resumo de Alíquotas (PIS+CONFINS+ISS)]]*100)</f>
        <v>8.6609686609686695E-2</v>
      </c>
      <c r="BQ140" s="26">
        <f>((100/((100-(tabCustoUnit[[#This Row],[Resumo de Alíquotas (PIS+CONFINS+ISS)]]*100))%)-100)*VLOOKUP(tabCustoUnit[[#This Row],[Código do Posto]],tabParametros[],MATCH(tabCustoUnit[[#Headers],[PIS]],tabParametros[#Headers],0),0))/(tabCustoUnit[[#This Row],[Resumo de Alíquotas (PIS+CONFINS+ISS)]]*100)</f>
        <v>1.880341880341882E-2</v>
      </c>
      <c r="BR140" s="28">
        <f>VLOOKUP(tabCustoUnit[[#This Row],[Código do Posto]],tabParametros[],MATCH(tabCustoUnit[[#Headers],[ISS]],tabParametros[#Headers],0),0)</f>
        <v>0.03</v>
      </c>
      <c r="BS140" s="26">
        <f>(((100/((100-(tabCustoUnit[[#This Row],[Resumo de Alíquotas (PIS+CONFINS+ISS)]]*100))%)-100)*tabCustoUnit[[#This Row],[ISS]])/tabCustoUnit[[#This Row],[Resumo de Alíquotas (PIS+CONFINS+ISS)]])/100</f>
        <v>3.4188034188034219E-2</v>
      </c>
      <c r="BT140" s="26">
        <f>(VLOOKUP(tabCustoUnit[[#This Row],[Código do Posto]],tabParametros[],MATCH(tabCustoUnit[[#Headers],[COFINS]],tabParametros[#Headers],0),0)+
VLOOKUP(tabCustoUnit[[#This Row],[Código do Posto]],tabParametros[],MATCH(tabCustoUnit[[#Headers],[PIS]],tabParametros[#Headers],0),0)+
VLOOKUP(tabCustoUnit[[#This Row],[Código do Posto]],tabParametros[],MATCH(tabCustoUnit[[#Headers],[ISS]],tabParametros[#Headers],0),0))</f>
        <v>0.1225</v>
      </c>
      <c r="BU140" s="138">
        <f>tabCustoUnit[[#This Row],[COFINS]]+tabCustoUnit[[#This Row],[PIS]]+tabCustoUnit[[#This Row],[ISS (Conversão Alíquota s/ fatura)]]</f>
        <v>0.13960113960113973</v>
      </c>
      <c r="BV140" s="22">
        <f>(tabCustoUnit[[#This Row],[TOTAL MÓDULOS 1+2+3+4+5]]+tabCustoUnit[[#This Row],[Custos Indiretos]]+tabCustoUnit[[#This Row],[Lucro]])*tabCustoUnit[[#This Row],[PIS + COFINS + ISS (Total Conversão  Alíquota s/ Fatura)]]</f>
        <v>522.24278273095308</v>
      </c>
      <c r="BW140" s="22">
        <f>tabCustoUnit[[#This Row],[Custos Indiretos]]+tabCustoUnit[[#This Row],[Lucro]]+tabCustoUnit[[#This Row],[Valor dos Tributos (ISS, PIS, CONFINS)]]</f>
        <v>871.19657731141717</v>
      </c>
      <c r="BX140" s="22">
        <f>tabCustoUnit[[#This Row],[TOTAL MÓDULOS 1+2+3+4+5]]+tabCustoUnit[[#This Row],[MÓDULO 6 – CUSTOS INDIRETOS, TRIBUTOS E LUCRO]]</f>
        <v>4263.2063896404297</v>
      </c>
      <c r="BY140" s="22">
        <f>tabCustoUnit[[#This Row],[CUSTO TOTAL MENSAL]]*12</f>
        <v>51158.47667568516</v>
      </c>
      <c r="BZ140" s="24">
        <f>VLOOKUP(tabCustoUnit[[#This Row],[Código do Posto]],tabParametros[],MATCH(tabCustoUnit[[#Headers],[ANO DA CCT]],tabParametros[#Headers],0),0)</f>
        <v>45658</v>
      </c>
      <c r="CA140" s="25" t="str">
        <f>VLOOKUP(tabCustoUnit[[#This Row],[Código do Posto]],tabParametros[],MATCH(tabCustoUnit[[#Headers],[Nº DE PEDIDO DA CCT]],tabParametros[#Headers],0),0)</f>
        <v>-</v>
      </c>
      <c r="CB140" s="25" t="str">
        <f>VLOOKUP(tabCustoUnit[[#This Row],[Código do Posto]],tabParametros[],MATCH(tabCustoUnit[[#Headers],[TERMO ADITIVO ALTERAÇÃO DA CCT]],tabParametros[#Headers],0),0)</f>
        <v>-</v>
      </c>
    </row>
    <row r="141" spans="1:80" x14ac:dyDescent="0.25">
      <c r="A141" s="20" t="s">
        <v>1477</v>
      </c>
      <c r="B141" t="s">
        <v>127</v>
      </c>
      <c r="C141" t="s">
        <v>1245</v>
      </c>
      <c r="D141" t="s">
        <v>1045</v>
      </c>
      <c r="E141" s="20" t="s">
        <v>9</v>
      </c>
      <c r="F141" s="20" t="s">
        <v>10</v>
      </c>
      <c r="G141" s="21">
        <v>1649.12</v>
      </c>
      <c r="H141" s="21">
        <v>0</v>
      </c>
      <c r="I141" s="21">
        <v>0</v>
      </c>
      <c r="J141" s="21">
        <v>0</v>
      </c>
      <c r="K141" s="21">
        <v>0</v>
      </c>
      <c r="L141" s="21">
        <v>0</v>
      </c>
      <c r="M141" s="21">
        <v>0</v>
      </c>
      <c r="N141" s="21">
        <v>53.971200000000003</v>
      </c>
      <c r="O141" s="21">
        <f>SUM(tabCustoUnit[[#This Row],[Salário Base]:[Adicional de Acúmulo de função]])</f>
        <v>1703.0911999999998</v>
      </c>
      <c r="P141" s="21">
        <f>tabCustoUnit[[#This Row],[MODULO 1 - REMUNERAÇÃO ]]*SUMIFS(tabParametros[INSS],tabParametros[Código do Posto],tabCustoUnit[[#This Row],[Código do Posto]])</f>
        <v>340.61824000000001</v>
      </c>
      <c r="Q141" s="21">
        <f>tabCustoUnit[[#This Row],[MODULO 1 - REMUNERAÇÃO ]]*SUMIFS(tabParametros[SESI OU SESC],tabParametros[Código do Posto],tabCustoUnit[[#This Row],[Código do Posto]])</f>
        <v>25.546367999999998</v>
      </c>
      <c r="R141" s="21">
        <f>tabCustoUnit[[#This Row],[MODULO 1 - REMUNERAÇÃO ]]*SUMIFS(tabParametros[SENAI OU SENAC],tabParametros[Código do Posto],tabCustoUnit[[#This Row],[Código do Posto]])</f>
        <v>17.030911999999997</v>
      </c>
      <c r="S141" s="21">
        <f>tabCustoUnit[[#This Row],[MODULO 1 - REMUNERAÇÃO ]]*SUMIFS(tabParametros[INCRA],tabParametros[Código do Posto],tabCustoUnit[[#This Row],[Código do Posto]])</f>
        <v>3.4061823999999996</v>
      </c>
      <c r="T141" s="21">
        <f>tabCustoUnit[[#This Row],[MODULO 1 - REMUNERAÇÃO ]]*SUMIFS(tabParametros[Salário Educação],tabParametros[Código do Posto],tabCustoUnit[[#This Row],[Código do Posto]])</f>
        <v>42.577280000000002</v>
      </c>
      <c r="U141" s="21">
        <f>tabCustoUnit[[#This Row],[MODULO 1 - REMUNERAÇÃO ]]*SUMIFS(tabParametros[FGTS],tabParametros[Código do Posto],tabCustoUnit[[#This Row],[Código do Posto]])</f>
        <v>136.24729599999998</v>
      </c>
      <c r="V141" s="21">
        <f>tabCustoUnit[[#This Row],[MODULO 1 - REMUNERAÇÃO ]]*SUMIFS(tabParametros[RAT Ajustado],tabParametros[Código do Posto],tabCustoUnit[[#This Row],[Código do Posto]])</f>
        <v>68.123647999999989</v>
      </c>
      <c r="W141" s="21">
        <f>tabCustoUnit[[#This Row],[MODULO 1 - REMUNERAÇÃO ]]*SUMIFS(tabParametros[SEBRAE],tabParametros[Código do Posto],tabCustoUnit[[#This Row],[Código do Posto]])</f>
        <v>10.2185472</v>
      </c>
      <c r="X141" s="21">
        <f>SUM(tabCustoUnit[[#This Row],[INSS]:[SEBRAE]])</f>
        <v>643.76847359999999</v>
      </c>
      <c r="Y141" s="21">
        <f>tabCustoUnit[[#This Row],[MODULO 1 - REMUNERAÇÃO ]]*SUMIFS(tabParametros[13º salário (titular)],tabParametros[Código do Posto],tabCustoUnit[[#This Row],[Código do Posto]])</f>
        <v>141.92426666666665</v>
      </c>
      <c r="Z141" s="21">
        <f>tabCustoUnit[[#This Row],[MODULO 1 - REMUNERAÇÃO ]]*SUMIFS(tabParametros[Férias e Adicional de Férias (titular)],tabParametros[Código do Posto],tabCustoUnit[[#This Row],[Código do Posto]])</f>
        <v>189.23235555555553</v>
      </c>
      <c r="AA141" s="21">
        <f>IFERROR((tabCustoUnit[[#This Row],[Submódulo 2.1]]/tabCustoUnit[[#This Row],[MODULO 1 - REMUNERAÇÃO ]])*SUM(tabCustoUnit[[#This Row],[13º salário (titular)]:[Férias e Adicional de Férias (titular)]]),0)</f>
        <v>125.17720319999999</v>
      </c>
      <c r="AB141" s="21">
        <f>SUM(tabCustoUnit[[#This Row],[13º salário (titular)]:[Incidência do Submódulo 2.1 sobre 13º Salário, Férias e Adicional de Férias]])</f>
        <v>456.33382542222216</v>
      </c>
      <c r="AC141" s="22">
        <f>_xlfn.LET(_xlpm.VT,SUMIF(tabParametros[Código do Posto],tabCustoUnit[[#This Row],[Código do Posto]],tabParametros[Vale - Transporte])*2*20,
IF((_xlpm.VT-tabCustoUnit[[#This Row],[Salário Base]]*0.06)&gt;=0,(_xlpm.VT-tabCustoUnit[[#This Row],[Salário Base]]*0.06),0)
)</f>
        <v>157.05279999999999</v>
      </c>
      <c r="AD141" s="22">
        <f>IF(SUMIF(tabParametros[Código do Posto],tabCustoUnit[[#This Row],[Código do Posto]],tabParametros[Vale - Alimentação])&lt;=0,0,
SUMIF(tabParametros[Código do Posto],tabCustoUnit[[#This Row],[Código do Posto]],tabParametros[Vale - Alimentação])*20-1)</f>
        <v>582</v>
      </c>
      <c r="AE141" s="22">
        <f>SUMIF(tabParametros[Código do Posto],tabCustoUnit[[#This Row],[Código do Posto]],tabParametros[Cesta Básica])</f>
        <v>0</v>
      </c>
      <c r="AF141" s="22">
        <f>SUMIF(tabParametros[Código do Posto],tabCustoUnit[[#This Row],[Código do Posto]],tabParametros[PAF])</f>
        <v>77.25</v>
      </c>
      <c r="AG141" s="22">
        <f>SUMIF(tabParametros[Código do Posto],tabCustoUnit[[#This Row],[Código do Posto]],tabParametros[PQM])</f>
        <v>0</v>
      </c>
      <c r="AH141" s="22">
        <f>SUMIF(tabParametros[Código do Posto],tabCustoUnit[[#This Row],[Código do Posto]],tabParametros[PAT])</f>
        <v>0</v>
      </c>
      <c r="AI141" s="22">
        <f>SUMIF(tabParametros[Código do Posto],tabCustoUnit[[#This Row],[Código do Posto]],tabParametros[Seguro de Vida])</f>
        <v>3.36</v>
      </c>
      <c r="AJ141" s="22">
        <f>SUMIF(tabParametros[Código do Posto],tabCustoUnit[[#This Row],[Código do Posto]],tabParametros[Despesas de Viagem])</f>
        <v>0</v>
      </c>
      <c r="AK141" s="22">
        <f>SUM(tabCustoUnit[[#This Row],[Vale - Transporte (Descontada parcela do empregado)]:[Despesas de Viagem]])</f>
        <v>819.66279999999995</v>
      </c>
      <c r="AL141" s="22">
        <f>tabCustoUnit[[#This Row],[Submódulo 2.1]]+tabCustoUnit[[#This Row],[Submódulo 2.2]]+tabCustoUnit[[#This Row],[Submódulo 2.3]]</f>
        <v>1919.7650990222223</v>
      </c>
      <c r="AM141" s="22">
        <f>SUMIF(tabParametros[Código do Posto],tabCustoUnit[[#This Row],[Código do Posto]],tabParametros[Aviso Prévio Indenizado (API) e Reflexo do Aviso Prévio Indenizado])*tabCustoUnit[[#This Row],[MODULO 1 - REMUNERAÇÃO ]]</f>
        <v>11.941678632098764</v>
      </c>
      <c r="AN141" s="22">
        <f>SUMIF(tabParametros[Código do Posto],tabCustoUnit[[#This Row],[Código do Posto]],tabParametros[Incidência do FGTS sobre API e Reflexo do API])*tabCustoUnit[[#This Row],[MODULO 1 - REMUNERAÇÃO ]]</f>
        <v>0.9553342905679012</v>
      </c>
      <c r="AO141" s="22">
        <f>SUMIF(tabParametros[Código do Posto],tabCustoUnit[[#This Row],[Código do Posto]],tabParametros[Multa Rescisória do FGTS sobre o Aviso Prévio Indenizado])*tabCustoUnit[[#This Row],[MODULO 1 - REMUNERAÇÃO ]]</f>
        <v>0.38213371622716052</v>
      </c>
      <c r="AP141" s="22">
        <f>SUMIF(tabParametros[Código do Posto],tabCustoUnit[[#This Row],[Código do Posto]],tabParametros[Aviso Prévio Trabalhado - APT])*tabCustoUnit[[#This Row],[MODULO 1 - REMUNERAÇÃO ]]</f>
        <v>5.9608192000000004</v>
      </c>
      <c r="AQ141" s="22">
        <f>SUMIF(tabParametros[Código do Posto],tabCustoUnit[[#This Row],[Código do Posto]],tabParametros[Incidência dos encargos do submódulo 2.1 sobre Aviso Prévio Trabalhado])*tabCustoUnit[[#This Row],[MODULO 1 - REMUNERAÇÃO ]]</f>
        <v>2.2531896576000006</v>
      </c>
      <c r="AR141" s="22">
        <f>SUMIF(tabParametros[Código do Posto],tabCustoUnit[[#This Row],[Código do Posto]],tabParametros[Multa Rescisória do FGTS])*tabCustoUnit[[#This Row],[MODULO 1 - REMUNERAÇÃO ]]</f>
        <v>52.076744248888879</v>
      </c>
      <c r="AS141" s="22">
        <f>SUMIF(tabParametros[Código do Posto],tabCustoUnit[[#This Row],[Código do Posto]],tabParametros[Indenização Adicional (Art. 9º da Lei nº 7.238/84)])*tabCustoUnit[[#This Row],[MODULO 1 - REMUNERAÇÃO ]]</f>
        <v>1.4192426666666667</v>
      </c>
      <c r="AT141" s="22">
        <f>SUM(tabCustoUnit[[#This Row],[Aviso Prévio Indenizado (API) e Reflexo do Aviso Prévio Indenizado]:[Indenização Adicional (Art. 9º da Lei nº 7.238/84)]])</f>
        <v>74.989142412049375</v>
      </c>
      <c r="AU141" s="22">
        <f>SUMIF(tabParametros[Código do Posto],tabCustoUnit[[#This Row],[Código do Posto]],tabParametros[Ausência por Doença])*tabCustoUnit[[#This Row],[MODULO 1 - REMUNERAÇÃO ]]</f>
        <v>14.38165902222222</v>
      </c>
      <c r="AV141" s="22">
        <f>SUMIF(tabParametros[Código do Posto],tabCustoUnit[[#This Row],[Código do Posto]],tabParametros[Ausências Legais])*tabCustoUnit[[#This Row],[MODULO 1 - REMUNERAÇÃO ]]</f>
        <v>3.4534904888888884</v>
      </c>
      <c r="AW141" s="22">
        <f>SUMIF(tabParametros[Código do Posto],tabCustoUnit[[#This Row],[Código do Posto]],tabParametros[Licença Paternidade])*tabCustoUnit[[#This Row],[MODULO 1 - REMUNERAÇÃO ]]</f>
        <v>0.29094474666666664</v>
      </c>
      <c r="AX141" s="22">
        <f>SUMIF(tabParametros[Código do Posto],tabCustoUnit[[#This Row],[Código do Posto]],tabParametros[Ausência por Acidente de Trabalho])*tabCustoUnit[[#This Row],[MODULO 1 - REMUNERAÇÃO ]]</f>
        <v>0.35481066666666666</v>
      </c>
      <c r="AY141" s="22">
        <f>SUMIF(tabParametros[Código do Posto],tabCustoUnit[[#This Row],[Código do Posto]],tabParametros[Férias, Adicional de Férias e 13º  com empregada em gozo de Licença Maternidade])*tabCustoUnit[[#This Row],[MODULO 1 - REMUNERAÇÃO ]]</f>
        <v>2.2077108148148143</v>
      </c>
      <c r="AZ141" s="22">
        <f>SUMIF(tabParametros[Código do Posto],tabCustoUnit[[#This Row],[Código do Posto]],tabParametros[Incidência do Submódulo 2.1 sobre Ausências Legais])*tabCustoUnit[[#This Row],[MODULO 1 - REMUNERAÇÃO ]]</f>
        <v>7.8202967494400006</v>
      </c>
      <c r="BA141" s="22">
        <f>SUM(tabCustoUnit[[#This Row],[Ausência por Doença]:[Incidência do Submódulo 2.1 sobre Ausências Legais]])</f>
        <v>28.508912488699256</v>
      </c>
      <c r="BB141" s="22">
        <f>SUMIF(tabParametros[Código do Posto],tabCustoUnit[[#This Row],[Código do Posto]],tabParametros[Intervalo para Repouso ou Alimentação])</f>
        <v>0</v>
      </c>
      <c r="BC141" s="22">
        <f>tabCustoUnit[[#This Row],[Intervalo para Repouso ou Alimentação]]</f>
        <v>0</v>
      </c>
      <c r="BD141" s="22">
        <f>IF(VLOOKUP(tabCustoUnit[[#This Row],[Código do Posto]],PARAMETROS!$A$4:$BJ$255,7,0)&lt;=0,0,
IFERROR((tabCustoUnit[[#This Row],[MODULO 1 - REMUNERAÇÃO ]]*VLOOKUP(tabCustoUnit[[#This Row],[Código do Posto]],PARAMETROS!$A$4:$BJ$255,49,0))/(VLOOKUP(tabCustoUnit[[#This Row],[Código do Posto]],PARAMETROS!$A$4:$BJ$255,7,0)*VLOOKUP(tabCustoUnit[[#This Row],[Código do Posto]],PARAMETROS!$A$4:$BJ$255,8,0)),0)
)</f>
        <v>0</v>
      </c>
      <c r="BE141" s="22">
        <f>tabCustoUnit[[#This Row],[Suspensão Temporária do Contrato de Trabalho]]</f>
        <v>0</v>
      </c>
      <c r="BF141" s="22">
        <f>tabCustoUnit[[#This Row],[Submódulo 4.1]]+tabCustoUnit[[#This Row],[Submódulo 4.2]]+tabCustoUnit[[#This Row],[Submódulo 4.3]]</f>
        <v>28.508912488699256</v>
      </c>
      <c r="BG141" s="22">
        <f>VLOOKUP(tabCustoUnit[[#This Row],[Código do Posto]],tabParametros[],MATCH(tabCustoUnit[[#Headers],[Uniformes e EPIs]],tabParametros[#Headers],0),0)</f>
        <v>100.80916666666666</v>
      </c>
      <c r="BH141" s="22">
        <f>VLOOKUP(tabCustoUnit[[#This Row],[Código do Posto]],tabParametros[],MATCH(tabCustoUnit[[#Headers],[Materiais de Consumo]],tabParametros[#Headers],0),0)</f>
        <v>35.518212958583888</v>
      </c>
      <c r="BI141" s="22">
        <f>VLOOKUP(tabCustoUnit[[#This Row],[Código do Posto]],tabParametros[],MATCH(tabCustoUnit[[#Headers],[Máquinas e Equipamentos (depreciação)]],tabParametros[#Headers],0),0)</f>
        <v>64.529393914825576</v>
      </c>
      <c r="BJ141" s="22">
        <f>VLOOKUP(tabCustoUnit[[#This Row],[Código do Posto]],tabParametros[],MATCH(tabCustoUnit[[#Headers],[Produtos de Limpeza e Materiais de Higiene Pessoal]],tabParametros[#Headers],0),0)</f>
        <v>690.27153277931654</v>
      </c>
      <c r="BK141" s="22">
        <f>VLOOKUP(tabCustoUnit[[#This Row],[Código do Posto]],tabParametros[],MATCH(tabCustoUnit[[#Headers],[Outros (especificar)]],tabParametros[#Headers],0),0)</f>
        <v>0</v>
      </c>
      <c r="BL141" s="22">
        <f>SUM(tabCustoUnit[[#This Row],[Uniformes e EPIs]:[Outros (especificar)]])</f>
        <v>891.12830631939266</v>
      </c>
      <c r="BM141" s="22">
        <f>tabCustoUnit[[#This Row],[MODULO 1 - REMUNERAÇÃO ]]+tabCustoUnit[[#This Row],[MÓDULO 2 - Total Encargos e Benefícios mensais e diários]]+tabCustoUnit[[#This Row],[MÓDULO 3 – PROVISÃO PARA RESCISÃO]]+tabCustoUnit[[#This Row],[MÓDULO 4 – CUSTO DE REPOSIÇÃO DO PROFISSIONAL AUSENTE]]+tabCustoUnit[[#This Row],[MÓDULO 5 – INSUMOS DIVERSOS]]</f>
        <v>4617.4826602423636</v>
      </c>
      <c r="BN141" s="22">
        <f>VLOOKUP(tabCustoUnit[[#This Row],[Código do Posto]],tabParametros[],MATCH(tabCustoUnit[[#Headers],[Custos Indiretos]],tabParametros[#Headers],0),0)</f>
        <v>189.64880140242613</v>
      </c>
      <c r="BO141" s="22">
        <f>VLOOKUP(tabCustoUnit[[#This Row],[Código do Posto]],tabParametros[],MATCH(tabCustoUnit[[#Headers],[Lucro]],tabParametros[#Headers],0),0)</f>
        <v>159.30499317803796</v>
      </c>
      <c r="BP141" s="26">
        <f>((100/((1-tabCustoUnit[[#This Row],[Resumo de Alíquotas (PIS+CONFINS+ISS)]]))-100)*VLOOKUP(tabCustoUnit[[#This Row],[Código do Posto]],tabParametros[],MATCH(tabCustoUnit[[#Headers],[COFINS]],tabParametros[#Headers],0),0))/(tabCustoUnit[[#This Row],[Resumo de Alíquotas (PIS+CONFINS+ISS)]]*100)</f>
        <v>8.8629737609329504E-2</v>
      </c>
      <c r="BQ141" s="26">
        <f>((100/((100-(tabCustoUnit[[#This Row],[Resumo de Alíquotas (PIS+CONFINS+ISS)]]*100))%)-100)*VLOOKUP(tabCustoUnit[[#This Row],[Código do Posto]],tabParametros[],MATCH(tabCustoUnit[[#Headers],[PIS]],tabParametros[#Headers],0),0))/(tabCustoUnit[[#This Row],[Resumo de Alíquotas (PIS+CONFINS+ISS)]]*100)</f>
        <v>1.9241982507288629E-2</v>
      </c>
      <c r="BR141" s="28">
        <f>VLOOKUP(tabCustoUnit[[#This Row],[Código do Posto]],tabParametros[],MATCH(tabCustoUnit[[#Headers],[ISS]],tabParametros[#Headers],0),0)</f>
        <v>0.05</v>
      </c>
      <c r="BS141" s="26">
        <f>(((100/((100-(tabCustoUnit[[#This Row],[Resumo de Alíquotas (PIS+CONFINS+ISS)]]*100))%)-100)*tabCustoUnit[[#This Row],[ISS]])/tabCustoUnit[[#This Row],[Resumo de Alíquotas (PIS+CONFINS+ISS)]])/100</f>
        <v>5.8309037900874633E-2</v>
      </c>
      <c r="BT141" s="26">
        <f>(VLOOKUP(tabCustoUnit[[#This Row],[Código do Posto]],tabParametros[],MATCH(tabCustoUnit[[#Headers],[COFINS]],tabParametros[#Headers],0),0)+
VLOOKUP(tabCustoUnit[[#This Row],[Código do Posto]],tabParametros[],MATCH(tabCustoUnit[[#Headers],[PIS]],tabParametros[#Headers],0),0)+
VLOOKUP(tabCustoUnit[[#This Row],[Código do Posto]],tabParametros[],MATCH(tabCustoUnit[[#Headers],[ISS]],tabParametros[#Headers],0),0))</f>
        <v>0.14250000000000002</v>
      </c>
      <c r="BU141" s="138">
        <f>tabCustoUnit[[#This Row],[COFINS]]+tabCustoUnit[[#This Row],[PIS]]+tabCustoUnit[[#This Row],[ISS (Conversão Alíquota s/ fatura)]]</f>
        <v>0.16618075801749277</v>
      </c>
      <c r="BV141" s="22">
        <f>(tabCustoUnit[[#This Row],[TOTAL MÓDULOS 1+2+3+4+5]]+tabCustoUnit[[#This Row],[Custos Indiretos]]+tabCustoUnit[[#This Row],[Lucro]])*tabCustoUnit[[#This Row],[PIS + COFINS + ISS (Total Conversão  Alíquota s/ Fatura)]]</f>
        <v>825.32617470816695</v>
      </c>
      <c r="BW141" s="22">
        <f>tabCustoUnit[[#This Row],[Custos Indiretos]]+tabCustoUnit[[#This Row],[Lucro]]+tabCustoUnit[[#This Row],[Valor dos Tributos (ISS, PIS, CONFINS)]]</f>
        <v>1174.279969288631</v>
      </c>
      <c r="BX141" s="22">
        <f>tabCustoUnit[[#This Row],[TOTAL MÓDULOS 1+2+3+4+5]]+tabCustoUnit[[#This Row],[MÓDULO 6 – CUSTOS INDIRETOS, TRIBUTOS E LUCRO]]</f>
        <v>5791.7626295309947</v>
      </c>
      <c r="BY141" s="22">
        <f>tabCustoUnit[[#This Row],[CUSTO TOTAL MENSAL]]*12</f>
        <v>69501.151554371929</v>
      </c>
      <c r="BZ141" s="24">
        <f>VLOOKUP(tabCustoUnit[[#This Row],[Código do Posto]],tabParametros[],MATCH(tabCustoUnit[[#Headers],[ANO DA CCT]],tabParametros[#Headers],0),0)</f>
        <v>45658</v>
      </c>
      <c r="CA141" s="25" t="str">
        <f>VLOOKUP(tabCustoUnit[[#This Row],[Código do Posto]],tabParametros[],MATCH(tabCustoUnit[[#Headers],[Nº DE PEDIDO DA CCT]],tabParametros[#Headers],0),0)</f>
        <v>-</v>
      </c>
      <c r="CB141" s="25" t="str">
        <f>VLOOKUP(tabCustoUnit[[#This Row],[Código do Posto]],tabParametros[],MATCH(tabCustoUnit[[#Headers],[TERMO ADITIVO ALTERAÇÃO DA CCT]],tabParametros[#Headers],0),0)</f>
        <v>-</v>
      </c>
    </row>
    <row r="142" spans="1:80" x14ac:dyDescent="0.25">
      <c r="A142" s="20" t="s">
        <v>1478</v>
      </c>
      <c r="B142" t="s">
        <v>128</v>
      </c>
      <c r="C142" t="s">
        <v>1247</v>
      </c>
      <c r="D142" t="s">
        <v>1023</v>
      </c>
      <c r="E142" s="20" t="s">
        <v>9</v>
      </c>
      <c r="F142" s="20" t="s">
        <v>10</v>
      </c>
      <c r="G142" s="21">
        <v>544.17999999999995</v>
      </c>
      <c r="H142" s="21">
        <v>0</v>
      </c>
      <c r="I142" s="21">
        <v>0</v>
      </c>
      <c r="J142" s="21">
        <v>0</v>
      </c>
      <c r="K142" s="21">
        <v>0</v>
      </c>
      <c r="L142" s="21">
        <v>0</v>
      </c>
      <c r="M142" s="21">
        <v>0</v>
      </c>
      <c r="N142" s="21">
        <v>19.590499999999999</v>
      </c>
      <c r="O142" s="21">
        <f>SUM(tabCustoUnit[[#This Row],[Salário Base]:[Adicional de Acúmulo de função]])</f>
        <v>563.77049999999997</v>
      </c>
      <c r="P142" s="21">
        <f>tabCustoUnit[[#This Row],[MODULO 1 - REMUNERAÇÃO ]]*SUMIFS(tabParametros[INSS],tabParametros[Código do Posto],tabCustoUnit[[#This Row],[Código do Posto]])</f>
        <v>112.75409999999999</v>
      </c>
      <c r="Q142" s="21">
        <f>tabCustoUnit[[#This Row],[MODULO 1 - REMUNERAÇÃO ]]*SUMIFS(tabParametros[SESI OU SESC],tabParametros[Código do Posto],tabCustoUnit[[#This Row],[Código do Posto]])</f>
        <v>8.4565574999999988</v>
      </c>
      <c r="R142" s="21">
        <f>tabCustoUnit[[#This Row],[MODULO 1 - REMUNERAÇÃO ]]*SUMIFS(tabParametros[SENAI OU SENAC],tabParametros[Código do Posto],tabCustoUnit[[#This Row],[Código do Posto]])</f>
        <v>5.6377049999999995</v>
      </c>
      <c r="S142" s="21">
        <f>tabCustoUnit[[#This Row],[MODULO 1 - REMUNERAÇÃO ]]*SUMIFS(tabParametros[INCRA],tabParametros[Código do Posto],tabCustoUnit[[#This Row],[Código do Posto]])</f>
        <v>1.1275409999999999</v>
      </c>
      <c r="T142" s="21">
        <f>tabCustoUnit[[#This Row],[MODULO 1 - REMUNERAÇÃO ]]*SUMIFS(tabParametros[Salário Educação],tabParametros[Código do Posto],tabCustoUnit[[#This Row],[Código do Posto]])</f>
        <v>14.094262499999999</v>
      </c>
      <c r="U142" s="21">
        <f>tabCustoUnit[[#This Row],[MODULO 1 - REMUNERAÇÃO ]]*SUMIFS(tabParametros[FGTS],tabParametros[Código do Posto],tabCustoUnit[[#This Row],[Código do Posto]])</f>
        <v>45.101639999999996</v>
      </c>
      <c r="V142" s="21">
        <f>tabCustoUnit[[#This Row],[MODULO 1 - REMUNERAÇÃO ]]*SUMIFS(tabParametros[RAT Ajustado],tabParametros[Código do Posto],tabCustoUnit[[#This Row],[Código do Posto]])</f>
        <v>22.550819999999998</v>
      </c>
      <c r="W142" s="21">
        <f>tabCustoUnit[[#This Row],[MODULO 1 - REMUNERAÇÃO ]]*SUMIFS(tabParametros[SEBRAE],tabParametros[Código do Posto],tabCustoUnit[[#This Row],[Código do Posto]])</f>
        <v>3.3826229999999997</v>
      </c>
      <c r="X142" s="21">
        <f>SUM(tabCustoUnit[[#This Row],[INSS]:[SEBRAE]])</f>
        <v>213.10524899999996</v>
      </c>
      <c r="Y142" s="21">
        <f>tabCustoUnit[[#This Row],[MODULO 1 - REMUNERAÇÃO ]]*SUMIFS(tabParametros[13º salário (titular)],tabParametros[Código do Posto],tabCustoUnit[[#This Row],[Código do Posto]])</f>
        <v>46.980874999999997</v>
      </c>
      <c r="Z142" s="21">
        <f>tabCustoUnit[[#This Row],[MODULO 1 - REMUNERAÇÃO ]]*SUMIFS(tabParametros[Férias e Adicional de Férias (titular)],tabParametros[Código do Posto],tabCustoUnit[[#This Row],[Código do Posto]])</f>
        <v>62.641166666666663</v>
      </c>
      <c r="AA142" s="21">
        <f>IFERROR((tabCustoUnit[[#This Row],[Submódulo 2.1]]/tabCustoUnit[[#This Row],[MODULO 1 - REMUNERAÇÃO ]])*SUM(tabCustoUnit[[#This Row],[13º salário (titular)]:[Férias e Adicional de Férias (titular)]]),0)</f>
        <v>41.437131749999992</v>
      </c>
      <c r="AB142" s="21">
        <f>SUM(tabCustoUnit[[#This Row],[13º salário (titular)]:[Incidência do Submódulo 2.1 sobre 13º Salário, Férias e Adicional de Férias]])</f>
        <v>151.05917341666665</v>
      </c>
      <c r="AC142" s="22">
        <f>_xlfn.LET(_xlpm.VT,SUMIF(tabParametros[Código do Posto],tabCustoUnit[[#This Row],[Código do Posto]],tabParametros[Vale - Transporte])*2*20,
IF((_xlpm.VT-tabCustoUnit[[#This Row],[Salário Base]]*0.06)&gt;=0,(_xlpm.VT-tabCustoUnit[[#This Row],[Salário Base]]*0.06),0)
)</f>
        <v>223.3492</v>
      </c>
      <c r="AD142" s="22">
        <f>IF(SUMIF(tabParametros[Código do Posto],tabCustoUnit[[#This Row],[Código do Posto]],tabParametros[Vale - Alimentação])&lt;=0,0,
SUMIF(tabParametros[Código do Posto],tabCustoUnit[[#This Row],[Código do Posto]],tabParametros[Vale - Alimentação])*20-1)</f>
        <v>582</v>
      </c>
      <c r="AE142" s="22">
        <f>SUMIF(tabParametros[Código do Posto],tabCustoUnit[[#This Row],[Código do Posto]],tabParametros[Cesta Básica])</f>
        <v>0</v>
      </c>
      <c r="AF142" s="22">
        <f>SUMIF(tabParametros[Código do Posto],tabCustoUnit[[#This Row],[Código do Posto]],tabParametros[PAF])</f>
        <v>0</v>
      </c>
      <c r="AG142" s="22">
        <f>SUMIF(tabParametros[Código do Posto],tabCustoUnit[[#This Row],[Código do Posto]],tabParametros[PQM])</f>
        <v>0</v>
      </c>
      <c r="AH142" s="22">
        <f>SUMIF(tabParametros[Código do Posto],tabCustoUnit[[#This Row],[Código do Posto]],tabParametros[PAT])</f>
        <v>0</v>
      </c>
      <c r="AI142" s="22">
        <f>SUMIF(tabParametros[Código do Posto],tabCustoUnit[[#This Row],[Código do Posto]],tabParametros[Seguro de Vida])</f>
        <v>3.36</v>
      </c>
      <c r="AJ142" s="22">
        <f>SUMIF(tabParametros[Código do Posto],tabCustoUnit[[#This Row],[Código do Posto]],tabParametros[Despesas de Viagem])</f>
        <v>0</v>
      </c>
      <c r="AK142" s="22">
        <f>SUM(tabCustoUnit[[#This Row],[Vale - Transporte (Descontada parcela do empregado)]:[Despesas de Viagem]])</f>
        <v>808.70920000000001</v>
      </c>
      <c r="AL142" s="22">
        <f>tabCustoUnit[[#This Row],[Submódulo 2.1]]+tabCustoUnit[[#This Row],[Submódulo 2.2]]+tabCustoUnit[[#This Row],[Submódulo 2.3]]</f>
        <v>1172.8736224166666</v>
      </c>
      <c r="AM142" s="22">
        <f>SUMIF(tabParametros[Código do Posto],tabCustoUnit[[#This Row],[Código do Posto]],tabParametros[Aviso Prévio Indenizado (API) e Reflexo do Aviso Prévio Indenizado])*tabCustoUnit[[#This Row],[MODULO 1 - REMUNERAÇÃO ]]</f>
        <v>3.9530273735532404</v>
      </c>
      <c r="AN142" s="22">
        <f>SUMIF(tabParametros[Código do Posto],tabCustoUnit[[#This Row],[Código do Posto]],tabParametros[Incidência do FGTS sobre API e Reflexo do API])*tabCustoUnit[[#This Row],[MODULO 1 - REMUNERAÇÃO ]]</f>
        <v>0.31624218988425928</v>
      </c>
      <c r="AO142" s="22">
        <f>SUMIF(tabParametros[Código do Posto],tabCustoUnit[[#This Row],[Código do Posto]],tabParametros[Multa Rescisória do FGTS sobre o Aviso Prévio Indenizado])*tabCustoUnit[[#This Row],[MODULO 1 - REMUNERAÇÃO ]]</f>
        <v>0.12649687595370371</v>
      </c>
      <c r="AP142" s="22">
        <f>SUMIF(tabParametros[Código do Posto],tabCustoUnit[[#This Row],[Código do Posto]],tabParametros[Aviso Prévio Trabalhado - APT])*tabCustoUnit[[#This Row],[MODULO 1 - REMUNERAÇÃO ]]</f>
        <v>1.9731967500000003</v>
      </c>
      <c r="AQ142" s="22">
        <f>SUMIF(tabParametros[Código do Posto],tabCustoUnit[[#This Row],[Código do Posto]],tabParametros[Incidência dos encargos do submódulo 2.1 sobre Aviso Prévio Trabalhado])*tabCustoUnit[[#This Row],[MODULO 1 - REMUNERAÇÃO ]]</f>
        <v>0.74586837150000018</v>
      </c>
      <c r="AR142" s="22">
        <f>SUMIF(tabParametros[Código do Posto],tabCustoUnit[[#This Row],[Código do Posto]],tabParametros[Multa Rescisória do FGTS])*tabCustoUnit[[#This Row],[MODULO 1 - REMUNERAÇÃO ]]</f>
        <v>17.238849066666663</v>
      </c>
      <c r="AS142" s="22">
        <f>SUMIF(tabParametros[Código do Posto],tabCustoUnit[[#This Row],[Código do Posto]],tabParametros[Indenização Adicional (Art. 9º da Lei nº 7.238/84)])*tabCustoUnit[[#This Row],[MODULO 1 - REMUNERAÇÃO ]]</f>
        <v>0.46980875</v>
      </c>
      <c r="AT142" s="22">
        <f>SUM(tabCustoUnit[[#This Row],[Aviso Prévio Indenizado (API) e Reflexo do Aviso Prévio Indenizado]:[Indenização Adicional (Art. 9º da Lei nº 7.238/84)]])</f>
        <v>24.823489377557866</v>
      </c>
      <c r="AU142" s="22">
        <f>SUMIF(tabParametros[Código do Posto],tabCustoUnit[[#This Row],[Código do Posto]],tabParametros[Ausência por Doença])*tabCustoUnit[[#This Row],[MODULO 1 - REMUNERAÇÃO ]]</f>
        <v>4.7607286666666662</v>
      </c>
      <c r="AV142" s="22">
        <f>SUMIF(tabParametros[Código do Posto],tabCustoUnit[[#This Row],[Código do Posto]],tabParametros[Ausências Legais])*tabCustoUnit[[#This Row],[MODULO 1 - REMUNERAÇÃO ]]</f>
        <v>1.1432012916666665</v>
      </c>
      <c r="AW142" s="22">
        <f>SUMIF(tabParametros[Código do Posto],tabCustoUnit[[#This Row],[Código do Posto]],tabParametros[Licença Paternidade])*tabCustoUnit[[#This Row],[MODULO 1 - REMUNERAÇÃO ]]</f>
        <v>9.6310793749999998E-2</v>
      </c>
      <c r="AX142" s="22">
        <f>SUMIF(tabParametros[Código do Posto],tabCustoUnit[[#This Row],[Código do Posto]],tabParametros[Ausência por Acidente de Trabalho])*tabCustoUnit[[#This Row],[MODULO 1 - REMUNERAÇÃO ]]</f>
        <v>0.1174521875</v>
      </c>
      <c r="AY142" s="22">
        <f>SUMIF(tabParametros[Código do Posto],tabCustoUnit[[#This Row],[Código do Posto]],tabParametros[Férias, Adicional de Férias e 13º  com empregada em gozo de Licença Maternidade])*tabCustoUnit[[#This Row],[MODULO 1 - REMUNERAÇÃO ]]</f>
        <v>0.73081361111111109</v>
      </c>
      <c r="AZ142" s="22">
        <f>SUMIF(tabParametros[Código do Posto],tabCustoUnit[[#This Row],[Código do Posto]],tabParametros[Incidência do Submódulo 2.1 sobre Ausências Legais])*tabCustoUnit[[#This Row],[MODULO 1 - REMUNERAÇÃO ]]</f>
        <v>2.5887354761625003</v>
      </c>
      <c r="BA142" s="22">
        <f>SUM(tabCustoUnit[[#This Row],[Ausência por Doença]:[Incidência do Submódulo 2.1 sobre Ausências Legais]])</f>
        <v>9.4372420268569428</v>
      </c>
      <c r="BB142" s="22">
        <f>SUMIF(tabParametros[Código do Posto],tabCustoUnit[[#This Row],[Código do Posto]],tabParametros[Intervalo para Repouso ou Alimentação])</f>
        <v>0</v>
      </c>
      <c r="BC142" s="22">
        <f>tabCustoUnit[[#This Row],[Intervalo para Repouso ou Alimentação]]</f>
        <v>0</v>
      </c>
      <c r="BD142" s="22">
        <f>IF(VLOOKUP(tabCustoUnit[[#This Row],[Código do Posto]],PARAMETROS!$A$4:$BJ$255,7,0)&lt;=0,0,
IFERROR((tabCustoUnit[[#This Row],[MODULO 1 - REMUNERAÇÃO ]]*VLOOKUP(tabCustoUnit[[#This Row],[Código do Posto]],PARAMETROS!$A$4:$BJ$255,49,0))/(VLOOKUP(tabCustoUnit[[#This Row],[Código do Posto]],PARAMETROS!$A$4:$BJ$255,7,0)*VLOOKUP(tabCustoUnit[[#This Row],[Código do Posto]],PARAMETROS!$A$4:$BJ$255,8,0)),0)
)</f>
        <v>0</v>
      </c>
      <c r="BE142" s="22">
        <f>tabCustoUnit[[#This Row],[Suspensão Temporária do Contrato de Trabalho]]</f>
        <v>0</v>
      </c>
      <c r="BF142" s="22">
        <f>tabCustoUnit[[#This Row],[Submódulo 4.1]]+tabCustoUnit[[#This Row],[Submódulo 4.2]]+tabCustoUnit[[#This Row],[Submódulo 4.3]]</f>
        <v>9.4372420268569428</v>
      </c>
      <c r="BG142" s="22">
        <f>VLOOKUP(tabCustoUnit[[#This Row],[Código do Posto]],tabParametros[],MATCH(tabCustoUnit[[#Headers],[Uniformes e EPIs]],tabParametros[#Headers],0),0)</f>
        <v>62.806666666666665</v>
      </c>
      <c r="BH142" s="22">
        <f>VLOOKUP(tabCustoUnit[[#This Row],[Código do Posto]],tabParametros[],MATCH(tabCustoUnit[[#Headers],[Materiais de Consumo]],tabParametros[#Headers],0),0)</f>
        <v>12.108481690426325</v>
      </c>
      <c r="BI142" s="22">
        <f>VLOOKUP(tabCustoUnit[[#This Row],[Código do Posto]],tabParametros[],MATCH(tabCustoUnit[[#Headers],[Máquinas e Equipamentos (depreciação)]],tabParametros[#Headers],0),0)</f>
        <v>21.998657016417809</v>
      </c>
      <c r="BJ142" s="22">
        <f>VLOOKUP(tabCustoUnit[[#This Row],[Código do Posto]],tabParametros[],MATCH(tabCustoUnit[[#Headers],[Produtos de Limpeza e Materiais de Higiene Pessoal]],tabParametros[#Headers],0),0)</f>
        <v>235.31984072022155</v>
      </c>
      <c r="BK142" s="22">
        <f>VLOOKUP(tabCustoUnit[[#This Row],[Código do Posto]],tabParametros[],MATCH(tabCustoUnit[[#Headers],[Outros (especificar)]],tabParametros[#Headers],0),0)</f>
        <v>0</v>
      </c>
      <c r="BL142" s="22">
        <f>SUM(tabCustoUnit[[#This Row],[Uniformes e EPIs]:[Outros (especificar)]])</f>
        <v>332.23364609373232</v>
      </c>
      <c r="BM142" s="22">
        <f>tabCustoUnit[[#This Row],[MODULO 1 - REMUNERAÇÃO ]]+tabCustoUnit[[#This Row],[MÓDULO 2 - Total Encargos e Benefícios mensais e diários]]+tabCustoUnit[[#This Row],[MÓDULO 3 – PROVISÃO PARA RESCISÃO]]+tabCustoUnit[[#This Row],[MÓDULO 4 – CUSTO DE REPOSIÇÃO DO PROFISSIONAL AUSENTE]]+tabCustoUnit[[#This Row],[MÓDULO 5 – INSUMOS DIVERSOS]]</f>
        <v>2103.1384999148136</v>
      </c>
      <c r="BN142" s="22">
        <f>VLOOKUP(tabCustoUnit[[#This Row],[Código do Posto]],tabParametros[],MATCH(tabCustoUnit[[#Headers],[Custos Indiretos]],tabParametros[#Headers],0),0)</f>
        <v>189.64880140242613</v>
      </c>
      <c r="BO142" s="22">
        <f>VLOOKUP(tabCustoUnit[[#This Row],[Código do Posto]],tabParametros[],MATCH(tabCustoUnit[[#Headers],[Lucro]],tabParametros[#Headers],0),0)</f>
        <v>159.30499317803796</v>
      </c>
      <c r="BP142" s="26">
        <f>((100/((1-tabCustoUnit[[#This Row],[Resumo de Alíquotas (PIS+CONFINS+ISS)]]))-100)*VLOOKUP(tabCustoUnit[[#This Row],[Código do Posto]],tabParametros[],MATCH(tabCustoUnit[[#Headers],[COFINS]],tabParametros[#Headers],0),0))/(tabCustoUnit[[#This Row],[Resumo de Alíquotas (PIS+CONFINS+ISS)]]*100)</f>
        <v>8.6609686609686695E-2</v>
      </c>
      <c r="BQ142" s="26">
        <f>((100/((100-(tabCustoUnit[[#This Row],[Resumo de Alíquotas (PIS+CONFINS+ISS)]]*100))%)-100)*VLOOKUP(tabCustoUnit[[#This Row],[Código do Posto]],tabParametros[],MATCH(tabCustoUnit[[#Headers],[PIS]],tabParametros[#Headers],0),0))/(tabCustoUnit[[#This Row],[Resumo de Alíquotas (PIS+CONFINS+ISS)]]*100)</f>
        <v>1.880341880341882E-2</v>
      </c>
      <c r="BR142" s="28">
        <f>VLOOKUP(tabCustoUnit[[#This Row],[Código do Posto]],tabParametros[],MATCH(tabCustoUnit[[#Headers],[ISS]],tabParametros[#Headers],0),0)</f>
        <v>0.03</v>
      </c>
      <c r="BS142" s="26">
        <f>(((100/((100-(tabCustoUnit[[#This Row],[Resumo de Alíquotas (PIS+CONFINS+ISS)]]*100))%)-100)*tabCustoUnit[[#This Row],[ISS]])/tabCustoUnit[[#This Row],[Resumo de Alíquotas (PIS+CONFINS+ISS)]])/100</f>
        <v>3.4188034188034219E-2</v>
      </c>
      <c r="BT142" s="26">
        <f>(VLOOKUP(tabCustoUnit[[#This Row],[Código do Posto]],tabParametros[],MATCH(tabCustoUnit[[#Headers],[COFINS]],tabParametros[#Headers],0),0)+
VLOOKUP(tabCustoUnit[[#This Row],[Código do Posto]],tabParametros[],MATCH(tabCustoUnit[[#Headers],[PIS]],tabParametros[#Headers],0),0)+
VLOOKUP(tabCustoUnit[[#This Row],[Código do Posto]],tabParametros[],MATCH(tabCustoUnit[[#Headers],[ISS]],tabParametros[#Headers],0),0))</f>
        <v>0.1225</v>
      </c>
      <c r="BU142" s="138">
        <f>tabCustoUnit[[#This Row],[COFINS]]+tabCustoUnit[[#This Row],[PIS]]+tabCustoUnit[[#This Row],[ISS (Conversão Alíquota s/ fatura)]]</f>
        <v>0.13960113960113973</v>
      </c>
      <c r="BV142" s="22">
        <f>(tabCustoUnit[[#This Row],[TOTAL MÓDULOS 1+2+3+4+5]]+tabCustoUnit[[#This Row],[Custos Indiretos]]+tabCustoUnit[[#This Row],[Lucro]])*tabCustoUnit[[#This Row],[PIS + COFINS + ISS (Total Conversão  Alíquota s/ Fatura)]]</f>
        <v>342.31487871871428</v>
      </c>
      <c r="BW142" s="22">
        <f>tabCustoUnit[[#This Row],[Custos Indiretos]]+tabCustoUnit[[#This Row],[Lucro]]+tabCustoUnit[[#This Row],[Valor dos Tributos (ISS, PIS, CONFINS)]]</f>
        <v>691.26867329917832</v>
      </c>
      <c r="BX142" s="22">
        <f>tabCustoUnit[[#This Row],[TOTAL MÓDULOS 1+2+3+4+5]]+tabCustoUnit[[#This Row],[MÓDULO 6 – CUSTOS INDIRETOS, TRIBUTOS E LUCRO]]</f>
        <v>2794.4071732139919</v>
      </c>
      <c r="BY142" s="22">
        <f>tabCustoUnit[[#This Row],[CUSTO TOTAL MENSAL]]*12</f>
        <v>33532.886078567899</v>
      </c>
      <c r="BZ142" s="24">
        <f>VLOOKUP(tabCustoUnit[[#This Row],[Código do Posto]],tabParametros[],MATCH(tabCustoUnit[[#Headers],[ANO DA CCT]],tabParametros[#Headers],0),0)</f>
        <v>45658</v>
      </c>
      <c r="CA142" s="25" t="str">
        <f>VLOOKUP(tabCustoUnit[[#This Row],[Código do Posto]],tabParametros[],MATCH(tabCustoUnit[[#Headers],[Nº DE PEDIDO DA CCT]],tabParametros[#Headers],0),0)</f>
        <v>-</v>
      </c>
      <c r="CB142" s="25" t="str">
        <f>VLOOKUP(tabCustoUnit[[#This Row],[Código do Posto]],tabParametros[],MATCH(tabCustoUnit[[#Headers],[TERMO ADITIVO ALTERAÇÃO DA CCT]],tabParametros[#Headers],0),0)</f>
        <v>-</v>
      </c>
    </row>
    <row r="143" spans="1:80" x14ac:dyDescent="0.25">
      <c r="A143" s="20" t="s">
        <v>1479</v>
      </c>
      <c r="B143" t="s">
        <v>129</v>
      </c>
      <c r="C143" t="s">
        <v>1244</v>
      </c>
      <c r="D143" t="s">
        <v>1023</v>
      </c>
      <c r="E143" s="20" t="s">
        <v>9</v>
      </c>
      <c r="F143" s="20" t="s">
        <v>10</v>
      </c>
      <c r="G143" s="21">
        <v>798.14</v>
      </c>
      <c r="H143" s="21">
        <v>0</v>
      </c>
      <c r="I143" s="21">
        <v>0</v>
      </c>
      <c r="J143" s="21">
        <v>0</v>
      </c>
      <c r="K143" s="21">
        <v>0</v>
      </c>
      <c r="L143" s="21">
        <v>0</v>
      </c>
      <c r="M143" s="21">
        <v>0</v>
      </c>
      <c r="N143" s="21">
        <v>26.120899999999999</v>
      </c>
      <c r="O143" s="21">
        <f>SUM(tabCustoUnit[[#This Row],[Salário Base]:[Adicional de Acúmulo de função]])</f>
        <v>824.26089999999999</v>
      </c>
      <c r="P143" s="21">
        <f>tabCustoUnit[[#This Row],[MODULO 1 - REMUNERAÇÃO ]]*SUMIFS(tabParametros[INSS],tabParametros[Código do Posto],tabCustoUnit[[#This Row],[Código do Posto]])</f>
        <v>164.85218</v>
      </c>
      <c r="Q143" s="21">
        <f>tabCustoUnit[[#This Row],[MODULO 1 - REMUNERAÇÃO ]]*SUMIFS(tabParametros[SESI OU SESC],tabParametros[Código do Posto],tabCustoUnit[[#This Row],[Código do Posto]])</f>
        <v>12.363913499999999</v>
      </c>
      <c r="R143" s="21">
        <f>tabCustoUnit[[#This Row],[MODULO 1 - REMUNERAÇÃO ]]*SUMIFS(tabParametros[SENAI OU SENAC],tabParametros[Código do Posto],tabCustoUnit[[#This Row],[Código do Posto]])</f>
        <v>8.2426089999999999</v>
      </c>
      <c r="S143" s="21">
        <f>tabCustoUnit[[#This Row],[MODULO 1 - REMUNERAÇÃO ]]*SUMIFS(tabParametros[INCRA],tabParametros[Código do Posto],tabCustoUnit[[#This Row],[Código do Posto]])</f>
        <v>1.6485217999999999</v>
      </c>
      <c r="T143" s="21">
        <f>tabCustoUnit[[#This Row],[MODULO 1 - REMUNERAÇÃO ]]*SUMIFS(tabParametros[Salário Educação],tabParametros[Código do Posto],tabCustoUnit[[#This Row],[Código do Posto]])</f>
        <v>20.606522500000001</v>
      </c>
      <c r="U143" s="21">
        <f>tabCustoUnit[[#This Row],[MODULO 1 - REMUNERAÇÃO ]]*SUMIFS(tabParametros[FGTS],tabParametros[Código do Posto],tabCustoUnit[[#This Row],[Código do Posto]])</f>
        <v>65.940871999999999</v>
      </c>
      <c r="V143" s="21">
        <f>tabCustoUnit[[#This Row],[MODULO 1 - REMUNERAÇÃO ]]*SUMIFS(tabParametros[RAT Ajustado],tabParametros[Código do Posto],tabCustoUnit[[#This Row],[Código do Posto]])</f>
        <v>32.970435999999999</v>
      </c>
      <c r="W143" s="21">
        <f>tabCustoUnit[[#This Row],[MODULO 1 - REMUNERAÇÃO ]]*SUMIFS(tabParametros[SEBRAE],tabParametros[Código do Posto],tabCustoUnit[[#This Row],[Código do Posto]])</f>
        <v>4.9455654000000004</v>
      </c>
      <c r="X143" s="21">
        <f>SUM(tabCustoUnit[[#This Row],[INSS]:[SEBRAE]])</f>
        <v>311.57062020000001</v>
      </c>
      <c r="Y143" s="21">
        <f>tabCustoUnit[[#This Row],[MODULO 1 - REMUNERAÇÃO ]]*SUMIFS(tabParametros[13º salário (titular)],tabParametros[Código do Posto],tabCustoUnit[[#This Row],[Código do Posto]])</f>
        <v>68.688408333333328</v>
      </c>
      <c r="Z143" s="21">
        <f>tabCustoUnit[[#This Row],[MODULO 1 - REMUNERAÇÃO ]]*SUMIFS(tabParametros[Férias e Adicional de Férias (titular)],tabParametros[Código do Posto],tabCustoUnit[[#This Row],[Código do Posto]])</f>
        <v>91.584544444444433</v>
      </c>
      <c r="AA143" s="21">
        <f>IFERROR((tabCustoUnit[[#This Row],[Submódulo 2.1]]/tabCustoUnit[[#This Row],[MODULO 1 - REMUNERAÇÃO ]])*SUM(tabCustoUnit[[#This Row],[13º salário (titular)]:[Férias e Adicional de Férias (titular)]]),0)</f>
        <v>60.583176149999993</v>
      </c>
      <c r="AB143" s="21">
        <f>SUM(tabCustoUnit[[#This Row],[13º salário (titular)]:[Incidência do Submódulo 2.1 sobre 13º Salário, Férias e Adicional de Férias]])</f>
        <v>220.85612892777775</v>
      </c>
      <c r="AC143" s="22">
        <f>_xlfn.LET(_xlpm.VT,SUMIF(tabParametros[Código do Posto],tabCustoUnit[[#This Row],[Código do Posto]],tabParametros[Vale - Transporte])*2*20,
IF((_xlpm.VT-tabCustoUnit[[#This Row],[Salário Base]]*0.06)&gt;=0,(_xlpm.VT-tabCustoUnit[[#This Row],[Salário Base]]*0.06),0)
)</f>
        <v>208.11160000000001</v>
      </c>
      <c r="AD143" s="22">
        <f>IF(SUMIF(tabParametros[Código do Posto],tabCustoUnit[[#This Row],[Código do Posto]],tabParametros[Vale - Alimentação])&lt;=0,0,
SUMIF(tabParametros[Código do Posto],tabCustoUnit[[#This Row],[Código do Posto]],tabParametros[Vale - Alimentação])*20-1)</f>
        <v>582</v>
      </c>
      <c r="AE143" s="22">
        <f>SUMIF(tabParametros[Código do Posto],tabCustoUnit[[#This Row],[Código do Posto]],tabParametros[Cesta Básica])</f>
        <v>0</v>
      </c>
      <c r="AF143" s="22">
        <f>SUMIF(tabParametros[Código do Posto],tabCustoUnit[[#This Row],[Código do Posto]],tabParametros[PAF])</f>
        <v>53.27</v>
      </c>
      <c r="AG143" s="22">
        <f>SUMIF(tabParametros[Código do Posto],tabCustoUnit[[#This Row],[Código do Posto]],tabParametros[PQM])</f>
        <v>0</v>
      </c>
      <c r="AH143" s="22">
        <f>SUMIF(tabParametros[Código do Posto],tabCustoUnit[[#This Row],[Código do Posto]],tabParametros[PAT])</f>
        <v>0</v>
      </c>
      <c r="AI143" s="22">
        <f>SUMIF(tabParametros[Código do Posto],tabCustoUnit[[#This Row],[Código do Posto]],tabParametros[Seguro de Vida])</f>
        <v>3.36</v>
      </c>
      <c r="AJ143" s="22">
        <f>SUMIF(tabParametros[Código do Posto],tabCustoUnit[[#This Row],[Código do Posto]],tabParametros[Despesas de Viagem])</f>
        <v>0</v>
      </c>
      <c r="AK143" s="22">
        <f>SUM(tabCustoUnit[[#This Row],[Vale - Transporte (Descontada parcela do empregado)]:[Despesas de Viagem]])</f>
        <v>846.74159999999995</v>
      </c>
      <c r="AL143" s="22">
        <f>tabCustoUnit[[#This Row],[Submódulo 2.1]]+tabCustoUnit[[#This Row],[Submódulo 2.2]]+tabCustoUnit[[#This Row],[Submódulo 2.3]]</f>
        <v>1379.1683491277777</v>
      </c>
      <c r="AM143" s="22">
        <f>SUMIF(tabParametros[Código do Posto],tabCustoUnit[[#This Row],[Código do Posto]],tabParametros[Aviso Prévio Indenizado (API) e Reflexo do Aviso Prévio Indenizado])*tabCustoUnit[[#This Row],[MODULO 1 - REMUNERAÇÃO ]]</f>
        <v>5.7795253576581791</v>
      </c>
      <c r="AN143" s="22">
        <f>SUMIF(tabParametros[Código do Posto],tabCustoUnit[[#This Row],[Código do Posto]],tabParametros[Incidência do FGTS sobre API e Reflexo do API])*tabCustoUnit[[#This Row],[MODULO 1 - REMUNERAÇÃO ]]</f>
        <v>0.46236202861265435</v>
      </c>
      <c r="AO143" s="22">
        <f>SUMIF(tabParametros[Código do Posto],tabCustoUnit[[#This Row],[Código do Posto]],tabParametros[Multa Rescisória do FGTS sobre o Aviso Prévio Indenizado])*tabCustoUnit[[#This Row],[MODULO 1 - REMUNERAÇÃO ]]</f>
        <v>0.18494481144506175</v>
      </c>
      <c r="AP143" s="22">
        <f>SUMIF(tabParametros[Código do Posto],tabCustoUnit[[#This Row],[Código do Posto]],tabParametros[Aviso Prévio Trabalhado - APT])*tabCustoUnit[[#This Row],[MODULO 1 - REMUNERAÇÃO ]]</f>
        <v>2.8849131500000005</v>
      </c>
      <c r="AQ143" s="22">
        <f>SUMIF(tabParametros[Código do Posto],tabCustoUnit[[#This Row],[Código do Posto]],tabParametros[Incidência dos encargos do submódulo 2.1 sobre Aviso Prévio Trabalhado])*tabCustoUnit[[#This Row],[MODULO 1 - REMUNERAÇÃO ]]</f>
        <v>1.0904971707000004</v>
      </c>
      <c r="AR143" s="22">
        <f>SUMIF(tabParametros[Código do Posto],tabCustoUnit[[#This Row],[Código do Posto]],tabParametros[Multa Rescisória do FGTS])*tabCustoUnit[[#This Row],[MODULO 1 - REMUNERAÇÃO ]]</f>
        <v>25.204066631111107</v>
      </c>
      <c r="AS143" s="22">
        <f>SUMIF(tabParametros[Código do Posto],tabCustoUnit[[#This Row],[Código do Posto]],tabParametros[Indenização Adicional (Art. 9º da Lei nº 7.238/84)])*tabCustoUnit[[#This Row],[MODULO 1 - REMUNERAÇÃO ]]</f>
        <v>0.6868840833333334</v>
      </c>
      <c r="AT143" s="22">
        <f>SUM(tabCustoUnit[[#This Row],[Aviso Prévio Indenizado (API) e Reflexo do Aviso Prévio Indenizado]:[Indenização Adicional (Art. 9º da Lei nº 7.238/84)]])</f>
        <v>36.293193232860339</v>
      </c>
      <c r="AU143" s="22">
        <f>SUMIF(tabParametros[Código do Posto],tabCustoUnit[[#This Row],[Código do Posto]],tabParametros[Ausência por Doença])*tabCustoUnit[[#This Row],[MODULO 1 - REMUNERAÇÃO ]]</f>
        <v>6.9604253777777769</v>
      </c>
      <c r="AV143" s="22">
        <f>SUMIF(tabParametros[Código do Posto],tabCustoUnit[[#This Row],[Código do Posto]],tabParametros[Ausências Legais])*tabCustoUnit[[#This Row],[MODULO 1 - REMUNERAÇÃO ]]</f>
        <v>1.671417936111111</v>
      </c>
      <c r="AW143" s="22">
        <f>SUMIF(tabParametros[Código do Posto],tabCustoUnit[[#This Row],[Código do Posto]],tabParametros[Licença Paternidade])*tabCustoUnit[[#This Row],[MODULO 1 - REMUNERAÇÃO ]]</f>
        <v>0.14081123708333332</v>
      </c>
      <c r="AX143" s="22">
        <f>SUMIF(tabParametros[Código do Posto],tabCustoUnit[[#This Row],[Código do Posto]],tabParametros[Ausência por Acidente de Trabalho])*tabCustoUnit[[#This Row],[MODULO 1 - REMUNERAÇÃO ]]</f>
        <v>0.17172102083333335</v>
      </c>
      <c r="AY143" s="22">
        <f>SUMIF(tabParametros[Código do Posto],tabCustoUnit[[#This Row],[Código do Posto]],tabParametros[Férias, Adicional de Férias e 13º  com empregada em gozo de Licença Maternidade])*tabCustoUnit[[#This Row],[MODULO 1 - REMUNERAÇÃO ]]</f>
        <v>1.0684863518518517</v>
      </c>
      <c r="AZ143" s="22">
        <f>SUMIF(tabParametros[Código do Posto],tabCustoUnit[[#This Row],[Código do Posto]],tabParametros[Incidência do Submódulo 2.1 sobre Ausências Legais])*tabCustoUnit[[#This Row],[MODULO 1 - REMUNERAÇÃO ]]</f>
        <v>3.7848618071425006</v>
      </c>
      <c r="BA143" s="22">
        <f>SUM(tabCustoUnit[[#This Row],[Ausência por Doença]:[Incidência do Submódulo 2.1 sobre Ausências Legais]])</f>
        <v>13.797723730799909</v>
      </c>
      <c r="BB143" s="22">
        <f>SUMIF(tabParametros[Código do Posto],tabCustoUnit[[#This Row],[Código do Posto]],tabParametros[Intervalo para Repouso ou Alimentação])</f>
        <v>0</v>
      </c>
      <c r="BC143" s="22">
        <f>tabCustoUnit[[#This Row],[Intervalo para Repouso ou Alimentação]]</f>
        <v>0</v>
      </c>
      <c r="BD143" s="22">
        <f>IF(VLOOKUP(tabCustoUnit[[#This Row],[Código do Posto]],PARAMETROS!$A$4:$BJ$255,7,0)&lt;=0,0,
IFERROR((tabCustoUnit[[#This Row],[MODULO 1 - REMUNERAÇÃO ]]*VLOOKUP(tabCustoUnit[[#This Row],[Código do Posto]],PARAMETROS!$A$4:$BJ$255,49,0))/(VLOOKUP(tabCustoUnit[[#This Row],[Código do Posto]],PARAMETROS!$A$4:$BJ$255,7,0)*VLOOKUP(tabCustoUnit[[#This Row],[Código do Posto]],PARAMETROS!$A$4:$BJ$255,8,0)),0)
)</f>
        <v>0</v>
      </c>
      <c r="BE143" s="22">
        <f>tabCustoUnit[[#This Row],[Suspensão Temporária do Contrato de Trabalho]]</f>
        <v>0</v>
      </c>
      <c r="BF143" s="22">
        <f>tabCustoUnit[[#This Row],[Submódulo 4.1]]+tabCustoUnit[[#This Row],[Submódulo 4.2]]+tabCustoUnit[[#This Row],[Submódulo 4.3]]</f>
        <v>13.797723730799909</v>
      </c>
      <c r="BG143" s="22">
        <f>VLOOKUP(tabCustoUnit[[#This Row],[Código do Posto]],tabParametros[],MATCH(tabCustoUnit[[#Headers],[Uniformes e EPIs]],tabParametros[#Headers],0),0)</f>
        <v>62.806666666666665</v>
      </c>
      <c r="BH143" s="22">
        <f>VLOOKUP(tabCustoUnit[[#This Row],[Código do Posto]],tabParametros[],MATCH(tabCustoUnit[[#Headers],[Materiais de Consumo]],tabParametros[#Headers],0),0)</f>
        <v>17.759106479291944</v>
      </c>
      <c r="BI143" s="22">
        <f>VLOOKUP(tabCustoUnit[[#This Row],[Código do Posto]],tabParametros[],MATCH(tabCustoUnit[[#Headers],[Máquinas e Equipamentos (depreciação)]],tabParametros[#Headers],0),0)</f>
        <v>32.264696957412788</v>
      </c>
      <c r="BJ143" s="22">
        <f>VLOOKUP(tabCustoUnit[[#This Row],[Código do Posto]],tabParametros[],MATCH(tabCustoUnit[[#Headers],[Produtos de Limpeza e Materiais de Higiene Pessoal]],tabParametros[#Headers],0),0)</f>
        <v>345.13576638965827</v>
      </c>
      <c r="BK143" s="22">
        <f>VLOOKUP(tabCustoUnit[[#This Row],[Código do Posto]],tabParametros[],MATCH(tabCustoUnit[[#Headers],[Outros (especificar)]],tabParametros[#Headers],0),0)</f>
        <v>0</v>
      </c>
      <c r="BL143" s="22">
        <f>SUM(tabCustoUnit[[#This Row],[Uniformes e EPIs]:[Outros (especificar)]])</f>
        <v>457.96623649302967</v>
      </c>
      <c r="BM143" s="22">
        <f>tabCustoUnit[[#This Row],[MODULO 1 - REMUNERAÇÃO ]]+tabCustoUnit[[#This Row],[MÓDULO 2 - Total Encargos e Benefícios mensais e diários]]+tabCustoUnit[[#This Row],[MÓDULO 3 – PROVISÃO PARA RESCISÃO]]+tabCustoUnit[[#This Row],[MÓDULO 4 – CUSTO DE REPOSIÇÃO DO PROFISSIONAL AUSENTE]]+tabCustoUnit[[#This Row],[MÓDULO 5 – INSUMOS DIVERSOS]]</f>
        <v>2711.4864025844672</v>
      </c>
      <c r="BN143" s="22">
        <f>VLOOKUP(tabCustoUnit[[#This Row],[Código do Posto]],tabParametros[],MATCH(tabCustoUnit[[#Headers],[Custos Indiretos]],tabParametros[#Headers],0),0)</f>
        <v>189.64880140242613</v>
      </c>
      <c r="BO143" s="22">
        <f>VLOOKUP(tabCustoUnit[[#This Row],[Código do Posto]],tabParametros[],MATCH(tabCustoUnit[[#Headers],[Lucro]],tabParametros[#Headers],0),0)</f>
        <v>159.30499317803796</v>
      </c>
      <c r="BP143" s="26">
        <f>((100/((1-tabCustoUnit[[#This Row],[Resumo de Alíquotas (PIS+CONFINS+ISS)]]))-100)*VLOOKUP(tabCustoUnit[[#This Row],[Código do Posto]],tabParametros[],MATCH(tabCustoUnit[[#Headers],[COFINS]],tabParametros[#Headers],0),0))/(tabCustoUnit[[#This Row],[Resumo de Alíquotas (PIS+CONFINS+ISS)]]*100)</f>
        <v>8.6609686609686695E-2</v>
      </c>
      <c r="BQ143" s="26">
        <f>((100/((100-(tabCustoUnit[[#This Row],[Resumo de Alíquotas (PIS+CONFINS+ISS)]]*100))%)-100)*VLOOKUP(tabCustoUnit[[#This Row],[Código do Posto]],tabParametros[],MATCH(tabCustoUnit[[#Headers],[PIS]],tabParametros[#Headers],0),0))/(tabCustoUnit[[#This Row],[Resumo de Alíquotas (PIS+CONFINS+ISS)]]*100)</f>
        <v>1.880341880341882E-2</v>
      </c>
      <c r="BR143" s="28">
        <f>VLOOKUP(tabCustoUnit[[#This Row],[Código do Posto]],tabParametros[],MATCH(tabCustoUnit[[#Headers],[ISS]],tabParametros[#Headers],0),0)</f>
        <v>0.03</v>
      </c>
      <c r="BS143" s="26">
        <f>(((100/((100-(tabCustoUnit[[#This Row],[Resumo de Alíquotas (PIS+CONFINS+ISS)]]*100))%)-100)*tabCustoUnit[[#This Row],[ISS]])/tabCustoUnit[[#This Row],[Resumo de Alíquotas (PIS+CONFINS+ISS)]])/100</f>
        <v>3.4188034188034219E-2</v>
      </c>
      <c r="BT143" s="26">
        <f>(VLOOKUP(tabCustoUnit[[#This Row],[Código do Posto]],tabParametros[],MATCH(tabCustoUnit[[#Headers],[COFINS]],tabParametros[#Headers],0),0)+
VLOOKUP(tabCustoUnit[[#This Row],[Código do Posto]],tabParametros[],MATCH(tabCustoUnit[[#Headers],[PIS]],tabParametros[#Headers],0),0)+
VLOOKUP(tabCustoUnit[[#This Row],[Código do Posto]],tabParametros[],MATCH(tabCustoUnit[[#Headers],[ISS]],tabParametros[#Headers],0),0))</f>
        <v>0.1225</v>
      </c>
      <c r="BU143" s="138">
        <f>tabCustoUnit[[#This Row],[COFINS]]+tabCustoUnit[[#This Row],[PIS]]+tabCustoUnit[[#This Row],[ISS (Conversão Alíquota s/ fatura)]]</f>
        <v>0.13960113960113973</v>
      </c>
      <c r="BV143" s="22">
        <f>(tabCustoUnit[[#This Row],[TOTAL MÓDULOS 1+2+3+4+5]]+tabCustoUnit[[#This Row],[Custos Indiretos]]+tabCustoUnit[[#This Row],[Lucro]])*tabCustoUnit[[#This Row],[PIS + COFINS + ISS (Total Conversão  Alíquota s/ Fatura)]]</f>
        <v>427.2409392053612</v>
      </c>
      <c r="BW143" s="22">
        <f>tabCustoUnit[[#This Row],[Custos Indiretos]]+tabCustoUnit[[#This Row],[Lucro]]+tabCustoUnit[[#This Row],[Valor dos Tributos (ISS, PIS, CONFINS)]]</f>
        <v>776.19473378582529</v>
      </c>
      <c r="BX143" s="22">
        <f>tabCustoUnit[[#This Row],[TOTAL MÓDULOS 1+2+3+4+5]]+tabCustoUnit[[#This Row],[MÓDULO 6 – CUSTOS INDIRETOS, TRIBUTOS E LUCRO]]</f>
        <v>3487.6811363702927</v>
      </c>
      <c r="BY143" s="22">
        <f>tabCustoUnit[[#This Row],[CUSTO TOTAL MENSAL]]*12</f>
        <v>41852.173636443513</v>
      </c>
      <c r="BZ143" s="24">
        <f>VLOOKUP(tabCustoUnit[[#This Row],[Código do Posto]],tabParametros[],MATCH(tabCustoUnit[[#Headers],[ANO DA CCT]],tabParametros[#Headers],0),0)</f>
        <v>45658</v>
      </c>
      <c r="CA143" s="25" t="str">
        <f>VLOOKUP(tabCustoUnit[[#This Row],[Código do Posto]],tabParametros[],MATCH(tabCustoUnit[[#Headers],[Nº DE PEDIDO DA CCT]],tabParametros[#Headers],0),0)</f>
        <v>-</v>
      </c>
      <c r="CB143" s="25" t="str">
        <f>VLOOKUP(tabCustoUnit[[#This Row],[Código do Posto]],tabParametros[],MATCH(tabCustoUnit[[#Headers],[TERMO ADITIVO ALTERAÇÃO DA CCT]],tabParametros[#Headers],0),0)</f>
        <v>-</v>
      </c>
    </row>
    <row r="144" spans="1:80" x14ac:dyDescent="0.25">
      <c r="A144" s="20" t="s">
        <v>1480</v>
      </c>
      <c r="B144" t="s">
        <v>129</v>
      </c>
      <c r="C144" t="s">
        <v>1245</v>
      </c>
      <c r="D144" t="s">
        <v>1023</v>
      </c>
      <c r="E144" s="20" t="s">
        <v>9</v>
      </c>
      <c r="F144" s="20" t="s">
        <v>10</v>
      </c>
      <c r="G144" s="21">
        <v>1596.28</v>
      </c>
      <c r="H144" s="21">
        <v>0</v>
      </c>
      <c r="I144" s="21">
        <v>0</v>
      </c>
      <c r="J144" s="21">
        <v>0</v>
      </c>
      <c r="K144" s="21">
        <v>0</v>
      </c>
      <c r="L144" s="21">
        <v>0</v>
      </c>
      <c r="M144" s="21">
        <v>0</v>
      </c>
      <c r="N144" s="21">
        <v>52.241900000000001</v>
      </c>
      <c r="O144" s="21">
        <f>SUM(tabCustoUnit[[#This Row],[Salário Base]:[Adicional de Acúmulo de função]])</f>
        <v>1648.5219</v>
      </c>
      <c r="P144" s="21">
        <f>tabCustoUnit[[#This Row],[MODULO 1 - REMUNERAÇÃO ]]*SUMIFS(tabParametros[INSS],tabParametros[Código do Posto],tabCustoUnit[[#This Row],[Código do Posto]])</f>
        <v>329.70438000000001</v>
      </c>
      <c r="Q144" s="21">
        <f>tabCustoUnit[[#This Row],[MODULO 1 - REMUNERAÇÃO ]]*SUMIFS(tabParametros[SESI OU SESC],tabParametros[Código do Posto],tabCustoUnit[[#This Row],[Código do Posto]])</f>
        <v>24.727828499999998</v>
      </c>
      <c r="R144" s="21">
        <f>tabCustoUnit[[#This Row],[MODULO 1 - REMUNERAÇÃO ]]*SUMIFS(tabParametros[SENAI OU SENAC],tabParametros[Código do Posto],tabCustoUnit[[#This Row],[Código do Posto]])</f>
        <v>16.485219000000001</v>
      </c>
      <c r="S144" s="21">
        <f>tabCustoUnit[[#This Row],[MODULO 1 - REMUNERAÇÃO ]]*SUMIFS(tabParametros[INCRA],tabParametros[Código do Posto],tabCustoUnit[[#This Row],[Código do Posto]])</f>
        <v>3.2970438</v>
      </c>
      <c r="T144" s="21">
        <f>tabCustoUnit[[#This Row],[MODULO 1 - REMUNERAÇÃO ]]*SUMIFS(tabParametros[Salário Educação],tabParametros[Código do Posto],tabCustoUnit[[#This Row],[Código do Posto]])</f>
        <v>41.213047500000002</v>
      </c>
      <c r="U144" s="21">
        <f>tabCustoUnit[[#This Row],[MODULO 1 - REMUNERAÇÃO ]]*SUMIFS(tabParametros[FGTS],tabParametros[Código do Posto],tabCustoUnit[[#This Row],[Código do Posto]])</f>
        <v>131.88175200000001</v>
      </c>
      <c r="V144" s="21">
        <f>tabCustoUnit[[#This Row],[MODULO 1 - REMUNERAÇÃO ]]*SUMIFS(tabParametros[RAT Ajustado],tabParametros[Código do Posto],tabCustoUnit[[#This Row],[Código do Posto]])</f>
        <v>65.940876000000003</v>
      </c>
      <c r="W144" s="21">
        <f>tabCustoUnit[[#This Row],[MODULO 1 - REMUNERAÇÃO ]]*SUMIFS(tabParametros[SEBRAE],tabParametros[Código do Posto],tabCustoUnit[[#This Row],[Código do Posto]])</f>
        <v>9.8911314000000008</v>
      </c>
      <c r="X144" s="21">
        <f>SUM(tabCustoUnit[[#This Row],[INSS]:[SEBRAE]])</f>
        <v>623.14127819999999</v>
      </c>
      <c r="Y144" s="21">
        <f>tabCustoUnit[[#This Row],[MODULO 1 - REMUNERAÇÃO ]]*SUMIFS(tabParametros[13º salário (titular)],tabParametros[Código do Posto],tabCustoUnit[[#This Row],[Código do Posto]])</f>
        <v>137.376825</v>
      </c>
      <c r="Z144" s="21">
        <f>tabCustoUnit[[#This Row],[MODULO 1 - REMUNERAÇÃO ]]*SUMIFS(tabParametros[Férias e Adicional de Férias (titular)],tabParametros[Código do Posto],tabCustoUnit[[#This Row],[Código do Posto]])</f>
        <v>183.16909999999999</v>
      </c>
      <c r="AA144" s="21">
        <f>IFERROR((tabCustoUnit[[#This Row],[Submódulo 2.1]]/tabCustoUnit[[#This Row],[MODULO 1 - REMUNERAÇÃO ]])*SUM(tabCustoUnit[[#This Row],[13º salário (titular)]:[Férias e Adicional de Férias (titular)]]),0)</f>
        <v>121.16635965</v>
      </c>
      <c r="AB144" s="21">
        <f>SUM(tabCustoUnit[[#This Row],[13º salário (titular)]:[Incidência do Submódulo 2.1 sobre 13º Salário, Férias e Adicional de Férias]])</f>
        <v>441.71228465000002</v>
      </c>
      <c r="AC144" s="22">
        <f>_xlfn.LET(_xlpm.VT,SUMIF(tabParametros[Código do Posto],tabCustoUnit[[#This Row],[Código do Posto]],tabParametros[Vale - Transporte])*2*20,
IF((_xlpm.VT-tabCustoUnit[[#This Row],[Salário Base]]*0.06)&gt;=0,(_xlpm.VT-tabCustoUnit[[#This Row],[Salário Base]]*0.06),0)
)</f>
        <v>160.22320000000002</v>
      </c>
      <c r="AD144" s="22">
        <f>IF(SUMIF(tabParametros[Código do Posto],tabCustoUnit[[#This Row],[Código do Posto]],tabParametros[Vale - Alimentação])&lt;=0,0,
SUMIF(tabParametros[Código do Posto],tabCustoUnit[[#This Row],[Código do Posto]],tabParametros[Vale - Alimentação])*20-1)</f>
        <v>582</v>
      </c>
      <c r="AE144" s="22">
        <f>SUMIF(tabParametros[Código do Posto],tabCustoUnit[[#This Row],[Código do Posto]],tabParametros[Cesta Básica])</f>
        <v>0</v>
      </c>
      <c r="AF144" s="22">
        <f>SUMIF(tabParametros[Código do Posto],tabCustoUnit[[#This Row],[Código do Posto]],tabParametros[PAF])</f>
        <v>53.27</v>
      </c>
      <c r="AG144" s="22">
        <f>SUMIF(tabParametros[Código do Posto],tabCustoUnit[[#This Row],[Código do Posto]],tabParametros[PQM])</f>
        <v>0</v>
      </c>
      <c r="AH144" s="22">
        <f>SUMIF(tabParametros[Código do Posto],tabCustoUnit[[#This Row],[Código do Posto]],tabParametros[PAT])</f>
        <v>0</v>
      </c>
      <c r="AI144" s="22">
        <f>SUMIF(tabParametros[Código do Posto],tabCustoUnit[[#This Row],[Código do Posto]],tabParametros[Seguro de Vida])</f>
        <v>3.36</v>
      </c>
      <c r="AJ144" s="22">
        <f>SUMIF(tabParametros[Código do Posto],tabCustoUnit[[#This Row],[Código do Posto]],tabParametros[Despesas de Viagem])</f>
        <v>0</v>
      </c>
      <c r="AK144" s="22">
        <f>SUM(tabCustoUnit[[#This Row],[Vale - Transporte (Descontada parcela do empregado)]:[Despesas de Viagem]])</f>
        <v>798.85320000000002</v>
      </c>
      <c r="AL144" s="22">
        <f>tabCustoUnit[[#This Row],[Submódulo 2.1]]+tabCustoUnit[[#This Row],[Submódulo 2.2]]+tabCustoUnit[[#This Row],[Submódulo 2.3]]</f>
        <v>1863.7067628499999</v>
      </c>
      <c r="AM144" s="22">
        <f>SUMIF(tabParametros[Código do Posto],tabCustoUnit[[#This Row],[Código do Posto]],tabParametros[Aviso Prévio Indenizado (API) e Reflexo do Aviso Prévio Indenizado])*tabCustoUnit[[#This Row],[MODULO 1 - REMUNERAÇÃO ]]</f>
        <v>11.559051416493055</v>
      </c>
      <c r="AN144" s="22">
        <f>SUMIF(tabParametros[Código do Posto],tabCustoUnit[[#This Row],[Código do Posto]],tabParametros[Incidência do FGTS sobre API e Reflexo do API])*tabCustoUnit[[#This Row],[MODULO 1 - REMUNERAÇÃO ]]</f>
        <v>0.92472411331944449</v>
      </c>
      <c r="AO144" s="22">
        <f>SUMIF(tabParametros[Código do Posto],tabCustoUnit[[#This Row],[Código do Posto]],tabParametros[Multa Rescisória do FGTS sobre o Aviso Prévio Indenizado])*tabCustoUnit[[#This Row],[MODULO 1 - REMUNERAÇÃO ]]</f>
        <v>0.36988964532777785</v>
      </c>
      <c r="AP144" s="22">
        <f>SUMIF(tabParametros[Código do Posto],tabCustoUnit[[#This Row],[Código do Posto]],tabParametros[Aviso Prévio Trabalhado - APT])*tabCustoUnit[[#This Row],[MODULO 1 - REMUNERAÇÃO ]]</f>
        <v>5.7698266500000006</v>
      </c>
      <c r="AQ144" s="22">
        <f>SUMIF(tabParametros[Código do Posto],tabCustoUnit[[#This Row],[Código do Posto]],tabParametros[Incidência dos encargos do submódulo 2.1 sobre Aviso Prévio Trabalhado])*tabCustoUnit[[#This Row],[MODULO 1 - REMUNERAÇÃO ]]</f>
        <v>2.1809944737000007</v>
      </c>
      <c r="AR144" s="22">
        <f>SUMIF(tabParametros[Código do Posto],tabCustoUnit[[#This Row],[Código do Posto]],tabParametros[Multa Rescisória do FGTS])*tabCustoUnit[[#This Row],[MODULO 1 - REMUNERAÇÃO ]]</f>
        <v>50.40813631999999</v>
      </c>
      <c r="AS144" s="22">
        <f>SUMIF(tabParametros[Código do Posto],tabCustoUnit[[#This Row],[Código do Posto]],tabParametros[Indenização Adicional (Art. 9º da Lei nº 7.238/84)])*tabCustoUnit[[#This Row],[MODULO 1 - REMUNERAÇÃO ]]</f>
        <v>1.3737682500000001</v>
      </c>
      <c r="AT144" s="22">
        <f>SUM(tabCustoUnit[[#This Row],[Aviso Prévio Indenizado (API) e Reflexo do Aviso Prévio Indenizado]:[Indenização Adicional (Art. 9º da Lei nº 7.238/84)]])</f>
        <v>72.586390868840269</v>
      </c>
      <c r="AU144" s="22">
        <f>SUMIF(tabParametros[Código do Posto],tabCustoUnit[[#This Row],[Código do Posto]],tabParametros[Ausência por Doença])*tabCustoUnit[[#This Row],[MODULO 1 - REMUNERAÇÃO ]]</f>
        <v>13.920851599999999</v>
      </c>
      <c r="AV144" s="22">
        <f>SUMIF(tabParametros[Código do Posto],tabCustoUnit[[#This Row],[Código do Posto]],tabParametros[Ausências Legais])*tabCustoUnit[[#This Row],[MODULO 1 - REMUNERAÇÃO ]]</f>
        <v>3.3428360749999997</v>
      </c>
      <c r="AW144" s="22">
        <f>SUMIF(tabParametros[Código do Posto],tabCustoUnit[[#This Row],[Código do Posto]],tabParametros[Licença Paternidade])*tabCustoUnit[[#This Row],[MODULO 1 - REMUNERAÇÃO ]]</f>
        <v>0.28162249125</v>
      </c>
      <c r="AX144" s="22">
        <f>SUMIF(tabParametros[Código do Posto],tabCustoUnit[[#This Row],[Código do Posto]],tabParametros[Ausência por Acidente de Trabalho])*tabCustoUnit[[#This Row],[MODULO 1 - REMUNERAÇÃO ]]</f>
        <v>0.34344206250000003</v>
      </c>
      <c r="AY144" s="22">
        <f>SUMIF(tabParametros[Código do Posto],tabCustoUnit[[#This Row],[Código do Posto]],tabParametros[Férias, Adicional de Férias e 13º  com empregada em gozo de Licença Maternidade])*tabCustoUnit[[#This Row],[MODULO 1 - REMUNERAÇÃO ]]</f>
        <v>2.1369728333333331</v>
      </c>
      <c r="AZ144" s="22">
        <f>SUMIF(tabParametros[Código do Posto],tabCustoUnit[[#This Row],[Código do Posto]],tabParametros[Incidência do Submódulo 2.1 sobre Ausências Legais])*tabCustoUnit[[#This Row],[MODULO 1 - REMUNERAÇÃO ]]</f>
        <v>7.5697240734675013</v>
      </c>
      <c r="BA144" s="22">
        <f>SUM(tabCustoUnit[[#This Row],[Ausência por Doença]:[Incidência do Submódulo 2.1 sobre Ausências Legais]])</f>
        <v>27.595449135550833</v>
      </c>
      <c r="BB144" s="22">
        <f>SUMIF(tabParametros[Código do Posto],tabCustoUnit[[#This Row],[Código do Posto]],tabParametros[Intervalo para Repouso ou Alimentação])</f>
        <v>0</v>
      </c>
      <c r="BC144" s="22">
        <f>tabCustoUnit[[#This Row],[Intervalo para Repouso ou Alimentação]]</f>
        <v>0</v>
      </c>
      <c r="BD144" s="22">
        <f>IF(VLOOKUP(tabCustoUnit[[#This Row],[Código do Posto]],PARAMETROS!$A$4:$BJ$255,7,0)&lt;=0,0,
IFERROR((tabCustoUnit[[#This Row],[MODULO 1 - REMUNERAÇÃO ]]*VLOOKUP(tabCustoUnit[[#This Row],[Código do Posto]],PARAMETROS!$A$4:$BJ$255,49,0))/(VLOOKUP(tabCustoUnit[[#This Row],[Código do Posto]],PARAMETROS!$A$4:$BJ$255,7,0)*VLOOKUP(tabCustoUnit[[#This Row],[Código do Posto]],PARAMETROS!$A$4:$BJ$255,8,0)),0)
)</f>
        <v>0</v>
      </c>
      <c r="BE144" s="22">
        <f>tabCustoUnit[[#This Row],[Suspensão Temporária do Contrato de Trabalho]]</f>
        <v>0</v>
      </c>
      <c r="BF144" s="22">
        <f>tabCustoUnit[[#This Row],[Submódulo 4.1]]+tabCustoUnit[[#This Row],[Submódulo 4.2]]+tabCustoUnit[[#This Row],[Submódulo 4.3]]</f>
        <v>27.595449135550833</v>
      </c>
      <c r="BG144" s="22">
        <f>VLOOKUP(tabCustoUnit[[#This Row],[Código do Posto]],tabParametros[],MATCH(tabCustoUnit[[#Headers],[Uniformes e EPIs]],tabParametros[#Headers],0),0)</f>
        <v>100.80916666666666</v>
      </c>
      <c r="BH144" s="22">
        <f>VLOOKUP(tabCustoUnit[[#This Row],[Código do Posto]],tabParametros[],MATCH(tabCustoUnit[[#Headers],[Materiais de Consumo]],tabParametros[#Headers],0),0)</f>
        <v>35.518212958583888</v>
      </c>
      <c r="BI144" s="22">
        <f>VLOOKUP(tabCustoUnit[[#This Row],[Código do Posto]],tabParametros[],MATCH(tabCustoUnit[[#Headers],[Máquinas e Equipamentos (depreciação)]],tabParametros[#Headers],0),0)</f>
        <v>64.529393914825576</v>
      </c>
      <c r="BJ144" s="22">
        <f>VLOOKUP(tabCustoUnit[[#This Row],[Código do Posto]],tabParametros[],MATCH(tabCustoUnit[[#Headers],[Produtos de Limpeza e Materiais de Higiene Pessoal]],tabParametros[#Headers],0),0)</f>
        <v>690.27153277931654</v>
      </c>
      <c r="BK144" s="22">
        <f>VLOOKUP(tabCustoUnit[[#This Row],[Código do Posto]],tabParametros[],MATCH(tabCustoUnit[[#Headers],[Outros (especificar)]],tabParametros[#Headers],0),0)</f>
        <v>0</v>
      </c>
      <c r="BL144" s="22">
        <f>SUM(tabCustoUnit[[#This Row],[Uniformes e EPIs]:[Outros (especificar)]])</f>
        <v>891.12830631939266</v>
      </c>
      <c r="BM144" s="22">
        <f>tabCustoUnit[[#This Row],[MODULO 1 - REMUNERAÇÃO ]]+tabCustoUnit[[#This Row],[MÓDULO 2 - Total Encargos e Benefícios mensais e diários]]+tabCustoUnit[[#This Row],[MÓDULO 3 – PROVISÃO PARA RESCISÃO]]+tabCustoUnit[[#This Row],[MÓDULO 4 – CUSTO DE REPOSIÇÃO DO PROFISSIONAL AUSENTE]]+tabCustoUnit[[#This Row],[MÓDULO 5 – INSUMOS DIVERSOS]]</f>
        <v>4503.5388091737832</v>
      </c>
      <c r="BN144" s="22">
        <f>VLOOKUP(tabCustoUnit[[#This Row],[Código do Posto]],tabParametros[],MATCH(tabCustoUnit[[#Headers],[Custos Indiretos]],tabParametros[#Headers],0),0)</f>
        <v>189.64880140242613</v>
      </c>
      <c r="BO144" s="22">
        <f>VLOOKUP(tabCustoUnit[[#This Row],[Código do Posto]],tabParametros[],MATCH(tabCustoUnit[[#Headers],[Lucro]],tabParametros[#Headers],0),0)</f>
        <v>159.30499317803796</v>
      </c>
      <c r="BP144" s="26">
        <f>((100/((1-tabCustoUnit[[#This Row],[Resumo de Alíquotas (PIS+CONFINS+ISS)]]))-100)*VLOOKUP(tabCustoUnit[[#This Row],[Código do Posto]],tabParametros[],MATCH(tabCustoUnit[[#Headers],[COFINS]],tabParametros[#Headers],0),0))/(tabCustoUnit[[#This Row],[Resumo de Alíquotas (PIS+CONFINS+ISS)]]*100)</f>
        <v>8.6609686609686695E-2</v>
      </c>
      <c r="BQ144" s="26">
        <f>((100/((100-(tabCustoUnit[[#This Row],[Resumo de Alíquotas (PIS+CONFINS+ISS)]]*100))%)-100)*VLOOKUP(tabCustoUnit[[#This Row],[Código do Posto]],tabParametros[],MATCH(tabCustoUnit[[#Headers],[PIS]],tabParametros[#Headers],0),0))/(tabCustoUnit[[#This Row],[Resumo de Alíquotas (PIS+CONFINS+ISS)]]*100)</f>
        <v>1.880341880341882E-2</v>
      </c>
      <c r="BR144" s="28">
        <f>VLOOKUP(tabCustoUnit[[#This Row],[Código do Posto]],tabParametros[],MATCH(tabCustoUnit[[#Headers],[ISS]],tabParametros[#Headers],0),0)</f>
        <v>0.03</v>
      </c>
      <c r="BS144" s="26">
        <f>(((100/((100-(tabCustoUnit[[#This Row],[Resumo de Alíquotas (PIS+CONFINS+ISS)]]*100))%)-100)*tabCustoUnit[[#This Row],[ISS]])/tabCustoUnit[[#This Row],[Resumo de Alíquotas (PIS+CONFINS+ISS)]])/100</f>
        <v>3.4188034188034219E-2</v>
      </c>
      <c r="BT144" s="26">
        <f>(VLOOKUP(tabCustoUnit[[#This Row],[Código do Posto]],tabParametros[],MATCH(tabCustoUnit[[#Headers],[COFINS]],tabParametros[#Headers],0),0)+
VLOOKUP(tabCustoUnit[[#This Row],[Código do Posto]],tabParametros[],MATCH(tabCustoUnit[[#Headers],[PIS]],tabParametros[#Headers],0),0)+
VLOOKUP(tabCustoUnit[[#This Row],[Código do Posto]],tabParametros[],MATCH(tabCustoUnit[[#Headers],[ISS]],tabParametros[#Headers],0),0))</f>
        <v>0.1225</v>
      </c>
      <c r="BU144" s="138">
        <f>tabCustoUnit[[#This Row],[COFINS]]+tabCustoUnit[[#This Row],[PIS]]+tabCustoUnit[[#This Row],[ISS (Conversão Alíquota s/ fatura)]]</f>
        <v>0.13960113960113973</v>
      </c>
      <c r="BV144" s="22">
        <f>(tabCustoUnit[[#This Row],[TOTAL MÓDULOS 1+2+3+4+5]]+tabCustoUnit[[#This Row],[Custos Indiretos]]+tabCustoUnit[[#This Row],[Lucro]])*tabCustoUnit[[#This Row],[PIS + COFINS + ISS (Total Conversão  Alíquota s/ Fatura)]]</f>
        <v>677.41349739019472</v>
      </c>
      <c r="BW144" s="22">
        <f>tabCustoUnit[[#This Row],[Custos Indiretos]]+tabCustoUnit[[#This Row],[Lucro]]+tabCustoUnit[[#This Row],[Valor dos Tributos (ISS, PIS, CONFINS)]]</f>
        <v>1026.3672919706587</v>
      </c>
      <c r="BX144" s="22">
        <f>tabCustoUnit[[#This Row],[TOTAL MÓDULOS 1+2+3+4+5]]+tabCustoUnit[[#This Row],[MÓDULO 6 – CUSTOS INDIRETOS, TRIBUTOS E LUCRO]]</f>
        <v>5529.9061011444419</v>
      </c>
      <c r="BY144" s="22">
        <f>tabCustoUnit[[#This Row],[CUSTO TOTAL MENSAL]]*12</f>
        <v>66358.873213733299</v>
      </c>
      <c r="BZ144" s="24">
        <f>VLOOKUP(tabCustoUnit[[#This Row],[Código do Posto]],tabParametros[],MATCH(tabCustoUnit[[#Headers],[ANO DA CCT]],tabParametros[#Headers],0),0)</f>
        <v>45658</v>
      </c>
      <c r="CA144" s="25" t="str">
        <f>VLOOKUP(tabCustoUnit[[#This Row],[Código do Posto]],tabParametros[],MATCH(tabCustoUnit[[#Headers],[Nº DE PEDIDO DA CCT]],tabParametros[#Headers],0),0)</f>
        <v>-</v>
      </c>
      <c r="CB144" s="25" t="str">
        <f>VLOOKUP(tabCustoUnit[[#This Row],[Código do Posto]],tabParametros[],MATCH(tabCustoUnit[[#Headers],[TERMO ADITIVO ALTERAÇÃO DA CCT]],tabParametros[#Headers],0),0)</f>
        <v>-</v>
      </c>
    </row>
    <row r="145" spans="1:80" x14ac:dyDescent="0.25">
      <c r="A145" s="20" t="s">
        <v>1481</v>
      </c>
      <c r="B145" t="s">
        <v>130</v>
      </c>
      <c r="C145" t="s">
        <v>1247</v>
      </c>
      <c r="D145" t="s">
        <v>1010</v>
      </c>
      <c r="E145" s="20" t="s">
        <v>9</v>
      </c>
      <c r="F145" s="20" t="s">
        <v>10</v>
      </c>
      <c r="G145" s="21">
        <v>544.17999999999995</v>
      </c>
      <c r="H145" s="21">
        <v>0</v>
      </c>
      <c r="I145" s="21">
        <v>0</v>
      </c>
      <c r="J145" s="21">
        <v>0</v>
      </c>
      <c r="K145" s="21">
        <v>0</v>
      </c>
      <c r="L145" s="21">
        <v>0</v>
      </c>
      <c r="M145" s="21">
        <v>0</v>
      </c>
      <c r="N145" s="21">
        <v>19.590499999999999</v>
      </c>
      <c r="O145" s="21">
        <f>SUM(tabCustoUnit[[#This Row],[Salário Base]:[Adicional de Acúmulo de função]])</f>
        <v>563.77049999999997</v>
      </c>
      <c r="P145" s="21">
        <f>tabCustoUnit[[#This Row],[MODULO 1 - REMUNERAÇÃO ]]*SUMIFS(tabParametros[INSS],tabParametros[Código do Posto],tabCustoUnit[[#This Row],[Código do Posto]])</f>
        <v>112.75409999999999</v>
      </c>
      <c r="Q145" s="21">
        <f>tabCustoUnit[[#This Row],[MODULO 1 - REMUNERAÇÃO ]]*SUMIFS(tabParametros[SESI OU SESC],tabParametros[Código do Posto],tabCustoUnit[[#This Row],[Código do Posto]])</f>
        <v>8.4565574999999988</v>
      </c>
      <c r="R145" s="21">
        <f>tabCustoUnit[[#This Row],[MODULO 1 - REMUNERAÇÃO ]]*SUMIFS(tabParametros[SENAI OU SENAC],tabParametros[Código do Posto],tabCustoUnit[[#This Row],[Código do Posto]])</f>
        <v>5.6377049999999995</v>
      </c>
      <c r="S145" s="21">
        <f>tabCustoUnit[[#This Row],[MODULO 1 - REMUNERAÇÃO ]]*SUMIFS(tabParametros[INCRA],tabParametros[Código do Posto],tabCustoUnit[[#This Row],[Código do Posto]])</f>
        <v>1.1275409999999999</v>
      </c>
      <c r="T145" s="21">
        <f>tabCustoUnit[[#This Row],[MODULO 1 - REMUNERAÇÃO ]]*SUMIFS(tabParametros[Salário Educação],tabParametros[Código do Posto],tabCustoUnit[[#This Row],[Código do Posto]])</f>
        <v>14.094262499999999</v>
      </c>
      <c r="U145" s="21">
        <f>tabCustoUnit[[#This Row],[MODULO 1 - REMUNERAÇÃO ]]*SUMIFS(tabParametros[FGTS],tabParametros[Código do Posto],tabCustoUnit[[#This Row],[Código do Posto]])</f>
        <v>45.101639999999996</v>
      </c>
      <c r="V145" s="21">
        <f>tabCustoUnit[[#This Row],[MODULO 1 - REMUNERAÇÃO ]]*SUMIFS(tabParametros[RAT Ajustado],tabParametros[Código do Posto],tabCustoUnit[[#This Row],[Código do Posto]])</f>
        <v>22.550819999999998</v>
      </c>
      <c r="W145" s="21">
        <f>tabCustoUnit[[#This Row],[MODULO 1 - REMUNERAÇÃO ]]*SUMIFS(tabParametros[SEBRAE],tabParametros[Código do Posto],tabCustoUnit[[#This Row],[Código do Posto]])</f>
        <v>3.3826229999999997</v>
      </c>
      <c r="X145" s="21">
        <f>SUM(tabCustoUnit[[#This Row],[INSS]:[SEBRAE]])</f>
        <v>213.10524899999996</v>
      </c>
      <c r="Y145" s="21">
        <f>tabCustoUnit[[#This Row],[MODULO 1 - REMUNERAÇÃO ]]*SUMIFS(tabParametros[13º salário (titular)],tabParametros[Código do Posto],tabCustoUnit[[#This Row],[Código do Posto]])</f>
        <v>46.980874999999997</v>
      </c>
      <c r="Z145" s="21">
        <f>tabCustoUnit[[#This Row],[MODULO 1 - REMUNERAÇÃO ]]*SUMIFS(tabParametros[Férias e Adicional de Férias (titular)],tabParametros[Código do Posto],tabCustoUnit[[#This Row],[Código do Posto]])</f>
        <v>62.641166666666663</v>
      </c>
      <c r="AA145" s="21">
        <f>IFERROR((tabCustoUnit[[#This Row],[Submódulo 2.1]]/tabCustoUnit[[#This Row],[MODULO 1 - REMUNERAÇÃO ]])*SUM(tabCustoUnit[[#This Row],[13º salário (titular)]:[Férias e Adicional de Férias (titular)]]),0)</f>
        <v>41.437131749999992</v>
      </c>
      <c r="AB145" s="21">
        <f>SUM(tabCustoUnit[[#This Row],[13º salário (titular)]:[Incidência do Submódulo 2.1 sobre 13º Salário, Férias e Adicional de Férias]])</f>
        <v>151.05917341666665</v>
      </c>
      <c r="AC145" s="22">
        <f>_xlfn.LET(_xlpm.VT,SUMIF(tabParametros[Código do Posto],tabCustoUnit[[#This Row],[Código do Posto]],tabParametros[Vale - Transporte])*2*20,
IF((_xlpm.VT-tabCustoUnit[[#This Row],[Salário Base]]*0.06)&gt;=0,(_xlpm.VT-tabCustoUnit[[#This Row],[Salário Base]]*0.06),0)
)</f>
        <v>223.3492</v>
      </c>
      <c r="AD145" s="22">
        <f>IF(SUMIF(tabParametros[Código do Posto],tabCustoUnit[[#This Row],[Código do Posto]],tabParametros[Vale - Alimentação])&lt;=0,0,
SUMIF(tabParametros[Código do Posto],tabCustoUnit[[#This Row],[Código do Posto]],tabParametros[Vale - Alimentação])*20-1)</f>
        <v>582</v>
      </c>
      <c r="AE145" s="22">
        <f>SUMIF(tabParametros[Código do Posto],tabCustoUnit[[#This Row],[Código do Posto]],tabParametros[Cesta Básica])</f>
        <v>0</v>
      </c>
      <c r="AF145" s="22">
        <f>SUMIF(tabParametros[Código do Posto],tabCustoUnit[[#This Row],[Código do Posto]],tabParametros[PAF])</f>
        <v>0</v>
      </c>
      <c r="AG145" s="22">
        <f>SUMIF(tabParametros[Código do Posto],tabCustoUnit[[#This Row],[Código do Posto]],tabParametros[PQM])</f>
        <v>0</v>
      </c>
      <c r="AH145" s="22">
        <f>SUMIF(tabParametros[Código do Posto],tabCustoUnit[[#This Row],[Código do Posto]],tabParametros[PAT])</f>
        <v>0</v>
      </c>
      <c r="AI145" s="22">
        <f>SUMIF(tabParametros[Código do Posto],tabCustoUnit[[#This Row],[Código do Posto]],tabParametros[Seguro de Vida])</f>
        <v>3.36</v>
      </c>
      <c r="AJ145" s="22">
        <f>SUMIF(tabParametros[Código do Posto],tabCustoUnit[[#This Row],[Código do Posto]],tabParametros[Despesas de Viagem])</f>
        <v>0</v>
      </c>
      <c r="AK145" s="22">
        <f>SUM(tabCustoUnit[[#This Row],[Vale - Transporte (Descontada parcela do empregado)]:[Despesas de Viagem]])</f>
        <v>808.70920000000001</v>
      </c>
      <c r="AL145" s="22">
        <f>tabCustoUnit[[#This Row],[Submódulo 2.1]]+tabCustoUnit[[#This Row],[Submódulo 2.2]]+tabCustoUnit[[#This Row],[Submódulo 2.3]]</f>
        <v>1172.8736224166666</v>
      </c>
      <c r="AM145" s="22">
        <f>SUMIF(tabParametros[Código do Posto],tabCustoUnit[[#This Row],[Código do Posto]],tabParametros[Aviso Prévio Indenizado (API) e Reflexo do Aviso Prévio Indenizado])*tabCustoUnit[[#This Row],[MODULO 1 - REMUNERAÇÃO ]]</f>
        <v>3.9530273735532404</v>
      </c>
      <c r="AN145" s="22">
        <f>SUMIF(tabParametros[Código do Posto],tabCustoUnit[[#This Row],[Código do Posto]],tabParametros[Incidência do FGTS sobre API e Reflexo do API])*tabCustoUnit[[#This Row],[MODULO 1 - REMUNERAÇÃO ]]</f>
        <v>0.31624218988425928</v>
      </c>
      <c r="AO145" s="22">
        <f>SUMIF(tabParametros[Código do Posto],tabCustoUnit[[#This Row],[Código do Posto]],tabParametros[Multa Rescisória do FGTS sobre o Aviso Prévio Indenizado])*tabCustoUnit[[#This Row],[MODULO 1 - REMUNERAÇÃO ]]</f>
        <v>0.12649687595370371</v>
      </c>
      <c r="AP145" s="22">
        <f>SUMIF(tabParametros[Código do Posto],tabCustoUnit[[#This Row],[Código do Posto]],tabParametros[Aviso Prévio Trabalhado - APT])*tabCustoUnit[[#This Row],[MODULO 1 - REMUNERAÇÃO ]]</f>
        <v>1.9731967500000003</v>
      </c>
      <c r="AQ145" s="22">
        <f>SUMIF(tabParametros[Código do Posto],tabCustoUnit[[#This Row],[Código do Posto]],tabParametros[Incidência dos encargos do submódulo 2.1 sobre Aviso Prévio Trabalhado])*tabCustoUnit[[#This Row],[MODULO 1 - REMUNERAÇÃO ]]</f>
        <v>0.74586837150000018</v>
      </c>
      <c r="AR145" s="22">
        <f>SUMIF(tabParametros[Código do Posto],tabCustoUnit[[#This Row],[Código do Posto]],tabParametros[Multa Rescisória do FGTS])*tabCustoUnit[[#This Row],[MODULO 1 - REMUNERAÇÃO ]]</f>
        <v>17.238849066666663</v>
      </c>
      <c r="AS145" s="22">
        <f>SUMIF(tabParametros[Código do Posto],tabCustoUnit[[#This Row],[Código do Posto]],tabParametros[Indenização Adicional (Art. 9º da Lei nº 7.238/84)])*tabCustoUnit[[#This Row],[MODULO 1 - REMUNERAÇÃO ]]</f>
        <v>0.46980875</v>
      </c>
      <c r="AT145" s="22">
        <f>SUM(tabCustoUnit[[#This Row],[Aviso Prévio Indenizado (API) e Reflexo do Aviso Prévio Indenizado]:[Indenização Adicional (Art. 9º da Lei nº 7.238/84)]])</f>
        <v>24.823489377557866</v>
      </c>
      <c r="AU145" s="22">
        <f>SUMIF(tabParametros[Código do Posto],tabCustoUnit[[#This Row],[Código do Posto]],tabParametros[Ausência por Doença])*tabCustoUnit[[#This Row],[MODULO 1 - REMUNERAÇÃO ]]</f>
        <v>4.7607286666666662</v>
      </c>
      <c r="AV145" s="22">
        <f>SUMIF(tabParametros[Código do Posto],tabCustoUnit[[#This Row],[Código do Posto]],tabParametros[Ausências Legais])*tabCustoUnit[[#This Row],[MODULO 1 - REMUNERAÇÃO ]]</f>
        <v>1.1432012916666665</v>
      </c>
      <c r="AW145" s="22">
        <f>SUMIF(tabParametros[Código do Posto],tabCustoUnit[[#This Row],[Código do Posto]],tabParametros[Licença Paternidade])*tabCustoUnit[[#This Row],[MODULO 1 - REMUNERAÇÃO ]]</f>
        <v>9.6310793749999998E-2</v>
      </c>
      <c r="AX145" s="22">
        <f>SUMIF(tabParametros[Código do Posto],tabCustoUnit[[#This Row],[Código do Posto]],tabParametros[Ausência por Acidente de Trabalho])*tabCustoUnit[[#This Row],[MODULO 1 - REMUNERAÇÃO ]]</f>
        <v>0.1174521875</v>
      </c>
      <c r="AY145" s="22">
        <f>SUMIF(tabParametros[Código do Posto],tabCustoUnit[[#This Row],[Código do Posto]],tabParametros[Férias, Adicional de Férias e 13º  com empregada em gozo de Licença Maternidade])*tabCustoUnit[[#This Row],[MODULO 1 - REMUNERAÇÃO ]]</f>
        <v>0.73081361111111109</v>
      </c>
      <c r="AZ145" s="22">
        <f>SUMIF(tabParametros[Código do Posto],tabCustoUnit[[#This Row],[Código do Posto]],tabParametros[Incidência do Submódulo 2.1 sobre Ausências Legais])*tabCustoUnit[[#This Row],[MODULO 1 - REMUNERAÇÃO ]]</f>
        <v>2.5887354761625003</v>
      </c>
      <c r="BA145" s="22">
        <f>SUM(tabCustoUnit[[#This Row],[Ausência por Doença]:[Incidência do Submódulo 2.1 sobre Ausências Legais]])</f>
        <v>9.4372420268569428</v>
      </c>
      <c r="BB145" s="22">
        <f>SUMIF(tabParametros[Código do Posto],tabCustoUnit[[#This Row],[Código do Posto]],tabParametros[Intervalo para Repouso ou Alimentação])</f>
        <v>0</v>
      </c>
      <c r="BC145" s="22">
        <f>tabCustoUnit[[#This Row],[Intervalo para Repouso ou Alimentação]]</f>
        <v>0</v>
      </c>
      <c r="BD145" s="22">
        <f>IF(VLOOKUP(tabCustoUnit[[#This Row],[Código do Posto]],PARAMETROS!$A$4:$BJ$255,7,0)&lt;=0,0,
IFERROR((tabCustoUnit[[#This Row],[MODULO 1 - REMUNERAÇÃO ]]*VLOOKUP(tabCustoUnit[[#This Row],[Código do Posto]],PARAMETROS!$A$4:$BJ$255,49,0))/(VLOOKUP(tabCustoUnit[[#This Row],[Código do Posto]],PARAMETROS!$A$4:$BJ$255,7,0)*VLOOKUP(tabCustoUnit[[#This Row],[Código do Posto]],PARAMETROS!$A$4:$BJ$255,8,0)),0)
)</f>
        <v>0</v>
      </c>
      <c r="BE145" s="22">
        <f>tabCustoUnit[[#This Row],[Suspensão Temporária do Contrato de Trabalho]]</f>
        <v>0</v>
      </c>
      <c r="BF145" s="22">
        <f>tabCustoUnit[[#This Row],[Submódulo 4.1]]+tabCustoUnit[[#This Row],[Submódulo 4.2]]+tabCustoUnit[[#This Row],[Submódulo 4.3]]</f>
        <v>9.4372420268569428</v>
      </c>
      <c r="BG145" s="22">
        <f>VLOOKUP(tabCustoUnit[[#This Row],[Código do Posto]],tabParametros[],MATCH(tabCustoUnit[[#Headers],[Uniformes e EPIs]],tabParametros[#Headers],0),0)</f>
        <v>62.806666666666665</v>
      </c>
      <c r="BH145" s="22">
        <f>VLOOKUP(tabCustoUnit[[#This Row],[Código do Posto]],tabParametros[],MATCH(tabCustoUnit[[#Headers],[Materiais de Consumo]],tabParametros[#Headers],0),0)</f>
        <v>12.108481690426325</v>
      </c>
      <c r="BI145" s="22">
        <f>VLOOKUP(tabCustoUnit[[#This Row],[Código do Posto]],tabParametros[],MATCH(tabCustoUnit[[#Headers],[Máquinas e Equipamentos (depreciação)]],tabParametros[#Headers],0),0)</f>
        <v>21.998657016417809</v>
      </c>
      <c r="BJ145" s="22">
        <f>VLOOKUP(tabCustoUnit[[#This Row],[Código do Posto]],tabParametros[],MATCH(tabCustoUnit[[#Headers],[Produtos de Limpeza e Materiais de Higiene Pessoal]],tabParametros[#Headers],0),0)</f>
        <v>235.31984072022155</v>
      </c>
      <c r="BK145" s="22">
        <f>VLOOKUP(tabCustoUnit[[#This Row],[Código do Posto]],tabParametros[],MATCH(tabCustoUnit[[#Headers],[Outros (especificar)]],tabParametros[#Headers],0),0)</f>
        <v>0</v>
      </c>
      <c r="BL145" s="22">
        <f>SUM(tabCustoUnit[[#This Row],[Uniformes e EPIs]:[Outros (especificar)]])</f>
        <v>332.23364609373232</v>
      </c>
      <c r="BM145" s="22">
        <f>tabCustoUnit[[#This Row],[MODULO 1 - REMUNERAÇÃO ]]+tabCustoUnit[[#This Row],[MÓDULO 2 - Total Encargos e Benefícios mensais e diários]]+tabCustoUnit[[#This Row],[MÓDULO 3 – PROVISÃO PARA RESCISÃO]]+tabCustoUnit[[#This Row],[MÓDULO 4 – CUSTO DE REPOSIÇÃO DO PROFISSIONAL AUSENTE]]+tabCustoUnit[[#This Row],[MÓDULO 5 – INSUMOS DIVERSOS]]</f>
        <v>2103.1384999148136</v>
      </c>
      <c r="BN145" s="22">
        <f>VLOOKUP(tabCustoUnit[[#This Row],[Código do Posto]],tabParametros[],MATCH(tabCustoUnit[[#Headers],[Custos Indiretos]],tabParametros[#Headers],0),0)</f>
        <v>189.64880140242613</v>
      </c>
      <c r="BO145" s="22">
        <f>VLOOKUP(tabCustoUnit[[#This Row],[Código do Posto]],tabParametros[],MATCH(tabCustoUnit[[#Headers],[Lucro]],tabParametros[#Headers],0),0)</f>
        <v>159.30499317803796</v>
      </c>
      <c r="BP145" s="26">
        <f>((100/((1-tabCustoUnit[[#This Row],[Resumo de Alíquotas (PIS+CONFINS+ISS)]]))-100)*VLOOKUP(tabCustoUnit[[#This Row],[Código do Posto]],tabParametros[],MATCH(tabCustoUnit[[#Headers],[COFINS]],tabParametros[#Headers],0),0))/(tabCustoUnit[[#This Row],[Resumo de Alíquotas (PIS+CONFINS+ISS)]]*100)</f>
        <v>8.6609686609686695E-2</v>
      </c>
      <c r="BQ145" s="26">
        <f>((100/((100-(tabCustoUnit[[#This Row],[Resumo de Alíquotas (PIS+CONFINS+ISS)]]*100))%)-100)*VLOOKUP(tabCustoUnit[[#This Row],[Código do Posto]],tabParametros[],MATCH(tabCustoUnit[[#Headers],[PIS]],tabParametros[#Headers],0),0))/(tabCustoUnit[[#This Row],[Resumo de Alíquotas (PIS+CONFINS+ISS)]]*100)</f>
        <v>1.880341880341882E-2</v>
      </c>
      <c r="BR145" s="28">
        <f>VLOOKUP(tabCustoUnit[[#This Row],[Código do Posto]],tabParametros[],MATCH(tabCustoUnit[[#Headers],[ISS]],tabParametros[#Headers],0),0)</f>
        <v>0.03</v>
      </c>
      <c r="BS145" s="26">
        <f>(((100/((100-(tabCustoUnit[[#This Row],[Resumo de Alíquotas (PIS+CONFINS+ISS)]]*100))%)-100)*tabCustoUnit[[#This Row],[ISS]])/tabCustoUnit[[#This Row],[Resumo de Alíquotas (PIS+CONFINS+ISS)]])/100</f>
        <v>3.4188034188034219E-2</v>
      </c>
      <c r="BT145" s="26">
        <f>(VLOOKUP(tabCustoUnit[[#This Row],[Código do Posto]],tabParametros[],MATCH(tabCustoUnit[[#Headers],[COFINS]],tabParametros[#Headers],0),0)+
VLOOKUP(tabCustoUnit[[#This Row],[Código do Posto]],tabParametros[],MATCH(tabCustoUnit[[#Headers],[PIS]],tabParametros[#Headers],0),0)+
VLOOKUP(tabCustoUnit[[#This Row],[Código do Posto]],tabParametros[],MATCH(tabCustoUnit[[#Headers],[ISS]],tabParametros[#Headers],0),0))</f>
        <v>0.1225</v>
      </c>
      <c r="BU145" s="138">
        <f>tabCustoUnit[[#This Row],[COFINS]]+tabCustoUnit[[#This Row],[PIS]]+tabCustoUnit[[#This Row],[ISS (Conversão Alíquota s/ fatura)]]</f>
        <v>0.13960113960113973</v>
      </c>
      <c r="BV145" s="22">
        <f>(tabCustoUnit[[#This Row],[TOTAL MÓDULOS 1+2+3+4+5]]+tabCustoUnit[[#This Row],[Custos Indiretos]]+tabCustoUnit[[#This Row],[Lucro]])*tabCustoUnit[[#This Row],[PIS + COFINS + ISS (Total Conversão  Alíquota s/ Fatura)]]</f>
        <v>342.31487871871428</v>
      </c>
      <c r="BW145" s="22">
        <f>tabCustoUnit[[#This Row],[Custos Indiretos]]+tabCustoUnit[[#This Row],[Lucro]]+tabCustoUnit[[#This Row],[Valor dos Tributos (ISS, PIS, CONFINS)]]</f>
        <v>691.26867329917832</v>
      </c>
      <c r="BX145" s="22">
        <f>tabCustoUnit[[#This Row],[TOTAL MÓDULOS 1+2+3+4+5]]+tabCustoUnit[[#This Row],[MÓDULO 6 – CUSTOS INDIRETOS, TRIBUTOS E LUCRO]]</f>
        <v>2794.4071732139919</v>
      </c>
      <c r="BY145" s="22">
        <f>tabCustoUnit[[#This Row],[CUSTO TOTAL MENSAL]]*12</f>
        <v>33532.886078567899</v>
      </c>
      <c r="BZ145" s="24">
        <f>VLOOKUP(tabCustoUnit[[#This Row],[Código do Posto]],tabParametros[],MATCH(tabCustoUnit[[#Headers],[ANO DA CCT]],tabParametros[#Headers],0),0)</f>
        <v>45658</v>
      </c>
      <c r="CA145" s="25" t="str">
        <f>VLOOKUP(tabCustoUnit[[#This Row],[Código do Posto]],tabParametros[],MATCH(tabCustoUnit[[#Headers],[Nº DE PEDIDO DA CCT]],tabParametros[#Headers],0),0)</f>
        <v>-</v>
      </c>
      <c r="CB145" s="25" t="str">
        <f>VLOOKUP(tabCustoUnit[[#This Row],[Código do Posto]],tabParametros[],MATCH(tabCustoUnit[[#Headers],[TERMO ADITIVO ALTERAÇÃO DA CCT]],tabParametros[#Headers],0),0)</f>
        <v>-</v>
      </c>
    </row>
    <row r="146" spans="1:80" x14ac:dyDescent="0.25">
      <c r="A146" s="20" t="s">
        <v>1482</v>
      </c>
      <c r="B146" t="s">
        <v>131</v>
      </c>
      <c r="C146" t="s">
        <v>1245</v>
      </c>
      <c r="D146" t="s">
        <v>1023</v>
      </c>
      <c r="E146" s="20" t="s">
        <v>9</v>
      </c>
      <c r="F146" s="20" t="s">
        <v>10</v>
      </c>
      <c r="G146" s="21">
        <v>1596.28</v>
      </c>
      <c r="H146" s="21">
        <v>0</v>
      </c>
      <c r="I146" s="21">
        <v>0</v>
      </c>
      <c r="J146" s="21">
        <v>0</v>
      </c>
      <c r="K146" s="21">
        <v>0</v>
      </c>
      <c r="L146" s="21">
        <v>0</v>
      </c>
      <c r="M146" s="21">
        <v>0</v>
      </c>
      <c r="N146" s="21">
        <v>52.241900000000001</v>
      </c>
      <c r="O146" s="21">
        <f>SUM(tabCustoUnit[[#This Row],[Salário Base]:[Adicional de Acúmulo de função]])</f>
        <v>1648.5219</v>
      </c>
      <c r="P146" s="21">
        <f>tabCustoUnit[[#This Row],[MODULO 1 - REMUNERAÇÃO ]]*SUMIFS(tabParametros[INSS],tabParametros[Código do Posto],tabCustoUnit[[#This Row],[Código do Posto]])</f>
        <v>329.70438000000001</v>
      </c>
      <c r="Q146" s="21">
        <f>tabCustoUnit[[#This Row],[MODULO 1 - REMUNERAÇÃO ]]*SUMIFS(tabParametros[SESI OU SESC],tabParametros[Código do Posto],tabCustoUnit[[#This Row],[Código do Posto]])</f>
        <v>24.727828499999998</v>
      </c>
      <c r="R146" s="21">
        <f>tabCustoUnit[[#This Row],[MODULO 1 - REMUNERAÇÃO ]]*SUMIFS(tabParametros[SENAI OU SENAC],tabParametros[Código do Posto],tabCustoUnit[[#This Row],[Código do Posto]])</f>
        <v>16.485219000000001</v>
      </c>
      <c r="S146" s="21">
        <f>tabCustoUnit[[#This Row],[MODULO 1 - REMUNERAÇÃO ]]*SUMIFS(tabParametros[INCRA],tabParametros[Código do Posto],tabCustoUnit[[#This Row],[Código do Posto]])</f>
        <v>3.2970438</v>
      </c>
      <c r="T146" s="21">
        <f>tabCustoUnit[[#This Row],[MODULO 1 - REMUNERAÇÃO ]]*SUMIFS(tabParametros[Salário Educação],tabParametros[Código do Posto],tabCustoUnit[[#This Row],[Código do Posto]])</f>
        <v>41.213047500000002</v>
      </c>
      <c r="U146" s="21">
        <f>tabCustoUnit[[#This Row],[MODULO 1 - REMUNERAÇÃO ]]*SUMIFS(tabParametros[FGTS],tabParametros[Código do Posto],tabCustoUnit[[#This Row],[Código do Posto]])</f>
        <v>131.88175200000001</v>
      </c>
      <c r="V146" s="21">
        <f>tabCustoUnit[[#This Row],[MODULO 1 - REMUNERAÇÃO ]]*SUMIFS(tabParametros[RAT Ajustado],tabParametros[Código do Posto],tabCustoUnit[[#This Row],[Código do Posto]])</f>
        <v>65.940876000000003</v>
      </c>
      <c r="W146" s="21">
        <f>tabCustoUnit[[#This Row],[MODULO 1 - REMUNERAÇÃO ]]*SUMIFS(tabParametros[SEBRAE],tabParametros[Código do Posto],tabCustoUnit[[#This Row],[Código do Posto]])</f>
        <v>9.8911314000000008</v>
      </c>
      <c r="X146" s="21">
        <f>SUM(tabCustoUnit[[#This Row],[INSS]:[SEBRAE]])</f>
        <v>623.14127819999999</v>
      </c>
      <c r="Y146" s="21">
        <f>tabCustoUnit[[#This Row],[MODULO 1 - REMUNERAÇÃO ]]*SUMIFS(tabParametros[13º salário (titular)],tabParametros[Código do Posto],tabCustoUnit[[#This Row],[Código do Posto]])</f>
        <v>137.376825</v>
      </c>
      <c r="Z146" s="21">
        <f>tabCustoUnit[[#This Row],[MODULO 1 - REMUNERAÇÃO ]]*SUMIFS(tabParametros[Férias e Adicional de Férias (titular)],tabParametros[Código do Posto],tabCustoUnit[[#This Row],[Código do Posto]])</f>
        <v>183.16909999999999</v>
      </c>
      <c r="AA146" s="21">
        <f>IFERROR((tabCustoUnit[[#This Row],[Submódulo 2.1]]/tabCustoUnit[[#This Row],[MODULO 1 - REMUNERAÇÃO ]])*SUM(tabCustoUnit[[#This Row],[13º salário (titular)]:[Férias e Adicional de Férias (titular)]]),0)</f>
        <v>121.16635965</v>
      </c>
      <c r="AB146" s="21">
        <f>SUM(tabCustoUnit[[#This Row],[13º salário (titular)]:[Incidência do Submódulo 2.1 sobre 13º Salário, Férias e Adicional de Férias]])</f>
        <v>441.71228465000002</v>
      </c>
      <c r="AC146" s="22">
        <f>_xlfn.LET(_xlpm.VT,SUMIF(tabParametros[Código do Posto],tabCustoUnit[[#This Row],[Código do Posto]],tabParametros[Vale - Transporte])*2*20,
IF((_xlpm.VT-tabCustoUnit[[#This Row],[Salário Base]]*0.06)&gt;=0,(_xlpm.VT-tabCustoUnit[[#This Row],[Salário Base]]*0.06),0)
)</f>
        <v>160.22320000000002</v>
      </c>
      <c r="AD146" s="22">
        <f>IF(SUMIF(tabParametros[Código do Posto],tabCustoUnit[[#This Row],[Código do Posto]],tabParametros[Vale - Alimentação])&lt;=0,0,
SUMIF(tabParametros[Código do Posto],tabCustoUnit[[#This Row],[Código do Posto]],tabParametros[Vale - Alimentação])*20-1)</f>
        <v>582</v>
      </c>
      <c r="AE146" s="22">
        <f>SUMIF(tabParametros[Código do Posto],tabCustoUnit[[#This Row],[Código do Posto]],tabParametros[Cesta Básica])</f>
        <v>0</v>
      </c>
      <c r="AF146" s="22">
        <f>SUMIF(tabParametros[Código do Posto],tabCustoUnit[[#This Row],[Código do Posto]],tabParametros[PAF])</f>
        <v>0</v>
      </c>
      <c r="AG146" s="22">
        <f>SUMIF(tabParametros[Código do Posto],tabCustoUnit[[#This Row],[Código do Posto]],tabParametros[PQM])</f>
        <v>0</v>
      </c>
      <c r="AH146" s="22">
        <f>SUMIF(tabParametros[Código do Posto],tabCustoUnit[[#This Row],[Código do Posto]],tabParametros[PAT])</f>
        <v>0</v>
      </c>
      <c r="AI146" s="22">
        <f>SUMIF(tabParametros[Código do Posto],tabCustoUnit[[#This Row],[Código do Posto]],tabParametros[Seguro de Vida])</f>
        <v>3.36</v>
      </c>
      <c r="AJ146" s="22">
        <f>SUMIF(tabParametros[Código do Posto],tabCustoUnit[[#This Row],[Código do Posto]],tabParametros[Despesas de Viagem])</f>
        <v>0</v>
      </c>
      <c r="AK146" s="22">
        <f>SUM(tabCustoUnit[[#This Row],[Vale - Transporte (Descontada parcela do empregado)]:[Despesas de Viagem]])</f>
        <v>745.58320000000003</v>
      </c>
      <c r="AL146" s="22">
        <f>tabCustoUnit[[#This Row],[Submódulo 2.1]]+tabCustoUnit[[#This Row],[Submódulo 2.2]]+tabCustoUnit[[#This Row],[Submódulo 2.3]]</f>
        <v>1810.4367628499999</v>
      </c>
      <c r="AM146" s="22">
        <f>SUMIF(tabParametros[Código do Posto],tabCustoUnit[[#This Row],[Código do Posto]],tabParametros[Aviso Prévio Indenizado (API) e Reflexo do Aviso Prévio Indenizado])*tabCustoUnit[[#This Row],[MODULO 1 - REMUNERAÇÃO ]]</f>
        <v>11.559051416493055</v>
      </c>
      <c r="AN146" s="22">
        <f>SUMIF(tabParametros[Código do Posto],tabCustoUnit[[#This Row],[Código do Posto]],tabParametros[Incidência do FGTS sobre API e Reflexo do API])*tabCustoUnit[[#This Row],[MODULO 1 - REMUNERAÇÃO ]]</f>
        <v>0.92472411331944449</v>
      </c>
      <c r="AO146" s="22">
        <f>SUMIF(tabParametros[Código do Posto],tabCustoUnit[[#This Row],[Código do Posto]],tabParametros[Multa Rescisória do FGTS sobre o Aviso Prévio Indenizado])*tabCustoUnit[[#This Row],[MODULO 1 - REMUNERAÇÃO ]]</f>
        <v>0.36988964532777785</v>
      </c>
      <c r="AP146" s="22">
        <f>SUMIF(tabParametros[Código do Posto],tabCustoUnit[[#This Row],[Código do Posto]],tabParametros[Aviso Prévio Trabalhado - APT])*tabCustoUnit[[#This Row],[MODULO 1 - REMUNERAÇÃO ]]</f>
        <v>5.7698266500000006</v>
      </c>
      <c r="AQ146" s="22">
        <f>SUMIF(tabParametros[Código do Posto],tabCustoUnit[[#This Row],[Código do Posto]],tabParametros[Incidência dos encargos do submódulo 2.1 sobre Aviso Prévio Trabalhado])*tabCustoUnit[[#This Row],[MODULO 1 - REMUNERAÇÃO ]]</f>
        <v>2.1809944737000007</v>
      </c>
      <c r="AR146" s="22">
        <f>SUMIF(tabParametros[Código do Posto],tabCustoUnit[[#This Row],[Código do Posto]],tabParametros[Multa Rescisória do FGTS])*tabCustoUnit[[#This Row],[MODULO 1 - REMUNERAÇÃO ]]</f>
        <v>50.40813631999999</v>
      </c>
      <c r="AS146" s="22">
        <f>SUMIF(tabParametros[Código do Posto],tabCustoUnit[[#This Row],[Código do Posto]],tabParametros[Indenização Adicional (Art. 9º da Lei nº 7.238/84)])*tabCustoUnit[[#This Row],[MODULO 1 - REMUNERAÇÃO ]]</f>
        <v>1.3737682500000001</v>
      </c>
      <c r="AT146" s="22">
        <f>SUM(tabCustoUnit[[#This Row],[Aviso Prévio Indenizado (API) e Reflexo do Aviso Prévio Indenizado]:[Indenização Adicional (Art. 9º da Lei nº 7.238/84)]])</f>
        <v>72.586390868840269</v>
      </c>
      <c r="AU146" s="22">
        <f>SUMIF(tabParametros[Código do Posto],tabCustoUnit[[#This Row],[Código do Posto]],tabParametros[Ausência por Doença])*tabCustoUnit[[#This Row],[MODULO 1 - REMUNERAÇÃO ]]</f>
        <v>13.920851599999999</v>
      </c>
      <c r="AV146" s="22">
        <f>SUMIF(tabParametros[Código do Posto],tabCustoUnit[[#This Row],[Código do Posto]],tabParametros[Ausências Legais])*tabCustoUnit[[#This Row],[MODULO 1 - REMUNERAÇÃO ]]</f>
        <v>3.3428360749999997</v>
      </c>
      <c r="AW146" s="22">
        <f>SUMIF(tabParametros[Código do Posto],tabCustoUnit[[#This Row],[Código do Posto]],tabParametros[Licença Paternidade])*tabCustoUnit[[#This Row],[MODULO 1 - REMUNERAÇÃO ]]</f>
        <v>0.28162249125</v>
      </c>
      <c r="AX146" s="22">
        <f>SUMIF(tabParametros[Código do Posto],tabCustoUnit[[#This Row],[Código do Posto]],tabParametros[Ausência por Acidente de Trabalho])*tabCustoUnit[[#This Row],[MODULO 1 - REMUNERAÇÃO ]]</f>
        <v>0.34344206250000003</v>
      </c>
      <c r="AY146" s="22">
        <f>SUMIF(tabParametros[Código do Posto],tabCustoUnit[[#This Row],[Código do Posto]],tabParametros[Férias, Adicional de Férias e 13º  com empregada em gozo de Licença Maternidade])*tabCustoUnit[[#This Row],[MODULO 1 - REMUNERAÇÃO ]]</f>
        <v>2.1369728333333331</v>
      </c>
      <c r="AZ146" s="22">
        <f>SUMIF(tabParametros[Código do Posto],tabCustoUnit[[#This Row],[Código do Posto]],tabParametros[Incidência do Submódulo 2.1 sobre Ausências Legais])*tabCustoUnit[[#This Row],[MODULO 1 - REMUNERAÇÃO ]]</f>
        <v>7.5697240734675013</v>
      </c>
      <c r="BA146" s="22">
        <f>SUM(tabCustoUnit[[#This Row],[Ausência por Doença]:[Incidência do Submódulo 2.1 sobre Ausências Legais]])</f>
        <v>27.595449135550833</v>
      </c>
      <c r="BB146" s="22">
        <f>SUMIF(tabParametros[Código do Posto],tabCustoUnit[[#This Row],[Código do Posto]],tabParametros[Intervalo para Repouso ou Alimentação])</f>
        <v>0</v>
      </c>
      <c r="BC146" s="22">
        <f>tabCustoUnit[[#This Row],[Intervalo para Repouso ou Alimentação]]</f>
        <v>0</v>
      </c>
      <c r="BD146" s="22">
        <f>IF(VLOOKUP(tabCustoUnit[[#This Row],[Código do Posto]],PARAMETROS!$A$4:$BJ$255,7,0)&lt;=0,0,
IFERROR((tabCustoUnit[[#This Row],[MODULO 1 - REMUNERAÇÃO ]]*VLOOKUP(tabCustoUnit[[#This Row],[Código do Posto]],PARAMETROS!$A$4:$BJ$255,49,0))/(VLOOKUP(tabCustoUnit[[#This Row],[Código do Posto]],PARAMETROS!$A$4:$BJ$255,7,0)*VLOOKUP(tabCustoUnit[[#This Row],[Código do Posto]],PARAMETROS!$A$4:$BJ$255,8,0)),0)
)</f>
        <v>0</v>
      </c>
      <c r="BE146" s="22">
        <f>tabCustoUnit[[#This Row],[Suspensão Temporária do Contrato de Trabalho]]</f>
        <v>0</v>
      </c>
      <c r="BF146" s="22">
        <f>tabCustoUnit[[#This Row],[Submódulo 4.1]]+tabCustoUnit[[#This Row],[Submódulo 4.2]]+tabCustoUnit[[#This Row],[Submódulo 4.3]]</f>
        <v>27.595449135550833</v>
      </c>
      <c r="BG146" s="22">
        <f>VLOOKUP(tabCustoUnit[[#This Row],[Código do Posto]],tabParametros[],MATCH(tabCustoUnit[[#Headers],[Uniformes e EPIs]],tabParametros[#Headers],0),0)</f>
        <v>100.80916666666666</v>
      </c>
      <c r="BH146" s="22">
        <f>VLOOKUP(tabCustoUnit[[#This Row],[Código do Posto]],tabParametros[],MATCH(tabCustoUnit[[#Headers],[Materiais de Consumo]],tabParametros[#Headers],0),0)</f>
        <v>35.518212958583888</v>
      </c>
      <c r="BI146" s="22">
        <f>VLOOKUP(tabCustoUnit[[#This Row],[Código do Posto]],tabParametros[],MATCH(tabCustoUnit[[#Headers],[Máquinas e Equipamentos (depreciação)]],tabParametros[#Headers],0),0)</f>
        <v>64.529393914825576</v>
      </c>
      <c r="BJ146" s="22">
        <f>VLOOKUP(tabCustoUnit[[#This Row],[Código do Posto]],tabParametros[],MATCH(tabCustoUnit[[#Headers],[Produtos de Limpeza e Materiais de Higiene Pessoal]],tabParametros[#Headers],0),0)</f>
        <v>690.27153277931654</v>
      </c>
      <c r="BK146" s="22">
        <f>VLOOKUP(tabCustoUnit[[#This Row],[Código do Posto]],tabParametros[],MATCH(tabCustoUnit[[#Headers],[Outros (especificar)]],tabParametros[#Headers],0),0)</f>
        <v>0</v>
      </c>
      <c r="BL146" s="22">
        <f>SUM(tabCustoUnit[[#This Row],[Uniformes e EPIs]:[Outros (especificar)]])</f>
        <v>891.12830631939266</v>
      </c>
      <c r="BM146" s="22">
        <f>tabCustoUnit[[#This Row],[MODULO 1 - REMUNERAÇÃO ]]+tabCustoUnit[[#This Row],[MÓDULO 2 - Total Encargos e Benefícios mensais e diários]]+tabCustoUnit[[#This Row],[MÓDULO 3 – PROVISÃO PARA RESCISÃO]]+tabCustoUnit[[#This Row],[MÓDULO 4 – CUSTO DE REPOSIÇÃO DO PROFISSIONAL AUSENTE]]+tabCustoUnit[[#This Row],[MÓDULO 5 – INSUMOS DIVERSOS]]</f>
        <v>4450.2688091737837</v>
      </c>
      <c r="BN146" s="22">
        <f>VLOOKUP(tabCustoUnit[[#This Row],[Código do Posto]],tabParametros[],MATCH(tabCustoUnit[[#Headers],[Custos Indiretos]],tabParametros[#Headers],0),0)</f>
        <v>189.64880140242613</v>
      </c>
      <c r="BO146" s="22">
        <f>VLOOKUP(tabCustoUnit[[#This Row],[Código do Posto]],tabParametros[],MATCH(tabCustoUnit[[#Headers],[Lucro]],tabParametros[#Headers],0),0)</f>
        <v>159.30499317803796</v>
      </c>
      <c r="BP146" s="26">
        <f>((100/((1-tabCustoUnit[[#This Row],[Resumo de Alíquotas (PIS+CONFINS+ISS)]]))-100)*VLOOKUP(tabCustoUnit[[#This Row],[Código do Posto]],tabParametros[],MATCH(tabCustoUnit[[#Headers],[COFINS]],tabParametros[#Headers],0),0))/(tabCustoUnit[[#This Row],[Resumo de Alíquotas (PIS+CONFINS+ISS)]]*100)</f>
        <v>8.8629737609329504E-2</v>
      </c>
      <c r="BQ146" s="26">
        <f>((100/((100-(tabCustoUnit[[#This Row],[Resumo de Alíquotas (PIS+CONFINS+ISS)]]*100))%)-100)*VLOOKUP(tabCustoUnit[[#This Row],[Código do Posto]],tabParametros[],MATCH(tabCustoUnit[[#Headers],[PIS]],tabParametros[#Headers],0),0))/(tabCustoUnit[[#This Row],[Resumo de Alíquotas (PIS+CONFINS+ISS)]]*100)</f>
        <v>1.9241982507288629E-2</v>
      </c>
      <c r="BR146" s="28">
        <f>VLOOKUP(tabCustoUnit[[#This Row],[Código do Posto]],tabParametros[],MATCH(tabCustoUnit[[#Headers],[ISS]],tabParametros[#Headers],0),0)</f>
        <v>0.05</v>
      </c>
      <c r="BS146" s="26">
        <f>(((100/((100-(tabCustoUnit[[#This Row],[Resumo de Alíquotas (PIS+CONFINS+ISS)]]*100))%)-100)*tabCustoUnit[[#This Row],[ISS]])/tabCustoUnit[[#This Row],[Resumo de Alíquotas (PIS+CONFINS+ISS)]])/100</f>
        <v>5.8309037900874633E-2</v>
      </c>
      <c r="BT146" s="26">
        <f>(VLOOKUP(tabCustoUnit[[#This Row],[Código do Posto]],tabParametros[],MATCH(tabCustoUnit[[#Headers],[COFINS]],tabParametros[#Headers],0),0)+
VLOOKUP(tabCustoUnit[[#This Row],[Código do Posto]],tabParametros[],MATCH(tabCustoUnit[[#Headers],[PIS]],tabParametros[#Headers],0),0)+
VLOOKUP(tabCustoUnit[[#This Row],[Código do Posto]],tabParametros[],MATCH(tabCustoUnit[[#Headers],[ISS]],tabParametros[#Headers],0),0))</f>
        <v>0.14250000000000002</v>
      </c>
      <c r="BU146" s="138">
        <f>tabCustoUnit[[#This Row],[COFINS]]+tabCustoUnit[[#This Row],[PIS]]+tabCustoUnit[[#This Row],[ISS (Conversão Alíquota s/ fatura)]]</f>
        <v>0.16618075801749277</v>
      </c>
      <c r="BV146" s="22">
        <f>(tabCustoUnit[[#This Row],[TOTAL MÓDULOS 1+2+3+4+5]]+tabCustoUnit[[#This Row],[Custos Indiretos]]+tabCustoUnit[[#This Row],[Lucro]])*tabCustoUnit[[#This Row],[PIS + COFINS + ISS (Total Conversão  Alíquota s/ Fatura)]]</f>
        <v>797.53845018656625</v>
      </c>
      <c r="BW146" s="22">
        <f>tabCustoUnit[[#This Row],[Custos Indiretos]]+tabCustoUnit[[#This Row],[Lucro]]+tabCustoUnit[[#This Row],[Valor dos Tributos (ISS, PIS, CONFINS)]]</f>
        <v>1146.4922447670303</v>
      </c>
      <c r="BX146" s="22">
        <f>tabCustoUnit[[#This Row],[TOTAL MÓDULOS 1+2+3+4+5]]+tabCustoUnit[[#This Row],[MÓDULO 6 – CUSTOS INDIRETOS, TRIBUTOS E LUCRO]]</f>
        <v>5596.7610539408142</v>
      </c>
      <c r="BY146" s="22">
        <f>tabCustoUnit[[#This Row],[CUSTO TOTAL MENSAL]]*12</f>
        <v>67161.132647289778</v>
      </c>
      <c r="BZ146" s="24">
        <f>VLOOKUP(tabCustoUnit[[#This Row],[Código do Posto]],tabParametros[],MATCH(tabCustoUnit[[#Headers],[ANO DA CCT]],tabParametros[#Headers],0),0)</f>
        <v>45658</v>
      </c>
      <c r="CA146" s="25" t="str">
        <f>VLOOKUP(tabCustoUnit[[#This Row],[Código do Posto]],tabParametros[],MATCH(tabCustoUnit[[#Headers],[Nº DE PEDIDO DA CCT]],tabParametros[#Headers],0),0)</f>
        <v>-</v>
      </c>
      <c r="CB146" s="25" t="str">
        <f>VLOOKUP(tabCustoUnit[[#This Row],[Código do Posto]],tabParametros[],MATCH(tabCustoUnit[[#Headers],[TERMO ADITIVO ALTERAÇÃO DA CCT]],tabParametros[#Headers],0),0)</f>
        <v>-</v>
      </c>
    </row>
    <row r="147" spans="1:80" x14ac:dyDescent="0.25">
      <c r="A147" s="20" t="s">
        <v>1483</v>
      </c>
      <c r="B147" t="s">
        <v>132</v>
      </c>
      <c r="C147" t="s">
        <v>1247</v>
      </c>
      <c r="D147" t="s">
        <v>1026</v>
      </c>
      <c r="E147" s="20" t="s">
        <v>9</v>
      </c>
      <c r="F147" s="20" t="s">
        <v>10</v>
      </c>
      <c r="G147" s="21">
        <v>544.17999999999995</v>
      </c>
      <c r="H147" s="21">
        <v>0</v>
      </c>
      <c r="I147" s="21">
        <v>0</v>
      </c>
      <c r="J147" s="21">
        <v>0</v>
      </c>
      <c r="K147" s="21">
        <v>0</v>
      </c>
      <c r="L147" s="21">
        <v>0</v>
      </c>
      <c r="M147" s="21">
        <v>0</v>
      </c>
      <c r="N147" s="21">
        <v>19.590499999999999</v>
      </c>
      <c r="O147" s="21">
        <f>SUM(tabCustoUnit[[#This Row],[Salário Base]:[Adicional de Acúmulo de função]])</f>
        <v>563.77049999999997</v>
      </c>
      <c r="P147" s="21">
        <f>tabCustoUnit[[#This Row],[MODULO 1 - REMUNERAÇÃO ]]*SUMIFS(tabParametros[INSS],tabParametros[Código do Posto],tabCustoUnit[[#This Row],[Código do Posto]])</f>
        <v>112.75409999999999</v>
      </c>
      <c r="Q147" s="21">
        <f>tabCustoUnit[[#This Row],[MODULO 1 - REMUNERAÇÃO ]]*SUMIFS(tabParametros[SESI OU SESC],tabParametros[Código do Posto],tabCustoUnit[[#This Row],[Código do Posto]])</f>
        <v>8.4565574999999988</v>
      </c>
      <c r="R147" s="21">
        <f>tabCustoUnit[[#This Row],[MODULO 1 - REMUNERAÇÃO ]]*SUMIFS(tabParametros[SENAI OU SENAC],tabParametros[Código do Posto],tabCustoUnit[[#This Row],[Código do Posto]])</f>
        <v>5.6377049999999995</v>
      </c>
      <c r="S147" s="21">
        <f>tabCustoUnit[[#This Row],[MODULO 1 - REMUNERAÇÃO ]]*SUMIFS(tabParametros[INCRA],tabParametros[Código do Posto],tabCustoUnit[[#This Row],[Código do Posto]])</f>
        <v>1.1275409999999999</v>
      </c>
      <c r="T147" s="21">
        <f>tabCustoUnit[[#This Row],[MODULO 1 - REMUNERAÇÃO ]]*SUMIFS(tabParametros[Salário Educação],tabParametros[Código do Posto],tabCustoUnit[[#This Row],[Código do Posto]])</f>
        <v>14.094262499999999</v>
      </c>
      <c r="U147" s="21">
        <f>tabCustoUnit[[#This Row],[MODULO 1 - REMUNERAÇÃO ]]*SUMIFS(tabParametros[FGTS],tabParametros[Código do Posto],tabCustoUnit[[#This Row],[Código do Posto]])</f>
        <v>45.101639999999996</v>
      </c>
      <c r="V147" s="21">
        <f>tabCustoUnit[[#This Row],[MODULO 1 - REMUNERAÇÃO ]]*SUMIFS(tabParametros[RAT Ajustado],tabParametros[Código do Posto],tabCustoUnit[[#This Row],[Código do Posto]])</f>
        <v>22.550819999999998</v>
      </c>
      <c r="W147" s="21">
        <f>tabCustoUnit[[#This Row],[MODULO 1 - REMUNERAÇÃO ]]*SUMIFS(tabParametros[SEBRAE],tabParametros[Código do Posto],tabCustoUnit[[#This Row],[Código do Posto]])</f>
        <v>3.3826229999999997</v>
      </c>
      <c r="X147" s="21">
        <f>SUM(tabCustoUnit[[#This Row],[INSS]:[SEBRAE]])</f>
        <v>213.10524899999996</v>
      </c>
      <c r="Y147" s="21">
        <f>tabCustoUnit[[#This Row],[MODULO 1 - REMUNERAÇÃO ]]*SUMIFS(tabParametros[13º salário (titular)],tabParametros[Código do Posto],tabCustoUnit[[#This Row],[Código do Posto]])</f>
        <v>46.980874999999997</v>
      </c>
      <c r="Z147" s="21">
        <f>tabCustoUnit[[#This Row],[MODULO 1 - REMUNERAÇÃO ]]*SUMIFS(tabParametros[Férias e Adicional de Férias (titular)],tabParametros[Código do Posto],tabCustoUnit[[#This Row],[Código do Posto]])</f>
        <v>62.641166666666663</v>
      </c>
      <c r="AA147" s="21">
        <f>IFERROR((tabCustoUnit[[#This Row],[Submódulo 2.1]]/tabCustoUnit[[#This Row],[MODULO 1 - REMUNERAÇÃO ]])*SUM(tabCustoUnit[[#This Row],[13º salário (titular)]:[Férias e Adicional de Férias (titular)]]),0)</f>
        <v>41.437131749999992</v>
      </c>
      <c r="AB147" s="21">
        <f>SUM(tabCustoUnit[[#This Row],[13º salário (titular)]:[Incidência do Submódulo 2.1 sobre 13º Salário, Férias e Adicional de Férias]])</f>
        <v>151.05917341666665</v>
      </c>
      <c r="AC147" s="22">
        <f>_xlfn.LET(_xlpm.VT,SUMIF(tabParametros[Código do Posto],tabCustoUnit[[#This Row],[Código do Posto]],tabParametros[Vale - Transporte])*2*20,
IF((_xlpm.VT-tabCustoUnit[[#This Row],[Salário Base]]*0.06)&gt;=0,(_xlpm.VT-tabCustoUnit[[#This Row],[Salário Base]]*0.06),0)
)</f>
        <v>223.3492</v>
      </c>
      <c r="AD147" s="22">
        <f>IF(SUMIF(tabParametros[Código do Posto],tabCustoUnit[[#This Row],[Código do Posto]],tabParametros[Vale - Alimentação])&lt;=0,0,
SUMIF(tabParametros[Código do Posto],tabCustoUnit[[#This Row],[Código do Posto]],tabParametros[Vale - Alimentação])*20-1)</f>
        <v>582</v>
      </c>
      <c r="AE147" s="22">
        <f>SUMIF(tabParametros[Código do Posto],tabCustoUnit[[#This Row],[Código do Posto]],tabParametros[Cesta Básica])</f>
        <v>0</v>
      </c>
      <c r="AF147" s="22">
        <f>SUMIF(tabParametros[Código do Posto],tabCustoUnit[[#This Row],[Código do Posto]],tabParametros[PAF])</f>
        <v>0</v>
      </c>
      <c r="AG147" s="22">
        <f>SUMIF(tabParametros[Código do Posto],tabCustoUnit[[#This Row],[Código do Posto]],tabParametros[PQM])</f>
        <v>15.07</v>
      </c>
      <c r="AH147" s="22">
        <f>SUMIF(tabParametros[Código do Posto],tabCustoUnit[[#This Row],[Código do Posto]],tabParametros[PAT])</f>
        <v>0</v>
      </c>
      <c r="AI147" s="22">
        <f>SUMIF(tabParametros[Código do Posto],tabCustoUnit[[#This Row],[Código do Posto]],tabParametros[Seguro de Vida])</f>
        <v>3.36</v>
      </c>
      <c r="AJ147" s="22">
        <f>SUMIF(tabParametros[Código do Posto],tabCustoUnit[[#This Row],[Código do Posto]],tabParametros[Despesas de Viagem])</f>
        <v>0</v>
      </c>
      <c r="AK147" s="22">
        <f>SUM(tabCustoUnit[[#This Row],[Vale - Transporte (Descontada parcela do empregado)]:[Despesas de Viagem]])</f>
        <v>823.77920000000006</v>
      </c>
      <c r="AL147" s="22">
        <f>tabCustoUnit[[#This Row],[Submódulo 2.1]]+tabCustoUnit[[#This Row],[Submódulo 2.2]]+tabCustoUnit[[#This Row],[Submódulo 2.3]]</f>
        <v>1187.9436224166666</v>
      </c>
      <c r="AM147" s="22">
        <f>SUMIF(tabParametros[Código do Posto],tabCustoUnit[[#This Row],[Código do Posto]],tabParametros[Aviso Prévio Indenizado (API) e Reflexo do Aviso Prévio Indenizado])*tabCustoUnit[[#This Row],[MODULO 1 - REMUNERAÇÃO ]]</f>
        <v>3.9530273735532404</v>
      </c>
      <c r="AN147" s="22">
        <f>SUMIF(tabParametros[Código do Posto],tabCustoUnit[[#This Row],[Código do Posto]],tabParametros[Incidência do FGTS sobre API e Reflexo do API])*tabCustoUnit[[#This Row],[MODULO 1 - REMUNERAÇÃO ]]</f>
        <v>0.31624218988425928</v>
      </c>
      <c r="AO147" s="22">
        <f>SUMIF(tabParametros[Código do Posto],tabCustoUnit[[#This Row],[Código do Posto]],tabParametros[Multa Rescisória do FGTS sobre o Aviso Prévio Indenizado])*tabCustoUnit[[#This Row],[MODULO 1 - REMUNERAÇÃO ]]</f>
        <v>0.12649687595370371</v>
      </c>
      <c r="AP147" s="22">
        <f>SUMIF(tabParametros[Código do Posto],tabCustoUnit[[#This Row],[Código do Posto]],tabParametros[Aviso Prévio Trabalhado - APT])*tabCustoUnit[[#This Row],[MODULO 1 - REMUNERAÇÃO ]]</f>
        <v>1.9731967500000003</v>
      </c>
      <c r="AQ147" s="22">
        <f>SUMIF(tabParametros[Código do Posto],tabCustoUnit[[#This Row],[Código do Posto]],tabParametros[Incidência dos encargos do submódulo 2.1 sobre Aviso Prévio Trabalhado])*tabCustoUnit[[#This Row],[MODULO 1 - REMUNERAÇÃO ]]</f>
        <v>0.74586837150000018</v>
      </c>
      <c r="AR147" s="22">
        <f>SUMIF(tabParametros[Código do Posto],tabCustoUnit[[#This Row],[Código do Posto]],tabParametros[Multa Rescisória do FGTS])*tabCustoUnit[[#This Row],[MODULO 1 - REMUNERAÇÃO ]]</f>
        <v>17.238849066666663</v>
      </c>
      <c r="AS147" s="22">
        <f>SUMIF(tabParametros[Código do Posto],tabCustoUnit[[#This Row],[Código do Posto]],tabParametros[Indenização Adicional (Art. 9º da Lei nº 7.238/84)])*tabCustoUnit[[#This Row],[MODULO 1 - REMUNERAÇÃO ]]</f>
        <v>0.46980875</v>
      </c>
      <c r="AT147" s="22">
        <f>SUM(tabCustoUnit[[#This Row],[Aviso Prévio Indenizado (API) e Reflexo do Aviso Prévio Indenizado]:[Indenização Adicional (Art. 9º da Lei nº 7.238/84)]])</f>
        <v>24.823489377557866</v>
      </c>
      <c r="AU147" s="22">
        <f>SUMIF(tabParametros[Código do Posto],tabCustoUnit[[#This Row],[Código do Posto]],tabParametros[Ausência por Doença])*tabCustoUnit[[#This Row],[MODULO 1 - REMUNERAÇÃO ]]</f>
        <v>4.7607286666666662</v>
      </c>
      <c r="AV147" s="22">
        <f>SUMIF(tabParametros[Código do Posto],tabCustoUnit[[#This Row],[Código do Posto]],tabParametros[Ausências Legais])*tabCustoUnit[[#This Row],[MODULO 1 - REMUNERAÇÃO ]]</f>
        <v>1.1432012916666665</v>
      </c>
      <c r="AW147" s="22">
        <f>SUMIF(tabParametros[Código do Posto],tabCustoUnit[[#This Row],[Código do Posto]],tabParametros[Licença Paternidade])*tabCustoUnit[[#This Row],[MODULO 1 - REMUNERAÇÃO ]]</f>
        <v>9.6310793749999998E-2</v>
      </c>
      <c r="AX147" s="22">
        <f>SUMIF(tabParametros[Código do Posto],tabCustoUnit[[#This Row],[Código do Posto]],tabParametros[Ausência por Acidente de Trabalho])*tabCustoUnit[[#This Row],[MODULO 1 - REMUNERAÇÃO ]]</f>
        <v>0.1174521875</v>
      </c>
      <c r="AY147" s="22">
        <f>SUMIF(tabParametros[Código do Posto],tabCustoUnit[[#This Row],[Código do Posto]],tabParametros[Férias, Adicional de Férias e 13º  com empregada em gozo de Licença Maternidade])*tabCustoUnit[[#This Row],[MODULO 1 - REMUNERAÇÃO ]]</f>
        <v>0.73081361111111109</v>
      </c>
      <c r="AZ147" s="22">
        <f>SUMIF(tabParametros[Código do Posto],tabCustoUnit[[#This Row],[Código do Posto]],tabParametros[Incidência do Submódulo 2.1 sobre Ausências Legais])*tabCustoUnit[[#This Row],[MODULO 1 - REMUNERAÇÃO ]]</f>
        <v>2.5887354761625003</v>
      </c>
      <c r="BA147" s="22">
        <f>SUM(tabCustoUnit[[#This Row],[Ausência por Doença]:[Incidência do Submódulo 2.1 sobre Ausências Legais]])</f>
        <v>9.4372420268569428</v>
      </c>
      <c r="BB147" s="22">
        <f>SUMIF(tabParametros[Código do Posto],tabCustoUnit[[#This Row],[Código do Posto]],tabParametros[Intervalo para Repouso ou Alimentação])</f>
        <v>0</v>
      </c>
      <c r="BC147" s="22">
        <f>tabCustoUnit[[#This Row],[Intervalo para Repouso ou Alimentação]]</f>
        <v>0</v>
      </c>
      <c r="BD147" s="22">
        <f>IF(VLOOKUP(tabCustoUnit[[#This Row],[Código do Posto]],PARAMETROS!$A$4:$BJ$255,7,0)&lt;=0,0,
IFERROR((tabCustoUnit[[#This Row],[MODULO 1 - REMUNERAÇÃO ]]*VLOOKUP(tabCustoUnit[[#This Row],[Código do Posto]],PARAMETROS!$A$4:$BJ$255,49,0))/(VLOOKUP(tabCustoUnit[[#This Row],[Código do Posto]],PARAMETROS!$A$4:$BJ$255,7,0)*VLOOKUP(tabCustoUnit[[#This Row],[Código do Posto]],PARAMETROS!$A$4:$BJ$255,8,0)),0)
)</f>
        <v>0</v>
      </c>
      <c r="BE147" s="22">
        <f>tabCustoUnit[[#This Row],[Suspensão Temporária do Contrato de Trabalho]]</f>
        <v>0</v>
      </c>
      <c r="BF147" s="22">
        <f>tabCustoUnit[[#This Row],[Submódulo 4.1]]+tabCustoUnit[[#This Row],[Submódulo 4.2]]+tabCustoUnit[[#This Row],[Submódulo 4.3]]</f>
        <v>9.4372420268569428</v>
      </c>
      <c r="BG147" s="22">
        <f>VLOOKUP(tabCustoUnit[[#This Row],[Código do Posto]],tabParametros[],MATCH(tabCustoUnit[[#Headers],[Uniformes e EPIs]],tabParametros[#Headers],0),0)</f>
        <v>62.806666666666665</v>
      </c>
      <c r="BH147" s="22">
        <f>VLOOKUP(tabCustoUnit[[#This Row],[Código do Posto]],tabParametros[],MATCH(tabCustoUnit[[#Headers],[Materiais de Consumo]],tabParametros[#Headers],0),0)</f>
        <v>12.108481690426325</v>
      </c>
      <c r="BI147" s="22">
        <f>VLOOKUP(tabCustoUnit[[#This Row],[Código do Posto]],tabParametros[],MATCH(tabCustoUnit[[#Headers],[Máquinas e Equipamentos (depreciação)]],tabParametros[#Headers],0),0)</f>
        <v>21.998657016417809</v>
      </c>
      <c r="BJ147" s="22">
        <f>VLOOKUP(tabCustoUnit[[#This Row],[Código do Posto]],tabParametros[],MATCH(tabCustoUnit[[#Headers],[Produtos de Limpeza e Materiais de Higiene Pessoal]],tabParametros[#Headers],0),0)</f>
        <v>235.31984072022155</v>
      </c>
      <c r="BK147" s="22">
        <f>VLOOKUP(tabCustoUnit[[#This Row],[Código do Posto]],tabParametros[],MATCH(tabCustoUnit[[#Headers],[Outros (especificar)]],tabParametros[#Headers],0),0)</f>
        <v>0</v>
      </c>
      <c r="BL147" s="22">
        <f>SUM(tabCustoUnit[[#This Row],[Uniformes e EPIs]:[Outros (especificar)]])</f>
        <v>332.23364609373232</v>
      </c>
      <c r="BM147" s="22">
        <f>tabCustoUnit[[#This Row],[MODULO 1 - REMUNERAÇÃO ]]+tabCustoUnit[[#This Row],[MÓDULO 2 - Total Encargos e Benefícios mensais e diários]]+tabCustoUnit[[#This Row],[MÓDULO 3 – PROVISÃO PARA RESCISÃO]]+tabCustoUnit[[#This Row],[MÓDULO 4 – CUSTO DE REPOSIÇÃO DO PROFISSIONAL AUSENTE]]+tabCustoUnit[[#This Row],[MÓDULO 5 – INSUMOS DIVERSOS]]</f>
        <v>2118.2084999148137</v>
      </c>
      <c r="BN147" s="22">
        <f>VLOOKUP(tabCustoUnit[[#This Row],[Código do Posto]],tabParametros[],MATCH(tabCustoUnit[[#Headers],[Custos Indiretos]],tabParametros[#Headers],0),0)</f>
        <v>189.64880140242613</v>
      </c>
      <c r="BO147" s="22">
        <f>VLOOKUP(tabCustoUnit[[#This Row],[Código do Posto]],tabParametros[],MATCH(tabCustoUnit[[#Headers],[Lucro]],tabParametros[#Headers],0),0)</f>
        <v>159.30499317803796</v>
      </c>
      <c r="BP147" s="26">
        <f>((100/((1-tabCustoUnit[[#This Row],[Resumo de Alíquotas (PIS+CONFINS+ISS)]]))-100)*VLOOKUP(tabCustoUnit[[#This Row],[Código do Posto]],tabParametros[],MATCH(tabCustoUnit[[#Headers],[COFINS]],tabParametros[#Headers],0),0))/(tabCustoUnit[[#This Row],[Resumo de Alíquotas (PIS+CONFINS+ISS)]]*100)</f>
        <v>8.6609686609686695E-2</v>
      </c>
      <c r="BQ147" s="26">
        <f>((100/((100-(tabCustoUnit[[#This Row],[Resumo de Alíquotas (PIS+CONFINS+ISS)]]*100))%)-100)*VLOOKUP(tabCustoUnit[[#This Row],[Código do Posto]],tabParametros[],MATCH(tabCustoUnit[[#Headers],[PIS]],tabParametros[#Headers],0),0))/(tabCustoUnit[[#This Row],[Resumo de Alíquotas (PIS+CONFINS+ISS)]]*100)</f>
        <v>1.880341880341882E-2</v>
      </c>
      <c r="BR147" s="28">
        <f>VLOOKUP(tabCustoUnit[[#This Row],[Código do Posto]],tabParametros[],MATCH(tabCustoUnit[[#Headers],[ISS]],tabParametros[#Headers],0),0)</f>
        <v>0.03</v>
      </c>
      <c r="BS147" s="26">
        <f>(((100/((100-(tabCustoUnit[[#This Row],[Resumo de Alíquotas (PIS+CONFINS+ISS)]]*100))%)-100)*tabCustoUnit[[#This Row],[ISS]])/tabCustoUnit[[#This Row],[Resumo de Alíquotas (PIS+CONFINS+ISS)]])/100</f>
        <v>3.4188034188034219E-2</v>
      </c>
      <c r="BT147" s="26">
        <f>(VLOOKUP(tabCustoUnit[[#This Row],[Código do Posto]],tabParametros[],MATCH(tabCustoUnit[[#Headers],[COFINS]],tabParametros[#Headers],0),0)+
VLOOKUP(tabCustoUnit[[#This Row],[Código do Posto]],tabParametros[],MATCH(tabCustoUnit[[#Headers],[PIS]],tabParametros[#Headers],0),0)+
VLOOKUP(tabCustoUnit[[#This Row],[Código do Posto]],tabParametros[],MATCH(tabCustoUnit[[#Headers],[ISS]],tabParametros[#Headers],0),0))</f>
        <v>0.1225</v>
      </c>
      <c r="BU147" s="138">
        <f>tabCustoUnit[[#This Row],[COFINS]]+tabCustoUnit[[#This Row],[PIS]]+tabCustoUnit[[#This Row],[ISS (Conversão Alíquota s/ fatura)]]</f>
        <v>0.13960113960113973</v>
      </c>
      <c r="BV147" s="22">
        <f>(tabCustoUnit[[#This Row],[TOTAL MÓDULOS 1+2+3+4+5]]+tabCustoUnit[[#This Row],[Custos Indiretos]]+tabCustoUnit[[#This Row],[Lucro]])*tabCustoUnit[[#This Row],[PIS + COFINS + ISS (Total Conversão  Alíquota s/ Fatura)]]</f>
        <v>344.41866789250349</v>
      </c>
      <c r="BW147" s="22">
        <f>tabCustoUnit[[#This Row],[Custos Indiretos]]+tabCustoUnit[[#This Row],[Lucro]]+tabCustoUnit[[#This Row],[Valor dos Tributos (ISS, PIS, CONFINS)]]</f>
        <v>693.37246247296753</v>
      </c>
      <c r="BX147" s="22">
        <f>tabCustoUnit[[#This Row],[TOTAL MÓDULOS 1+2+3+4+5]]+tabCustoUnit[[#This Row],[MÓDULO 6 – CUSTOS INDIRETOS, TRIBUTOS E LUCRO]]</f>
        <v>2811.5809623877813</v>
      </c>
      <c r="BY147" s="22">
        <f>tabCustoUnit[[#This Row],[CUSTO TOTAL MENSAL]]*12</f>
        <v>33738.971548653375</v>
      </c>
      <c r="BZ147" s="24">
        <f>VLOOKUP(tabCustoUnit[[#This Row],[Código do Posto]],tabParametros[],MATCH(tabCustoUnit[[#Headers],[ANO DA CCT]],tabParametros[#Headers],0),0)</f>
        <v>45658</v>
      </c>
      <c r="CA147" s="25" t="str">
        <f>VLOOKUP(tabCustoUnit[[#This Row],[Código do Posto]],tabParametros[],MATCH(tabCustoUnit[[#Headers],[Nº DE PEDIDO DA CCT]],tabParametros[#Headers],0),0)</f>
        <v>-</v>
      </c>
      <c r="CB147" s="25" t="str">
        <f>VLOOKUP(tabCustoUnit[[#This Row],[Código do Posto]],tabParametros[],MATCH(tabCustoUnit[[#Headers],[TERMO ADITIVO ALTERAÇÃO DA CCT]],tabParametros[#Headers],0),0)</f>
        <v>-</v>
      </c>
    </row>
    <row r="148" spans="1:80" x14ac:dyDescent="0.25">
      <c r="A148" s="20" t="s">
        <v>1484</v>
      </c>
      <c r="B148" t="s">
        <v>133</v>
      </c>
      <c r="C148" t="s">
        <v>1245</v>
      </c>
      <c r="D148" t="s">
        <v>1041</v>
      </c>
      <c r="E148" s="20" t="s">
        <v>9</v>
      </c>
      <c r="F148" s="20" t="s">
        <v>10</v>
      </c>
      <c r="G148" s="21">
        <v>1596.28</v>
      </c>
      <c r="H148" s="21">
        <v>0</v>
      </c>
      <c r="I148" s="21">
        <v>0</v>
      </c>
      <c r="J148" s="21">
        <v>0</v>
      </c>
      <c r="K148" s="21">
        <v>0</v>
      </c>
      <c r="L148" s="21">
        <v>0</v>
      </c>
      <c r="M148" s="21">
        <v>0</v>
      </c>
      <c r="N148" s="21">
        <v>52.241900000000001</v>
      </c>
      <c r="O148" s="21">
        <f>SUM(tabCustoUnit[[#This Row],[Salário Base]:[Adicional de Acúmulo de função]])</f>
        <v>1648.5219</v>
      </c>
      <c r="P148" s="21">
        <f>tabCustoUnit[[#This Row],[MODULO 1 - REMUNERAÇÃO ]]*SUMIFS(tabParametros[INSS],tabParametros[Código do Posto],tabCustoUnit[[#This Row],[Código do Posto]])</f>
        <v>329.70438000000001</v>
      </c>
      <c r="Q148" s="21">
        <f>tabCustoUnit[[#This Row],[MODULO 1 - REMUNERAÇÃO ]]*SUMIFS(tabParametros[SESI OU SESC],tabParametros[Código do Posto],tabCustoUnit[[#This Row],[Código do Posto]])</f>
        <v>24.727828499999998</v>
      </c>
      <c r="R148" s="21">
        <f>tabCustoUnit[[#This Row],[MODULO 1 - REMUNERAÇÃO ]]*SUMIFS(tabParametros[SENAI OU SENAC],tabParametros[Código do Posto],tabCustoUnit[[#This Row],[Código do Posto]])</f>
        <v>16.485219000000001</v>
      </c>
      <c r="S148" s="21">
        <f>tabCustoUnit[[#This Row],[MODULO 1 - REMUNERAÇÃO ]]*SUMIFS(tabParametros[INCRA],tabParametros[Código do Posto],tabCustoUnit[[#This Row],[Código do Posto]])</f>
        <v>3.2970438</v>
      </c>
      <c r="T148" s="21">
        <f>tabCustoUnit[[#This Row],[MODULO 1 - REMUNERAÇÃO ]]*SUMIFS(tabParametros[Salário Educação],tabParametros[Código do Posto],tabCustoUnit[[#This Row],[Código do Posto]])</f>
        <v>41.213047500000002</v>
      </c>
      <c r="U148" s="21">
        <f>tabCustoUnit[[#This Row],[MODULO 1 - REMUNERAÇÃO ]]*SUMIFS(tabParametros[FGTS],tabParametros[Código do Posto],tabCustoUnit[[#This Row],[Código do Posto]])</f>
        <v>131.88175200000001</v>
      </c>
      <c r="V148" s="21">
        <f>tabCustoUnit[[#This Row],[MODULO 1 - REMUNERAÇÃO ]]*SUMIFS(tabParametros[RAT Ajustado],tabParametros[Código do Posto],tabCustoUnit[[#This Row],[Código do Posto]])</f>
        <v>65.940876000000003</v>
      </c>
      <c r="W148" s="21">
        <f>tabCustoUnit[[#This Row],[MODULO 1 - REMUNERAÇÃO ]]*SUMIFS(tabParametros[SEBRAE],tabParametros[Código do Posto],tabCustoUnit[[#This Row],[Código do Posto]])</f>
        <v>9.8911314000000008</v>
      </c>
      <c r="X148" s="21">
        <f>SUM(tabCustoUnit[[#This Row],[INSS]:[SEBRAE]])</f>
        <v>623.14127819999999</v>
      </c>
      <c r="Y148" s="21">
        <f>tabCustoUnit[[#This Row],[MODULO 1 - REMUNERAÇÃO ]]*SUMIFS(tabParametros[13º salário (titular)],tabParametros[Código do Posto],tabCustoUnit[[#This Row],[Código do Posto]])</f>
        <v>137.376825</v>
      </c>
      <c r="Z148" s="21">
        <f>tabCustoUnit[[#This Row],[MODULO 1 - REMUNERAÇÃO ]]*SUMIFS(tabParametros[Férias e Adicional de Férias (titular)],tabParametros[Código do Posto],tabCustoUnit[[#This Row],[Código do Posto]])</f>
        <v>183.16909999999999</v>
      </c>
      <c r="AA148" s="21">
        <f>IFERROR((tabCustoUnit[[#This Row],[Submódulo 2.1]]/tabCustoUnit[[#This Row],[MODULO 1 - REMUNERAÇÃO ]])*SUM(tabCustoUnit[[#This Row],[13º salário (titular)]:[Férias e Adicional de Férias (titular)]]),0)</f>
        <v>121.16635965</v>
      </c>
      <c r="AB148" s="21">
        <f>SUM(tabCustoUnit[[#This Row],[13º salário (titular)]:[Incidência do Submódulo 2.1 sobre 13º Salário, Férias e Adicional de Férias]])</f>
        <v>441.71228465000002</v>
      </c>
      <c r="AC148" s="22">
        <f>_xlfn.LET(_xlpm.VT,SUMIF(tabParametros[Código do Posto],tabCustoUnit[[#This Row],[Código do Posto]],tabParametros[Vale - Transporte])*2*20,
IF((_xlpm.VT-tabCustoUnit[[#This Row],[Salário Base]]*0.06)&gt;=0,(_xlpm.VT-tabCustoUnit[[#This Row],[Salário Base]]*0.06),0)
)</f>
        <v>160.22320000000002</v>
      </c>
      <c r="AD148" s="22">
        <f>IF(SUMIF(tabParametros[Código do Posto],tabCustoUnit[[#This Row],[Código do Posto]],tabParametros[Vale - Alimentação])&lt;=0,0,
SUMIF(tabParametros[Código do Posto],tabCustoUnit[[#This Row],[Código do Posto]],tabParametros[Vale - Alimentação])*20-1)</f>
        <v>582</v>
      </c>
      <c r="AE148" s="22">
        <f>SUMIF(tabParametros[Código do Posto],tabCustoUnit[[#This Row],[Código do Posto]],tabParametros[Cesta Básica])</f>
        <v>0</v>
      </c>
      <c r="AF148" s="22">
        <f>SUMIF(tabParametros[Código do Posto],tabCustoUnit[[#This Row],[Código do Posto]],tabParametros[PAF])</f>
        <v>0</v>
      </c>
      <c r="AG148" s="22">
        <f>SUMIF(tabParametros[Código do Posto],tabCustoUnit[[#This Row],[Código do Posto]],tabParametros[PQM])</f>
        <v>0</v>
      </c>
      <c r="AH148" s="22">
        <f>SUMIF(tabParametros[Código do Posto],tabCustoUnit[[#This Row],[Código do Posto]],tabParametros[PAT])</f>
        <v>0</v>
      </c>
      <c r="AI148" s="22">
        <f>SUMIF(tabParametros[Código do Posto],tabCustoUnit[[#This Row],[Código do Posto]],tabParametros[Seguro de Vida])</f>
        <v>3.36</v>
      </c>
      <c r="AJ148" s="22">
        <f>SUMIF(tabParametros[Código do Posto],tabCustoUnit[[#This Row],[Código do Posto]],tabParametros[Despesas de Viagem])</f>
        <v>0</v>
      </c>
      <c r="AK148" s="22">
        <f>SUM(tabCustoUnit[[#This Row],[Vale - Transporte (Descontada parcela do empregado)]:[Despesas de Viagem]])</f>
        <v>745.58320000000003</v>
      </c>
      <c r="AL148" s="22">
        <f>tabCustoUnit[[#This Row],[Submódulo 2.1]]+tabCustoUnit[[#This Row],[Submódulo 2.2]]+tabCustoUnit[[#This Row],[Submódulo 2.3]]</f>
        <v>1810.4367628499999</v>
      </c>
      <c r="AM148" s="22">
        <f>SUMIF(tabParametros[Código do Posto],tabCustoUnit[[#This Row],[Código do Posto]],tabParametros[Aviso Prévio Indenizado (API) e Reflexo do Aviso Prévio Indenizado])*tabCustoUnit[[#This Row],[MODULO 1 - REMUNERAÇÃO ]]</f>
        <v>11.559051416493055</v>
      </c>
      <c r="AN148" s="22">
        <f>SUMIF(tabParametros[Código do Posto],tabCustoUnit[[#This Row],[Código do Posto]],tabParametros[Incidência do FGTS sobre API e Reflexo do API])*tabCustoUnit[[#This Row],[MODULO 1 - REMUNERAÇÃO ]]</f>
        <v>0.92472411331944449</v>
      </c>
      <c r="AO148" s="22">
        <f>SUMIF(tabParametros[Código do Posto],tabCustoUnit[[#This Row],[Código do Posto]],tabParametros[Multa Rescisória do FGTS sobre o Aviso Prévio Indenizado])*tabCustoUnit[[#This Row],[MODULO 1 - REMUNERAÇÃO ]]</f>
        <v>0.36988964532777785</v>
      </c>
      <c r="AP148" s="22">
        <f>SUMIF(tabParametros[Código do Posto],tabCustoUnit[[#This Row],[Código do Posto]],tabParametros[Aviso Prévio Trabalhado - APT])*tabCustoUnit[[#This Row],[MODULO 1 - REMUNERAÇÃO ]]</f>
        <v>5.7698266500000006</v>
      </c>
      <c r="AQ148" s="22">
        <f>SUMIF(tabParametros[Código do Posto],tabCustoUnit[[#This Row],[Código do Posto]],tabParametros[Incidência dos encargos do submódulo 2.1 sobre Aviso Prévio Trabalhado])*tabCustoUnit[[#This Row],[MODULO 1 - REMUNERAÇÃO ]]</f>
        <v>2.1809944737000007</v>
      </c>
      <c r="AR148" s="22">
        <f>SUMIF(tabParametros[Código do Posto],tabCustoUnit[[#This Row],[Código do Posto]],tabParametros[Multa Rescisória do FGTS])*tabCustoUnit[[#This Row],[MODULO 1 - REMUNERAÇÃO ]]</f>
        <v>50.40813631999999</v>
      </c>
      <c r="AS148" s="22">
        <f>SUMIF(tabParametros[Código do Posto],tabCustoUnit[[#This Row],[Código do Posto]],tabParametros[Indenização Adicional (Art. 9º da Lei nº 7.238/84)])*tabCustoUnit[[#This Row],[MODULO 1 - REMUNERAÇÃO ]]</f>
        <v>1.3737682500000001</v>
      </c>
      <c r="AT148" s="22">
        <f>SUM(tabCustoUnit[[#This Row],[Aviso Prévio Indenizado (API) e Reflexo do Aviso Prévio Indenizado]:[Indenização Adicional (Art. 9º da Lei nº 7.238/84)]])</f>
        <v>72.586390868840269</v>
      </c>
      <c r="AU148" s="22">
        <f>SUMIF(tabParametros[Código do Posto],tabCustoUnit[[#This Row],[Código do Posto]],tabParametros[Ausência por Doença])*tabCustoUnit[[#This Row],[MODULO 1 - REMUNERAÇÃO ]]</f>
        <v>13.920851599999999</v>
      </c>
      <c r="AV148" s="22">
        <f>SUMIF(tabParametros[Código do Posto],tabCustoUnit[[#This Row],[Código do Posto]],tabParametros[Ausências Legais])*tabCustoUnit[[#This Row],[MODULO 1 - REMUNERAÇÃO ]]</f>
        <v>3.3428360749999997</v>
      </c>
      <c r="AW148" s="22">
        <f>SUMIF(tabParametros[Código do Posto],tabCustoUnit[[#This Row],[Código do Posto]],tabParametros[Licença Paternidade])*tabCustoUnit[[#This Row],[MODULO 1 - REMUNERAÇÃO ]]</f>
        <v>0.28162249125</v>
      </c>
      <c r="AX148" s="22">
        <f>SUMIF(tabParametros[Código do Posto],tabCustoUnit[[#This Row],[Código do Posto]],tabParametros[Ausência por Acidente de Trabalho])*tabCustoUnit[[#This Row],[MODULO 1 - REMUNERAÇÃO ]]</f>
        <v>0.34344206250000003</v>
      </c>
      <c r="AY148" s="22">
        <f>SUMIF(tabParametros[Código do Posto],tabCustoUnit[[#This Row],[Código do Posto]],tabParametros[Férias, Adicional de Férias e 13º  com empregada em gozo de Licença Maternidade])*tabCustoUnit[[#This Row],[MODULO 1 - REMUNERAÇÃO ]]</f>
        <v>2.1369728333333331</v>
      </c>
      <c r="AZ148" s="22">
        <f>SUMIF(tabParametros[Código do Posto],tabCustoUnit[[#This Row],[Código do Posto]],tabParametros[Incidência do Submódulo 2.1 sobre Ausências Legais])*tabCustoUnit[[#This Row],[MODULO 1 - REMUNERAÇÃO ]]</f>
        <v>7.5697240734675013</v>
      </c>
      <c r="BA148" s="22">
        <f>SUM(tabCustoUnit[[#This Row],[Ausência por Doença]:[Incidência do Submódulo 2.1 sobre Ausências Legais]])</f>
        <v>27.595449135550833</v>
      </c>
      <c r="BB148" s="22">
        <f>SUMIF(tabParametros[Código do Posto],tabCustoUnit[[#This Row],[Código do Posto]],tabParametros[Intervalo para Repouso ou Alimentação])</f>
        <v>0</v>
      </c>
      <c r="BC148" s="22">
        <f>tabCustoUnit[[#This Row],[Intervalo para Repouso ou Alimentação]]</f>
        <v>0</v>
      </c>
      <c r="BD148" s="22">
        <f>IF(VLOOKUP(tabCustoUnit[[#This Row],[Código do Posto]],PARAMETROS!$A$4:$BJ$255,7,0)&lt;=0,0,
IFERROR((tabCustoUnit[[#This Row],[MODULO 1 - REMUNERAÇÃO ]]*VLOOKUP(tabCustoUnit[[#This Row],[Código do Posto]],PARAMETROS!$A$4:$BJ$255,49,0))/(VLOOKUP(tabCustoUnit[[#This Row],[Código do Posto]],PARAMETROS!$A$4:$BJ$255,7,0)*VLOOKUP(tabCustoUnit[[#This Row],[Código do Posto]],PARAMETROS!$A$4:$BJ$255,8,0)),0)
)</f>
        <v>0</v>
      </c>
      <c r="BE148" s="22">
        <f>tabCustoUnit[[#This Row],[Suspensão Temporária do Contrato de Trabalho]]</f>
        <v>0</v>
      </c>
      <c r="BF148" s="22">
        <f>tabCustoUnit[[#This Row],[Submódulo 4.1]]+tabCustoUnit[[#This Row],[Submódulo 4.2]]+tabCustoUnit[[#This Row],[Submódulo 4.3]]</f>
        <v>27.595449135550833</v>
      </c>
      <c r="BG148" s="22">
        <f>VLOOKUP(tabCustoUnit[[#This Row],[Código do Posto]],tabParametros[],MATCH(tabCustoUnit[[#Headers],[Uniformes e EPIs]],tabParametros[#Headers],0),0)</f>
        <v>100.80916666666666</v>
      </c>
      <c r="BH148" s="22">
        <f>VLOOKUP(tabCustoUnit[[#This Row],[Código do Posto]],tabParametros[],MATCH(tabCustoUnit[[#Headers],[Materiais de Consumo]],tabParametros[#Headers],0),0)</f>
        <v>35.518212958583888</v>
      </c>
      <c r="BI148" s="22">
        <f>VLOOKUP(tabCustoUnit[[#This Row],[Código do Posto]],tabParametros[],MATCH(tabCustoUnit[[#Headers],[Máquinas e Equipamentos (depreciação)]],tabParametros[#Headers],0),0)</f>
        <v>64.529393914825576</v>
      </c>
      <c r="BJ148" s="22">
        <f>VLOOKUP(tabCustoUnit[[#This Row],[Código do Posto]],tabParametros[],MATCH(tabCustoUnit[[#Headers],[Produtos de Limpeza e Materiais de Higiene Pessoal]],tabParametros[#Headers],0),0)</f>
        <v>690.27153277931654</v>
      </c>
      <c r="BK148" s="22">
        <f>VLOOKUP(tabCustoUnit[[#This Row],[Código do Posto]],tabParametros[],MATCH(tabCustoUnit[[#Headers],[Outros (especificar)]],tabParametros[#Headers],0),0)</f>
        <v>0</v>
      </c>
      <c r="BL148" s="22">
        <f>SUM(tabCustoUnit[[#This Row],[Uniformes e EPIs]:[Outros (especificar)]])</f>
        <v>891.12830631939266</v>
      </c>
      <c r="BM148" s="22">
        <f>tabCustoUnit[[#This Row],[MODULO 1 - REMUNERAÇÃO ]]+tabCustoUnit[[#This Row],[MÓDULO 2 - Total Encargos e Benefícios mensais e diários]]+tabCustoUnit[[#This Row],[MÓDULO 3 – PROVISÃO PARA RESCISÃO]]+tabCustoUnit[[#This Row],[MÓDULO 4 – CUSTO DE REPOSIÇÃO DO PROFISSIONAL AUSENTE]]+tabCustoUnit[[#This Row],[MÓDULO 5 – INSUMOS DIVERSOS]]</f>
        <v>4450.2688091737837</v>
      </c>
      <c r="BN148" s="22">
        <f>VLOOKUP(tabCustoUnit[[#This Row],[Código do Posto]],tabParametros[],MATCH(tabCustoUnit[[#Headers],[Custos Indiretos]],tabParametros[#Headers],0),0)</f>
        <v>189.64880140242613</v>
      </c>
      <c r="BO148" s="22">
        <f>VLOOKUP(tabCustoUnit[[#This Row],[Código do Posto]],tabParametros[],MATCH(tabCustoUnit[[#Headers],[Lucro]],tabParametros[#Headers],0),0)</f>
        <v>159.30499317803796</v>
      </c>
      <c r="BP148" s="26">
        <f>((100/((1-tabCustoUnit[[#This Row],[Resumo de Alíquotas (PIS+CONFINS+ISS)]]))-100)*VLOOKUP(tabCustoUnit[[#This Row],[Código do Posto]],tabParametros[],MATCH(tabCustoUnit[[#Headers],[COFINS]],tabParametros[#Headers],0),0))/(tabCustoUnit[[#This Row],[Resumo de Alíquotas (PIS+CONFINS+ISS)]]*100)</f>
        <v>8.8629737609329504E-2</v>
      </c>
      <c r="BQ148" s="26">
        <f>((100/((100-(tabCustoUnit[[#This Row],[Resumo de Alíquotas (PIS+CONFINS+ISS)]]*100))%)-100)*VLOOKUP(tabCustoUnit[[#This Row],[Código do Posto]],tabParametros[],MATCH(tabCustoUnit[[#Headers],[PIS]],tabParametros[#Headers],0),0))/(tabCustoUnit[[#This Row],[Resumo de Alíquotas (PIS+CONFINS+ISS)]]*100)</f>
        <v>1.9241982507288629E-2</v>
      </c>
      <c r="BR148" s="28">
        <f>VLOOKUP(tabCustoUnit[[#This Row],[Código do Posto]],tabParametros[],MATCH(tabCustoUnit[[#Headers],[ISS]],tabParametros[#Headers],0),0)</f>
        <v>0.05</v>
      </c>
      <c r="BS148" s="26">
        <f>(((100/((100-(tabCustoUnit[[#This Row],[Resumo de Alíquotas (PIS+CONFINS+ISS)]]*100))%)-100)*tabCustoUnit[[#This Row],[ISS]])/tabCustoUnit[[#This Row],[Resumo de Alíquotas (PIS+CONFINS+ISS)]])/100</f>
        <v>5.8309037900874633E-2</v>
      </c>
      <c r="BT148" s="26">
        <f>(VLOOKUP(tabCustoUnit[[#This Row],[Código do Posto]],tabParametros[],MATCH(tabCustoUnit[[#Headers],[COFINS]],tabParametros[#Headers],0),0)+
VLOOKUP(tabCustoUnit[[#This Row],[Código do Posto]],tabParametros[],MATCH(tabCustoUnit[[#Headers],[PIS]],tabParametros[#Headers],0),0)+
VLOOKUP(tabCustoUnit[[#This Row],[Código do Posto]],tabParametros[],MATCH(tabCustoUnit[[#Headers],[ISS]],tabParametros[#Headers],0),0))</f>
        <v>0.14250000000000002</v>
      </c>
      <c r="BU148" s="138">
        <f>tabCustoUnit[[#This Row],[COFINS]]+tabCustoUnit[[#This Row],[PIS]]+tabCustoUnit[[#This Row],[ISS (Conversão Alíquota s/ fatura)]]</f>
        <v>0.16618075801749277</v>
      </c>
      <c r="BV148" s="22">
        <f>(tabCustoUnit[[#This Row],[TOTAL MÓDULOS 1+2+3+4+5]]+tabCustoUnit[[#This Row],[Custos Indiretos]]+tabCustoUnit[[#This Row],[Lucro]])*tabCustoUnit[[#This Row],[PIS + COFINS + ISS (Total Conversão  Alíquota s/ Fatura)]]</f>
        <v>797.53845018656625</v>
      </c>
      <c r="BW148" s="22">
        <f>tabCustoUnit[[#This Row],[Custos Indiretos]]+tabCustoUnit[[#This Row],[Lucro]]+tabCustoUnit[[#This Row],[Valor dos Tributos (ISS, PIS, CONFINS)]]</f>
        <v>1146.4922447670303</v>
      </c>
      <c r="BX148" s="22">
        <f>tabCustoUnit[[#This Row],[TOTAL MÓDULOS 1+2+3+4+5]]+tabCustoUnit[[#This Row],[MÓDULO 6 – CUSTOS INDIRETOS, TRIBUTOS E LUCRO]]</f>
        <v>5596.7610539408142</v>
      </c>
      <c r="BY148" s="22">
        <f>tabCustoUnit[[#This Row],[CUSTO TOTAL MENSAL]]*12</f>
        <v>67161.132647289778</v>
      </c>
      <c r="BZ148" s="24">
        <f>VLOOKUP(tabCustoUnit[[#This Row],[Código do Posto]],tabParametros[],MATCH(tabCustoUnit[[#Headers],[ANO DA CCT]],tabParametros[#Headers],0),0)</f>
        <v>45658</v>
      </c>
      <c r="CA148" s="25" t="str">
        <f>VLOOKUP(tabCustoUnit[[#This Row],[Código do Posto]],tabParametros[],MATCH(tabCustoUnit[[#Headers],[Nº DE PEDIDO DA CCT]],tabParametros[#Headers],0),0)</f>
        <v>-</v>
      </c>
      <c r="CB148" s="25" t="str">
        <f>VLOOKUP(tabCustoUnit[[#This Row],[Código do Posto]],tabParametros[],MATCH(tabCustoUnit[[#Headers],[TERMO ADITIVO ALTERAÇÃO DA CCT]],tabParametros[#Headers],0),0)</f>
        <v>-</v>
      </c>
    </row>
    <row r="149" spans="1:80" x14ac:dyDescent="0.25">
      <c r="A149" s="20" t="s">
        <v>1485</v>
      </c>
      <c r="B149" t="s">
        <v>134</v>
      </c>
      <c r="C149" t="s">
        <v>1245</v>
      </c>
      <c r="D149" t="s">
        <v>1018</v>
      </c>
      <c r="E149" s="20" t="s">
        <v>9</v>
      </c>
      <c r="F149" s="20" t="s">
        <v>10</v>
      </c>
      <c r="G149" s="21">
        <v>1596.28</v>
      </c>
      <c r="H149" s="21">
        <v>0</v>
      </c>
      <c r="I149" s="21">
        <v>0</v>
      </c>
      <c r="J149" s="21">
        <v>0</v>
      </c>
      <c r="K149" s="21">
        <v>0</v>
      </c>
      <c r="L149" s="21">
        <v>0</v>
      </c>
      <c r="M149" s="21">
        <v>0</v>
      </c>
      <c r="N149" s="21">
        <v>52.241900000000001</v>
      </c>
      <c r="O149" s="21">
        <f>SUM(tabCustoUnit[[#This Row],[Salário Base]:[Adicional de Acúmulo de função]])</f>
        <v>1648.5219</v>
      </c>
      <c r="P149" s="21">
        <f>tabCustoUnit[[#This Row],[MODULO 1 - REMUNERAÇÃO ]]*SUMIFS(tabParametros[INSS],tabParametros[Código do Posto],tabCustoUnit[[#This Row],[Código do Posto]])</f>
        <v>329.70438000000001</v>
      </c>
      <c r="Q149" s="21">
        <f>tabCustoUnit[[#This Row],[MODULO 1 - REMUNERAÇÃO ]]*SUMIFS(tabParametros[SESI OU SESC],tabParametros[Código do Posto],tabCustoUnit[[#This Row],[Código do Posto]])</f>
        <v>24.727828499999998</v>
      </c>
      <c r="R149" s="21">
        <f>tabCustoUnit[[#This Row],[MODULO 1 - REMUNERAÇÃO ]]*SUMIFS(tabParametros[SENAI OU SENAC],tabParametros[Código do Posto],tabCustoUnit[[#This Row],[Código do Posto]])</f>
        <v>16.485219000000001</v>
      </c>
      <c r="S149" s="21">
        <f>tabCustoUnit[[#This Row],[MODULO 1 - REMUNERAÇÃO ]]*SUMIFS(tabParametros[INCRA],tabParametros[Código do Posto],tabCustoUnit[[#This Row],[Código do Posto]])</f>
        <v>3.2970438</v>
      </c>
      <c r="T149" s="21">
        <f>tabCustoUnit[[#This Row],[MODULO 1 - REMUNERAÇÃO ]]*SUMIFS(tabParametros[Salário Educação],tabParametros[Código do Posto],tabCustoUnit[[#This Row],[Código do Posto]])</f>
        <v>41.213047500000002</v>
      </c>
      <c r="U149" s="21">
        <f>tabCustoUnit[[#This Row],[MODULO 1 - REMUNERAÇÃO ]]*SUMIFS(tabParametros[FGTS],tabParametros[Código do Posto],tabCustoUnit[[#This Row],[Código do Posto]])</f>
        <v>131.88175200000001</v>
      </c>
      <c r="V149" s="21">
        <f>tabCustoUnit[[#This Row],[MODULO 1 - REMUNERAÇÃO ]]*SUMIFS(tabParametros[RAT Ajustado],tabParametros[Código do Posto],tabCustoUnit[[#This Row],[Código do Posto]])</f>
        <v>65.940876000000003</v>
      </c>
      <c r="W149" s="21">
        <f>tabCustoUnit[[#This Row],[MODULO 1 - REMUNERAÇÃO ]]*SUMIFS(tabParametros[SEBRAE],tabParametros[Código do Posto],tabCustoUnit[[#This Row],[Código do Posto]])</f>
        <v>9.8911314000000008</v>
      </c>
      <c r="X149" s="21">
        <f>SUM(tabCustoUnit[[#This Row],[INSS]:[SEBRAE]])</f>
        <v>623.14127819999999</v>
      </c>
      <c r="Y149" s="21">
        <f>tabCustoUnit[[#This Row],[MODULO 1 - REMUNERAÇÃO ]]*SUMIFS(tabParametros[13º salário (titular)],tabParametros[Código do Posto],tabCustoUnit[[#This Row],[Código do Posto]])</f>
        <v>137.376825</v>
      </c>
      <c r="Z149" s="21">
        <f>tabCustoUnit[[#This Row],[MODULO 1 - REMUNERAÇÃO ]]*SUMIFS(tabParametros[Férias e Adicional de Férias (titular)],tabParametros[Código do Posto],tabCustoUnit[[#This Row],[Código do Posto]])</f>
        <v>183.16909999999999</v>
      </c>
      <c r="AA149" s="21">
        <f>IFERROR((tabCustoUnit[[#This Row],[Submódulo 2.1]]/tabCustoUnit[[#This Row],[MODULO 1 - REMUNERAÇÃO ]])*SUM(tabCustoUnit[[#This Row],[13º salário (titular)]:[Férias e Adicional de Férias (titular)]]),0)</f>
        <v>121.16635965</v>
      </c>
      <c r="AB149" s="21">
        <f>SUM(tabCustoUnit[[#This Row],[13º salário (titular)]:[Incidência do Submódulo 2.1 sobre 13º Salário, Férias e Adicional de Férias]])</f>
        <v>441.71228465000002</v>
      </c>
      <c r="AC149" s="22">
        <f>_xlfn.LET(_xlpm.VT,SUMIF(tabParametros[Código do Posto],tabCustoUnit[[#This Row],[Código do Posto]],tabParametros[Vale - Transporte])*2*20,
IF((_xlpm.VT-tabCustoUnit[[#This Row],[Salário Base]]*0.06)&gt;=0,(_xlpm.VT-tabCustoUnit[[#This Row],[Salário Base]]*0.06),0)
)</f>
        <v>160.22320000000002</v>
      </c>
      <c r="AD149" s="22">
        <f>IF(SUMIF(tabParametros[Código do Posto],tabCustoUnit[[#This Row],[Código do Posto]],tabParametros[Vale - Alimentação])&lt;=0,0,
SUMIF(tabParametros[Código do Posto],tabCustoUnit[[#This Row],[Código do Posto]],tabParametros[Vale - Alimentação])*20-1)</f>
        <v>582</v>
      </c>
      <c r="AE149" s="22">
        <f>SUMIF(tabParametros[Código do Posto],tabCustoUnit[[#This Row],[Código do Posto]],tabParametros[Cesta Básica])</f>
        <v>0</v>
      </c>
      <c r="AF149" s="22">
        <f>SUMIF(tabParametros[Código do Posto],tabCustoUnit[[#This Row],[Código do Posto]],tabParametros[PAF])</f>
        <v>51.88</v>
      </c>
      <c r="AG149" s="22">
        <f>SUMIF(tabParametros[Código do Posto],tabCustoUnit[[#This Row],[Código do Posto]],tabParametros[PQM])</f>
        <v>0</v>
      </c>
      <c r="AH149" s="22">
        <f>SUMIF(tabParametros[Código do Posto],tabCustoUnit[[#This Row],[Código do Posto]],tabParametros[PAT])</f>
        <v>0</v>
      </c>
      <c r="AI149" s="22">
        <f>SUMIF(tabParametros[Código do Posto],tabCustoUnit[[#This Row],[Código do Posto]],tabParametros[Seguro de Vida])</f>
        <v>3.36</v>
      </c>
      <c r="AJ149" s="22">
        <f>SUMIF(tabParametros[Código do Posto],tabCustoUnit[[#This Row],[Código do Posto]],tabParametros[Despesas de Viagem])</f>
        <v>0</v>
      </c>
      <c r="AK149" s="22">
        <f>SUM(tabCustoUnit[[#This Row],[Vale - Transporte (Descontada parcela do empregado)]:[Despesas de Viagem]])</f>
        <v>797.46320000000003</v>
      </c>
      <c r="AL149" s="22">
        <f>tabCustoUnit[[#This Row],[Submódulo 2.1]]+tabCustoUnit[[#This Row],[Submódulo 2.2]]+tabCustoUnit[[#This Row],[Submódulo 2.3]]</f>
        <v>1862.31676285</v>
      </c>
      <c r="AM149" s="22">
        <f>SUMIF(tabParametros[Código do Posto],tabCustoUnit[[#This Row],[Código do Posto]],tabParametros[Aviso Prévio Indenizado (API) e Reflexo do Aviso Prévio Indenizado])*tabCustoUnit[[#This Row],[MODULO 1 - REMUNERAÇÃO ]]</f>
        <v>11.559051416493055</v>
      </c>
      <c r="AN149" s="22">
        <f>SUMIF(tabParametros[Código do Posto],tabCustoUnit[[#This Row],[Código do Posto]],tabParametros[Incidência do FGTS sobre API e Reflexo do API])*tabCustoUnit[[#This Row],[MODULO 1 - REMUNERAÇÃO ]]</f>
        <v>0.92472411331944449</v>
      </c>
      <c r="AO149" s="22">
        <f>SUMIF(tabParametros[Código do Posto],tabCustoUnit[[#This Row],[Código do Posto]],tabParametros[Multa Rescisória do FGTS sobre o Aviso Prévio Indenizado])*tabCustoUnit[[#This Row],[MODULO 1 - REMUNERAÇÃO ]]</f>
        <v>0.36988964532777785</v>
      </c>
      <c r="AP149" s="22">
        <f>SUMIF(tabParametros[Código do Posto],tabCustoUnit[[#This Row],[Código do Posto]],tabParametros[Aviso Prévio Trabalhado - APT])*tabCustoUnit[[#This Row],[MODULO 1 - REMUNERAÇÃO ]]</f>
        <v>5.7698266500000006</v>
      </c>
      <c r="AQ149" s="22">
        <f>SUMIF(tabParametros[Código do Posto],tabCustoUnit[[#This Row],[Código do Posto]],tabParametros[Incidência dos encargos do submódulo 2.1 sobre Aviso Prévio Trabalhado])*tabCustoUnit[[#This Row],[MODULO 1 - REMUNERAÇÃO ]]</f>
        <v>2.1809944737000007</v>
      </c>
      <c r="AR149" s="22">
        <f>SUMIF(tabParametros[Código do Posto],tabCustoUnit[[#This Row],[Código do Posto]],tabParametros[Multa Rescisória do FGTS])*tabCustoUnit[[#This Row],[MODULO 1 - REMUNERAÇÃO ]]</f>
        <v>50.40813631999999</v>
      </c>
      <c r="AS149" s="22">
        <f>SUMIF(tabParametros[Código do Posto],tabCustoUnit[[#This Row],[Código do Posto]],tabParametros[Indenização Adicional (Art. 9º da Lei nº 7.238/84)])*tabCustoUnit[[#This Row],[MODULO 1 - REMUNERAÇÃO ]]</f>
        <v>1.3737682500000001</v>
      </c>
      <c r="AT149" s="22">
        <f>SUM(tabCustoUnit[[#This Row],[Aviso Prévio Indenizado (API) e Reflexo do Aviso Prévio Indenizado]:[Indenização Adicional (Art. 9º da Lei nº 7.238/84)]])</f>
        <v>72.586390868840269</v>
      </c>
      <c r="AU149" s="22">
        <f>SUMIF(tabParametros[Código do Posto],tabCustoUnit[[#This Row],[Código do Posto]],tabParametros[Ausência por Doença])*tabCustoUnit[[#This Row],[MODULO 1 - REMUNERAÇÃO ]]</f>
        <v>13.920851599999999</v>
      </c>
      <c r="AV149" s="22">
        <f>SUMIF(tabParametros[Código do Posto],tabCustoUnit[[#This Row],[Código do Posto]],tabParametros[Ausências Legais])*tabCustoUnit[[#This Row],[MODULO 1 - REMUNERAÇÃO ]]</f>
        <v>3.3428360749999997</v>
      </c>
      <c r="AW149" s="22">
        <f>SUMIF(tabParametros[Código do Posto],tabCustoUnit[[#This Row],[Código do Posto]],tabParametros[Licença Paternidade])*tabCustoUnit[[#This Row],[MODULO 1 - REMUNERAÇÃO ]]</f>
        <v>0.28162249125</v>
      </c>
      <c r="AX149" s="22">
        <f>SUMIF(tabParametros[Código do Posto],tabCustoUnit[[#This Row],[Código do Posto]],tabParametros[Ausência por Acidente de Trabalho])*tabCustoUnit[[#This Row],[MODULO 1 - REMUNERAÇÃO ]]</f>
        <v>0.34344206250000003</v>
      </c>
      <c r="AY149" s="22">
        <f>SUMIF(tabParametros[Código do Posto],tabCustoUnit[[#This Row],[Código do Posto]],tabParametros[Férias, Adicional de Férias e 13º  com empregada em gozo de Licença Maternidade])*tabCustoUnit[[#This Row],[MODULO 1 - REMUNERAÇÃO ]]</f>
        <v>2.1369728333333331</v>
      </c>
      <c r="AZ149" s="22">
        <f>SUMIF(tabParametros[Código do Posto],tabCustoUnit[[#This Row],[Código do Posto]],tabParametros[Incidência do Submódulo 2.1 sobre Ausências Legais])*tabCustoUnit[[#This Row],[MODULO 1 - REMUNERAÇÃO ]]</f>
        <v>7.5697240734675013</v>
      </c>
      <c r="BA149" s="22">
        <f>SUM(tabCustoUnit[[#This Row],[Ausência por Doença]:[Incidência do Submódulo 2.1 sobre Ausências Legais]])</f>
        <v>27.595449135550833</v>
      </c>
      <c r="BB149" s="22">
        <f>SUMIF(tabParametros[Código do Posto],tabCustoUnit[[#This Row],[Código do Posto]],tabParametros[Intervalo para Repouso ou Alimentação])</f>
        <v>0</v>
      </c>
      <c r="BC149" s="22">
        <f>tabCustoUnit[[#This Row],[Intervalo para Repouso ou Alimentação]]</f>
        <v>0</v>
      </c>
      <c r="BD149" s="22">
        <f>IF(VLOOKUP(tabCustoUnit[[#This Row],[Código do Posto]],PARAMETROS!$A$4:$BJ$255,7,0)&lt;=0,0,
IFERROR((tabCustoUnit[[#This Row],[MODULO 1 - REMUNERAÇÃO ]]*VLOOKUP(tabCustoUnit[[#This Row],[Código do Posto]],PARAMETROS!$A$4:$BJ$255,49,0))/(VLOOKUP(tabCustoUnit[[#This Row],[Código do Posto]],PARAMETROS!$A$4:$BJ$255,7,0)*VLOOKUP(tabCustoUnit[[#This Row],[Código do Posto]],PARAMETROS!$A$4:$BJ$255,8,0)),0)
)</f>
        <v>0</v>
      </c>
      <c r="BE149" s="22">
        <f>tabCustoUnit[[#This Row],[Suspensão Temporária do Contrato de Trabalho]]</f>
        <v>0</v>
      </c>
      <c r="BF149" s="22">
        <f>tabCustoUnit[[#This Row],[Submódulo 4.1]]+tabCustoUnit[[#This Row],[Submódulo 4.2]]+tabCustoUnit[[#This Row],[Submódulo 4.3]]</f>
        <v>27.595449135550833</v>
      </c>
      <c r="BG149" s="22">
        <f>VLOOKUP(tabCustoUnit[[#This Row],[Código do Posto]],tabParametros[],MATCH(tabCustoUnit[[#Headers],[Uniformes e EPIs]],tabParametros[#Headers],0),0)</f>
        <v>100.80916666666666</v>
      </c>
      <c r="BH149" s="22">
        <f>VLOOKUP(tabCustoUnit[[#This Row],[Código do Posto]],tabParametros[],MATCH(tabCustoUnit[[#Headers],[Materiais de Consumo]],tabParametros[#Headers],0),0)</f>
        <v>35.518212958583888</v>
      </c>
      <c r="BI149" s="22">
        <f>VLOOKUP(tabCustoUnit[[#This Row],[Código do Posto]],tabParametros[],MATCH(tabCustoUnit[[#Headers],[Máquinas e Equipamentos (depreciação)]],tabParametros[#Headers],0),0)</f>
        <v>64.529393914825576</v>
      </c>
      <c r="BJ149" s="22">
        <f>VLOOKUP(tabCustoUnit[[#This Row],[Código do Posto]],tabParametros[],MATCH(tabCustoUnit[[#Headers],[Produtos de Limpeza e Materiais de Higiene Pessoal]],tabParametros[#Headers],0),0)</f>
        <v>690.27153277931654</v>
      </c>
      <c r="BK149" s="22">
        <f>VLOOKUP(tabCustoUnit[[#This Row],[Código do Posto]],tabParametros[],MATCH(tabCustoUnit[[#Headers],[Outros (especificar)]],tabParametros[#Headers],0),0)</f>
        <v>0</v>
      </c>
      <c r="BL149" s="22">
        <f>SUM(tabCustoUnit[[#This Row],[Uniformes e EPIs]:[Outros (especificar)]])</f>
        <v>891.12830631939266</v>
      </c>
      <c r="BM149" s="22">
        <f>tabCustoUnit[[#This Row],[MODULO 1 - REMUNERAÇÃO ]]+tabCustoUnit[[#This Row],[MÓDULO 2 - Total Encargos e Benefícios mensais e diários]]+tabCustoUnit[[#This Row],[MÓDULO 3 – PROVISÃO PARA RESCISÃO]]+tabCustoUnit[[#This Row],[MÓDULO 4 – CUSTO DE REPOSIÇÃO DO PROFISSIONAL AUSENTE]]+tabCustoUnit[[#This Row],[MÓDULO 5 – INSUMOS DIVERSOS]]</f>
        <v>4502.1488091737838</v>
      </c>
      <c r="BN149" s="22">
        <f>VLOOKUP(tabCustoUnit[[#This Row],[Código do Posto]],tabParametros[],MATCH(tabCustoUnit[[#Headers],[Custos Indiretos]],tabParametros[#Headers],0),0)</f>
        <v>189.64880140242613</v>
      </c>
      <c r="BO149" s="22">
        <f>VLOOKUP(tabCustoUnit[[#This Row],[Código do Posto]],tabParametros[],MATCH(tabCustoUnit[[#Headers],[Lucro]],tabParametros[#Headers],0),0)</f>
        <v>159.30499317803796</v>
      </c>
      <c r="BP149" s="26">
        <f>((100/((1-tabCustoUnit[[#This Row],[Resumo de Alíquotas (PIS+CONFINS+ISS)]]))-100)*VLOOKUP(tabCustoUnit[[#This Row],[Código do Posto]],tabParametros[],MATCH(tabCustoUnit[[#Headers],[COFINS]],tabParametros[#Headers],0),0))/(tabCustoUnit[[#This Row],[Resumo de Alíquotas (PIS+CONFINS+ISS)]]*100)</f>
        <v>8.6609686609686695E-2</v>
      </c>
      <c r="BQ149" s="26">
        <f>((100/((100-(tabCustoUnit[[#This Row],[Resumo de Alíquotas (PIS+CONFINS+ISS)]]*100))%)-100)*VLOOKUP(tabCustoUnit[[#This Row],[Código do Posto]],tabParametros[],MATCH(tabCustoUnit[[#Headers],[PIS]],tabParametros[#Headers],0),0))/(tabCustoUnit[[#This Row],[Resumo de Alíquotas (PIS+CONFINS+ISS)]]*100)</f>
        <v>1.880341880341882E-2</v>
      </c>
      <c r="BR149" s="28">
        <f>VLOOKUP(tabCustoUnit[[#This Row],[Código do Posto]],tabParametros[],MATCH(tabCustoUnit[[#Headers],[ISS]],tabParametros[#Headers],0),0)</f>
        <v>0.03</v>
      </c>
      <c r="BS149" s="26">
        <f>(((100/((100-(tabCustoUnit[[#This Row],[Resumo de Alíquotas (PIS+CONFINS+ISS)]]*100))%)-100)*tabCustoUnit[[#This Row],[ISS]])/tabCustoUnit[[#This Row],[Resumo de Alíquotas (PIS+CONFINS+ISS)]])/100</f>
        <v>3.4188034188034219E-2</v>
      </c>
      <c r="BT149" s="26">
        <f>(VLOOKUP(tabCustoUnit[[#This Row],[Código do Posto]],tabParametros[],MATCH(tabCustoUnit[[#Headers],[COFINS]],tabParametros[#Headers],0),0)+
VLOOKUP(tabCustoUnit[[#This Row],[Código do Posto]],tabParametros[],MATCH(tabCustoUnit[[#Headers],[PIS]],tabParametros[#Headers],0),0)+
VLOOKUP(tabCustoUnit[[#This Row],[Código do Posto]],tabParametros[],MATCH(tabCustoUnit[[#Headers],[ISS]],tabParametros[#Headers],0),0))</f>
        <v>0.1225</v>
      </c>
      <c r="BU149" s="138">
        <f>tabCustoUnit[[#This Row],[COFINS]]+tabCustoUnit[[#This Row],[PIS]]+tabCustoUnit[[#This Row],[ISS (Conversão Alíquota s/ fatura)]]</f>
        <v>0.13960113960113973</v>
      </c>
      <c r="BV149" s="22">
        <f>(tabCustoUnit[[#This Row],[TOTAL MÓDULOS 1+2+3+4+5]]+tabCustoUnit[[#This Row],[Custos Indiretos]]+tabCustoUnit[[#This Row],[Lucro]])*tabCustoUnit[[#This Row],[PIS + COFINS + ISS (Total Conversão  Alíquota s/ Fatura)]]</f>
        <v>677.21945180614921</v>
      </c>
      <c r="BW149" s="22">
        <f>tabCustoUnit[[#This Row],[Custos Indiretos]]+tabCustoUnit[[#This Row],[Lucro]]+tabCustoUnit[[#This Row],[Valor dos Tributos (ISS, PIS, CONFINS)]]</f>
        <v>1026.1732463866133</v>
      </c>
      <c r="BX149" s="22">
        <f>tabCustoUnit[[#This Row],[TOTAL MÓDULOS 1+2+3+4+5]]+tabCustoUnit[[#This Row],[MÓDULO 6 – CUSTOS INDIRETOS, TRIBUTOS E LUCRO]]</f>
        <v>5528.3220555603966</v>
      </c>
      <c r="BY149" s="22">
        <f>tabCustoUnit[[#This Row],[CUSTO TOTAL MENSAL]]*12</f>
        <v>66339.864666724752</v>
      </c>
      <c r="BZ149" s="24">
        <f>VLOOKUP(tabCustoUnit[[#This Row],[Código do Posto]],tabParametros[],MATCH(tabCustoUnit[[#Headers],[ANO DA CCT]],tabParametros[#Headers],0),0)</f>
        <v>45658</v>
      </c>
      <c r="CA149" s="25" t="str">
        <f>VLOOKUP(tabCustoUnit[[#This Row],[Código do Posto]],tabParametros[],MATCH(tabCustoUnit[[#Headers],[Nº DE PEDIDO DA CCT]],tabParametros[#Headers],0),0)</f>
        <v>-</v>
      </c>
      <c r="CB149" s="25" t="str">
        <f>VLOOKUP(tabCustoUnit[[#This Row],[Código do Posto]],tabParametros[],MATCH(tabCustoUnit[[#Headers],[TERMO ADITIVO ALTERAÇÃO DA CCT]],tabParametros[#Headers],0),0)</f>
        <v>-</v>
      </c>
    </row>
    <row r="150" spans="1:80" x14ac:dyDescent="0.25">
      <c r="A150" s="20" t="s">
        <v>1486</v>
      </c>
      <c r="B150" t="s">
        <v>135</v>
      </c>
      <c r="C150" t="s">
        <v>1244</v>
      </c>
      <c r="D150" t="s">
        <v>1020</v>
      </c>
      <c r="E150" s="20" t="s">
        <v>9</v>
      </c>
      <c r="F150" s="20" t="s">
        <v>10</v>
      </c>
      <c r="G150" s="21">
        <v>798.14</v>
      </c>
      <c r="H150" s="21">
        <v>0</v>
      </c>
      <c r="I150" s="21">
        <v>0</v>
      </c>
      <c r="J150" s="21">
        <v>0</v>
      </c>
      <c r="K150" s="21">
        <v>0</v>
      </c>
      <c r="L150" s="21">
        <v>0</v>
      </c>
      <c r="M150" s="21">
        <v>0</v>
      </c>
      <c r="N150" s="21">
        <v>26.120899999999999</v>
      </c>
      <c r="O150" s="21">
        <f>SUM(tabCustoUnit[[#This Row],[Salário Base]:[Adicional de Acúmulo de função]])</f>
        <v>824.26089999999999</v>
      </c>
      <c r="P150" s="21">
        <f>tabCustoUnit[[#This Row],[MODULO 1 - REMUNERAÇÃO ]]*SUMIFS(tabParametros[INSS],tabParametros[Código do Posto],tabCustoUnit[[#This Row],[Código do Posto]])</f>
        <v>164.85218</v>
      </c>
      <c r="Q150" s="21">
        <f>tabCustoUnit[[#This Row],[MODULO 1 - REMUNERAÇÃO ]]*SUMIFS(tabParametros[SESI OU SESC],tabParametros[Código do Posto],tabCustoUnit[[#This Row],[Código do Posto]])</f>
        <v>12.363913499999999</v>
      </c>
      <c r="R150" s="21">
        <f>tabCustoUnit[[#This Row],[MODULO 1 - REMUNERAÇÃO ]]*SUMIFS(tabParametros[SENAI OU SENAC],tabParametros[Código do Posto],tabCustoUnit[[#This Row],[Código do Posto]])</f>
        <v>8.2426089999999999</v>
      </c>
      <c r="S150" s="21">
        <f>tabCustoUnit[[#This Row],[MODULO 1 - REMUNERAÇÃO ]]*SUMIFS(tabParametros[INCRA],tabParametros[Código do Posto],tabCustoUnit[[#This Row],[Código do Posto]])</f>
        <v>1.6485217999999999</v>
      </c>
      <c r="T150" s="21">
        <f>tabCustoUnit[[#This Row],[MODULO 1 - REMUNERAÇÃO ]]*SUMIFS(tabParametros[Salário Educação],tabParametros[Código do Posto],tabCustoUnit[[#This Row],[Código do Posto]])</f>
        <v>20.606522500000001</v>
      </c>
      <c r="U150" s="21">
        <f>tabCustoUnit[[#This Row],[MODULO 1 - REMUNERAÇÃO ]]*SUMIFS(tabParametros[FGTS],tabParametros[Código do Posto],tabCustoUnit[[#This Row],[Código do Posto]])</f>
        <v>65.940871999999999</v>
      </c>
      <c r="V150" s="21">
        <f>tabCustoUnit[[#This Row],[MODULO 1 - REMUNERAÇÃO ]]*SUMIFS(tabParametros[RAT Ajustado],tabParametros[Código do Posto],tabCustoUnit[[#This Row],[Código do Posto]])</f>
        <v>32.970435999999999</v>
      </c>
      <c r="W150" s="21">
        <f>tabCustoUnit[[#This Row],[MODULO 1 - REMUNERAÇÃO ]]*SUMIFS(tabParametros[SEBRAE],tabParametros[Código do Posto],tabCustoUnit[[#This Row],[Código do Posto]])</f>
        <v>4.9455654000000004</v>
      </c>
      <c r="X150" s="21">
        <f>SUM(tabCustoUnit[[#This Row],[INSS]:[SEBRAE]])</f>
        <v>311.57062020000001</v>
      </c>
      <c r="Y150" s="21">
        <f>tabCustoUnit[[#This Row],[MODULO 1 - REMUNERAÇÃO ]]*SUMIFS(tabParametros[13º salário (titular)],tabParametros[Código do Posto],tabCustoUnit[[#This Row],[Código do Posto]])</f>
        <v>68.688408333333328</v>
      </c>
      <c r="Z150" s="21">
        <f>tabCustoUnit[[#This Row],[MODULO 1 - REMUNERAÇÃO ]]*SUMIFS(tabParametros[Férias e Adicional de Férias (titular)],tabParametros[Código do Posto],tabCustoUnit[[#This Row],[Código do Posto]])</f>
        <v>91.584544444444433</v>
      </c>
      <c r="AA150" s="21">
        <f>IFERROR((tabCustoUnit[[#This Row],[Submódulo 2.1]]/tabCustoUnit[[#This Row],[MODULO 1 - REMUNERAÇÃO ]])*SUM(tabCustoUnit[[#This Row],[13º salário (titular)]:[Férias e Adicional de Férias (titular)]]),0)</f>
        <v>60.583176149999993</v>
      </c>
      <c r="AB150" s="21">
        <f>SUM(tabCustoUnit[[#This Row],[13º salário (titular)]:[Incidência do Submódulo 2.1 sobre 13º Salário, Férias e Adicional de Férias]])</f>
        <v>220.85612892777775</v>
      </c>
      <c r="AC150" s="22">
        <f>_xlfn.LET(_xlpm.VT,SUMIF(tabParametros[Código do Posto],tabCustoUnit[[#This Row],[Código do Posto]],tabParametros[Vale - Transporte])*2*20,
IF((_xlpm.VT-tabCustoUnit[[#This Row],[Salário Base]]*0.06)&gt;=0,(_xlpm.VT-tabCustoUnit[[#This Row],[Salário Base]]*0.06),0)
)</f>
        <v>208.11160000000001</v>
      </c>
      <c r="AD150" s="22">
        <f>IF(SUMIF(tabParametros[Código do Posto],tabCustoUnit[[#This Row],[Código do Posto]],tabParametros[Vale - Alimentação])&lt;=0,0,
SUMIF(tabParametros[Código do Posto],tabCustoUnit[[#This Row],[Código do Posto]],tabParametros[Vale - Alimentação])*20-1)</f>
        <v>582</v>
      </c>
      <c r="AE150" s="22">
        <f>SUMIF(tabParametros[Código do Posto],tabCustoUnit[[#This Row],[Código do Posto]],tabParametros[Cesta Básica])</f>
        <v>0</v>
      </c>
      <c r="AF150" s="22">
        <f>SUMIF(tabParametros[Código do Posto],tabCustoUnit[[#This Row],[Código do Posto]],tabParametros[PAF])</f>
        <v>0</v>
      </c>
      <c r="AG150" s="22">
        <f>SUMIF(tabParametros[Código do Posto],tabCustoUnit[[#This Row],[Código do Posto]],tabParametros[PQM])</f>
        <v>0</v>
      </c>
      <c r="AH150" s="22">
        <f>SUMIF(tabParametros[Código do Posto],tabCustoUnit[[#This Row],[Código do Posto]],tabParametros[PAT])</f>
        <v>0</v>
      </c>
      <c r="AI150" s="22">
        <f>SUMIF(tabParametros[Código do Posto],tabCustoUnit[[#This Row],[Código do Posto]],tabParametros[Seguro de Vida])</f>
        <v>3.36</v>
      </c>
      <c r="AJ150" s="22">
        <f>SUMIF(tabParametros[Código do Posto],tabCustoUnit[[#This Row],[Código do Posto]],tabParametros[Despesas de Viagem])</f>
        <v>0</v>
      </c>
      <c r="AK150" s="22">
        <f>SUM(tabCustoUnit[[#This Row],[Vale - Transporte (Descontada parcela do empregado)]:[Despesas de Viagem]])</f>
        <v>793.47159999999997</v>
      </c>
      <c r="AL150" s="22">
        <f>tabCustoUnit[[#This Row],[Submódulo 2.1]]+tabCustoUnit[[#This Row],[Submódulo 2.2]]+tabCustoUnit[[#This Row],[Submódulo 2.3]]</f>
        <v>1325.8983491277777</v>
      </c>
      <c r="AM150" s="22">
        <f>SUMIF(tabParametros[Código do Posto],tabCustoUnit[[#This Row],[Código do Posto]],tabParametros[Aviso Prévio Indenizado (API) e Reflexo do Aviso Prévio Indenizado])*tabCustoUnit[[#This Row],[MODULO 1 - REMUNERAÇÃO ]]</f>
        <v>5.7795253576581791</v>
      </c>
      <c r="AN150" s="22">
        <f>SUMIF(tabParametros[Código do Posto],tabCustoUnit[[#This Row],[Código do Posto]],tabParametros[Incidência do FGTS sobre API e Reflexo do API])*tabCustoUnit[[#This Row],[MODULO 1 - REMUNERAÇÃO ]]</f>
        <v>0.46236202861265435</v>
      </c>
      <c r="AO150" s="22">
        <f>SUMIF(tabParametros[Código do Posto],tabCustoUnit[[#This Row],[Código do Posto]],tabParametros[Multa Rescisória do FGTS sobre o Aviso Prévio Indenizado])*tabCustoUnit[[#This Row],[MODULO 1 - REMUNERAÇÃO ]]</f>
        <v>0.18494481144506175</v>
      </c>
      <c r="AP150" s="22">
        <f>SUMIF(tabParametros[Código do Posto],tabCustoUnit[[#This Row],[Código do Posto]],tabParametros[Aviso Prévio Trabalhado - APT])*tabCustoUnit[[#This Row],[MODULO 1 - REMUNERAÇÃO ]]</f>
        <v>2.8849131500000005</v>
      </c>
      <c r="AQ150" s="22">
        <f>SUMIF(tabParametros[Código do Posto],tabCustoUnit[[#This Row],[Código do Posto]],tabParametros[Incidência dos encargos do submódulo 2.1 sobre Aviso Prévio Trabalhado])*tabCustoUnit[[#This Row],[MODULO 1 - REMUNERAÇÃO ]]</f>
        <v>1.0904971707000004</v>
      </c>
      <c r="AR150" s="22">
        <f>SUMIF(tabParametros[Código do Posto],tabCustoUnit[[#This Row],[Código do Posto]],tabParametros[Multa Rescisória do FGTS])*tabCustoUnit[[#This Row],[MODULO 1 - REMUNERAÇÃO ]]</f>
        <v>25.204066631111107</v>
      </c>
      <c r="AS150" s="22">
        <f>SUMIF(tabParametros[Código do Posto],tabCustoUnit[[#This Row],[Código do Posto]],tabParametros[Indenização Adicional (Art. 9º da Lei nº 7.238/84)])*tabCustoUnit[[#This Row],[MODULO 1 - REMUNERAÇÃO ]]</f>
        <v>0.6868840833333334</v>
      </c>
      <c r="AT150" s="22">
        <f>SUM(tabCustoUnit[[#This Row],[Aviso Prévio Indenizado (API) e Reflexo do Aviso Prévio Indenizado]:[Indenização Adicional (Art. 9º da Lei nº 7.238/84)]])</f>
        <v>36.293193232860339</v>
      </c>
      <c r="AU150" s="22">
        <f>SUMIF(tabParametros[Código do Posto],tabCustoUnit[[#This Row],[Código do Posto]],tabParametros[Ausência por Doença])*tabCustoUnit[[#This Row],[MODULO 1 - REMUNERAÇÃO ]]</f>
        <v>6.9604253777777769</v>
      </c>
      <c r="AV150" s="22">
        <f>SUMIF(tabParametros[Código do Posto],tabCustoUnit[[#This Row],[Código do Posto]],tabParametros[Ausências Legais])*tabCustoUnit[[#This Row],[MODULO 1 - REMUNERAÇÃO ]]</f>
        <v>1.671417936111111</v>
      </c>
      <c r="AW150" s="22">
        <f>SUMIF(tabParametros[Código do Posto],tabCustoUnit[[#This Row],[Código do Posto]],tabParametros[Licença Paternidade])*tabCustoUnit[[#This Row],[MODULO 1 - REMUNERAÇÃO ]]</f>
        <v>0.14081123708333332</v>
      </c>
      <c r="AX150" s="22">
        <f>SUMIF(tabParametros[Código do Posto],tabCustoUnit[[#This Row],[Código do Posto]],tabParametros[Ausência por Acidente de Trabalho])*tabCustoUnit[[#This Row],[MODULO 1 - REMUNERAÇÃO ]]</f>
        <v>0.17172102083333335</v>
      </c>
      <c r="AY150" s="22">
        <f>SUMIF(tabParametros[Código do Posto],tabCustoUnit[[#This Row],[Código do Posto]],tabParametros[Férias, Adicional de Férias e 13º  com empregada em gozo de Licença Maternidade])*tabCustoUnit[[#This Row],[MODULO 1 - REMUNERAÇÃO ]]</f>
        <v>1.0684863518518517</v>
      </c>
      <c r="AZ150" s="22">
        <f>SUMIF(tabParametros[Código do Posto],tabCustoUnit[[#This Row],[Código do Posto]],tabParametros[Incidência do Submódulo 2.1 sobre Ausências Legais])*tabCustoUnit[[#This Row],[MODULO 1 - REMUNERAÇÃO ]]</f>
        <v>3.7848618071425006</v>
      </c>
      <c r="BA150" s="22">
        <f>SUM(tabCustoUnit[[#This Row],[Ausência por Doença]:[Incidência do Submódulo 2.1 sobre Ausências Legais]])</f>
        <v>13.797723730799909</v>
      </c>
      <c r="BB150" s="22">
        <f>SUMIF(tabParametros[Código do Posto],tabCustoUnit[[#This Row],[Código do Posto]],tabParametros[Intervalo para Repouso ou Alimentação])</f>
        <v>0</v>
      </c>
      <c r="BC150" s="22">
        <f>tabCustoUnit[[#This Row],[Intervalo para Repouso ou Alimentação]]</f>
        <v>0</v>
      </c>
      <c r="BD150" s="22">
        <f>IF(VLOOKUP(tabCustoUnit[[#This Row],[Código do Posto]],PARAMETROS!$A$4:$BJ$255,7,0)&lt;=0,0,
IFERROR((tabCustoUnit[[#This Row],[MODULO 1 - REMUNERAÇÃO ]]*VLOOKUP(tabCustoUnit[[#This Row],[Código do Posto]],PARAMETROS!$A$4:$BJ$255,49,0))/(VLOOKUP(tabCustoUnit[[#This Row],[Código do Posto]],PARAMETROS!$A$4:$BJ$255,7,0)*VLOOKUP(tabCustoUnit[[#This Row],[Código do Posto]],PARAMETROS!$A$4:$BJ$255,8,0)),0)
)</f>
        <v>0</v>
      </c>
      <c r="BE150" s="22">
        <f>tabCustoUnit[[#This Row],[Suspensão Temporária do Contrato de Trabalho]]</f>
        <v>0</v>
      </c>
      <c r="BF150" s="22">
        <f>tabCustoUnit[[#This Row],[Submódulo 4.1]]+tabCustoUnit[[#This Row],[Submódulo 4.2]]+tabCustoUnit[[#This Row],[Submódulo 4.3]]</f>
        <v>13.797723730799909</v>
      </c>
      <c r="BG150" s="22">
        <f>VLOOKUP(tabCustoUnit[[#This Row],[Código do Posto]],tabParametros[],MATCH(tabCustoUnit[[#Headers],[Uniformes e EPIs]],tabParametros[#Headers],0),0)</f>
        <v>62.806666666666665</v>
      </c>
      <c r="BH150" s="22">
        <f>VLOOKUP(tabCustoUnit[[#This Row],[Código do Posto]],tabParametros[],MATCH(tabCustoUnit[[#Headers],[Materiais de Consumo]],tabParametros[#Headers],0),0)</f>
        <v>17.759106479291944</v>
      </c>
      <c r="BI150" s="22">
        <f>VLOOKUP(tabCustoUnit[[#This Row],[Código do Posto]],tabParametros[],MATCH(tabCustoUnit[[#Headers],[Máquinas e Equipamentos (depreciação)]],tabParametros[#Headers],0),0)</f>
        <v>32.264696957412788</v>
      </c>
      <c r="BJ150" s="22">
        <f>VLOOKUP(tabCustoUnit[[#This Row],[Código do Posto]],tabParametros[],MATCH(tabCustoUnit[[#Headers],[Produtos de Limpeza e Materiais de Higiene Pessoal]],tabParametros[#Headers],0),0)</f>
        <v>345.13576638965827</v>
      </c>
      <c r="BK150" s="22">
        <f>VLOOKUP(tabCustoUnit[[#This Row],[Código do Posto]],tabParametros[],MATCH(tabCustoUnit[[#Headers],[Outros (especificar)]],tabParametros[#Headers],0),0)</f>
        <v>0</v>
      </c>
      <c r="BL150" s="22">
        <f>SUM(tabCustoUnit[[#This Row],[Uniformes e EPIs]:[Outros (especificar)]])</f>
        <v>457.96623649302967</v>
      </c>
      <c r="BM150" s="22">
        <f>tabCustoUnit[[#This Row],[MODULO 1 - REMUNERAÇÃO ]]+tabCustoUnit[[#This Row],[MÓDULO 2 - Total Encargos e Benefícios mensais e diários]]+tabCustoUnit[[#This Row],[MÓDULO 3 – PROVISÃO PARA RESCISÃO]]+tabCustoUnit[[#This Row],[MÓDULO 4 – CUSTO DE REPOSIÇÃO DO PROFISSIONAL AUSENTE]]+tabCustoUnit[[#This Row],[MÓDULO 5 – INSUMOS DIVERSOS]]</f>
        <v>2658.2164025844677</v>
      </c>
      <c r="BN150" s="22">
        <f>VLOOKUP(tabCustoUnit[[#This Row],[Código do Posto]],tabParametros[],MATCH(tabCustoUnit[[#Headers],[Custos Indiretos]],tabParametros[#Headers],0),0)</f>
        <v>189.64880140242613</v>
      </c>
      <c r="BO150" s="22">
        <f>VLOOKUP(tabCustoUnit[[#This Row],[Código do Posto]],tabParametros[],MATCH(tabCustoUnit[[#Headers],[Lucro]],tabParametros[#Headers],0),0)</f>
        <v>159.30499317803796</v>
      </c>
      <c r="BP150" s="26">
        <f>((100/((1-tabCustoUnit[[#This Row],[Resumo de Alíquotas (PIS+CONFINS+ISS)]]))-100)*VLOOKUP(tabCustoUnit[[#This Row],[Código do Posto]],tabParametros[],MATCH(tabCustoUnit[[#Headers],[COFINS]],tabParametros[#Headers],0),0))/(tabCustoUnit[[#This Row],[Resumo de Alíquotas (PIS+CONFINS+ISS)]]*100)</f>
        <v>8.6609686609686695E-2</v>
      </c>
      <c r="BQ150" s="26">
        <f>((100/((100-(tabCustoUnit[[#This Row],[Resumo de Alíquotas (PIS+CONFINS+ISS)]]*100))%)-100)*VLOOKUP(tabCustoUnit[[#This Row],[Código do Posto]],tabParametros[],MATCH(tabCustoUnit[[#Headers],[PIS]],tabParametros[#Headers],0),0))/(tabCustoUnit[[#This Row],[Resumo de Alíquotas (PIS+CONFINS+ISS)]]*100)</f>
        <v>1.880341880341882E-2</v>
      </c>
      <c r="BR150" s="28">
        <f>VLOOKUP(tabCustoUnit[[#This Row],[Código do Posto]],tabParametros[],MATCH(tabCustoUnit[[#Headers],[ISS]],tabParametros[#Headers],0),0)</f>
        <v>0.03</v>
      </c>
      <c r="BS150" s="26">
        <f>(((100/((100-(tabCustoUnit[[#This Row],[Resumo de Alíquotas (PIS+CONFINS+ISS)]]*100))%)-100)*tabCustoUnit[[#This Row],[ISS]])/tabCustoUnit[[#This Row],[Resumo de Alíquotas (PIS+CONFINS+ISS)]])/100</f>
        <v>3.4188034188034219E-2</v>
      </c>
      <c r="BT150" s="26">
        <f>(VLOOKUP(tabCustoUnit[[#This Row],[Código do Posto]],tabParametros[],MATCH(tabCustoUnit[[#Headers],[COFINS]],tabParametros[#Headers],0),0)+
VLOOKUP(tabCustoUnit[[#This Row],[Código do Posto]],tabParametros[],MATCH(tabCustoUnit[[#Headers],[PIS]],tabParametros[#Headers],0),0)+
VLOOKUP(tabCustoUnit[[#This Row],[Código do Posto]],tabParametros[],MATCH(tabCustoUnit[[#Headers],[ISS]],tabParametros[#Headers],0),0))</f>
        <v>0.1225</v>
      </c>
      <c r="BU150" s="138">
        <f>tabCustoUnit[[#This Row],[COFINS]]+tabCustoUnit[[#This Row],[PIS]]+tabCustoUnit[[#This Row],[ISS (Conversão Alíquota s/ fatura)]]</f>
        <v>0.13960113960113973</v>
      </c>
      <c r="BV150" s="22">
        <f>(tabCustoUnit[[#This Row],[TOTAL MÓDULOS 1+2+3+4+5]]+tabCustoUnit[[#This Row],[Custos Indiretos]]+tabCustoUnit[[#This Row],[Lucro]])*tabCustoUnit[[#This Row],[PIS + COFINS + ISS (Total Conversão  Alíquota s/ Fatura)]]</f>
        <v>419.80438649880853</v>
      </c>
      <c r="BW150" s="22">
        <f>tabCustoUnit[[#This Row],[Custos Indiretos]]+tabCustoUnit[[#This Row],[Lucro]]+tabCustoUnit[[#This Row],[Valor dos Tributos (ISS, PIS, CONFINS)]]</f>
        <v>768.75818107927262</v>
      </c>
      <c r="BX150" s="22">
        <f>tabCustoUnit[[#This Row],[TOTAL MÓDULOS 1+2+3+4+5]]+tabCustoUnit[[#This Row],[MÓDULO 6 – CUSTOS INDIRETOS, TRIBUTOS E LUCRO]]</f>
        <v>3426.9745836637403</v>
      </c>
      <c r="BY150" s="22">
        <f>tabCustoUnit[[#This Row],[CUSTO TOTAL MENSAL]]*12</f>
        <v>41123.69500396488</v>
      </c>
      <c r="BZ150" s="24">
        <f>VLOOKUP(tabCustoUnit[[#This Row],[Código do Posto]],tabParametros[],MATCH(tabCustoUnit[[#Headers],[ANO DA CCT]],tabParametros[#Headers],0),0)</f>
        <v>45658</v>
      </c>
      <c r="CA150" s="25" t="str">
        <f>VLOOKUP(tabCustoUnit[[#This Row],[Código do Posto]],tabParametros[],MATCH(tabCustoUnit[[#Headers],[Nº DE PEDIDO DA CCT]],tabParametros[#Headers],0),0)</f>
        <v>-</v>
      </c>
      <c r="CB150" s="25" t="str">
        <f>VLOOKUP(tabCustoUnit[[#This Row],[Código do Posto]],tabParametros[],MATCH(tabCustoUnit[[#Headers],[TERMO ADITIVO ALTERAÇÃO DA CCT]],tabParametros[#Headers],0),0)</f>
        <v>-</v>
      </c>
    </row>
    <row r="151" spans="1:80" x14ac:dyDescent="0.25">
      <c r="A151" s="20" t="s">
        <v>1487</v>
      </c>
      <c r="B151" t="s">
        <v>136</v>
      </c>
      <c r="C151" t="s">
        <v>1247</v>
      </c>
      <c r="D151" t="s">
        <v>1000</v>
      </c>
      <c r="E151" s="20" t="s">
        <v>9</v>
      </c>
      <c r="F151" s="20" t="s">
        <v>10</v>
      </c>
      <c r="G151" s="21">
        <v>544.17999999999995</v>
      </c>
      <c r="H151" s="21">
        <v>0</v>
      </c>
      <c r="I151" s="21">
        <v>0</v>
      </c>
      <c r="J151" s="21">
        <v>0</v>
      </c>
      <c r="K151" s="21">
        <v>0</v>
      </c>
      <c r="L151" s="21">
        <v>0</v>
      </c>
      <c r="M151" s="21">
        <v>0</v>
      </c>
      <c r="N151" s="21">
        <v>19.590499999999999</v>
      </c>
      <c r="O151" s="21">
        <f>SUM(tabCustoUnit[[#This Row],[Salário Base]:[Adicional de Acúmulo de função]])</f>
        <v>563.77049999999997</v>
      </c>
      <c r="P151" s="21">
        <f>tabCustoUnit[[#This Row],[MODULO 1 - REMUNERAÇÃO ]]*SUMIFS(tabParametros[INSS],tabParametros[Código do Posto],tabCustoUnit[[#This Row],[Código do Posto]])</f>
        <v>112.75409999999999</v>
      </c>
      <c r="Q151" s="21">
        <f>tabCustoUnit[[#This Row],[MODULO 1 - REMUNERAÇÃO ]]*SUMIFS(tabParametros[SESI OU SESC],tabParametros[Código do Posto],tabCustoUnit[[#This Row],[Código do Posto]])</f>
        <v>8.4565574999999988</v>
      </c>
      <c r="R151" s="21">
        <f>tabCustoUnit[[#This Row],[MODULO 1 - REMUNERAÇÃO ]]*SUMIFS(tabParametros[SENAI OU SENAC],tabParametros[Código do Posto],tabCustoUnit[[#This Row],[Código do Posto]])</f>
        <v>5.6377049999999995</v>
      </c>
      <c r="S151" s="21">
        <f>tabCustoUnit[[#This Row],[MODULO 1 - REMUNERAÇÃO ]]*SUMIFS(tabParametros[INCRA],tabParametros[Código do Posto],tabCustoUnit[[#This Row],[Código do Posto]])</f>
        <v>1.1275409999999999</v>
      </c>
      <c r="T151" s="21">
        <f>tabCustoUnit[[#This Row],[MODULO 1 - REMUNERAÇÃO ]]*SUMIFS(tabParametros[Salário Educação],tabParametros[Código do Posto],tabCustoUnit[[#This Row],[Código do Posto]])</f>
        <v>14.094262499999999</v>
      </c>
      <c r="U151" s="21">
        <f>tabCustoUnit[[#This Row],[MODULO 1 - REMUNERAÇÃO ]]*SUMIFS(tabParametros[FGTS],tabParametros[Código do Posto],tabCustoUnit[[#This Row],[Código do Posto]])</f>
        <v>45.101639999999996</v>
      </c>
      <c r="V151" s="21">
        <f>tabCustoUnit[[#This Row],[MODULO 1 - REMUNERAÇÃO ]]*SUMIFS(tabParametros[RAT Ajustado],tabParametros[Código do Posto],tabCustoUnit[[#This Row],[Código do Posto]])</f>
        <v>22.550819999999998</v>
      </c>
      <c r="W151" s="21">
        <f>tabCustoUnit[[#This Row],[MODULO 1 - REMUNERAÇÃO ]]*SUMIFS(tabParametros[SEBRAE],tabParametros[Código do Posto],tabCustoUnit[[#This Row],[Código do Posto]])</f>
        <v>3.3826229999999997</v>
      </c>
      <c r="X151" s="21">
        <f>SUM(tabCustoUnit[[#This Row],[INSS]:[SEBRAE]])</f>
        <v>213.10524899999996</v>
      </c>
      <c r="Y151" s="21">
        <f>tabCustoUnit[[#This Row],[MODULO 1 - REMUNERAÇÃO ]]*SUMIFS(tabParametros[13º salário (titular)],tabParametros[Código do Posto],tabCustoUnit[[#This Row],[Código do Posto]])</f>
        <v>46.980874999999997</v>
      </c>
      <c r="Z151" s="21">
        <f>tabCustoUnit[[#This Row],[MODULO 1 - REMUNERAÇÃO ]]*SUMIFS(tabParametros[Férias e Adicional de Férias (titular)],tabParametros[Código do Posto],tabCustoUnit[[#This Row],[Código do Posto]])</f>
        <v>62.641166666666663</v>
      </c>
      <c r="AA151" s="21">
        <f>IFERROR((tabCustoUnit[[#This Row],[Submódulo 2.1]]/tabCustoUnit[[#This Row],[MODULO 1 - REMUNERAÇÃO ]])*SUM(tabCustoUnit[[#This Row],[13º salário (titular)]:[Férias e Adicional de Férias (titular)]]),0)</f>
        <v>41.437131749999992</v>
      </c>
      <c r="AB151" s="21">
        <f>SUM(tabCustoUnit[[#This Row],[13º salário (titular)]:[Incidência do Submódulo 2.1 sobre 13º Salário, Férias e Adicional de Férias]])</f>
        <v>151.05917341666665</v>
      </c>
      <c r="AC151" s="22">
        <f>_xlfn.LET(_xlpm.VT,SUMIF(tabParametros[Código do Posto],tabCustoUnit[[#This Row],[Código do Posto]],tabParametros[Vale - Transporte])*2*20,
IF((_xlpm.VT-tabCustoUnit[[#This Row],[Salário Base]]*0.06)&gt;=0,(_xlpm.VT-tabCustoUnit[[#This Row],[Salário Base]]*0.06),0)
)</f>
        <v>223.3492</v>
      </c>
      <c r="AD151" s="22">
        <f>IF(SUMIF(tabParametros[Código do Posto],tabCustoUnit[[#This Row],[Código do Posto]],tabParametros[Vale - Alimentação])&lt;=0,0,
SUMIF(tabParametros[Código do Posto],tabCustoUnit[[#This Row],[Código do Posto]],tabParametros[Vale - Alimentação])*20-1)</f>
        <v>582</v>
      </c>
      <c r="AE151" s="22">
        <f>SUMIF(tabParametros[Código do Posto],tabCustoUnit[[#This Row],[Código do Posto]],tabParametros[Cesta Básica])</f>
        <v>0</v>
      </c>
      <c r="AF151" s="22">
        <f>SUMIF(tabParametros[Código do Posto],tabCustoUnit[[#This Row],[Código do Posto]],tabParametros[PAF])</f>
        <v>0</v>
      </c>
      <c r="AG151" s="22">
        <f>SUMIF(tabParametros[Código do Posto],tabCustoUnit[[#This Row],[Código do Posto]],tabParametros[PQM])</f>
        <v>15.07</v>
      </c>
      <c r="AH151" s="22">
        <f>SUMIF(tabParametros[Código do Posto],tabCustoUnit[[#This Row],[Código do Posto]],tabParametros[PAT])</f>
        <v>0</v>
      </c>
      <c r="AI151" s="22">
        <f>SUMIF(tabParametros[Código do Posto],tabCustoUnit[[#This Row],[Código do Posto]],tabParametros[Seguro de Vida])</f>
        <v>3.36</v>
      </c>
      <c r="AJ151" s="22">
        <f>SUMIF(tabParametros[Código do Posto],tabCustoUnit[[#This Row],[Código do Posto]],tabParametros[Despesas de Viagem])</f>
        <v>0</v>
      </c>
      <c r="AK151" s="22">
        <f>SUM(tabCustoUnit[[#This Row],[Vale - Transporte (Descontada parcela do empregado)]:[Despesas de Viagem]])</f>
        <v>823.77920000000006</v>
      </c>
      <c r="AL151" s="22">
        <f>tabCustoUnit[[#This Row],[Submódulo 2.1]]+tabCustoUnit[[#This Row],[Submódulo 2.2]]+tabCustoUnit[[#This Row],[Submódulo 2.3]]</f>
        <v>1187.9436224166666</v>
      </c>
      <c r="AM151" s="22">
        <f>SUMIF(tabParametros[Código do Posto],tabCustoUnit[[#This Row],[Código do Posto]],tabParametros[Aviso Prévio Indenizado (API) e Reflexo do Aviso Prévio Indenizado])*tabCustoUnit[[#This Row],[MODULO 1 - REMUNERAÇÃO ]]</f>
        <v>3.9530273735532404</v>
      </c>
      <c r="AN151" s="22">
        <f>SUMIF(tabParametros[Código do Posto],tabCustoUnit[[#This Row],[Código do Posto]],tabParametros[Incidência do FGTS sobre API e Reflexo do API])*tabCustoUnit[[#This Row],[MODULO 1 - REMUNERAÇÃO ]]</f>
        <v>0.31624218988425928</v>
      </c>
      <c r="AO151" s="22">
        <f>SUMIF(tabParametros[Código do Posto],tabCustoUnit[[#This Row],[Código do Posto]],tabParametros[Multa Rescisória do FGTS sobre o Aviso Prévio Indenizado])*tabCustoUnit[[#This Row],[MODULO 1 - REMUNERAÇÃO ]]</f>
        <v>0.12649687595370371</v>
      </c>
      <c r="AP151" s="22">
        <f>SUMIF(tabParametros[Código do Posto],tabCustoUnit[[#This Row],[Código do Posto]],tabParametros[Aviso Prévio Trabalhado - APT])*tabCustoUnit[[#This Row],[MODULO 1 - REMUNERAÇÃO ]]</f>
        <v>1.9731967500000003</v>
      </c>
      <c r="AQ151" s="22">
        <f>SUMIF(tabParametros[Código do Posto],tabCustoUnit[[#This Row],[Código do Posto]],tabParametros[Incidência dos encargos do submódulo 2.1 sobre Aviso Prévio Trabalhado])*tabCustoUnit[[#This Row],[MODULO 1 - REMUNERAÇÃO ]]</f>
        <v>0.74586837150000018</v>
      </c>
      <c r="AR151" s="22">
        <f>SUMIF(tabParametros[Código do Posto],tabCustoUnit[[#This Row],[Código do Posto]],tabParametros[Multa Rescisória do FGTS])*tabCustoUnit[[#This Row],[MODULO 1 - REMUNERAÇÃO ]]</f>
        <v>17.238849066666663</v>
      </c>
      <c r="AS151" s="22">
        <f>SUMIF(tabParametros[Código do Posto],tabCustoUnit[[#This Row],[Código do Posto]],tabParametros[Indenização Adicional (Art. 9º da Lei nº 7.238/84)])*tabCustoUnit[[#This Row],[MODULO 1 - REMUNERAÇÃO ]]</f>
        <v>0.46980875</v>
      </c>
      <c r="AT151" s="22">
        <f>SUM(tabCustoUnit[[#This Row],[Aviso Prévio Indenizado (API) e Reflexo do Aviso Prévio Indenizado]:[Indenização Adicional (Art. 9º da Lei nº 7.238/84)]])</f>
        <v>24.823489377557866</v>
      </c>
      <c r="AU151" s="22">
        <f>SUMIF(tabParametros[Código do Posto],tabCustoUnit[[#This Row],[Código do Posto]],tabParametros[Ausência por Doença])*tabCustoUnit[[#This Row],[MODULO 1 - REMUNERAÇÃO ]]</f>
        <v>4.7607286666666662</v>
      </c>
      <c r="AV151" s="22">
        <f>SUMIF(tabParametros[Código do Posto],tabCustoUnit[[#This Row],[Código do Posto]],tabParametros[Ausências Legais])*tabCustoUnit[[#This Row],[MODULO 1 - REMUNERAÇÃO ]]</f>
        <v>1.1432012916666665</v>
      </c>
      <c r="AW151" s="22">
        <f>SUMIF(tabParametros[Código do Posto],tabCustoUnit[[#This Row],[Código do Posto]],tabParametros[Licença Paternidade])*tabCustoUnit[[#This Row],[MODULO 1 - REMUNERAÇÃO ]]</f>
        <v>9.6310793749999998E-2</v>
      </c>
      <c r="AX151" s="22">
        <f>SUMIF(tabParametros[Código do Posto],tabCustoUnit[[#This Row],[Código do Posto]],tabParametros[Ausência por Acidente de Trabalho])*tabCustoUnit[[#This Row],[MODULO 1 - REMUNERAÇÃO ]]</f>
        <v>0.1174521875</v>
      </c>
      <c r="AY151" s="22">
        <f>SUMIF(tabParametros[Código do Posto],tabCustoUnit[[#This Row],[Código do Posto]],tabParametros[Férias, Adicional de Férias e 13º  com empregada em gozo de Licença Maternidade])*tabCustoUnit[[#This Row],[MODULO 1 - REMUNERAÇÃO ]]</f>
        <v>0.73081361111111109</v>
      </c>
      <c r="AZ151" s="22">
        <f>SUMIF(tabParametros[Código do Posto],tabCustoUnit[[#This Row],[Código do Posto]],tabParametros[Incidência do Submódulo 2.1 sobre Ausências Legais])*tabCustoUnit[[#This Row],[MODULO 1 - REMUNERAÇÃO ]]</f>
        <v>2.5887354761625003</v>
      </c>
      <c r="BA151" s="22">
        <f>SUM(tabCustoUnit[[#This Row],[Ausência por Doença]:[Incidência do Submódulo 2.1 sobre Ausências Legais]])</f>
        <v>9.4372420268569428</v>
      </c>
      <c r="BB151" s="22">
        <f>SUMIF(tabParametros[Código do Posto],tabCustoUnit[[#This Row],[Código do Posto]],tabParametros[Intervalo para Repouso ou Alimentação])</f>
        <v>0</v>
      </c>
      <c r="BC151" s="22">
        <f>tabCustoUnit[[#This Row],[Intervalo para Repouso ou Alimentação]]</f>
        <v>0</v>
      </c>
      <c r="BD151" s="22">
        <f>IF(VLOOKUP(tabCustoUnit[[#This Row],[Código do Posto]],PARAMETROS!$A$4:$BJ$255,7,0)&lt;=0,0,
IFERROR((tabCustoUnit[[#This Row],[MODULO 1 - REMUNERAÇÃO ]]*VLOOKUP(tabCustoUnit[[#This Row],[Código do Posto]],PARAMETROS!$A$4:$BJ$255,49,0))/(VLOOKUP(tabCustoUnit[[#This Row],[Código do Posto]],PARAMETROS!$A$4:$BJ$255,7,0)*VLOOKUP(tabCustoUnit[[#This Row],[Código do Posto]],PARAMETROS!$A$4:$BJ$255,8,0)),0)
)</f>
        <v>0</v>
      </c>
      <c r="BE151" s="22">
        <f>tabCustoUnit[[#This Row],[Suspensão Temporária do Contrato de Trabalho]]</f>
        <v>0</v>
      </c>
      <c r="BF151" s="22">
        <f>tabCustoUnit[[#This Row],[Submódulo 4.1]]+tabCustoUnit[[#This Row],[Submódulo 4.2]]+tabCustoUnit[[#This Row],[Submódulo 4.3]]</f>
        <v>9.4372420268569428</v>
      </c>
      <c r="BG151" s="22">
        <f>VLOOKUP(tabCustoUnit[[#This Row],[Código do Posto]],tabParametros[],MATCH(tabCustoUnit[[#Headers],[Uniformes e EPIs]],tabParametros[#Headers],0),0)</f>
        <v>62.806666666666665</v>
      </c>
      <c r="BH151" s="22">
        <f>VLOOKUP(tabCustoUnit[[#This Row],[Código do Posto]],tabParametros[],MATCH(tabCustoUnit[[#Headers],[Materiais de Consumo]],tabParametros[#Headers],0),0)</f>
        <v>12.108481690426325</v>
      </c>
      <c r="BI151" s="22">
        <f>VLOOKUP(tabCustoUnit[[#This Row],[Código do Posto]],tabParametros[],MATCH(tabCustoUnit[[#Headers],[Máquinas e Equipamentos (depreciação)]],tabParametros[#Headers],0),0)</f>
        <v>21.998657016417809</v>
      </c>
      <c r="BJ151" s="22">
        <f>VLOOKUP(tabCustoUnit[[#This Row],[Código do Posto]],tabParametros[],MATCH(tabCustoUnit[[#Headers],[Produtos de Limpeza e Materiais de Higiene Pessoal]],tabParametros[#Headers],0),0)</f>
        <v>235.31984072022155</v>
      </c>
      <c r="BK151" s="22">
        <f>VLOOKUP(tabCustoUnit[[#This Row],[Código do Posto]],tabParametros[],MATCH(tabCustoUnit[[#Headers],[Outros (especificar)]],tabParametros[#Headers],0),0)</f>
        <v>0</v>
      </c>
      <c r="BL151" s="22">
        <f>SUM(tabCustoUnit[[#This Row],[Uniformes e EPIs]:[Outros (especificar)]])</f>
        <v>332.23364609373232</v>
      </c>
      <c r="BM151" s="22">
        <f>tabCustoUnit[[#This Row],[MODULO 1 - REMUNERAÇÃO ]]+tabCustoUnit[[#This Row],[MÓDULO 2 - Total Encargos e Benefícios mensais e diários]]+tabCustoUnit[[#This Row],[MÓDULO 3 – PROVISÃO PARA RESCISÃO]]+tabCustoUnit[[#This Row],[MÓDULO 4 – CUSTO DE REPOSIÇÃO DO PROFISSIONAL AUSENTE]]+tabCustoUnit[[#This Row],[MÓDULO 5 – INSUMOS DIVERSOS]]</f>
        <v>2118.2084999148137</v>
      </c>
      <c r="BN151" s="22">
        <f>VLOOKUP(tabCustoUnit[[#This Row],[Código do Posto]],tabParametros[],MATCH(tabCustoUnit[[#Headers],[Custos Indiretos]],tabParametros[#Headers],0),0)</f>
        <v>189.64880140242613</v>
      </c>
      <c r="BO151" s="22">
        <f>VLOOKUP(tabCustoUnit[[#This Row],[Código do Posto]],tabParametros[],MATCH(tabCustoUnit[[#Headers],[Lucro]],tabParametros[#Headers],0),0)</f>
        <v>159.30499317803796</v>
      </c>
      <c r="BP151" s="26">
        <f>((100/((1-tabCustoUnit[[#This Row],[Resumo de Alíquotas (PIS+CONFINS+ISS)]]))-100)*VLOOKUP(tabCustoUnit[[#This Row],[Código do Posto]],tabParametros[],MATCH(tabCustoUnit[[#Headers],[COFINS]],tabParametros[#Headers],0),0))/(tabCustoUnit[[#This Row],[Resumo de Alíquotas (PIS+CONFINS+ISS)]]*100)</f>
        <v>8.6609686609686695E-2</v>
      </c>
      <c r="BQ151" s="26">
        <f>((100/((100-(tabCustoUnit[[#This Row],[Resumo de Alíquotas (PIS+CONFINS+ISS)]]*100))%)-100)*VLOOKUP(tabCustoUnit[[#This Row],[Código do Posto]],tabParametros[],MATCH(tabCustoUnit[[#Headers],[PIS]],tabParametros[#Headers],0),0))/(tabCustoUnit[[#This Row],[Resumo de Alíquotas (PIS+CONFINS+ISS)]]*100)</f>
        <v>1.880341880341882E-2</v>
      </c>
      <c r="BR151" s="28">
        <f>VLOOKUP(tabCustoUnit[[#This Row],[Código do Posto]],tabParametros[],MATCH(tabCustoUnit[[#Headers],[ISS]],tabParametros[#Headers],0),0)</f>
        <v>0.03</v>
      </c>
      <c r="BS151" s="26">
        <f>(((100/((100-(tabCustoUnit[[#This Row],[Resumo de Alíquotas (PIS+CONFINS+ISS)]]*100))%)-100)*tabCustoUnit[[#This Row],[ISS]])/tabCustoUnit[[#This Row],[Resumo de Alíquotas (PIS+CONFINS+ISS)]])/100</f>
        <v>3.4188034188034219E-2</v>
      </c>
      <c r="BT151" s="26">
        <f>(VLOOKUP(tabCustoUnit[[#This Row],[Código do Posto]],tabParametros[],MATCH(tabCustoUnit[[#Headers],[COFINS]],tabParametros[#Headers],0),0)+
VLOOKUP(tabCustoUnit[[#This Row],[Código do Posto]],tabParametros[],MATCH(tabCustoUnit[[#Headers],[PIS]],tabParametros[#Headers],0),0)+
VLOOKUP(tabCustoUnit[[#This Row],[Código do Posto]],tabParametros[],MATCH(tabCustoUnit[[#Headers],[ISS]],tabParametros[#Headers],0),0))</f>
        <v>0.1225</v>
      </c>
      <c r="BU151" s="138">
        <f>tabCustoUnit[[#This Row],[COFINS]]+tabCustoUnit[[#This Row],[PIS]]+tabCustoUnit[[#This Row],[ISS (Conversão Alíquota s/ fatura)]]</f>
        <v>0.13960113960113973</v>
      </c>
      <c r="BV151" s="22">
        <f>(tabCustoUnit[[#This Row],[TOTAL MÓDULOS 1+2+3+4+5]]+tabCustoUnit[[#This Row],[Custos Indiretos]]+tabCustoUnit[[#This Row],[Lucro]])*tabCustoUnit[[#This Row],[PIS + COFINS + ISS (Total Conversão  Alíquota s/ Fatura)]]</f>
        <v>344.41866789250349</v>
      </c>
      <c r="BW151" s="22">
        <f>tabCustoUnit[[#This Row],[Custos Indiretos]]+tabCustoUnit[[#This Row],[Lucro]]+tabCustoUnit[[#This Row],[Valor dos Tributos (ISS, PIS, CONFINS)]]</f>
        <v>693.37246247296753</v>
      </c>
      <c r="BX151" s="22">
        <f>tabCustoUnit[[#This Row],[TOTAL MÓDULOS 1+2+3+4+5]]+tabCustoUnit[[#This Row],[MÓDULO 6 – CUSTOS INDIRETOS, TRIBUTOS E LUCRO]]</f>
        <v>2811.5809623877813</v>
      </c>
      <c r="BY151" s="22">
        <f>tabCustoUnit[[#This Row],[CUSTO TOTAL MENSAL]]*12</f>
        <v>33738.971548653375</v>
      </c>
      <c r="BZ151" s="24">
        <f>VLOOKUP(tabCustoUnit[[#This Row],[Código do Posto]],tabParametros[],MATCH(tabCustoUnit[[#Headers],[ANO DA CCT]],tabParametros[#Headers],0),0)</f>
        <v>45658</v>
      </c>
      <c r="CA151" s="25" t="str">
        <f>VLOOKUP(tabCustoUnit[[#This Row],[Código do Posto]],tabParametros[],MATCH(tabCustoUnit[[#Headers],[Nº DE PEDIDO DA CCT]],tabParametros[#Headers],0),0)</f>
        <v>-</v>
      </c>
      <c r="CB151" s="25" t="str">
        <f>VLOOKUP(tabCustoUnit[[#This Row],[Código do Posto]],tabParametros[],MATCH(tabCustoUnit[[#Headers],[TERMO ADITIVO ALTERAÇÃO DA CCT]],tabParametros[#Headers],0),0)</f>
        <v>-</v>
      </c>
    </row>
    <row r="152" spans="1:80" x14ac:dyDescent="0.25">
      <c r="A152" s="20" t="s">
        <v>1488</v>
      </c>
      <c r="B152" t="s">
        <v>137</v>
      </c>
      <c r="C152" t="s">
        <v>1244</v>
      </c>
      <c r="D152" t="s">
        <v>1020</v>
      </c>
      <c r="E152" s="20" t="s">
        <v>9</v>
      </c>
      <c r="F152" s="20" t="s">
        <v>10</v>
      </c>
      <c r="G152" s="21">
        <v>798.14</v>
      </c>
      <c r="H152" s="21">
        <v>0</v>
      </c>
      <c r="I152" s="21">
        <v>0</v>
      </c>
      <c r="J152" s="21">
        <v>0</v>
      </c>
      <c r="K152" s="21">
        <v>0</v>
      </c>
      <c r="L152" s="21">
        <v>0</v>
      </c>
      <c r="M152" s="21">
        <v>0</v>
      </c>
      <c r="N152" s="21">
        <v>26.120899999999999</v>
      </c>
      <c r="O152" s="21">
        <f>SUM(tabCustoUnit[[#This Row],[Salário Base]:[Adicional de Acúmulo de função]])</f>
        <v>824.26089999999999</v>
      </c>
      <c r="P152" s="21">
        <f>tabCustoUnit[[#This Row],[MODULO 1 - REMUNERAÇÃO ]]*SUMIFS(tabParametros[INSS],tabParametros[Código do Posto],tabCustoUnit[[#This Row],[Código do Posto]])</f>
        <v>164.85218</v>
      </c>
      <c r="Q152" s="21">
        <f>tabCustoUnit[[#This Row],[MODULO 1 - REMUNERAÇÃO ]]*SUMIFS(tabParametros[SESI OU SESC],tabParametros[Código do Posto],tabCustoUnit[[#This Row],[Código do Posto]])</f>
        <v>12.363913499999999</v>
      </c>
      <c r="R152" s="21">
        <f>tabCustoUnit[[#This Row],[MODULO 1 - REMUNERAÇÃO ]]*SUMIFS(tabParametros[SENAI OU SENAC],tabParametros[Código do Posto],tabCustoUnit[[#This Row],[Código do Posto]])</f>
        <v>8.2426089999999999</v>
      </c>
      <c r="S152" s="21">
        <f>tabCustoUnit[[#This Row],[MODULO 1 - REMUNERAÇÃO ]]*SUMIFS(tabParametros[INCRA],tabParametros[Código do Posto],tabCustoUnit[[#This Row],[Código do Posto]])</f>
        <v>1.6485217999999999</v>
      </c>
      <c r="T152" s="21">
        <f>tabCustoUnit[[#This Row],[MODULO 1 - REMUNERAÇÃO ]]*SUMIFS(tabParametros[Salário Educação],tabParametros[Código do Posto],tabCustoUnit[[#This Row],[Código do Posto]])</f>
        <v>20.606522500000001</v>
      </c>
      <c r="U152" s="21">
        <f>tabCustoUnit[[#This Row],[MODULO 1 - REMUNERAÇÃO ]]*SUMIFS(tabParametros[FGTS],tabParametros[Código do Posto],tabCustoUnit[[#This Row],[Código do Posto]])</f>
        <v>65.940871999999999</v>
      </c>
      <c r="V152" s="21">
        <f>tabCustoUnit[[#This Row],[MODULO 1 - REMUNERAÇÃO ]]*SUMIFS(tabParametros[RAT Ajustado],tabParametros[Código do Posto],tabCustoUnit[[#This Row],[Código do Posto]])</f>
        <v>32.970435999999999</v>
      </c>
      <c r="W152" s="21">
        <f>tabCustoUnit[[#This Row],[MODULO 1 - REMUNERAÇÃO ]]*SUMIFS(tabParametros[SEBRAE],tabParametros[Código do Posto],tabCustoUnit[[#This Row],[Código do Posto]])</f>
        <v>4.9455654000000004</v>
      </c>
      <c r="X152" s="21">
        <f>SUM(tabCustoUnit[[#This Row],[INSS]:[SEBRAE]])</f>
        <v>311.57062020000001</v>
      </c>
      <c r="Y152" s="21">
        <f>tabCustoUnit[[#This Row],[MODULO 1 - REMUNERAÇÃO ]]*SUMIFS(tabParametros[13º salário (titular)],tabParametros[Código do Posto],tabCustoUnit[[#This Row],[Código do Posto]])</f>
        <v>68.688408333333328</v>
      </c>
      <c r="Z152" s="21">
        <f>tabCustoUnit[[#This Row],[MODULO 1 - REMUNERAÇÃO ]]*SUMIFS(tabParametros[Férias e Adicional de Férias (titular)],tabParametros[Código do Posto],tabCustoUnit[[#This Row],[Código do Posto]])</f>
        <v>91.584544444444433</v>
      </c>
      <c r="AA152" s="21">
        <f>IFERROR((tabCustoUnit[[#This Row],[Submódulo 2.1]]/tabCustoUnit[[#This Row],[MODULO 1 - REMUNERAÇÃO ]])*SUM(tabCustoUnit[[#This Row],[13º salário (titular)]:[Férias e Adicional de Férias (titular)]]),0)</f>
        <v>60.583176149999993</v>
      </c>
      <c r="AB152" s="21">
        <f>SUM(tabCustoUnit[[#This Row],[13º salário (titular)]:[Incidência do Submódulo 2.1 sobre 13º Salário, Férias e Adicional de Férias]])</f>
        <v>220.85612892777775</v>
      </c>
      <c r="AC152" s="22">
        <f>_xlfn.LET(_xlpm.VT,SUMIF(tabParametros[Código do Posto],tabCustoUnit[[#This Row],[Código do Posto]],tabParametros[Vale - Transporte])*2*20,
IF((_xlpm.VT-tabCustoUnit[[#This Row],[Salário Base]]*0.06)&gt;=0,(_xlpm.VT-tabCustoUnit[[#This Row],[Salário Base]]*0.06),0)
)</f>
        <v>208.11160000000001</v>
      </c>
      <c r="AD152" s="22">
        <f>IF(SUMIF(tabParametros[Código do Posto],tabCustoUnit[[#This Row],[Código do Posto]],tabParametros[Vale - Alimentação])&lt;=0,0,
SUMIF(tabParametros[Código do Posto],tabCustoUnit[[#This Row],[Código do Posto]],tabParametros[Vale - Alimentação])*20-1)</f>
        <v>582</v>
      </c>
      <c r="AE152" s="22">
        <f>SUMIF(tabParametros[Código do Posto],tabCustoUnit[[#This Row],[Código do Posto]],tabParametros[Cesta Básica])</f>
        <v>0</v>
      </c>
      <c r="AF152" s="22">
        <f>SUMIF(tabParametros[Código do Posto],tabCustoUnit[[#This Row],[Código do Posto]],tabParametros[PAF])</f>
        <v>51.87</v>
      </c>
      <c r="AG152" s="22">
        <f>SUMIF(tabParametros[Código do Posto],tabCustoUnit[[#This Row],[Código do Posto]],tabParametros[PQM])</f>
        <v>0</v>
      </c>
      <c r="AH152" s="22">
        <f>SUMIF(tabParametros[Código do Posto],tabCustoUnit[[#This Row],[Código do Posto]],tabParametros[PAT])</f>
        <v>0</v>
      </c>
      <c r="AI152" s="22">
        <f>SUMIF(tabParametros[Código do Posto],tabCustoUnit[[#This Row],[Código do Posto]],tabParametros[Seguro de Vida])</f>
        <v>3.36</v>
      </c>
      <c r="AJ152" s="22">
        <f>SUMIF(tabParametros[Código do Posto],tabCustoUnit[[#This Row],[Código do Posto]],tabParametros[Despesas de Viagem])</f>
        <v>0</v>
      </c>
      <c r="AK152" s="22">
        <f>SUM(tabCustoUnit[[#This Row],[Vale - Transporte (Descontada parcela do empregado)]:[Despesas de Viagem]])</f>
        <v>845.34159999999997</v>
      </c>
      <c r="AL152" s="22">
        <f>tabCustoUnit[[#This Row],[Submódulo 2.1]]+tabCustoUnit[[#This Row],[Submódulo 2.2]]+tabCustoUnit[[#This Row],[Submódulo 2.3]]</f>
        <v>1377.7683491277776</v>
      </c>
      <c r="AM152" s="22">
        <f>SUMIF(tabParametros[Código do Posto],tabCustoUnit[[#This Row],[Código do Posto]],tabParametros[Aviso Prévio Indenizado (API) e Reflexo do Aviso Prévio Indenizado])*tabCustoUnit[[#This Row],[MODULO 1 - REMUNERAÇÃO ]]</f>
        <v>5.7795253576581791</v>
      </c>
      <c r="AN152" s="22">
        <f>SUMIF(tabParametros[Código do Posto],tabCustoUnit[[#This Row],[Código do Posto]],tabParametros[Incidência do FGTS sobre API e Reflexo do API])*tabCustoUnit[[#This Row],[MODULO 1 - REMUNERAÇÃO ]]</f>
        <v>0.46236202861265435</v>
      </c>
      <c r="AO152" s="22">
        <f>SUMIF(tabParametros[Código do Posto],tabCustoUnit[[#This Row],[Código do Posto]],tabParametros[Multa Rescisória do FGTS sobre o Aviso Prévio Indenizado])*tabCustoUnit[[#This Row],[MODULO 1 - REMUNERAÇÃO ]]</f>
        <v>0.18494481144506175</v>
      </c>
      <c r="AP152" s="22">
        <f>SUMIF(tabParametros[Código do Posto],tabCustoUnit[[#This Row],[Código do Posto]],tabParametros[Aviso Prévio Trabalhado - APT])*tabCustoUnit[[#This Row],[MODULO 1 - REMUNERAÇÃO ]]</f>
        <v>2.8849131500000005</v>
      </c>
      <c r="AQ152" s="22">
        <f>SUMIF(tabParametros[Código do Posto],tabCustoUnit[[#This Row],[Código do Posto]],tabParametros[Incidência dos encargos do submódulo 2.1 sobre Aviso Prévio Trabalhado])*tabCustoUnit[[#This Row],[MODULO 1 - REMUNERAÇÃO ]]</f>
        <v>1.0904971707000004</v>
      </c>
      <c r="AR152" s="22">
        <f>SUMIF(tabParametros[Código do Posto],tabCustoUnit[[#This Row],[Código do Posto]],tabParametros[Multa Rescisória do FGTS])*tabCustoUnit[[#This Row],[MODULO 1 - REMUNERAÇÃO ]]</f>
        <v>25.204066631111107</v>
      </c>
      <c r="AS152" s="22">
        <f>SUMIF(tabParametros[Código do Posto],tabCustoUnit[[#This Row],[Código do Posto]],tabParametros[Indenização Adicional (Art. 9º da Lei nº 7.238/84)])*tabCustoUnit[[#This Row],[MODULO 1 - REMUNERAÇÃO ]]</f>
        <v>0.6868840833333334</v>
      </c>
      <c r="AT152" s="22">
        <f>SUM(tabCustoUnit[[#This Row],[Aviso Prévio Indenizado (API) e Reflexo do Aviso Prévio Indenizado]:[Indenização Adicional (Art. 9º da Lei nº 7.238/84)]])</f>
        <v>36.293193232860339</v>
      </c>
      <c r="AU152" s="22">
        <f>SUMIF(tabParametros[Código do Posto],tabCustoUnit[[#This Row],[Código do Posto]],tabParametros[Ausência por Doença])*tabCustoUnit[[#This Row],[MODULO 1 - REMUNERAÇÃO ]]</f>
        <v>6.9604253777777769</v>
      </c>
      <c r="AV152" s="22">
        <f>SUMIF(tabParametros[Código do Posto],tabCustoUnit[[#This Row],[Código do Posto]],tabParametros[Ausências Legais])*tabCustoUnit[[#This Row],[MODULO 1 - REMUNERAÇÃO ]]</f>
        <v>1.671417936111111</v>
      </c>
      <c r="AW152" s="22">
        <f>SUMIF(tabParametros[Código do Posto],tabCustoUnit[[#This Row],[Código do Posto]],tabParametros[Licença Paternidade])*tabCustoUnit[[#This Row],[MODULO 1 - REMUNERAÇÃO ]]</f>
        <v>0.14081123708333332</v>
      </c>
      <c r="AX152" s="22">
        <f>SUMIF(tabParametros[Código do Posto],tabCustoUnit[[#This Row],[Código do Posto]],tabParametros[Ausência por Acidente de Trabalho])*tabCustoUnit[[#This Row],[MODULO 1 - REMUNERAÇÃO ]]</f>
        <v>0.17172102083333335</v>
      </c>
      <c r="AY152" s="22">
        <f>SUMIF(tabParametros[Código do Posto],tabCustoUnit[[#This Row],[Código do Posto]],tabParametros[Férias, Adicional de Férias e 13º  com empregada em gozo de Licença Maternidade])*tabCustoUnit[[#This Row],[MODULO 1 - REMUNERAÇÃO ]]</f>
        <v>1.0684863518518517</v>
      </c>
      <c r="AZ152" s="22">
        <f>SUMIF(tabParametros[Código do Posto],tabCustoUnit[[#This Row],[Código do Posto]],tabParametros[Incidência do Submódulo 2.1 sobre Ausências Legais])*tabCustoUnit[[#This Row],[MODULO 1 - REMUNERAÇÃO ]]</f>
        <v>3.7848618071425006</v>
      </c>
      <c r="BA152" s="22">
        <f>SUM(tabCustoUnit[[#This Row],[Ausência por Doença]:[Incidência do Submódulo 2.1 sobre Ausências Legais]])</f>
        <v>13.797723730799909</v>
      </c>
      <c r="BB152" s="22">
        <f>SUMIF(tabParametros[Código do Posto],tabCustoUnit[[#This Row],[Código do Posto]],tabParametros[Intervalo para Repouso ou Alimentação])</f>
        <v>0</v>
      </c>
      <c r="BC152" s="22">
        <f>tabCustoUnit[[#This Row],[Intervalo para Repouso ou Alimentação]]</f>
        <v>0</v>
      </c>
      <c r="BD152" s="22">
        <f>IF(VLOOKUP(tabCustoUnit[[#This Row],[Código do Posto]],PARAMETROS!$A$4:$BJ$255,7,0)&lt;=0,0,
IFERROR((tabCustoUnit[[#This Row],[MODULO 1 - REMUNERAÇÃO ]]*VLOOKUP(tabCustoUnit[[#This Row],[Código do Posto]],PARAMETROS!$A$4:$BJ$255,49,0))/(VLOOKUP(tabCustoUnit[[#This Row],[Código do Posto]],PARAMETROS!$A$4:$BJ$255,7,0)*VLOOKUP(tabCustoUnit[[#This Row],[Código do Posto]],PARAMETROS!$A$4:$BJ$255,8,0)),0)
)</f>
        <v>0</v>
      </c>
      <c r="BE152" s="22">
        <f>tabCustoUnit[[#This Row],[Suspensão Temporária do Contrato de Trabalho]]</f>
        <v>0</v>
      </c>
      <c r="BF152" s="22">
        <f>tabCustoUnit[[#This Row],[Submódulo 4.1]]+tabCustoUnit[[#This Row],[Submódulo 4.2]]+tabCustoUnit[[#This Row],[Submódulo 4.3]]</f>
        <v>13.797723730799909</v>
      </c>
      <c r="BG152" s="22">
        <f>VLOOKUP(tabCustoUnit[[#This Row],[Código do Posto]],tabParametros[],MATCH(tabCustoUnit[[#Headers],[Uniformes e EPIs]],tabParametros[#Headers],0),0)</f>
        <v>62.806666666666665</v>
      </c>
      <c r="BH152" s="22">
        <f>VLOOKUP(tabCustoUnit[[#This Row],[Código do Posto]],tabParametros[],MATCH(tabCustoUnit[[#Headers],[Materiais de Consumo]],tabParametros[#Headers],0),0)</f>
        <v>17.759106479291944</v>
      </c>
      <c r="BI152" s="22">
        <f>VLOOKUP(tabCustoUnit[[#This Row],[Código do Posto]],tabParametros[],MATCH(tabCustoUnit[[#Headers],[Máquinas e Equipamentos (depreciação)]],tabParametros[#Headers],0),0)</f>
        <v>32.264696957412788</v>
      </c>
      <c r="BJ152" s="22">
        <f>VLOOKUP(tabCustoUnit[[#This Row],[Código do Posto]],tabParametros[],MATCH(tabCustoUnit[[#Headers],[Produtos de Limpeza e Materiais de Higiene Pessoal]],tabParametros[#Headers],0),0)</f>
        <v>345.13576638965827</v>
      </c>
      <c r="BK152" s="22">
        <f>VLOOKUP(tabCustoUnit[[#This Row],[Código do Posto]],tabParametros[],MATCH(tabCustoUnit[[#Headers],[Outros (especificar)]],tabParametros[#Headers],0),0)</f>
        <v>0</v>
      </c>
      <c r="BL152" s="22">
        <f>SUM(tabCustoUnit[[#This Row],[Uniformes e EPIs]:[Outros (especificar)]])</f>
        <v>457.96623649302967</v>
      </c>
      <c r="BM152" s="22">
        <f>tabCustoUnit[[#This Row],[MODULO 1 - REMUNERAÇÃO ]]+tabCustoUnit[[#This Row],[MÓDULO 2 - Total Encargos e Benefícios mensais e diários]]+tabCustoUnit[[#This Row],[MÓDULO 3 – PROVISÃO PARA RESCISÃO]]+tabCustoUnit[[#This Row],[MÓDULO 4 – CUSTO DE REPOSIÇÃO DO PROFISSIONAL AUSENTE]]+tabCustoUnit[[#This Row],[MÓDULO 5 – INSUMOS DIVERSOS]]</f>
        <v>2710.0864025844676</v>
      </c>
      <c r="BN152" s="22">
        <f>VLOOKUP(tabCustoUnit[[#This Row],[Código do Posto]],tabParametros[],MATCH(tabCustoUnit[[#Headers],[Custos Indiretos]],tabParametros[#Headers],0),0)</f>
        <v>189.64880140242613</v>
      </c>
      <c r="BO152" s="22">
        <f>VLOOKUP(tabCustoUnit[[#This Row],[Código do Posto]],tabParametros[],MATCH(tabCustoUnit[[#Headers],[Lucro]],tabParametros[#Headers],0),0)</f>
        <v>159.30499317803796</v>
      </c>
      <c r="BP152" s="26">
        <f>((100/((1-tabCustoUnit[[#This Row],[Resumo de Alíquotas (PIS+CONFINS+ISS)]]))-100)*VLOOKUP(tabCustoUnit[[#This Row],[Código do Posto]],tabParametros[],MATCH(tabCustoUnit[[#Headers],[COFINS]],tabParametros[#Headers],0),0))/(tabCustoUnit[[#This Row],[Resumo de Alíquotas (PIS+CONFINS+ISS)]]*100)</f>
        <v>8.6609686609686695E-2</v>
      </c>
      <c r="BQ152" s="26">
        <f>((100/((100-(tabCustoUnit[[#This Row],[Resumo de Alíquotas (PIS+CONFINS+ISS)]]*100))%)-100)*VLOOKUP(tabCustoUnit[[#This Row],[Código do Posto]],tabParametros[],MATCH(tabCustoUnit[[#Headers],[PIS]],tabParametros[#Headers],0),0))/(tabCustoUnit[[#This Row],[Resumo de Alíquotas (PIS+CONFINS+ISS)]]*100)</f>
        <v>1.880341880341882E-2</v>
      </c>
      <c r="BR152" s="28">
        <f>VLOOKUP(tabCustoUnit[[#This Row],[Código do Posto]],tabParametros[],MATCH(tabCustoUnit[[#Headers],[ISS]],tabParametros[#Headers],0),0)</f>
        <v>0.03</v>
      </c>
      <c r="BS152" s="26">
        <f>(((100/((100-(tabCustoUnit[[#This Row],[Resumo de Alíquotas (PIS+CONFINS+ISS)]]*100))%)-100)*tabCustoUnit[[#This Row],[ISS]])/tabCustoUnit[[#This Row],[Resumo de Alíquotas (PIS+CONFINS+ISS)]])/100</f>
        <v>3.4188034188034219E-2</v>
      </c>
      <c r="BT152" s="26">
        <f>(VLOOKUP(tabCustoUnit[[#This Row],[Código do Posto]],tabParametros[],MATCH(tabCustoUnit[[#Headers],[COFINS]],tabParametros[#Headers],0),0)+
VLOOKUP(tabCustoUnit[[#This Row],[Código do Posto]],tabParametros[],MATCH(tabCustoUnit[[#Headers],[PIS]],tabParametros[#Headers],0),0)+
VLOOKUP(tabCustoUnit[[#This Row],[Código do Posto]],tabParametros[],MATCH(tabCustoUnit[[#Headers],[ISS]],tabParametros[#Headers],0),0))</f>
        <v>0.1225</v>
      </c>
      <c r="BU152" s="138">
        <f>tabCustoUnit[[#This Row],[COFINS]]+tabCustoUnit[[#This Row],[PIS]]+tabCustoUnit[[#This Row],[ISS (Conversão Alíquota s/ fatura)]]</f>
        <v>0.13960113960113973</v>
      </c>
      <c r="BV152" s="22">
        <f>(tabCustoUnit[[#This Row],[TOTAL MÓDULOS 1+2+3+4+5]]+tabCustoUnit[[#This Row],[Custos Indiretos]]+tabCustoUnit[[#This Row],[Lucro]])*tabCustoUnit[[#This Row],[PIS + COFINS + ISS (Total Conversão  Alíquota s/ Fatura)]]</f>
        <v>427.04549760991966</v>
      </c>
      <c r="BW152" s="22">
        <f>tabCustoUnit[[#This Row],[Custos Indiretos]]+tabCustoUnit[[#This Row],[Lucro]]+tabCustoUnit[[#This Row],[Valor dos Tributos (ISS, PIS, CONFINS)]]</f>
        <v>775.99929219038381</v>
      </c>
      <c r="BX152" s="22">
        <f>tabCustoUnit[[#This Row],[TOTAL MÓDULOS 1+2+3+4+5]]+tabCustoUnit[[#This Row],[MÓDULO 6 – CUSTOS INDIRETOS, TRIBUTOS E LUCRO]]</f>
        <v>3486.0856947748516</v>
      </c>
      <c r="BY152" s="22">
        <f>tabCustoUnit[[#This Row],[CUSTO TOTAL MENSAL]]*12</f>
        <v>41833.028337298223</v>
      </c>
      <c r="BZ152" s="24">
        <f>VLOOKUP(tabCustoUnit[[#This Row],[Código do Posto]],tabParametros[],MATCH(tabCustoUnit[[#Headers],[ANO DA CCT]],tabParametros[#Headers],0),0)</f>
        <v>45658</v>
      </c>
      <c r="CA152" s="25" t="str">
        <f>VLOOKUP(tabCustoUnit[[#This Row],[Código do Posto]],tabParametros[],MATCH(tabCustoUnit[[#Headers],[Nº DE PEDIDO DA CCT]],tabParametros[#Headers],0),0)</f>
        <v>-</v>
      </c>
      <c r="CB152" s="25" t="str">
        <f>VLOOKUP(tabCustoUnit[[#This Row],[Código do Posto]],tabParametros[],MATCH(tabCustoUnit[[#Headers],[TERMO ADITIVO ALTERAÇÃO DA CCT]],tabParametros[#Headers],0),0)</f>
        <v>-</v>
      </c>
    </row>
    <row r="153" spans="1:80" x14ac:dyDescent="0.25">
      <c r="A153" s="20" t="s">
        <v>1489</v>
      </c>
      <c r="B153" t="s">
        <v>138</v>
      </c>
      <c r="C153" t="s">
        <v>1247</v>
      </c>
      <c r="D153" t="s">
        <v>1010</v>
      </c>
      <c r="E153" s="20" t="s">
        <v>9</v>
      </c>
      <c r="F153" s="20" t="s">
        <v>10</v>
      </c>
      <c r="G153" s="21">
        <v>544.17999999999995</v>
      </c>
      <c r="H153" s="21">
        <v>0</v>
      </c>
      <c r="I153" s="21">
        <v>0</v>
      </c>
      <c r="J153" s="21">
        <v>0</v>
      </c>
      <c r="K153" s="21">
        <v>0</v>
      </c>
      <c r="L153" s="21">
        <v>0</v>
      </c>
      <c r="M153" s="21">
        <v>0</v>
      </c>
      <c r="N153" s="21">
        <v>19.590499999999999</v>
      </c>
      <c r="O153" s="21">
        <f>SUM(tabCustoUnit[[#This Row],[Salário Base]:[Adicional de Acúmulo de função]])</f>
        <v>563.77049999999997</v>
      </c>
      <c r="P153" s="21">
        <f>tabCustoUnit[[#This Row],[MODULO 1 - REMUNERAÇÃO ]]*SUMIFS(tabParametros[INSS],tabParametros[Código do Posto],tabCustoUnit[[#This Row],[Código do Posto]])</f>
        <v>112.75409999999999</v>
      </c>
      <c r="Q153" s="21">
        <f>tabCustoUnit[[#This Row],[MODULO 1 - REMUNERAÇÃO ]]*SUMIFS(tabParametros[SESI OU SESC],tabParametros[Código do Posto],tabCustoUnit[[#This Row],[Código do Posto]])</f>
        <v>8.4565574999999988</v>
      </c>
      <c r="R153" s="21">
        <f>tabCustoUnit[[#This Row],[MODULO 1 - REMUNERAÇÃO ]]*SUMIFS(tabParametros[SENAI OU SENAC],tabParametros[Código do Posto],tabCustoUnit[[#This Row],[Código do Posto]])</f>
        <v>5.6377049999999995</v>
      </c>
      <c r="S153" s="21">
        <f>tabCustoUnit[[#This Row],[MODULO 1 - REMUNERAÇÃO ]]*SUMIFS(tabParametros[INCRA],tabParametros[Código do Posto],tabCustoUnit[[#This Row],[Código do Posto]])</f>
        <v>1.1275409999999999</v>
      </c>
      <c r="T153" s="21">
        <f>tabCustoUnit[[#This Row],[MODULO 1 - REMUNERAÇÃO ]]*SUMIFS(tabParametros[Salário Educação],tabParametros[Código do Posto],tabCustoUnit[[#This Row],[Código do Posto]])</f>
        <v>14.094262499999999</v>
      </c>
      <c r="U153" s="21">
        <f>tabCustoUnit[[#This Row],[MODULO 1 - REMUNERAÇÃO ]]*SUMIFS(tabParametros[FGTS],tabParametros[Código do Posto],tabCustoUnit[[#This Row],[Código do Posto]])</f>
        <v>45.101639999999996</v>
      </c>
      <c r="V153" s="21">
        <f>tabCustoUnit[[#This Row],[MODULO 1 - REMUNERAÇÃO ]]*SUMIFS(tabParametros[RAT Ajustado],tabParametros[Código do Posto],tabCustoUnit[[#This Row],[Código do Posto]])</f>
        <v>22.550819999999998</v>
      </c>
      <c r="W153" s="21">
        <f>tabCustoUnit[[#This Row],[MODULO 1 - REMUNERAÇÃO ]]*SUMIFS(tabParametros[SEBRAE],tabParametros[Código do Posto],tabCustoUnit[[#This Row],[Código do Posto]])</f>
        <v>3.3826229999999997</v>
      </c>
      <c r="X153" s="21">
        <f>SUM(tabCustoUnit[[#This Row],[INSS]:[SEBRAE]])</f>
        <v>213.10524899999996</v>
      </c>
      <c r="Y153" s="21">
        <f>tabCustoUnit[[#This Row],[MODULO 1 - REMUNERAÇÃO ]]*SUMIFS(tabParametros[13º salário (titular)],tabParametros[Código do Posto],tabCustoUnit[[#This Row],[Código do Posto]])</f>
        <v>46.980874999999997</v>
      </c>
      <c r="Z153" s="21">
        <f>tabCustoUnit[[#This Row],[MODULO 1 - REMUNERAÇÃO ]]*SUMIFS(tabParametros[Férias e Adicional de Férias (titular)],tabParametros[Código do Posto],tabCustoUnit[[#This Row],[Código do Posto]])</f>
        <v>62.641166666666663</v>
      </c>
      <c r="AA153" s="21">
        <f>IFERROR((tabCustoUnit[[#This Row],[Submódulo 2.1]]/tabCustoUnit[[#This Row],[MODULO 1 - REMUNERAÇÃO ]])*SUM(tabCustoUnit[[#This Row],[13º salário (titular)]:[Férias e Adicional de Férias (titular)]]),0)</f>
        <v>41.437131749999992</v>
      </c>
      <c r="AB153" s="21">
        <f>SUM(tabCustoUnit[[#This Row],[13º salário (titular)]:[Incidência do Submódulo 2.1 sobre 13º Salário, Férias e Adicional de Férias]])</f>
        <v>151.05917341666665</v>
      </c>
      <c r="AC153" s="22">
        <f>_xlfn.LET(_xlpm.VT,SUMIF(tabParametros[Código do Posto],tabCustoUnit[[#This Row],[Código do Posto]],tabParametros[Vale - Transporte])*2*20,
IF((_xlpm.VT-tabCustoUnit[[#This Row],[Salário Base]]*0.06)&gt;=0,(_xlpm.VT-tabCustoUnit[[#This Row],[Salário Base]]*0.06),0)
)</f>
        <v>223.3492</v>
      </c>
      <c r="AD153" s="22">
        <f>IF(SUMIF(tabParametros[Código do Posto],tabCustoUnit[[#This Row],[Código do Posto]],tabParametros[Vale - Alimentação])&lt;=0,0,
SUMIF(tabParametros[Código do Posto],tabCustoUnit[[#This Row],[Código do Posto]],tabParametros[Vale - Alimentação])*20-1)</f>
        <v>582</v>
      </c>
      <c r="AE153" s="22">
        <f>SUMIF(tabParametros[Código do Posto],tabCustoUnit[[#This Row],[Código do Posto]],tabParametros[Cesta Básica])</f>
        <v>0</v>
      </c>
      <c r="AF153" s="22">
        <f>SUMIF(tabParametros[Código do Posto],tabCustoUnit[[#This Row],[Código do Posto]],tabParametros[PAF])</f>
        <v>0</v>
      </c>
      <c r="AG153" s="22">
        <f>SUMIF(tabParametros[Código do Posto],tabCustoUnit[[#This Row],[Código do Posto]],tabParametros[PQM])</f>
        <v>0</v>
      </c>
      <c r="AH153" s="22">
        <f>SUMIF(tabParametros[Código do Posto],tabCustoUnit[[#This Row],[Código do Posto]],tabParametros[PAT])</f>
        <v>0</v>
      </c>
      <c r="AI153" s="22">
        <f>SUMIF(tabParametros[Código do Posto],tabCustoUnit[[#This Row],[Código do Posto]],tabParametros[Seguro de Vida])</f>
        <v>3.36</v>
      </c>
      <c r="AJ153" s="22">
        <f>SUMIF(tabParametros[Código do Posto],tabCustoUnit[[#This Row],[Código do Posto]],tabParametros[Despesas de Viagem])</f>
        <v>0</v>
      </c>
      <c r="AK153" s="22">
        <f>SUM(tabCustoUnit[[#This Row],[Vale - Transporte (Descontada parcela do empregado)]:[Despesas de Viagem]])</f>
        <v>808.70920000000001</v>
      </c>
      <c r="AL153" s="22">
        <f>tabCustoUnit[[#This Row],[Submódulo 2.1]]+tabCustoUnit[[#This Row],[Submódulo 2.2]]+tabCustoUnit[[#This Row],[Submódulo 2.3]]</f>
        <v>1172.8736224166666</v>
      </c>
      <c r="AM153" s="22">
        <f>SUMIF(tabParametros[Código do Posto],tabCustoUnit[[#This Row],[Código do Posto]],tabParametros[Aviso Prévio Indenizado (API) e Reflexo do Aviso Prévio Indenizado])*tabCustoUnit[[#This Row],[MODULO 1 - REMUNERAÇÃO ]]</f>
        <v>3.9530273735532404</v>
      </c>
      <c r="AN153" s="22">
        <f>SUMIF(tabParametros[Código do Posto],tabCustoUnit[[#This Row],[Código do Posto]],tabParametros[Incidência do FGTS sobre API e Reflexo do API])*tabCustoUnit[[#This Row],[MODULO 1 - REMUNERAÇÃO ]]</f>
        <v>0.31624218988425928</v>
      </c>
      <c r="AO153" s="22">
        <f>SUMIF(tabParametros[Código do Posto],tabCustoUnit[[#This Row],[Código do Posto]],tabParametros[Multa Rescisória do FGTS sobre o Aviso Prévio Indenizado])*tabCustoUnit[[#This Row],[MODULO 1 - REMUNERAÇÃO ]]</f>
        <v>0.12649687595370371</v>
      </c>
      <c r="AP153" s="22">
        <f>SUMIF(tabParametros[Código do Posto],tabCustoUnit[[#This Row],[Código do Posto]],tabParametros[Aviso Prévio Trabalhado - APT])*tabCustoUnit[[#This Row],[MODULO 1 - REMUNERAÇÃO ]]</f>
        <v>1.9731967500000003</v>
      </c>
      <c r="AQ153" s="22">
        <f>SUMIF(tabParametros[Código do Posto],tabCustoUnit[[#This Row],[Código do Posto]],tabParametros[Incidência dos encargos do submódulo 2.1 sobre Aviso Prévio Trabalhado])*tabCustoUnit[[#This Row],[MODULO 1 - REMUNERAÇÃO ]]</f>
        <v>0.74586837150000018</v>
      </c>
      <c r="AR153" s="22">
        <f>SUMIF(tabParametros[Código do Posto],tabCustoUnit[[#This Row],[Código do Posto]],tabParametros[Multa Rescisória do FGTS])*tabCustoUnit[[#This Row],[MODULO 1 - REMUNERAÇÃO ]]</f>
        <v>17.238849066666663</v>
      </c>
      <c r="AS153" s="22">
        <f>SUMIF(tabParametros[Código do Posto],tabCustoUnit[[#This Row],[Código do Posto]],tabParametros[Indenização Adicional (Art. 9º da Lei nº 7.238/84)])*tabCustoUnit[[#This Row],[MODULO 1 - REMUNERAÇÃO ]]</f>
        <v>0.46980875</v>
      </c>
      <c r="AT153" s="22">
        <f>SUM(tabCustoUnit[[#This Row],[Aviso Prévio Indenizado (API) e Reflexo do Aviso Prévio Indenizado]:[Indenização Adicional (Art. 9º da Lei nº 7.238/84)]])</f>
        <v>24.823489377557866</v>
      </c>
      <c r="AU153" s="22">
        <f>SUMIF(tabParametros[Código do Posto],tabCustoUnit[[#This Row],[Código do Posto]],tabParametros[Ausência por Doença])*tabCustoUnit[[#This Row],[MODULO 1 - REMUNERAÇÃO ]]</f>
        <v>4.7607286666666662</v>
      </c>
      <c r="AV153" s="22">
        <f>SUMIF(tabParametros[Código do Posto],tabCustoUnit[[#This Row],[Código do Posto]],tabParametros[Ausências Legais])*tabCustoUnit[[#This Row],[MODULO 1 - REMUNERAÇÃO ]]</f>
        <v>1.1432012916666665</v>
      </c>
      <c r="AW153" s="22">
        <f>SUMIF(tabParametros[Código do Posto],tabCustoUnit[[#This Row],[Código do Posto]],tabParametros[Licença Paternidade])*tabCustoUnit[[#This Row],[MODULO 1 - REMUNERAÇÃO ]]</f>
        <v>9.6310793749999998E-2</v>
      </c>
      <c r="AX153" s="22">
        <f>SUMIF(tabParametros[Código do Posto],tabCustoUnit[[#This Row],[Código do Posto]],tabParametros[Ausência por Acidente de Trabalho])*tabCustoUnit[[#This Row],[MODULO 1 - REMUNERAÇÃO ]]</f>
        <v>0.1174521875</v>
      </c>
      <c r="AY153" s="22">
        <f>SUMIF(tabParametros[Código do Posto],tabCustoUnit[[#This Row],[Código do Posto]],tabParametros[Férias, Adicional de Férias e 13º  com empregada em gozo de Licença Maternidade])*tabCustoUnit[[#This Row],[MODULO 1 - REMUNERAÇÃO ]]</f>
        <v>0.73081361111111109</v>
      </c>
      <c r="AZ153" s="22">
        <f>SUMIF(tabParametros[Código do Posto],tabCustoUnit[[#This Row],[Código do Posto]],tabParametros[Incidência do Submódulo 2.1 sobre Ausências Legais])*tabCustoUnit[[#This Row],[MODULO 1 - REMUNERAÇÃO ]]</f>
        <v>2.5887354761625003</v>
      </c>
      <c r="BA153" s="22">
        <f>SUM(tabCustoUnit[[#This Row],[Ausência por Doença]:[Incidência do Submódulo 2.1 sobre Ausências Legais]])</f>
        <v>9.4372420268569428</v>
      </c>
      <c r="BB153" s="22">
        <f>SUMIF(tabParametros[Código do Posto],tabCustoUnit[[#This Row],[Código do Posto]],tabParametros[Intervalo para Repouso ou Alimentação])</f>
        <v>0</v>
      </c>
      <c r="BC153" s="22">
        <f>tabCustoUnit[[#This Row],[Intervalo para Repouso ou Alimentação]]</f>
        <v>0</v>
      </c>
      <c r="BD153" s="22">
        <f>IF(VLOOKUP(tabCustoUnit[[#This Row],[Código do Posto]],PARAMETROS!$A$4:$BJ$255,7,0)&lt;=0,0,
IFERROR((tabCustoUnit[[#This Row],[MODULO 1 - REMUNERAÇÃO ]]*VLOOKUP(tabCustoUnit[[#This Row],[Código do Posto]],PARAMETROS!$A$4:$BJ$255,49,0))/(VLOOKUP(tabCustoUnit[[#This Row],[Código do Posto]],PARAMETROS!$A$4:$BJ$255,7,0)*VLOOKUP(tabCustoUnit[[#This Row],[Código do Posto]],PARAMETROS!$A$4:$BJ$255,8,0)),0)
)</f>
        <v>0</v>
      </c>
      <c r="BE153" s="22">
        <f>tabCustoUnit[[#This Row],[Suspensão Temporária do Contrato de Trabalho]]</f>
        <v>0</v>
      </c>
      <c r="BF153" s="22">
        <f>tabCustoUnit[[#This Row],[Submódulo 4.1]]+tabCustoUnit[[#This Row],[Submódulo 4.2]]+tabCustoUnit[[#This Row],[Submódulo 4.3]]</f>
        <v>9.4372420268569428</v>
      </c>
      <c r="BG153" s="22">
        <f>VLOOKUP(tabCustoUnit[[#This Row],[Código do Posto]],tabParametros[],MATCH(tabCustoUnit[[#Headers],[Uniformes e EPIs]],tabParametros[#Headers],0),0)</f>
        <v>62.806666666666665</v>
      </c>
      <c r="BH153" s="22">
        <f>VLOOKUP(tabCustoUnit[[#This Row],[Código do Posto]],tabParametros[],MATCH(tabCustoUnit[[#Headers],[Materiais de Consumo]],tabParametros[#Headers],0),0)</f>
        <v>12.108481690426325</v>
      </c>
      <c r="BI153" s="22">
        <f>VLOOKUP(tabCustoUnit[[#This Row],[Código do Posto]],tabParametros[],MATCH(tabCustoUnit[[#Headers],[Máquinas e Equipamentos (depreciação)]],tabParametros[#Headers],0),0)</f>
        <v>21.998657016417809</v>
      </c>
      <c r="BJ153" s="22">
        <f>VLOOKUP(tabCustoUnit[[#This Row],[Código do Posto]],tabParametros[],MATCH(tabCustoUnit[[#Headers],[Produtos de Limpeza e Materiais de Higiene Pessoal]],tabParametros[#Headers],0),0)</f>
        <v>235.31984072022155</v>
      </c>
      <c r="BK153" s="22">
        <f>VLOOKUP(tabCustoUnit[[#This Row],[Código do Posto]],tabParametros[],MATCH(tabCustoUnit[[#Headers],[Outros (especificar)]],tabParametros[#Headers],0),0)</f>
        <v>0</v>
      </c>
      <c r="BL153" s="22">
        <f>SUM(tabCustoUnit[[#This Row],[Uniformes e EPIs]:[Outros (especificar)]])</f>
        <v>332.23364609373232</v>
      </c>
      <c r="BM153" s="22">
        <f>tabCustoUnit[[#This Row],[MODULO 1 - REMUNERAÇÃO ]]+tabCustoUnit[[#This Row],[MÓDULO 2 - Total Encargos e Benefícios mensais e diários]]+tabCustoUnit[[#This Row],[MÓDULO 3 – PROVISÃO PARA RESCISÃO]]+tabCustoUnit[[#This Row],[MÓDULO 4 – CUSTO DE REPOSIÇÃO DO PROFISSIONAL AUSENTE]]+tabCustoUnit[[#This Row],[MÓDULO 5 – INSUMOS DIVERSOS]]</f>
        <v>2103.1384999148136</v>
      </c>
      <c r="BN153" s="22">
        <f>VLOOKUP(tabCustoUnit[[#This Row],[Código do Posto]],tabParametros[],MATCH(tabCustoUnit[[#Headers],[Custos Indiretos]],tabParametros[#Headers],0),0)</f>
        <v>189.64880140242613</v>
      </c>
      <c r="BO153" s="22">
        <f>VLOOKUP(tabCustoUnit[[#This Row],[Código do Posto]],tabParametros[],MATCH(tabCustoUnit[[#Headers],[Lucro]],tabParametros[#Headers],0),0)</f>
        <v>159.30499317803796</v>
      </c>
      <c r="BP153" s="26">
        <f>((100/((1-tabCustoUnit[[#This Row],[Resumo de Alíquotas (PIS+CONFINS+ISS)]]))-100)*VLOOKUP(tabCustoUnit[[#This Row],[Código do Posto]],tabParametros[],MATCH(tabCustoUnit[[#Headers],[COFINS]],tabParametros[#Headers],0),0))/(tabCustoUnit[[#This Row],[Resumo de Alíquotas (PIS+CONFINS+ISS)]]*100)</f>
        <v>8.8629737609329504E-2</v>
      </c>
      <c r="BQ153" s="26">
        <f>((100/((100-(tabCustoUnit[[#This Row],[Resumo de Alíquotas (PIS+CONFINS+ISS)]]*100))%)-100)*VLOOKUP(tabCustoUnit[[#This Row],[Código do Posto]],tabParametros[],MATCH(tabCustoUnit[[#Headers],[PIS]],tabParametros[#Headers],0),0))/(tabCustoUnit[[#This Row],[Resumo de Alíquotas (PIS+CONFINS+ISS)]]*100)</f>
        <v>1.9241982507288629E-2</v>
      </c>
      <c r="BR153" s="28">
        <f>VLOOKUP(tabCustoUnit[[#This Row],[Código do Posto]],tabParametros[],MATCH(tabCustoUnit[[#Headers],[ISS]],tabParametros[#Headers],0),0)</f>
        <v>0.05</v>
      </c>
      <c r="BS153" s="26">
        <f>(((100/((100-(tabCustoUnit[[#This Row],[Resumo de Alíquotas (PIS+CONFINS+ISS)]]*100))%)-100)*tabCustoUnit[[#This Row],[ISS]])/tabCustoUnit[[#This Row],[Resumo de Alíquotas (PIS+CONFINS+ISS)]])/100</f>
        <v>5.8309037900874633E-2</v>
      </c>
      <c r="BT153" s="26">
        <f>(VLOOKUP(tabCustoUnit[[#This Row],[Código do Posto]],tabParametros[],MATCH(tabCustoUnit[[#Headers],[COFINS]],tabParametros[#Headers],0),0)+
VLOOKUP(tabCustoUnit[[#This Row],[Código do Posto]],tabParametros[],MATCH(tabCustoUnit[[#Headers],[PIS]],tabParametros[#Headers],0),0)+
VLOOKUP(tabCustoUnit[[#This Row],[Código do Posto]],tabParametros[],MATCH(tabCustoUnit[[#Headers],[ISS]],tabParametros[#Headers],0),0))</f>
        <v>0.14250000000000002</v>
      </c>
      <c r="BU153" s="138">
        <f>tabCustoUnit[[#This Row],[COFINS]]+tabCustoUnit[[#This Row],[PIS]]+tabCustoUnit[[#This Row],[ISS (Conversão Alíquota s/ fatura)]]</f>
        <v>0.16618075801749277</v>
      </c>
      <c r="BV153" s="22">
        <f>(tabCustoUnit[[#This Row],[TOTAL MÓDULOS 1+2+3+4+5]]+tabCustoUnit[[#This Row],[Custos Indiretos]]+tabCustoUnit[[#This Row],[Lucro]])*tabCustoUnit[[#This Row],[PIS + COFINS + ISS (Total Conversão  Alíquota s/ Fatura)]]</f>
        <v>407.49055622807833</v>
      </c>
      <c r="BW153" s="22">
        <f>tabCustoUnit[[#This Row],[Custos Indiretos]]+tabCustoUnit[[#This Row],[Lucro]]+tabCustoUnit[[#This Row],[Valor dos Tributos (ISS, PIS, CONFINS)]]</f>
        <v>756.44435080854237</v>
      </c>
      <c r="BX153" s="22">
        <f>tabCustoUnit[[#This Row],[TOTAL MÓDULOS 1+2+3+4+5]]+tabCustoUnit[[#This Row],[MÓDULO 6 – CUSTOS INDIRETOS, TRIBUTOS E LUCRO]]</f>
        <v>2859.5828507233559</v>
      </c>
      <c r="BY153" s="22">
        <f>tabCustoUnit[[#This Row],[CUSTO TOTAL MENSAL]]*12</f>
        <v>34314.994208680269</v>
      </c>
      <c r="BZ153" s="24">
        <f>VLOOKUP(tabCustoUnit[[#This Row],[Código do Posto]],tabParametros[],MATCH(tabCustoUnit[[#Headers],[ANO DA CCT]],tabParametros[#Headers],0),0)</f>
        <v>45658</v>
      </c>
      <c r="CA153" s="25" t="str">
        <f>VLOOKUP(tabCustoUnit[[#This Row],[Código do Posto]],tabParametros[],MATCH(tabCustoUnit[[#Headers],[Nº DE PEDIDO DA CCT]],tabParametros[#Headers],0),0)</f>
        <v>-</v>
      </c>
      <c r="CB153" s="25" t="str">
        <f>VLOOKUP(tabCustoUnit[[#This Row],[Código do Posto]],tabParametros[],MATCH(tabCustoUnit[[#Headers],[TERMO ADITIVO ALTERAÇÃO DA CCT]],tabParametros[#Headers],0),0)</f>
        <v>-</v>
      </c>
    </row>
    <row r="154" spans="1:80" x14ac:dyDescent="0.25">
      <c r="A154" s="20" t="s">
        <v>1490</v>
      </c>
      <c r="B154" t="s">
        <v>139</v>
      </c>
      <c r="C154" t="s">
        <v>1244</v>
      </c>
      <c r="D154" t="s">
        <v>1045</v>
      </c>
      <c r="E154" s="20" t="s">
        <v>9</v>
      </c>
      <c r="F154" s="20" t="s">
        <v>10</v>
      </c>
      <c r="G154" s="21">
        <v>824.56</v>
      </c>
      <c r="H154" s="21">
        <v>0</v>
      </c>
      <c r="I154" s="21">
        <v>0</v>
      </c>
      <c r="J154" s="21">
        <v>0</v>
      </c>
      <c r="K154" s="21">
        <v>0</v>
      </c>
      <c r="L154" s="21">
        <v>0</v>
      </c>
      <c r="M154" s="21">
        <v>0</v>
      </c>
      <c r="N154" s="21">
        <v>26.985600000000002</v>
      </c>
      <c r="O154" s="21">
        <f>SUM(tabCustoUnit[[#This Row],[Salário Base]:[Adicional de Acúmulo de função]])</f>
        <v>851.54559999999992</v>
      </c>
      <c r="P154" s="21">
        <f>tabCustoUnit[[#This Row],[MODULO 1 - REMUNERAÇÃO ]]*SUMIFS(tabParametros[INSS],tabParametros[Código do Posto],tabCustoUnit[[#This Row],[Código do Posto]])</f>
        <v>170.30912000000001</v>
      </c>
      <c r="Q154" s="21">
        <f>tabCustoUnit[[#This Row],[MODULO 1 - REMUNERAÇÃO ]]*SUMIFS(tabParametros[SESI OU SESC],tabParametros[Código do Posto],tabCustoUnit[[#This Row],[Código do Posto]])</f>
        <v>12.773183999999999</v>
      </c>
      <c r="R154" s="21">
        <f>tabCustoUnit[[#This Row],[MODULO 1 - REMUNERAÇÃO ]]*SUMIFS(tabParametros[SENAI OU SENAC],tabParametros[Código do Posto],tabCustoUnit[[#This Row],[Código do Posto]])</f>
        <v>8.5154559999999986</v>
      </c>
      <c r="S154" s="21">
        <f>tabCustoUnit[[#This Row],[MODULO 1 - REMUNERAÇÃO ]]*SUMIFS(tabParametros[INCRA],tabParametros[Código do Posto],tabCustoUnit[[#This Row],[Código do Posto]])</f>
        <v>1.7030911999999998</v>
      </c>
      <c r="T154" s="21">
        <f>tabCustoUnit[[#This Row],[MODULO 1 - REMUNERAÇÃO ]]*SUMIFS(tabParametros[Salário Educação],tabParametros[Código do Posto],tabCustoUnit[[#This Row],[Código do Posto]])</f>
        <v>21.288640000000001</v>
      </c>
      <c r="U154" s="21">
        <f>tabCustoUnit[[#This Row],[MODULO 1 - REMUNERAÇÃO ]]*SUMIFS(tabParametros[FGTS],tabParametros[Código do Posto],tabCustoUnit[[#This Row],[Código do Posto]])</f>
        <v>68.123647999999989</v>
      </c>
      <c r="V154" s="21">
        <f>tabCustoUnit[[#This Row],[MODULO 1 - REMUNERAÇÃO ]]*SUMIFS(tabParametros[RAT Ajustado],tabParametros[Código do Posto],tabCustoUnit[[#This Row],[Código do Posto]])</f>
        <v>34.061823999999994</v>
      </c>
      <c r="W154" s="21">
        <f>tabCustoUnit[[#This Row],[MODULO 1 - REMUNERAÇÃO ]]*SUMIFS(tabParametros[SEBRAE],tabParametros[Código do Posto],tabCustoUnit[[#This Row],[Código do Posto]])</f>
        <v>5.1092735999999999</v>
      </c>
      <c r="X154" s="21">
        <f>SUM(tabCustoUnit[[#This Row],[INSS]:[SEBRAE]])</f>
        <v>321.8842368</v>
      </c>
      <c r="Y154" s="21">
        <f>tabCustoUnit[[#This Row],[MODULO 1 - REMUNERAÇÃO ]]*SUMIFS(tabParametros[13º salário (titular)],tabParametros[Código do Posto],tabCustoUnit[[#This Row],[Código do Posto]])</f>
        <v>70.962133333333327</v>
      </c>
      <c r="Z154" s="21">
        <f>tabCustoUnit[[#This Row],[MODULO 1 - REMUNERAÇÃO ]]*SUMIFS(tabParametros[Férias e Adicional de Férias (titular)],tabParametros[Código do Posto],tabCustoUnit[[#This Row],[Código do Posto]])</f>
        <v>94.616177777777764</v>
      </c>
      <c r="AA154" s="21">
        <f>IFERROR((tabCustoUnit[[#This Row],[Submódulo 2.1]]/tabCustoUnit[[#This Row],[MODULO 1 - REMUNERAÇÃO ]])*SUM(tabCustoUnit[[#This Row],[13º salário (titular)]:[Férias e Adicional de Férias (titular)]]),0)</f>
        <v>62.588601599999997</v>
      </c>
      <c r="AB154" s="21">
        <f>SUM(tabCustoUnit[[#This Row],[13º salário (titular)]:[Incidência do Submódulo 2.1 sobre 13º Salário, Férias e Adicional de Férias]])</f>
        <v>228.16691271111108</v>
      </c>
      <c r="AC154" s="22">
        <f>_xlfn.LET(_xlpm.VT,SUMIF(tabParametros[Código do Posto],tabCustoUnit[[#This Row],[Código do Posto]],tabParametros[Vale - Transporte])*2*20,
IF((_xlpm.VT-tabCustoUnit[[#This Row],[Salário Base]]*0.06)&gt;=0,(_xlpm.VT-tabCustoUnit[[#This Row],[Salário Base]]*0.06),0)
)</f>
        <v>206.5264</v>
      </c>
      <c r="AD154" s="22">
        <f>IF(SUMIF(tabParametros[Código do Posto],tabCustoUnit[[#This Row],[Código do Posto]],tabParametros[Vale - Alimentação])&lt;=0,0,
SUMIF(tabParametros[Código do Posto],tabCustoUnit[[#This Row],[Código do Posto]],tabParametros[Vale - Alimentação])*20-1)</f>
        <v>582</v>
      </c>
      <c r="AE154" s="22">
        <f>SUMIF(tabParametros[Código do Posto],tabCustoUnit[[#This Row],[Código do Posto]],tabParametros[Cesta Básica])</f>
        <v>0</v>
      </c>
      <c r="AF154" s="22">
        <f>SUMIF(tabParametros[Código do Posto],tabCustoUnit[[#This Row],[Código do Posto]],tabParametros[PAF])</f>
        <v>77.25</v>
      </c>
      <c r="AG154" s="22">
        <f>SUMIF(tabParametros[Código do Posto],tabCustoUnit[[#This Row],[Código do Posto]],tabParametros[PQM])</f>
        <v>0</v>
      </c>
      <c r="AH154" s="22">
        <f>SUMIF(tabParametros[Código do Posto],tabCustoUnit[[#This Row],[Código do Posto]],tabParametros[PAT])</f>
        <v>0</v>
      </c>
      <c r="AI154" s="22">
        <f>SUMIF(tabParametros[Código do Posto],tabCustoUnit[[#This Row],[Código do Posto]],tabParametros[Seguro de Vida])</f>
        <v>3.36</v>
      </c>
      <c r="AJ154" s="22">
        <f>SUMIF(tabParametros[Código do Posto],tabCustoUnit[[#This Row],[Código do Posto]],tabParametros[Despesas de Viagem])</f>
        <v>0</v>
      </c>
      <c r="AK154" s="22">
        <f>SUM(tabCustoUnit[[#This Row],[Vale - Transporte (Descontada parcela do empregado)]:[Despesas de Viagem]])</f>
        <v>869.13639999999998</v>
      </c>
      <c r="AL154" s="22">
        <f>tabCustoUnit[[#This Row],[Submódulo 2.1]]+tabCustoUnit[[#This Row],[Submódulo 2.2]]+tabCustoUnit[[#This Row],[Submódulo 2.3]]</f>
        <v>1419.1875495111112</v>
      </c>
      <c r="AM154" s="22">
        <f>SUMIF(tabParametros[Código do Posto],tabCustoUnit[[#This Row],[Código do Posto]],tabParametros[Aviso Prévio Indenizado (API) e Reflexo do Aviso Prévio Indenizado])*tabCustoUnit[[#This Row],[MODULO 1 - REMUNERAÇÃO ]]</f>
        <v>5.970839316049382</v>
      </c>
      <c r="AN154" s="22">
        <f>SUMIF(tabParametros[Código do Posto],tabCustoUnit[[#This Row],[Código do Posto]],tabParametros[Incidência do FGTS sobre API e Reflexo do API])*tabCustoUnit[[#This Row],[MODULO 1 - REMUNERAÇÃO ]]</f>
        <v>0.4776671452839506</v>
      </c>
      <c r="AO154" s="22">
        <f>SUMIF(tabParametros[Código do Posto],tabCustoUnit[[#This Row],[Código do Posto]],tabParametros[Multa Rescisória do FGTS sobre o Aviso Prévio Indenizado])*tabCustoUnit[[#This Row],[MODULO 1 - REMUNERAÇÃO ]]</f>
        <v>0.19106685811358026</v>
      </c>
      <c r="AP154" s="22">
        <f>SUMIF(tabParametros[Código do Posto],tabCustoUnit[[#This Row],[Código do Posto]],tabParametros[Aviso Prévio Trabalhado - APT])*tabCustoUnit[[#This Row],[MODULO 1 - REMUNERAÇÃO ]]</f>
        <v>2.9804096000000002</v>
      </c>
      <c r="AQ154" s="22">
        <f>SUMIF(tabParametros[Código do Posto],tabCustoUnit[[#This Row],[Código do Posto]],tabParametros[Incidência dos encargos do submódulo 2.1 sobre Aviso Prévio Trabalhado])*tabCustoUnit[[#This Row],[MODULO 1 - REMUNERAÇÃO ]]</f>
        <v>1.1265948288000003</v>
      </c>
      <c r="AR154" s="22">
        <f>SUMIF(tabParametros[Código do Posto],tabCustoUnit[[#This Row],[Código do Posto]],tabParametros[Multa Rescisória do FGTS])*tabCustoUnit[[#This Row],[MODULO 1 - REMUNERAÇÃO ]]</f>
        <v>26.038372124444439</v>
      </c>
      <c r="AS154" s="22">
        <f>SUMIF(tabParametros[Código do Posto],tabCustoUnit[[#This Row],[Código do Posto]],tabParametros[Indenização Adicional (Art. 9º da Lei nº 7.238/84)])*tabCustoUnit[[#This Row],[MODULO 1 - REMUNERAÇÃO ]]</f>
        <v>0.70962133333333333</v>
      </c>
      <c r="AT154" s="22">
        <f>SUM(tabCustoUnit[[#This Row],[Aviso Prévio Indenizado (API) e Reflexo do Aviso Prévio Indenizado]:[Indenização Adicional (Art. 9º da Lei nº 7.238/84)]])</f>
        <v>37.494571206024688</v>
      </c>
      <c r="AU154" s="22">
        <f>SUMIF(tabParametros[Código do Posto],tabCustoUnit[[#This Row],[Código do Posto]],tabParametros[Ausência por Doença])*tabCustoUnit[[#This Row],[MODULO 1 - REMUNERAÇÃO ]]</f>
        <v>7.1908295111111098</v>
      </c>
      <c r="AV154" s="22">
        <f>SUMIF(tabParametros[Código do Posto],tabCustoUnit[[#This Row],[Código do Posto]],tabParametros[Ausências Legais])*tabCustoUnit[[#This Row],[MODULO 1 - REMUNERAÇÃO ]]</f>
        <v>1.7267452444444442</v>
      </c>
      <c r="AW154" s="22">
        <f>SUMIF(tabParametros[Código do Posto],tabCustoUnit[[#This Row],[Código do Posto]],tabParametros[Licença Paternidade])*tabCustoUnit[[#This Row],[MODULO 1 - REMUNERAÇÃO ]]</f>
        <v>0.14547237333333332</v>
      </c>
      <c r="AX154" s="22">
        <f>SUMIF(tabParametros[Código do Posto],tabCustoUnit[[#This Row],[Código do Posto]],tabParametros[Ausência por Acidente de Trabalho])*tabCustoUnit[[#This Row],[MODULO 1 - REMUNERAÇÃO ]]</f>
        <v>0.17740533333333333</v>
      </c>
      <c r="AY154" s="22">
        <f>SUMIF(tabParametros[Código do Posto],tabCustoUnit[[#This Row],[Código do Posto]],tabParametros[Férias, Adicional de Férias e 13º  com empregada em gozo de Licença Maternidade])*tabCustoUnit[[#This Row],[MODULO 1 - REMUNERAÇÃO ]]</f>
        <v>1.1038554074074072</v>
      </c>
      <c r="AZ154" s="22">
        <f>SUMIF(tabParametros[Código do Posto],tabCustoUnit[[#This Row],[Código do Posto]],tabParametros[Incidência do Submódulo 2.1 sobre Ausências Legais])*tabCustoUnit[[#This Row],[MODULO 1 - REMUNERAÇÃO ]]</f>
        <v>3.9101483747200003</v>
      </c>
      <c r="BA154" s="22">
        <f>SUM(tabCustoUnit[[#This Row],[Ausência por Doença]:[Incidência do Submódulo 2.1 sobre Ausências Legais]])</f>
        <v>14.254456244349628</v>
      </c>
      <c r="BB154" s="22">
        <f>SUMIF(tabParametros[Código do Posto],tabCustoUnit[[#This Row],[Código do Posto]],tabParametros[Intervalo para Repouso ou Alimentação])</f>
        <v>0</v>
      </c>
      <c r="BC154" s="22">
        <f>tabCustoUnit[[#This Row],[Intervalo para Repouso ou Alimentação]]</f>
        <v>0</v>
      </c>
      <c r="BD154" s="22">
        <f>IF(VLOOKUP(tabCustoUnit[[#This Row],[Código do Posto]],PARAMETROS!$A$4:$BJ$255,7,0)&lt;=0,0,
IFERROR((tabCustoUnit[[#This Row],[MODULO 1 - REMUNERAÇÃO ]]*VLOOKUP(tabCustoUnit[[#This Row],[Código do Posto]],PARAMETROS!$A$4:$BJ$255,49,0))/(VLOOKUP(tabCustoUnit[[#This Row],[Código do Posto]],PARAMETROS!$A$4:$BJ$255,7,0)*VLOOKUP(tabCustoUnit[[#This Row],[Código do Posto]],PARAMETROS!$A$4:$BJ$255,8,0)),0)
)</f>
        <v>0</v>
      </c>
      <c r="BE154" s="22">
        <f>tabCustoUnit[[#This Row],[Suspensão Temporária do Contrato de Trabalho]]</f>
        <v>0</v>
      </c>
      <c r="BF154" s="22">
        <f>tabCustoUnit[[#This Row],[Submódulo 4.1]]+tabCustoUnit[[#This Row],[Submódulo 4.2]]+tabCustoUnit[[#This Row],[Submódulo 4.3]]</f>
        <v>14.254456244349628</v>
      </c>
      <c r="BG154" s="22">
        <f>VLOOKUP(tabCustoUnit[[#This Row],[Código do Posto]],tabParametros[],MATCH(tabCustoUnit[[#Headers],[Uniformes e EPIs]],tabParametros[#Headers],0),0)</f>
        <v>62.806666666666665</v>
      </c>
      <c r="BH154" s="22">
        <f>VLOOKUP(tabCustoUnit[[#This Row],[Código do Posto]],tabParametros[],MATCH(tabCustoUnit[[#Headers],[Materiais de Consumo]],tabParametros[#Headers],0),0)</f>
        <v>17.759106479291944</v>
      </c>
      <c r="BI154" s="22">
        <f>VLOOKUP(tabCustoUnit[[#This Row],[Código do Posto]],tabParametros[],MATCH(tabCustoUnit[[#Headers],[Máquinas e Equipamentos (depreciação)]],tabParametros[#Headers],0),0)</f>
        <v>32.264696957412788</v>
      </c>
      <c r="BJ154" s="22">
        <f>VLOOKUP(tabCustoUnit[[#This Row],[Código do Posto]],tabParametros[],MATCH(tabCustoUnit[[#Headers],[Produtos de Limpeza e Materiais de Higiene Pessoal]],tabParametros[#Headers],0),0)</f>
        <v>345.13576638965827</v>
      </c>
      <c r="BK154" s="22">
        <f>VLOOKUP(tabCustoUnit[[#This Row],[Código do Posto]],tabParametros[],MATCH(tabCustoUnit[[#Headers],[Outros (especificar)]],tabParametros[#Headers],0),0)</f>
        <v>0</v>
      </c>
      <c r="BL154" s="22">
        <f>SUM(tabCustoUnit[[#This Row],[Uniformes e EPIs]:[Outros (especificar)]])</f>
        <v>457.96623649302967</v>
      </c>
      <c r="BM154" s="22">
        <f>tabCustoUnit[[#This Row],[MODULO 1 - REMUNERAÇÃO ]]+tabCustoUnit[[#This Row],[MÓDULO 2 - Total Encargos e Benefícios mensais e diários]]+tabCustoUnit[[#This Row],[MÓDULO 3 – PROVISÃO PARA RESCISÃO]]+tabCustoUnit[[#This Row],[MÓDULO 4 – CUSTO DE REPOSIÇÃO DO PROFISSIONAL AUSENTE]]+tabCustoUnit[[#This Row],[MÓDULO 5 – INSUMOS DIVERSOS]]</f>
        <v>2780.448413454515</v>
      </c>
      <c r="BN154" s="22">
        <f>VLOOKUP(tabCustoUnit[[#This Row],[Código do Posto]],tabParametros[],MATCH(tabCustoUnit[[#Headers],[Custos Indiretos]],tabParametros[#Headers],0),0)</f>
        <v>189.64880140242613</v>
      </c>
      <c r="BO154" s="22">
        <f>VLOOKUP(tabCustoUnit[[#This Row],[Código do Posto]],tabParametros[],MATCH(tabCustoUnit[[#Headers],[Lucro]],tabParametros[#Headers],0),0)</f>
        <v>159.30499317803796</v>
      </c>
      <c r="BP154" s="26">
        <f>((100/((1-tabCustoUnit[[#This Row],[Resumo de Alíquotas (PIS+CONFINS+ISS)]]))-100)*VLOOKUP(tabCustoUnit[[#This Row],[Código do Posto]],tabParametros[],MATCH(tabCustoUnit[[#Headers],[COFINS]],tabParametros[#Headers],0),0))/(tabCustoUnit[[#This Row],[Resumo de Alíquotas (PIS+CONFINS+ISS)]]*100)</f>
        <v>8.6609686609686695E-2</v>
      </c>
      <c r="BQ154" s="26">
        <f>((100/((100-(tabCustoUnit[[#This Row],[Resumo de Alíquotas (PIS+CONFINS+ISS)]]*100))%)-100)*VLOOKUP(tabCustoUnit[[#This Row],[Código do Posto]],tabParametros[],MATCH(tabCustoUnit[[#Headers],[PIS]],tabParametros[#Headers],0),0))/(tabCustoUnit[[#This Row],[Resumo de Alíquotas (PIS+CONFINS+ISS)]]*100)</f>
        <v>1.880341880341882E-2</v>
      </c>
      <c r="BR154" s="28">
        <f>VLOOKUP(tabCustoUnit[[#This Row],[Código do Posto]],tabParametros[],MATCH(tabCustoUnit[[#Headers],[ISS]],tabParametros[#Headers],0),0)</f>
        <v>0.03</v>
      </c>
      <c r="BS154" s="26">
        <f>(((100/((100-(tabCustoUnit[[#This Row],[Resumo de Alíquotas (PIS+CONFINS+ISS)]]*100))%)-100)*tabCustoUnit[[#This Row],[ISS]])/tabCustoUnit[[#This Row],[Resumo de Alíquotas (PIS+CONFINS+ISS)]])/100</f>
        <v>3.4188034188034219E-2</v>
      </c>
      <c r="BT154" s="26">
        <f>(VLOOKUP(tabCustoUnit[[#This Row],[Código do Posto]],tabParametros[],MATCH(tabCustoUnit[[#Headers],[COFINS]],tabParametros[#Headers],0),0)+
VLOOKUP(tabCustoUnit[[#This Row],[Código do Posto]],tabParametros[],MATCH(tabCustoUnit[[#Headers],[PIS]],tabParametros[#Headers],0),0)+
VLOOKUP(tabCustoUnit[[#This Row],[Código do Posto]],tabParametros[],MATCH(tabCustoUnit[[#Headers],[ISS]],tabParametros[#Headers],0),0))</f>
        <v>0.1225</v>
      </c>
      <c r="BU154" s="138">
        <f>tabCustoUnit[[#This Row],[COFINS]]+tabCustoUnit[[#This Row],[PIS]]+tabCustoUnit[[#This Row],[ISS (Conversão Alíquota s/ fatura)]]</f>
        <v>0.13960113960113973</v>
      </c>
      <c r="BV154" s="22">
        <f>(tabCustoUnit[[#This Row],[TOTAL MÓDULOS 1+2+3+4+5]]+tabCustoUnit[[#This Row],[Custos Indiretos]]+tabCustoUnit[[#This Row],[Lucro]])*tabCustoUnit[[#This Row],[PIS + COFINS + ISS (Total Conversão  Alíquota s/ Fatura)]]</f>
        <v>436.86811451200606</v>
      </c>
      <c r="BW154" s="22">
        <f>tabCustoUnit[[#This Row],[Custos Indiretos]]+tabCustoUnit[[#This Row],[Lucro]]+tabCustoUnit[[#This Row],[Valor dos Tributos (ISS, PIS, CONFINS)]]</f>
        <v>785.82190909247015</v>
      </c>
      <c r="BX154" s="22">
        <f>tabCustoUnit[[#This Row],[TOTAL MÓDULOS 1+2+3+4+5]]+tabCustoUnit[[#This Row],[MÓDULO 6 – CUSTOS INDIRETOS, TRIBUTOS E LUCRO]]</f>
        <v>3566.270322546985</v>
      </c>
      <c r="BY154" s="22">
        <f>tabCustoUnit[[#This Row],[CUSTO TOTAL MENSAL]]*12</f>
        <v>42795.24387056382</v>
      </c>
      <c r="BZ154" s="24">
        <f>VLOOKUP(tabCustoUnit[[#This Row],[Código do Posto]],tabParametros[],MATCH(tabCustoUnit[[#Headers],[ANO DA CCT]],tabParametros[#Headers],0),0)</f>
        <v>45658</v>
      </c>
      <c r="CA154" s="25" t="str">
        <f>VLOOKUP(tabCustoUnit[[#This Row],[Código do Posto]],tabParametros[],MATCH(tabCustoUnit[[#Headers],[Nº DE PEDIDO DA CCT]],tabParametros[#Headers],0),0)</f>
        <v>-</v>
      </c>
      <c r="CB154" s="25" t="str">
        <f>VLOOKUP(tabCustoUnit[[#This Row],[Código do Posto]],tabParametros[],MATCH(tabCustoUnit[[#Headers],[TERMO ADITIVO ALTERAÇÃO DA CCT]],tabParametros[#Headers],0),0)</f>
        <v>-</v>
      </c>
    </row>
    <row r="155" spans="1:80" x14ac:dyDescent="0.25">
      <c r="A155" s="20" t="s">
        <v>1491</v>
      </c>
      <c r="B155" t="s">
        <v>140</v>
      </c>
      <c r="C155" t="s">
        <v>1247</v>
      </c>
      <c r="D155" t="s">
        <v>1018</v>
      </c>
      <c r="E155" s="20" t="s">
        <v>9</v>
      </c>
      <c r="F155" s="20" t="s">
        <v>10</v>
      </c>
      <c r="G155" s="21">
        <v>544.17999999999995</v>
      </c>
      <c r="H155" s="21">
        <v>0</v>
      </c>
      <c r="I155" s="21">
        <v>0</v>
      </c>
      <c r="J155" s="21">
        <v>0</v>
      </c>
      <c r="K155" s="21">
        <v>0</v>
      </c>
      <c r="L155" s="21">
        <v>0</v>
      </c>
      <c r="M155" s="21">
        <v>0</v>
      </c>
      <c r="N155" s="21">
        <v>19.590499999999999</v>
      </c>
      <c r="O155" s="21">
        <f>SUM(tabCustoUnit[[#This Row],[Salário Base]:[Adicional de Acúmulo de função]])</f>
        <v>563.77049999999997</v>
      </c>
      <c r="P155" s="21">
        <f>tabCustoUnit[[#This Row],[MODULO 1 - REMUNERAÇÃO ]]*SUMIFS(tabParametros[INSS],tabParametros[Código do Posto],tabCustoUnit[[#This Row],[Código do Posto]])</f>
        <v>112.75409999999999</v>
      </c>
      <c r="Q155" s="21">
        <f>tabCustoUnit[[#This Row],[MODULO 1 - REMUNERAÇÃO ]]*SUMIFS(tabParametros[SESI OU SESC],tabParametros[Código do Posto],tabCustoUnit[[#This Row],[Código do Posto]])</f>
        <v>8.4565574999999988</v>
      </c>
      <c r="R155" s="21">
        <f>tabCustoUnit[[#This Row],[MODULO 1 - REMUNERAÇÃO ]]*SUMIFS(tabParametros[SENAI OU SENAC],tabParametros[Código do Posto],tabCustoUnit[[#This Row],[Código do Posto]])</f>
        <v>5.6377049999999995</v>
      </c>
      <c r="S155" s="21">
        <f>tabCustoUnit[[#This Row],[MODULO 1 - REMUNERAÇÃO ]]*SUMIFS(tabParametros[INCRA],tabParametros[Código do Posto],tabCustoUnit[[#This Row],[Código do Posto]])</f>
        <v>1.1275409999999999</v>
      </c>
      <c r="T155" s="21">
        <f>tabCustoUnit[[#This Row],[MODULO 1 - REMUNERAÇÃO ]]*SUMIFS(tabParametros[Salário Educação],tabParametros[Código do Posto],tabCustoUnit[[#This Row],[Código do Posto]])</f>
        <v>14.094262499999999</v>
      </c>
      <c r="U155" s="21">
        <f>tabCustoUnit[[#This Row],[MODULO 1 - REMUNERAÇÃO ]]*SUMIFS(tabParametros[FGTS],tabParametros[Código do Posto],tabCustoUnit[[#This Row],[Código do Posto]])</f>
        <v>45.101639999999996</v>
      </c>
      <c r="V155" s="21">
        <f>tabCustoUnit[[#This Row],[MODULO 1 - REMUNERAÇÃO ]]*SUMIFS(tabParametros[RAT Ajustado],tabParametros[Código do Posto],tabCustoUnit[[#This Row],[Código do Posto]])</f>
        <v>22.550819999999998</v>
      </c>
      <c r="W155" s="21">
        <f>tabCustoUnit[[#This Row],[MODULO 1 - REMUNERAÇÃO ]]*SUMIFS(tabParametros[SEBRAE],tabParametros[Código do Posto],tabCustoUnit[[#This Row],[Código do Posto]])</f>
        <v>3.3826229999999997</v>
      </c>
      <c r="X155" s="21">
        <f>SUM(tabCustoUnit[[#This Row],[INSS]:[SEBRAE]])</f>
        <v>213.10524899999996</v>
      </c>
      <c r="Y155" s="21">
        <f>tabCustoUnit[[#This Row],[MODULO 1 - REMUNERAÇÃO ]]*SUMIFS(tabParametros[13º salário (titular)],tabParametros[Código do Posto],tabCustoUnit[[#This Row],[Código do Posto]])</f>
        <v>46.980874999999997</v>
      </c>
      <c r="Z155" s="21">
        <f>tabCustoUnit[[#This Row],[MODULO 1 - REMUNERAÇÃO ]]*SUMIFS(tabParametros[Férias e Adicional de Férias (titular)],tabParametros[Código do Posto],tabCustoUnit[[#This Row],[Código do Posto]])</f>
        <v>62.641166666666663</v>
      </c>
      <c r="AA155" s="21">
        <f>IFERROR((tabCustoUnit[[#This Row],[Submódulo 2.1]]/tabCustoUnit[[#This Row],[MODULO 1 - REMUNERAÇÃO ]])*SUM(tabCustoUnit[[#This Row],[13º salário (titular)]:[Férias e Adicional de Férias (titular)]]),0)</f>
        <v>41.437131749999992</v>
      </c>
      <c r="AB155" s="21">
        <f>SUM(tabCustoUnit[[#This Row],[13º salário (titular)]:[Incidência do Submódulo 2.1 sobre 13º Salário, Férias e Adicional de Férias]])</f>
        <v>151.05917341666665</v>
      </c>
      <c r="AC155" s="22">
        <f>_xlfn.LET(_xlpm.VT,SUMIF(tabParametros[Código do Posto],tabCustoUnit[[#This Row],[Código do Posto]],tabParametros[Vale - Transporte])*2*20,
IF((_xlpm.VT-tabCustoUnit[[#This Row],[Salário Base]]*0.06)&gt;=0,(_xlpm.VT-tabCustoUnit[[#This Row],[Salário Base]]*0.06),0)
)</f>
        <v>223.3492</v>
      </c>
      <c r="AD155" s="22">
        <f>IF(SUMIF(tabParametros[Código do Posto],tabCustoUnit[[#This Row],[Código do Posto]],tabParametros[Vale - Alimentação])&lt;=0,0,
SUMIF(tabParametros[Código do Posto],tabCustoUnit[[#This Row],[Código do Posto]],tabParametros[Vale - Alimentação])*20-1)</f>
        <v>582</v>
      </c>
      <c r="AE155" s="22">
        <f>SUMIF(tabParametros[Código do Posto],tabCustoUnit[[#This Row],[Código do Posto]],tabParametros[Cesta Básica])</f>
        <v>0</v>
      </c>
      <c r="AF155" s="22">
        <f>SUMIF(tabParametros[Código do Posto],tabCustoUnit[[#This Row],[Código do Posto]],tabParametros[PAF])</f>
        <v>51.88</v>
      </c>
      <c r="AG155" s="22">
        <f>SUMIF(tabParametros[Código do Posto],tabCustoUnit[[#This Row],[Código do Posto]],tabParametros[PQM])</f>
        <v>0</v>
      </c>
      <c r="AH155" s="22">
        <f>SUMIF(tabParametros[Código do Posto],tabCustoUnit[[#This Row],[Código do Posto]],tabParametros[PAT])</f>
        <v>0</v>
      </c>
      <c r="AI155" s="22">
        <f>SUMIF(tabParametros[Código do Posto],tabCustoUnit[[#This Row],[Código do Posto]],tabParametros[Seguro de Vida])</f>
        <v>3.36</v>
      </c>
      <c r="AJ155" s="22">
        <f>SUMIF(tabParametros[Código do Posto],tabCustoUnit[[#This Row],[Código do Posto]],tabParametros[Despesas de Viagem])</f>
        <v>0</v>
      </c>
      <c r="AK155" s="22">
        <f>SUM(tabCustoUnit[[#This Row],[Vale - Transporte (Descontada parcela do empregado)]:[Despesas de Viagem]])</f>
        <v>860.58920000000001</v>
      </c>
      <c r="AL155" s="22">
        <f>tabCustoUnit[[#This Row],[Submódulo 2.1]]+tabCustoUnit[[#This Row],[Submódulo 2.2]]+tabCustoUnit[[#This Row],[Submódulo 2.3]]</f>
        <v>1224.7536224166665</v>
      </c>
      <c r="AM155" s="22">
        <f>SUMIF(tabParametros[Código do Posto],tabCustoUnit[[#This Row],[Código do Posto]],tabParametros[Aviso Prévio Indenizado (API) e Reflexo do Aviso Prévio Indenizado])*tabCustoUnit[[#This Row],[MODULO 1 - REMUNERAÇÃO ]]</f>
        <v>3.9530273735532404</v>
      </c>
      <c r="AN155" s="22">
        <f>SUMIF(tabParametros[Código do Posto],tabCustoUnit[[#This Row],[Código do Posto]],tabParametros[Incidência do FGTS sobre API e Reflexo do API])*tabCustoUnit[[#This Row],[MODULO 1 - REMUNERAÇÃO ]]</f>
        <v>0.31624218988425928</v>
      </c>
      <c r="AO155" s="22">
        <f>SUMIF(tabParametros[Código do Posto],tabCustoUnit[[#This Row],[Código do Posto]],tabParametros[Multa Rescisória do FGTS sobre o Aviso Prévio Indenizado])*tabCustoUnit[[#This Row],[MODULO 1 - REMUNERAÇÃO ]]</f>
        <v>0.12649687595370371</v>
      </c>
      <c r="AP155" s="22">
        <f>SUMIF(tabParametros[Código do Posto],tabCustoUnit[[#This Row],[Código do Posto]],tabParametros[Aviso Prévio Trabalhado - APT])*tabCustoUnit[[#This Row],[MODULO 1 - REMUNERAÇÃO ]]</f>
        <v>1.9731967500000003</v>
      </c>
      <c r="AQ155" s="22">
        <f>SUMIF(tabParametros[Código do Posto],tabCustoUnit[[#This Row],[Código do Posto]],tabParametros[Incidência dos encargos do submódulo 2.1 sobre Aviso Prévio Trabalhado])*tabCustoUnit[[#This Row],[MODULO 1 - REMUNERAÇÃO ]]</f>
        <v>0.74586837150000018</v>
      </c>
      <c r="AR155" s="22">
        <f>SUMIF(tabParametros[Código do Posto],tabCustoUnit[[#This Row],[Código do Posto]],tabParametros[Multa Rescisória do FGTS])*tabCustoUnit[[#This Row],[MODULO 1 - REMUNERAÇÃO ]]</f>
        <v>17.238849066666663</v>
      </c>
      <c r="AS155" s="22">
        <f>SUMIF(tabParametros[Código do Posto],tabCustoUnit[[#This Row],[Código do Posto]],tabParametros[Indenização Adicional (Art. 9º da Lei nº 7.238/84)])*tabCustoUnit[[#This Row],[MODULO 1 - REMUNERAÇÃO ]]</f>
        <v>0.46980875</v>
      </c>
      <c r="AT155" s="22">
        <f>SUM(tabCustoUnit[[#This Row],[Aviso Prévio Indenizado (API) e Reflexo do Aviso Prévio Indenizado]:[Indenização Adicional (Art. 9º da Lei nº 7.238/84)]])</f>
        <v>24.823489377557866</v>
      </c>
      <c r="AU155" s="22">
        <f>SUMIF(tabParametros[Código do Posto],tabCustoUnit[[#This Row],[Código do Posto]],tabParametros[Ausência por Doença])*tabCustoUnit[[#This Row],[MODULO 1 - REMUNERAÇÃO ]]</f>
        <v>4.7607286666666662</v>
      </c>
      <c r="AV155" s="22">
        <f>SUMIF(tabParametros[Código do Posto],tabCustoUnit[[#This Row],[Código do Posto]],tabParametros[Ausências Legais])*tabCustoUnit[[#This Row],[MODULO 1 - REMUNERAÇÃO ]]</f>
        <v>1.1432012916666665</v>
      </c>
      <c r="AW155" s="22">
        <f>SUMIF(tabParametros[Código do Posto],tabCustoUnit[[#This Row],[Código do Posto]],tabParametros[Licença Paternidade])*tabCustoUnit[[#This Row],[MODULO 1 - REMUNERAÇÃO ]]</f>
        <v>9.6310793749999998E-2</v>
      </c>
      <c r="AX155" s="22">
        <f>SUMIF(tabParametros[Código do Posto],tabCustoUnit[[#This Row],[Código do Posto]],tabParametros[Ausência por Acidente de Trabalho])*tabCustoUnit[[#This Row],[MODULO 1 - REMUNERAÇÃO ]]</f>
        <v>0.1174521875</v>
      </c>
      <c r="AY155" s="22">
        <f>SUMIF(tabParametros[Código do Posto],tabCustoUnit[[#This Row],[Código do Posto]],tabParametros[Férias, Adicional de Férias e 13º  com empregada em gozo de Licença Maternidade])*tabCustoUnit[[#This Row],[MODULO 1 - REMUNERAÇÃO ]]</f>
        <v>0.73081361111111109</v>
      </c>
      <c r="AZ155" s="22">
        <f>SUMIF(tabParametros[Código do Posto],tabCustoUnit[[#This Row],[Código do Posto]],tabParametros[Incidência do Submódulo 2.1 sobre Ausências Legais])*tabCustoUnit[[#This Row],[MODULO 1 - REMUNERAÇÃO ]]</f>
        <v>2.5887354761625003</v>
      </c>
      <c r="BA155" s="22">
        <f>SUM(tabCustoUnit[[#This Row],[Ausência por Doença]:[Incidência do Submódulo 2.1 sobre Ausências Legais]])</f>
        <v>9.4372420268569428</v>
      </c>
      <c r="BB155" s="22">
        <f>SUMIF(tabParametros[Código do Posto],tabCustoUnit[[#This Row],[Código do Posto]],tabParametros[Intervalo para Repouso ou Alimentação])</f>
        <v>0</v>
      </c>
      <c r="BC155" s="22">
        <f>tabCustoUnit[[#This Row],[Intervalo para Repouso ou Alimentação]]</f>
        <v>0</v>
      </c>
      <c r="BD155" s="22">
        <f>IF(VLOOKUP(tabCustoUnit[[#This Row],[Código do Posto]],PARAMETROS!$A$4:$BJ$255,7,0)&lt;=0,0,
IFERROR((tabCustoUnit[[#This Row],[MODULO 1 - REMUNERAÇÃO ]]*VLOOKUP(tabCustoUnit[[#This Row],[Código do Posto]],PARAMETROS!$A$4:$BJ$255,49,0))/(VLOOKUP(tabCustoUnit[[#This Row],[Código do Posto]],PARAMETROS!$A$4:$BJ$255,7,0)*VLOOKUP(tabCustoUnit[[#This Row],[Código do Posto]],PARAMETROS!$A$4:$BJ$255,8,0)),0)
)</f>
        <v>0</v>
      </c>
      <c r="BE155" s="22">
        <f>tabCustoUnit[[#This Row],[Suspensão Temporária do Contrato de Trabalho]]</f>
        <v>0</v>
      </c>
      <c r="BF155" s="22">
        <f>tabCustoUnit[[#This Row],[Submódulo 4.1]]+tabCustoUnit[[#This Row],[Submódulo 4.2]]+tabCustoUnit[[#This Row],[Submódulo 4.3]]</f>
        <v>9.4372420268569428</v>
      </c>
      <c r="BG155" s="22">
        <f>VLOOKUP(tabCustoUnit[[#This Row],[Código do Posto]],tabParametros[],MATCH(tabCustoUnit[[#Headers],[Uniformes e EPIs]],tabParametros[#Headers],0),0)</f>
        <v>62.806666666666665</v>
      </c>
      <c r="BH155" s="22">
        <f>VLOOKUP(tabCustoUnit[[#This Row],[Código do Posto]],tabParametros[],MATCH(tabCustoUnit[[#Headers],[Materiais de Consumo]],tabParametros[#Headers],0),0)</f>
        <v>12.108481690426325</v>
      </c>
      <c r="BI155" s="22">
        <f>VLOOKUP(tabCustoUnit[[#This Row],[Código do Posto]],tabParametros[],MATCH(tabCustoUnit[[#Headers],[Máquinas e Equipamentos (depreciação)]],tabParametros[#Headers],0),0)</f>
        <v>21.998657016417809</v>
      </c>
      <c r="BJ155" s="22">
        <f>VLOOKUP(tabCustoUnit[[#This Row],[Código do Posto]],tabParametros[],MATCH(tabCustoUnit[[#Headers],[Produtos de Limpeza e Materiais de Higiene Pessoal]],tabParametros[#Headers],0),0)</f>
        <v>235.31984072022155</v>
      </c>
      <c r="BK155" s="22">
        <f>VLOOKUP(tabCustoUnit[[#This Row],[Código do Posto]],tabParametros[],MATCH(tabCustoUnit[[#Headers],[Outros (especificar)]],tabParametros[#Headers],0),0)</f>
        <v>0</v>
      </c>
      <c r="BL155" s="22">
        <f>SUM(tabCustoUnit[[#This Row],[Uniformes e EPIs]:[Outros (especificar)]])</f>
        <v>332.23364609373232</v>
      </c>
      <c r="BM155" s="22">
        <f>tabCustoUnit[[#This Row],[MODULO 1 - REMUNERAÇÃO ]]+tabCustoUnit[[#This Row],[MÓDULO 2 - Total Encargos e Benefícios mensais e diários]]+tabCustoUnit[[#This Row],[MÓDULO 3 – PROVISÃO PARA RESCISÃO]]+tabCustoUnit[[#This Row],[MÓDULO 4 – CUSTO DE REPOSIÇÃO DO PROFISSIONAL AUSENTE]]+tabCustoUnit[[#This Row],[MÓDULO 5 – INSUMOS DIVERSOS]]</f>
        <v>2155.0184999148137</v>
      </c>
      <c r="BN155" s="22">
        <f>VLOOKUP(tabCustoUnit[[#This Row],[Código do Posto]],tabParametros[],MATCH(tabCustoUnit[[#Headers],[Custos Indiretos]],tabParametros[#Headers],0),0)</f>
        <v>189.64880140242613</v>
      </c>
      <c r="BO155" s="22">
        <f>VLOOKUP(tabCustoUnit[[#This Row],[Código do Posto]],tabParametros[],MATCH(tabCustoUnit[[#Headers],[Lucro]],tabParametros[#Headers],0),0)</f>
        <v>159.30499317803796</v>
      </c>
      <c r="BP155" s="26">
        <f>((100/((1-tabCustoUnit[[#This Row],[Resumo de Alíquotas (PIS+CONFINS+ISS)]]))-100)*VLOOKUP(tabCustoUnit[[#This Row],[Código do Posto]],tabParametros[],MATCH(tabCustoUnit[[#Headers],[COFINS]],tabParametros[#Headers],0),0))/(tabCustoUnit[[#This Row],[Resumo de Alíquotas (PIS+CONFINS+ISS)]]*100)</f>
        <v>8.5633802816901458E-2</v>
      </c>
      <c r="BQ155" s="26">
        <f>((100/((100-(tabCustoUnit[[#This Row],[Resumo de Alíquotas (PIS+CONFINS+ISS)]]*100))%)-100)*VLOOKUP(tabCustoUnit[[#This Row],[Código do Posto]],tabParametros[],MATCH(tabCustoUnit[[#Headers],[PIS]],tabParametros[#Headers],0),0))/(tabCustoUnit[[#This Row],[Resumo de Alíquotas (PIS+CONFINS+ISS)]]*100)</f>
        <v>1.8591549295774657E-2</v>
      </c>
      <c r="BR155" s="28">
        <f>VLOOKUP(tabCustoUnit[[#This Row],[Código do Posto]],tabParametros[],MATCH(tabCustoUnit[[#Headers],[ISS]],tabParametros[#Headers],0),0)</f>
        <v>0.02</v>
      </c>
      <c r="BS155" s="26">
        <f>(((100/((100-(tabCustoUnit[[#This Row],[Resumo de Alíquotas (PIS+CONFINS+ISS)]]*100))%)-100)*tabCustoUnit[[#This Row],[ISS]])/tabCustoUnit[[#This Row],[Resumo de Alíquotas (PIS+CONFINS+ISS)]])/100</f>
        <v>2.2535211267605645E-2</v>
      </c>
      <c r="BT155" s="26">
        <f>(VLOOKUP(tabCustoUnit[[#This Row],[Código do Posto]],tabParametros[],MATCH(tabCustoUnit[[#Headers],[COFINS]],tabParametros[#Headers],0),0)+
VLOOKUP(tabCustoUnit[[#This Row],[Código do Posto]],tabParametros[],MATCH(tabCustoUnit[[#Headers],[PIS]],tabParametros[#Headers],0),0)+
VLOOKUP(tabCustoUnit[[#This Row],[Código do Posto]],tabParametros[],MATCH(tabCustoUnit[[#Headers],[ISS]],tabParametros[#Headers],0),0))</f>
        <v>0.1125</v>
      </c>
      <c r="BU155" s="138">
        <f>tabCustoUnit[[#This Row],[COFINS]]+tabCustoUnit[[#This Row],[PIS]]+tabCustoUnit[[#This Row],[ISS (Conversão Alíquota s/ fatura)]]</f>
        <v>0.12676056338028174</v>
      </c>
      <c r="BV155" s="22">
        <f>(tabCustoUnit[[#This Row],[TOTAL MÓDULOS 1+2+3+4+5]]+tabCustoUnit[[#This Row],[Custos Indiretos]]+tabCustoUnit[[#This Row],[Lucro]])*tabCustoUnit[[#This Row],[PIS + COFINS + ISS (Total Conversão  Alíquota s/ Fatura)]]</f>
        <v>317.40493873883815</v>
      </c>
      <c r="BW155" s="22">
        <f>tabCustoUnit[[#This Row],[Custos Indiretos]]+tabCustoUnit[[#This Row],[Lucro]]+tabCustoUnit[[#This Row],[Valor dos Tributos (ISS, PIS, CONFINS)]]</f>
        <v>666.35873331930225</v>
      </c>
      <c r="BX155" s="22">
        <f>tabCustoUnit[[#This Row],[TOTAL MÓDULOS 1+2+3+4+5]]+tabCustoUnit[[#This Row],[MÓDULO 6 – CUSTOS INDIRETOS, TRIBUTOS E LUCRO]]</f>
        <v>2821.3772332341159</v>
      </c>
      <c r="BY155" s="22">
        <f>tabCustoUnit[[#This Row],[CUSTO TOTAL MENSAL]]*12</f>
        <v>33856.526798809391</v>
      </c>
      <c r="BZ155" s="24">
        <f>VLOOKUP(tabCustoUnit[[#This Row],[Código do Posto]],tabParametros[],MATCH(tabCustoUnit[[#Headers],[ANO DA CCT]],tabParametros[#Headers],0),0)</f>
        <v>45658</v>
      </c>
      <c r="CA155" s="25" t="str">
        <f>VLOOKUP(tabCustoUnit[[#This Row],[Código do Posto]],tabParametros[],MATCH(tabCustoUnit[[#Headers],[Nº DE PEDIDO DA CCT]],tabParametros[#Headers],0),0)</f>
        <v>-</v>
      </c>
      <c r="CB155" s="25" t="str">
        <f>VLOOKUP(tabCustoUnit[[#This Row],[Código do Posto]],tabParametros[],MATCH(tabCustoUnit[[#Headers],[TERMO ADITIVO ALTERAÇÃO DA CCT]],tabParametros[#Headers],0),0)</f>
        <v>-</v>
      </c>
    </row>
    <row r="156" spans="1:80" x14ac:dyDescent="0.25">
      <c r="A156" s="20" t="s">
        <v>1492</v>
      </c>
      <c r="B156" t="s">
        <v>141</v>
      </c>
      <c r="C156" t="s">
        <v>1245</v>
      </c>
      <c r="D156" t="s">
        <v>1045</v>
      </c>
      <c r="E156" s="20" t="s">
        <v>9</v>
      </c>
      <c r="F156" s="20" t="s">
        <v>10</v>
      </c>
      <c r="G156" s="21">
        <v>1649.12</v>
      </c>
      <c r="H156" s="21">
        <v>0</v>
      </c>
      <c r="I156" s="21">
        <v>0</v>
      </c>
      <c r="J156" s="21">
        <v>0</v>
      </c>
      <c r="K156" s="21">
        <v>0</v>
      </c>
      <c r="L156" s="21">
        <v>0</v>
      </c>
      <c r="M156" s="21">
        <v>0</v>
      </c>
      <c r="N156" s="21">
        <v>53.971200000000003</v>
      </c>
      <c r="O156" s="21">
        <f>SUM(tabCustoUnit[[#This Row],[Salário Base]:[Adicional de Acúmulo de função]])</f>
        <v>1703.0911999999998</v>
      </c>
      <c r="P156" s="21">
        <f>tabCustoUnit[[#This Row],[MODULO 1 - REMUNERAÇÃO ]]*SUMIFS(tabParametros[INSS],tabParametros[Código do Posto],tabCustoUnit[[#This Row],[Código do Posto]])</f>
        <v>340.61824000000001</v>
      </c>
      <c r="Q156" s="21">
        <f>tabCustoUnit[[#This Row],[MODULO 1 - REMUNERAÇÃO ]]*SUMIFS(tabParametros[SESI OU SESC],tabParametros[Código do Posto],tabCustoUnit[[#This Row],[Código do Posto]])</f>
        <v>25.546367999999998</v>
      </c>
      <c r="R156" s="21">
        <f>tabCustoUnit[[#This Row],[MODULO 1 - REMUNERAÇÃO ]]*SUMIFS(tabParametros[SENAI OU SENAC],tabParametros[Código do Posto],tabCustoUnit[[#This Row],[Código do Posto]])</f>
        <v>17.030911999999997</v>
      </c>
      <c r="S156" s="21">
        <f>tabCustoUnit[[#This Row],[MODULO 1 - REMUNERAÇÃO ]]*SUMIFS(tabParametros[INCRA],tabParametros[Código do Posto],tabCustoUnit[[#This Row],[Código do Posto]])</f>
        <v>3.4061823999999996</v>
      </c>
      <c r="T156" s="21">
        <f>tabCustoUnit[[#This Row],[MODULO 1 - REMUNERAÇÃO ]]*SUMIFS(tabParametros[Salário Educação],tabParametros[Código do Posto],tabCustoUnit[[#This Row],[Código do Posto]])</f>
        <v>42.577280000000002</v>
      </c>
      <c r="U156" s="21">
        <f>tabCustoUnit[[#This Row],[MODULO 1 - REMUNERAÇÃO ]]*SUMIFS(tabParametros[FGTS],tabParametros[Código do Posto],tabCustoUnit[[#This Row],[Código do Posto]])</f>
        <v>136.24729599999998</v>
      </c>
      <c r="V156" s="21">
        <f>tabCustoUnit[[#This Row],[MODULO 1 - REMUNERAÇÃO ]]*SUMIFS(tabParametros[RAT Ajustado],tabParametros[Código do Posto],tabCustoUnit[[#This Row],[Código do Posto]])</f>
        <v>68.123647999999989</v>
      </c>
      <c r="W156" s="21">
        <f>tabCustoUnit[[#This Row],[MODULO 1 - REMUNERAÇÃO ]]*SUMIFS(tabParametros[SEBRAE],tabParametros[Código do Posto],tabCustoUnit[[#This Row],[Código do Posto]])</f>
        <v>10.2185472</v>
      </c>
      <c r="X156" s="21">
        <f>SUM(tabCustoUnit[[#This Row],[INSS]:[SEBRAE]])</f>
        <v>643.76847359999999</v>
      </c>
      <c r="Y156" s="21">
        <f>tabCustoUnit[[#This Row],[MODULO 1 - REMUNERAÇÃO ]]*SUMIFS(tabParametros[13º salário (titular)],tabParametros[Código do Posto],tabCustoUnit[[#This Row],[Código do Posto]])</f>
        <v>141.92426666666665</v>
      </c>
      <c r="Z156" s="21">
        <f>tabCustoUnit[[#This Row],[MODULO 1 - REMUNERAÇÃO ]]*SUMIFS(tabParametros[Férias e Adicional de Férias (titular)],tabParametros[Código do Posto],tabCustoUnit[[#This Row],[Código do Posto]])</f>
        <v>189.23235555555553</v>
      </c>
      <c r="AA156" s="21">
        <f>IFERROR((tabCustoUnit[[#This Row],[Submódulo 2.1]]/tabCustoUnit[[#This Row],[MODULO 1 - REMUNERAÇÃO ]])*SUM(tabCustoUnit[[#This Row],[13º salário (titular)]:[Férias e Adicional de Férias (titular)]]),0)</f>
        <v>125.17720319999999</v>
      </c>
      <c r="AB156" s="21">
        <f>SUM(tabCustoUnit[[#This Row],[13º salário (titular)]:[Incidência do Submódulo 2.1 sobre 13º Salário, Férias e Adicional de Férias]])</f>
        <v>456.33382542222216</v>
      </c>
      <c r="AC156" s="22">
        <f>_xlfn.LET(_xlpm.VT,SUMIF(tabParametros[Código do Posto],tabCustoUnit[[#This Row],[Código do Posto]],tabParametros[Vale - Transporte])*2*20,
IF((_xlpm.VT-tabCustoUnit[[#This Row],[Salário Base]]*0.06)&gt;=0,(_xlpm.VT-tabCustoUnit[[#This Row],[Salário Base]]*0.06),0)
)</f>
        <v>157.05279999999999</v>
      </c>
      <c r="AD156" s="22">
        <f>IF(SUMIF(tabParametros[Código do Posto],tabCustoUnit[[#This Row],[Código do Posto]],tabParametros[Vale - Alimentação])&lt;=0,0,
SUMIF(tabParametros[Código do Posto],tabCustoUnit[[#This Row],[Código do Posto]],tabParametros[Vale - Alimentação])*20-1)</f>
        <v>582</v>
      </c>
      <c r="AE156" s="22">
        <f>SUMIF(tabParametros[Código do Posto],tabCustoUnit[[#This Row],[Código do Posto]],tabParametros[Cesta Básica])</f>
        <v>0</v>
      </c>
      <c r="AF156" s="22">
        <f>SUMIF(tabParametros[Código do Posto],tabCustoUnit[[#This Row],[Código do Posto]],tabParametros[PAF])</f>
        <v>77.25</v>
      </c>
      <c r="AG156" s="22">
        <f>SUMIF(tabParametros[Código do Posto],tabCustoUnit[[#This Row],[Código do Posto]],tabParametros[PQM])</f>
        <v>0</v>
      </c>
      <c r="AH156" s="22">
        <f>SUMIF(tabParametros[Código do Posto],tabCustoUnit[[#This Row],[Código do Posto]],tabParametros[PAT])</f>
        <v>0</v>
      </c>
      <c r="AI156" s="22">
        <f>SUMIF(tabParametros[Código do Posto],tabCustoUnit[[#This Row],[Código do Posto]],tabParametros[Seguro de Vida])</f>
        <v>3.36</v>
      </c>
      <c r="AJ156" s="22">
        <f>SUMIF(tabParametros[Código do Posto],tabCustoUnit[[#This Row],[Código do Posto]],tabParametros[Despesas de Viagem])</f>
        <v>0</v>
      </c>
      <c r="AK156" s="22">
        <f>SUM(tabCustoUnit[[#This Row],[Vale - Transporte (Descontada parcela do empregado)]:[Despesas de Viagem]])</f>
        <v>819.66279999999995</v>
      </c>
      <c r="AL156" s="22">
        <f>tabCustoUnit[[#This Row],[Submódulo 2.1]]+tabCustoUnit[[#This Row],[Submódulo 2.2]]+tabCustoUnit[[#This Row],[Submódulo 2.3]]</f>
        <v>1919.7650990222223</v>
      </c>
      <c r="AM156" s="22">
        <f>SUMIF(tabParametros[Código do Posto],tabCustoUnit[[#This Row],[Código do Posto]],tabParametros[Aviso Prévio Indenizado (API) e Reflexo do Aviso Prévio Indenizado])*tabCustoUnit[[#This Row],[MODULO 1 - REMUNERAÇÃO ]]</f>
        <v>11.941678632098764</v>
      </c>
      <c r="AN156" s="22">
        <f>SUMIF(tabParametros[Código do Posto],tabCustoUnit[[#This Row],[Código do Posto]],tabParametros[Incidência do FGTS sobre API e Reflexo do API])*tabCustoUnit[[#This Row],[MODULO 1 - REMUNERAÇÃO ]]</f>
        <v>0.9553342905679012</v>
      </c>
      <c r="AO156" s="22">
        <f>SUMIF(tabParametros[Código do Posto],tabCustoUnit[[#This Row],[Código do Posto]],tabParametros[Multa Rescisória do FGTS sobre o Aviso Prévio Indenizado])*tabCustoUnit[[#This Row],[MODULO 1 - REMUNERAÇÃO ]]</f>
        <v>0.38213371622716052</v>
      </c>
      <c r="AP156" s="22">
        <f>SUMIF(tabParametros[Código do Posto],tabCustoUnit[[#This Row],[Código do Posto]],tabParametros[Aviso Prévio Trabalhado - APT])*tabCustoUnit[[#This Row],[MODULO 1 - REMUNERAÇÃO ]]</f>
        <v>5.9608192000000004</v>
      </c>
      <c r="AQ156" s="22">
        <f>SUMIF(tabParametros[Código do Posto],tabCustoUnit[[#This Row],[Código do Posto]],tabParametros[Incidência dos encargos do submódulo 2.1 sobre Aviso Prévio Trabalhado])*tabCustoUnit[[#This Row],[MODULO 1 - REMUNERAÇÃO ]]</f>
        <v>2.2531896576000006</v>
      </c>
      <c r="AR156" s="22">
        <f>SUMIF(tabParametros[Código do Posto],tabCustoUnit[[#This Row],[Código do Posto]],tabParametros[Multa Rescisória do FGTS])*tabCustoUnit[[#This Row],[MODULO 1 - REMUNERAÇÃO ]]</f>
        <v>52.076744248888879</v>
      </c>
      <c r="AS156" s="22">
        <f>SUMIF(tabParametros[Código do Posto],tabCustoUnit[[#This Row],[Código do Posto]],tabParametros[Indenização Adicional (Art. 9º da Lei nº 7.238/84)])*tabCustoUnit[[#This Row],[MODULO 1 - REMUNERAÇÃO ]]</f>
        <v>1.4192426666666667</v>
      </c>
      <c r="AT156" s="22">
        <f>SUM(tabCustoUnit[[#This Row],[Aviso Prévio Indenizado (API) e Reflexo do Aviso Prévio Indenizado]:[Indenização Adicional (Art. 9º da Lei nº 7.238/84)]])</f>
        <v>74.989142412049375</v>
      </c>
      <c r="AU156" s="22">
        <f>SUMIF(tabParametros[Código do Posto],tabCustoUnit[[#This Row],[Código do Posto]],tabParametros[Ausência por Doença])*tabCustoUnit[[#This Row],[MODULO 1 - REMUNERAÇÃO ]]</f>
        <v>14.38165902222222</v>
      </c>
      <c r="AV156" s="22">
        <f>SUMIF(tabParametros[Código do Posto],tabCustoUnit[[#This Row],[Código do Posto]],tabParametros[Ausências Legais])*tabCustoUnit[[#This Row],[MODULO 1 - REMUNERAÇÃO ]]</f>
        <v>3.4534904888888884</v>
      </c>
      <c r="AW156" s="22">
        <f>SUMIF(tabParametros[Código do Posto],tabCustoUnit[[#This Row],[Código do Posto]],tabParametros[Licença Paternidade])*tabCustoUnit[[#This Row],[MODULO 1 - REMUNERAÇÃO ]]</f>
        <v>0.29094474666666664</v>
      </c>
      <c r="AX156" s="22">
        <f>SUMIF(tabParametros[Código do Posto],tabCustoUnit[[#This Row],[Código do Posto]],tabParametros[Ausência por Acidente de Trabalho])*tabCustoUnit[[#This Row],[MODULO 1 - REMUNERAÇÃO ]]</f>
        <v>0.35481066666666666</v>
      </c>
      <c r="AY156" s="22">
        <f>SUMIF(tabParametros[Código do Posto],tabCustoUnit[[#This Row],[Código do Posto]],tabParametros[Férias, Adicional de Férias e 13º  com empregada em gozo de Licença Maternidade])*tabCustoUnit[[#This Row],[MODULO 1 - REMUNERAÇÃO ]]</f>
        <v>2.2077108148148143</v>
      </c>
      <c r="AZ156" s="22">
        <f>SUMIF(tabParametros[Código do Posto],tabCustoUnit[[#This Row],[Código do Posto]],tabParametros[Incidência do Submódulo 2.1 sobre Ausências Legais])*tabCustoUnit[[#This Row],[MODULO 1 - REMUNERAÇÃO ]]</f>
        <v>7.8202967494400006</v>
      </c>
      <c r="BA156" s="22">
        <f>SUM(tabCustoUnit[[#This Row],[Ausência por Doença]:[Incidência do Submódulo 2.1 sobre Ausências Legais]])</f>
        <v>28.508912488699256</v>
      </c>
      <c r="BB156" s="22">
        <f>SUMIF(tabParametros[Código do Posto],tabCustoUnit[[#This Row],[Código do Posto]],tabParametros[Intervalo para Repouso ou Alimentação])</f>
        <v>0</v>
      </c>
      <c r="BC156" s="22">
        <f>tabCustoUnit[[#This Row],[Intervalo para Repouso ou Alimentação]]</f>
        <v>0</v>
      </c>
      <c r="BD156" s="22">
        <f>IF(VLOOKUP(tabCustoUnit[[#This Row],[Código do Posto]],PARAMETROS!$A$4:$BJ$255,7,0)&lt;=0,0,
IFERROR((tabCustoUnit[[#This Row],[MODULO 1 - REMUNERAÇÃO ]]*VLOOKUP(tabCustoUnit[[#This Row],[Código do Posto]],PARAMETROS!$A$4:$BJ$255,49,0))/(VLOOKUP(tabCustoUnit[[#This Row],[Código do Posto]],PARAMETROS!$A$4:$BJ$255,7,0)*VLOOKUP(tabCustoUnit[[#This Row],[Código do Posto]],PARAMETROS!$A$4:$BJ$255,8,0)),0)
)</f>
        <v>0</v>
      </c>
      <c r="BE156" s="22">
        <f>tabCustoUnit[[#This Row],[Suspensão Temporária do Contrato de Trabalho]]</f>
        <v>0</v>
      </c>
      <c r="BF156" s="22">
        <f>tabCustoUnit[[#This Row],[Submódulo 4.1]]+tabCustoUnit[[#This Row],[Submódulo 4.2]]+tabCustoUnit[[#This Row],[Submódulo 4.3]]</f>
        <v>28.508912488699256</v>
      </c>
      <c r="BG156" s="22">
        <f>VLOOKUP(tabCustoUnit[[#This Row],[Código do Posto]],tabParametros[],MATCH(tabCustoUnit[[#Headers],[Uniformes e EPIs]],tabParametros[#Headers],0),0)</f>
        <v>100.80916666666666</v>
      </c>
      <c r="BH156" s="22">
        <f>VLOOKUP(tabCustoUnit[[#This Row],[Código do Posto]],tabParametros[],MATCH(tabCustoUnit[[#Headers],[Materiais de Consumo]],tabParametros[#Headers],0),0)</f>
        <v>35.518212958583888</v>
      </c>
      <c r="BI156" s="22">
        <f>VLOOKUP(tabCustoUnit[[#This Row],[Código do Posto]],tabParametros[],MATCH(tabCustoUnit[[#Headers],[Máquinas e Equipamentos (depreciação)]],tabParametros[#Headers],0),0)</f>
        <v>64.529393914825576</v>
      </c>
      <c r="BJ156" s="22">
        <f>VLOOKUP(tabCustoUnit[[#This Row],[Código do Posto]],tabParametros[],MATCH(tabCustoUnit[[#Headers],[Produtos de Limpeza e Materiais de Higiene Pessoal]],tabParametros[#Headers],0),0)</f>
        <v>690.27153277931654</v>
      </c>
      <c r="BK156" s="22">
        <f>VLOOKUP(tabCustoUnit[[#This Row],[Código do Posto]],tabParametros[],MATCH(tabCustoUnit[[#Headers],[Outros (especificar)]],tabParametros[#Headers],0),0)</f>
        <v>0</v>
      </c>
      <c r="BL156" s="22">
        <f>SUM(tabCustoUnit[[#This Row],[Uniformes e EPIs]:[Outros (especificar)]])</f>
        <v>891.12830631939266</v>
      </c>
      <c r="BM156" s="22">
        <f>tabCustoUnit[[#This Row],[MODULO 1 - REMUNERAÇÃO ]]+tabCustoUnit[[#This Row],[MÓDULO 2 - Total Encargos e Benefícios mensais e diários]]+tabCustoUnit[[#This Row],[MÓDULO 3 – PROVISÃO PARA RESCISÃO]]+tabCustoUnit[[#This Row],[MÓDULO 4 – CUSTO DE REPOSIÇÃO DO PROFISSIONAL AUSENTE]]+tabCustoUnit[[#This Row],[MÓDULO 5 – INSUMOS DIVERSOS]]</f>
        <v>4617.4826602423636</v>
      </c>
      <c r="BN156" s="22">
        <f>VLOOKUP(tabCustoUnit[[#This Row],[Código do Posto]],tabParametros[],MATCH(tabCustoUnit[[#Headers],[Custos Indiretos]],tabParametros[#Headers],0),0)</f>
        <v>189.64880140242613</v>
      </c>
      <c r="BO156" s="22">
        <f>VLOOKUP(tabCustoUnit[[#This Row],[Código do Posto]],tabParametros[],MATCH(tabCustoUnit[[#Headers],[Lucro]],tabParametros[#Headers],0),0)</f>
        <v>159.30499317803796</v>
      </c>
      <c r="BP156" s="26">
        <f>((100/((1-tabCustoUnit[[#This Row],[Resumo de Alíquotas (PIS+CONFINS+ISS)]]))-100)*VLOOKUP(tabCustoUnit[[#This Row],[Código do Posto]],tabParametros[],MATCH(tabCustoUnit[[#Headers],[COFINS]],tabParametros[#Headers],0),0))/(tabCustoUnit[[#This Row],[Resumo de Alíquotas (PIS+CONFINS+ISS)]]*100)</f>
        <v>8.5633802816901458E-2</v>
      </c>
      <c r="BQ156" s="26">
        <f>((100/((100-(tabCustoUnit[[#This Row],[Resumo de Alíquotas (PIS+CONFINS+ISS)]]*100))%)-100)*VLOOKUP(tabCustoUnit[[#This Row],[Código do Posto]],tabParametros[],MATCH(tabCustoUnit[[#Headers],[PIS]],tabParametros[#Headers],0),0))/(tabCustoUnit[[#This Row],[Resumo de Alíquotas (PIS+CONFINS+ISS)]]*100)</f>
        <v>1.8591549295774657E-2</v>
      </c>
      <c r="BR156" s="28">
        <f>VLOOKUP(tabCustoUnit[[#This Row],[Código do Posto]],tabParametros[],MATCH(tabCustoUnit[[#Headers],[ISS]],tabParametros[#Headers],0),0)</f>
        <v>0.02</v>
      </c>
      <c r="BS156" s="26">
        <f>(((100/((100-(tabCustoUnit[[#This Row],[Resumo de Alíquotas (PIS+CONFINS+ISS)]]*100))%)-100)*tabCustoUnit[[#This Row],[ISS]])/tabCustoUnit[[#This Row],[Resumo de Alíquotas (PIS+CONFINS+ISS)]])/100</f>
        <v>2.2535211267605645E-2</v>
      </c>
      <c r="BT156" s="26">
        <f>(VLOOKUP(tabCustoUnit[[#This Row],[Código do Posto]],tabParametros[],MATCH(tabCustoUnit[[#Headers],[COFINS]],tabParametros[#Headers],0),0)+
VLOOKUP(tabCustoUnit[[#This Row],[Código do Posto]],tabParametros[],MATCH(tabCustoUnit[[#Headers],[PIS]],tabParametros[#Headers],0),0)+
VLOOKUP(tabCustoUnit[[#This Row],[Código do Posto]],tabParametros[],MATCH(tabCustoUnit[[#Headers],[ISS]],tabParametros[#Headers],0),0))</f>
        <v>0.1125</v>
      </c>
      <c r="BU156" s="138">
        <f>tabCustoUnit[[#This Row],[COFINS]]+tabCustoUnit[[#This Row],[PIS]]+tabCustoUnit[[#This Row],[ISS (Conversão Alíquota s/ fatura)]]</f>
        <v>0.12676056338028174</v>
      </c>
      <c r="BV156" s="22">
        <f>(tabCustoUnit[[#This Row],[TOTAL MÓDULOS 1+2+3+4+5]]+tabCustoUnit[[#This Row],[Custos Indiretos]]+tabCustoUnit[[#This Row],[Lucro]])*tabCustoUnit[[#This Row],[PIS + COFINS + ISS (Total Conversão  Alíquota s/ Fatura)]]</f>
        <v>629.5482830057108</v>
      </c>
      <c r="BW156" s="22">
        <f>tabCustoUnit[[#This Row],[Custos Indiretos]]+tabCustoUnit[[#This Row],[Lucro]]+tabCustoUnit[[#This Row],[Valor dos Tributos (ISS, PIS, CONFINS)]]</f>
        <v>978.50207758617489</v>
      </c>
      <c r="BX156" s="22">
        <f>tabCustoUnit[[#This Row],[TOTAL MÓDULOS 1+2+3+4+5]]+tabCustoUnit[[#This Row],[MÓDULO 6 – CUSTOS INDIRETOS, TRIBUTOS E LUCRO]]</f>
        <v>5595.9847378285385</v>
      </c>
      <c r="BY156" s="22">
        <f>tabCustoUnit[[#This Row],[CUSTO TOTAL MENSAL]]*12</f>
        <v>67151.816853942466</v>
      </c>
      <c r="BZ156" s="24">
        <f>VLOOKUP(tabCustoUnit[[#This Row],[Código do Posto]],tabParametros[],MATCH(tabCustoUnit[[#Headers],[ANO DA CCT]],tabParametros[#Headers],0),0)</f>
        <v>45658</v>
      </c>
      <c r="CA156" s="25" t="str">
        <f>VLOOKUP(tabCustoUnit[[#This Row],[Código do Posto]],tabParametros[],MATCH(tabCustoUnit[[#Headers],[Nº DE PEDIDO DA CCT]],tabParametros[#Headers],0),0)</f>
        <v>-</v>
      </c>
      <c r="CB156" s="25" t="str">
        <f>VLOOKUP(tabCustoUnit[[#This Row],[Código do Posto]],tabParametros[],MATCH(tabCustoUnit[[#Headers],[TERMO ADITIVO ALTERAÇÃO DA CCT]],tabParametros[#Headers],0),0)</f>
        <v>-</v>
      </c>
    </row>
    <row r="157" spans="1:80" x14ac:dyDescent="0.25">
      <c r="A157" s="20" t="s">
        <v>1493</v>
      </c>
      <c r="B157" t="s">
        <v>142</v>
      </c>
      <c r="C157" t="s">
        <v>1247</v>
      </c>
      <c r="D157" t="s">
        <v>1000</v>
      </c>
      <c r="E157" s="20" t="s">
        <v>9</v>
      </c>
      <c r="F157" s="20" t="s">
        <v>10</v>
      </c>
      <c r="G157" s="21">
        <v>544.17999999999995</v>
      </c>
      <c r="H157" s="21">
        <v>0</v>
      </c>
      <c r="I157" s="21">
        <v>0</v>
      </c>
      <c r="J157" s="21">
        <v>0</v>
      </c>
      <c r="K157" s="21">
        <v>0</v>
      </c>
      <c r="L157" s="21">
        <v>0</v>
      </c>
      <c r="M157" s="21">
        <v>0</v>
      </c>
      <c r="N157" s="21">
        <v>19.590499999999999</v>
      </c>
      <c r="O157" s="21">
        <f>SUM(tabCustoUnit[[#This Row],[Salário Base]:[Adicional de Acúmulo de função]])</f>
        <v>563.77049999999997</v>
      </c>
      <c r="P157" s="21">
        <f>tabCustoUnit[[#This Row],[MODULO 1 - REMUNERAÇÃO ]]*SUMIFS(tabParametros[INSS],tabParametros[Código do Posto],tabCustoUnit[[#This Row],[Código do Posto]])</f>
        <v>112.75409999999999</v>
      </c>
      <c r="Q157" s="21">
        <f>tabCustoUnit[[#This Row],[MODULO 1 - REMUNERAÇÃO ]]*SUMIFS(tabParametros[SESI OU SESC],tabParametros[Código do Posto],tabCustoUnit[[#This Row],[Código do Posto]])</f>
        <v>8.4565574999999988</v>
      </c>
      <c r="R157" s="21">
        <f>tabCustoUnit[[#This Row],[MODULO 1 - REMUNERAÇÃO ]]*SUMIFS(tabParametros[SENAI OU SENAC],tabParametros[Código do Posto],tabCustoUnit[[#This Row],[Código do Posto]])</f>
        <v>5.6377049999999995</v>
      </c>
      <c r="S157" s="21">
        <f>tabCustoUnit[[#This Row],[MODULO 1 - REMUNERAÇÃO ]]*SUMIFS(tabParametros[INCRA],tabParametros[Código do Posto],tabCustoUnit[[#This Row],[Código do Posto]])</f>
        <v>1.1275409999999999</v>
      </c>
      <c r="T157" s="21">
        <f>tabCustoUnit[[#This Row],[MODULO 1 - REMUNERAÇÃO ]]*SUMIFS(tabParametros[Salário Educação],tabParametros[Código do Posto],tabCustoUnit[[#This Row],[Código do Posto]])</f>
        <v>14.094262499999999</v>
      </c>
      <c r="U157" s="21">
        <f>tabCustoUnit[[#This Row],[MODULO 1 - REMUNERAÇÃO ]]*SUMIFS(tabParametros[FGTS],tabParametros[Código do Posto],tabCustoUnit[[#This Row],[Código do Posto]])</f>
        <v>45.101639999999996</v>
      </c>
      <c r="V157" s="21">
        <f>tabCustoUnit[[#This Row],[MODULO 1 - REMUNERAÇÃO ]]*SUMIFS(tabParametros[RAT Ajustado],tabParametros[Código do Posto],tabCustoUnit[[#This Row],[Código do Posto]])</f>
        <v>22.550819999999998</v>
      </c>
      <c r="W157" s="21">
        <f>tabCustoUnit[[#This Row],[MODULO 1 - REMUNERAÇÃO ]]*SUMIFS(tabParametros[SEBRAE],tabParametros[Código do Posto],tabCustoUnit[[#This Row],[Código do Posto]])</f>
        <v>3.3826229999999997</v>
      </c>
      <c r="X157" s="21">
        <f>SUM(tabCustoUnit[[#This Row],[INSS]:[SEBRAE]])</f>
        <v>213.10524899999996</v>
      </c>
      <c r="Y157" s="21">
        <f>tabCustoUnit[[#This Row],[MODULO 1 - REMUNERAÇÃO ]]*SUMIFS(tabParametros[13º salário (titular)],tabParametros[Código do Posto],tabCustoUnit[[#This Row],[Código do Posto]])</f>
        <v>46.980874999999997</v>
      </c>
      <c r="Z157" s="21">
        <f>tabCustoUnit[[#This Row],[MODULO 1 - REMUNERAÇÃO ]]*SUMIFS(tabParametros[Férias e Adicional de Férias (titular)],tabParametros[Código do Posto],tabCustoUnit[[#This Row],[Código do Posto]])</f>
        <v>62.641166666666663</v>
      </c>
      <c r="AA157" s="21">
        <f>IFERROR((tabCustoUnit[[#This Row],[Submódulo 2.1]]/tabCustoUnit[[#This Row],[MODULO 1 - REMUNERAÇÃO ]])*SUM(tabCustoUnit[[#This Row],[13º salário (titular)]:[Férias e Adicional de Férias (titular)]]),0)</f>
        <v>41.437131749999992</v>
      </c>
      <c r="AB157" s="21">
        <f>SUM(tabCustoUnit[[#This Row],[13º salário (titular)]:[Incidência do Submódulo 2.1 sobre 13º Salário, Férias e Adicional de Férias]])</f>
        <v>151.05917341666665</v>
      </c>
      <c r="AC157" s="22">
        <f>_xlfn.LET(_xlpm.VT,SUMIF(tabParametros[Código do Posto],tabCustoUnit[[#This Row],[Código do Posto]],tabParametros[Vale - Transporte])*2*20,
IF((_xlpm.VT-tabCustoUnit[[#This Row],[Salário Base]]*0.06)&gt;=0,(_xlpm.VT-tabCustoUnit[[#This Row],[Salário Base]]*0.06),0)
)</f>
        <v>223.3492</v>
      </c>
      <c r="AD157" s="22">
        <f>IF(SUMIF(tabParametros[Código do Posto],tabCustoUnit[[#This Row],[Código do Posto]],tabParametros[Vale - Alimentação])&lt;=0,0,
SUMIF(tabParametros[Código do Posto],tabCustoUnit[[#This Row],[Código do Posto]],tabParametros[Vale - Alimentação])*20-1)</f>
        <v>582</v>
      </c>
      <c r="AE157" s="22">
        <f>SUMIF(tabParametros[Código do Posto],tabCustoUnit[[#This Row],[Código do Posto]],tabParametros[Cesta Básica])</f>
        <v>0</v>
      </c>
      <c r="AF157" s="22">
        <f>SUMIF(tabParametros[Código do Posto],tabCustoUnit[[#This Row],[Código do Posto]],tabParametros[PAF])</f>
        <v>0</v>
      </c>
      <c r="AG157" s="22">
        <f>SUMIF(tabParametros[Código do Posto],tabCustoUnit[[#This Row],[Código do Posto]],tabParametros[PQM])</f>
        <v>15.07</v>
      </c>
      <c r="AH157" s="22">
        <f>SUMIF(tabParametros[Código do Posto],tabCustoUnit[[#This Row],[Código do Posto]],tabParametros[PAT])</f>
        <v>0</v>
      </c>
      <c r="AI157" s="22">
        <f>SUMIF(tabParametros[Código do Posto],tabCustoUnit[[#This Row],[Código do Posto]],tabParametros[Seguro de Vida])</f>
        <v>3.36</v>
      </c>
      <c r="AJ157" s="22">
        <f>SUMIF(tabParametros[Código do Posto],tabCustoUnit[[#This Row],[Código do Posto]],tabParametros[Despesas de Viagem])</f>
        <v>0</v>
      </c>
      <c r="AK157" s="22">
        <f>SUM(tabCustoUnit[[#This Row],[Vale - Transporte (Descontada parcela do empregado)]:[Despesas de Viagem]])</f>
        <v>823.77920000000006</v>
      </c>
      <c r="AL157" s="22">
        <f>tabCustoUnit[[#This Row],[Submódulo 2.1]]+tabCustoUnit[[#This Row],[Submódulo 2.2]]+tabCustoUnit[[#This Row],[Submódulo 2.3]]</f>
        <v>1187.9436224166666</v>
      </c>
      <c r="AM157" s="22">
        <f>SUMIF(tabParametros[Código do Posto],tabCustoUnit[[#This Row],[Código do Posto]],tabParametros[Aviso Prévio Indenizado (API) e Reflexo do Aviso Prévio Indenizado])*tabCustoUnit[[#This Row],[MODULO 1 - REMUNERAÇÃO ]]</f>
        <v>3.9530273735532404</v>
      </c>
      <c r="AN157" s="22">
        <f>SUMIF(tabParametros[Código do Posto],tabCustoUnit[[#This Row],[Código do Posto]],tabParametros[Incidência do FGTS sobre API e Reflexo do API])*tabCustoUnit[[#This Row],[MODULO 1 - REMUNERAÇÃO ]]</f>
        <v>0.31624218988425928</v>
      </c>
      <c r="AO157" s="22">
        <f>SUMIF(tabParametros[Código do Posto],tabCustoUnit[[#This Row],[Código do Posto]],tabParametros[Multa Rescisória do FGTS sobre o Aviso Prévio Indenizado])*tabCustoUnit[[#This Row],[MODULO 1 - REMUNERAÇÃO ]]</f>
        <v>0.12649687595370371</v>
      </c>
      <c r="AP157" s="22">
        <f>SUMIF(tabParametros[Código do Posto],tabCustoUnit[[#This Row],[Código do Posto]],tabParametros[Aviso Prévio Trabalhado - APT])*tabCustoUnit[[#This Row],[MODULO 1 - REMUNERAÇÃO ]]</f>
        <v>1.9731967500000003</v>
      </c>
      <c r="AQ157" s="22">
        <f>SUMIF(tabParametros[Código do Posto],tabCustoUnit[[#This Row],[Código do Posto]],tabParametros[Incidência dos encargos do submódulo 2.1 sobre Aviso Prévio Trabalhado])*tabCustoUnit[[#This Row],[MODULO 1 - REMUNERAÇÃO ]]</f>
        <v>0.74586837150000018</v>
      </c>
      <c r="AR157" s="22">
        <f>SUMIF(tabParametros[Código do Posto],tabCustoUnit[[#This Row],[Código do Posto]],tabParametros[Multa Rescisória do FGTS])*tabCustoUnit[[#This Row],[MODULO 1 - REMUNERAÇÃO ]]</f>
        <v>17.238849066666663</v>
      </c>
      <c r="AS157" s="22">
        <f>SUMIF(tabParametros[Código do Posto],tabCustoUnit[[#This Row],[Código do Posto]],tabParametros[Indenização Adicional (Art. 9º da Lei nº 7.238/84)])*tabCustoUnit[[#This Row],[MODULO 1 - REMUNERAÇÃO ]]</f>
        <v>0.46980875</v>
      </c>
      <c r="AT157" s="22">
        <f>SUM(tabCustoUnit[[#This Row],[Aviso Prévio Indenizado (API) e Reflexo do Aviso Prévio Indenizado]:[Indenização Adicional (Art. 9º da Lei nº 7.238/84)]])</f>
        <v>24.823489377557866</v>
      </c>
      <c r="AU157" s="22">
        <f>SUMIF(tabParametros[Código do Posto],tabCustoUnit[[#This Row],[Código do Posto]],tabParametros[Ausência por Doença])*tabCustoUnit[[#This Row],[MODULO 1 - REMUNERAÇÃO ]]</f>
        <v>4.7607286666666662</v>
      </c>
      <c r="AV157" s="22">
        <f>SUMIF(tabParametros[Código do Posto],tabCustoUnit[[#This Row],[Código do Posto]],tabParametros[Ausências Legais])*tabCustoUnit[[#This Row],[MODULO 1 - REMUNERAÇÃO ]]</f>
        <v>1.1432012916666665</v>
      </c>
      <c r="AW157" s="22">
        <f>SUMIF(tabParametros[Código do Posto],tabCustoUnit[[#This Row],[Código do Posto]],tabParametros[Licença Paternidade])*tabCustoUnit[[#This Row],[MODULO 1 - REMUNERAÇÃO ]]</f>
        <v>9.6310793749999998E-2</v>
      </c>
      <c r="AX157" s="22">
        <f>SUMIF(tabParametros[Código do Posto],tabCustoUnit[[#This Row],[Código do Posto]],tabParametros[Ausência por Acidente de Trabalho])*tabCustoUnit[[#This Row],[MODULO 1 - REMUNERAÇÃO ]]</f>
        <v>0.1174521875</v>
      </c>
      <c r="AY157" s="22">
        <f>SUMIF(tabParametros[Código do Posto],tabCustoUnit[[#This Row],[Código do Posto]],tabParametros[Férias, Adicional de Férias e 13º  com empregada em gozo de Licença Maternidade])*tabCustoUnit[[#This Row],[MODULO 1 - REMUNERAÇÃO ]]</f>
        <v>0.73081361111111109</v>
      </c>
      <c r="AZ157" s="22">
        <f>SUMIF(tabParametros[Código do Posto],tabCustoUnit[[#This Row],[Código do Posto]],tabParametros[Incidência do Submódulo 2.1 sobre Ausências Legais])*tabCustoUnit[[#This Row],[MODULO 1 - REMUNERAÇÃO ]]</f>
        <v>2.5887354761625003</v>
      </c>
      <c r="BA157" s="22">
        <f>SUM(tabCustoUnit[[#This Row],[Ausência por Doença]:[Incidência do Submódulo 2.1 sobre Ausências Legais]])</f>
        <v>9.4372420268569428</v>
      </c>
      <c r="BB157" s="22">
        <f>SUMIF(tabParametros[Código do Posto],tabCustoUnit[[#This Row],[Código do Posto]],tabParametros[Intervalo para Repouso ou Alimentação])</f>
        <v>0</v>
      </c>
      <c r="BC157" s="22">
        <f>tabCustoUnit[[#This Row],[Intervalo para Repouso ou Alimentação]]</f>
        <v>0</v>
      </c>
      <c r="BD157" s="22">
        <f>IF(VLOOKUP(tabCustoUnit[[#This Row],[Código do Posto]],PARAMETROS!$A$4:$BJ$255,7,0)&lt;=0,0,
IFERROR((tabCustoUnit[[#This Row],[MODULO 1 - REMUNERAÇÃO ]]*VLOOKUP(tabCustoUnit[[#This Row],[Código do Posto]],PARAMETROS!$A$4:$BJ$255,49,0))/(VLOOKUP(tabCustoUnit[[#This Row],[Código do Posto]],PARAMETROS!$A$4:$BJ$255,7,0)*VLOOKUP(tabCustoUnit[[#This Row],[Código do Posto]],PARAMETROS!$A$4:$BJ$255,8,0)),0)
)</f>
        <v>0</v>
      </c>
      <c r="BE157" s="22">
        <f>tabCustoUnit[[#This Row],[Suspensão Temporária do Contrato de Trabalho]]</f>
        <v>0</v>
      </c>
      <c r="BF157" s="22">
        <f>tabCustoUnit[[#This Row],[Submódulo 4.1]]+tabCustoUnit[[#This Row],[Submódulo 4.2]]+tabCustoUnit[[#This Row],[Submódulo 4.3]]</f>
        <v>9.4372420268569428</v>
      </c>
      <c r="BG157" s="22">
        <f>VLOOKUP(tabCustoUnit[[#This Row],[Código do Posto]],tabParametros[],MATCH(tabCustoUnit[[#Headers],[Uniformes e EPIs]],tabParametros[#Headers],0),0)</f>
        <v>62.806666666666665</v>
      </c>
      <c r="BH157" s="22">
        <f>VLOOKUP(tabCustoUnit[[#This Row],[Código do Posto]],tabParametros[],MATCH(tabCustoUnit[[#Headers],[Materiais de Consumo]],tabParametros[#Headers],0),0)</f>
        <v>12.108481690426325</v>
      </c>
      <c r="BI157" s="22">
        <f>VLOOKUP(tabCustoUnit[[#This Row],[Código do Posto]],tabParametros[],MATCH(tabCustoUnit[[#Headers],[Máquinas e Equipamentos (depreciação)]],tabParametros[#Headers],0),0)</f>
        <v>21.998657016417809</v>
      </c>
      <c r="BJ157" s="22">
        <f>VLOOKUP(tabCustoUnit[[#This Row],[Código do Posto]],tabParametros[],MATCH(tabCustoUnit[[#Headers],[Produtos de Limpeza e Materiais de Higiene Pessoal]],tabParametros[#Headers],0),0)</f>
        <v>235.31984072022155</v>
      </c>
      <c r="BK157" s="22">
        <f>VLOOKUP(tabCustoUnit[[#This Row],[Código do Posto]],tabParametros[],MATCH(tabCustoUnit[[#Headers],[Outros (especificar)]],tabParametros[#Headers],0),0)</f>
        <v>0</v>
      </c>
      <c r="BL157" s="22">
        <f>SUM(tabCustoUnit[[#This Row],[Uniformes e EPIs]:[Outros (especificar)]])</f>
        <v>332.23364609373232</v>
      </c>
      <c r="BM157" s="22">
        <f>tabCustoUnit[[#This Row],[MODULO 1 - REMUNERAÇÃO ]]+tabCustoUnit[[#This Row],[MÓDULO 2 - Total Encargos e Benefícios mensais e diários]]+tabCustoUnit[[#This Row],[MÓDULO 3 – PROVISÃO PARA RESCISÃO]]+tabCustoUnit[[#This Row],[MÓDULO 4 – CUSTO DE REPOSIÇÃO DO PROFISSIONAL AUSENTE]]+tabCustoUnit[[#This Row],[MÓDULO 5 – INSUMOS DIVERSOS]]</f>
        <v>2118.2084999148137</v>
      </c>
      <c r="BN157" s="22">
        <f>VLOOKUP(tabCustoUnit[[#This Row],[Código do Posto]],tabParametros[],MATCH(tabCustoUnit[[#Headers],[Custos Indiretos]],tabParametros[#Headers],0),0)</f>
        <v>189.64880140242613</v>
      </c>
      <c r="BO157" s="22">
        <f>VLOOKUP(tabCustoUnit[[#This Row],[Código do Posto]],tabParametros[],MATCH(tabCustoUnit[[#Headers],[Lucro]],tabParametros[#Headers],0),0)</f>
        <v>159.30499317803796</v>
      </c>
      <c r="BP157" s="26">
        <f>((100/((1-tabCustoUnit[[#This Row],[Resumo de Alíquotas (PIS+CONFINS+ISS)]]))-100)*VLOOKUP(tabCustoUnit[[#This Row],[Código do Posto]],tabParametros[],MATCH(tabCustoUnit[[#Headers],[COFINS]],tabParametros[#Headers],0),0))/(tabCustoUnit[[#This Row],[Resumo de Alíquotas (PIS+CONFINS+ISS)]]*100)</f>
        <v>8.6609686609686695E-2</v>
      </c>
      <c r="BQ157" s="26">
        <f>((100/((100-(tabCustoUnit[[#This Row],[Resumo de Alíquotas (PIS+CONFINS+ISS)]]*100))%)-100)*VLOOKUP(tabCustoUnit[[#This Row],[Código do Posto]],tabParametros[],MATCH(tabCustoUnit[[#Headers],[PIS]],tabParametros[#Headers],0),0))/(tabCustoUnit[[#This Row],[Resumo de Alíquotas (PIS+CONFINS+ISS)]]*100)</f>
        <v>1.880341880341882E-2</v>
      </c>
      <c r="BR157" s="28">
        <f>VLOOKUP(tabCustoUnit[[#This Row],[Código do Posto]],tabParametros[],MATCH(tabCustoUnit[[#Headers],[ISS]],tabParametros[#Headers],0),0)</f>
        <v>0.03</v>
      </c>
      <c r="BS157" s="26">
        <f>(((100/((100-(tabCustoUnit[[#This Row],[Resumo de Alíquotas (PIS+CONFINS+ISS)]]*100))%)-100)*tabCustoUnit[[#This Row],[ISS]])/tabCustoUnit[[#This Row],[Resumo de Alíquotas (PIS+CONFINS+ISS)]])/100</f>
        <v>3.4188034188034219E-2</v>
      </c>
      <c r="BT157" s="26">
        <f>(VLOOKUP(tabCustoUnit[[#This Row],[Código do Posto]],tabParametros[],MATCH(tabCustoUnit[[#Headers],[COFINS]],tabParametros[#Headers],0),0)+
VLOOKUP(tabCustoUnit[[#This Row],[Código do Posto]],tabParametros[],MATCH(tabCustoUnit[[#Headers],[PIS]],tabParametros[#Headers],0),0)+
VLOOKUP(tabCustoUnit[[#This Row],[Código do Posto]],tabParametros[],MATCH(tabCustoUnit[[#Headers],[ISS]],tabParametros[#Headers],0),0))</f>
        <v>0.1225</v>
      </c>
      <c r="BU157" s="138">
        <f>tabCustoUnit[[#This Row],[COFINS]]+tabCustoUnit[[#This Row],[PIS]]+tabCustoUnit[[#This Row],[ISS (Conversão Alíquota s/ fatura)]]</f>
        <v>0.13960113960113973</v>
      </c>
      <c r="BV157" s="22">
        <f>(tabCustoUnit[[#This Row],[TOTAL MÓDULOS 1+2+3+4+5]]+tabCustoUnit[[#This Row],[Custos Indiretos]]+tabCustoUnit[[#This Row],[Lucro]])*tabCustoUnit[[#This Row],[PIS + COFINS + ISS (Total Conversão  Alíquota s/ Fatura)]]</f>
        <v>344.41866789250349</v>
      </c>
      <c r="BW157" s="22">
        <f>tabCustoUnit[[#This Row],[Custos Indiretos]]+tabCustoUnit[[#This Row],[Lucro]]+tabCustoUnit[[#This Row],[Valor dos Tributos (ISS, PIS, CONFINS)]]</f>
        <v>693.37246247296753</v>
      </c>
      <c r="BX157" s="22">
        <f>tabCustoUnit[[#This Row],[TOTAL MÓDULOS 1+2+3+4+5]]+tabCustoUnit[[#This Row],[MÓDULO 6 – CUSTOS INDIRETOS, TRIBUTOS E LUCRO]]</f>
        <v>2811.5809623877813</v>
      </c>
      <c r="BY157" s="22">
        <f>tabCustoUnit[[#This Row],[CUSTO TOTAL MENSAL]]*12</f>
        <v>33738.971548653375</v>
      </c>
      <c r="BZ157" s="24">
        <f>VLOOKUP(tabCustoUnit[[#This Row],[Código do Posto]],tabParametros[],MATCH(tabCustoUnit[[#Headers],[ANO DA CCT]],tabParametros[#Headers],0),0)</f>
        <v>45658</v>
      </c>
      <c r="CA157" s="25" t="str">
        <f>VLOOKUP(tabCustoUnit[[#This Row],[Código do Posto]],tabParametros[],MATCH(tabCustoUnit[[#Headers],[Nº DE PEDIDO DA CCT]],tabParametros[#Headers],0),0)</f>
        <v>-</v>
      </c>
      <c r="CB157" s="25" t="str">
        <f>VLOOKUP(tabCustoUnit[[#This Row],[Código do Posto]],tabParametros[],MATCH(tabCustoUnit[[#Headers],[TERMO ADITIVO ALTERAÇÃO DA CCT]],tabParametros[#Headers],0),0)</f>
        <v>-</v>
      </c>
    </row>
    <row r="158" spans="1:80" x14ac:dyDescent="0.25">
      <c r="A158" s="20" t="s">
        <v>1494</v>
      </c>
      <c r="B158" t="s">
        <v>143</v>
      </c>
      <c r="C158" t="s">
        <v>1247</v>
      </c>
      <c r="D158" t="s">
        <v>1018</v>
      </c>
      <c r="E158" s="20" t="s">
        <v>9</v>
      </c>
      <c r="F158" s="20" t="s">
        <v>10</v>
      </c>
      <c r="G158" s="21">
        <v>544.17999999999995</v>
      </c>
      <c r="H158" s="21">
        <v>0</v>
      </c>
      <c r="I158" s="21">
        <v>0</v>
      </c>
      <c r="J158" s="21">
        <v>0</v>
      </c>
      <c r="K158" s="21">
        <v>0</v>
      </c>
      <c r="L158" s="21">
        <v>0</v>
      </c>
      <c r="M158" s="21">
        <v>0</v>
      </c>
      <c r="N158" s="21">
        <v>19.590499999999999</v>
      </c>
      <c r="O158" s="21">
        <f>SUM(tabCustoUnit[[#This Row],[Salário Base]:[Adicional de Acúmulo de função]])</f>
        <v>563.77049999999997</v>
      </c>
      <c r="P158" s="21">
        <f>tabCustoUnit[[#This Row],[MODULO 1 - REMUNERAÇÃO ]]*SUMIFS(tabParametros[INSS],tabParametros[Código do Posto],tabCustoUnit[[#This Row],[Código do Posto]])</f>
        <v>112.75409999999999</v>
      </c>
      <c r="Q158" s="21">
        <f>tabCustoUnit[[#This Row],[MODULO 1 - REMUNERAÇÃO ]]*SUMIFS(tabParametros[SESI OU SESC],tabParametros[Código do Posto],tabCustoUnit[[#This Row],[Código do Posto]])</f>
        <v>8.4565574999999988</v>
      </c>
      <c r="R158" s="21">
        <f>tabCustoUnit[[#This Row],[MODULO 1 - REMUNERAÇÃO ]]*SUMIFS(tabParametros[SENAI OU SENAC],tabParametros[Código do Posto],tabCustoUnit[[#This Row],[Código do Posto]])</f>
        <v>5.6377049999999995</v>
      </c>
      <c r="S158" s="21">
        <f>tabCustoUnit[[#This Row],[MODULO 1 - REMUNERAÇÃO ]]*SUMIFS(tabParametros[INCRA],tabParametros[Código do Posto],tabCustoUnit[[#This Row],[Código do Posto]])</f>
        <v>1.1275409999999999</v>
      </c>
      <c r="T158" s="21">
        <f>tabCustoUnit[[#This Row],[MODULO 1 - REMUNERAÇÃO ]]*SUMIFS(tabParametros[Salário Educação],tabParametros[Código do Posto],tabCustoUnit[[#This Row],[Código do Posto]])</f>
        <v>14.094262499999999</v>
      </c>
      <c r="U158" s="21">
        <f>tabCustoUnit[[#This Row],[MODULO 1 - REMUNERAÇÃO ]]*SUMIFS(tabParametros[FGTS],tabParametros[Código do Posto],tabCustoUnit[[#This Row],[Código do Posto]])</f>
        <v>45.101639999999996</v>
      </c>
      <c r="V158" s="21">
        <f>tabCustoUnit[[#This Row],[MODULO 1 - REMUNERAÇÃO ]]*SUMIFS(tabParametros[RAT Ajustado],tabParametros[Código do Posto],tabCustoUnit[[#This Row],[Código do Posto]])</f>
        <v>22.550819999999998</v>
      </c>
      <c r="W158" s="21">
        <f>tabCustoUnit[[#This Row],[MODULO 1 - REMUNERAÇÃO ]]*SUMIFS(tabParametros[SEBRAE],tabParametros[Código do Posto],tabCustoUnit[[#This Row],[Código do Posto]])</f>
        <v>3.3826229999999997</v>
      </c>
      <c r="X158" s="21">
        <f>SUM(tabCustoUnit[[#This Row],[INSS]:[SEBRAE]])</f>
        <v>213.10524899999996</v>
      </c>
      <c r="Y158" s="21">
        <f>tabCustoUnit[[#This Row],[MODULO 1 - REMUNERAÇÃO ]]*SUMIFS(tabParametros[13º salário (titular)],tabParametros[Código do Posto],tabCustoUnit[[#This Row],[Código do Posto]])</f>
        <v>46.980874999999997</v>
      </c>
      <c r="Z158" s="21">
        <f>tabCustoUnit[[#This Row],[MODULO 1 - REMUNERAÇÃO ]]*SUMIFS(tabParametros[Férias e Adicional de Férias (titular)],tabParametros[Código do Posto],tabCustoUnit[[#This Row],[Código do Posto]])</f>
        <v>62.641166666666663</v>
      </c>
      <c r="AA158" s="21">
        <f>IFERROR((tabCustoUnit[[#This Row],[Submódulo 2.1]]/tabCustoUnit[[#This Row],[MODULO 1 - REMUNERAÇÃO ]])*SUM(tabCustoUnit[[#This Row],[13º salário (titular)]:[Férias e Adicional de Férias (titular)]]),0)</f>
        <v>41.437131749999992</v>
      </c>
      <c r="AB158" s="21">
        <f>SUM(tabCustoUnit[[#This Row],[13º salário (titular)]:[Incidência do Submódulo 2.1 sobre 13º Salário, Férias e Adicional de Férias]])</f>
        <v>151.05917341666665</v>
      </c>
      <c r="AC158" s="22">
        <f>_xlfn.LET(_xlpm.VT,SUMIF(tabParametros[Código do Posto],tabCustoUnit[[#This Row],[Código do Posto]],tabParametros[Vale - Transporte])*2*20,
IF((_xlpm.VT-tabCustoUnit[[#This Row],[Salário Base]]*0.06)&gt;=0,(_xlpm.VT-tabCustoUnit[[#This Row],[Salário Base]]*0.06),0)
)</f>
        <v>223.3492</v>
      </c>
      <c r="AD158" s="22">
        <f>IF(SUMIF(tabParametros[Código do Posto],tabCustoUnit[[#This Row],[Código do Posto]],tabParametros[Vale - Alimentação])&lt;=0,0,
SUMIF(tabParametros[Código do Posto],tabCustoUnit[[#This Row],[Código do Posto]],tabParametros[Vale - Alimentação])*20-1)</f>
        <v>582</v>
      </c>
      <c r="AE158" s="22">
        <f>SUMIF(tabParametros[Código do Posto],tabCustoUnit[[#This Row],[Código do Posto]],tabParametros[Cesta Básica])</f>
        <v>0</v>
      </c>
      <c r="AF158" s="22">
        <f>SUMIF(tabParametros[Código do Posto],tabCustoUnit[[#This Row],[Código do Posto]],tabParametros[PAF])</f>
        <v>51.88</v>
      </c>
      <c r="AG158" s="22">
        <f>SUMIF(tabParametros[Código do Posto],tabCustoUnit[[#This Row],[Código do Posto]],tabParametros[PQM])</f>
        <v>0</v>
      </c>
      <c r="AH158" s="22">
        <f>SUMIF(tabParametros[Código do Posto],tabCustoUnit[[#This Row],[Código do Posto]],tabParametros[PAT])</f>
        <v>0</v>
      </c>
      <c r="AI158" s="22">
        <f>SUMIF(tabParametros[Código do Posto],tabCustoUnit[[#This Row],[Código do Posto]],tabParametros[Seguro de Vida])</f>
        <v>3.36</v>
      </c>
      <c r="AJ158" s="22">
        <f>SUMIF(tabParametros[Código do Posto],tabCustoUnit[[#This Row],[Código do Posto]],tabParametros[Despesas de Viagem])</f>
        <v>0</v>
      </c>
      <c r="AK158" s="22">
        <f>SUM(tabCustoUnit[[#This Row],[Vale - Transporte (Descontada parcela do empregado)]:[Despesas de Viagem]])</f>
        <v>860.58920000000001</v>
      </c>
      <c r="AL158" s="22">
        <f>tabCustoUnit[[#This Row],[Submódulo 2.1]]+tabCustoUnit[[#This Row],[Submódulo 2.2]]+tabCustoUnit[[#This Row],[Submódulo 2.3]]</f>
        <v>1224.7536224166665</v>
      </c>
      <c r="AM158" s="22">
        <f>SUMIF(tabParametros[Código do Posto],tabCustoUnit[[#This Row],[Código do Posto]],tabParametros[Aviso Prévio Indenizado (API) e Reflexo do Aviso Prévio Indenizado])*tabCustoUnit[[#This Row],[MODULO 1 - REMUNERAÇÃO ]]</f>
        <v>3.9530273735532404</v>
      </c>
      <c r="AN158" s="22">
        <f>SUMIF(tabParametros[Código do Posto],tabCustoUnit[[#This Row],[Código do Posto]],tabParametros[Incidência do FGTS sobre API e Reflexo do API])*tabCustoUnit[[#This Row],[MODULO 1 - REMUNERAÇÃO ]]</f>
        <v>0.31624218988425928</v>
      </c>
      <c r="AO158" s="22">
        <f>SUMIF(tabParametros[Código do Posto],tabCustoUnit[[#This Row],[Código do Posto]],tabParametros[Multa Rescisória do FGTS sobre o Aviso Prévio Indenizado])*tabCustoUnit[[#This Row],[MODULO 1 - REMUNERAÇÃO ]]</f>
        <v>0.12649687595370371</v>
      </c>
      <c r="AP158" s="22">
        <f>SUMIF(tabParametros[Código do Posto],tabCustoUnit[[#This Row],[Código do Posto]],tabParametros[Aviso Prévio Trabalhado - APT])*tabCustoUnit[[#This Row],[MODULO 1 - REMUNERAÇÃO ]]</f>
        <v>1.9731967500000003</v>
      </c>
      <c r="AQ158" s="22">
        <f>SUMIF(tabParametros[Código do Posto],tabCustoUnit[[#This Row],[Código do Posto]],tabParametros[Incidência dos encargos do submódulo 2.1 sobre Aviso Prévio Trabalhado])*tabCustoUnit[[#This Row],[MODULO 1 - REMUNERAÇÃO ]]</f>
        <v>0.74586837150000018</v>
      </c>
      <c r="AR158" s="22">
        <f>SUMIF(tabParametros[Código do Posto],tabCustoUnit[[#This Row],[Código do Posto]],tabParametros[Multa Rescisória do FGTS])*tabCustoUnit[[#This Row],[MODULO 1 - REMUNERAÇÃO ]]</f>
        <v>17.238849066666663</v>
      </c>
      <c r="AS158" s="22">
        <f>SUMIF(tabParametros[Código do Posto],tabCustoUnit[[#This Row],[Código do Posto]],tabParametros[Indenização Adicional (Art. 9º da Lei nº 7.238/84)])*tabCustoUnit[[#This Row],[MODULO 1 - REMUNERAÇÃO ]]</f>
        <v>0.46980875</v>
      </c>
      <c r="AT158" s="22">
        <f>SUM(tabCustoUnit[[#This Row],[Aviso Prévio Indenizado (API) e Reflexo do Aviso Prévio Indenizado]:[Indenização Adicional (Art. 9º da Lei nº 7.238/84)]])</f>
        <v>24.823489377557866</v>
      </c>
      <c r="AU158" s="22">
        <f>SUMIF(tabParametros[Código do Posto],tabCustoUnit[[#This Row],[Código do Posto]],tabParametros[Ausência por Doença])*tabCustoUnit[[#This Row],[MODULO 1 - REMUNERAÇÃO ]]</f>
        <v>4.7607286666666662</v>
      </c>
      <c r="AV158" s="22">
        <f>SUMIF(tabParametros[Código do Posto],tabCustoUnit[[#This Row],[Código do Posto]],tabParametros[Ausências Legais])*tabCustoUnit[[#This Row],[MODULO 1 - REMUNERAÇÃO ]]</f>
        <v>1.1432012916666665</v>
      </c>
      <c r="AW158" s="22">
        <f>SUMIF(tabParametros[Código do Posto],tabCustoUnit[[#This Row],[Código do Posto]],tabParametros[Licença Paternidade])*tabCustoUnit[[#This Row],[MODULO 1 - REMUNERAÇÃO ]]</f>
        <v>9.6310793749999998E-2</v>
      </c>
      <c r="AX158" s="22">
        <f>SUMIF(tabParametros[Código do Posto],tabCustoUnit[[#This Row],[Código do Posto]],tabParametros[Ausência por Acidente de Trabalho])*tabCustoUnit[[#This Row],[MODULO 1 - REMUNERAÇÃO ]]</f>
        <v>0.1174521875</v>
      </c>
      <c r="AY158" s="22">
        <f>SUMIF(tabParametros[Código do Posto],tabCustoUnit[[#This Row],[Código do Posto]],tabParametros[Férias, Adicional de Férias e 13º  com empregada em gozo de Licença Maternidade])*tabCustoUnit[[#This Row],[MODULO 1 - REMUNERAÇÃO ]]</f>
        <v>0.73081361111111109</v>
      </c>
      <c r="AZ158" s="22">
        <f>SUMIF(tabParametros[Código do Posto],tabCustoUnit[[#This Row],[Código do Posto]],tabParametros[Incidência do Submódulo 2.1 sobre Ausências Legais])*tabCustoUnit[[#This Row],[MODULO 1 - REMUNERAÇÃO ]]</f>
        <v>2.5887354761625003</v>
      </c>
      <c r="BA158" s="22">
        <f>SUM(tabCustoUnit[[#This Row],[Ausência por Doença]:[Incidência do Submódulo 2.1 sobre Ausências Legais]])</f>
        <v>9.4372420268569428</v>
      </c>
      <c r="BB158" s="22">
        <f>SUMIF(tabParametros[Código do Posto],tabCustoUnit[[#This Row],[Código do Posto]],tabParametros[Intervalo para Repouso ou Alimentação])</f>
        <v>0</v>
      </c>
      <c r="BC158" s="22">
        <f>tabCustoUnit[[#This Row],[Intervalo para Repouso ou Alimentação]]</f>
        <v>0</v>
      </c>
      <c r="BD158" s="22">
        <f>IF(VLOOKUP(tabCustoUnit[[#This Row],[Código do Posto]],PARAMETROS!$A$4:$BJ$255,7,0)&lt;=0,0,
IFERROR((tabCustoUnit[[#This Row],[MODULO 1 - REMUNERAÇÃO ]]*VLOOKUP(tabCustoUnit[[#This Row],[Código do Posto]],PARAMETROS!$A$4:$BJ$255,49,0))/(VLOOKUP(tabCustoUnit[[#This Row],[Código do Posto]],PARAMETROS!$A$4:$BJ$255,7,0)*VLOOKUP(tabCustoUnit[[#This Row],[Código do Posto]],PARAMETROS!$A$4:$BJ$255,8,0)),0)
)</f>
        <v>0</v>
      </c>
      <c r="BE158" s="22">
        <f>tabCustoUnit[[#This Row],[Suspensão Temporária do Contrato de Trabalho]]</f>
        <v>0</v>
      </c>
      <c r="BF158" s="22">
        <f>tabCustoUnit[[#This Row],[Submódulo 4.1]]+tabCustoUnit[[#This Row],[Submódulo 4.2]]+tabCustoUnit[[#This Row],[Submódulo 4.3]]</f>
        <v>9.4372420268569428</v>
      </c>
      <c r="BG158" s="22">
        <f>VLOOKUP(tabCustoUnit[[#This Row],[Código do Posto]],tabParametros[],MATCH(tabCustoUnit[[#Headers],[Uniformes e EPIs]],tabParametros[#Headers],0),0)</f>
        <v>62.806666666666665</v>
      </c>
      <c r="BH158" s="22">
        <f>VLOOKUP(tabCustoUnit[[#This Row],[Código do Posto]],tabParametros[],MATCH(tabCustoUnit[[#Headers],[Materiais de Consumo]],tabParametros[#Headers],0),0)</f>
        <v>12.108481690426325</v>
      </c>
      <c r="BI158" s="22">
        <f>VLOOKUP(tabCustoUnit[[#This Row],[Código do Posto]],tabParametros[],MATCH(tabCustoUnit[[#Headers],[Máquinas e Equipamentos (depreciação)]],tabParametros[#Headers],0),0)</f>
        <v>21.998657016417809</v>
      </c>
      <c r="BJ158" s="22">
        <f>VLOOKUP(tabCustoUnit[[#This Row],[Código do Posto]],tabParametros[],MATCH(tabCustoUnit[[#Headers],[Produtos de Limpeza e Materiais de Higiene Pessoal]],tabParametros[#Headers],0),0)</f>
        <v>235.31984072022155</v>
      </c>
      <c r="BK158" s="22">
        <f>VLOOKUP(tabCustoUnit[[#This Row],[Código do Posto]],tabParametros[],MATCH(tabCustoUnit[[#Headers],[Outros (especificar)]],tabParametros[#Headers],0),0)</f>
        <v>0</v>
      </c>
      <c r="BL158" s="22">
        <f>SUM(tabCustoUnit[[#This Row],[Uniformes e EPIs]:[Outros (especificar)]])</f>
        <v>332.23364609373232</v>
      </c>
      <c r="BM158" s="22">
        <f>tabCustoUnit[[#This Row],[MODULO 1 - REMUNERAÇÃO ]]+tabCustoUnit[[#This Row],[MÓDULO 2 - Total Encargos e Benefícios mensais e diários]]+tabCustoUnit[[#This Row],[MÓDULO 3 – PROVISÃO PARA RESCISÃO]]+tabCustoUnit[[#This Row],[MÓDULO 4 – CUSTO DE REPOSIÇÃO DO PROFISSIONAL AUSENTE]]+tabCustoUnit[[#This Row],[MÓDULO 5 – INSUMOS DIVERSOS]]</f>
        <v>2155.0184999148137</v>
      </c>
      <c r="BN158" s="22">
        <f>VLOOKUP(tabCustoUnit[[#This Row],[Código do Posto]],tabParametros[],MATCH(tabCustoUnit[[#Headers],[Custos Indiretos]],tabParametros[#Headers],0),0)</f>
        <v>189.64880140242613</v>
      </c>
      <c r="BO158" s="22">
        <f>VLOOKUP(tabCustoUnit[[#This Row],[Código do Posto]],tabParametros[],MATCH(tabCustoUnit[[#Headers],[Lucro]],tabParametros[#Headers],0),0)</f>
        <v>159.30499317803796</v>
      </c>
      <c r="BP158" s="26">
        <f>((100/((1-tabCustoUnit[[#This Row],[Resumo de Alíquotas (PIS+CONFINS+ISS)]]))-100)*VLOOKUP(tabCustoUnit[[#This Row],[Código do Posto]],tabParametros[],MATCH(tabCustoUnit[[#Headers],[COFINS]],tabParametros[#Headers],0),0))/(tabCustoUnit[[#This Row],[Resumo de Alíquotas (PIS+CONFINS+ISS)]]*100)</f>
        <v>8.8629737609329504E-2</v>
      </c>
      <c r="BQ158" s="26">
        <f>((100/((100-(tabCustoUnit[[#This Row],[Resumo de Alíquotas (PIS+CONFINS+ISS)]]*100))%)-100)*VLOOKUP(tabCustoUnit[[#This Row],[Código do Posto]],tabParametros[],MATCH(tabCustoUnit[[#Headers],[PIS]],tabParametros[#Headers],0),0))/(tabCustoUnit[[#This Row],[Resumo de Alíquotas (PIS+CONFINS+ISS)]]*100)</f>
        <v>1.9241982507288629E-2</v>
      </c>
      <c r="BR158" s="28">
        <f>VLOOKUP(tabCustoUnit[[#This Row],[Código do Posto]],tabParametros[],MATCH(tabCustoUnit[[#Headers],[ISS]],tabParametros[#Headers],0),0)</f>
        <v>0.05</v>
      </c>
      <c r="BS158" s="26">
        <f>(((100/((100-(tabCustoUnit[[#This Row],[Resumo de Alíquotas (PIS+CONFINS+ISS)]]*100))%)-100)*tabCustoUnit[[#This Row],[ISS]])/tabCustoUnit[[#This Row],[Resumo de Alíquotas (PIS+CONFINS+ISS)]])/100</f>
        <v>5.8309037900874633E-2</v>
      </c>
      <c r="BT158" s="26">
        <f>(VLOOKUP(tabCustoUnit[[#This Row],[Código do Posto]],tabParametros[],MATCH(tabCustoUnit[[#Headers],[COFINS]],tabParametros[#Headers],0),0)+
VLOOKUP(tabCustoUnit[[#This Row],[Código do Posto]],tabParametros[],MATCH(tabCustoUnit[[#Headers],[PIS]],tabParametros[#Headers],0),0)+
VLOOKUP(tabCustoUnit[[#This Row],[Código do Posto]],tabParametros[],MATCH(tabCustoUnit[[#Headers],[ISS]],tabParametros[#Headers],0),0))</f>
        <v>0.14250000000000002</v>
      </c>
      <c r="BU158" s="138">
        <f>tabCustoUnit[[#This Row],[COFINS]]+tabCustoUnit[[#This Row],[PIS]]+tabCustoUnit[[#This Row],[ISS (Conversão Alíquota s/ fatura)]]</f>
        <v>0.16618075801749277</v>
      </c>
      <c r="BV158" s="22">
        <f>(tabCustoUnit[[#This Row],[TOTAL MÓDULOS 1+2+3+4+5]]+tabCustoUnit[[#This Row],[Custos Indiretos]]+tabCustoUnit[[#This Row],[Lucro]])*tabCustoUnit[[#This Row],[PIS + COFINS + ISS (Total Conversão  Alíquota s/ Fatura)]]</f>
        <v>416.11201395402588</v>
      </c>
      <c r="BW158" s="22">
        <f>tabCustoUnit[[#This Row],[Custos Indiretos]]+tabCustoUnit[[#This Row],[Lucro]]+tabCustoUnit[[#This Row],[Valor dos Tributos (ISS, PIS, CONFINS)]]</f>
        <v>765.06580853448997</v>
      </c>
      <c r="BX158" s="22">
        <f>tabCustoUnit[[#This Row],[TOTAL MÓDULOS 1+2+3+4+5]]+tabCustoUnit[[#This Row],[MÓDULO 6 – CUSTOS INDIRETOS, TRIBUTOS E LUCRO]]</f>
        <v>2920.0843084493035</v>
      </c>
      <c r="BY158" s="22">
        <f>tabCustoUnit[[#This Row],[CUSTO TOTAL MENSAL]]*12</f>
        <v>35041.011701391646</v>
      </c>
      <c r="BZ158" s="24">
        <f>VLOOKUP(tabCustoUnit[[#This Row],[Código do Posto]],tabParametros[],MATCH(tabCustoUnit[[#Headers],[ANO DA CCT]],tabParametros[#Headers],0),0)</f>
        <v>45658</v>
      </c>
      <c r="CA158" s="25" t="str">
        <f>VLOOKUP(tabCustoUnit[[#This Row],[Código do Posto]],tabParametros[],MATCH(tabCustoUnit[[#Headers],[Nº DE PEDIDO DA CCT]],tabParametros[#Headers],0),0)</f>
        <v>-</v>
      </c>
      <c r="CB158" s="25" t="str">
        <f>VLOOKUP(tabCustoUnit[[#This Row],[Código do Posto]],tabParametros[],MATCH(tabCustoUnit[[#Headers],[TERMO ADITIVO ALTERAÇÃO DA CCT]],tabParametros[#Headers],0),0)</f>
        <v>-</v>
      </c>
    </row>
    <row r="159" spans="1:80" x14ac:dyDescent="0.25">
      <c r="A159" s="20" t="s">
        <v>1495</v>
      </c>
      <c r="B159" t="s">
        <v>144</v>
      </c>
      <c r="C159" t="s">
        <v>1247</v>
      </c>
      <c r="D159" t="s">
        <v>1018</v>
      </c>
      <c r="E159" s="20" t="s">
        <v>9</v>
      </c>
      <c r="F159" s="20" t="s">
        <v>10</v>
      </c>
      <c r="G159" s="21">
        <v>544.17999999999995</v>
      </c>
      <c r="H159" s="21">
        <v>0</v>
      </c>
      <c r="I159" s="21">
        <v>0</v>
      </c>
      <c r="J159" s="21">
        <v>0</v>
      </c>
      <c r="K159" s="21">
        <v>0</v>
      </c>
      <c r="L159" s="21">
        <v>0</v>
      </c>
      <c r="M159" s="21">
        <v>0</v>
      </c>
      <c r="N159" s="21">
        <v>19.590499999999999</v>
      </c>
      <c r="O159" s="21">
        <f>SUM(tabCustoUnit[[#This Row],[Salário Base]:[Adicional de Acúmulo de função]])</f>
        <v>563.77049999999997</v>
      </c>
      <c r="P159" s="21">
        <f>tabCustoUnit[[#This Row],[MODULO 1 - REMUNERAÇÃO ]]*SUMIFS(tabParametros[INSS],tabParametros[Código do Posto],tabCustoUnit[[#This Row],[Código do Posto]])</f>
        <v>112.75409999999999</v>
      </c>
      <c r="Q159" s="21">
        <f>tabCustoUnit[[#This Row],[MODULO 1 - REMUNERAÇÃO ]]*SUMIFS(tabParametros[SESI OU SESC],tabParametros[Código do Posto],tabCustoUnit[[#This Row],[Código do Posto]])</f>
        <v>8.4565574999999988</v>
      </c>
      <c r="R159" s="21">
        <f>tabCustoUnit[[#This Row],[MODULO 1 - REMUNERAÇÃO ]]*SUMIFS(tabParametros[SENAI OU SENAC],tabParametros[Código do Posto],tabCustoUnit[[#This Row],[Código do Posto]])</f>
        <v>5.6377049999999995</v>
      </c>
      <c r="S159" s="21">
        <f>tabCustoUnit[[#This Row],[MODULO 1 - REMUNERAÇÃO ]]*SUMIFS(tabParametros[INCRA],tabParametros[Código do Posto],tabCustoUnit[[#This Row],[Código do Posto]])</f>
        <v>1.1275409999999999</v>
      </c>
      <c r="T159" s="21">
        <f>tabCustoUnit[[#This Row],[MODULO 1 - REMUNERAÇÃO ]]*SUMIFS(tabParametros[Salário Educação],tabParametros[Código do Posto],tabCustoUnit[[#This Row],[Código do Posto]])</f>
        <v>14.094262499999999</v>
      </c>
      <c r="U159" s="21">
        <f>tabCustoUnit[[#This Row],[MODULO 1 - REMUNERAÇÃO ]]*SUMIFS(tabParametros[FGTS],tabParametros[Código do Posto],tabCustoUnit[[#This Row],[Código do Posto]])</f>
        <v>45.101639999999996</v>
      </c>
      <c r="V159" s="21">
        <f>tabCustoUnit[[#This Row],[MODULO 1 - REMUNERAÇÃO ]]*SUMIFS(tabParametros[RAT Ajustado],tabParametros[Código do Posto],tabCustoUnit[[#This Row],[Código do Posto]])</f>
        <v>22.550819999999998</v>
      </c>
      <c r="W159" s="21">
        <f>tabCustoUnit[[#This Row],[MODULO 1 - REMUNERAÇÃO ]]*SUMIFS(tabParametros[SEBRAE],tabParametros[Código do Posto],tabCustoUnit[[#This Row],[Código do Posto]])</f>
        <v>3.3826229999999997</v>
      </c>
      <c r="X159" s="21">
        <f>SUM(tabCustoUnit[[#This Row],[INSS]:[SEBRAE]])</f>
        <v>213.10524899999996</v>
      </c>
      <c r="Y159" s="21">
        <f>tabCustoUnit[[#This Row],[MODULO 1 - REMUNERAÇÃO ]]*SUMIFS(tabParametros[13º salário (titular)],tabParametros[Código do Posto],tabCustoUnit[[#This Row],[Código do Posto]])</f>
        <v>46.980874999999997</v>
      </c>
      <c r="Z159" s="21">
        <f>tabCustoUnit[[#This Row],[MODULO 1 - REMUNERAÇÃO ]]*SUMIFS(tabParametros[Férias e Adicional de Férias (titular)],tabParametros[Código do Posto],tabCustoUnit[[#This Row],[Código do Posto]])</f>
        <v>62.641166666666663</v>
      </c>
      <c r="AA159" s="21">
        <f>IFERROR((tabCustoUnit[[#This Row],[Submódulo 2.1]]/tabCustoUnit[[#This Row],[MODULO 1 - REMUNERAÇÃO ]])*SUM(tabCustoUnit[[#This Row],[13º salário (titular)]:[Férias e Adicional de Férias (titular)]]),0)</f>
        <v>41.437131749999992</v>
      </c>
      <c r="AB159" s="21">
        <f>SUM(tabCustoUnit[[#This Row],[13º salário (titular)]:[Incidência do Submódulo 2.1 sobre 13º Salário, Férias e Adicional de Férias]])</f>
        <v>151.05917341666665</v>
      </c>
      <c r="AC159" s="22">
        <f>_xlfn.LET(_xlpm.VT,SUMIF(tabParametros[Código do Posto],tabCustoUnit[[#This Row],[Código do Posto]],tabParametros[Vale - Transporte])*2*20,
IF((_xlpm.VT-tabCustoUnit[[#This Row],[Salário Base]]*0.06)&gt;=0,(_xlpm.VT-tabCustoUnit[[#This Row],[Salário Base]]*0.06),0)
)</f>
        <v>223.3492</v>
      </c>
      <c r="AD159" s="22">
        <f>IF(SUMIF(tabParametros[Código do Posto],tabCustoUnit[[#This Row],[Código do Posto]],tabParametros[Vale - Alimentação])&lt;=0,0,
SUMIF(tabParametros[Código do Posto],tabCustoUnit[[#This Row],[Código do Posto]],tabParametros[Vale - Alimentação])*20-1)</f>
        <v>582</v>
      </c>
      <c r="AE159" s="22">
        <f>SUMIF(tabParametros[Código do Posto],tabCustoUnit[[#This Row],[Código do Posto]],tabParametros[Cesta Básica])</f>
        <v>0</v>
      </c>
      <c r="AF159" s="22">
        <f>SUMIF(tabParametros[Código do Posto],tabCustoUnit[[#This Row],[Código do Posto]],tabParametros[PAF])</f>
        <v>51.88</v>
      </c>
      <c r="AG159" s="22">
        <f>SUMIF(tabParametros[Código do Posto],tabCustoUnit[[#This Row],[Código do Posto]],tabParametros[PQM])</f>
        <v>0</v>
      </c>
      <c r="AH159" s="22">
        <f>SUMIF(tabParametros[Código do Posto],tabCustoUnit[[#This Row],[Código do Posto]],tabParametros[PAT])</f>
        <v>0</v>
      </c>
      <c r="AI159" s="22">
        <f>SUMIF(tabParametros[Código do Posto],tabCustoUnit[[#This Row],[Código do Posto]],tabParametros[Seguro de Vida])</f>
        <v>3.36</v>
      </c>
      <c r="AJ159" s="22">
        <f>SUMIF(tabParametros[Código do Posto],tabCustoUnit[[#This Row],[Código do Posto]],tabParametros[Despesas de Viagem])</f>
        <v>0</v>
      </c>
      <c r="AK159" s="22">
        <f>SUM(tabCustoUnit[[#This Row],[Vale - Transporte (Descontada parcela do empregado)]:[Despesas de Viagem]])</f>
        <v>860.58920000000001</v>
      </c>
      <c r="AL159" s="22">
        <f>tabCustoUnit[[#This Row],[Submódulo 2.1]]+tabCustoUnit[[#This Row],[Submódulo 2.2]]+tabCustoUnit[[#This Row],[Submódulo 2.3]]</f>
        <v>1224.7536224166665</v>
      </c>
      <c r="AM159" s="22">
        <f>SUMIF(tabParametros[Código do Posto],tabCustoUnit[[#This Row],[Código do Posto]],tabParametros[Aviso Prévio Indenizado (API) e Reflexo do Aviso Prévio Indenizado])*tabCustoUnit[[#This Row],[MODULO 1 - REMUNERAÇÃO ]]</f>
        <v>3.9530273735532404</v>
      </c>
      <c r="AN159" s="22">
        <f>SUMIF(tabParametros[Código do Posto],tabCustoUnit[[#This Row],[Código do Posto]],tabParametros[Incidência do FGTS sobre API e Reflexo do API])*tabCustoUnit[[#This Row],[MODULO 1 - REMUNERAÇÃO ]]</f>
        <v>0.31624218988425928</v>
      </c>
      <c r="AO159" s="22">
        <f>SUMIF(tabParametros[Código do Posto],tabCustoUnit[[#This Row],[Código do Posto]],tabParametros[Multa Rescisória do FGTS sobre o Aviso Prévio Indenizado])*tabCustoUnit[[#This Row],[MODULO 1 - REMUNERAÇÃO ]]</f>
        <v>0.12649687595370371</v>
      </c>
      <c r="AP159" s="22">
        <f>SUMIF(tabParametros[Código do Posto],tabCustoUnit[[#This Row],[Código do Posto]],tabParametros[Aviso Prévio Trabalhado - APT])*tabCustoUnit[[#This Row],[MODULO 1 - REMUNERAÇÃO ]]</f>
        <v>1.9731967500000003</v>
      </c>
      <c r="AQ159" s="22">
        <f>SUMIF(tabParametros[Código do Posto],tabCustoUnit[[#This Row],[Código do Posto]],tabParametros[Incidência dos encargos do submódulo 2.1 sobre Aviso Prévio Trabalhado])*tabCustoUnit[[#This Row],[MODULO 1 - REMUNERAÇÃO ]]</f>
        <v>0.74586837150000018</v>
      </c>
      <c r="AR159" s="22">
        <f>SUMIF(tabParametros[Código do Posto],tabCustoUnit[[#This Row],[Código do Posto]],tabParametros[Multa Rescisória do FGTS])*tabCustoUnit[[#This Row],[MODULO 1 - REMUNERAÇÃO ]]</f>
        <v>17.238849066666663</v>
      </c>
      <c r="AS159" s="22">
        <f>SUMIF(tabParametros[Código do Posto],tabCustoUnit[[#This Row],[Código do Posto]],tabParametros[Indenização Adicional (Art. 9º da Lei nº 7.238/84)])*tabCustoUnit[[#This Row],[MODULO 1 - REMUNERAÇÃO ]]</f>
        <v>0.46980875</v>
      </c>
      <c r="AT159" s="22">
        <f>SUM(tabCustoUnit[[#This Row],[Aviso Prévio Indenizado (API) e Reflexo do Aviso Prévio Indenizado]:[Indenização Adicional (Art. 9º da Lei nº 7.238/84)]])</f>
        <v>24.823489377557866</v>
      </c>
      <c r="AU159" s="22">
        <f>SUMIF(tabParametros[Código do Posto],tabCustoUnit[[#This Row],[Código do Posto]],tabParametros[Ausência por Doença])*tabCustoUnit[[#This Row],[MODULO 1 - REMUNERAÇÃO ]]</f>
        <v>4.7607286666666662</v>
      </c>
      <c r="AV159" s="22">
        <f>SUMIF(tabParametros[Código do Posto],tabCustoUnit[[#This Row],[Código do Posto]],tabParametros[Ausências Legais])*tabCustoUnit[[#This Row],[MODULO 1 - REMUNERAÇÃO ]]</f>
        <v>1.1432012916666665</v>
      </c>
      <c r="AW159" s="22">
        <f>SUMIF(tabParametros[Código do Posto],tabCustoUnit[[#This Row],[Código do Posto]],tabParametros[Licença Paternidade])*tabCustoUnit[[#This Row],[MODULO 1 - REMUNERAÇÃO ]]</f>
        <v>9.6310793749999998E-2</v>
      </c>
      <c r="AX159" s="22">
        <f>SUMIF(tabParametros[Código do Posto],tabCustoUnit[[#This Row],[Código do Posto]],tabParametros[Ausência por Acidente de Trabalho])*tabCustoUnit[[#This Row],[MODULO 1 - REMUNERAÇÃO ]]</f>
        <v>0.1174521875</v>
      </c>
      <c r="AY159" s="22">
        <f>SUMIF(tabParametros[Código do Posto],tabCustoUnit[[#This Row],[Código do Posto]],tabParametros[Férias, Adicional de Férias e 13º  com empregada em gozo de Licença Maternidade])*tabCustoUnit[[#This Row],[MODULO 1 - REMUNERAÇÃO ]]</f>
        <v>0.73081361111111109</v>
      </c>
      <c r="AZ159" s="22">
        <f>SUMIF(tabParametros[Código do Posto],tabCustoUnit[[#This Row],[Código do Posto]],tabParametros[Incidência do Submódulo 2.1 sobre Ausências Legais])*tabCustoUnit[[#This Row],[MODULO 1 - REMUNERAÇÃO ]]</f>
        <v>2.5887354761625003</v>
      </c>
      <c r="BA159" s="22">
        <f>SUM(tabCustoUnit[[#This Row],[Ausência por Doença]:[Incidência do Submódulo 2.1 sobre Ausências Legais]])</f>
        <v>9.4372420268569428</v>
      </c>
      <c r="BB159" s="22">
        <f>SUMIF(tabParametros[Código do Posto],tabCustoUnit[[#This Row],[Código do Posto]],tabParametros[Intervalo para Repouso ou Alimentação])</f>
        <v>0</v>
      </c>
      <c r="BC159" s="22">
        <f>tabCustoUnit[[#This Row],[Intervalo para Repouso ou Alimentação]]</f>
        <v>0</v>
      </c>
      <c r="BD159" s="22">
        <f>IF(VLOOKUP(tabCustoUnit[[#This Row],[Código do Posto]],PARAMETROS!$A$4:$BJ$255,7,0)&lt;=0,0,
IFERROR((tabCustoUnit[[#This Row],[MODULO 1 - REMUNERAÇÃO ]]*VLOOKUP(tabCustoUnit[[#This Row],[Código do Posto]],PARAMETROS!$A$4:$BJ$255,49,0))/(VLOOKUP(tabCustoUnit[[#This Row],[Código do Posto]],PARAMETROS!$A$4:$BJ$255,7,0)*VLOOKUP(tabCustoUnit[[#This Row],[Código do Posto]],PARAMETROS!$A$4:$BJ$255,8,0)),0)
)</f>
        <v>0</v>
      </c>
      <c r="BE159" s="22">
        <f>tabCustoUnit[[#This Row],[Suspensão Temporária do Contrato de Trabalho]]</f>
        <v>0</v>
      </c>
      <c r="BF159" s="22">
        <f>tabCustoUnit[[#This Row],[Submódulo 4.1]]+tabCustoUnit[[#This Row],[Submódulo 4.2]]+tabCustoUnit[[#This Row],[Submódulo 4.3]]</f>
        <v>9.4372420268569428</v>
      </c>
      <c r="BG159" s="22">
        <f>VLOOKUP(tabCustoUnit[[#This Row],[Código do Posto]],tabParametros[],MATCH(tabCustoUnit[[#Headers],[Uniformes e EPIs]],tabParametros[#Headers],0),0)</f>
        <v>62.806666666666665</v>
      </c>
      <c r="BH159" s="22">
        <f>VLOOKUP(tabCustoUnit[[#This Row],[Código do Posto]],tabParametros[],MATCH(tabCustoUnit[[#Headers],[Materiais de Consumo]],tabParametros[#Headers],0),0)</f>
        <v>12.108481690426325</v>
      </c>
      <c r="BI159" s="22">
        <f>VLOOKUP(tabCustoUnit[[#This Row],[Código do Posto]],tabParametros[],MATCH(tabCustoUnit[[#Headers],[Máquinas e Equipamentos (depreciação)]],tabParametros[#Headers],0),0)</f>
        <v>21.998657016417809</v>
      </c>
      <c r="BJ159" s="22">
        <f>VLOOKUP(tabCustoUnit[[#This Row],[Código do Posto]],tabParametros[],MATCH(tabCustoUnit[[#Headers],[Produtos de Limpeza e Materiais de Higiene Pessoal]],tabParametros[#Headers],0),0)</f>
        <v>235.31984072022155</v>
      </c>
      <c r="BK159" s="22">
        <f>VLOOKUP(tabCustoUnit[[#This Row],[Código do Posto]],tabParametros[],MATCH(tabCustoUnit[[#Headers],[Outros (especificar)]],tabParametros[#Headers],0),0)</f>
        <v>0</v>
      </c>
      <c r="BL159" s="22">
        <f>SUM(tabCustoUnit[[#This Row],[Uniformes e EPIs]:[Outros (especificar)]])</f>
        <v>332.23364609373232</v>
      </c>
      <c r="BM159" s="22">
        <f>tabCustoUnit[[#This Row],[MODULO 1 - REMUNERAÇÃO ]]+tabCustoUnit[[#This Row],[MÓDULO 2 - Total Encargos e Benefícios mensais e diários]]+tabCustoUnit[[#This Row],[MÓDULO 3 – PROVISÃO PARA RESCISÃO]]+tabCustoUnit[[#This Row],[MÓDULO 4 – CUSTO DE REPOSIÇÃO DO PROFISSIONAL AUSENTE]]+tabCustoUnit[[#This Row],[MÓDULO 5 – INSUMOS DIVERSOS]]</f>
        <v>2155.0184999148137</v>
      </c>
      <c r="BN159" s="22">
        <f>VLOOKUP(tabCustoUnit[[#This Row],[Código do Posto]],tabParametros[],MATCH(tabCustoUnit[[#Headers],[Custos Indiretos]],tabParametros[#Headers],0),0)</f>
        <v>189.64880140242613</v>
      </c>
      <c r="BO159" s="22">
        <f>VLOOKUP(tabCustoUnit[[#This Row],[Código do Posto]],tabParametros[],MATCH(tabCustoUnit[[#Headers],[Lucro]],tabParametros[#Headers],0),0)</f>
        <v>159.30499317803796</v>
      </c>
      <c r="BP159" s="26">
        <f>((100/((1-tabCustoUnit[[#This Row],[Resumo de Alíquotas (PIS+CONFINS+ISS)]]))-100)*VLOOKUP(tabCustoUnit[[#This Row],[Código do Posto]],tabParametros[],MATCH(tabCustoUnit[[#Headers],[COFINS]],tabParametros[#Headers],0),0))/(tabCustoUnit[[#This Row],[Resumo de Alíquotas (PIS+CONFINS+ISS)]]*100)</f>
        <v>8.6609686609686695E-2</v>
      </c>
      <c r="BQ159" s="26">
        <f>((100/((100-(tabCustoUnit[[#This Row],[Resumo de Alíquotas (PIS+CONFINS+ISS)]]*100))%)-100)*VLOOKUP(tabCustoUnit[[#This Row],[Código do Posto]],tabParametros[],MATCH(tabCustoUnit[[#Headers],[PIS]],tabParametros[#Headers],0),0))/(tabCustoUnit[[#This Row],[Resumo de Alíquotas (PIS+CONFINS+ISS)]]*100)</f>
        <v>1.880341880341882E-2</v>
      </c>
      <c r="BR159" s="28">
        <f>VLOOKUP(tabCustoUnit[[#This Row],[Código do Posto]],tabParametros[],MATCH(tabCustoUnit[[#Headers],[ISS]],tabParametros[#Headers],0),0)</f>
        <v>0.03</v>
      </c>
      <c r="BS159" s="26">
        <f>(((100/((100-(tabCustoUnit[[#This Row],[Resumo de Alíquotas (PIS+CONFINS+ISS)]]*100))%)-100)*tabCustoUnit[[#This Row],[ISS]])/tabCustoUnit[[#This Row],[Resumo de Alíquotas (PIS+CONFINS+ISS)]])/100</f>
        <v>3.4188034188034219E-2</v>
      </c>
      <c r="BT159" s="26">
        <f>(VLOOKUP(tabCustoUnit[[#This Row],[Código do Posto]],tabParametros[],MATCH(tabCustoUnit[[#Headers],[COFINS]],tabParametros[#Headers],0),0)+
VLOOKUP(tabCustoUnit[[#This Row],[Código do Posto]],tabParametros[],MATCH(tabCustoUnit[[#Headers],[PIS]],tabParametros[#Headers],0),0)+
VLOOKUP(tabCustoUnit[[#This Row],[Código do Posto]],tabParametros[],MATCH(tabCustoUnit[[#Headers],[ISS]],tabParametros[#Headers],0),0))</f>
        <v>0.1225</v>
      </c>
      <c r="BU159" s="138">
        <f>tabCustoUnit[[#This Row],[COFINS]]+tabCustoUnit[[#This Row],[PIS]]+tabCustoUnit[[#This Row],[ISS (Conversão Alíquota s/ fatura)]]</f>
        <v>0.13960113960113973</v>
      </c>
      <c r="BV159" s="22">
        <f>(tabCustoUnit[[#This Row],[TOTAL MÓDULOS 1+2+3+4+5]]+tabCustoUnit[[#This Row],[Custos Indiretos]]+tabCustoUnit[[#This Row],[Lucro]])*tabCustoUnit[[#This Row],[PIS + COFINS + ISS (Total Conversão  Alíquota s/ Fatura)]]</f>
        <v>349.55738584122145</v>
      </c>
      <c r="BW159" s="22">
        <f>tabCustoUnit[[#This Row],[Custos Indiretos]]+tabCustoUnit[[#This Row],[Lucro]]+tabCustoUnit[[#This Row],[Valor dos Tributos (ISS, PIS, CONFINS)]]</f>
        <v>698.51118042168559</v>
      </c>
      <c r="BX159" s="22">
        <f>tabCustoUnit[[#This Row],[TOTAL MÓDULOS 1+2+3+4+5]]+tabCustoUnit[[#This Row],[MÓDULO 6 – CUSTOS INDIRETOS, TRIBUTOS E LUCRO]]</f>
        <v>2853.529680336499</v>
      </c>
      <c r="BY159" s="22">
        <f>tabCustoUnit[[#This Row],[CUSTO TOTAL MENSAL]]*12</f>
        <v>34242.356164037992</v>
      </c>
      <c r="BZ159" s="24">
        <f>VLOOKUP(tabCustoUnit[[#This Row],[Código do Posto]],tabParametros[],MATCH(tabCustoUnit[[#Headers],[ANO DA CCT]],tabParametros[#Headers],0),0)</f>
        <v>45658</v>
      </c>
      <c r="CA159" s="25" t="str">
        <f>VLOOKUP(tabCustoUnit[[#This Row],[Código do Posto]],tabParametros[],MATCH(tabCustoUnit[[#Headers],[Nº DE PEDIDO DA CCT]],tabParametros[#Headers],0),0)</f>
        <v>-</v>
      </c>
      <c r="CB159" s="25" t="str">
        <f>VLOOKUP(tabCustoUnit[[#This Row],[Código do Posto]],tabParametros[],MATCH(tabCustoUnit[[#Headers],[TERMO ADITIVO ALTERAÇÃO DA CCT]],tabParametros[#Headers],0),0)</f>
        <v>-</v>
      </c>
    </row>
    <row r="160" spans="1:80" x14ac:dyDescent="0.25">
      <c r="A160" s="20" t="s">
        <v>1496</v>
      </c>
      <c r="B160" t="s">
        <v>145</v>
      </c>
      <c r="C160" t="s">
        <v>1247</v>
      </c>
      <c r="D160" t="s">
        <v>1041</v>
      </c>
      <c r="E160" s="20" t="s">
        <v>9</v>
      </c>
      <c r="F160" s="20" t="s">
        <v>10</v>
      </c>
      <c r="G160" s="21">
        <v>544.17999999999995</v>
      </c>
      <c r="H160" s="21">
        <v>0</v>
      </c>
      <c r="I160" s="21">
        <v>0</v>
      </c>
      <c r="J160" s="21">
        <v>0</v>
      </c>
      <c r="K160" s="21">
        <v>0</v>
      </c>
      <c r="L160" s="21">
        <v>0</v>
      </c>
      <c r="M160" s="21">
        <v>0</v>
      </c>
      <c r="N160" s="21">
        <v>19.590499999999999</v>
      </c>
      <c r="O160" s="21">
        <f>SUM(tabCustoUnit[[#This Row],[Salário Base]:[Adicional de Acúmulo de função]])</f>
        <v>563.77049999999997</v>
      </c>
      <c r="P160" s="21">
        <f>tabCustoUnit[[#This Row],[MODULO 1 - REMUNERAÇÃO ]]*SUMIFS(tabParametros[INSS],tabParametros[Código do Posto],tabCustoUnit[[#This Row],[Código do Posto]])</f>
        <v>112.75409999999999</v>
      </c>
      <c r="Q160" s="21">
        <f>tabCustoUnit[[#This Row],[MODULO 1 - REMUNERAÇÃO ]]*SUMIFS(tabParametros[SESI OU SESC],tabParametros[Código do Posto],tabCustoUnit[[#This Row],[Código do Posto]])</f>
        <v>8.4565574999999988</v>
      </c>
      <c r="R160" s="21">
        <f>tabCustoUnit[[#This Row],[MODULO 1 - REMUNERAÇÃO ]]*SUMIFS(tabParametros[SENAI OU SENAC],tabParametros[Código do Posto],tabCustoUnit[[#This Row],[Código do Posto]])</f>
        <v>5.6377049999999995</v>
      </c>
      <c r="S160" s="21">
        <f>tabCustoUnit[[#This Row],[MODULO 1 - REMUNERAÇÃO ]]*SUMIFS(tabParametros[INCRA],tabParametros[Código do Posto],tabCustoUnit[[#This Row],[Código do Posto]])</f>
        <v>1.1275409999999999</v>
      </c>
      <c r="T160" s="21">
        <f>tabCustoUnit[[#This Row],[MODULO 1 - REMUNERAÇÃO ]]*SUMIFS(tabParametros[Salário Educação],tabParametros[Código do Posto],tabCustoUnit[[#This Row],[Código do Posto]])</f>
        <v>14.094262499999999</v>
      </c>
      <c r="U160" s="21">
        <f>tabCustoUnit[[#This Row],[MODULO 1 - REMUNERAÇÃO ]]*SUMIFS(tabParametros[FGTS],tabParametros[Código do Posto],tabCustoUnit[[#This Row],[Código do Posto]])</f>
        <v>45.101639999999996</v>
      </c>
      <c r="V160" s="21">
        <f>tabCustoUnit[[#This Row],[MODULO 1 - REMUNERAÇÃO ]]*SUMIFS(tabParametros[RAT Ajustado],tabParametros[Código do Posto],tabCustoUnit[[#This Row],[Código do Posto]])</f>
        <v>22.550819999999998</v>
      </c>
      <c r="W160" s="21">
        <f>tabCustoUnit[[#This Row],[MODULO 1 - REMUNERAÇÃO ]]*SUMIFS(tabParametros[SEBRAE],tabParametros[Código do Posto],tabCustoUnit[[#This Row],[Código do Posto]])</f>
        <v>3.3826229999999997</v>
      </c>
      <c r="X160" s="21">
        <f>SUM(tabCustoUnit[[#This Row],[INSS]:[SEBRAE]])</f>
        <v>213.10524899999996</v>
      </c>
      <c r="Y160" s="21">
        <f>tabCustoUnit[[#This Row],[MODULO 1 - REMUNERAÇÃO ]]*SUMIFS(tabParametros[13º salário (titular)],tabParametros[Código do Posto],tabCustoUnit[[#This Row],[Código do Posto]])</f>
        <v>46.980874999999997</v>
      </c>
      <c r="Z160" s="21">
        <f>tabCustoUnit[[#This Row],[MODULO 1 - REMUNERAÇÃO ]]*SUMIFS(tabParametros[Férias e Adicional de Férias (titular)],tabParametros[Código do Posto],tabCustoUnit[[#This Row],[Código do Posto]])</f>
        <v>62.641166666666663</v>
      </c>
      <c r="AA160" s="21">
        <f>IFERROR((tabCustoUnit[[#This Row],[Submódulo 2.1]]/tabCustoUnit[[#This Row],[MODULO 1 - REMUNERAÇÃO ]])*SUM(tabCustoUnit[[#This Row],[13º salário (titular)]:[Férias e Adicional de Férias (titular)]]),0)</f>
        <v>41.437131749999992</v>
      </c>
      <c r="AB160" s="21">
        <f>SUM(tabCustoUnit[[#This Row],[13º salário (titular)]:[Incidência do Submódulo 2.1 sobre 13º Salário, Férias e Adicional de Férias]])</f>
        <v>151.05917341666665</v>
      </c>
      <c r="AC160" s="22">
        <f>_xlfn.LET(_xlpm.VT,SUMIF(tabParametros[Código do Posto],tabCustoUnit[[#This Row],[Código do Posto]],tabParametros[Vale - Transporte])*2*20,
IF((_xlpm.VT-tabCustoUnit[[#This Row],[Salário Base]]*0.06)&gt;=0,(_xlpm.VT-tabCustoUnit[[#This Row],[Salário Base]]*0.06),0)
)</f>
        <v>223.3492</v>
      </c>
      <c r="AD160" s="22">
        <f>IF(SUMIF(tabParametros[Código do Posto],tabCustoUnit[[#This Row],[Código do Posto]],tabParametros[Vale - Alimentação])&lt;=0,0,
SUMIF(tabParametros[Código do Posto],tabCustoUnit[[#This Row],[Código do Posto]],tabParametros[Vale - Alimentação])*20-1)</f>
        <v>582</v>
      </c>
      <c r="AE160" s="22">
        <f>SUMIF(tabParametros[Código do Posto],tabCustoUnit[[#This Row],[Código do Posto]],tabParametros[Cesta Básica])</f>
        <v>0</v>
      </c>
      <c r="AF160" s="22">
        <f>SUMIF(tabParametros[Código do Posto],tabCustoUnit[[#This Row],[Código do Posto]],tabParametros[PAF])</f>
        <v>0</v>
      </c>
      <c r="AG160" s="22">
        <f>SUMIF(tabParametros[Código do Posto],tabCustoUnit[[#This Row],[Código do Posto]],tabParametros[PQM])</f>
        <v>0</v>
      </c>
      <c r="AH160" s="22">
        <f>SUMIF(tabParametros[Código do Posto],tabCustoUnit[[#This Row],[Código do Posto]],tabParametros[PAT])</f>
        <v>0</v>
      </c>
      <c r="AI160" s="22">
        <f>SUMIF(tabParametros[Código do Posto],tabCustoUnit[[#This Row],[Código do Posto]],tabParametros[Seguro de Vida])</f>
        <v>3.36</v>
      </c>
      <c r="AJ160" s="22">
        <f>SUMIF(tabParametros[Código do Posto],tabCustoUnit[[#This Row],[Código do Posto]],tabParametros[Despesas de Viagem])</f>
        <v>0</v>
      </c>
      <c r="AK160" s="22">
        <f>SUM(tabCustoUnit[[#This Row],[Vale - Transporte (Descontada parcela do empregado)]:[Despesas de Viagem]])</f>
        <v>808.70920000000001</v>
      </c>
      <c r="AL160" s="22">
        <f>tabCustoUnit[[#This Row],[Submódulo 2.1]]+tabCustoUnit[[#This Row],[Submódulo 2.2]]+tabCustoUnit[[#This Row],[Submódulo 2.3]]</f>
        <v>1172.8736224166666</v>
      </c>
      <c r="AM160" s="22">
        <f>SUMIF(tabParametros[Código do Posto],tabCustoUnit[[#This Row],[Código do Posto]],tabParametros[Aviso Prévio Indenizado (API) e Reflexo do Aviso Prévio Indenizado])*tabCustoUnit[[#This Row],[MODULO 1 - REMUNERAÇÃO ]]</f>
        <v>3.9530273735532404</v>
      </c>
      <c r="AN160" s="22">
        <f>SUMIF(tabParametros[Código do Posto],tabCustoUnit[[#This Row],[Código do Posto]],tabParametros[Incidência do FGTS sobre API e Reflexo do API])*tabCustoUnit[[#This Row],[MODULO 1 - REMUNERAÇÃO ]]</f>
        <v>0.31624218988425928</v>
      </c>
      <c r="AO160" s="22">
        <f>SUMIF(tabParametros[Código do Posto],tabCustoUnit[[#This Row],[Código do Posto]],tabParametros[Multa Rescisória do FGTS sobre o Aviso Prévio Indenizado])*tabCustoUnit[[#This Row],[MODULO 1 - REMUNERAÇÃO ]]</f>
        <v>0.12649687595370371</v>
      </c>
      <c r="AP160" s="22">
        <f>SUMIF(tabParametros[Código do Posto],tabCustoUnit[[#This Row],[Código do Posto]],tabParametros[Aviso Prévio Trabalhado - APT])*tabCustoUnit[[#This Row],[MODULO 1 - REMUNERAÇÃO ]]</f>
        <v>1.9731967500000003</v>
      </c>
      <c r="AQ160" s="22">
        <f>SUMIF(tabParametros[Código do Posto],tabCustoUnit[[#This Row],[Código do Posto]],tabParametros[Incidência dos encargos do submódulo 2.1 sobre Aviso Prévio Trabalhado])*tabCustoUnit[[#This Row],[MODULO 1 - REMUNERAÇÃO ]]</f>
        <v>0.74586837150000018</v>
      </c>
      <c r="AR160" s="22">
        <f>SUMIF(tabParametros[Código do Posto],tabCustoUnit[[#This Row],[Código do Posto]],tabParametros[Multa Rescisória do FGTS])*tabCustoUnit[[#This Row],[MODULO 1 - REMUNERAÇÃO ]]</f>
        <v>17.238849066666663</v>
      </c>
      <c r="AS160" s="22">
        <f>SUMIF(tabParametros[Código do Posto],tabCustoUnit[[#This Row],[Código do Posto]],tabParametros[Indenização Adicional (Art. 9º da Lei nº 7.238/84)])*tabCustoUnit[[#This Row],[MODULO 1 - REMUNERAÇÃO ]]</f>
        <v>0.46980875</v>
      </c>
      <c r="AT160" s="22">
        <f>SUM(tabCustoUnit[[#This Row],[Aviso Prévio Indenizado (API) e Reflexo do Aviso Prévio Indenizado]:[Indenização Adicional (Art. 9º da Lei nº 7.238/84)]])</f>
        <v>24.823489377557866</v>
      </c>
      <c r="AU160" s="22">
        <f>SUMIF(tabParametros[Código do Posto],tabCustoUnit[[#This Row],[Código do Posto]],tabParametros[Ausência por Doença])*tabCustoUnit[[#This Row],[MODULO 1 - REMUNERAÇÃO ]]</f>
        <v>4.7607286666666662</v>
      </c>
      <c r="AV160" s="22">
        <f>SUMIF(tabParametros[Código do Posto],tabCustoUnit[[#This Row],[Código do Posto]],tabParametros[Ausências Legais])*tabCustoUnit[[#This Row],[MODULO 1 - REMUNERAÇÃO ]]</f>
        <v>1.1432012916666665</v>
      </c>
      <c r="AW160" s="22">
        <f>SUMIF(tabParametros[Código do Posto],tabCustoUnit[[#This Row],[Código do Posto]],tabParametros[Licença Paternidade])*tabCustoUnit[[#This Row],[MODULO 1 - REMUNERAÇÃO ]]</f>
        <v>9.6310793749999998E-2</v>
      </c>
      <c r="AX160" s="22">
        <f>SUMIF(tabParametros[Código do Posto],tabCustoUnit[[#This Row],[Código do Posto]],tabParametros[Ausência por Acidente de Trabalho])*tabCustoUnit[[#This Row],[MODULO 1 - REMUNERAÇÃO ]]</f>
        <v>0.1174521875</v>
      </c>
      <c r="AY160" s="22">
        <f>SUMIF(tabParametros[Código do Posto],tabCustoUnit[[#This Row],[Código do Posto]],tabParametros[Férias, Adicional de Férias e 13º  com empregada em gozo de Licença Maternidade])*tabCustoUnit[[#This Row],[MODULO 1 - REMUNERAÇÃO ]]</f>
        <v>0.73081361111111109</v>
      </c>
      <c r="AZ160" s="22">
        <f>SUMIF(tabParametros[Código do Posto],tabCustoUnit[[#This Row],[Código do Posto]],tabParametros[Incidência do Submódulo 2.1 sobre Ausências Legais])*tabCustoUnit[[#This Row],[MODULO 1 - REMUNERAÇÃO ]]</f>
        <v>2.5887354761625003</v>
      </c>
      <c r="BA160" s="22">
        <f>SUM(tabCustoUnit[[#This Row],[Ausência por Doença]:[Incidência do Submódulo 2.1 sobre Ausências Legais]])</f>
        <v>9.4372420268569428</v>
      </c>
      <c r="BB160" s="22">
        <f>SUMIF(tabParametros[Código do Posto],tabCustoUnit[[#This Row],[Código do Posto]],tabParametros[Intervalo para Repouso ou Alimentação])</f>
        <v>0</v>
      </c>
      <c r="BC160" s="22">
        <f>tabCustoUnit[[#This Row],[Intervalo para Repouso ou Alimentação]]</f>
        <v>0</v>
      </c>
      <c r="BD160" s="22">
        <f>IF(VLOOKUP(tabCustoUnit[[#This Row],[Código do Posto]],PARAMETROS!$A$4:$BJ$255,7,0)&lt;=0,0,
IFERROR((tabCustoUnit[[#This Row],[MODULO 1 - REMUNERAÇÃO ]]*VLOOKUP(tabCustoUnit[[#This Row],[Código do Posto]],PARAMETROS!$A$4:$BJ$255,49,0))/(VLOOKUP(tabCustoUnit[[#This Row],[Código do Posto]],PARAMETROS!$A$4:$BJ$255,7,0)*VLOOKUP(tabCustoUnit[[#This Row],[Código do Posto]],PARAMETROS!$A$4:$BJ$255,8,0)),0)
)</f>
        <v>0</v>
      </c>
      <c r="BE160" s="22">
        <f>tabCustoUnit[[#This Row],[Suspensão Temporária do Contrato de Trabalho]]</f>
        <v>0</v>
      </c>
      <c r="BF160" s="22">
        <f>tabCustoUnit[[#This Row],[Submódulo 4.1]]+tabCustoUnit[[#This Row],[Submódulo 4.2]]+tabCustoUnit[[#This Row],[Submódulo 4.3]]</f>
        <v>9.4372420268569428</v>
      </c>
      <c r="BG160" s="22">
        <f>VLOOKUP(tabCustoUnit[[#This Row],[Código do Posto]],tabParametros[],MATCH(tabCustoUnit[[#Headers],[Uniformes e EPIs]],tabParametros[#Headers],0),0)</f>
        <v>62.806666666666665</v>
      </c>
      <c r="BH160" s="22">
        <f>VLOOKUP(tabCustoUnit[[#This Row],[Código do Posto]],tabParametros[],MATCH(tabCustoUnit[[#Headers],[Materiais de Consumo]],tabParametros[#Headers],0),0)</f>
        <v>12.108481690426325</v>
      </c>
      <c r="BI160" s="22">
        <f>VLOOKUP(tabCustoUnit[[#This Row],[Código do Posto]],tabParametros[],MATCH(tabCustoUnit[[#Headers],[Máquinas e Equipamentos (depreciação)]],tabParametros[#Headers],0),0)</f>
        <v>21.998657016417809</v>
      </c>
      <c r="BJ160" s="22">
        <f>VLOOKUP(tabCustoUnit[[#This Row],[Código do Posto]],tabParametros[],MATCH(tabCustoUnit[[#Headers],[Produtos de Limpeza e Materiais de Higiene Pessoal]],tabParametros[#Headers],0),0)</f>
        <v>235.31984072022155</v>
      </c>
      <c r="BK160" s="22">
        <f>VLOOKUP(tabCustoUnit[[#This Row],[Código do Posto]],tabParametros[],MATCH(tabCustoUnit[[#Headers],[Outros (especificar)]],tabParametros[#Headers],0),0)</f>
        <v>0</v>
      </c>
      <c r="BL160" s="22">
        <f>SUM(tabCustoUnit[[#This Row],[Uniformes e EPIs]:[Outros (especificar)]])</f>
        <v>332.23364609373232</v>
      </c>
      <c r="BM160" s="22">
        <f>tabCustoUnit[[#This Row],[MODULO 1 - REMUNERAÇÃO ]]+tabCustoUnit[[#This Row],[MÓDULO 2 - Total Encargos e Benefícios mensais e diários]]+tabCustoUnit[[#This Row],[MÓDULO 3 – PROVISÃO PARA RESCISÃO]]+tabCustoUnit[[#This Row],[MÓDULO 4 – CUSTO DE REPOSIÇÃO DO PROFISSIONAL AUSENTE]]+tabCustoUnit[[#This Row],[MÓDULO 5 – INSUMOS DIVERSOS]]</f>
        <v>2103.1384999148136</v>
      </c>
      <c r="BN160" s="22">
        <f>VLOOKUP(tabCustoUnit[[#This Row],[Código do Posto]],tabParametros[],MATCH(tabCustoUnit[[#Headers],[Custos Indiretos]],tabParametros[#Headers],0),0)</f>
        <v>189.64880140242613</v>
      </c>
      <c r="BO160" s="22">
        <f>VLOOKUP(tabCustoUnit[[#This Row],[Código do Posto]],tabParametros[],MATCH(tabCustoUnit[[#Headers],[Lucro]],tabParametros[#Headers],0),0)</f>
        <v>159.30499317803796</v>
      </c>
      <c r="BP160" s="26">
        <f>((100/((1-tabCustoUnit[[#This Row],[Resumo de Alíquotas (PIS+CONFINS+ISS)]]))-100)*VLOOKUP(tabCustoUnit[[#This Row],[Código do Posto]],tabParametros[],MATCH(tabCustoUnit[[#Headers],[COFINS]],tabParametros[#Headers],0),0))/(tabCustoUnit[[#This Row],[Resumo de Alíquotas (PIS+CONFINS+ISS)]]*100)</f>
        <v>8.6609686609686695E-2</v>
      </c>
      <c r="BQ160" s="26">
        <f>((100/((100-(tabCustoUnit[[#This Row],[Resumo de Alíquotas (PIS+CONFINS+ISS)]]*100))%)-100)*VLOOKUP(tabCustoUnit[[#This Row],[Código do Posto]],tabParametros[],MATCH(tabCustoUnit[[#Headers],[PIS]],tabParametros[#Headers],0),0))/(tabCustoUnit[[#This Row],[Resumo de Alíquotas (PIS+CONFINS+ISS)]]*100)</f>
        <v>1.880341880341882E-2</v>
      </c>
      <c r="BR160" s="28">
        <f>VLOOKUP(tabCustoUnit[[#This Row],[Código do Posto]],tabParametros[],MATCH(tabCustoUnit[[#Headers],[ISS]],tabParametros[#Headers],0),0)</f>
        <v>0.03</v>
      </c>
      <c r="BS160" s="26">
        <f>(((100/((100-(tabCustoUnit[[#This Row],[Resumo de Alíquotas (PIS+CONFINS+ISS)]]*100))%)-100)*tabCustoUnit[[#This Row],[ISS]])/tabCustoUnit[[#This Row],[Resumo de Alíquotas (PIS+CONFINS+ISS)]])/100</f>
        <v>3.4188034188034219E-2</v>
      </c>
      <c r="BT160" s="26">
        <f>(VLOOKUP(tabCustoUnit[[#This Row],[Código do Posto]],tabParametros[],MATCH(tabCustoUnit[[#Headers],[COFINS]],tabParametros[#Headers],0),0)+
VLOOKUP(tabCustoUnit[[#This Row],[Código do Posto]],tabParametros[],MATCH(tabCustoUnit[[#Headers],[PIS]],tabParametros[#Headers],0),0)+
VLOOKUP(tabCustoUnit[[#This Row],[Código do Posto]],tabParametros[],MATCH(tabCustoUnit[[#Headers],[ISS]],tabParametros[#Headers],0),0))</f>
        <v>0.1225</v>
      </c>
      <c r="BU160" s="138">
        <f>tabCustoUnit[[#This Row],[COFINS]]+tabCustoUnit[[#This Row],[PIS]]+tabCustoUnit[[#This Row],[ISS (Conversão Alíquota s/ fatura)]]</f>
        <v>0.13960113960113973</v>
      </c>
      <c r="BV160" s="22">
        <f>(tabCustoUnit[[#This Row],[TOTAL MÓDULOS 1+2+3+4+5]]+tabCustoUnit[[#This Row],[Custos Indiretos]]+tabCustoUnit[[#This Row],[Lucro]])*tabCustoUnit[[#This Row],[PIS + COFINS + ISS (Total Conversão  Alíquota s/ Fatura)]]</f>
        <v>342.31487871871428</v>
      </c>
      <c r="BW160" s="22">
        <f>tabCustoUnit[[#This Row],[Custos Indiretos]]+tabCustoUnit[[#This Row],[Lucro]]+tabCustoUnit[[#This Row],[Valor dos Tributos (ISS, PIS, CONFINS)]]</f>
        <v>691.26867329917832</v>
      </c>
      <c r="BX160" s="22">
        <f>tabCustoUnit[[#This Row],[TOTAL MÓDULOS 1+2+3+4+5]]+tabCustoUnit[[#This Row],[MÓDULO 6 – CUSTOS INDIRETOS, TRIBUTOS E LUCRO]]</f>
        <v>2794.4071732139919</v>
      </c>
      <c r="BY160" s="22">
        <f>tabCustoUnit[[#This Row],[CUSTO TOTAL MENSAL]]*12</f>
        <v>33532.886078567899</v>
      </c>
      <c r="BZ160" s="24">
        <f>VLOOKUP(tabCustoUnit[[#This Row],[Código do Posto]],tabParametros[],MATCH(tabCustoUnit[[#Headers],[ANO DA CCT]],tabParametros[#Headers],0),0)</f>
        <v>45658</v>
      </c>
      <c r="CA160" s="25" t="str">
        <f>VLOOKUP(tabCustoUnit[[#This Row],[Código do Posto]],tabParametros[],MATCH(tabCustoUnit[[#Headers],[Nº DE PEDIDO DA CCT]],tabParametros[#Headers],0),0)</f>
        <v>-</v>
      </c>
      <c r="CB160" s="25" t="str">
        <f>VLOOKUP(tabCustoUnit[[#This Row],[Código do Posto]],tabParametros[],MATCH(tabCustoUnit[[#Headers],[TERMO ADITIVO ALTERAÇÃO DA CCT]],tabParametros[#Headers],0),0)</f>
        <v>-</v>
      </c>
    </row>
    <row r="161" spans="1:80" x14ac:dyDescent="0.25">
      <c r="A161" s="20" t="s">
        <v>1497</v>
      </c>
      <c r="B161" t="s">
        <v>146</v>
      </c>
      <c r="C161" t="s">
        <v>1244</v>
      </c>
      <c r="D161" t="s">
        <v>1023</v>
      </c>
      <c r="E161" s="20" t="s">
        <v>9</v>
      </c>
      <c r="F161" s="20" t="s">
        <v>10</v>
      </c>
      <c r="G161" s="21">
        <v>798.14</v>
      </c>
      <c r="H161" s="21">
        <v>0</v>
      </c>
      <c r="I161" s="21">
        <v>0</v>
      </c>
      <c r="J161" s="21">
        <v>0</v>
      </c>
      <c r="K161" s="21">
        <v>0</v>
      </c>
      <c r="L161" s="21">
        <v>0</v>
      </c>
      <c r="M161" s="21">
        <v>0</v>
      </c>
      <c r="N161" s="21">
        <v>26.120899999999999</v>
      </c>
      <c r="O161" s="21">
        <f>SUM(tabCustoUnit[[#This Row],[Salário Base]:[Adicional de Acúmulo de função]])</f>
        <v>824.26089999999999</v>
      </c>
      <c r="P161" s="21">
        <f>tabCustoUnit[[#This Row],[MODULO 1 - REMUNERAÇÃO ]]*SUMIFS(tabParametros[INSS],tabParametros[Código do Posto],tabCustoUnit[[#This Row],[Código do Posto]])</f>
        <v>164.85218</v>
      </c>
      <c r="Q161" s="21">
        <f>tabCustoUnit[[#This Row],[MODULO 1 - REMUNERAÇÃO ]]*SUMIFS(tabParametros[SESI OU SESC],tabParametros[Código do Posto],tabCustoUnit[[#This Row],[Código do Posto]])</f>
        <v>12.363913499999999</v>
      </c>
      <c r="R161" s="21">
        <f>tabCustoUnit[[#This Row],[MODULO 1 - REMUNERAÇÃO ]]*SUMIFS(tabParametros[SENAI OU SENAC],tabParametros[Código do Posto],tabCustoUnit[[#This Row],[Código do Posto]])</f>
        <v>8.2426089999999999</v>
      </c>
      <c r="S161" s="21">
        <f>tabCustoUnit[[#This Row],[MODULO 1 - REMUNERAÇÃO ]]*SUMIFS(tabParametros[INCRA],tabParametros[Código do Posto],tabCustoUnit[[#This Row],[Código do Posto]])</f>
        <v>1.6485217999999999</v>
      </c>
      <c r="T161" s="21">
        <f>tabCustoUnit[[#This Row],[MODULO 1 - REMUNERAÇÃO ]]*SUMIFS(tabParametros[Salário Educação],tabParametros[Código do Posto],tabCustoUnit[[#This Row],[Código do Posto]])</f>
        <v>20.606522500000001</v>
      </c>
      <c r="U161" s="21">
        <f>tabCustoUnit[[#This Row],[MODULO 1 - REMUNERAÇÃO ]]*SUMIFS(tabParametros[FGTS],tabParametros[Código do Posto],tabCustoUnit[[#This Row],[Código do Posto]])</f>
        <v>65.940871999999999</v>
      </c>
      <c r="V161" s="21">
        <f>tabCustoUnit[[#This Row],[MODULO 1 - REMUNERAÇÃO ]]*SUMIFS(tabParametros[RAT Ajustado],tabParametros[Código do Posto],tabCustoUnit[[#This Row],[Código do Posto]])</f>
        <v>32.970435999999999</v>
      </c>
      <c r="W161" s="21">
        <f>tabCustoUnit[[#This Row],[MODULO 1 - REMUNERAÇÃO ]]*SUMIFS(tabParametros[SEBRAE],tabParametros[Código do Posto],tabCustoUnit[[#This Row],[Código do Posto]])</f>
        <v>4.9455654000000004</v>
      </c>
      <c r="X161" s="21">
        <f>SUM(tabCustoUnit[[#This Row],[INSS]:[SEBRAE]])</f>
        <v>311.57062020000001</v>
      </c>
      <c r="Y161" s="21">
        <f>tabCustoUnit[[#This Row],[MODULO 1 - REMUNERAÇÃO ]]*SUMIFS(tabParametros[13º salário (titular)],tabParametros[Código do Posto],tabCustoUnit[[#This Row],[Código do Posto]])</f>
        <v>68.688408333333328</v>
      </c>
      <c r="Z161" s="21">
        <f>tabCustoUnit[[#This Row],[MODULO 1 - REMUNERAÇÃO ]]*SUMIFS(tabParametros[Férias e Adicional de Férias (titular)],tabParametros[Código do Posto],tabCustoUnit[[#This Row],[Código do Posto]])</f>
        <v>91.584544444444433</v>
      </c>
      <c r="AA161" s="21">
        <f>IFERROR((tabCustoUnit[[#This Row],[Submódulo 2.1]]/tabCustoUnit[[#This Row],[MODULO 1 - REMUNERAÇÃO ]])*SUM(tabCustoUnit[[#This Row],[13º salário (titular)]:[Férias e Adicional de Férias (titular)]]),0)</f>
        <v>60.583176149999993</v>
      </c>
      <c r="AB161" s="21">
        <f>SUM(tabCustoUnit[[#This Row],[13º salário (titular)]:[Incidência do Submódulo 2.1 sobre 13º Salário, Férias e Adicional de Férias]])</f>
        <v>220.85612892777775</v>
      </c>
      <c r="AC161" s="22">
        <f>_xlfn.LET(_xlpm.VT,SUMIF(tabParametros[Código do Posto],tabCustoUnit[[#This Row],[Código do Posto]],tabParametros[Vale - Transporte])*2*20,
IF((_xlpm.VT-tabCustoUnit[[#This Row],[Salário Base]]*0.06)&gt;=0,(_xlpm.VT-tabCustoUnit[[#This Row],[Salário Base]]*0.06),0)
)</f>
        <v>208.11160000000001</v>
      </c>
      <c r="AD161" s="22">
        <f>IF(SUMIF(tabParametros[Código do Posto],tabCustoUnit[[#This Row],[Código do Posto]],tabParametros[Vale - Alimentação])&lt;=0,0,
SUMIF(tabParametros[Código do Posto],tabCustoUnit[[#This Row],[Código do Posto]],tabParametros[Vale - Alimentação])*20-1)</f>
        <v>582</v>
      </c>
      <c r="AE161" s="22">
        <f>SUMIF(tabParametros[Código do Posto],tabCustoUnit[[#This Row],[Código do Posto]],tabParametros[Cesta Básica])</f>
        <v>0</v>
      </c>
      <c r="AF161" s="22">
        <f>SUMIF(tabParametros[Código do Posto],tabCustoUnit[[#This Row],[Código do Posto]],tabParametros[PAF])</f>
        <v>0</v>
      </c>
      <c r="AG161" s="22">
        <f>SUMIF(tabParametros[Código do Posto],tabCustoUnit[[#This Row],[Código do Posto]],tabParametros[PQM])</f>
        <v>0</v>
      </c>
      <c r="AH161" s="22">
        <f>SUMIF(tabParametros[Código do Posto],tabCustoUnit[[#This Row],[Código do Posto]],tabParametros[PAT])</f>
        <v>0</v>
      </c>
      <c r="AI161" s="22">
        <f>SUMIF(tabParametros[Código do Posto],tabCustoUnit[[#This Row],[Código do Posto]],tabParametros[Seguro de Vida])</f>
        <v>3.36</v>
      </c>
      <c r="AJ161" s="22">
        <f>SUMIF(tabParametros[Código do Posto],tabCustoUnit[[#This Row],[Código do Posto]],tabParametros[Despesas de Viagem])</f>
        <v>0</v>
      </c>
      <c r="AK161" s="22">
        <f>SUM(tabCustoUnit[[#This Row],[Vale - Transporte (Descontada parcela do empregado)]:[Despesas de Viagem]])</f>
        <v>793.47159999999997</v>
      </c>
      <c r="AL161" s="22">
        <f>tabCustoUnit[[#This Row],[Submódulo 2.1]]+tabCustoUnit[[#This Row],[Submódulo 2.2]]+tabCustoUnit[[#This Row],[Submódulo 2.3]]</f>
        <v>1325.8983491277777</v>
      </c>
      <c r="AM161" s="22">
        <f>SUMIF(tabParametros[Código do Posto],tabCustoUnit[[#This Row],[Código do Posto]],tabParametros[Aviso Prévio Indenizado (API) e Reflexo do Aviso Prévio Indenizado])*tabCustoUnit[[#This Row],[MODULO 1 - REMUNERAÇÃO ]]</f>
        <v>5.7795253576581791</v>
      </c>
      <c r="AN161" s="22">
        <f>SUMIF(tabParametros[Código do Posto],tabCustoUnit[[#This Row],[Código do Posto]],tabParametros[Incidência do FGTS sobre API e Reflexo do API])*tabCustoUnit[[#This Row],[MODULO 1 - REMUNERAÇÃO ]]</f>
        <v>0.46236202861265435</v>
      </c>
      <c r="AO161" s="22">
        <f>SUMIF(tabParametros[Código do Posto],tabCustoUnit[[#This Row],[Código do Posto]],tabParametros[Multa Rescisória do FGTS sobre o Aviso Prévio Indenizado])*tabCustoUnit[[#This Row],[MODULO 1 - REMUNERAÇÃO ]]</f>
        <v>0.18494481144506175</v>
      </c>
      <c r="AP161" s="22">
        <f>SUMIF(tabParametros[Código do Posto],tabCustoUnit[[#This Row],[Código do Posto]],tabParametros[Aviso Prévio Trabalhado - APT])*tabCustoUnit[[#This Row],[MODULO 1 - REMUNERAÇÃO ]]</f>
        <v>2.8849131500000005</v>
      </c>
      <c r="AQ161" s="22">
        <f>SUMIF(tabParametros[Código do Posto],tabCustoUnit[[#This Row],[Código do Posto]],tabParametros[Incidência dos encargos do submódulo 2.1 sobre Aviso Prévio Trabalhado])*tabCustoUnit[[#This Row],[MODULO 1 - REMUNERAÇÃO ]]</f>
        <v>1.0904971707000004</v>
      </c>
      <c r="AR161" s="22">
        <f>SUMIF(tabParametros[Código do Posto],tabCustoUnit[[#This Row],[Código do Posto]],tabParametros[Multa Rescisória do FGTS])*tabCustoUnit[[#This Row],[MODULO 1 - REMUNERAÇÃO ]]</f>
        <v>25.204066631111107</v>
      </c>
      <c r="AS161" s="22">
        <f>SUMIF(tabParametros[Código do Posto],tabCustoUnit[[#This Row],[Código do Posto]],tabParametros[Indenização Adicional (Art. 9º da Lei nº 7.238/84)])*tabCustoUnit[[#This Row],[MODULO 1 - REMUNERAÇÃO ]]</f>
        <v>0.6868840833333334</v>
      </c>
      <c r="AT161" s="22">
        <f>SUM(tabCustoUnit[[#This Row],[Aviso Prévio Indenizado (API) e Reflexo do Aviso Prévio Indenizado]:[Indenização Adicional (Art. 9º da Lei nº 7.238/84)]])</f>
        <v>36.293193232860339</v>
      </c>
      <c r="AU161" s="22">
        <f>SUMIF(tabParametros[Código do Posto],tabCustoUnit[[#This Row],[Código do Posto]],tabParametros[Ausência por Doença])*tabCustoUnit[[#This Row],[MODULO 1 - REMUNERAÇÃO ]]</f>
        <v>6.9604253777777769</v>
      </c>
      <c r="AV161" s="22">
        <f>SUMIF(tabParametros[Código do Posto],tabCustoUnit[[#This Row],[Código do Posto]],tabParametros[Ausências Legais])*tabCustoUnit[[#This Row],[MODULO 1 - REMUNERAÇÃO ]]</f>
        <v>1.671417936111111</v>
      </c>
      <c r="AW161" s="22">
        <f>SUMIF(tabParametros[Código do Posto],tabCustoUnit[[#This Row],[Código do Posto]],tabParametros[Licença Paternidade])*tabCustoUnit[[#This Row],[MODULO 1 - REMUNERAÇÃO ]]</f>
        <v>0.14081123708333332</v>
      </c>
      <c r="AX161" s="22">
        <f>SUMIF(tabParametros[Código do Posto],tabCustoUnit[[#This Row],[Código do Posto]],tabParametros[Ausência por Acidente de Trabalho])*tabCustoUnit[[#This Row],[MODULO 1 - REMUNERAÇÃO ]]</f>
        <v>0.17172102083333335</v>
      </c>
      <c r="AY161" s="22">
        <f>SUMIF(tabParametros[Código do Posto],tabCustoUnit[[#This Row],[Código do Posto]],tabParametros[Férias, Adicional de Férias e 13º  com empregada em gozo de Licença Maternidade])*tabCustoUnit[[#This Row],[MODULO 1 - REMUNERAÇÃO ]]</f>
        <v>1.0684863518518517</v>
      </c>
      <c r="AZ161" s="22">
        <f>SUMIF(tabParametros[Código do Posto],tabCustoUnit[[#This Row],[Código do Posto]],tabParametros[Incidência do Submódulo 2.1 sobre Ausências Legais])*tabCustoUnit[[#This Row],[MODULO 1 - REMUNERAÇÃO ]]</f>
        <v>3.7848618071425006</v>
      </c>
      <c r="BA161" s="22">
        <f>SUM(tabCustoUnit[[#This Row],[Ausência por Doença]:[Incidência do Submódulo 2.1 sobre Ausências Legais]])</f>
        <v>13.797723730799909</v>
      </c>
      <c r="BB161" s="22">
        <f>SUMIF(tabParametros[Código do Posto],tabCustoUnit[[#This Row],[Código do Posto]],tabParametros[Intervalo para Repouso ou Alimentação])</f>
        <v>0</v>
      </c>
      <c r="BC161" s="22">
        <f>tabCustoUnit[[#This Row],[Intervalo para Repouso ou Alimentação]]</f>
        <v>0</v>
      </c>
      <c r="BD161" s="22">
        <f>IF(VLOOKUP(tabCustoUnit[[#This Row],[Código do Posto]],PARAMETROS!$A$4:$BJ$255,7,0)&lt;=0,0,
IFERROR((tabCustoUnit[[#This Row],[MODULO 1 - REMUNERAÇÃO ]]*VLOOKUP(tabCustoUnit[[#This Row],[Código do Posto]],PARAMETROS!$A$4:$BJ$255,49,0))/(VLOOKUP(tabCustoUnit[[#This Row],[Código do Posto]],PARAMETROS!$A$4:$BJ$255,7,0)*VLOOKUP(tabCustoUnit[[#This Row],[Código do Posto]],PARAMETROS!$A$4:$BJ$255,8,0)),0)
)</f>
        <v>0</v>
      </c>
      <c r="BE161" s="22">
        <f>tabCustoUnit[[#This Row],[Suspensão Temporária do Contrato de Trabalho]]</f>
        <v>0</v>
      </c>
      <c r="BF161" s="22">
        <f>tabCustoUnit[[#This Row],[Submódulo 4.1]]+tabCustoUnit[[#This Row],[Submódulo 4.2]]+tabCustoUnit[[#This Row],[Submódulo 4.3]]</f>
        <v>13.797723730799909</v>
      </c>
      <c r="BG161" s="22">
        <f>VLOOKUP(tabCustoUnit[[#This Row],[Código do Posto]],tabParametros[],MATCH(tabCustoUnit[[#Headers],[Uniformes e EPIs]],tabParametros[#Headers],0),0)</f>
        <v>62.806666666666665</v>
      </c>
      <c r="BH161" s="22">
        <f>VLOOKUP(tabCustoUnit[[#This Row],[Código do Posto]],tabParametros[],MATCH(tabCustoUnit[[#Headers],[Materiais de Consumo]],tabParametros[#Headers],0),0)</f>
        <v>17.759106479291944</v>
      </c>
      <c r="BI161" s="22">
        <f>VLOOKUP(tabCustoUnit[[#This Row],[Código do Posto]],tabParametros[],MATCH(tabCustoUnit[[#Headers],[Máquinas e Equipamentos (depreciação)]],tabParametros[#Headers],0),0)</f>
        <v>32.264696957412788</v>
      </c>
      <c r="BJ161" s="22">
        <f>VLOOKUP(tabCustoUnit[[#This Row],[Código do Posto]],tabParametros[],MATCH(tabCustoUnit[[#Headers],[Produtos de Limpeza e Materiais de Higiene Pessoal]],tabParametros[#Headers],0),0)</f>
        <v>345.13576638965827</v>
      </c>
      <c r="BK161" s="22">
        <f>VLOOKUP(tabCustoUnit[[#This Row],[Código do Posto]],tabParametros[],MATCH(tabCustoUnit[[#Headers],[Outros (especificar)]],tabParametros[#Headers],0),0)</f>
        <v>0</v>
      </c>
      <c r="BL161" s="22">
        <f>SUM(tabCustoUnit[[#This Row],[Uniformes e EPIs]:[Outros (especificar)]])</f>
        <v>457.96623649302967</v>
      </c>
      <c r="BM161" s="22">
        <f>tabCustoUnit[[#This Row],[MODULO 1 - REMUNERAÇÃO ]]+tabCustoUnit[[#This Row],[MÓDULO 2 - Total Encargos e Benefícios mensais e diários]]+tabCustoUnit[[#This Row],[MÓDULO 3 – PROVISÃO PARA RESCISÃO]]+tabCustoUnit[[#This Row],[MÓDULO 4 – CUSTO DE REPOSIÇÃO DO PROFISSIONAL AUSENTE]]+tabCustoUnit[[#This Row],[MÓDULO 5 – INSUMOS DIVERSOS]]</f>
        <v>2658.2164025844677</v>
      </c>
      <c r="BN161" s="22">
        <f>VLOOKUP(tabCustoUnit[[#This Row],[Código do Posto]],tabParametros[],MATCH(tabCustoUnit[[#Headers],[Custos Indiretos]],tabParametros[#Headers],0),0)</f>
        <v>189.64880140242613</v>
      </c>
      <c r="BO161" s="22">
        <f>VLOOKUP(tabCustoUnit[[#This Row],[Código do Posto]],tabParametros[],MATCH(tabCustoUnit[[#Headers],[Lucro]],tabParametros[#Headers],0),0)</f>
        <v>159.30499317803796</v>
      </c>
      <c r="BP161" s="26">
        <f>((100/((1-tabCustoUnit[[#This Row],[Resumo de Alíquotas (PIS+CONFINS+ISS)]]))-100)*VLOOKUP(tabCustoUnit[[#This Row],[Código do Posto]],tabParametros[],MATCH(tabCustoUnit[[#Headers],[COFINS]],tabParametros[#Headers],0),0))/(tabCustoUnit[[#This Row],[Resumo de Alíquotas (PIS+CONFINS+ISS)]]*100)</f>
        <v>8.6609686609686695E-2</v>
      </c>
      <c r="BQ161" s="26">
        <f>((100/((100-(tabCustoUnit[[#This Row],[Resumo de Alíquotas (PIS+CONFINS+ISS)]]*100))%)-100)*VLOOKUP(tabCustoUnit[[#This Row],[Código do Posto]],tabParametros[],MATCH(tabCustoUnit[[#Headers],[PIS]],tabParametros[#Headers],0),0))/(tabCustoUnit[[#This Row],[Resumo de Alíquotas (PIS+CONFINS+ISS)]]*100)</f>
        <v>1.880341880341882E-2</v>
      </c>
      <c r="BR161" s="28">
        <f>VLOOKUP(tabCustoUnit[[#This Row],[Código do Posto]],tabParametros[],MATCH(tabCustoUnit[[#Headers],[ISS]],tabParametros[#Headers],0),0)</f>
        <v>0.03</v>
      </c>
      <c r="BS161" s="26">
        <f>(((100/((100-(tabCustoUnit[[#This Row],[Resumo de Alíquotas (PIS+CONFINS+ISS)]]*100))%)-100)*tabCustoUnit[[#This Row],[ISS]])/tabCustoUnit[[#This Row],[Resumo de Alíquotas (PIS+CONFINS+ISS)]])/100</f>
        <v>3.4188034188034219E-2</v>
      </c>
      <c r="BT161" s="26">
        <f>(VLOOKUP(tabCustoUnit[[#This Row],[Código do Posto]],tabParametros[],MATCH(tabCustoUnit[[#Headers],[COFINS]],tabParametros[#Headers],0),0)+
VLOOKUP(tabCustoUnit[[#This Row],[Código do Posto]],tabParametros[],MATCH(tabCustoUnit[[#Headers],[PIS]],tabParametros[#Headers],0),0)+
VLOOKUP(tabCustoUnit[[#This Row],[Código do Posto]],tabParametros[],MATCH(tabCustoUnit[[#Headers],[ISS]],tabParametros[#Headers],0),0))</f>
        <v>0.1225</v>
      </c>
      <c r="BU161" s="138">
        <f>tabCustoUnit[[#This Row],[COFINS]]+tabCustoUnit[[#This Row],[PIS]]+tabCustoUnit[[#This Row],[ISS (Conversão Alíquota s/ fatura)]]</f>
        <v>0.13960113960113973</v>
      </c>
      <c r="BV161" s="22">
        <f>(tabCustoUnit[[#This Row],[TOTAL MÓDULOS 1+2+3+4+5]]+tabCustoUnit[[#This Row],[Custos Indiretos]]+tabCustoUnit[[#This Row],[Lucro]])*tabCustoUnit[[#This Row],[PIS + COFINS + ISS (Total Conversão  Alíquota s/ Fatura)]]</f>
        <v>419.80438649880853</v>
      </c>
      <c r="BW161" s="22">
        <f>tabCustoUnit[[#This Row],[Custos Indiretos]]+tabCustoUnit[[#This Row],[Lucro]]+tabCustoUnit[[#This Row],[Valor dos Tributos (ISS, PIS, CONFINS)]]</f>
        <v>768.75818107927262</v>
      </c>
      <c r="BX161" s="22">
        <f>tabCustoUnit[[#This Row],[TOTAL MÓDULOS 1+2+3+4+5]]+tabCustoUnit[[#This Row],[MÓDULO 6 – CUSTOS INDIRETOS, TRIBUTOS E LUCRO]]</f>
        <v>3426.9745836637403</v>
      </c>
      <c r="BY161" s="22">
        <f>tabCustoUnit[[#This Row],[CUSTO TOTAL MENSAL]]*12</f>
        <v>41123.69500396488</v>
      </c>
      <c r="BZ161" s="24">
        <f>VLOOKUP(tabCustoUnit[[#This Row],[Código do Posto]],tabParametros[],MATCH(tabCustoUnit[[#Headers],[ANO DA CCT]],tabParametros[#Headers],0),0)</f>
        <v>45658</v>
      </c>
      <c r="CA161" s="25" t="str">
        <f>VLOOKUP(tabCustoUnit[[#This Row],[Código do Posto]],tabParametros[],MATCH(tabCustoUnit[[#Headers],[Nº DE PEDIDO DA CCT]],tabParametros[#Headers],0),0)</f>
        <v>-</v>
      </c>
      <c r="CB161" s="25" t="str">
        <f>VLOOKUP(tabCustoUnit[[#This Row],[Código do Posto]],tabParametros[],MATCH(tabCustoUnit[[#Headers],[TERMO ADITIVO ALTERAÇÃO DA CCT]],tabParametros[#Headers],0),0)</f>
        <v>-</v>
      </c>
    </row>
    <row r="162" spans="1:80" x14ac:dyDescent="0.25">
      <c r="A162" s="20" t="s">
        <v>1498</v>
      </c>
      <c r="B162" t="s">
        <v>147</v>
      </c>
      <c r="C162" t="s">
        <v>1244</v>
      </c>
      <c r="D162" t="s">
        <v>992</v>
      </c>
      <c r="E162" s="20" t="s">
        <v>9</v>
      </c>
      <c r="F162" s="20" t="s">
        <v>10</v>
      </c>
      <c r="G162" s="21">
        <v>798.14</v>
      </c>
      <c r="H162" s="21">
        <v>0</v>
      </c>
      <c r="I162" s="21">
        <v>0</v>
      </c>
      <c r="J162" s="21">
        <v>0</v>
      </c>
      <c r="K162" s="21">
        <v>0</v>
      </c>
      <c r="L162" s="21">
        <v>0</v>
      </c>
      <c r="M162" s="21">
        <v>0</v>
      </c>
      <c r="N162" s="21">
        <v>26.120899999999999</v>
      </c>
      <c r="O162" s="21">
        <f>SUM(tabCustoUnit[[#This Row],[Salário Base]:[Adicional de Acúmulo de função]])</f>
        <v>824.26089999999999</v>
      </c>
      <c r="P162" s="21">
        <f>tabCustoUnit[[#This Row],[MODULO 1 - REMUNERAÇÃO ]]*SUMIFS(tabParametros[INSS],tabParametros[Código do Posto],tabCustoUnit[[#This Row],[Código do Posto]])</f>
        <v>164.85218</v>
      </c>
      <c r="Q162" s="21">
        <f>tabCustoUnit[[#This Row],[MODULO 1 - REMUNERAÇÃO ]]*SUMIFS(tabParametros[SESI OU SESC],tabParametros[Código do Posto],tabCustoUnit[[#This Row],[Código do Posto]])</f>
        <v>12.363913499999999</v>
      </c>
      <c r="R162" s="21">
        <f>tabCustoUnit[[#This Row],[MODULO 1 - REMUNERAÇÃO ]]*SUMIFS(tabParametros[SENAI OU SENAC],tabParametros[Código do Posto],tabCustoUnit[[#This Row],[Código do Posto]])</f>
        <v>8.2426089999999999</v>
      </c>
      <c r="S162" s="21">
        <f>tabCustoUnit[[#This Row],[MODULO 1 - REMUNERAÇÃO ]]*SUMIFS(tabParametros[INCRA],tabParametros[Código do Posto],tabCustoUnit[[#This Row],[Código do Posto]])</f>
        <v>1.6485217999999999</v>
      </c>
      <c r="T162" s="21">
        <f>tabCustoUnit[[#This Row],[MODULO 1 - REMUNERAÇÃO ]]*SUMIFS(tabParametros[Salário Educação],tabParametros[Código do Posto],tabCustoUnit[[#This Row],[Código do Posto]])</f>
        <v>20.606522500000001</v>
      </c>
      <c r="U162" s="21">
        <f>tabCustoUnit[[#This Row],[MODULO 1 - REMUNERAÇÃO ]]*SUMIFS(tabParametros[FGTS],tabParametros[Código do Posto],tabCustoUnit[[#This Row],[Código do Posto]])</f>
        <v>65.940871999999999</v>
      </c>
      <c r="V162" s="21">
        <f>tabCustoUnit[[#This Row],[MODULO 1 - REMUNERAÇÃO ]]*SUMIFS(tabParametros[RAT Ajustado],tabParametros[Código do Posto],tabCustoUnit[[#This Row],[Código do Posto]])</f>
        <v>32.970435999999999</v>
      </c>
      <c r="W162" s="21">
        <f>tabCustoUnit[[#This Row],[MODULO 1 - REMUNERAÇÃO ]]*SUMIFS(tabParametros[SEBRAE],tabParametros[Código do Posto],tabCustoUnit[[#This Row],[Código do Posto]])</f>
        <v>4.9455654000000004</v>
      </c>
      <c r="X162" s="21">
        <f>SUM(tabCustoUnit[[#This Row],[INSS]:[SEBRAE]])</f>
        <v>311.57062020000001</v>
      </c>
      <c r="Y162" s="21">
        <f>tabCustoUnit[[#This Row],[MODULO 1 - REMUNERAÇÃO ]]*SUMIFS(tabParametros[13º salário (titular)],tabParametros[Código do Posto],tabCustoUnit[[#This Row],[Código do Posto]])</f>
        <v>68.688408333333328</v>
      </c>
      <c r="Z162" s="21">
        <f>tabCustoUnit[[#This Row],[MODULO 1 - REMUNERAÇÃO ]]*SUMIFS(tabParametros[Férias e Adicional de Férias (titular)],tabParametros[Código do Posto],tabCustoUnit[[#This Row],[Código do Posto]])</f>
        <v>91.584544444444433</v>
      </c>
      <c r="AA162" s="21">
        <f>IFERROR((tabCustoUnit[[#This Row],[Submódulo 2.1]]/tabCustoUnit[[#This Row],[MODULO 1 - REMUNERAÇÃO ]])*SUM(tabCustoUnit[[#This Row],[13º salário (titular)]:[Férias e Adicional de Férias (titular)]]),0)</f>
        <v>60.583176149999993</v>
      </c>
      <c r="AB162" s="21">
        <f>SUM(tabCustoUnit[[#This Row],[13º salário (titular)]:[Incidência do Submódulo 2.1 sobre 13º Salário, Férias e Adicional de Férias]])</f>
        <v>220.85612892777775</v>
      </c>
      <c r="AC162" s="22">
        <f>_xlfn.LET(_xlpm.VT,SUMIF(tabParametros[Código do Posto],tabCustoUnit[[#This Row],[Código do Posto]],tabParametros[Vale - Transporte])*2*20,
IF((_xlpm.VT-tabCustoUnit[[#This Row],[Salário Base]]*0.06)&gt;=0,(_xlpm.VT-tabCustoUnit[[#This Row],[Salário Base]]*0.06),0)
)</f>
        <v>208.11160000000001</v>
      </c>
      <c r="AD162" s="22">
        <f>IF(SUMIF(tabParametros[Código do Posto],tabCustoUnit[[#This Row],[Código do Posto]],tabParametros[Vale - Alimentação])&lt;=0,0,
SUMIF(tabParametros[Código do Posto],tabCustoUnit[[#This Row],[Código do Posto]],tabParametros[Vale - Alimentação])*20-1)</f>
        <v>0</v>
      </c>
      <c r="AE162" s="22">
        <f>SUMIF(tabParametros[Código do Posto],tabCustoUnit[[#This Row],[Código do Posto]],tabParametros[Cesta Básica])</f>
        <v>387.79</v>
      </c>
      <c r="AF162" s="22">
        <f>SUMIF(tabParametros[Código do Posto],tabCustoUnit[[#This Row],[Código do Posto]],tabParametros[PAF])</f>
        <v>42.97</v>
      </c>
      <c r="AG162" s="22">
        <f>SUMIF(tabParametros[Código do Posto],tabCustoUnit[[#This Row],[Código do Posto]],tabParametros[PQM])</f>
        <v>0</v>
      </c>
      <c r="AH162" s="22">
        <f>SUMIF(tabParametros[Código do Posto],tabCustoUnit[[#This Row],[Código do Posto]],tabParametros[PAT])</f>
        <v>0</v>
      </c>
      <c r="AI162" s="22">
        <f>SUMIF(tabParametros[Código do Posto],tabCustoUnit[[#This Row],[Código do Posto]],tabParametros[Seguro de Vida])</f>
        <v>3.36</v>
      </c>
      <c r="AJ162" s="22">
        <f>SUMIF(tabParametros[Código do Posto],tabCustoUnit[[#This Row],[Código do Posto]],tabParametros[Despesas de Viagem])</f>
        <v>0</v>
      </c>
      <c r="AK162" s="22">
        <f>SUM(tabCustoUnit[[#This Row],[Vale - Transporte (Descontada parcela do empregado)]:[Despesas de Viagem]])</f>
        <v>642.23160000000007</v>
      </c>
      <c r="AL162" s="22">
        <f>tabCustoUnit[[#This Row],[Submódulo 2.1]]+tabCustoUnit[[#This Row],[Submódulo 2.2]]+tabCustoUnit[[#This Row],[Submódulo 2.3]]</f>
        <v>1174.6583491277779</v>
      </c>
      <c r="AM162" s="22">
        <f>SUMIF(tabParametros[Código do Posto],tabCustoUnit[[#This Row],[Código do Posto]],tabParametros[Aviso Prévio Indenizado (API) e Reflexo do Aviso Prévio Indenizado])*tabCustoUnit[[#This Row],[MODULO 1 - REMUNERAÇÃO ]]</f>
        <v>5.7795253576581791</v>
      </c>
      <c r="AN162" s="22">
        <f>SUMIF(tabParametros[Código do Posto],tabCustoUnit[[#This Row],[Código do Posto]],tabParametros[Incidência do FGTS sobre API e Reflexo do API])*tabCustoUnit[[#This Row],[MODULO 1 - REMUNERAÇÃO ]]</f>
        <v>0.46236202861265435</v>
      </c>
      <c r="AO162" s="22">
        <f>SUMIF(tabParametros[Código do Posto],tabCustoUnit[[#This Row],[Código do Posto]],tabParametros[Multa Rescisória do FGTS sobre o Aviso Prévio Indenizado])*tabCustoUnit[[#This Row],[MODULO 1 - REMUNERAÇÃO ]]</f>
        <v>0.18494481144506175</v>
      </c>
      <c r="AP162" s="22">
        <f>SUMIF(tabParametros[Código do Posto],tabCustoUnit[[#This Row],[Código do Posto]],tabParametros[Aviso Prévio Trabalhado - APT])*tabCustoUnit[[#This Row],[MODULO 1 - REMUNERAÇÃO ]]</f>
        <v>2.8849131500000005</v>
      </c>
      <c r="AQ162" s="22">
        <f>SUMIF(tabParametros[Código do Posto],tabCustoUnit[[#This Row],[Código do Posto]],tabParametros[Incidência dos encargos do submódulo 2.1 sobre Aviso Prévio Trabalhado])*tabCustoUnit[[#This Row],[MODULO 1 - REMUNERAÇÃO ]]</f>
        <v>1.0904971707000004</v>
      </c>
      <c r="AR162" s="22">
        <f>SUMIF(tabParametros[Código do Posto],tabCustoUnit[[#This Row],[Código do Posto]],tabParametros[Multa Rescisória do FGTS])*tabCustoUnit[[#This Row],[MODULO 1 - REMUNERAÇÃO ]]</f>
        <v>25.204066631111107</v>
      </c>
      <c r="AS162" s="22">
        <f>SUMIF(tabParametros[Código do Posto],tabCustoUnit[[#This Row],[Código do Posto]],tabParametros[Indenização Adicional (Art. 9º da Lei nº 7.238/84)])*tabCustoUnit[[#This Row],[MODULO 1 - REMUNERAÇÃO ]]</f>
        <v>0.6868840833333334</v>
      </c>
      <c r="AT162" s="22">
        <f>SUM(tabCustoUnit[[#This Row],[Aviso Prévio Indenizado (API) e Reflexo do Aviso Prévio Indenizado]:[Indenização Adicional (Art. 9º da Lei nº 7.238/84)]])</f>
        <v>36.293193232860339</v>
      </c>
      <c r="AU162" s="22">
        <f>SUMIF(tabParametros[Código do Posto],tabCustoUnit[[#This Row],[Código do Posto]],tabParametros[Ausência por Doença])*tabCustoUnit[[#This Row],[MODULO 1 - REMUNERAÇÃO ]]</f>
        <v>6.9604253777777769</v>
      </c>
      <c r="AV162" s="22">
        <f>SUMIF(tabParametros[Código do Posto],tabCustoUnit[[#This Row],[Código do Posto]],tabParametros[Ausências Legais])*tabCustoUnit[[#This Row],[MODULO 1 - REMUNERAÇÃO ]]</f>
        <v>1.671417936111111</v>
      </c>
      <c r="AW162" s="22">
        <f>SUMIF(tabParametros[Código do Posto],tabCustoUnit[[#This Row],[Código do Posto]],tabParametros[Licença Paternidade])*tabCustoUnit[[#This Row],[MODULO 1 - REMUNERAÇÃO ]]</f>
        <v>0.14081123708333332</v>
      </c>
      <c r="AX162" s="22">
        <f>SUMIF(tabParametros[Código do Posto],tabCustoUnit[[#This Row],[Código do Posto]],tabParametros[Ausência por Acidente de Trabalho])*tabCustoUnit[[#This Row],[MODULO 1 - REMUNERAÇÃO ]]</f>
        <v>0.17172102083333335</v>
      </c>
      <c r="AY162" s="22">
        <f>SUMIF(tabParametros[Código do Posto],tabCustoUnit[[#This Row],[Código do Posto]],tabParametros[Férias, Adicional de Férias e 13º  com empregada em gozo de Licença Maternidade])*tabCustoUnit[[#This Row],[MODULO 1 - REMUNERAÇÃO ]]</f>
        <v>1.0684863518518517</v>
      </c>
      <c r="AZ162" s="22">
        <f>SUMIF(tabParametros[Código do Posto],tabCustoUnit[[#This Row],[Código do Posto]],tabParametros[Incidência do Submódulo 2.1 sobre Ausências Legais])*tabCustoUnit[[#This Row],[MODULO 1 - REMUNERAÇÃO ]]</f>
        <v>3.7848618071425006</v>
      </c>
      <c r="BA162" s="22">
        <f>SUM(tabCustoUnit[[#This Row],[Ausência por Doença]:[Incidência do Submódulo 2.1 sobre Ausências Legais]])</f>
        <v>13.797723730799909</v>
      </c>
      <c r="BB162" s="22">
        <f>SUMIF(tabParametros[Código do Posto],tabCustoUnit[[#This Row],[Código do Posto]],tabParametros[Intervalo para Repouso ou Alimentação])</f>
        <v>0</v>
      </c>
      <c r="BC162" s="22">
        <f>tabCustoUnit[[#This Row],[Intervalo para Repouso ou Alimentação]]</f>
        <v>0</v>
      </c>
      <c r="BD162" s="22">
        <f>IF(VLOOKUP(tabCustoUnit[[#This Row],[Código do Posto]],PARAMETROS!$A$4:$BJ$255,7,0)&lt;=0,0,
IFERROR((tabCustoUnit[[#This Row],[MODULO 1 - REMUNERAÇÃO ]]*VLOOKUP(tabCustoUnit[[#This Row],[Código do Posto]],PARAMETROS!$A$4:$BJ$255,49,0))/(VLOOKUP(tabCustoUnit[[#This Row],[Código do Posto]],PARAMETROS!$A$4:$BJ$255,7,0)*VLOOKUP(tabCustoUnit[[#This Row],[Código do Posto]],PARAMETROS!$A$4:$BJ$255,8,0)),0)
)</f>
        <v>0</v>
      </c>
      <c r="BE162" s="22">
        <f>tabCustoUnit[[#This Row],[Suspensão Temporária do Contrato de Trabalho]]</f>
        <v>0</v>
      </c>
      <c r="BF162" s="22">
        <f>tabCustoUnit[[#This Row],[Submódulo 4.1]]+tabCustoUnit[[#This Row],[Submódulo 4.2]]+tabCustoUnit[[#This Row],[Submódulo 4.3]]</f>
        <v>13.797723730799909</v>
      </c>
      <c r="BG162" s="22">
        <f>VLOOKUP(tabCustoUnit[[#This Row],[Código do Posto]],tabParametros[],MATCH(tabCustoUnit[[#Headers],[Uniformes e EPIs]],tabParametros[#Headers],0),0)</f>
        <v>62.806666666666665</v>
      </c>
      <c r="BH162" s="22">
        <f>VLOOKUP(tabCustoUnit[[#This Row],[Código do Posto]],tabParametros[],MATCH(tabCustoUnit[[#Headers],[Materiais de Consumo]],tabParametros[#Headers],0),0)</f>
        <v>17.759106479291944</v>
      </c>
      <c r="BI162" s="22">
        <f>VLOOKUP(tabCustoUnit[[#This Row],[Código do Posto]],tabParametros[],MATCH(tabCustoUnit[[#Headers],[Máquinas e Equipamentos (depreciação)]],tabParametros[#Headers],0),0)</f>
        <v>32.264696957412788</v>
      </c>
      <c r="BJ162" s="22">
        <f>VLOOKUP(tabCustoUnit[[#This Row],[Código do Posto]],tabParametros[],MATCH(tabCustoUnit[[#Headers],[Produtos de Limpeza e Materiais de Higiene Pessoal]],tabParametros[#Headers],0),0)</f>
        <v>345.13576638965827</v>
      </c>
      <c r="BK162" s="22">
        <f>VLOOKUP(tabCustoUnit[[#This Row],[Código do Posto]],tabParametros[],MATCH(tabCustoUnit[[#Headers],[Outros (especificar)]],tabParametros[#Headers],0),0)</f>
        <v>0</v>
      </c>
      <c r="BL162" s="22">
        <f>SUM(tabCustoUnit[[#This Row],[Uniformes e EPIs]:[Outros (especificar)]])</f>
        <v>457.96623649302967</v>
      </c>
      <c r="BM162" s="22">
        <f>tabCustoUnit[[#This Row],[MODULO 1 - REMUNERAÇÃO ]]+tabCustoUnit[[#This Row],[MÓDULO 2 - Total Encargos e Benefícios mensais e diários]]+tabCustoUnit[[#This Row],[MÓDULO 3 – PROVISÃO PARA RESCISÃO]]+tabCustoUnit[[#This Row],[MÓDULO 4 – CUSTO DE REPOSIÇÃO DO PROFISSIONAL AUSENTE]]+tabCustoUnit[[#This Row],[MÓDULO 5 – INSUMOS DIVERSOS]]</f>
        <v>2506.9764025844679</v>
      </c>
      <c r="BN162" s="22">
        <f>VLOOKUP(tabCustoUnit[[#This Row],[Código do Posto]],tabParametros[],MATCH(tabCustoUnit[[#Headers],[Custos Indiretos]],tabParametros[#Headers],0),0)</f>
        <v>189.64880140242613</v>
      </c>
      <c r="BO162" s="22">
        <f>VLOOKUP(tabCustoUnit[[#This Row],[Código do Posto]],tabParametros[],MATCH(tabCustoUnit[[#Headers],[Lucro]],tabParametros[#Headers],0),0)</f>
        <v>159.30499317803796</v>
      </c>
      <c r="BP162" s="26">
        <f>((100/((1-tabCustoUnit[[#This Row],[Resumo de Alíquotas (PIS+CONFINS+ISS)]]))-100)*VLOOKUP(tabCustoUnit[[#This Row],[Código do Posto]],tabParametros[],MATCH(tabCustoUnit[[#Headers],[COFINS]],tabParametros[#Headers],0),0))/(tabCustoUnit[[#This Row],[Resumo de Alíquotas (PIS+CONFINS+ISS)]]*100)</f>
        <v>8.6609686609686695E-2</v>
      </c>
      <c r="BQ162" s="26">
        <f>((100/((100-(tabCustoUnit[[#This Row],[Resumo de Alíquotas (PIS+CONFINS+ISS)]]*100))%)-100)*VLOOKUP(tabCustoUnit[[#This Row],[Código do Posto]],tabParametros[],MATCH(tabCustoUnit[[#Headers],[PIS]],tabParametros[#Headers],0),0))/(tabCustoUnit[[#This Row],[Resumo de Alíquotas (PIS+CONFINS+ISS)]]*100)</f>
        <v>1.880341880341882E-2</v>
      </c>
      <c r="BR162" s="28">
        <f>VLOOKUP(tabCustoUnit[[#This Row],[Código do Posto]],tabParametros[],MATCH(tabCustoUnit[[#Headers],[ISS]],tabParametros[#Headers],0),0)</f>
        <v>0.03</v>
      </c>
      <c r="BS162" s="26">
        <f>(((100/((100-(tabCustoUnit[[#This Row],[Resumo de Alíquotas (PIS+CONFINS+ISS)]]*100))%)-100)*tabCustoUnit[[#This Row],[ISS]])/tabCustoUnit[[#This Row],[Resumo de Alíquotas (PIS+CONFINS+ISS)]])/100</f>
        <v>3.4188034188034219E-2</v>
      </c>
      <c r="BT162" s="26">
        <f>(VLOOKUP(tabCustoUnit[[#This Row],[Código do Posto]],tabParametros[],MATCH(tabCustoUnit[[#Headers],[COFINS]],tabParametros[#Headers],0),0)+
VLOOKUP(tabCustoUnit[[#This Row],[Código do Posto]],tabParametros[],MATCH(tabCustoUnit[[#Headers],[PIS]],tabParametros[#Headers],0),0)+
VLOOKUP(tabCustoUnit[[#This Row],[Código do Posto]],tabParametros[],MATCH(tabCustoUnit[[#Headers],[ISS]],tabParametros[#Headers],0),0))</f>
        <v>0.1225</v>
      </c>
      <c r="BU162" s="138">
        <f>tabCustoUnit[[#This Row],[COFINS]]+tabCustoUnit[[#This Row],[PIS]]+tabCustoUnit[[#This Row],[ISS (Conversão Alíquota s/ fatura)]]</f>
        <v>0.13960113960113973</v>
      </c>
      <c r="BV162" s="22">
        <f>(tabCustoUnit[[#This Row],[TOTAL MÓDULOS 1+2+3+4+5]]+tabCustoUnit[[#This Row],[Custos Indiretos]]+tabCustoUnit[[#This Row],[Lucro]])*tabCustoUnit[[#This Row],[PIS + COFINS + ISS (Total Conversão  Alíquota s/ Fatura)]]</f>
        <v>398.69111014553221</v>
      </c>
      <c r="BW162" s="22">
        <f>tabCustoUnit[[#This Row],[Custos Indiretos]]+tabCustoUnit[[#This Row],[Lucro]]+tabCustoUnit[[#This Row],[Valor dos Tributos (ISS, PIS, CONFINS)]]</f>
        <v>747.6449047259963</v>
      </c>
      <c r="BX162" s="22">
        <f>tabCustoUnit[[#This Row],[TOTAL MÓDULOS 1+2+3+4+5]]+tabCustoUnit[[#This Row],[MÓDULO 6 – CUSTOS INDIRETOS, TRIBUTOS E LUCRO]]</f>
        <v>3254.6213073104641</v>
      </c>
      <c r="BY162" s="22">
        <f>tabCustoUnit[[#This Row],[CUSTO TOTAL MENSAL]]*12</f>
        <v>39055.455687725567</v>
      </c>
      <c r="BZ162" s="24">
        <f>VLOOKUP(tabCustoUnit[[#This Row],[Código do Posto]],tabParametros[],MATCH(tabCustoUnit[[#Headers],[ANO DA CCT]],tabParametros[#Headers],0),0)</f>
        <v>45658</v>
      </c>
      <c r="CA162" s="25" t="str">
        <f>VLOOKUP(tabCustoUnit[[#This Row],[Código do Posto]],tabParametros[],MATCH(tabCustoUnit[[#Headers],[Nº DE PEDIDO DA CCT]],tabParametros[#Headers],0),0)</f>
        <v>-</v>
      </c>
      <c r="CB162" s="25" t="str">
        <f>VLOOKUP(tabCustoUnit[[#This Row],[Código do Posto]],tabParametros[],MATCH(tabCustoUnit[[#Headers],[TERMO ADITIVO ALTERAÇÃO DA CCT]],tabParametros[#Headers],0),0)</f>
        <v>-</v>
      </c>
    </row>
    <row r="163" spans="1:80" x14ac:dyDescent="0.25">
      <c r="A163" s="20" t="s">
        <v>1499</v>
      </c>
      <c r="B163" t="s">
        <v>148</v>
      </c>
      <c r="C163" t="s">
        <v>1244</v>
      </c>
      <c r="D163" t="s">
        <v>148</v>
      </c>
      <c r="E163" s="20" t="s">
        <v>9</v>
      </c>
      <c r="F163" s="20" t="s">
        <v>10</v>
      </c>
      <c r="G163" s="21">
        <v>824.56</v>
      </c>
      <c r="H163" s="21">
        <v>0</v>
      </c>
      <c r="I163" s="21">
        <v>0</v>
      </c>
      <c r="J163" s="21">
        <v>0</v>
      </c>
      <c r="K163" s="21">
        <v>0</v>
      </c>
      <c r="L163" s="21">
        <v>0</v>
      </c>
      <c r="M163" s="21">
        <v>0</v>
      </c>
      <c r="N163" s="21">
        <v>26.985600000000002</v>
      </c>
      <c r="O163" s="21">
        <f>SUM(tabCustoUnit[[#This Row],[Salário Base]:[Adicional de Acúmulo de função]])</f>
        <v>851.54559999999992</v>
      </c>
      <c r="P163" s="21">
        <f>tabCustoUnit[[#This Row],[MODULO 1 - REMUNERAÇÃO ]]*SUMIFS(tabParametros[INSS],tabParametros[Código do Posto],tabCustoUnit[[#This Row],[Código do Posto]])</f>
        <v>170.30912000000001</v>
      </c>
      <c r="Q163" s="21">
        <f>tabCustoUnit[[#This Row],[MODULO 1 - REMUNERAÇÃO ]]*SUMIFS(tabParametros[SESI OU SESC],tabParametros[Código do Posto],tabCustoUnit[[#This Row],[Código do Posto]])</f>
        <v>12.773183999999999</v>
      </c>
      <c r="R163" s="21">
        <f>tabCustoUnit[[#This Row],[MODULO 1 - REMUNERAÇÃO ]]*SUMIFS(tabParametros[SENAI OU SENAC],tabParametros[Código do Posto],tabCustoUnit[[#This Row],[Código do Posto]])</f>
        <v>8.5154559999999986</v>
      </c>
      <c r="S163" s="21">
        <f>tabCustoUnit[[#This Row],[MODULO 1 - REMUNERAÇÃO ]]*SUMIFS(tabParametros[INCRA],tabParametros[Código do Posto],tabCustoUnit[[#This Row],[Código do Posto]])</f>
        <v>1.7030911999999998</v>
      </c>
      <c r="T163" s="21">
        <f>tabCustoUnit[[#This Row],[MODULO 1 - REMUNERAÇÃO ]]*SUMIFS(tabParametros[Salário Educação],tabParametros[Código do Posto],tabCustoUnit[[#This Row],[Código do Posto]])</f>
        <v>21.288640000000001</v>
      </c>
      <c r="U163" s="21">
        <f>tabCustoUnit[[#This Row],[MODULO 1 - REMUNERAÇÃO ]]*SUMIFS(tabParametros[FGTS],tabParametros[Código do Posto],tabCustoUnit[[#This Row],[Código do Posto]])</f>
        <v>68.123647999999989</v>
      </c>
      <c r="V163" s="21">
        <f>tabCustoUnit[[#This Row],[MODULO 1 - REMUNERAÇÃO ]]*SUMIFS(tabParametros[RAT Ajustado],tabParametros[Código do Posto],tabCustoUnit[[#This Row],[Código do Posto]])</f>
        <v>34.061823999999994</v>
      </c>
      <c r="W163" s="21">
        <f>tabCustoUnit[[#This Row],[MODULO 1 - REMUNERAÇÃO ]]*SUMIFS(tabParametros[SEBRAE],tabParametros[Código do Posto],tabCustoUnit[[#This Row],[Código do Posto]])</f>
        <v>5.1092735999999999</v>
      </c>
      <c r="X163" s="21">
        <f>SUM(tabCustoUnit[[#This Row],[INSS]:[SEBRAE]])</f>
        <v>321.8842368</v>
      </c>
      <c r="Y163" s="21">
        <f>tabCustoUnit[[#This Row],[MODULO 1 - REMUNERAÇÃO ]]*SUMIFS(tabParametros[13º salário (titular)],tabParametros[Código do Posto],tabCustoUnit[[#This Row],[Código do Posto]])</f>
        <v>70.962133333333327</v>
      </c>
      <c r="Z163" s="21">
        <f>tabCustoUnit[[#This Row],[MODULO 1 - REMUNERAÇÃO ]]*SUMIFS(tabParametros[Férias e Adicional de Férias (titular)],tabParametros[Código do Posto],tabCustoUnit[[#This Row],[Código do Posto]])</f>
        <v>94.616177777777764</v>
      </c>
      <c r="AA163" s="21">
        <f>IFERROR((tabCustoUnit[[#This Row],[Submódulo 2.1]]/tabCustoUnit[[#This Row],[MODULO 1 - REMUNERAÇÃO ]])*SUM(tabCustoUnit[[#This Row],[13º salário (titular)]:[Férias e Adicional de Férias (titular)]]),0)</f>
        <v>62.588601599999997</v>
      </c>
      <c r="AB163" s="21">
        <f>SUM(tabCustoUnit[[#This Row],[13º salário (titular)]:[Incidência do Submódulo 2.1 sobre 13º Salário, Férias e Adicional de Férias]])</f>
        <v>228.16691271111108</v>
      </c>
      <c r="AC163" s="22">
        <f>_xlfn.LET(_xlpm.VT,SUMIF(tabParametros[Código do Posto],tabCustoUnit[[#This Row],[Código do Posto]],tabParametros[Vale - Transporte])*2*20,
IF((_xlpm.VT-tabCustoUnit[[#This Row],[Salário Base]]*0.06)&gt;=0,(_xlpm.VT-tabCustoUnit[[#This Row],[Salário Base]]*0.06),0)
)</f>
        <v>206.5264</v>
      </c>
      <c r="AD163" s="22">
        <f>IF(SUMIF(tabParametros[Código do Posto],tabCustoUnit[[#This Row],[Código do Posto]],tabParametros[Vale - Alimentação])&lt;=0,0,
SUMIF(tabParametros[Código do Posto],tabCustoUnit[[#This Row],[Código do Posto]],tabParametros[Vale - Alimentação])*20-1)</f>
        <v>582</v>
      </c>
      <c r="AE163" s="22">
        <f>SUMIF(tabParametros[Código do Posto],tabCustoUnit[[#This Row],[Código do Posto]],tabParametros[Cesta Básica])</f>
        <v>0</v>
      </c>
      <c r="AF163" s="22">
        <f>SUMIF(tabParametros[Código do Posto],tabCustoUnit[[#This Row],[Código do Posto]],tabParametros[PAF])</f>
        <v>51.86</v>
      </c>
      <c r="AG163" s="22">
        <f>SUMIF(tabParametros[Código do Posto],tabCustoUnit[[#This Row],[Código do Posto]],tabParametros[PQM])</f>
        <v>0</v>
      </c>
      <c r="AH163" s="22">
        <f>SUMIF(tabParametros[Código do Posto],tabCustoUnit[[#This Row],[Código do Posto]],tabParametros[PAT])</f>
        <v>0</v>
      </c>
      <c r="AI163" s="22">
        <f>SUMIF(tabParametros[Código do Posto],tabCustoUnit[[#This Row],[Código do Posto]],tabParametros[Seguro de Vida])</f>
        <v>3.36</v>
      </c>
      <c r="AJ163" s="22">
        <f>SUMIF(tabParametros[Código do Posto],tabCustoUnit[[#This Row],[Código do Posto]],tabParametros[Despesas de Viagem])</f>
        <v>0</v>
      </c>
      <c r="AK163" s="22">
        <f>SUM(tabCustoUnit[[#This Row],[Vale - Transporte (Descontada parcela do empregado)]:[Despesas de Viagem]])</f>
        <v>843.74639999999999</v>
      </c>
      <c r="AL163" s="22">
        <f>tabCustoUnit[[#This Row],[Submódulo 2.1]]+tabCustoUnit[[#This Row],[Submódulo 2.2]]+tabCustoUnit[[#This Row],[Submódulo 2.3]]</f>
        <v>1393.7975495111111</v>
      </c>
      <c r="AM163" s="22">
        <f>SUMIF(tabParametros[Código do Posto],tabCustoUnit[[#This Row],[Código do Posto]],tabParametros[Aviso Prévio Indenizado (API) e Reflexo do Aviso Prévio Indenizado])*tabCustoUnit[[#This Row],[MODULO 1 - REMUNERAÇÃO ]]</f>
        <v>5.970839316049382</v>
      </c>
      <c r="AN163" s="22">
        <f>SUMIF(tabParametros[Código do Posto],tabCustoUnit[[#This Row],[Código do Posto]],tabParametros[Incidência do FGTS sobre API e Reflexo do API])*tabCustoUnit[[#This Row],[MODULO 1 - REMUNERAÇÃO ]]</f>
        <v>0.4776671452839506</v>
      </c>
      <c r="AO163" s="22">
        <f>SUMIF(tabParametros[Código do Posto],tabCustoUnit[[#This Row],[Código do Posto]],tabParametros[Multa Rescisória do FGTS sobre o Aviso Prévio Indenizado])*tabCustoUnit[[#This Row],[MODULO 1 - REMUNERAÇÃO ]]</f>
        <v>0.19106685811358026</v>
      </c>
      <c r="AP163" s="22">
        <f>SUMIF(tabParametros[Código do Posto],tabCustoUnit[[#This Row],[Código do Posto]],tabParametros[Aviso Prévio Trabalhado - APT])*tabCustoUnit[[#This Row],[MODULO 1 - REMUNERAÇÃO ]]</f>
        <v>2.9804096000000002</v>
      </c>
      <c r="AQ163" s="22">
        <f>SUMIF(tabParametros[Código do Posto],tabCustoUnit[[#This Row],[Código do Posto]],tabParametros[Incidência dos encargos do submódulo 2.1 sobre Aviso Prévio Trabalhado])*tabCustoUnit[[#This Row],[MODULO 1 - REMUNERAÇÃO ]]</f>
        <v>1.1265948288000003</v>
      </c>
      <c r="AR163" s="22">
        <f>SUMIF(tabParametros[Código do Posto],tabCustoUnit[[#This Row],[Código do Posto]],tabParametros[Multa Rescisória do FGTS])*tabCustoUnit[[#This Row],[MODULO 1 - REMUNERAÇÃO ]]</f>
        <v>26.038372124444439</v>
      </c>
      <c r="AS163" s="22">
        <f>SUMIF(tabParametros[Código do Posto],tabCustoUnit[[#This Row],[Código do Posto]],tabParametros[Indenização Adicional (Art. 9º da Lei nº 7.238/84)])*tabCustoUnit[[#This Row],[MODULO 1 - REMUNERAÇÃO ]]</f>
        <v>0.70962133333333333</v>
      </c>
      <c r="AT163" s="22">
        <f>SUM(tabCustoUnit[[#This Row],[Aviso Prévio Indenizado (API) e Reflexo do Aviso Prévio Indenizado]:[Indenização Adicional (Art. 9º da Lei nº 7.238/84)]])</f>
        <v>37.494571206024688</v>
      </c>
      <c r="AU163" s="22">
        <f>SUMIF(tabParametros[Código do Posto],tabCustoUnit[[#This Row],[Código do Posto]],tabParametros[Ausência por Doença])*tabCustoUnit[[#This Row],[MODULO 1 - REMUNERAÇÃO ]]</f>
        <v>7.1908295111111098</v>
      </c>
      <c r="AV163" s="22">
        <f>SUMIF(tabParametros[Código do Posto],tabCustoUnit[[#This Row],[Código do Posto]],tabParametros[Ausências Legais])*tabCustoUnit[[#This Row],[MODULO 1 - REMUNERAÇÃO ]]</f>
        <v>1.7267452444444442</v>
      </c>
      <c r="AW163" s="22">
        <f>SUMIF(tabParametros[Código do Posto],tabCustoUnit[[#This Row],[Código do Posto]],tabParametros[Licença Paternidade])*tabCustoUnit[[#This Row],[MODULO 1 - REMUNERAÇÃO ]]</f>
        <v>0.14547237333333332</v>
      </c>
      <c r="AX163" s="22">
        <f>SUMIF(tabParametros[Código do Posto],tabCustoUnit[[#This Row],[Código do Posto]],tabParametros[Ausência por Acidente de Trabalho])*tabCustoUnit[[#This Row],[MODULO 1 - REMUNERAÇÃO ]]</f>
        <v>0.17740533333333333</v>
      </c>
      <c r="AY163" s="22">
        <f>SUMIF(tabParametros[Código do Posto],tabCustoUnit[[#This Row],[Código do Posto]],tabParametros[Férias, Adicional de Férias e 13º  com empregada em gozo de Licença Maternidade])*tabCustoUnit[[#This Row],[MODULO 1 - REMUNERAÇÃO ]]</f>
        <v>1.1038554074074072</v>
      </c>
      <c r="AZ163" s="22">
        <f>SUMIF(tabParametros[Código do Posto],tabCustoUnit[[#This Row],[Código do Posto]],tabParametros[Incidência do Submódulo 2.1 sobre Ausências Legais])*tabCustoUnit[[#This Row],[MODULO 1 - REMUNERAÇÃO ]]</f>
        <v>3.9101483747200003</v>
      </c>
      <c r="BA163" s="22">
        <f>SUM(tabCustoUnit[[#This Row],[Ausência por Doença]:[Incidência do Submódulo 2.1 sobre Ausências Legais]])</f>
        <v>14.254456244349628</v>
      </c>
      <c r="BB163" s="22">
        <f>SUMIF(tabParametros[Código do Posto],tabCustoUnit[[#This Row],[Código do Posto]],tabParametros[Intervalo para Repouso ou Alimentação])</f>
        <v>0</v>
      </c>
      <c r="BC163" s="22">
        <f>tabCustoUnit[[#This Row],[Intervalo para Repouso ou Alimentação]]</f>
        <v>0</v>
      </c>
      <c r="BD163" s="22">
        <f>IF(VLOOKUP(tabCustoUnit[[#This Row],[Código do Posto]],PARAMETROS!$A$4:$BJ$255,7,0)&lt;=0,0,
IFERROR((tabCustoUnit[[#This Row],[MODULO 1 - REMUNERAÇÃO ]]*VLOOKUP(tabCustoUnit[[#This Row],[Código do Posto]],PARAMETROS!$A$4:$BJ$255,49,0))/(VLOOKUP(tabCustoUnit[[#This Row],[Código do Posto]],PARAMETROS!$A$4:$BJ$255,7,0)*VLOOKUP(tabCustoUnit[[#This Row],[Código do Posto]],PARAMETROS!$A$4:$BJ$255,8,0)),0)
)</f>
        <v>0</v>
      </c>
      <c r="BE163" s="22">
        <f>tabCustoUnit[[#This Row],[Suspensão Temporária do Contrato de Trabalho]]</f>
        <v>0</v>
      </c>
      <c r="BF163" s="22">
        <f>tabCustoUnit[[#This Row],[Submódulo 4.1]]+tabCustoUnit[[#This Row],[Submódulo 4.2]]+tabCustoUnit[[#This Row],[Submódulo 4.3]]</f>
        <v>14.254456244349628</v>
      </c>
      <c r="BG163" s="22">
        <f>VLOOKUP(tabCustoUnit[[#This Row],[Código do Posto]],tabParametros[],MATCH(tabCustoUnit[[#Headers],[Uniformes e EPIs]],tabParametros[#Headers],0),0)</f>
        <v>62.806666666666665</v>
      </c>
      <c r="BH163" s="22">
        <f>VLOOKUP(tabCustoUnit[[#This Row],[Código do Posto]],tabParametros[],MATCH(tabCustoUnit[[#Headers],[Materiais de Consumo]],tabParametros[#Headers],0),0)</f>
        <v>17.759106479291944</v>
      </c>
      <c r="BI163" s="22">
        <f>VLOOKUP(tabCustoUnit[[#This Row],[Código do Posto]],tabParametros[],MATCH(tabCustoUnit[[#Headers],[Máquinas e Equipamentos (depreciação)]],tabParametros[#Headers],0),0)</f>
        <v>32.264696957412788</v>
      </c>
      <c r="BJ163" s="22">
        <f>VLOOKUP(tabCustoUnit[[#This Row],[Código do Posto]],tabParametros[],MATCH(tabCustoUnit[[#Headers],[Produtos de Limpeza e Materiais de Higiene Pessoal]],tabParametros[#Headers],0),0)</f>
        <v>345.13576638965827</v>
      </c>
      <c r="BK163" s="22">
        <f>VLOOKUP(tabCustoUnit[[#This Row],[Código do Posto]],tabParametros[],MATCH(tabCustoUnit[[#Headers],[Outros (especificar)]],tabParametros[#Headers],0),0)</f>
        <v>0</v>
      </c>
      <c r="BL163" s="22">
        <f>SUM(tabCustoUnit[[#This Row],[Uniformes e EPIs]:[Outros (especificar)]])</f>
        <v>457.96623649302967</v>
      </c>
      <c r="BM163" s="22">
        <f>tabCustoUnit[[#This Row],[MODULO 1 - REMUNERAÇÃO ]]+tabCustoUnit[[#This Row],[MÓDULO 2 - Total Encargos e Benefícios mensais e diários]]+tabCustoUnit[[#This Row],[MÓDULO 3 – PROVISÃO PARA RESCISÃO]]+tabCustoUnit[[#This Row],[MÓDULO 4 – CUSTO DE REPOSIÇÃO DO PROFISSIONAL AUSENTE]]+tabCustoUnit[[#This Row],[MÓDULO 5 – INSUMOS DIVERSOS]]</f>
        <v>2755.0584134545147</v>
      </c>
      <c r="BN163" s="22">
        <f>VLOOKUP(tabCustoUnit[[#This Row],[Código do Posto]],tabParametros[],MATCH(tabCustoUnit[[#Headers],[Custos Indiretos]],tabParametros[#Headers],0),0)</f>
        <v>189.64880140242613</v>
      </c>
      <c r="BO163" s="22">
        <f>VLOOKUP(tabCustoUnit[[#This Row],[Código do Posto]],tabParametros[],MATCH(tabCustoUnit[[#Headers],[Lucro]],tabParametros[#Headers],0),0)</f>
        <v>159.30499317803796</v>
      </c>
      <c r="BP163" s="26">
        <f>((100/((1-tabCustoUnit[[#This Row],[Resumo de Alíquotas (PIS+CONFINS+ISS)]]))-100)*VLOOKUP(tabCustoUnit[[#This Row],[Código do Posto]],tabParametros[],MATCH(tabCustoUnit[[#Headers],[COFINS]],tabParametros[#Headers],0),0))/(tabCustoUnit[[#This Row],[Resumo de Alíquotas (PIS+CONFINS+ISS)]]*100)</f>
        <v>8.6609686609686695E-2</v>
      </c>
      <c r="BQ163" s="26">
        <f>((100/((100-(tabCustoUnit[[#This Row],[Resumo de Alíquotas (PIS+CONFINS+ISS)]]*100))%)-100)*VLOOKUP(tabCustoUnit[[#This Row],[Código do Posto]],tabParametros[],MATCH(tabCustoUnit[[#Headers],[PIS]],tabParametros[#Headers],0),0))/(tabCustoUnit[[#This Row],[Resumo de Alíquotas (PIS+CONFINS+ISS)]]*100)</f>
        <v>1.880341880341882E-2</v>
      </c>
      <c r="BR163" s="28">
        <f>VLOOKUP(tabCustoUnit[[#This Row],[Código do Posto]],tabParametros[],MATCH(tabCustoUnit[[#Headers],[ISS]],tabParametros[#Headers],0),0)</f>
        <v>0.03</v>
      </c>
      <c r="BS163" s="26">
        <f>(((100/((100-(tabCustoUnit[[#This Row],[Resumo de Alíquotas (PIS+CONFINS+ISS)]]*100))%)-100)*tabCustoUnit[[#This Row],[ISS]])/tabCustoUnit[[#This Row],[Resumo de Alíquotas (PIS+CONFINS+ISS)]])/100</f>
        <v>3.4188034188034219E-2</v>
      </c>
      <c r="BT163" s="26">
        <f>(VLOOKUP(tabCustoUnit[[#This Row],[Código do Posto]],tabParametros[],MATCH(tabCustoUnit[[#Headers],[COFINS]],tabParametros[#Headers],0),0)+
VLOOKUP(tabCustoUnit[[#This Row],[Código do Posto]],tabParametros[],MATCH(tabCustoUnit[[#Headers],[PIS]],tabParametros[#Headers],0),0)+
VLOOKUP(tabCustoUnit[[#This Row],[Código do Posto]],tabParametros[],MATCH(tabCustoUnit[[#Headers],[ISS]],tabParametros[#Headers],0),0))</f>
        <v>0.1225</v>
      </c>
      <c r="BU163" s="138">
        <f>tabCustoUnit[[#This Row],[COFINS]]+tabCustoUnit[[#This Row],[PIS]]+tabCustoUnit[[#This Row],[ISS (Conversão Alíquota s/ fatura)]]</f>
        <v>0.13960113960113973</v>
      </c>
      <c r="BV163" s="22">
        <f>(tabCustoUnit[[#This Row],[TOTAL MÓDULOS 1+2+3+4+5]]+tabCustoUnit[[#This Row],[Custos Indiretos]]+tabCustoUnit[[#This Row],[Lucro]])*tabCustoUnit[[#This Row],[PIS + COFINS + ISS (Total Conversão  Alíquota s/ Fatura)]]</f>
        <v>433.32364157753307</v>
      </c>
      <c r="BW163" s="22">
        <f>tabCustoUnit[[#This Row],[Custos Indiretos]]+tabCustoUnit[[#This Row],[Lucro]]+tabCustoUnit[[#This Row],[Valor dos Tributos (ISS, PIS, CONFINS)]]</f>
        <v>782.27743615799716</v>
      </c>
      <c r="BX163" s="22">
        <f>tabCustoUnit[[#This Row],[TOTAL MÓDULOS 1+2+3+4+5]]+tabCustoUnit[[#This Row],[MÓDULO 6 – CUSTOS INDIRETOS, TRIBUTOS E LUCRO]]</f>
        <v>3537.335849612512</v>
      </c>
      <c r="BY163" s="22">
        <f>tabCustoUnit[[#This Row],[CUSTO TOTAL MENSAL]]*12</f>
        <v>42448.030195350148</v>
      </c>
      <c r="BZ163" s="24">
        <f>VLOOKUP(tabCustoUnit[[#This Row],[Código do Posto]],tabParametros[],MATCH(tabCustoUnit[[#Headers],[ANO DA CCT]],tabParametros[#Headers],0),0)</f>
        <v>45658</v>
      </c>
      <c r="CA163" s="25" t="str">
        <f>VLOOKUP(tabCustoUnit[[#This Row],[Código do Posto]],tabParametros[],MATCH(tabCustoUnit[[#Headers],[Nº DE PEDIDO DA CCT]],tabParametros[#Headers],0),0)</f>
        <v>-</v>
      </c>
      <c r="CB163" s="25" t="str">
        <f>VLOOKUP(tabCustoUnit[[#This Row],[Código do Posto]],tabParametros[],MATCH(tabCustoUnit[[#Headers],[TERMO ADITIVO ALTERAÇÃO DA CCT]],tabParametros[#Headers],0),0)</f>
        <v>-</v>
      </c>
    </row>
    <row r="164" spans="1:80" x14ac:dyDescent="0.25">
      <c r="A164" s="20" t="s">
        <v>1500</v>
      </c>
      <c r="B164" t="s">
        <v>148</v>
      </c>
      <c r="C164" t="s">
        <v>1245</v>
      </c>
      <c r="D164" t="s">
        <v>148</v>
      </c>
      <c r="E164" s="20" t="s">
        <v>9</v>
      </c>
      <c r="F164" s="20" t="s">
        <v>10</v>
      </c>
      <c r="G164" s="21">
        <v>1649.12</v>
      </c>
      <c r="H164" s="21">
        <v>0</v>
      </c>
      <c r="I164" s="21">
        <v>0</v>
      </c>
      <c r="J164" s="21">
        <v>0</v>
      </c>
      <c r="K164" s="21">
        <v>0</v>
      </c>
      <c r="L164" s="21">
        <v>0</v>
      </c>
      <c r="M164" s="21">
        <v>0</v>
      </c>
      <c r="N164" s="21">
        <v>53.971200000000003</v>
      </c>
      <c r="O164" s="21">
        <f>SUM(tabCustoUnit[[#This Row],[Salário Base]:[Adicional de Acúmulo de função]])</f>
        <v>1703.0911999999998</v>
      </c>
      <c r="P164" s="21">
        <f>tabCustoUnit[[#This Row],[MODULO 1 - REMUNERAÇÃO ]]*SUMIFS(tabParametros[INSS],tabParametros[Código do Posto],tabCustoUnit[[#This Row],[Código do Posto]])</f>
        <v>340.61824000000001</v>
      </c>
      <c r="Q164" s="21">
        <f>tabCustoUnit[[#This Row],[MODULO 1 - REMUNERAÇÃO ]]*SUMIFS(tabParametros[SESI OU SESC],tabParametros[Código do Posto],tabCustoUnit[[#This Row],[Código do Posto]])</f>
        <v>25.546367999999998</v>
      </c>
      <c r="R164" s="21">
        <f>tabCustoUnit[[#This Row],[MODULO 1 - REMUNERAÇÃO ]]*SUMIFS(tabParametros[SENAI OU SENAC],tabParametros[Código do Posto],tabCustoUnit[[#This Row],[Código do Posto]])</f>
        <v>17.030911999999997</v>
      </c>
      <c r="S164" s="21">
        <f>tabCustoUnit[[#This Row],[MODULO 1 - REMUNERAÇÃO ]]*SUMIFS(tabParametros[INCRA],tabParametros[Código do Posto],tabCustoUnit[[#This Row],[Código do Posto]])</f>
        <v>3.4061823999999996</v>
      </c>
      <c r="T164" s="21">
        <f>tabCustoUnit[[#This Row],[MODULO 1 - REMUNERAÇÃO ]]*SUMIFS(tabParametros[Salário Educação],tabParametros[Código do Posto],tabCustoUnit[[#This Row],[Código do Posto]])</f>
        <v>42.577280000000002</v>
      </c>
      <c r="U164" s="21">
        <f>tabCustoUnit[[#This Row],[MODULO 1 - REMUNERAÇÃO ]]*SUMIFS(tabParametros[FGTS],tabParametros[Código do Posto],tabCustoUnit[[#This Row],[Código do Posto]])</f>
        <v>136.24729599999998</v>
      </c>
      <c r="V164" s="21">
        <f>tabCustoUnit[[#This Row],[MODULO 1 - REMUNERAÇÃO ]]*SUMIFS(tabParametros[RAT Ajustado],tabParametros[Código do Posto],tabCustoUnit[[#This Row],[Código do Posto]])</f>
        <v>68.123647999999989</v>
      </c>
      <c r="W164" s="21">
        <f>tabCustoUnit[[#This Row],[MODULO 1 - REMUNERAÇÃO ]]*SUMIFS(tabParametros[SEBRAE],tabParametros[Código do Posto],tabCustoUnit[[#This Row],[Código do Posto]])</f>
        <v>10.2185472</v>
      </c>
      <c r="X164" s="21">
        <f>SUM(tabCustoUnit[[#This Row],[INSS]:[SEBRAE]])</f>
        <v>643.76847359999999</v>
      </c>
      <c r="Y164" s="21">
        <f>tabCustoUnit[[#This Row],[MODULO 1 - REMUNERAÇÃO ]]*SUMIFS(tabParametros[13º salário (titular)],tabParametros[Código do Posto],tabCustoUnit[[#This Row],[Código do Posto]])</f>
        <v>141.92426666666665</v>
      </c>
      <c r="Z164" s="21">
        <f>tabCustoUnit[[#This Row],[MODULO 1 - REMUNERAÇÃO ]]*SUMIFS(tabParametros[Férias e Adicional de Férias (titular)],tabParametros[Código do Posto],tabCustoUnit[[#This Row],[Código do Posto]])</f>
        <v>189.23235555555553</v>
      </c>
      <c r="AA164" s="21">
        <f>IFERROR((tabCustoUnit[[#This Row],[Submódulo 2.1]]/tabCustoUnit[[#This Row],[MODULO 1 - REMUNERAÇÃO ]])*SUM(tabCustoUnit[[#This Row],[13º salário (titular)]:[Férias e Adicional de Férias (titular)]]),0)</f>
        <v>125.17720319999999</v>
      </c>
      <c r="AB164" s="21">
        <f>SUM(tabCustoUnit[[#This Row],[13º salário (titular)]:[Incidência do Submódulo 2.1 sobre 13º Salário, Férias e Adicional de Férias]])</f>
        <v>456.33382542222216</v>
      </c>
      <c r="AC164" s="22">
        <f>_xlfn.LET(_xlpm.VT,SUMIF(tabParametros[Código do Posto],tabCustoUnit[[#This Row],[Código do Posto]],tabParametros[Vale - Transporte])*2*20,
IF((_xlpm.VT-tabCustoUnit[[#This Row],[Salário Base]]*0.06)&gt;=0,(_xlpm.VT-tabCustoUnit[[#This Row],[Salário Base]]*0.06),0)
)</f>
        <v>157.05279999999999</v>
      </c>
      <c r="AD164" s="22">
        <f>IF(SUMIF(tabParametros[Código do Posto],tabCustoUnit[[#This Row],[Código do Posto]],tabParametros[Vale - Alimentação])&lt;=0,0,
SUMIF(tabParametros[Código do Posto],tabCustoUnit[[#This Row],[Código do Posto]],tabParametros[Vale - Alimentação])*20-1)</f>
        <v>582</v>
      </c>
      <c r="AE164" s="22">
        <f>SUMIF(tabParametros[Código do Posto],tabCustoUnit[[#This Row],[Código do Posto]],tabParametros[Cesta Básica])</f>
        <v>0</v>
      </c>
      <c r="AF164" s="22">
        <f>SUMIF(tabParametros[Código do Posto],tabCustoUnit[[#This Row],[Código do Posto]],tabParametros[PAF])</f>
        <v>51.86</v>
      </c>
      <c r="AG164" s="22">
        <f>SUMIF(tabParametros[Código do Posto],tabCustoUnit[[#This Row],[Código do Posto]],tabParametros[PQM])</f>
        <v>0</v>
      </c>
      <c r="AH164" s="22">
        <f>SUMIF(tabParametros[Código do Posto],tabCustoUnit[[#This Row],[Código do Posto]],tabParametros[PAT])</f>
        <v>0</v>
      </c>
      <c r="AI164" s="22">
        <f>SUMIF(tabParametros[Código do Posto],tabCustoUnit[[#This Row],[Código do Posto]],tabParametros[Seguro de Vida])</f>
        <v>3.36</v>
      </c>
      <c r="AJ164" s="22">
        <f>SUMIF(tabParametros[Código do Posto],tabCustoUnit[[#This Row],[Código do Posto]],tabParametros[Despesas de Viagem])</f>
        <v>0</v>
      </c>
      <c r="AK164" s="22">
        <f>SUM(tabCustoUnit[[#This Row],[Vale - Transporte (Descontada parcela do empregado)]:[Despesas de Viagem]])</f>
        <v>794.27279999999996</v>
      </c>
      <c r="AL164" s="22">
        <f>tabCustoUnit[[#This Row],[Submódulo 2.1]]+tabCustoUnit[[#This Row],[Submódulo 2.2]]+tabCustoUnit[[#This Row],[Submódulo 2.3]]</f>
        <v>1894.3750990222222</v>
      </c>
      <c r="AM164" s="22">
        <f>SUMIF(tabParametros[Código do Posto],tabCustoUnit[[#This Row],[Código do Posto]],tabParametros[Aviso Prévio Indenizado (API) e Reflexo do Aviso Prévio Indenizado])*tabCustoUnit[[#This Row],[MODULO 1 - REMUNERAÇÃO ]]</f>
        <v>11.941678632098764</v>
      </c>
      <c r="AN164" s="22">
        <f>SUMIF(tabParametros[Código do Posto],tabCustoUnit[[#This Row],[Código do Posto]],tabParametros[Incidência do FGTS sobre API e Reflexo do API])*tabCustoUnit[[#This Row],[MODULO 1 - REMUNERAÇÃO ]]</f>
        <v>0.9553342905679012</v>
      </c>
      <c r="AO164" s="22">
        <f>SUMIF(tabParametros[Código do Posto],tabCustoUnit[[#This Row],[Código do Posto]],tabParametros[Multa Rescisória do FGTS sobre o Aviso Prévio Indenizado])*tabCustoUnit[[#This Row],[MODULO 1 - REMUNERAÇÃO ]]</f>
        <v>0.38213371622716052</v>
      </c>
      <c r="AP164" s="22">
        <f>SUMIF(tabParametros[Código do Posto],tabCustoUnit[[#This Row],[Código do Posto]],tabParametros[Aviso Prévio Trabalhado - APT])*tabCustoUnit[[#This Row],[MODULO 1 - REMUNERAÇÃO ]]</f>
        <v>5.9608192000000004</v>
      </c>
      <c r="AQ164" s="22">
        <f>SUMIF(tabParametros[Código do Posto],tabCustoUnit[[#This Row],[Código do Posto]],tabParametros[Incidência dos encargos do submódulo 2.1 sobre Aviso Prévio Trabalhado])*tabCustoUnit[[#This Row],[MODULO 1 - REMUNERAÇÃO ]]</f>
        <v>2.2531896576000006</v>
      </c>
      <c r="AR164" s="22">
        <f>SUMIF(tabParametros[Código do Posto],tabCustoUnit[[#This Row],[Código do Posto]],tabParametros[Multa Rescisória do FGTS])*tabCustoUnit[[#This Row],[MODULO 1 - REMUNERAÇÃO ]]</f>
        <v>52.076744248888879</v>
      </c>
      <c r="AS164" s="22">
        <f>SUMIF(tabParametros[Código do Posto],tabCustoUnit[[#This Row],[Código do Posto]],tabParametros[Indenização Adicional (Art. 9º da Lei nº 7.238/84)])*tabCustoUnit[[#This Row],[MODULO 1 - REMUNERAÇÃO ]]</f>
        <v>1.4192426666666667</v>
      </c>
      <c r="AT164" s="22">
        <f>SUM(tabCustoUnit[[#This Row],[Aviso Prévio Indenizado (API) e Reflexo do Aviso Prévio Indenizado]:[Indenização Adicional (Art. 9º da Lei nº 7.238/84)]])</f>
        <v>74.989142412049375</v>
      </c>
      <c r="AU164" s="22">
        <f>SUMIF(tabParametros[Código do Posto],tabCustoUnit[[#This Row],[Código do Posto]],tabParametros[Ausência por Doença])*tabCustoUnit[[#This Row],[MODULO 1 - REMUNERAÇÃO ]]</f>
        <v>14.38165902222222</v>
      </c>
      <c r="AV164" s="22">
        <f>SUMIF(tabParametros[Código do Posto],tabCustoUnit[[#This Row],[Código do Posto]],tabParametros[Ausências Legais])*tabCustoUnit[[#This Row],[MODULO 1 - REMUNERAÇÃO ]]</f>
        <v>3.4534904888888884</v>
      </c>
      <c r="AW164" s="22">
        <f>SUMIF(tabParametros[Código do Posto],tabCustoUnit[[#This Row],[Código do Posto]],tabParametros[Licença Paternidade])*tabCustoUnit[[#This Row],[MODULO 1 - REMUNERAÇÃO ]]</f>
        <v>0.29094474666666664</v>
      </c>
      <c r="AX164" s="22">
        <f>SUMIF(tabParametros[Código do Posto],tabCustoUnit[[#This Row],[Código do Posto]],tabParametros[Ausência por Acidente de Trabalho])*tabCustoUnit[[#This Row],[MODULO 1 - REMUNERAÇÃO ]]</f>
        <v>0.35481066666666666</v>
      </c>
      <c r="AY164" s="22">
        <f>SUMIF(tabParametros[Código do Posto],tabCustoUnit[[#This Row],[Código do Posto]],tabParametros[Férias, Adicional de Férias e 13º  com empregada em gozo de Licença Maternidade])*tabCustoUnit[[#This Row],[MODULO 1 - REMUNERAÇÃO ]]</f>
        <v>2.2077108148148143</v>
      </c>
      <c r="AZ164" s="22">
        <f>SUMIF(tabParametros[Código do Posto],tabCustoUnit[[#This Row],[Código do Posto]],tabParametros[Incidência do Submódulo 2.1 sobre Ausências Legais])*tabCustoUnit[[#This Row],[MODULO 1 - REMUNERAÇÃO ]]</f>
        <v>7.8202967494400006</v>
      </c>
      <c r="BA164" s="22">
        <f>SUM(tabCustoUnit[[#This Row],[Ausência por Doença]:[Incidência do Submódulo 2.1 sobre Ausências Legais]])</f>
        <v>28.508912488699256</v>
      </c>
      <c r="BB164" s="22">
        <f>SUMIF(tabParametros[Código do Posto],tabCustoUnit[[#This Row],[Código do Posto]],tabParametros[Intervalo para Repouso ou Alimentação])</f>
        <v>0</v>
      </c>
      <c r="BC164" s="22">
        <f>tabCustoUnit[[#This Row],[Intervalo para Repouso ou Alimentação]]</f>
        <v>0</v>
      </c>
      <c r="BD164" s="22">
        <f>IF(VLOOKUP(tabCustoUnit[[#This Row],[Código do Posto]],PARAMETROS!$A$4:$BJ$255,7,0)&lt;=0,0,
IFERROR((tabCustoUnit[[#This Row],[MODULO 1 - REMUNERAÇÃO ]]*VLOOKUP(tabCustoUnit[[#This Row],[Código do Posto]],PARAMETROS!$A$4:$BJ$255,49,0))/(VLOOKUP(tabCustoUnit[[#This Row],[Código do Posto]],PARAMETROS!$A$4:$BJ$255,7,0)*VLOOKUP(tabCustoUnit[[#This Row],[Código do Posto]],PARAMETROS!$A$4:$BJ$255,8,0)),0)
)</f>
        <v>0</v>
      </c>
      <c r="BE164" s="22">
        <f>tabCustoUnit[[#This Row],[Suspensão Temporária do Contrato de Trabalho]]</f>
        <v>0</v>
      </c>
      <c r="BF164" s="22">
        <f>tabCustoUnit[[#This Row],[Submódulo 4.1]]+tabCustoUnit[[#This Row],[Submódulo 4.2]]+tabCustoUnit[[#This Row],[Submódulo 4.3]]</f>
        <v>28.508912488699256</v>
      </c>
      <c r="BG164" s="22">
        <f>VLOOKUP(tabCustoUnit[[#This Row],[Código do Posto]],tabParametros[],MATCH(tabCustoUnit[[#Headers],[Uniformes e EPIs]],tabParametros[#Headers],0),0)</f>
        <v>100.80916666666666</v>
      </c>
      <c r="BH164" s="22">
        <f>VLOOKUP(tabCustoUnit[[#This Row],[Código do Posto]],tabParametros[],MATCH(tabCustoUnit[[#Headers],[Materiais de Consumo]],tabParametros[#Headers],0),0)</f>
        <v>35.518212958583888</v>
      </c>
      <c r="BI164" s="22">
        <f>VLOOKUP(tabCustoUnit[[#This Row],[Código do Posto]],tabParametros[],MATCH(tabCustoUnit[[#Headers],[Máquinas e Equipamentos (depreciação)]],tabParametros[#Headers],0),0)</f>
        <v>64.529393914825576</v>
      </c>
      <c r="BJ164" s="22">
        <f>VLOOKUP(tabCustoUnit[[#This Row],[Código do Posto]],tabParametros[],MATCH(tabCustoUnit[[#Headers],[Produtos de Limpeza e Materiais de Higiene Pessoal]],tabParametros[#Headers],0),0)</f>
        <v>690.27153277931654</v>
      </c>
      <c r="BK164" s="22">
        <f>VLOOKUP(tabCustoUnit[[#This Row],[Código do Posto]],tabParametros[],MATCH(tabCustoUnit[[#Headers],[Outros (especificar)]],tabParametros[#Headers],0),0)</f>
        <v>0</v>
      </c>
      <c r="BL164" s="22">
        <f>SUM(tabCustoUnit[[#This Row],[Uniformes e EPIs]:[Outros (especificar)]])</f>
        <v>891.12830631939266</v>
      </c>
      <c r="BM164" s="22">
        <f>tabCustoUnit[[#This Row],[MODULO 1 - REMUNERAÇÃO ]]+tabCustoUnit[[#This Row],[MÓDULO 2 - Total Encargos e Benefícios mensais e diários]]+tabCustoUnit[[#This Row],[MÓDULO 3 – PROVISÃO PARA RESCISÃO]]+tabCustoUnit[[#This Row],[MÓDULO 4 – CUSTO DE REPOSIÇÃO DO PROFISSIONAL AUSENTE]]+tabCustoUnit[[#This Row],[MÓDULO 5 – INSUMOS DIVERSOS]]</f>
        <v>4592.0926602423633</v>
      </c>
      <c r="BN164" s="22">
        <f>VLOOKUP(tabCustoUnit[[#This Row],[Código do Posto]],tabParametros[],MATCH(tabCustoUnit[[#Headers],[Custos Indiretos]],tabParametros[#Headers],0),0)</f>
        <v>189.64880140242613</v>
      </c>
      <c r="BO164" s="22">
        <f>VLOOKUP(tabCustoUnit[[#This Row],[Código do Posto]],tabParametros[],MATCH(tabCustoUnit[[#Headers],[Lucro]],tabParametros[#Headers],0),0)</f>
        <v>159.30499317803796</v>
      </c>
      <c r="BP164" s="26">
        <f>((100/((1-tabCustoUnit[[#This Row],[Resumo de Alíquotas (PIS+CONFINS+ISS)]]))-100)*VLOOKUP(tabCustoUnit[[#This Row],[Código do Posto]],tabParametros[],MATCH(tabCustoUnit[[#Headers],[COFINS]],tabParametros[#Headers],0),0))/(tabCustoUnit[[#This Row],[Resumo de Alíquotas (PIS+CONFINS+ISS)]]*100)</f>
        <v>8.6609686609686695E-2</v>
      </c>
      <c r="BQ164" s="26">
        <f>((100/((100-(tabCustoUnit[[#This Row],[Resumo de Alíquotas (PIS+CONFINS+ISS)]]*100))%)-100)*VLOOKUP(tabCustoUnit[[#This Row],[Código do Posto]],tabParametros[],MATCH(tabCustoUnit[[#Headers],[PIS]],tabParametros[#Headers],0),0))/(tabCustoUnit[[#This Row],[Resumo de Alíquotas (PIS+CONFINS+ISS)]]*100)</f>
        <v>1.880341880341882E-2</v>
      </c>
      <c r="BR164" s="28">
        <f>VLOOKUP(tabCustoUnit[[#This Row],[Código do Posto]],tabParametros[],MATCH(tabCustoUnit[[#Headers],[ISS]],tabParametros[#Headers],0),0)</f>
        <v>0.03</v>
      </c>
      <c r="BS164" s="26">
        <f>(((100/((100-(tabCustoUnit[[#This Row],[Resumo de Alíquotas (PIS+CONFINS+ISS)]]*100))%)-100)*tabCustoUnit[[#This Row],[ISS]])/tabCustoUnit[[#This Row],[Resumo de Alíquotas (PIS+CONFINS+ISS)]])/100</f>
        <v>3.4188034188034219E-2</v>
      </c>
      <c r="BT164" s="26">
        <f>(VLOOKUP(tabCustoUnit[[#This Row],[Código do Posto]],tabParametros[],MATCH(tabCustoUnit[[#Headers],[COFINS]],tabParametros[#Headers],0),0)+
VLOOKUP(tabCustoUnit[[#This Row],[Código do Posto]],tabParametros[],MATCH(tabCustoUnit[[#Headers],[PIS]],tabParametros[#Headers],0),0)+
VLOOKUP(tabCustoUnit[[#This Row],[Código do Posto]],tabParametros[],MATCH(tabCustoUnit[[#Headers],[ISS]],tabParametros[#Headers],0),0))</f>
        <v>0.1225</v>
      </c>
      <c r="BU164" s="138">
        <f>tabCustoUnit[[#This Row],[COFINS]]+tabCustoUnit[[#This Row],[PIS]]+tabCustoUnit[[#This Row],[ISS (Conversão Alíquota s/ fatura)]]</f>
        <v>0.13960113960113973</v>
      </c>
      <c r="BV164" s="22">
        <f>(tabCustoUnit[[#This Row],[TOTAL MÓDULOS 1+2+3+4+5]]+tabCustoUnit[[#This Row],[Custos Indiretos]]+tabCustoUnit[[#This Row],[Lucro]])*tabCustoUnit[[#This Row],[PIS + COFINS + ISS (Total Conversão  Alíquota s/ Fatura)]]</f>
        <v>689.77571591543813</v>
      </c>
      <c r="BW164" s="22">
        <f>tabCustoUnit[[#This Row],[Custos Indiretos]]+tabCustoUnit[[#This Row],[Lucro]]+tabCustoUnit[[#This Row],[Valor dos Tributos (ISS, PIS, CONFINS)]]</f>
        <v>1038.7295104959021</v>
      </c>
      <c r="BX164" s="22">
        <f>tabCustoUnit[[#This Row],[TOTAL MÓDULOS 1+2+3+4+5]]+tabCustoUnit[[#This Row],[MÓDULO 6 – CUSTOS INDIRETOS, TRIBUTOS E LUCRO]]</f>
        <v>5630.8221707382654</v>
      </c>
      <c r="BY164" s="22">
        <f>tabCustoUnit[[#This Row],[CUSTO TOTAL MENSAL]]*12</f>
        <v>67569.866048859185</v>
      </c>
      <c r="BZ164" s="24">
        <f>VLOOKUP(tabCustoUnit[[#This Row],[Código do Posto]],tabParametros[],MATCH(tabCustoUnit[[#Headers],[ANO DA CCT]],tabParametros[#Headers],0),0)</f>
        <v>45658</v>
      </c>
      <c r="CA164" s="25" t="str">
        <f>VLOOKUP(tabCustoUnit[[#This Row],[Código do Posto]],tabParametros[],MATCH(tabCustoUnit[[#Headers],[Nº DE PEDIDO DA CCT]],tabParametros[#Headers],0),0)</f>
        <v>-</v>
      </c>
      <c r="CB164" s="25" t="str">
        <f>VLOOKUP(tabCustoUnit[[#This Row],[Código do Posto]],tabParametros[],MATCH(tabCustoUnit[[#Headers],[TERMO ADITIVO ALTERAÇÃO DA CCT]],tabParametros[#Headers],0),0)</f>
        <v>-</v>
      </c>
    </row>
    <row r="165" spans="1:80" x14ac:dyDescent="0.25">
      <c r="A165" s="20" t="s">
        <v>1501</v>
      </c>
      <c r="B165" t="s">
        <v>149</v>
      </c>
      <c r="C165" t="s">
        <v>1245</v>
      </c>
      <c r="D165" t="s">
        <v>66</v>
      </c>
      <c r="E165" s="20" t="s">
        <v>9</v>
      </c>
      <c r="F165" s="20" t="s">
        <v>10</v>
      </c>
      <c r="G165" s="21">
        <v>1596.28</v>
      </c>
      <c r="H165" s="21">
        <v>0</v>
      </c>
      <c r="I165" s="21">
        <v>0</v>
      </c>
      <c r="J165" s="21">
        <v>0</v>
      </c>
      <c r="K165" s="21">
        <v>0</v>
      </c>
      <c r="L165" s="21">
        <v>0</v>
      </c>
      <c r="M165" s="21">
        <v>0</v>
      </c>
      <c r="N165" s="21">
        <v>52.241900000000001</v>
      </c>
      <c r="O165" s="21">
        <f>SUM(tabCustoUnit[[#This Row],[Salário Base]:[Adicional de Acúmulo de função]])</f>
        <v>1648.5219</v>
      </c>
      <c r="P165" s="21">
        <f>tabCustoUnit[[#This Row],[MODULO 1 - REMUNERAÇÃO ]]*SUMIFS(tabParametros[INSS],tabParametros[Código do Posto],tabCustoUnit[[#This Row],[Código do Posto]])</f>
        <v>329.70438000000001</v>
      </c>
      <c r="Q165" s="21">
        <f>tabCustoUnit[[#This Row],[MODULO 1 - REMUNERAÇÃO ]]*SUMIFS(tabParametros[SESI OU SESC],tabParametros[Código do Posto],tabCustoUnit[[#This Row],[Código do Posto]])</f>
        <v>24.727828499999998</v>
      </c>
      <c r="R165" s="21">
        <f>tabCustoUnit[[#This Row],[MODULO 1 - REMUNERAÇÃO ]]*SUMIFS(tabParametros[SENAI OU SENAC],tabParametros[Código do Posto],tabCustoUnit[[#This Row],[Código do Posto]])</f>
        <v>16.485219000000001</v>
      </c>
      <c r="S165" s="21">
        <f>tabCustoUnit[[#This Row],[MODULO 1 - REMUNERAÇÃO ]]*SUMIFS(tabParametros[INCRA],tabParametros[Código do Posto],tabCustoUnit[[#This Row],[Código do Posto]])</f>
        <v>3.2970438</v>
      </c>
      <c r="T165" s="21">
        <f>tabCustoUnit[[#This Row],[MODULO 1 - REMUNERAÇÃO ]]*SUMIFS(tabParametros[Salário Educação],tabParametros[Código do Posto],tabCustoUnit[[#This Row],[Código do Posto]])</f>
        <v>41.213047500000002</v>
      </c>
      <c r="U165" s="21">
        <f>tabCustoUnit[[#This Row],[MODULO 1 - REMUNERAÇÃO ]]*SUMIFS(tabParametros[FGTS],tabParametros[Código do Posto],tabCustoUnit[[#This Row],[Código do Posto]])</f>
        <v>131.88175200000001</v>
      </c>
      <c r="V165" s="21">
        <f>tabCustoUnit[[#This Row],[MODULO 1 - REMUNERAÇÃO ]]*SUMIFS(tabParametros[RAT Ajustado],tabParametros[Código do Posto],tabCustoUnit[[#This Row],[Código do Posto]])</f>
        <v>65.940876000000003</v>
      </c>
      <c r="W165" s="21">
        <f>tabCustoUnit[[#This Row],[MODULO 1 - REMUNERAÇÃO ]]*SUMIFS(tabParametros[SEBRAE],tabParametros[Código do Posto],tabCustoUnit[[#This Row],[Código do Posto]])</f>
        <v>9.8911314000000008</v>
      </c>
      <c r="X165" s="21">
        <f>SUM(tabCustoUnit[[#This Row],[INSS]:[SEBRAE]])</f>
        <v>623.14127819999999</v>
      </c>
      <c r="Y165" s="21">
        <f>tabCustoUnit[[#This Row],[MODULO 1 - REMUNERAÇÃO ]]*SUMIFS(tabParametros[13º salário (titular)],tabParametros[Código do Posto],tabCustoUnit[[#This Row],[Código do Posto]])</f>
        <v>137.376825</v>
      </c>
      <c r="Z165" s="21">
        <f>tabCustoUnit[[#This Row],[MODULO 1 - REMUNERAÇÃO ]]*SUMIFS(tabParametros[Férias e Adicional de Férias (titular)],tabParametros[Código do Posto],tabCustoUnit[[#This Row],[Código do Posto]])</f>
        <v>183.16909999999999</v>
      </c>
      <c r="AA165" s="21">
        <f>IFERROR((tabCustoUnit[[#This Row],[Submódulo 2.1]]/tabCustoUnit[[#This Row],[MODULO 1 - REMUNERAÇÃO ]])*SUM(tabCustoUnit[[#This Row],[13º salário (titular)]:[Férias e Adicional de Férias (titular)]]),0)</f>
        <v>121.16635965</v>
      </c>
      <c r="AB165" s="21">
        <f>SUM(tabCustoUnit[[#This Row],[13º salário (titular)]:[Incidência do Submódulo 2.1 sobre 13º Salário, Férias e Adicional de Férias]])</f>
        <v>441.71228465000002</v>
      </c>
      <c r="AC165" s="22">
        <f>_xlfn.LET(_xlpm.VT,SUMIF(tabParametros[Código do Posto],tabCustoUnit[[#This Row],[Código do Posto]],tabParametros[Vale - Transporte])*2*20,
IF((_xlpm.VT-tabCustoUnit[[#This Row],[Salário Base]]*0.06)&gt;=0,(_xlpm.VT-tabCustoUnit[[#This Row],[Salário Base]]*0.06),0)
)</f>
        <v>160.22320000000002</v>
      </c>
      <c r="AD165" s="22">
        <f>IF(SUMIF(tabParametros[Código do Posto],tabCustoUnit[[#This Row],[Código do Posto]],tabParametros[Vale - Alimentação])&lt;=0,0,
SUMIF(tabParametros[Código do Posto],tabCustoUnit[[#This Row],[Código do Posto]],tabParametros[Vale - Alimentação])*20-1)</f>
        <v>582</v>
      </c>
      <c r="AE165" s="22">
        <f>SUMIF(tabParametros[Código do Posto],tabCustoUnit[[#This Row],[Código do Posto]],tabParametros[Cesta Básica])</f>
        <v>0</v>
      </c>
      <c r="AF165" s="22">
        <f>SUMIF(tabParametros[Código do Posto],tabCustoUnit[[#This Row],[Código do Posto]],tabParametros[PAF])</f>
        <v>57.07</v>
      </c>
      <c r="AG165" s="22">
        <f>SUMIF(tabParametros[Código do Posto],tabCustoUnit[[#This Row],[Código do Posto]],tabParametros[PQM])</f>
        <v>0</v>
      </c>
      <c r="AH165" s="22">
        <f>SUMIF(tabParametros[Código do Posto],tabCustoUnit[[#This Row],[Código do Posto]],tabParametros[PAT])</f>
        <v>0</v>
      </c>
      <c r="AI165" s="22">
        <f>SUMIF(tabParametros[Código do Posto],tabCustoUnit[[#This Row],[Código do Posto]],tabParametros[Seguro de Vida])</f>
        <v>3.36</v>
      </c>
      <c r="AJ165" s="22">
        <f>SUMIF(tabParametros[Código do Posto],tabCustoUnit[[#This Row],[Código do Posto]],tabParametros[Despesas de Viagem])</f>
        <v>0</v>
      </c>
      <c r="AK165" s="22">
        <f>SUM(tabCustoUnit[[#This Row],[Vale - Transporte (Descontada parcela do empregado)]:[Despesas de Viagem]])</f>
        <v>802.65320000000008</v>
      </c>
      <c r="AL165" s="22">
        <f>tabCustoUnit[[#This Row],[Submódulo 2.1]]+tabCustoUnit[[#This Row],[Submódulo 2.2]]+tabCustoUnit[[#This Row],[Submódulo 2.3]]</f>
        <v>1867.5067628500001</v>
      </c>
      <c r="AM165" s="22">
        <f>SUMIF(tabParametros[Código do Posto],tabCustoUnit[[#This Row],[Código do Posto]],tabParametros[Aviso Prévio Indenizado (API) e Reflexo do Aviso Prévio Indenizado])*tabCustoUnit[[#This Row],[MODULO 1 - REMUNERAÇÃO ]]</f>
        <v>11.559051416493055</v>
      </c>
      <c r="AN165" s="22">
        <f>SUMIF(tabParametros[Código do Posto],tabCustoUnit[[#This Row],[Código do Posto]],tabParametros[Incidência do FGTS sobre API e Reflexo do API])*tabCustoUnit[[#This Row],[MODULO 1 - REMUNERAÇÃO ]]</f>
        <v>0.92472411331944449</v>
      </c>
      <c r="AO165" s="22">
        <f>SUMIF(tabParametros[Código do Posto],tabCustoUnit[[#This Row],[Código do Posto]],tabParametros[Multa Rescisória do FGTS sobre o Aviso Prévio Indenizado])*tabCustoUnit[[#This Row],[MODULO 1 - REMUNERAÇÃO ]]</f>
        <v>0.36988964532777785</v>
      </c>
      <c r="AP165" s="22">
        <f>SUMIF(tabParametros[Código do Posto],tabCustoUnit[[#This Row],[Código do Posto]],tabParametros[Aviso Prévio Trabalhado - APT])*tabCustoUnit[[#This Row],[MODULO 1 - REMUNERAÇÃO ]]</f>
        <v>5.7698266500000006</v>
      </c>
      <c r="AQ165" s="22">
        <f>SUMIF(tabParametros[Código do Posto],tabCustoUnit[[#This Row],[Código do Posto]],tabParametros[Incidência dos encargos do submódulo 2.1 sobre Aviso Prévio Trabalhado])*tabCustoUnit[[#This Row],[MODULO 1 - REMUNERAÇÃO ]]</f>
        <v>2.1809944737000007</v>
      </c>
      <c r="AR165" s="22">
        <f>SUMIF(tabParametros[Código do Posto],tabCustoUnit[[#This Row],[Código do Posto]],tabParametros[Multa Rescisória do FGTS])*tabCustoUnit[[#This Row],[MODULO 1 - REMUNERAÇÃO ]]</f>
        <v>50.40813631999999</v>
      </c>
      <c r="AS165" s="22">
        <f>SUMIF(tabParametros[Código do Posto],tabCustoUnit[[#This Row],[Código do Posto]],tabParametros[Indenização Adicional (Art. 9º da Lei nº 7.238/84)])*tabCustoUnit[[#This Row],[MODULO 1 - REMUNERAÇÃO ]]</f>
        <v>1.3737682500000001</v>
      </c>
      <c r="AT165" s="22">
        <f>SUM(tabCustoUnit[[#This Row],[Aviso Prévio Indenizado (API) e Reflexo do Aviso Prévio Indenizado]:[Indenização Adicional (Art. 9º da Lei nº 7.238/84)]])</f>
        <v>72.586390868840269</v>
      </c>
      <c r="AU165" s="22">
        <f>SUMIF(tabParametros[Código do Posto],tabCustoUnit[[#This Row],[Código do Posto]],tabParametros[Ausência por Doença])*tabCustoUnit[[#This Row],[MODULO 1 - REMUNERAÇÃO ]]</f>
        <v>13.920851599999999</v>
      </c>
      <c r="AV165" s="22">
        <f>SUMIF(tabParametros[Código do Posto],tabCustoUnit[[#This Row],[Código do Posto]],tabParametros[Ausências Legais])*tabCustoUnit[[#This Row],[MODULO 1 - REMUNERAÇÃO ]]</f>
        <v>3.3428360749999997</v>
      </c>
      <c r="AW165" s="22">
        <f>SUMIF(tabParametros[Código do Posto],tabCustoUnit[[#This Row],[Código do Posto]],tabParametros[Licença Paternidade])*tabCustoUnit[[#This Row],[MODULO 1 - REMUNERAÇÃO ]]</f>
        <v>0.28162249125</v>
      </c>
      <c r="AX165" s="22">
        <f>SUMIF(tabParametros[Código do Posto],tabCustoUnit[[#This Row],[Código do Posto]],tabParametros[Ausência por Acidente de Trabalho])*tabCustoUnit[[#This Row],[MODULO 1 - REMUNERAÇÃO ]]</f>
        <v>0.34344206250000003</v>
      </c>
      <c r="AY165" s="22">
        <f>SUMIF(tabParametros[Código do Posto],tabCustoUnit[[#This Row],[Código do Posto]],tabParametros[Férias, Adicional de Férias e 13º  com empregada em gozo de Licença Maternidade])*tabCustoUnit[[#This Row],[MODULO 1 - REMUNERAÇÃO ]]</f>
        <v>2.1369728333333331</v>
      </c>
      <c r="AZ165" s="22">
        <f>SUMIF(tabParametros[Código do Posto],tabCustoUnit[[#This Row],[Código do Posto]],tabParametros[Incidência do Submódulo 2.1 sobre Ausências Legais])*tabCustoUnit[[#This Row],[MODULO 1 - REMUNERAÇÃO ]]</f>
        <v>7.5697240734675013</v>
      </c>
      <c r="BA165" s="22">
        <f>SUM(tabCustoUnit[[#This Row],[Ausência por Doença]:[Incidência do Submódulo 2.1 sobre Ausências Legais]])</f>
        <v>27.595449135550833</v>
      </c>
      <c r="BB165" s="22">
        <f>SUMIF(tabParametros[Código do Posto],tabCustoUnit[[#This Row],[Código do Posto]],tabParametros[Intervalo para Repouso ou Alimentação])</f>
        <v>0</v>
      </c>
      <c r="BC165" s="22">
        <f>tabCustoUnit[[#This Row],[Intervalo para Repouso ou Alimentação]]</f>
        <v>0</v>
      </c>
      <c r="BD165" s="22">
        <f>IF(VLOOKUP(tabCustoUnit[[#This Row],[Código do Posto]],PARAMETROS!$A$4:$BJ$255,7,0)&lt;=0,0,
IFERROR((tabCustoUnit[[#This Row],[MODULO 1 - REMUNERAÇÃO ]]*VLOOKUP(tabCustoUnit[[#This Row],[Código do Posto]],PARAMETROS!$A$4:$BJ$255,49,0))/(VLOOKUP(tabCustoUnit[[#This Row],[Código do Posto]],PARAMETROS!$A$4:$BJ$255,7,0)*VLOOKUP(tabCustoUnit[[#This Row],[Código do Posto]],PARAMETROS!$A$4:$BJ$255,8,0)),0)
)</f>
        <v>0</v>
      </c>
      <c r="BE165" s="22">
        <f>tabCustoUnit[[#This Row],[Suspensão Temporária do Contrato de Trabalho]]</f>
        <v>0</v>
      </c>
      <c r="BF165" s="22">
        <f>tabCustoUnit[[#This Row],[Submódulo 4.1]]+tabCustoUnit[[#This Row],[Submódulo 4.2]]+tabCustoUnit[[#This Row],[Submódulo 4.3]]</f>
        <v>27.595449135550833</v>
      </c>
      <c r="BG165" s="22">
        <f>VLOOKUP(tabCustoUnit[[#This Row],[Código do Posto]],tabParametros[],MATCH(tabCustoUnit[[#Headers],[Uniformes e EPIs]],tabParametros[#Headers],0),0)</f>
        <v>100.80916666666666</v>
      </c>
      <c r="BH165" s="22">
        <f>VLOOKUP(tabCustoUnit[[#This Row],[Código do Posto]],tabParametros[],MATCH(tabCustoUnit[[#Headers],[Materiais de Consumo]],tabParametros[#Headers],0),0)</f>
        <v>35.518212958583888</v>
      </c>
      <c r="BI165" s="22">
        <f>VLOOKUP(tabCustoUnit[[#This Row],[Código do Posto]],tabParametros[],MATCH(tabCustoUnit[[#Headers],[Máquinas e Equipamentos (depreciação)]],tabParametros[#Headers],0),0)</f>
        <v>64.529393914825576</v>
      </c>
      <c r="BJ165" s="22">
        <f>VLOOKUP(tabCustoUnit[[#This Row],[Código do Posto]],tabParametros[],MATCH(tabCustoUnit[[#Headers],[Produtos de Limpeza e Materiais de Higiene Pessoal]],tabParametros[#Headers],0),0)</f>
        <v>690.27153277931654</v>
      </c>
      <c r="BK165" s="22">
        <f>VLOOKUP(tabCustoUnit[[#This Row],[Código do Posto]],tabParametros[],MATCH(tabCustoUnit[[#Headers],[Outros (especificar)]],tabParametros[#Headers],0),0)</f>
        <v>0</v>
      </c>
      <c r="BL165" s="22">
        <f>SUM(tabCustoUnit[[#This Row],[Uniformes e EPIs]:[Outros (especificar)]])</f>
        <v>891.12830631939266</v>
      </c>
      <c r="BM165" s="22">
        <f>tabCustoUnit[[#This Row],[MODULO 1 - REMUNERAÇÃO ]]+tabCustoUnit[[#This Row],[MÓDULO 2 - Total Encargos e Benefícios mensais e diários]]+tabCustoUnit[[#This Row],[MÓDULO 3 – PROVISÃO PARA RESCISÃO]]+tabCustoUnit[[#This Row],[MÓDULO 4 – CUSTO DE REPOSIÇÃO DO PROFISSIONAL AUSENTE]]+tabCustoUnit[[#This Row],[MÓDULO 5 – INSUMOS DIVERSOS]]</f>
        <v>4507.3388091737834</v>
      </c>
      <c r="BN165" s="22">
        <f>VLOOKUP(tabCustoUnit[[#This Row],[Código do Posto]],tabParametros[],MATCH(tabCustoUnit[[#Headers],[Custos Indiretos]],tabParametros[#Headers],0),0)</f>
        <v>189.64880140242613</v>
      </c>
      <c r="BO165" s="22">
        <f>VLOOKUP(tabCustoUnit[[#This Row],[Código do Posto]],tabParametros[],MATCH(tabCustoUnit[[#Headers],[Lucro]],tabParametros[#Headers],0),0)</f>
        <v>159.30499317803796</v>
      </c>
      <c r="BP165" s="26">
        <f>((100/((1-tabCustoUnit[[#This Row],[Resumo de Alíquotas (PIS+CONFINS+ISS)]]))-100)*VLOOKUP(tabCustoUnit[[#This Row],[Código do Posto]],tabParametros[],MATCH(tabCustoUnit[[#Headers],[COFINS]],tabParametros[#Headers],0),0))/(tabCustoUnit[[#This Row],[Resumo de Alíquotas (PIS+CONFINS+ISS)]]*100)</f>
        <v>8.6609686609686695E-2</v>
      </c>
      <c r="BQ165" s="26">
        <f>((100/((100-(tabCustoUnit[[#This Row],[Resumo de Alíquotas (PIS+CONFINS+ISS)]]*100))%)-100)*VLOOKUP(tabCustoUnit[[#This Row],[Código do Posto]],tabParametros[],MATCH(tabCustoUnit[[#Headers],[PIS]],tabParametros[#Headers],0),0))/(tabCustoUnit[[#This Row],[Resumo de Alíquotas (PIS+CONFINS+ISS)]]*100)</f>
        <v>1.880341880341882E-2</v>
      </c>
      <c r="BR165" s="28">
        <f>VLOOKUP(tabCustoUnit[[#This Row],[Código do Posto]],tabParametros[],MATCH(tabCustoUnit[[#Headers],[ISS]],tabParametros[#Headers],0),0)</f>
        <v>0.03</v>
      </c>
      <c r="BS165" s="26">
        <f>(((100/((100-(tabCustoUnit[[#This Row],[Resumo de Alíquotas (PIS+CONFINS+ISS)]]*100))%)-100)*tabCustoUnit[[#This Row],[ISS]])/tabCustoUnit[[#This Row],[Resumo de Alíquotas (PIS+CONFINS+ISS)]])/100</f>
        <v>3.4188034188034219E-2</v>
      </c>
      <c r="BT165" s="26">
        <f>(VLOOKUP(tabCustoUnit[[#This Row],[Código do Posto]],tabParametros[],MATCH(tabCustoUnit[[#Headers],[COFINS]],tabParametros[#Headers],0),0)+
VLOOKUP(tabCustoUnit[[#This Row],[Código do Posto]],tabParametros[],MATCH(tabCustoUnit[[#Headers],[PIS]],tabParametros[#Headers],0),0)+
VLOOKUP(tabCustoUnit[[#This Row],[Código do Posto]],tabParametros[],MATCH(tabCustoUnit[[#Headers],[ISS]],tabParametros[#Headers],0),0))</f>
        <v>0.1225</v>
      </c>
      <c r="BU165" s="138">
        <f>tabCustoUnit[[#This Row],[COFINS]]+tabCustoUnit[[#This Row],[PIS]]+tabCustoUnit[[#This Row],[ISS (Conversão Alíquota s/ fatura)]]</f>
        <v>0.13960113960113973</v>
      </c>
      <c r="BV165" s="22">
        <f>(tabCustoUnit[[#This Row],[TOTAL MÓDULOS 1+2+3+4+5]]+tabCustoUnit[[#This Row],[Custos Indiretos]]+tabCustoUnit[[#This Row],[Lucro]])*tabCustoUnit[[#This Row],[PIS + COFINS + ISS (Total Conversão  Alíquota s/ Fatura)]]</f>
        <v>677.94398172067906</v>
      </c>
      <c r="BW165" s="22">
        <f>tabCustoUnit[[#This Row],[Custos Indiretos]]+tabCustoUnit[[#This Row],[Lucro]]+tabCustoUnit[[#This Row],[Valor dos Tributos (ISS, PIS, CONFINS)]]</f>
        <v>1026.897776301143</v>
      </c>
      <c r="BX165" s="22">
        <f>tabCustoUnit[[#This Row],[TOTAL MÓDULOS 1+2+3+4+5]]+tabCustoUnit[[#This Row],[MÓDULO 6 – CUSTOS INDIRETOS, TRIBUTOS E LUCRO]]</f>
        <v>5534.236585474926</v>
      </c>
      <c r="BY165" s="22">
        <f>tabCustoUnit[[#This Row],[CUSTO TOTAL MENSAL]]*12</f>
        <v>66410.839025699112</v>
      </c>
      <c r="BZ165" s="24">
        <f>VLOOKUP(tabCustoUnit[[#This Row],[Código do Posto]],tabParametros[],MATCH(tabCustoUnit[[#Headers],[ANO DA CCT]],tabParametros[#Headers],0),0)</f>
        <v>45658</v>
      </c>
      <c r="CA165" s="25" t="str">
        <f>VLOOKUP(tabCustoUnit[[#This Row],[Código do Posto]],tabParametros[],MATCH(tabCustoUnit[[#Headers],[Nº DE PEDIDO DA CCT]],tabParametros[#Headers],0),0)</f>
        <v>-</v>
      </c>
      <c r="CB165" s="25" t="str">
        <f>VLOOKUP(tabCustoUnit[[#This Row],[Código do Posto]],tabParametros[],MATCH(tabCustoUnit[[#Headers],[TERMO ADITIVO ALTERAÇÃO DA CCT]],tabParametros[#Headers],0),0)</f>
        <v>-</v>
      </c>
    </row>
    <row r="166" spans="1:80" x14ac:dyDescent="0.25">
      <c r="A166" s="20" t="s">
        <v>1502</v>
      </c>
      <c r="B166" t="s">
        <v>150</v>
      </c>
      <c r="C166" t="s">
        <v>1247</v>
      </c>
      <c r="D166" t="s">
        <v>1000</v>
      </c>
      <c r="E166" s="20" t="s">
        <v>9</v>
      </c>
      <c r="F166" s="20" t="s">
        <v>10</v>
      </c>
      <c r="G166" s="21">
        <v>544.17999999999995</v>
      </c>
      <c r="H166" s="21">
        <v>0</v>
      </c>
      <c r="I166" s="21">
        <v>0</v>
      </c>
      <c r="J166" s="21">
        <v>0</v>
      </c>
      <c r="K166" s="21">
        <v>0</v>
      </c>
      <c r="L166" s="21">
        <v>0</v>
      </c>
      <c r="M166" s="21">
        <v>0</v>
      </c>
      <c r="N166" s="21">
        <v>19.590499999999999</v>
      </c>
      <c r="O166" s="21">
        <f>SUM(tabCustoUnit[[#This Row],[Salário Base]:[Adicional de Acúmulo de função]])</f>
        <v>563.77049999999997</v>
      </c>
      <c r="P166" s="21">
        <f>tabCustoUnit[[#This Row],[MODULO 1 - REMUNERAÇÃO ]]*SUMIFS(tabParametros[INSS],tabParametros[Código do Posto],tabCustoUnit[[#This Row],[Código do Posto]])</f>
        <v>112.75409999999999</v>
      </c>
      <c r="Q166" s="21">
        <f>tabCustoUnit[[#This Row],[MODULO 1 - REMUNERAÇÃO ]]*SUMIFS(tabParametros[SESI OU SESC],tabParametros[Código do Posto],tabCustoUnit[[#This Row],[Código do Posto]])</f>
        <v>8.4565574999999988</v>
      </c>
      <c r="R166" s="21">
        <f>tabCustoUnit[[#This Row],[MODULO 1 - REMUNERAÇÃO ]]*SUMIFS(tabParametros[SENAI OU SENAC],tabParametros[Código do Posto],tabCustoUnit[[#This Row],[Código do Posto]])</f>
        <v>5.6377049999999995</v>
      </c>
      <c r="S166" s="21">
        <f>tabCustoUnit[[#This Row],[MODULO 1 - REMUNERAÇÃO ]]*SUMIFS(tabParametros[INCRA],tabParametros[Código do Posto],tabCustoUnit[[#This Row],[Código do Posto]])</f>
        <v>1.1275409999999999</v>
      </c>
      <c r="T166" s="21">
        <f>tabCustoUnit[[#This Row],[MODULO 1 - REMUNERAÇÃO ]]*SUMIFS(tabParametros[Salário Educação],tabParametros[Código do Posto],tabCustoUnit[[#This Row],[Código do Posto]])</f>
        <v>14.094262499999999</v>
      </c>
      <c r="U166" s="21">
        <f>tabCustoUnit[[#This Row],[MODULO 1 - REMUNERAÇÃO ]]*SUMIFS(tabParametros[FGTS],tabParametros[Código do Posto],tabCustoUnit[[#This Row],[Código do Posto]])</f>
        <v>45.101639999999996</v>
      </c>
      <c r="V166" s="21">
        <f>tabCustoUnit[[#This Row],[MODULO 1 - REMUNERAÇÃO ]]*SUMIFS(tabParametros[RAT Ajustado],tabParametros[Código do Posto],tabCustoUnit[[#This Row],[Código do Posto]])</f>
        <v>22.550819999999998</v>
      </c>
      <c r="W166" s="21">
        <f>tabCustoUnit[[#This Row],[MODULO 1 - REMUNERAÇÃO ]]*SUMIFS(tabParametros[SEBRAE],tabParametros[Código do Posto],tabCustoUnit[[#This Row],[Código do Posto]])</f>
        <v>3.3826229999999997</v>
      </c>
      <c r="X166" s="21">
        <f>SUM(tabCustoUnit[[#This Row],[INSS]:[SEBRAE]])</f>
        <v>213.10524899999996</v>
      </c>
      <c r="Y166" s="21">
        <f>tabCustoUnit[[#This Row],[MODULO 1 - REMUNERAÇÃO ]]*SUMIFS(tabParametros[13º salário (titular)],tabParametros[Código do Posto],tabCustoUnit[[#This Row],[Código do Posto]])</f>
        <v>46.980874999999997</v>
      </c>
      <c r="Z166" s="21">
        <f>tabCustoUnit[[#This Row],[MODULO 1 - REMUNERAÇÃO ]]*SUMIFS(tabParametros[Férias e Adicional de Férias (titular)],tabParametros[Código do Posto],tabCustoUnit[[#This Row],[Código do Posto]])</f>
        <v>62.641166666666663</v>
      </c>
      <c r="AA166" s="21">
        <f>IFERROR((tabCustoUnit[[#This Row],[Submódulo 2.1]]/tabCustoUnit[[#This Row],[MODULO 1 - REMUNERAÇÃO ]])*SUM(tabCustoUnit[[#This Row],[13º salário (titular)]:[Férias e Adicional de Férias (titular)]]),0)</f>
        <v>41.437131749999992</v>
      </c>
      <c r="AB166" s="21">
        <f>SUM(tabCustoUnit[[#This Row],[13º salário (titular)]:[Incidência do Submódulo 2.1 sobre 13º Salário, Férias e Adicional de Férias]])</f>
        <v>151.05917341666665</v>
      </c>
      <c r="AC166" s="22">
        <f>_xlfn.LET(_xlpm.VT,SUMIF(tabParametros[Código do Posto],tabCustoUnit[[#This Row],[Código do Posto]],tabParametros[Vale - Transporte])*2*20,
IF((_xlpm.VT-tabCustoUnit[[#This Row],[Salário Base]]*0.06)&gt;=0,(_xlpm.VT-tabCustoUnit[[#This Row],[Salário Base]]*0.06),0)
)</f>
        <v>223.3492</v>
      </c>
      <c r="AD166" s="22">
        <f>IF(SUMIF(tabParametros[Código do Posto],tabCustoUnit[[#This Row],[Código do Posto]],tabParametros[Vale - Alimentação])&lt;=0,0,
SUMIF(tabParametros[Código do Posto],tabCustoUnit[[#This Row],[Código do Posto]],tabParametros[Vale - Alimentação])*20-1)</f>
        <v>582</v>
      </c>
      <c r="AE166" s="22">
        <f>SUMIF(tabParametros[Código do Posto],tabCustoUnit[[#This Row],[Código do Posto]],tabParametros[Cesta Básica])</f>
        <v>0</v>
      </c>
      <c r="AF166" s="22">
        <f>SUMIF(tabParametros[Código do Posto],tabCustoUnit[[#This Row],[Código do Posto]],tabParametros[PAF])</f>
        <v>0</v>
      </c>
      <c r="AG166" s="22">
        <f>SUMIF(tabParametros[Código do Posto],tabCustoUnit[[#This Row],[Código do Posto]],tabParametros[PQM])</f>
        <v>15.07</v>
      </c>
      <c r="AH166" s="22">
        <f>SUMIF(tabParametros[Código do Posto],tabCustoUnit[[#This Row],[Código do Posto]],tabParametros[PAT])</f>
        <v>0</v>
      </c>
      <c r="AI166" s="22">
        <f>SUMIF(tabParametros[Código do Posto],tabCustoUnit[[#This Row],[Código do Posto]],tabParametros[Seguro de Vida])</f>
        <v>3.36</v>
      </c>
      <c r="AJ166" s="22">
        <f>SUMIF(tabParametros[Código do Posto],tabCustoUnit[[#This Row],[Código do Posto]],tabParametros[Despesas de Viagem])</f>
        <v>0</v>
      </c>
      <c r="AK166" s="22">
        <f>SUM(tabCustoUnit[[#This Row],[Vale - Transporte (Descontada parcela do empregado)]:[Despesas de Viagem]])</f>
        <v>823.77920000000006</v>
      </c>
      <c r="AL166" s="22">
        <f>tabCustoUnit[[#This Row],[Submódulo 2.1]]+tabCustoUnit[[#This Row],[Submódulo 2.2]]+tabCustoUnit[[#This Row],[Submódulo 2.3]]</f>
        <v>1187.9436224166666</v>
      </c>
      <c r="AM166" s="22">
        <f>SUMIF(tabParametros[Código do Posto],tabCustoUnit[[#This Row],[Código do Posto]],tabParametros[Aviso Prévio Indenizado (API) e Reflexo do Aviso Prévio Indenizado])*tabCustoUnit[[#This Row],[MODULO 1 - REMUNERAÇÃO ]]</f>
        <v>3.9530273735532404</v>
      </c>
      <c r="AN166" s="22">
        <f>SUMIF(tabParametros[Código do Posto],tabCustoUnit[[#This Row],[Código do Posto]],tabParametros[Incidência do FGTS sobre API e Reflexo do API])*tabCustoUnit[[#This Row],[MODULO 1 - REMUNERAÇÃO ]]</f>
        <v>0.31624218988425928</v>
      </c>
      <c r="AO166" s="22">
        <f>SUMIF(tabParametros[Código do Posto],tabCustoUnit[[#This Row],[Código do Posto]],tabParametros[Multa Rescisória do FGTS sobre o Aviso Prévio Indenizado])*tabCustoUnit[[#This Row],[MODULO 1 - REMUNERAÇÃO ]]</f>
        <v>0.12649687595370371</v>
      </c>
      <c r="AP166" s="22">
        <f>SUMIF(tabParametros[Código do Posto],tabCustoUnit[[#This Row],[Código do Posto]],tabParametros[Aviso Prévio Trabalhado - APT])*tabCustoUnit[[#This Row],[MODULO 1 - REMUNERAÇÃO ]]</f>
        <v>1.9731967500000003</v>
      </c>
      <c r="AQ166" s="22">
        <f>SUMIF(tabParametros[Código do Posto],tabCustoUnit[[#This Row],[Código do Posto]],tabParametros[Incidência dos encargos do submódulo 2.1 sobre Aviso Prévio Trabalhado])*tabCustoUnit[[#This Row],[MODULO 1 - REMUNERAÇÃO ]]</f>
        <v>0.74586837150000018</v>
      </c>
      <c r="AR166" s="22">
        <f>SUMIF(tabParametros[Código do Posto],tabCustoUnit[[#This Row],[Código do Posto]],tabParametros[Multa Rescisória do FGTS])*tabCustoUnit[[#This Row],[MODULO 1 - REMUNERAÇÃO ]]</f>
        <v>17.238849066666663</v>
      </c>
      <c r="AS166" s="22">
        <f>SUMIF(tabParametros[Código do Posto],tabCustoUnit[[#This Row],[Código do Posto]],tabParametros[Indenização Adicional (Art. 9º da Lei nº 7.238/84)])*tabCustoUnit[[#This Row],[MODULO 1 - REMUNERAÇÃO ]]</f>
        <v>0.46980875</v>
      </c>
      <c r="AT166" s="22">
        <f>SUM(tabCustoUnit[[#This Row],[Aviso Prévio Indenizado (API) e Reflexo do Aviso Prévio Indenizado]:[Indenização Adicional (Art. 9º da Lei nº 7.238/84)]])</f>
        <v>24.823489377557866</v>
      </c>
      <c r="AU166" s="22">
        <f>SUMIF(tabParametros[Código do Posto],tabCustoUnit[[#This Row],[Código do Posto]],tabParametros[Ausência por Doença])*tabCustoUnit[[#This Row],[MODULO 1 - REMUNERAÇÃO ]]</f>
        <v>4.7607286666666662</v>
      </c>
      <c r="AV166" s="22">
        <f>SUMIF(tabParametros[Código do Posto],tabCustoUnit[[#This Row],[Código do Posto]],tabParametros[Ausências Legais])*tabCustoUnit[[#This Row],[MODULO 1 - REMUNERAÇÃO ]]</f>
        <v>1.1432012916666665</v>
      </c>
      <c r="AW166" s="22">
        <f>SUMIF(tabParametros[Código do Posto],tabCustoUnit[[#This Row],[Código do Posto]],tabParametros[Licença Paternidade])*tabCustoUnit[[#This Row],[MODULO 1 - REMUNERAÇÃO ]]</f>
        <v>9.6310793749999998E-2</v>
      </c>
      <c r="AX166" s="22">
        <f>SUMIF(tabParametros[Código do Posto],tabCustoUnit[[#This Row],[Código do Posto]],tabParametros[Ausência por Acidente de Trabalho])*tabCustoUnit[[#This Row],[MODULO 1 - REMUNERAÇÃO ]]</f>
        <v>0.1174521875</v>
      </c>
      <c r="AY166" s="22">
        <f>SUMIF(tabParametros[Código do Posto],tabCustoUnit[[#This Row],[Código do Posto]],tabParametros[Férias, Adicional de Férias e 13º  com empregada em gozo de Licença Maternidade])*tabCustoUnit[[#This Row],[MODULO 1 - REMUNERAÇÃO ]]</f>
        <v>0.73081361111111109</v>
      </c>
      <c r="AZ166" s="22">
        <f>SUMIF(tabParametros[Código do Posto],tabCustoUnit[[#This Row],[Código do Posto]],tabParametros[Incidência do Submódulo 2.1 sobre Ausências Legais])*tabCustoUnit[[#This Row],[MODULO 1 - REMUNERAÇÃO ]]</f>
        <v>2.5887354761625003</v>
      </c>
      <c r="BA166" s="22">
        <f>SUM(tabCustoUnit[[#This Row],[Ausência por Doença]:[Incidência do Submódulo 2.1 sobre Ausências Legais]])</f>
        <v>9.4372420268569428</v>
      </c>
      <c r="BB166" s="22">
        <f>SUMIF(tabParametros[Código do Posto],tabCustoUnit[[#This Row],[Código do Posto]],tabParametros[Intervalo para Repouso ou Alimentação])</f>
        <v>0</v>
      </c>
      <c r="BC166" s="22">
        <f>tabCustoUnit[[#This Row],[Intervalo para Repouso ou Alimentação]]</f>
        <v>0</v>
      </c>
      <c r="BD166" s="22">
        <f>IF(VLOOKUP(tabCustoUnit[[#This Row],[Código do Posto]],PARAMETROS!$A$4:$BJ$255,7,0)&lt;=0,0,
IFERROR((tabCustoUnit[[#This Row],[MODULO 1 - REMUNERAÇÃO ]]*VLOOKUP(tabCustoUnit[[#This Row],[Código do Posto]],PARAMETROS!$A$4:$BJ$255,49,0))/(VLOOKUP(tabCustoUnit[[#This Row],[Código do Posto]],PARAMETROS!$A$4:$BJ$255,7,0)*VLOOKUP(tabCustoUnit[[#This Row],[Código do Posto]],PARAMETROS!$A$4:$BJ$255,8,0)),0)
)</f>
        <v>0</v>
      </c>
      <c r="BE166" s="22">
        <f>tabCustoUnit[[#This Row],[Suspensão Temporária do Contrato de Trabalho]]</f>
        <v>0</v>
      </c>
      <c r="BF166" s="22">
        <f>tabCustoUnit[[#This Row],[Submódulo 4.1]]+tabCustoUnit[[#This Row],[Submódulo 4.2]]+tabCustoUnit[[#This Row],[Submódulo 4.3]]</f>
        <v>9.4372420268569428</v>
      </c>
      <c r="BG166" s="22">
        <f>VLOOKUP(tabCustoUnit[[#This Row],[Código do Posto]],tabParametros[],MATCH(tabCustoUnit[[#Headers],[Uniformes e EPIs]],tabParametros[#Headers],0),0)</f>
        <v>62.806666666666665</v>
      </c>
      <c r="BH166" s="22">
        <f>VLOOKUP(tabCustoUnit[[#This Row],[Código do Posto]],tabParametros[],MATCH(tabCustoUnit[[#Headers],[Materiais de Consumo]],tabParametros[#Headers],0),0)</f>
        <v>12.108481690426325</v>
      </c>
      <c r="BI166" s="22">
        <f>VLOOKUP(tabCustoUnit[[#This Row],[Código do Posto]],tabParametros[],MATCH(tabCustoUnit[[#Headers],[Máquinas e Equipamentos (depreciação)]],tabParametros[#Headers],0),0)</f>
        <v>21.998657016417809</v>
      </c>
      <c r="BJ166" s="22">
        <f>VLOOKUP(tabCustoUnit[[#This Row],[Código do Posto]],tabParametros[],MATCH(tabCustoUnit[[#Headers],[Produtos de Limpeza e Materiais de Higiene Pessoal]],tabParametros[#Headers],0),0)</f>
        <v>235.31984072022155</v>
      </c>
      <c r="BK166" s="22">
        <f>VLOOKUP(tabCustoUnit[[#This Row],[Código do Posto]],tabParametros[],MATCH(tabCustoUnit[[#Headers],[Outros (especificar)]],tabParametros[#Headers],0),0)</f>
        <v>0</v>
      </c>
      <c r="BL166" s="22">
        <f>SUM(tabCustoUnit[[#This Row],[Uniformes e EPIs]:[Outros (especificar)]])</f>
        <v>332.23364609373232</v>
      </c>
      <c r="BM166" s="22">
        <f>tabCustoUnit[[#This Row],[MODULO 1 - REMUNERAÇÃO ]]+tabCustoUnit[[#This Row],[MÓDULO 2 - Total Encargos e Benefícios mensais e diários]]+tabCustoUnit[[#This Row],[MÓDULO 3 – PROVISÃO PARA RESCISÃO]]+tabCustoUnit[[#This Row],[MÓDULO 4 – CUSTO DE REPOSIÇÃO DO PROFISSIONAL AUSENTE]]+tabCustoUnit[[#This Row],[MÓDULO 5 – INSUMOS DIVERSOS]]</f>
        <v>2118.2084999148137</v>
      </c>
      <c r="BN166" s="22">
        <f>VLOOKUP(tabCustoUnit[[#This Row],[Código do Posto]],tabParametros[],MATCH(tabCustoUnit[[#Headers],[Custos Indiretos]],tabParametros[#Headers],0),0)</f>
        <v>189.64880140242613</v>
      </c>
      <c r="BO166" s="22">
        <f>VLOOKUP(tabCustoUnit[[#This Row],[Código do Posto]],tabParametros[],MATCH(tabCustoUnit[[#Headers],[Lucro]],tabParametros[#Headers],0),0)</f>
        <v>159.30499317803796</v>
      </c>
      <c r="BP166" s="26">
        <f>((100/((1-tabCustoUnit[[#This Row],[Resumo de Alíquotas (PIS+CONFINS+ISS)]]))-100)*VLOOKUP(tabCustoUnit[[#This Row],[Código do Posto]],tabParametros[],MATCH(tabCustoUnit[[#Headers],[COFINS]],tabParametros[#Headers],0),0))/(tabCustoUnit[[#This Row],[Resumo de Alíquotas (PIS+CONFINS+ISS)]]*100)</f>
        <v>8.6609686609686695E-2</v>
      </c>
      <c r="BQ166" s="26">
        <f>((100/((100-(tabCustoUnit[[#This Row],[Resumo de Alíquotas (PIS+CONFINS+ISS)]]*100))%)-100)*VLOOKUP(tabCustoUnit[[#This Row],[Código do Posto]],tabParametros[],MATCH(tabCustoUnit[[#Headers],[PIS]],tabParametros[#Headers],0),0))/(tabCustoUnit[[#This Row],[Resumo de Alíquotas (PIS+CONFINS+ISS)]]*100)</f>
        <v>1.880341880341882E-2</v>
      </c>
      <c r="BR166" s="28">
        <f>VLOOKUP(tabCustoUnit[[#This Row],[Código do Posto]],tabParametros[],MATCH(tabCustoUnit[[#Headers],[ISS]],tabParametros[#Headers],0),0)</f>
        <v>0.03</v>
      </c>
      <c r="BS166" s="26">
        <f>(((100/((100-(tabCustoUnit[[#This Row],[Resumo de Alíquotas (PIS+CONFINS+ISS)]]*100))%)-100)*tabCustoUnit[[#This Row],[ISS]])/tabCustoUnit[[#This Row],[Resumo de Alíquotas (PIS+CONFINS+ISS)]])/100</f>
        <v>3.4188034188034219E-2</v>
      </c>
      <c r="BT166" s="26">
        <f>(VLOOKUP(tabCustoUnit[[#This Row],[Código do Posto]],tabParametros[],MATCH(tabCustoUnit[[#Headers],[COFINS]],tabParametros[#Headers],0),0)+
VLOOKUP(tabCustoUnit[[#This Row],[Código do Posto]],tabParametros[],MATCH(tabCustoUnit[[#Headers],[PIS]],tabParametros[#Headers],0),0)+
VLOOKUP(tabCustoUnit[[#This Row],[Código do Posto]],tabParametros[],MATCH(tabCustoUnit[[#Headers],[ISS]],tabParametros[#Headers],0),0))</f>
        <v>0.1225</v>
      </c>
      <c r="BU166" s="138">
        <f>tabCustoUnit[[#This Row],[COFINS]]+tabCustoUnit[[#This Row],[PIS]]+tabCustoUnit[[#This Row],[ISS (Conversão Alíquota s/ fatura)]]</f>
        <v>0.13960113960113973</v>
      </c>
      <c r="BV166" s="22">
        <f>(tabCustoUnit[[#This Row],[TOTAL MÓDULOS 1+2+3+4+5]]+tabCustoUnit[[#This Row],[Custos Indiretos]]+tabCustoUnit[[#This Row],[Lucro]])*tabCustoUnit[[#This Row],[PIS + COFINS + ISS (Total Conversão  Alíquota s/ Fatura)]]</f>
        <v>344.41866789250349</v>
      </c>
      <c r="BW166" s="22">
        <f>tabCustoUnit[[#This Row],[Custos Indiretos]]+tabCustoUnit[[#This Row],[Lucro]]+tabCustoUnit[[#This Row],[Valor dos Tributos (ISS, PIS, CONFINS)]]</f>
        <v>693.37246247296753</v>
      </c>
      <c r="BX166" s="22">
        <f>tabCustoUnit[[#This Row],[TOTAL MÓDULOS 1+2+3+4+5]]+tabCustoUnit[[#This Row],[MÓDULO 6 – CUSTOS INDIRETOS, TRIBUTOS E LUCRO]]</f>
        <v>2811.5809623877813</v>
      </c>
      <c r="BY166" s="22">
        <f>tabCustoUnit[[#This Row],[CUSTO TOTAL MENSAL]]*12</f>
        <v>33738.971548653375</v>
      </c>
      <c r="BZ166" s="24">
        <f>VLOOKUP(tabCustoUnit[[#This Row],[Código do Posto]],tabParametros[],MATCH(tabCustoUnit[[#Headers],[ANO DA CCT]],tabParametros[#Headers],0),0)</f>
        <v>45658</v>
      </c>
      <c r="CA166" s="25" t="str">
        <f>VLOOKUP(tabCustoUnit[[#This Row],[Código do Posto]],tabParametros[],MATCH(tabCustoUnit[[#Headers],[Nº DE PEDIDO DA CCT]],tabParametros[#Headers],0),0)</f>
        <v>-</v>
      </c>
      <c r="CB166" s="25" t="str">
        <f>VLOOKUP(tabCustoUnit[[#This Row],[Código do Posto]],tabParametros[],MATCH(tabCustoUnit[[#Headers],[TERMO ADITIVO ALTERAÇÃO DA CCT]],tabParametros[#Headers],0),0)</f>
        <v>-</v>
      </c>
    </row>
    <row r="167" spans="1:80" x14ac:dyDescent="0.25">
      <c r="A167" s="20" t="s">
        <v>1503</v>
      </c>
      <c r="B167" t="s">
        <v>151</v>
      </c>
      <c r="C167" t="s">
        <v>1244</v>
      </c>
      <c r="D167" t="s">
        <v>1000</v>
      </c>
      <c r="E167" s="20" t="s">
        <v>9</v>
      </c>
      <c r="F167" s="20" t="s">
        <v>10</v>
      </c>
      <c r="G167" s="21">
        <v>798.14</v>
      </c>
      <c r="H167" s="21">
        <v>0</v>
      </c>
      <c r="I167" s="21">
        <v>0</v>
      </c>
      <c r="J167" s="21">
        <v>0</v>
      </c>
      <c r="K167" s="21">
        <v>0</v>
      </c>
      <c r="L167" s="21">
        <v>0</v>
      </c>
      <c r="M167" s="21">
        <v>0</v>
      </c>
      <c r="N167" s="21">
        <v>26.120899999999999</v>
      </c>
      <c r="O167" s="21">
        <f>SUM(tabCustoUnit[[#This Row],[Salário Base]:[Adicional de Acúmulo de função]])</f>
        <v>824.26089999999999</v>
      </c>
      <c r="P167" s="21">
        <f>tabCustoUnit[[#This Row],[MODULO 1 - REMUNERAÇÃO ]]*SUMIFS(tabParametros[INSS],tabParametros[Código do Posto],tabCustoUnit[[#This Row],[Código do Posto]])</f>
        <v>164.85218</v>
      </c>
      <c r="Q167" s="21">
        <f>tabCustoUnit[[#This Row],[MODULO 1 - REMUNERAÇÃO ]]*SUMIFS(tabParametros[SESI OU SESC],tabParametros[Código do Posto],tabCustoUnit[[#This Row],[Código do Posto]])</f>
        <v>12.363913499999999</v>
      </c>
      <c r="R167" s="21">
        <f>tabCustoUnit[[#This Row],[MODULO 1 - REMUNERAÇÃO ]]*SUMIFS(tabParametros[SENAI OU SENAC],tabParametros[Código do Posto],tabCustoUnit[[#This Row],[Código do Posto]])</f>
        <v>8.2426089999999999</v>
      </c>
      <c r="S167" s="21">
        <f>tabCustoUnit[[#This Row],[MODULO 1 - REMUNERAÇÃO ]]*SUMIFS(tabParametros[INCRA],tabParametros[Código do Posto],tabCustoUnit[[#This Row],[Código do Posto]])</f>
        <v>1.6485217999999999</v>
      </c>
      <c r="T167" s="21">
        <f>tabCustoUnit[[#This Row],[MODULO 1 - REMUNERAÇÃO ]]*SUMIFS(tabParametros[Salário Educação],tabParametros[Código do Posto],tabCustoUnit[[#This Row],[Código do Posto]])</f>
        <v>20.606522500000001</v>
      </c>
      <c r="U167" s="21">
        <f>tabCustoUnit[[#This Row],[MODULO 1 - REMUNERAÇÃO ]]*SUMIFS(tabParametros[FGTS],tabParametros[Código do Posto],tabCustoUnit[[#This Row],[Código do Posto]])</f>
        <v>65.940871999999999</v>
      </c>
      <c r="V167" s="21">
        <f>tabCustoUnit[[#This Row],[MODULO 1 - REMUNERAÇÃO ]]*SUMIFS(tabParametros[RAT Ajustado],tabParametros[Código do Posto],tabCustoUnit[[#This Row],[Código do Posto]])</f>
        <v>32.970435999999999</v>
      </c>
      <c r="W167" s="21">
        <f>tabCustoUnit[[#This Row],[MODULO 1 - REMUNERAÇÃO ]]*SUMIFS(tabParametros[SEBRAE],tabParametros[Código do Posto],tabCustoUnit[[#This Row],[Código do Posto]])</f>
        <v>4.9455654000000004</v>
      </c>
      <c r="X167" s="21">
        <f>SUM(tabCustoUnit[[#This Row],[INSS]:[SEBRAE]])</f>
        <v>311.57062020000001</v>
      </c>
      <c r="Y167" s="21">
        <f>tabCustoUnit[[#This Row],[MODULO 1 - REMUNERAÇÃO ]]*SUMIFS(tabParametros[13º salário (titular)],tabParametros[Código do Posto],tabCustoUnit[[#This Row],[Código do Posto]])</f>
        <v>68.688408333333328</v>
      </c>
      <c r="Z167" s="21">
        <f>tabCustoUnit[[#This Row],[MODULO 1 - REMUNERAÇÃO ]]*SUMIFS(tabParametros[Férias e Adicional de Férias (titular)],tabParametros[Código do Posto],tabCustoUnit[[#This Row],[Código do Posto]])</f>
        <v>91.584544444444433</v>
      </c>
      <c r="AA167" s="21">
        <f>IFERROR((tabCustoUnit[[#This Row],[Submódulo 2.1]]/tabCustoUnit[[#This Row],[MODULO 1 - REMUNERAÇÃO ]])*SUM(tabCustoUnit[[#This Row],[13º salário (titular)]:[Férias e Adicional de Férias (titular)]]),0)</f>
        <v>60.583176149999993</v>
      </c>
      <c r="AB167" s="21">
        <f>SUM(tabCustoUnit[[#This Row],[13º salário (titular)]:[Incidência do Submódulo 2.1 sobre 13º Salário, Férias e Adicional de Férias]])</f>
        <v>220.85612892777775</v>
      </c>
      <c r="AC167" s="22">
        <f>_xlfn.LET(_xlpm.VT,SUMIF(tabParametros[Código do Posto],tabCustoUnit[[#This Row],[Código do Posto]],tabParametros[Vale - Transporte])*2*20,
IF((_xlpm.VT-tabCustoUnit[[#This Row],[Salário Base]]*0.06)&gt;=0,(_xlpm.VT-tabCustoUnit[[#This Row],[Salário Base]]*0.06),0)
)</f>
        <v>208.11160000000001</v>
      </c>
      <c r="AD167" s="22">
        <f>IF(SUMIF(tabParametros[Código do Posto],tabCustoUnit[[#This Row],[Código do Posto]],tabParametros[Vale - Alimentação])&lt;=0,0,
SUMIF(tabParametros[Código do Posto],tabCustoUnit[[#This Row],[Código do Posto]],tabParametros[Vale - Alimentação])*20-1)</f>
        <v>582</v>
      </c>
      <c r="AE167" s="22">
        <f>SUMIF(tabParametros[Código do Posto],tabCustoUnit[[#This Row],[Código do Posto]],tabParametros[Cesta Básica])</f>
        <v>0</v>
      </c>
      <c r="AF167" s="22">
        <f>SUMIF(tabParametros[Código do Posto],tabCustoUnit[[#This Row],[Código do Posto]],tabParametros[PAF])</f>
        <v>0</v>
      </c>
      <c r="AG167" s="22">
        <f>SUMIF(tabParametros[Código do Posto],tabCustoUnit[[#This Row],[Código do Posto]],tabParametros[PQM])</f>
        <v>15.07</v>
      </c>
      <c r="AH167" s="22">
        <f>SUMIF(tabParametros[Código do Posto],tabCustoUnit[[#This Row],[Código do Posto]],tabParametros[PAT])</f>
        <v>0</v>
      </c>
      <c r="AI167" s="22">
        <f>SUMIF(tabParametros[Código do Posto],tabCustoUnit[[#This Row],[Código do Posto]],tabParametros[Seguro de Vida])</f>
        <v>3.36</v>
      </c>
      <c r="AJ167" s="22">
        <f>SUMIF(tabParametros[Código do Posto],tabCustoUnit[[#This Row],[Código do Posto]],tabParametros[Despesas de Viagem])</f>
        <v>0</v>
      </c>
      <c r="AK167" s="22">
        <f>SUM(tabCustoUnit[[#This Row],[Vale - Transporte (Descontada parcela do empregado)]:[Despesas de Viagem]])</f>
        <v>808.54160000000002</v>
      </c>
      <c r="AL167" s="22">
        <f>tabCustoUnit[[#This Row],[Submódulo 2.1]]+tabCustoUnit[[#This Row],[Submódulo 2.2]]+tabCustoUnit[[#This Row],[Submódulo 2.3]]</f>
        <v>1340.9683491277779</v>
      </c>
      <c r="AM167" s="22">
        <f>SUMIF(tabParametros[Código do Posto],tabCustoUnit[[#This Row],[Código do Posto]],tabParametros[Aviso Prévio Indenizado (API) e Reflexo do Aviso Prévio Indenizado])*tabCustoUnit[[#This Row],[MODULO 1 - REMUNERAÇÃO ]]</f>
        <v>5.7795253576581791</v>
      </c>
      <c r="AN167" s="22">
        <f>SUMIF(tabParametros[Código do Posto],tabCustoUnit[[#This Row],[Código do Posto]],tabParametros[Incidência do FGTS sobre API e Reflexo do API])*tabCustoUnit[[#This Row],[MODULO 1 - REMUNERAÇÃO ]]</f>
        <v>0.46236202861265435</v>
      </c>
      <c r="AO167" s="22">
        <f>SUMIF(tabParametros[Código do Posto],tabCustoUnit[[#This Row],[Código do Posto]],tabParametros[Multa Rescisória do FGTS sobre o Aviso Prévio Indenizado])*tabCustoUnit[[#This Row],[MODULO 1 - REMUNERAÇÃO ]]</f>
        <v>0.18494481144506175</v>
      </c>
      <c r="AP167" s="22">
        <f>SUMIF(tabParametros[Código do Posto],tabCustoUnit[[#This Row],[Código do Posto]],tabParametros[Aviso Prévio Trabalhado - APT])*tabCustoUnit[[#This Row],[MODULO 1 - REMUNERAÇÃO ]]</f>
        <v>2.8849131500000005</v>
      </c>
      <c r="AQ167" s="22">
        <f>SUMIF(tabParametros[Código do Posto],tabCustoUnit[[#This Row],[Código do Posto]],tabParametros[Incidência dos encargos do submódulo 2.1 sobre Aviso Prévio Trabalhado])*tabCustoUnit[[#This Row],[MODULO 1 - REMUNERAÇÃO ]]</f>
        <v>1.0904971707000004</v>
      </c>
      <c r="AR167" s="22">
        <f>SUMIF(tabParametros[Código do Posto],tabCustoUnit[[#This Row],[Código do Posto]],tabParametros[Multa Rescisória do FGTS])*tabCustoUnit[[#This Row],[MODULO 1 - REMUNERAÇÃO ]]</f>
        <v>25.204066631111107</v>
      </c>
      <c r="AS167" s="22">
        <f>SUMIF(tabParametros[Código do Posto],tabCustoUnit[[#This Row],[Código do Posto]],tabParametros[Indenização Adicional (Art. 9º da Lei nº 7.238/84)])*tabCustoUnit[[#This Row],[MODULO 1 - REMUNERAÇÃO ]]</f>
        <v>0.6868840833333334</v>
      </c>
      <c r="AT167" s="22">
        <f>SUM(tabCustoUnit[[#This Row],[Aviso Prévio Indenizado (API) e Reflexo do Aviso Prévio Indenizado]:[Indenização Adicional (Art. 9º da Lei nº 7.238/84)]])</f>
        <v>36.293193232860339</v>
      </c>
      <c r="AU167" s="22">
        <f>SUMIF(tabParametros[Código do Posto],tabCustoUnit[[#This Row],[Código do Posto]],tabParametros[Ausência por Doença])*tabCustoUnit[[#This Row],[MODULO 1 - REMUNERAÇÃO ]]</f>
        <v>6.9604253777777769</v>
      </c>
      <c r="AV167" s="22">
        <f>SUMIF(tabParametros[Código do Posto],tabCustoUnit[[#This Row],[Código do Posto]],tabParametros[Ausências Legais])*tabCustoUnit[[#This Row],[MODULO 1 - REMUNERAÇÃO ]]</f>
        <v>1.671417936111111</v>
      </c>
      <c r="AW167" s="22">
        <f>SUMIF(tabParametros[Código do Posto],tabCustoUnit[[#This Row],[Código do Posto]],tabParametros[Licença Paternidade])*tabCustoUnit[[#This Row],[MODULO 1 - REMUNERAÇÃO ]]</f>
        <v>0.14081123708333332</v>
      </c>
      <c r="AX167" s="22">
        <f>SUMIF(tabParametros[Código do Posto],tabCustoUnit[[#This Row],[Código do Posto]],tabParametros[Ausência por Acidente de Trabalho])*tabCustoUnit[[#This Row],[MODULO 1 - REMUNERAÇÃO ]]</f>
        <v>0.17172102083333335</v>
      </c>
      <c r="AY167" s="22">
        <f>SUMIF(tabParametros[Código do Posto],tabCustoUnit[[#This Row],[Código do Posto]],tabParametros[Férias, Adicional de Férias e 13º  com empregada em gozo de Licença Maternidade])*tabCustoUnit[[#This Row],[MODULO 1 - REMUNERAÇÃO ]]</f>
        <v>1.0684863518518517</v>
      </c>
      <c r="AZ167" s="22">
        <f>SUMIF(tabParametros[Código do Posto],tabCustoUnit[[#This Row],[Código do Posto]],tabParametros[Incidência do Submódulo 2.1 sobre Ausências Legais])*tabCustoUnit[[#This Row],[MODULO 1 - REMUNERAÇÃO ]]</f>
        <v>3.7848618071425006</v>
      </c>
      <c r="BA167" s="22">
        <f>SUM(tabCustoUnit[[#This Row],[Ausência por Doença]:[Incidência do Submódulo 2.1 sobre Ausências Legais]])</f>
        <v>13.797723730799909</v>
      </c>
      <c r="BB167" s="22">
        <f>SUMIF(tabParametros[Código do Posto],tabCustoUnit[[#This Row],[Código do Posto]],tabParametros[Intervalo para Repouso ou Alimentação])</f>
        <v>0</v>
      </c>
      <c r="BC167" s="22">
        <f>tabCustoUnit[[#This Row],[Intervalo para Repouso ou Alimentação]]</f>
        <v>0</v>
      </c>
      <c r="BD167" s="22">
        <f>IF(VLOOKUP(tabCustoUnit[[#This Row],[Código do Posto]],PARAMETROS!$A$4:$BJ$255,7,0)&lt;=0,0,
IFERROR((tabCustoUnit[[#This Row],[MODULO 1 - REMUNERAÇÃO ]]*VLOOKUP(tabCustoUnit[[#This Row],[Código do Posto]],PARAMETROS!$A$4:$BJ$255,49,0))/(VLOOKUP(tabCustoUnit[[#This Row],[Código do Posto]],PARAMETROS!$A$4:$BJ$255,7,0)*VLOOKUP(tabCustoUnit[[#This Row],[Código do Posto]],PARAMETROS!$A$4:$BJ$255,8,0)),0)
)</f>
        <v>0</v>
      </c>
      <c r="BE167" s="22">
        <f>tabCustoUnit[[#This Row],[Suspensão Temporária do Contrato de Trabalho]]</f>
        <v>0</v>
      </c>
      <c r="BF167" s="22">
        <f>tabCustoUnit[[#This Row],[Submódulo 4.1]]+tabCustoUnit[[#This Row],[Submódulo 4.2]]+tabCustoUnit[[#This Row],[Submódulo 4.3]]</f>
        <v>13.797723730799909</v>
      </c>
      <c r="BG167" s="22">
        <f>VLOOKUP(tabCustoUnit[[#This Row],[Código do Posto]],tabParametros[],MATCH(tabCustoUnit[[#Headers],[Uniformes e EPIs]],tabParametros[#Headers],0),0)</f>
        <v>62.806666666666665</v>
      </c>
      <c r="BH167" s="22">
        <f>VLOOKUP(tabCustoUnit[[#This Row],[Código do Posto]],tabParametros[],MATCH(tabCustoUnit[[#Headers],[Materiais de Consumo]],tabParametros[#Headers],0),0)</f>
        <v>17.759106479291944</v>
      </c>
      <c r="BI167" s="22">
        <f>VLOOKUP(tabCustoUnit[[#This Row],[Código do Posto]],tabParametros[],MATCH(tabCustoUnit[[#Headers],[Máquinas e Equipamentos (depreciação)]],tabParametros[#Headers],0),0)</f>
        <v>32.264696957412788</v>
      </c>
      <c r="BJ167" s="22">
        <f>VLOOKUP(tabCustoUnit[[#This Row],[Código do Posto]],tabParametros[],MATCH(tabCustoUnit[[#Headers],[Produtos de Limpeza e Materiais de Higiene Pessoal]],tabParametros[#Headers],0),0)</f>
        <v>345.13576638965827</v>
      </c>
      <c r="BK167" s="22">
        <f>VLOOKUP(tabCustoUnit[[#This Row],[Código do Posto]],tabParametros[],MATCH(tabCustoUnit[[#Headers],[Outros (especificar)]],tabParametros[#Headers],0),0)</f>
        <v>0</v>
      </c>
      <c r="BL167" s="22">
        <f>SUM(tabCustoUnit[[#This Row],[Uniformes e EPIs]:[Outros (especificar)]])</f>
        <v>457.96623649302967</v>
      </c>
      <c r="BM167" s="22">
        <f>tabCustoUnit[[#This Row],[MODULO 1 - REMUNERAÇÃO ]]+tabCustoUnit[[#This Row],[MÓDULO 2 - Total Encargos e Benefícios mensais e diários]]+tabCustoUnit[[#This Row],[MÓDULO 3 – PROVISÃO PARA RESCISÃO]]+tabCustoUnit[[#This Row],[MÓDULO 4 – CUSTO DE REPOSIÇÃO DO PROFISSIONAL AUSENTE]]+tabCustoUnit[[#This Row],[MÓDULO 5 – INSUMOS DIVERSOS]]</f>
        <v>2673.2864025844674</v>
      </c>
      <c r="BN167" s="22">
        <f>VLOOKUP(tabCustoUnit[[#This Row],[Código do Posto]],tabParametros[],MATCH(tabCustoUnit[[#Headers],[Custos Indiretos]],tabParametros[#Headers],0),0)</f>
        <v>189.64880140242613</v>
      </c>
      <c r="BO167" s="22">
        <f>VLOOKUP(tabCustoUnit[[#This Row],[Código do Posto]],tabParametros[],MATCH(tabCustoUnit[[#Headers],[Lucro]],tabParametros[#Headers],0),0)</f>
        <v>159.30499317803796</v>
      </c>
      <c r="BP167" s="26">
        <f>((100/((1-tabCustoUnit[[#This Row],[Resumo de Alíquotas (PIS+CONFINS+ISS)]]))-100)*VLOOKUP(tabCustoUnit[[#This Row],[Código do Posto]],tabParametros[],MATCH(tabCustoUnit[[#Headers],[COFINS]],tabParametros[#Headers],0),0))/(tabCustoUnit[[#This Row],[Resumo de Alíquotas (PIS+CONFINS+ISS)]]*100)</f>
        <v>8.6609686609686695E-2</v>
      </c>
      <c r="BQ167" s="26">
        <f>((100/((100-(tabCustoUnit[[#This Row],[Resumo de Alíquotas (PIS+CONFINS+ISS)]]*100))%)-100)*VLOOKUP(tabCustoUnit[[#This Row],[Código do Posto]],tabParametros[],MATCH(tabCustoUnit[[#Headers],[PIS]],tabParametros[#Headers],0),0))/(tabCustoUnit[[#This Row],[Resumo de Alíquotas (PIS+CONFINS+ISS)]]*100)</f>
        <v>1.880341880341882E-2</v>
      </c>
      <c r="BR167" s="28">
        <f>VLOOKUP(tabCustoUnit[[#This Row],[Código do Posto]],tabParametros[],MATCH(tabCustoUnit[[#Headers],[ISS]],tabParametros[#Headers],0),0)</f>
        <v>0.03</v>
      </c>
      <c r="BS167" s="26">
        <f>(((100/((100-(tabCustoUnit[[#This Row],[Resumo de Alíquotas (PIS+CONFINS+ISS)]]*100))%)-100)*tabCustoUnit[[#This Row],[ISS]])/tabCustoUnit[[#This Row],[Resumo de Alíquotas (PIS+CONFINS+ISS)]])/100</f>
        <v>3.4188034188034219E-2</v>
      </c>
      <c r="BT167" s="26">
        <f>(VLOOKUP(tabCustoUnit[[#This Row],[Código do Posto]],tabParametros[],MATCH(tabCustoUnit[[#Headers],[COFINS]],tabParametros[#Headers],0),0)+
VLOOKUP(tabCustoUnit[[#This Row],[Código do Posto]],tabParametros[],MATCH(tabCustoUnit[[#Headers],[PIS]],tabParametros[#Headers],0),0)+
VLOOKUP(tabCustoUnit[[#This Row],[Código do Posto]],tabParametros[],MATCH(tabCustoUnit[[#Headers],[ISS]],tabParametros[#Headers],0),0))</f>
        <v>0.1225</v>
      </c>
      <c r="BU167" s="138">
        <f>tabCustoUnit[[#This Row],[COFINS]]+tabCustoUnit[[#This Row],[PIS]]+tabCustoUnit[[#This Row],[ISS (Conversão Alíquota s/ fatura)]]</f>
        <v>0.13960113960113973</v>
      </c>
      <c r="BV167" s="22">
        <f>(tabCustoUnit[[#This Row],[TOTAL MÓDULOS 1+2+3+4+5]]+tabCustoUnit[[#This Row],[Custos Indiretos]]+tabCustoUnit[[#This Row],[Lucro]])*tabCustoUnit[[#This Row],[PIS + COFINS + ISS (Total Conversão  Alíquota s/ Fatura)]]</f>
        <v>421.90817567259768</v>
      </c>
      <c r="BW167" s="22">
        <f>tabCustoUnit[[#This Row],[Custos Indiretos]]+tabCustoUnit[[#This Row],[Lucro]]+tabCustoUnit[[#This Row],[Valor dos Tributos (ISS, PIS, CONFINS)]]</f>
        <v>770.86197025306183</v>
      </c>
      <c r="BX167" s="22">
        <f>tabCustoUnit[[#This Row],[TOTAL MÓDULOS 1+2+3+4+5]]+tabCustoUnit[[#This Row],[MÓDULO 6 – CUSTOS INDIRETOS, TRIBUTOS E LUCRO]]</f>
        <v>3444.1483728375292</v>
      </c>
      <c r="BY167" s="22">
        <f>tabCustoUnit[[#This Row],[CUSTO TOTAL MENSAL]]*12</f>
        <v>41329.780474050349</v>
      </c>
      <c r="BZ167" s="24">
        <f>VLOOKUP(tabCustoUnit[[#This Row],[Código do Posto]],tabParametros[],MATCH(tabCustoUnit[[#Headers],[ANO DA CCT]],tabParametros[#Headers],0),0)</f>
        <v>45658</v>
      </c>
      <c r="CA167" s="25" t="str">
        <f>VLOOKUP(tabCustoUnit[[#This Row],[Código do Posto]],tabParametros[],MATCH(tabCustoUnit[[#Headers],[Nº DE PEDIDO DA CCT]],tabParametros[#Headers],0),0)</f>
        <v>-</v>
      </c>
      <c r="CB167" s="25" t="str">
        <f>VLOOKUP(tabCustoUnit[[#This Row],[Código do Posto]],tabParametros[],MATCH(tabCustoUnit[[#Headers],[TERMO ADITIVO ALTERAÇÃO DA CCT]],tabParametros[#Headers],0),0)</f>
        <v>-</v>
      </c>
    </row>
    <row r="168" spans="1:80" x14ac:dyDescent="0.25">
      <c r="A168" s="20" t="s">
        <v>1504</v>
      </c>
      <c r="B168" t="s">
        <v>152</v>
      </c>
      <c r="C168" t="s">
        <v>1244</v>
      </c>
      <c r="D168" t="s">
        <v>1026</v>
      </c>
      <c r="E168" s="20" t="s">
        <v>9</v>
      </c>
      <c r="F168" s="20" t="s">
        <v>10</v>
      </c>
      <c r="G168" s="21">
        <v>798.14</v>
      </c>
      <c r="H168" s="21">
        <v>0</v>
      </c>
      <c r="I168" s="21">
        <v>0</v>
      </c>
      <c r="J168" s="21">
        <v>0</v>
      </c>
      <c r="K168" s="21">
        <v>0</v>
      </c>
      <c r="L168" s="21">
        <v>0</v>
      </c>
      <c r="M168" s="21">
        <v>0</v>
      </c>
      <c r="N168" s="21">
        <v>26.120899999999999</v>
      </c>
      <c r="O168" s="21">
        <f>SUM(tabCustoUnit[[#This Row],[Salário Base]:[Adicional de Acúmulo de função]])</f>
        <v>824.26089999999999</v>
      </c>
      <c r="P168" s="21">
        <f>tabCustoUnit[[#This Row],[MODULO 1 - REMUNERAÇÃO ]]*SUMIFS(tabParametros[INSS],tabParametros[Código do Posto],tabCustoUnit[[#This Row],[Código do Posto]])</f>
        <v>164.85218</v>
      </c>
      <c r="Q168" s="21">
        <f>tabCustoUnit[[#This Row],[MODULO 1 - REMUNERAÇÃO ]]*SUMIFS(tabParametros[SESI OU SESC],tabParametros[Código do Posto],tabCustoUnit[[#This Row],[Código do Posto]])</f>
        <v>12.363913499999999</v>
      </c>
      <c r="R168" s="21">
        <f>tabCustoUnit[[#This Row],[MODULO 1 - REMUNERAÇÃO ]]*SUMIFS(tabParametros[SENAI OU SENAC],tabParametros[Código do Posto],tabCustoUnit[[#This Row],[Código do Posto]])</f>
        <v>8.2426089999999999</v>
      </c>
      <c r="S168" s="21">
        <f>tabCustoUnit[[#This Row],[MODULO 1 - REMUNERAÇÃO ]]*SUMIFS(tabParametros[INCRA],tabParametros[Código do Posto],tabCustoUnit[[#This Row],[Código do Posto]])</f>
        <v>1.6485217999999999</v>
      </c>
      <c r="T168" s="21">
        <f>tabCustoUnit[[#This Row],[MODULO 1 - REMUNERAÇÃO ]]*SUMIFS(tabParametros[Salário Educação],tabParametros[Código do Posto],tabCustoUnit[[#This Row],[Código do Posto]])</f>
        <v>20.606522500000001</v>
      </c>
      <c r="U168" s="21">
        <f>tabCustoUnit[[#This Row],[MODULO 1 - REMUNERAÇÃO ]]*SUMIFS(tabParametros[FGTS],tabParametros[Código do Posto],tabCustoUnit[[#This Row],[Código do Posto]])</f>
        <v>65.940871999999999</v>
      </c>
      <c r="V168" s="21">
        <f>tabCustoUnit[[#This Row],[MODULO 1 - REMUNERAÇÃO ]]*SUMIFS(tabParametros[RAT Ajustado],tabParametros[Código do Posto],tabCustoUnit[[#This Row],[Código do Posto]])</f>
        <v>32.970435999999999</v>
      </c>
      <c r="W168" s="21">
        <f>tabCustoUnit[[#This Row],[MODULO 1 - REMUNERAÇÃO ]]*SUMIFS(tabParametros[SEBRAE],tabParametros[Código do Posto],tabCustoUnit[[#This Row],[Código do Posto]])</f>
        <v>4.9455654000000004</v>
      </c>
      <c r="X168" s="21">
        <f>SUM(tabCustoUnit[[#This Row],[INSS]:[SEBRAE]])</f>
        <v>311.57062020000001</v>
      </c>
      <c r="Y168" s="21">
        <f>tabCustoUnit[[#This Row],[MODULO 1 - REMUNERAÇÃO ]]*SUMIFS(tabParametros[13º salário (titular)],tabParametros[Código do Posto],tabCustoUnit[[#This Row],[Código do Posto]])</f>
        <v>68.688408333333328</v>
      </c>
      <c r="Z168" s="21">
        <f>tabCustoUnit[[#This Row],[MODULO 1 - REMUNERAÇÃO ]]*SUMIFS(tabParametros[Férias e Adicional de Férias (titular)],tabParametros[Código do Posto],tabCustoUnit[[#This Row],[Código do Posto]])</f>
        <v>91.584544444444433</v>
      </c>
      <c r="AA168" s="21">
        <f>IFERROR((tabCustoUnit[[#This Row],[Submódulo 2.1]]/tabCustoUnit[[#This Row],[MODULO 1 - REMUNERAÇÃO ]])*SUM(tabCustoUnit[[#This Row],[13º salário (titular)]:[Férias e Adicional de Férias (titular)]]),0)</f>
        <v>60.583176149999993</v>
      </c>
      <c r="AB168" s="21">
        <f>SUM(tabCustoUnit[[#This Row],[13º salário (titular)]:[Incidência do Submódulo 2.1 sobre 13º Salário, Férias e Adicional de Férias]])</f>
        <v>220.85612892777775</v>
      </c>
      <c r="AC168" s="22">
        <f>_xlfn.LET(_xlpm.VT,SUMIF(tabParametros[Código do Posto],tabCustoUnit[[#This Row],[Código do Posto]],tabParametros[Vale - Transporte])*2*20,
IF((_xlpm.VT-tabCustoUnit[[#This Row],[Salário Base]]*0.06)&gt;=0,(_xlpm.VT-tabCustoUnit[[#This Row],[Salário Base]]*0.06),0)
)</f>
        <v>208.11160000000001</v>
      </c>
      <c r="AD168" s="22">
        <f>IF(SUMIF(tabParametros[Código do Posto],tabCustoUnit[[#This Row],[Código do Posto]],tabParametros[Vale - Alimentação])&lt;=0,0,
SUMIF(tabParametros[Código do Posto],tabCustoUnit[[#This Row],[Código do Posto]],tabParametros[Vale - Alimentação])*20-1)</f>
        <v>582</v>
      </c>
      <c r="AE168" s="22">
        <f>SUMIF(tabParametros[Código do Posto],tabCustoUnit[[#This Row],[Código do Posto]],tabParametros[Cesta Básica])</f>
        <v>0</v>
      </c>
      <c r="AF168" s="22">
        <f>SUMIF(tabParametros[Código do Posto],tabCustoUnit[[#This Row],[Código do Posto]],tabParametros[PAF])</f>
        <v>0</v>
      </c>
      <c r="AG168" s="22">
        <f>SUMIF(tabParametros[Código do Posto],tabCustoUnit[[#This Row],[Código do Posto]],tabParametros[PQM])</f>
        <v>15.07</v>
      </c>
      <c r="AH168" s="22">
        <f>SUMIF(tabParametros[Código do Posto],tabCustoUnit[[#This Row],[Código do Posto]],tabParametros[PAT])</f>
        <v>0</v>
      </c>
      <c r="AI168" s="22">
        <f>SUMIF(tabParametros[Código do Posto],tabCustoUnit[[#This Row],[Código do Posto]],tabParametros[Seguro de Vida])</f>
        <v>3.36</v>
      </c>
      <c r="AJ168" s="22">
        <f>SUMIF(tabParametros[Código do Posto],tabCustoUnit[[#This Row],[Código do Posto]],tabParametros[Despesas de Viagem])</f>
        <v>0</v>
      </c>
      <c r="AK168" s="22">
        <f>SUM(tabCustoUnit[[#This Row],[Vale - Transporte (Descontada parcela do empregado)]:[Despesas de Viagem]])</f>
        <v>808.54160000000002</v>
      </c>
      <c r="AL168" s="22">
        <f>tabCustoUnit[[#This Row],[Submódulo 2.1]]+tabCustoUnit[[#This Row],[Submódulo 2.2]]+tabCustoUnit[[#This Row],[Submódulo 2.3]]</f>
        <v>1340.9683491277779</v>
      </c>
      <c r="AM168" s="22">
        <f>SUMIF(tabParametros[Código do Posto],tabCustoUnit[[#This Row],[Código do Posto]],tabParametros[Aviso Prévio Indenizado (API) e Reflexo do Aviso Prévio Indenizado])*tabCustoUnit[[#This Row],[MODULO 1 - REMUNERAÇÃO ]]</f>
        <v>5.7795253576581791</v>
      </c>
      <c r="AN168" s="22">
        <f>SUMIF(tabParametros[Código do Posto],tabCustoUnit[[#This Row],[Código do Posto]],tabParametros[Incidência do FGTS sobre API e Reflexo do API])*tabCustoUnit[[#This Row],[MODULO 1 - REMUNERAÇÃO ]]</f>
        <v>0.46236202861265435</v>
      </c>
      <c r="AO168" s="22">
        <f>SUMIF(tabParametros[Código do Posto],tabCustoUnit[[#This Row],[Código do Posto]],tabParametros[Multa Rescisória do FGTS sobre o Aviso Prévio Indenizado])*tabCustoUnit[[#This Row],[MODULO 1 - REMUNERAÇÃO ]]</f>
        <v>0.18494481144506175</v>
      </c>
      <c r="AP168" s="22">
        <f>SUMIF(tabParametros[Código do Posto],tabCustoUnit[[#This Row],[Código do Posto]],tabParametros[Aviso Prévio Trabalhado - APT])*tabCustoUnit[[#This Row],[MODULO 1 - REMUNERAÇÃO ]]</f>
        <v>2.8849131500000005</v>
      </c>
      <c r="AQ168" s="22">
        <f>SUMIF(tabParametros[Código do Posto],tabCustoUnit[[#This Row],[Código do Posto]],tabParametros[Incidência dos encargos do submódulo 2.1 sobre Aviso Prévio Trabalhado])*tabCustoUnit[[#This Row],[MODULO 1 - REMUNERAÇÃO ]]</f>
        <v>1.0904971707000004</v>
      </c>
      <c r="AR168" s="22">
        <f>SUMIF(tabParametros[Código do Posto],tabCustoUnit[[#This Row],[Código do Posto]],tabParametros[Multa Rescisória do FGTS])*tabCustoUnit[[#This Row],[MODULO 1 - REMUNERAÇÃO ]]</f>
        <v>25.204066631111107</v>
      </c>
      <c r="AS168" s="22">
        <f>SUMIF(tabParametros[Código do Posto],tabCustoUnit[[#This Row],[Código do Posto]],tabParametros[Indenização Adicional (Art. 9º da Lei nº 7.238/84)])*tabCustoUnit[[#This Row],[MODULO 1 - REMUNERAÇÃO ]]</f>
        <v>0.6868840833333334</v>
      </c>
      <c r="AT168" s="22">
        <f>SUM(tabCustoUnit[[#This Row],[Aviso Prévio Indenizado (API) e Reflexo do Aviso Prévio Indenizado]:[Indenização Adicional (Art. 9º da Lei nº 7.238/84)]])</f>
        <v>36.293193232860339</v>
      </c>
      <c r="AU168" s="22">
        <f>SUMIF(tabParametros[Código do Posto],tabCustoUnit[[#This Row],[Código do Posto]],tabParametros[Ausência por Doença])*tabCustoUnit[[#This Row],[MODULO 1 - REMUNERAÇÃO ]]</f>
        <v>6.9604253777777769</v>
      </c>
      <c r="AV168" s="22">
        <f>SUMIF(tabParametros[Código do Posto],tabCustoUnit[[#This Row],[Código do Posto]],tabParametros[Ausências Legais])*tabCustoUnit[[#This Row],[MODULO 1 - REMUNERAÇÃO ]]</f>
        <v>1.671417936111111</v>
      </c>
      <c r="AW168" s="22">
        <f>SUMIF(tabParametros[Código do Posto],tabCustoUnit[[#This Row],[Código do Posto]],tabParametros[Licença Paternidade])*tabCustoUnit[[#This Row],[MODULO 1 - REMUNERAÇÃO ]]</f>
        <v>0.14081123708333332</v>
      </c>
      <c r="AX168" s="22">
        <f>SUMIF(tabParametros[Código do Posto],tabCustoUnit[[#This Row],[Código do Posto]],tabParametros[Ausência por Acidente de Trabalho])*tabCustoUnit[[#This Row],[MODULO 1 - REMUNERAÇÃO ]]</f>
        <v>0.17172102083333335</v>
      </c>
      <c r="AY168" s="22">
        <f>SUMIF(tabParametros[Código do Posto],tabCustoUnit[[#This Row],[Código do Posto]],tabParametros[Férias, Adicional de Férias e 13º  com empregada em gozo de Licença Maternidade])*tabCustoUnit[[#This Row],[MODULO 1 - REMUNERAÇÃO ]]</f>
        <v>1.0684863518518517</v>
      </c>
      <c r="AZ168" s="22">
        <f>SUMIF(tabParametros[Código do Posto],tabCustoUnit[[#This Row],[Código do Posto]],tabParametros[Incidência do Submódulo 2.1 sobre Ausências Legais])*tabCustoUnit[[#This Row],[MODULO 1 - REMUNERAÇÃO ]]</f>
        <v>3.7848618071425006</v>
      </c>
      <c r="BA168" s="22">
        <f>SUM(tabCustoUnit[[#This Row],[Ausência por Doença]:[Incidência do Submódulo 2.1 sobre Ausências Legais]])</f>
        <v>13.797723730799909</v>
      </c>
      <c r="BB168" s="22">
        <f>SUMIF(tabParametros[Código do Posto],tabCustoUnit[[#This Row],[Código do Posto]],tabParametros[Intervalo para Repouso ou Alimentação])</f>
        <v>0</v>
      </c>
      <c r="BC168" s="22">
        <f>tabCustoUnit[[#This Row],[Intervalo para Repouso ou Alimentação]]</f>
        <v>0</v>
      </c>
      <c r="BD168" s="22">
        <f>IF(VLOOKUP(tabCustoUnit[[#This Row],[Código do Posto]],PARAMETROS!$A$4:$BJ$255,7,0)&lt;=0,0,
IFERROR((tabCustoUnit[[#This Row],[MODULO 1 - REMUNERAÇÃO ]]*VLOOKUP(tabCustoUnit[[#This Row],[Código do Posto]],PARAMETROS!$A$4:$BJ$255,49,0))/(VLOOKUP(tabCustoUnit[[#This Row],[Código do Posto]],PARAMETROS!$A$4:$BJ$255,7,0)*VLOOKUP(tabCustoUnit[[#This Row],[Código do Posto]],PARAMETROS!$A$4:$BJ$255,8,0)),0)
)</f>
        <v>0</v>
      </c>
      <c r="BE168" s="22">
        <f>tabCustoUnit[[#This Row],[Suspensão Temporária do Contrato de Trabalho]]</f>
        <v>0</v>
      </c>
      <c r="BF168" s="22">
        <f>tabCustoUnit[[#This Row],[Submódulo 4.1]]+tabCustoUnit[[#This Row],[Submódulo 4.2]]+tabCustoUnit[[#This Row],[Submódulo 4.3]]</f>
        <v>13.797723730799909</v>
      </c>
      <c r="BG168" s="22">
        <f>VLOOKUP(tabCustoUnit[[#This Row],[Código do Posto]],tabParametros[],MATCH(tabCustoUnit[[#Headers],[Uniformes e EPIs]],tabParametros[#Headers],0),0)</f>
        <v>62.806666666666665</v>
      </c>
      <c r="BH168" s="22">
        <f>VLOOKUP(tabCustoUnit[[#This Row],[Código do Posto]],tabParametros[],MATCH(tabCustoUnit[[#Headers],[Materiais de Consumo]],tabParametros[#Headers],0),0)</f>
        <v>17.759106479291944</v>
      </c>
      <c r="BI168" s="22">
        <f>VLOOKUP(tabCustoUnit[[#This Row],[Código do Posto]],tabParametros[],MATCH(tabCustoUnit[[#Headers],[Máquinas e Equipamentos (depreciação)]],tabParametros[#Headers],0),0)</f>
        <v>32.264696957412788</v>
      </c>
      <c r="BJ168" s="22">
        <f>VLOOKUP(tabCustoUnit[[#This Row],[Código do Posto]],tabParametros[],MATCH(tabCustoUnit[[#Headers],[Produtos de Limpeza e Materiais de Higiene Pessoal]],tabParametros[#Headers],0),0)</f>
        <v>345.13576638965827</v>
      </c>
      <c r="BK168" s="22">
        <f>VLOOKUP(tabCustoUnit[[#This Row],[Código do Posto]],tabParametros[],MATCH(tabCustoUnit[[#Headers],[Outros (especificar)]],tabParametros[#Headers],0),0)</f>
        <v>0</v>
      </c>
      <c r="BL168" s="22">
        <f>SUM(tabCustoUnit[[#This Row],[Uniformes e EPIs]:[Outros (especificar)]])</f>
        <v>457.96623649302967</v>
      </c>
      <c r="BM168" s="22">
        <f>tabCustoUnit[[#This Row],[MODULO 1 - REMUNERAÇÃO ]]+tabCustoUnit[[#This Row],[MÓDULO 2 - Total Encargos e Benefícios mensais e diários]]+tabCustoUnit[[#This Row],[MÓDULO 3 – PROVISÃO PARA RESCISÃO]]+tabCustoUnit[[#This Row],[MÓDULO 4 – CUSTO DE REPOSIÇÃO DO PROFISSIONAL AUSENTE]]+tabCustoUnit[[#This Row],[MÓDULO 5 – INSUMOS DIVERSOS]]</f>
        <v>2673.2864025844674</v>
      </c>
      <c r="BN168" s="22">
        <f>VLOOKUP(tabCustoUnit[[#This Row],[Código do Posto]],tabParametros[],MATCH(tabCustoUnit[[#Headers],[Custos Indiretos]],tabParametros[#Headers],0),0)</f>
        <v>189.64880140242613</v>
      </c>
      <c r="BO168" s="22">
        <f>VLOOKUP(tabCustoUnit[[#This Row],[Código do Posto]],tabParametros[],MATCH(tabCustoUnit[[#Headers],[Lucro]],tabParametros[#Headers],0),0)</f>
        <v>159.30499317803796</v>
      </c>
      <c r="BP168" s="26">
        <f>((100/((1-tabCustoUnit[[#This Row],[Resumo de Alíquotas (PIS+CONFINS+ISS)]]))-100)*VLOOKUP(tabCustoUnit[[#This Row],[Código do Posto]],tabParametros[],MATCH(tabCustoUnit[[#Headers],[COFINS]],tabParametros[#Headers],0),0))/(tabCustoUnit[[#This Row],[Resumo de Alíquotas (PIS+CONFINS+ISS)]]*100)</f>
        <v>8.6609686609686695E-2</v>
      </c>
      <c r="BQ168" s="26">
        <f>((100/((100-(tabCustoUnit[[#This Row],[Resumo de Alíquotas (PIS+CONFINS+ISS)]]*100))%)-100)*VLOOKUP(tabCustoUnit[[#This Row],[Código do Posto]],tabParametros[],MATCH(tabCustoUnit[[#Headers],[PIS]],tabParametros[#Headers],0),0))/(tabCustoUnit[[#This Row],[Resumo de Alíquotas (PIS+CONFINS+ISS)]]*100)</f>
        <v>1.880341880341882E-2</v>
      </c>
      <c r="BR168" s="28">
        <f>VLOOKUP(tabCustoUnit[[#This Row],[Código do Posto]],tabParametros[],MATCH(tabCustoUnit[[#Headers],[ISS]],tabParametros[#Headers],0),0)</f>
        <v>0.03</v>
      </c>
      <c r="BS168" s="26">
        <f>(((100/((100-(tabCustoUnit[[#This Row],[Resumo de Alíquotas (PIS+CONFINS+ISS)]]*100))%)-100)*tabCustoUnit[[#This Row],[ISS]])/tabCustoUnit[[#This Row],[Resumo de Alíquotas (PIS+CONFINS+ISS)]])/100</f>
        <v>3.4188034188034219E-2</v>
      </c>
      <c r="BT168" s="26">
        <f>(VLOOKUP(tabCustoUnit[[#This Row],[Código do Posto]],tabParametros[],MATCH(tabCustoUnit[[#Headers],[COFINS]],tabParametros[#Headers],0),0)+
VLOOKUP(tabCustoUnit[[#This Row],[Código do Posto]],tabParametros[],MATCH(tabCustoUnit[[#Headers],[PIS]],tabParametros[#Headers],0),0)+
VLOOKUP(tabCustoUnit[[#This Row],[Código do Posto]],tabParametros[],MATCH(tabCustoUnit[[#Headers],[ISS]],tabParametros[#Headers],0),0))</f>
        <v>0.1225</v>
      </c>
      <c r="BU168" s="138">
        <f>tabCustoUnit[[#This Row],[COFINS]]+tabCustoUnit[[#This Row],[PIS]]+tabCustoUnit[[#This Row],[ISS (Conversão Alíquota s/ fatura)]]</f>
        <v>0.13960113960113973</v>
      </c>
      <c r="BV168" s="22">
        <f>(tabCustoUnit[[#This Row],[TOTAL MÓDULOS 1+2+3+4+5]]+tabCustoUnit[[#This Row],[Custos Indiretos]]+tabCustoUnit[[#This Row],[Lucro]])*tabCustoUnit[[#This Row],[PIS + COFINS + ISS (Total Conversão  Alíquota s/ Fatura)]]</f>
        <v>421.90817567259768</v>
      </c>
      <c r="BW168" s="22">
        <f>tabCustoUnit[[#This Row],[Custos Indiretos]]+tabCustoUnit[[#This Row],[Lucro]]+tabCustoUnit[[#This Row],[Valor dos Tributos (ISS, PIS, CONFINS)]]</f>
        <v>770.86197025306183</v>
      </c>
      <c r="BX168" s="22">
        <f>tabCustoUnit[[#This Row],[TOTAL MÓDULOS 1+2+3+4+5]]+tabCustoUnit[[#This Row],[MÓDULO 6 – CUSTOS INDIRETOS, TRIBUTOS E LUCRO]]</f>
        <v>3444.1483728375292</v>
      </c>
      <c r="BY168" s="22">
        <f>tabCustoUnit[[#This Row],[CUSTO TOTAL MENSAL]]*12</f>
        <v>41329.780474050349</v>
      </c>
      <c r="BZ168" s="24">
        <f>VLOOKUP(tabCustoUnit[[#This Row],[Código do Posto]],tabParametros[],MATCH(tabCustoUnit[[#Headers],[ANO DA CCT]],tabParametros[#Headers],0),0)</f>
        <v>45658</v>
      </c>
      <c r="CA168" s="25" t="str">
        <f>VLOOKUP(tabCustoUnit[[#This Row],[Código do Posto]],tabParametros[],MATCH(tabCustoUnit[[#Headers],[Nº DE PEDIDO DA CCT]],tabParametros[#Headers],0),0)</f>
        <v>-</v>
      </c>
      <c r="CB168" s="25" t="str">
        <f>VLOOKUP(tabCustoUnit[[#This Row],[Código do Posto]],tabParametros[],MATCH(tabCustoUnit[[#Headers],[TERMO ADITIVO ALTERAÇÃO DA CCT]],tabParametros[#Headers],0),0)</f>
        <v>-</v>
      </c>
    </row>
    <row r="169" spans="1:80" x14ac:dyDescent="0.25">
      <c r="A169" s="20" t="s">
        <v>1505</v>
      </c>
      <c r="B169" t="s">
        <v>153</v>
      </c>
      <c r="C169" t="s">
        <v>1247</v>
      </c>
      <c r="D169" t="s">
        <v>1023</v>
      </c>
      <c r="E169" s="20" t="s">
        <v>9</v>
      </c>
      <c r="F169" s="20" t="s">
        <v>10</v>
      </c>
      <c r="G169" s="21">
        <v>544.17999999999995</v>
      </c>
      <c r="H169" s="21">
        <v>0</v>
      </c>
      <c r="I169" s="21">
        <v>0</v>
      </c>
      <c r="J169" s="21">
        <v>0</v>
      </c>
      <c r="K169" s="21">
        <v>0</v>
      </c>
      <c r="L169" s="21">
        <v>0</v>
      </c>
      <c r="M169" s="21">
        <v>0</v>
      </c>
      <c r="N169" s="21">
        <v>19.590499999999999</v>
      </c>
      <c r="O169" s="21">
        <f>SUM(tabCustoUnit[[#This Row],[Salário Base]:[Adicional de Acúmulo de função]])</f>
        <v>563.77049999999997</v>
      </c>
      <c r="P169" s="21">
        <f>tabCustoUnit[[#This Row],[MODULO 1 - REMUNERAÇÃO ]]*SUMIFS(tabParametros[INSS],tabParametros[Código do Posto],tabCustoUnit[[#This Row],[Código do Posto]])</f>
        <v>112.75409999999999</v>
      </c>
      <c r="Q169" s="21">
        <f>tabCustoUnit[[#This Row],[MODULO 1 - REMUNERAÇÃO ]]*SUMIFS(tabParametros[SESI OU SESC],tabParametros[Código do Posto],tabCustoUnit[[#This Row],[Código do Posto]])</f>
        <v>8.4565574999999988</v>
      </c>
      <c r="R169" s="21">
        <f>tabCustoUnit[[#This Row],[MODULO 1 - REMUNERAÇÃO ]]*SUMIFS(tabParametros[SENAI OU SENAC],tabParametros[Código do Posto],tabCustoUnit[[#This Row],[Código do Posto]])</f>
        <v>5.6377049999999995</v>
      </c>
      <c r="S169" s="21">
        <f>tabCustoUnit[[#This Row],[MODULO 1 - REMUNERAÇÃO ]]*SUMIFS(tabParametros[INCRA],tabParametros[Código do Posto],tabCustoUnit[[#This Row],[Código do Posto]])</f>
        <v>1.1275409999999999</v>
      </c>
      <c r="T169" s="21">
        <f>tabCustoUnit[[#This Row],[MODULO 1 - REMUNERAÇÃO ]]*SUMIFS(tabParametros[Salário Educação],tabParametros[Código do Posto],tabCustoUnit[[#This Row],[Código do Posto]])</f>
        <v>14.094262499999999</v>
      </c>
      <c r="U169" s="21">
        <f>tabCustoUnit[[#This Row],[MODULO 1 - REMUNERAÇÃO ]]*SUMIFS(tabParametros[FGTS],tabParametros[Código do Posto],tabCustoUnit[[#This Row],[Código do Posto]])</f>
        <v>45.101639999999996</v>
      </c>
      <c r="V169" s="21">
        <f>tabCustoUnit[[#This Row],[MODULO 1 - REMUNERAÇÃO ]]*SUMIFS(tabParametros[RAT Ajustado],tabParametros[Código do Posto],tabCustoUnit[[#This Row],[Código do Posto]])</f>
        <v>22.550819999999998</v>
      </c>
      <c r="W169" s="21">
        <f>tabCustoUnit[[#This Row],[MODULO 1 - REMUNERAÇÃO ]]*SUMIFS(tabParametros[SEBRAE],tabParametros[Código do Posto],tabCustoUnit[[#This Row],[Código do Posto]])</f>
        <v>3.3826229999999997</v>
      </c>
      <c r="X169" s="21">
        <f>SUM(tabCustoUnit[[#This Row],[INSS]:[SEBRAE]])</f>
        <v>213.10524899999996</v>
      </c>
      <c r="Y169" s="21">
        <f>tabCustoUnit[[#This Row],[MODULO 1 - REMUNERAÇÃO ]]*SUMIFS(tabParametros[13º salário (titular)],tabParametros[Código do Posto],tabCustoUnit[[#This Row],[Código do Posto]])</f>
        <v>46.980874999999997</v>
      </c>
      <c r="Z169" s="21">
        <f>tabCustoUnit[[#This Row],[MODULO 1 - REMUNERAÇÃO ]]*SUMIFS(tabParametros[Férias e Adicional de Férias (titular)],tabParametros[Código do Posto],tabCustoUnit[[#This Row],[Código do Posto]])</f>
        <v>62.641166666666663</v>
      </c>
      <c r="AA169" s="21">
        <f>IFERROR((tabCustoUnit[[#This Row],[Submódulo 2.1]]/tabCustoUnit[[#This Row],[MODULO 1 - REMUNERAÇÃO ]])*SUM(tabCustoUnit[[#This Row],[13º salário (titular)]:[Férias e Adicional de Férias (titular)]]),0)</f>
        <v>41.437131749999992</v>
      </c>
      <c r="AB169" s="21">
        <f>SUM(tabCustoUnit[[#This Row],[13º salário (titular)]:[Incidência do Submódulo 2.1 sobre 13º Salário, Férias e Adicional de Férias]])</f>
        <v>151.05917341666665</v>
      </c>
      <c r="AC169" s="22">
        <f>_xlfn.LET(_xlpm.VT,SUMIF(tabParametros[Código do Posto],tabCustoUnit[[#This Row],[Código do Posto]],tabParametros[Vale - Transporte])*2*20,
IF((_xlpm.VT-tabCustoUnit[[#This Row],[Salário Base]]*0.06)&gt;=0,(_xlpm.VT-tabCustoUnit[[#This Row],[Salário Base]]*0.06),0)
)</f>
        <v>223.3492</v>
      </c>
      <c r="AD169" s="22">
        <f>IF(SUMIF(tabParametros[Código do Posto],tabCustoUnit[[#This Row],[Código do Posto]],tabParametros[Vale - Alimentação])&lt;=0,0,
SUMIF(tabParametros[Código do Posto],tabCustoUnit[[#This Row],[Código do Posto]],tabParametros[Vale - Alimentação])*20-1)</f>
        <v>582</v>
      </c>
      <c r="AE169" s="22">
        <f>SUMIF(tabParametros[Código do Posto],tabCustoUnit[[#This Row],[Código do Posto]],tabParametros[Cesta Básica])</f>
        <v>0</v>
      </c>
      <c r="AF169" s="22">
        <f>SUMIF(tabParametros[Código do Posto],tabCustoUnit[[#This Row],[Código do Posto]],tabParametros[PAF])</f>
        <v>0</v>
      </c>
      <c r="AG169" s="22">
        <f>SUMIF(tabParametros[Código do Posto],tabCustoUnit[[#This Row],[Código do Posto]],tabParametros[PQM])</f>
        <v>0</v>
      </c>
      <c r="AH169" s="22">
        <f>SUMIF(tabParametros[Código do Posto],tabCustoUnit[[#This Row],[Código do Posto]],tabParametros[PAT])</f>
        <v>0</v>
      </c>
      <c r="AI169" s="22">
        <f>SUMIF(tabParametros[Código do Posto],tabCustoUnit[[#This Row],[Código do Posto]],tabParametros[Seguro de Vida])</f>
        <v>3.36</v>
      </c>
      <c r="AJ169" s="22">
        <f>SUMIF(tabParametros[Código do Posto],tabCustoUnit[[#This Row],[Código do Posto]],tabParametros[Despesas de Viagem])</f>
        <v>0</v>
      </c>
      <c r="AK169" s="22">
        <f>SUM(tabCustoUnit[[#This Row],[Vale - Transporte (Descontada parcela do empregado)]:[Despesas de Viagem]])</f>
        <v>808.70920000000001</v>
      </c>
      <c r="AL169" s="22">
        <f>tabCustoUnit[[#This Row],[Submódulo 2.1]]+tabCustoUnit[[#This Row],[Submódulo 2.2]]+tabCustoUnit[[#This Row],[Submódulo 2.3]]</f>
        <v>1172.8736224166666</v>
      </c>
      <c r="AM169" s="22">
        <f>SUMIF(tabParametros[Código do Posto],tabCustoUnit[[#This Row],[Código do Posto]],tabParametros[Aviso Prévio Indenizado (API) e Reflexo do Aviso Prévio Indenizado])*tabCustoUnit[[#This Row],[MODULO 1 - REMUNERAÇÃO ]]</f>
        <v>3.9530273735532404</v>
      </c>
      <c r="AN169" s="22">
        <f>SUMIF(tabParametros[Código do Posto],tabCustoUnit[[#This Row],[Código do Posto]],tabParametros[Incidência do FGTS sobre API e Reflexo do API])*tabCustoUnit[[#This Row],[MODULO 1 - REMUNERAÇÃO ]]</f>
        <v>0.31624218988425928</v>
      </c>
      <c r="AO169" s="22">
        <f>SUMIF(tabParametros[Código do Posto],tabCustoUnit[[#This Row],[Código do Posto]],tabParametros[Multa Rescisória do FGTS sobre o Aviso Prévio Indenizado])*tabCustoUnit[[#This Row],[MODULO 1 - REMUNERAÇÃO ]]</f>
        <v>0.12649687595370371</v>
      </c>
      <c r="AP169" s="22">
        <f>SUMIF(tabParametros[Código do Posto],tabCustoUnit[[#This Row],[Código do Posto]],tabParametros[Aviso Prévio Trabalhado - APT])*tabCustoUnit[[#This Row],[MODULO 1 - REMUNERAÇÃO ]]</f>
        <v>1.9731967500000003</v>
      </c>
      <c r="AQ169" s="22">
        <f>SUMIF(tabParametros[Código do Posto],tabCustoUnit[[#This Row],[Código do Posto]],tabParametros[Incidência dos encargos do submódulo 2.1 sobre Aviso Prévio Trabalhado])*tabCustoUnit[[#This Row],[MODULO 1 - REMUNERAÇÃO ]]</f>
        <v>0.74586837150000018</v>
      </c>
      <c r="AR169" s="22">
        <f>SUMIF(tabParametros[Código do Posto],tabCustoUnit[[#This Row],[Código do Posto]],tabParametros[Multa Rescisória do FGTS])*tabCustoUnit[[#This Row],[MODULO 1 - REMUNERAÇÃO ]]</f>
        <v>17.238849066666663</v>
      </c>
      <c r="AS169" s="22">
        <f>SUMIF(tabParametros[Código do Posto],tabCustoUnit[[#This Row],[Código do Posto]],tabParametros[Indenização Adicional (Art. 9º da Lei nº 7.238/84)])*tabCustoUnit[[#This Row],[MODULO 1 - REMUNERAÇÃO ]]</f>
        <v>0.46980875</v>
      </c>
      <c r="AT169" s="22">
        <f>SUM(tabCustoUnit[[#This Row],[Aviso Prévio Indenizado (API) e Reflexo do Aviso Prévio Indenizado]:[Indenização Adicional (Art. 9º da Lei nº 7.238/84)]])</f>
        <v>24.823489377557866</v>
      </c>
      <c r="AU169" s="22">
        <f>SUMIF(tabParametros[Código do Posto],tabCustoUnit[[#This Row],[Código do Posto]],tabParametros[Ausência por Doença])*tabCustoUnit[[#This Row],[MODULO 1 - REMUNERAÇÃO ]]</f>
        <v>4.7607286666666662</v>
      </c>
      <c r="AV169" s="22">
        <f>SUMIF(tabParametros[Código do Posto],tabCustoUnit[[#This Row],[Código do Posto]],tabParametros[Ausências Legais])*tabCustoUnit[[#This Row],[MODULO 1 - REMUNERAÇÃO ]]</f>
        <v>1.1432012916666665</v>
      </c>
      <c r="AW169" s="22">
        <f>SUMIF(tabParametros[Código do Posto],tabCustoUnit[[#This Row],[Código do Posto]],tabParametros[Licença Paternidade])*tabCustoUnit[[#This Row],[MODULO 1 - REMUNERAÇÃO ]]</f>
        <v>9.6310793749999998E-2</v>
      </c>
      <c r="AX169" s="22">
        <f>SUMIF(tabParametros[Código do Posto],tabCustoUnit[[#This Row],[Código do Posto]],tabParametros[Ausência por Acidente de Trabalho])*tabCustoUnit[[#This Row],[MODULO 1 - REMUNERAÇÃO ]]</f>
        <v>0.1174521875</v>
      </c>
      <c r="AY169" s="22">
        <f>SUMIF(tabParametros[Código do Posto],tabCustoUnit[[#This Row],[Código do Posto]],tabParametros[Férias, Adicional de Férias e 13º  com empregada em gozo de Licença Maternidade])*tabCustoUnit[[#This Row],[MODULO 1 - REMUNERAÇÃO ]]</f>
        <v>0.73081361111111109</v>
      </c>
      <c r="AZ169" s="22">
        <f>SUMIF(tabParametros[Código do Posto],tabCustoUnit[[#This Row],[Código do Posto]],tabParametros[Incidência do Submódulo 2.1 sobre Ausências Legais])*tabCustoUnit[[#This Row],[MODULO 1 - REMUNERAÇÃO ]]</f>
        <v>2.5887354761625003</v>
      </c>
      <c r="BA169" s="22">
        <f>SUM(tabCustoUnit[[#This Row],[Ausência por Doença]:[Incidência do Submódulo 2.1 sobre Ausências Legais]])</f>
        <v>9.4372420268569428</v>
      </c>
      <c r="BB169" s="22">
        <f>SUMIF(tabParametros[Código do Posto],tabCustoUnit[[#This Row],[Código do Posto]],tabParametros[Intervalo para Repouso ou Alimentação])</f>
        <v>0</v>
      </c>
      <c r="BC169" s="22">
        <f>tabCustoUnit[[#This Row],[Intervalo para Repouso ou Alimentação]]</f>
        <v>0</v>
      </c>
      <c r="BD169" s="22">
        <f>IF(VLOOKUP(tabCustoUnit[[#This Row],[Código do Posto]],PARAMETROS!$A$4:$BJ$255,7,0)&lt;=0,0,
IFERROR((tabCustoUnit[[#This Row],[MODULO 1 - REMUNERAÇÃO ]]*VLOOKUP(tabCustoUnit[[#This Row],[Código do Posto]],PARAMETROS!$A$4:$BJ$255,49,0))/(VLOOKUP(tabCustoUnit[[#This Row],[Código do Posto]],PARAMETROS!$A$4:$BJ$255,7,0)*VLOOKUP(tabCustoUnit[[#This Row],[Código do Posto]],PARAMETROS!$A$4:$BJ$255,8,0)),0)
)</f>
        <v>0</v>
      </c>
      <c r="BE169" s="22">
        <f>tabCustoUnit[[#This Row],[Suspensão Temporária do Contrato de Trabalho]]</f>
        <v>0</v>
      </c>
      <c r="BF169" s="22">
        <f>tabCustoUnit[[#This Row],[Submódulo 4.1]]+tabCustoUnit[[#This Row],[Submódulo 4.2]]+tabCustoUnit[[#This Row],[Submódulo 4.3]]</f>
        <v>9.4372420268569428</v>
      </c>
      <c r="BG169" s="22">
        <f>VLOOKUP(tabCustoUnit[[#This Row],[Código do Posto]],tabParametros[],MATCH(tabCustoUnit[[#Headers],[Uniformes e EPIs]],tabParametros[#Headers],0),0)</f>
        <v>62.806666666666665</v>
      </c>
      <c r="BH169" s="22">
        <f>VLOOKUP(tabCustoUnit[[#This Row],[Código do Posto]],tabParametros[],MATCH(tabCustoUnit[[#Headers],[Materiais de Consumo]],tabParametros[#Headers],0),0)</f>
        <v>12.108481690426325</v>
      </c>
      <c r="BI169" s="22">
        <f>VLOOKUP(tabCustoUnit[[#This Row],[Código do Posto]],tabParametros[],MATCH(tabCustoUnit[[#Headers],[Máquinas e Equipamentos (depreciação)]],tabParametros[#Headers],0),0)</f>
        <v>21.998657016417809</v>
      </c>
      <c r="BJ169" s="22">
        <f>VLOOKUP(tabCustoUnit[[#This Row],[Código do Posto]],tabParametros[],MATCH(tabCustoUnit[[#Headers],[Produtos de Limpeza e Materiais de Higiene Pessoal]],tabParametros[#Headers],0),0)</f>
        <v>235.31984072022155</v>
      </c>
      <c r="BK169" s="22">
        <f>VLOOKUP(tabCustoUnit[[#This Row],[Código do Posto]],tabParametros[],MATCH(tabCustoUnit[[#Headers],[Outros (especificar)]],tabParametros[#Headers],0),0)</f>
        <v>0</v>
      </c>
      <c r="BL169" s="22">
        <f>SUM(tabCustoUnit[[#This Row],[Uniformes e EPIs]:[Outros (especificar)]])</f>
        <v>332.23364609373232</v>
      </c>
      <c r="BM169" s="22">
        <f>tabCustoUnit[[#This Row],[MODULO 1 - REMUNERAÇÃO ]]+tabCustoUnit[[#This Row],[MÓDULO 2 - Total Encargos e Benefícios mensais e diários]]+tabCustoUnit[[#This Row],[MÓDULO 3 – PROVISÃO PARA RESCISÃO]]+tabCustoUnit[[#This Row],[MÓDULO 4 – CUSTO DE REPOSIÇÃO DO PROFISSIONAL AUSENTE]]+tabCustoUnit[[#This Row],[MÓDULO 5 – INSUMOS DIVERSOS]]</f>
        <v>2103.1384999148136</v>
      </c>
      <c r="BN169" s="22">
        <f>VLOOKUP(tabCustoUnit[[#This Row],[Código do Posto]],tabParametros[],MATCH(tabCustoUnit[[#Headers],[Custos Indiretos]],tabParametros[#Headers],0),0)</f>
        <v>189.64880140242613</v>
      </c>
      <c r="BO169" s="22">
        <f>VLOOKUP(tabCustoUnit[[#This Row],[Código do Posto]],tabParametros[],MATCH(tabCustoUnit[[#Headers],[Lucro]],tabParametros[#Headers],0),0)</f>
        <v>159.30499317803796</v>
      </c>
      <c r="BP169" s="26">
        <f>((100/((1-tabCustoUnit[[#This Row],[Resumo de Alíquotas (PIS+CONFINS+ISS)]]))-100)*VLOOKUP(tabCustoUnit[[#This Row],[Código do Posto]],tabParametros[],MATCH(tabCustoUnit[[#Headers],[COFINS]],tabParametros[#Headers],0),0))/(tabCustoUnit[[#This Row],[Resumo de Alíquotas (PIS+CONFINS+ISS)]]*100)</f>
        <v>8.6118980169971604E-2</v>
      </c>
      <c r="BQ169" s="26">
        <f>((100/((100-(tabCustoUnit[[#This Row],[Resumo de Alíquotas (PIS+CONFINS+ISS)]]*100))%)-100)*VLOOKUP(tabCustoUnit[[#This Row],[Código do Posto]],tabParametros[],MATCH(tabCustoUnit[[#Headers],[PIS]],tabParametros[#Headers],0),0))/(tabCustoUnit[[#This Row],[Resumo de Alíquotas (PIS+CONFINS+ISS)]]*100)</f>
        <v>1.8696883852691224E-2</v>
      </c>
      <c r="BR169" s="28">
        <f>VLOOKUP(tabCustoUnit[[#This Row],[Código do Posto]],tabParametros[],MATCH(tabCustoUnit[[#Headers],[ISS]],tabParametros[#Headers],0),0)</f>
        <v>2.5000000000000001E-2</v>
      </c>
      <c r="BS169" s="26">
        <f>(((100/((100-(tabCustoUnit[[#This Row],[Resumo de Alíquotas (PIS+CONFINS+ISS)]]*100))%)-100)*tabCustoUnit[[#This Row],[ISS]])/tabCustoUnit[[#This Row],[Resumo de Alíquotas (PIS+CONFINS+ISS)]])/100</f>
        <v>2.8328611898017008E-2</v>
      </c>
      <c r="BT169" s="26">
        <f>(VLOOKUP(tabCustoUnit[[#This Row],[Código do Posto]],tabParametros[],MATCH(tabCustoUnit[[#Headers],[COFINS]],tabParametros[#Headers],0),0)+
VLOOKUP(tabCustoUnit[[#This Row],[Código do Posto]],tabParametros[],MATCH(tabCustoUnit[[#Headers],[PIS]],tabParametros[#Headers],0),0)+
VLOOKUP(tabCustoUnit[[#This Row],[Código do Posto]],tabParametros[],MATCH(tabCustoUnit[[#Headers],[ISS]],tabParametros[#Headers],0),0))</f>
        <v>0.11749999999999999</v>
      </c>
      <c r="BU169" s="138">
        <f>tabCustoUnit[[#This Row],[COFINS]]+tabCustoUnit[[#This Row],[PIS]]+tabCustoUnit[[#This Row],[ISS (Conversão Alíquota s/ fatura)]]</f>
        <v>0.13314447592067982</v>
      </c>
      <c r="BV169" s="22">
        <f>(tabCustoUnit[[#This Row],[TOTAL MÓDULOS 1+2+3+4+5]]+tabCustoUnit[[#This Row],[Custos Indiretos]]+tabCustoUnit[[#This Row],[Lucro]])*tabCustoUnit[[#This Row],[PIS + COFINS + ISS (Total Conversão  Alíquota s/ Fatura)]]</f>
        <v>326.48254345971105</v>
      </c>
      <c r="BW169" s="22">
        <f>tabCustoUnit[[#This Row],[Custos Indiretos]]+tabCustoUnit[[#This Row],[Lucro]]+tabCustoUnit[[#This Row],[Valor dos Tributos (ISS, PIS, CONFINS)]]</f>
        <v>675.43633804017509</v>
      </c>
      <c r="BX169" s="22">
        <f>tabCustoUnit[[#This Row],[TOTAL MÓDULOS 1+2+3+4+5]]+tabCustoUnit[[#This Row],[MÓDULO 6 – CUSTOS INDIRETOS, TRIBUTOS E LUCRO]]</f>
        <v>2778.5748379549887</v>
      </c>
      <c r="BY169" s="22">
        <f>tabCustoUnit[[#This Row],[CUSTO TOTAL MENSAL]]*12</f>
        <v>33342.898055459867</v>
      </c>
      <c r="BZ169" s="24">
        <f>VLOOKUP(tabCustoUnit[[#This Row],[Código do Posto]],tabParametros[],MATCH(tabCustoUnit[[#Headers],[ANO DA CCT]],tabParametros[#Headers],0),0)</f>
        <v>45658</v>
      </c>
      <c r="CA169" s="25" t="str">
        <f>VLOOKUP(tabCustoUnit[[#This Row],[Código do Posto]],tabParametros[],MATCH(tabCustoUnit[[#Headers],[Nº DE PEDIDO DA CCT]],tabParametros[#Headers],0),0)</f>
        <v>-</v>
      </c>
      <c r="CB169" s="25" t="str">
        <f>VLOOKUP(tabCustoUnit[[#This Row],[Código do Posto]],tabParametros[],MATCH(tabCustoUnit[[#Headers],[TERMO ADITIVO ALTERAÇÃO DA CCT]],tabParametros[#Headers],0),0)</f>
        <v>-</v>
      </c>
    </row>
    <row r="170" spans="1:80" x14ac:dyDescent="0.25">
      <c r="A170" s="20" t="s">
        <v>1506</v>
      </c>
      <c r="B170" t="s">
        <v>154</v>
      </c>
      <c r="C170" t="s">
        <v>1245</v>
      </c>
      <c r="D170" t="s">
        <v>1045</v>
      </c>
      <c r="E170" s="20" t="s">
        <v>9</v>
      </c>
      <c r="F170" s="20" t="s">
        <v>10</v>
      </c>
      <c r="G170" s="21">
        <v>1649.12</v>
      </c>
      <c r="H170" s="21">
        <v>0</v>
      </c>
      <c r="I170" s="21">
        <v>0</v>
      </c>
      <c r="J170" s="21">
        <v>0</v>
      </c>
      <c r="K170" s="21">
        <v>0</v>
      </c>
      <c r="L170" s="21">
        <v>0</v>
      </c>
      <c r="M170" s="21">
        <v>0</v>
      </c>
      <c r="N170" s="21">
        <v>53.971200000000003</v>
      </c>
      <c r="O170" s="21">
        <f>SUM(tabCustoUnit[[#This Row],[Salário Base]:[Adicional de Acúmulo de função]])</f>
        <v>1703.0911999999998</v>
      </c>
      <c r="P170" s="21">
        <f>tabCustoUnit[[#This Row],[MODULO 1 - REMUNERAÇÃO ]]*SUMIFS(tabParametros[INSS],tabParametros[Código do Posto],tabCustoUnit[[#This Row],[Código do Posto]])</f>
        <v>340.61824000000001</v>
      </c>
      <c r="Q170" s="21">
        <f>tabCustoUnit[[#This Row],[MODULO 1 - REMUNERAÇÃO ]]*SUMIFS(tabParametros[SESI OU SESC],tabParametros[Código do Posto],tabCustoUnit[[#This Row],[Código do Posto]])</f>
        <v>25.546367999999998</v>
      </c>
      <c r="R170" s="21">
        <f>tabCustoUnit[[#This Row],[MODULO 1 - REMUNERAÇÃO ]]*SUMIFS(tabParametros[SENAI OU SENAC],tabParametros[Código do Posto],tabCustoUnit[[#This Row],[Código do Posto]])</f>
        <v>17.030911999999997</v>
      </c>
      <c r="S170" s="21">
        <f>tabCustoUnit[[#This Row],[MODULO 1 - REMUNERAÇÃO ]]*SUMIFS(tabParametros[INCRA],tabParametros[Código do Posto],tabCustoUnit[[#This Row],[Código do Posto]])</f>
        <v>3.4061823999999996</v>
      </c>
      <c r="T170" s="21">
        <f>tabCustoUnit[[#This Row],[MODULO 1 - REMUNERAÇÃO ]]*SUMIFS(tabParametros[Salário Educação],tabParametros[Código do Posto],tabCustoUnit[[#This Row],[Código do Posto]])</f>
        <v>42.577280000000002</v>
      </c>
      <c r="U170" s="21">
        <f>tabCustoUnit[[#This Row],[MODULO 1 - REMUNERAÇÃO ]]*SUMIFS(tabParametros[FGTS],tabParametros[Código do Posto],tabCustoUnit[[#This Row],[Código do Posto]])</f>
        <v>136.24729599999998</v>
      </c>
      <c r="V170" s="21">
        <f>tabCustoUnit[[#This Row],[MODULO 1 - REMUNERAÇÃO ]]*SUMIFS(tabParametros[RAT Ajustado],tabParametros[Código do Posto],tabCustoUnit[[#This Row],[Código do Posto]])</f>
        <v>68.123647999999989</v>
      </c>
      <c r="W170" s="21">
        <f>tabCustoUnit[[#This Row],[MODULO 1 - REMUNERAÇÃO ]]*SUMIFS(tabParametros[SEBRAE],tabParametros[Código do Posto],tabCustoUnit[[#This Row],[Código do Posto]])</f>
        <v>10.2185472</v>
      </c>
      <c r="X170" s="21">
        <f>SUM(tabCustoUnit[[#This Row],[INSS]:[SEBRAE]])</f>
        <v>643.76847359999999</v>
      </c>
      <c r="Y170" s="21">
        <f>tabCustoUnit[[#This Row],[MODULO 1 - REMUNERAÇÃO ]]*SUMIFS(tabParametros[13º salário (titular)],tabParametros[Código do Posto],tabCustoUnit[[#This Row],[Código do Posto]])</f>
        <v>141.92426666666665</v>
      </c>
      <c r="Z170" s="21">
        <f>tabCustoUnit[[#This Row],[MODULO 1 - REMUNERAÇÃO ]]*SUMIFS(tabParametros[Férias e Adicional de Férias (titular)],tabParametros[Código do Posto],tabCustoUnit[[#This Row],[Código do Posto]])</f>
        <v>189.23235555555553</v>
      </c>
      <c r="AA170" s="21">
        <f>IFERROR((tabCustoUnit[[#This Row],[Submódulo 2.1]]/tabCustoUnit[[#This Row],[MODULO 1 - REMUNERAÇÃO ]])*SUM(tabCustoUnit[[#This Row],[13º salário (titular)]:[Férias e Adicional de Férias (titular)]]),0)</f>
        <v>125.17720319999999</v>
      </c>
      <c r="AB170" s="21">
        <f>SUM(tabCustoUnit[[#This Row],[13º salário (titular)]:[Incidência do Submódulo 2.1 sobre 13º Salário, Férias e Adicional de Férias]])</f>
        <v>456.33382542222216</v>
      </c>
      <c r="AC170" s="22">
        <f>_xlfn.LET(_xlpm.VT,SUMIF(tabParametros[Código do Posto],tabCustoUnit[[#This Row],[Código do Posto]],tabParametros[Vale - Transporte])*2*20,
IF((_xlpm.VT-tabCustoUnit[[#This Row],[Salário Base]]*0.06)&gt;=0,(_xlpm.VT-tabCustoUnit[[#This Row],[Salário Base]]*0.06),0)
)</f>
        <v>157.05279999999999</v>
      </c>
      <c r="AD170" s="22">
        <f>IF(SUMIF(tabParametros[Código do Posto],tabCustoUnit[[#This Row],[Código do Posto]],tabParametros[Vale - Alimentação])&lt;=0,0,
SUMIF(tabParametros[Código do Posto],tabCustoUnit[[#This Row],[Código do Posto]],tabParametros[Vale - Alimentação])*20-1)</f>
        <v>582</v>
      </c>
      <c r="AE170" s="22">
        <f>SUMIF(tabParametros[Código do Posto],tabCustoUnit[[#This Row],[Código do Posto]],tabParametros[Cesta Básica])</f>
        <v>0</v>
      </c>
      <c r="AF170" s="22">
        <f>SUMIF(tabParametros[Código do Posto],tabCustoUnit[[#This Row],[Código do Posto]],tabParametros[PAF])</f>
        <v>77.25</v>
      </c>
      <c r="AG170" s="22">
        <f>SUMIF(tabParametros[Código do Posto],tabCustoUnit[[#This Row],[Código do Posto]],tabParametros[PQM])</f>
        <v>0</v>
      </c>
      <c r="AH170" s="22">
        <f>SUMIF(tabParametros[Código do Posto],tabCustoUnit[[#This Row],[Código do Posto]],tabParametros[PAT])</f>
        <v>0</v>
      </c>
      <c r="AI170" s="22">
        <f>SUMIF(tabParametros[Código do Posto],tabCustoUnit[[#This Row],[Código do Posto]],tabParametros[Seguro de Vida])</f>
        <v>3.36</v>
      </c>
      <c r="AJ170" s="22">
        <f>SUMIF(tabParametros[Código do Posto],tabCustoUnit[[#This Row],[Código do Posto]],tabParametros[Despesas de Viagem])</f>
        <v>0</v>
      </c>
      <c r="AK170" s="22">
        <f>SUM(tabCustoUnit[[#This Row],[Vale - Transporte (Descontada parcela do empregado)]:[Despesas de Viagem]])</f>
        <v>819.66279999999995</v>
      </c>
      <c r="AL170" s="22">
        <f>tabCustoUnit[[#This Row],[Submódulo 2.1]]+tabCustoUnit[[#This Row],[Submódulo 2.2]]+tabCustoUnit[[#This Row],[Submódulo 2.3]]</f>
        <v>1919.7650990222223</v>
      </c>
      <c r="AM170" s="22">
        <f>SUMIF(tabParametros[Código do Posto],tabCustoUnit[[#This Row],[Código do Posto]],tabParametros[Aviso Prévio Indenizado (API) e Reflexo do Aviso Prévio Indenizado])*tabCustoUnit[[#This Row],[MODULO 1 - REMUNERAÇÃO ]]</f>
        <v>11.941678632098764</v>
      </c>
      <c r="AN170" s="22">
        <f>SUMIF(tabParametros[Código do Posto],tabCustoUnit[[#This Row],[Código do Posto]],tabParametros[Incidência do FGTS sobre API e Reflexo do API])*tabCustoUnit[[#This Row],[MODULO 1 - REMUNERAÇÃO ]]</f>
        <v>0.9553342905679012</v>
      </c>
      <c r="AO170" s="22">
        <f>SUMIF(tabParametros[Código do Posto],tabCustoUnit[[#This Row],[Código do Posto]],tabParametros[Multa Rescisória do FGTS sobre o Aviso Prévio Indenizado])*tabCustoUnit[[#This Row],[MODULO 1 - REMUNERAÇÃO ]]</f>
        <v>0.38213371622716052</v>
      </c>
      <c r="AP170" s="22">
        <f>SUMIF(tabParametros[Código do Posto],tabCustoUnit[[#This Row],[Código do Posto]],tabParametros[Aviso Prévio Trabalhado - APT])*tabCustoUnit[[#This Row],[MODULO 1 - REMUNERAÇÃO ]]</f>
        <v>5.9608192000000004</v>
      </c>
      <c r="AQ170" s="22">
        <f>SUMIF(tabParametros[Código do Posto],tabCustoUnit[[#This Row],[Código do Posto]],tabParametros[Incidência dos encargos do submódulo 2.1 sobre Aviso Prévio Trabalhado])*tabCustoUnit[[#This Row],[MODULO 1 - REMUNERAÇÃO ]]</f>
        <v>2.2531896576000006</v>
      </c>
      <c r="AR170" s="22">
        <f>SUMIF(tabParametros[Código do Posto],tabCustoUnit[[#This Row],[Código do Posto]],tabParametros[Multa Rescisória do FGTS])*tabCustoUnit[[#This Row],[MODULO 1 - REMUNERAÇÃO ]]</f>
        <v>52.076744248888879</v>
      </c>
      <c r="AS170" s="22">
        <f>SUMIF(tabParametros[Código do Posto],tabCustoUnit[[#This Row],[Código do Posto]],tabParametros[Indenização Adicional (Art. 9º da Lei nº 7.238/84)])*tabCustoUnit[[#This Row],[MODULO 1 - REMUNERAÇÃO ]]</f>
        <v>1.4192426666666667</v>
      </c>
      <c r="AT170" s="22">
        <f>SUM(tabCustoUnit[[#This Row],[Aviso Prévio Indenizado (API) e Reflexo do Aviso Prévio Indenizado]:[Indenização Adicional (Art. 9º da Lei nº 7.238/84)]])</f>
        <v>74.989142412049375</v>
      </c>
      <c r="AU170" s="22">
        <f>SUMIF(tabParametros[Código do Posto],tabCustoUnit[[#This Row],[Código do Posto]],tabParametros[Ausência por Doença])*tabCustoUnit[[#This Row],[MODULO 1 - REMUNERAÇÃO ]]</f>
        <v>14.38165902222222</v>
      </c>
      <c r="AV170" s="22">
        <f>SUMIF(tabParametros[Código do Posto],tabCustoUnit[[#This Row],[Código do Posto]],tabParametros[Ausências Legais])*tabCustoUnit[[#This Row],[MODULO 1 - REMUNERAÇÃO ]]</f>
        <v>3.4534904888888884</v>
      </c>
      <c r="AW170" s="22">
        <f>SUMIF(tabParametros[Código do Posto],tabCustoUnit[[#This Row],[Código do Posto]],tabParametros[Licença Paternidade])*tabCustoUnit[[#This Row],[MODULO 1 - REMUNERAÇÃO ]]</f>
        <v>0.29094474666666664</v>
      </c>
      <c r="AX170" s="22">
        <f>SUMIF(tabParametros[Código do Posto],tabCustoUnit[[#This Row],[Código do Posto]],tabParametros[Ausência por Acidente de Trabalho])*tabCustoUnit[[#This Row],[MODULO 1 - REMUNERAÇÃO ]]</f>
        <v>0.35481066666666666</v>
      </c>
      <c r="AY170" s="22">
        <f>SUMIF(tabParametros[Código do Posto],tabCustoUnit[[#This Row],[Código do Posto]],tabParametros[Férias, Adicional de Férias e 13º  com empregada em gozo de Licença Maternidade])*tabCustoUnit[[#This Row],[MODULO 1 - REMUNERAÇÃO ]]</f>
        <v>2.2077108148148143</v>
      </c>
      <c r="AZ170" s="22">
        <f>SUMIF(tabParametros[Código do Posto],tabCustoUnit[[#This Row],[Código do Posto]],tabParametros[Incidência do Submódulo 2.1 sobre Ausências Legais])*tabCustoUnit[[#This Row],[MODULO 1 - REMUNERAÇÃO ]]</f>
        <v>7.8202967494400006</v>
      </c>
      <c r="BA170" s="22">
        <f>SUM(tabCustoUnit[[#This Row],[Ausência por Doença]:[Incidência do Submódulo 2.1 sobre Ausências Legais]])</f>
        <v>28.508912488699256</v>
      </c>
      <c r="BB170" s="22">
        <f>SUMIF(tabParametros[Código do Posto],tabCustoUnit[[#This Row],[Código do Posto]],tabParametros[Intervalo para Repouso ou Alimentação])</f>
        <v>0</v>
      </c>
      <c r="BC170" s="22">
        <f>tabCustoUnit[[#This Row],[Intervalo para Repouso ou Alimentação]]</f>
        <v>0</v>
      </c>
      <c r="BD170" s="22">
        <f>IF(VLOOKUP(tabCustoUnit[[#This Row],[Código do Posto]],PARAMETROS!$A$4:$BJ$255,7,0)&lt;=0,0,
IFERROR((tabCustoUnit[[#This Row],[MODULO 1 - REMUNERAÇÃO ]]*VLOOKUP(tabCustoUnit[[#This Row],[Código do Posto]],PARAMETROS!$A$4:$BJ$255,49,0))/(VLOOKUP(tabCustoUnit[[#This Row],[Código do Posto]],PARAMETROS!$A$4:$BJ$255,7,0)*VLOOKUP(tabCustoUnit[[#This Row],[Código do Posto]],PARAMETROS!$A$4:$BJ$255,8,0)),0)
)</f>
        <v>0</v>
      </c>
      <c r="BE170" s="22">
        <f>tabCustoUnit[[#This Row],[Suspensão Temporária do Contrato de Trabalho]]</f>
        <v>0</v>
      </c>
      <c r="BF170" s="22">
        <f>tabCustoUnit[[#This Row],[Submódulo 4.1]]+tabCustoUnit[[#This Row],[Submódulo 4.2]]+tabCustoUnit[[#This Row],[Submódulo 4.3]]</f>
        <v>28.508912488699256</v>
      </c>
      <c r="BG170" s="22">
        <f>VLOOKUP(tabCustoUnit[[#This Row],[Código do Posto]],tabParametros[],MATCH(tabCustoUnit[[#Headers],[Uniformes e EPIs]],tabParametros[#Headers],0),0)</f>
        <v>100.80916666666666</v>
      </c>
      <c r="BH170" s="22">
        <f>VLOOKUP(tabCustoUnit[[#This Row],[Código do Posto]],tabParametros[],MATCH(tabCustoUnit[[#Headers],[Materiais de Consumo]],tabParametros[#Headers],0),0)</f>
        <v>35.518212958583888</v>
      </c>
      <c r="BI170" s="22">
        <f>VLOOKUP(tabCustoUnit[[#This Row],[Código do Posto]],tabParametros[],MATCH(tabCustoUnit[[#Headers],[Máquinas e Equipamentos (depreciação)]],tabParametros[#Headers],0),0)</f>
        <v>64.529393914825576</v>
      </c>
      <c r="BJ170" s="22">
        <f>VLOOKUP(tabCustoUnit[[#This Row],[Código do Posto]],tabParametros[],MATCH(tabCustoUnit[[#Headers],[Produtos de Limpeza e Materiais de Higiene Pessoal]],tabParametros[#Headers],0),0)</f>
        <v>690.27153277931654</v>
      </c>
      <c r="BK170" s="22">
        <f>VLOOKUP(tabCustoUnit[[#This Row],[Código do Posto]],tabParametros[],MATCH(tabCustoUnit[[#Headers],[Outros (especificar)]],tabParametros[#Headers],0),0)</f>
        <v>0</v>
      </c>
      <c r="BL170" s="22">
        <f>SUM(tabCustoUnit[[#This Row],[Uniformes e EPIs]:[Outros (especificar)]])</f>
        <v>891.12830631939266</v>
      </c>
      <c r="BM170" s="22">
        <f>tabCustoUnit[[#This Row],[MODULO 1 - REMUNERAÇÃO ]]+tabCustoUnit[[#This Row],[MÓDULO 2 - Total Encargos e Benefícios mensais e diários]]+tabCustoUnit[[#This Row],[MÓDULO 3 – PROVISÃO PARA RESCISÃO]]+tabCustoUnit[[#This Row],[MÓDULO 4 – CUSTO DE REPOSIÇÃO DO PROFISSIONAL AUSENTE]]+tabCustoUnit[[#This Row],[MÓDULO 5 – INSUMOS DIVERSOS]]</f>
        <v>4617.4826602423636</v>
      </c>
      <c r="BN170" s="22">
        <f>VLOOKUP(tabCustoUnit[[#This Row],[Código do Posto]],tabParametros[],MATCH(tabCustoUnit[[#Headers],[Custos Indiretos]],tabParametros[#Headers],0),0)</f>
        <v>189.64880140242613</v>
      </c>
      <c r="BO170" s="22">
        <f>VLOOKUP(tabCustoUnit[[#This Row],[Código do Posto]],tabParametros[],MATCH(tabCustoUnit[[#Headers],[Lucro]],tabParametros[#Headers],0),0)</f>
        <v>159.30499317803796</v>
      </c>
      <c r="BP170" s="26">
        <f>((100/((1-tabCustoUnit[[#This Row],[Resumo de Alíquotas (PIS+CONFINS+ISS)]]))-100)*VLOOKUP(tabCustoUnit[[#This Row],[Código do Posto]],tabParametros[],MATCH(tabCustoUnit[[#Headers],[COFINS]],tabParametros[#Headers],0),0))/(tabCustoUnit[[#This Row],[Resumo de Alíquotas (PIS+CONFINS+ISS)]]*100)</f>
        <v>8.6609686609686695E-2</v>
      </c>
      <c r="BQ170" s="26">
        <f>((100/((100-(tabCustoUnit[[#This Row],[Resumo de Alíquotas (PIS+CONFINS+ISS)]]*100))%)-100)*VLOOKUP(tabCustoUnit[[#This Row],[Código do Posto]],tabParametros[],MATCH(tabCustoUnit[[#Headers],[PIS]],tabParametros[#Headers],0),0))/(tabCustoUnit[[#This Row],[Resumo de Alíquotas (PIS+CONFINS+ISS)]]*100)</f>
        <v>1.880341880341882E-2</v>
      </c>
      <c r="BR170" s="28">
        <f>VLOOKUP(tabCustoUnit[[#This Row],[Código do Posto]],tabParametros[],MATCH(tabCustoUnit[[#Headers],[ISS]],tabParametros[#Headers],0),0)</f>
        <v>0.03</v>
      </c>
      <c r="BS170" s="26">
        <f>(((100/((100-(tabCustoUnit[[#This Row],[Resumo de Alíquotas (PIS+CONFINS+ISS)]]*100))%)-100)*tabCustoUnit[[#This Row],[ISS]])/tabCustoUnit[[#This Row],[Resumo de Alíquotas (PIS+CONFINS+ISS)]])/100</f>
        <v>3.4188034188034219E-2</v>
      </c>
      <c r="BT170" s="26">
        <f>(VLOOKUP(tabCustoUnit[[#This Row],[Código do Posto]],tabParametros[],MATCH(tabCustoUnit[[#Headers],[COFINS]],tabParametros[#Headers],0),0)+
VLOOKUP(tabCustoUnit[[#This Row],[Código do Posto]],tabParametros[],MATCH(tabCustoUnit[[#Headers],[PIS]],tabParametros[#Headers],0),0)+
VLOOKUP(tabCustoUnit[[#This Row],[Código do Posto]],tabParametros[],MATCH(tabCustoUnit[[#Headers],[ISS]],tabParametros[#Headers],0),0))</f>
        <v>0.1225</v>
      </c>
      <c r="BU170" s="138">
        <f>tabCustoUnit[[#This Row],[COFINS]]+tabCustoUnit[[#This Row],[PIS]]+tabCustoUnit[[#This Row],[ISS (Conversão Alíquota s/ fatura)]]</f>
        <v>0.13960113960113973</v>
      </c>
      <c r="BV170" s="22">
        <f>(tabCustoUnit[[#This Row],[TOTAL MÓDULOS 1+2+3+4+5]]+tabCustoUnit[[#This Row],[Custos Indiretos]]+tabCustoUnit[[#This Row],[Lucro]])*tabCustoUnit[[#This Row],[PIS + COFINS + ISS (Total Conversão  Alíquota s/ Fatura)]]</f>
        <v>693.32018884991112</v>
      </c>
      <c r="BW170" s="22">
        <f>tabCustoUnit[[#This Row],[Custos Indiretos]]+tabCustoUnit[[#This Row],[Lucro]]+tabCustoUnit[[#This Row],[Valor dos Tributos (ISS, PIS, CONFINS)]]</f>
        <v>1042.2739834303752</v>
      </c>
      <c r="BX170" s="22">
        <f>tabCustoUnit[[#This Row],[TOTAL MÓDULOS 1+2+3+4+5]]+tabCustoUnit[[#This Row],[MÓDULO 6 – CUSTOS INDIRETOS, TRIBUTOS E LUCRO]]</f>
        <v>5659.7566436727393</v>
      </c>
      <c r="BY170" s="22">
        <f>tabCustoUnit[[#This Row],[CUSTO TOTAL MENSAL]]*12</f>
        <v>67917.079724072872</v>
      </c>
      <c r="BZ170" s="24">
        <f>VLOOKUP(tabCustoUnit[[#This Row],[Código do Posto]],tabParametros[],MATCH(tabCustoUnit[[#Headers],[ANO DA CCT]],tabParametros[#Headers],0),0)</f>
        <v>45658</v>
      </c>
      <c r="CA170" s="25" t="str">
        <f>VLOOKUP(tabCustoUnit[[#This Row],[Código do Posto]],tabParametros[],MATCH(tabCustoUnit[[#Headers],[Nº DE PEDIDO DA CCT]],tabParametros[#Headers],0),0)</f>
        <v>-</v>
      </c>
      <c r="CB170" s="25" t="str">
        <f>VLOOKUP(tabCustoUnit[[#This Row],[Código do Posto]],tabParametros[],MATCH(tabCustoUnit[[#Headers],[TERMO ADITIVO ALTERAÇÃO DA CCT]],tabParametros[#Headers],0),0)</f>
        <v>-</v>
      </c>
    </row>
    <row r="171" spans="1:80" x14ac:dyDescent="0.25">
      <c r="A171" s="20" t="s">
        <v>1507</v>
      </c>
      <c r="B171" t="s">
        <v>155</v>
      </c>
      <c r="C171" t="s">
        <v>1245</v>
      </c>
      <c r="D171" t="s">
        <v>992</v>
      </c>
      <c r="E171" s="20" t="s">
        <v>9</v>
      </c>
      <c r="F171" s="20" t="s">
        <v>10</v>
      </c>
      <c r="G171" s="21">
        <v>1596.28</v>
      </c>
      <c r="H171" s="21">
        <v>0</v>
      </c>
      <c r="I171" s="21">
        <v>0</v>
      </c>
      <c r="J171" s="21">
        <v>0</v>
      </c>
      <c r="K171" s="21">
        <v>0</v>
      </c>
      <c r="L171" s="21">
        <v>0</v>
      </c>
      <c r="M171" s="21">
        <v>0</v>
      </c>
      <c r="N171" s="21">
        <v>52.241900000000001</v>
      </c>
      <c r="O171" s="21">
        <f>SUM(tabCustoUnit[[#This Row],[Salário Base]:[Adicional de Acúmulo de função]])</f>
        <v>1648.5219</v>
      </c>
      <c r="P171" s="21">
        <f>tabCustoUnit[[#This Row],[MODULO 1 - REMUNERAÇÃO ]]*SUMIFS(tabParametros[INSS],tabParametros[Código do Posto],tabCustoUnit[[#This Row],[Código do Posto]])</f>
        <v>329.70438000000001</v>
      </c>
      <c r="Q171" s="21">
        <f>tabCustoUnit[[#This Row],[MODULO 1 - REMUNERAÇÃO ]]*SUMIFS(tabParametros[SESI OU SESC],tabParametros[Código do Posto],tabCustoUnit[[#This Row],[Código do Posto]])</f>
        <v>24.727828499999998</v>
      </c>
      <c r="R171" s="21">
        <f>tabCustoUnit[[#This Row],[MODULO 1 - REMUNERAÇÃO ]]*SUMIFS(tabParametros[SENAI OU SENAC],tabParametros[Código do Posto],tabCustoUnit[[#This Row],[Código do Posto]])</f>
        <v>16.485219000000001</v>
      </c>
      <c r="S171" s="21">
        <f>tabCustoUnit[[#This Row],[MODULO 1 - REMUNERAÇÃO ]]*SUMIFS(tabParametros[INCRA],tabParametros[Código do Posto],tabCustoUnit[[#This Row],[Código do Posto]])</f>
        <v>3.2970438</v>
      </c>
      <c r="T171" s="21">
        <f>tabCustoUnit[[#This Row],[MODULO 1 - REMUNERAÇÃO ]]*SUMIFS(tabParametros[Salário Educação],tabParametros[Código do Posto],tabCustoUnit[[#This Row],[Código do Posto]])</f>
        <v>41.213047500000002</v>
      </c>
      <c r="U171" s="21">
        <f>tabCustoUnit[[#This Row],[MODULO 1 - REMUNERAÇÃO ]]*SUMIFS(tabParametros[FGTS],tabParametros[Código do Posto],tabCustoUnit[[#This Row],[Código do Posto]])</f>
        <v>131.88175200000001</v>
      </c>
      <c r="V171" s="21">
        <f>tabCustoUnit[[#This Row],[MODULO 1 - REMUNERAÇÃO ]]*SUMIFS(tabParametros[RAT Ajustado],tabParametros[Código do Posto],tabCustoUnit[[#This Row],[Código do Posto]])</f>
        <v>65.940876000000003</v>
      </c>
      <c r="W171" s="21">
        <f>tabCustoUnit[[#This Row],[MODULO 1 - REMUNERAÇÃO ]]*SUMIFS(tabParametros[SEBRAE],tabParametros[Código do Posto],tabCustoUnit[[#This Row],[Código do Posto]])</f>
        <v>9.8911314000000008</v>
      </c>
      <c r="X171" s="21">
        <f>SUM(tabCustoUnit[[#This Row],[INSS]:[SEBRAE]])</f>
        <v>623.14127819999999</v>
      </c>
      <c r="Y171" s="21">
        <f>tabCustoUnit[[#This Row],[MODULO 1 - REMUNERAÇÃO ]]*SUMIFS(tabParametros[13º salário (titular)],tabParametros[Código do Posto],tabCustoUnit[[#This Row],[Código do Posto]])</f>
        <v>137.376825</v>
      </c>
      <c r="Z171" s="21">
        <f>tabCustoUnit[[#This Row],[MODULO 1 - REMUNERAÇÃO ]]*SUMIFS(tabParametros[Férias e Adicional de Férias (titular)],tabParametros[Código do Posto],tabCustoUnit[[#This Row],[Código do Posto]])</f>
        <v>183.16909999999999</v>
      </c>
      <c r="AA171" s="21">
        <f>IFERROR((tabCustoUnit[[#This Row],[Submódulo 2.1]]/tabCustoUnit[[#This Row],[MODULO 1 - REMUNERAÇÃO ]])*SUM(tabCustoUnit[[#This Row],[13º salário (titular)]:[Férias e Adicional de Férias (titular)]]),0)</f>
        <v>121.16635965</v>
      </c>
      <c r="AB171" s="21">
        <f>SUM(tabCustoUnit[[#This Row],[13º salário (titular)]:[Incidência do Submódulo 2.1 sobre 13º Salário, Férias e Adicional de Férias]])</f>
        <v>441.71228465000002</v>
      </c>
      <c r="AC171" s="22">
        <f>_xlfn.LET(_xlpm.VT,SUMIF(tabParametros[Código do Posto],tabCustoUnit[[#This Row],[Código do Posto]],tabParametros[Vale - Transporte])*2*20,
IF((_xlpm.VT-tabCustoUnit[[#This Row],[Salário Base]]*0.06)&gt;=0,(_xlpm.VT-tabCustoUnit[[#This Row],[Salário Base]]*0.06),0)
)</f>
        <v>160.22320000000002</v>
      </c>
      <c r="AD171" s="22">
        <f>IF(SUMIF(tabParametros[Código do Posto],tabCustoUnit[[#This Row],[Código do Posto]],tabParametros[Vale - Alimentação])&lt;=0,0,
SUMIF(tabParametros[Código do Posto],tabCustoUnit[[#This Row],[Código do Posto]],tabParametros[Vale - Alimentação])*20-1)</f>
        <v>0</v>
      </c>
      <c r="AE171" s="22">
        <f>SUMIF(tabParametros[Código do Posto],tabCustoUnit[[#This Row],[Código do Posto]],tabParametros[Cesta Básica])</f>
        <v>387.79</v>
      </c>
      <c r="AF171" s="22">
        <f>SUMIF(tabParametros[Código do Posto],tabCustoUnit[[#This Row],[Código do Posto]],tabParametros[PAF])</f>
        <v>42.97</v>
      </c>
      <c r="AG171" s="22">
        <f>SUMIF(tabParametros[Código do Posto],tabCustoUnit[[#This Row],[Código do Posto]],tabParametros[PQM])</f>
        <v>0</v>
      </c>
      <c r="AH171" s="22">
        <f>SUMIF(tabParametros[Código do Posto],tabCustoUnit[[#This Row],[Código do Posto]],tabParametros[PAT])</f>
        <v>0</v>
      </c>
      <c r="AI171" s="22">
        <f>SUMIF(tabParametros[Código do Posto],tabCustoUnit[[#This Row],[Código do Posto]],tabParametros[Seguro de Vida])</f>
        <v>3.36</v>
      </c>
      <c r="AJ171" s="22">
        <f>SUMIF(tabParametros[Código do Posto],tabCustoUnit[[#This Row],[Código do Posto]],tabParametros[Despesas de Viagem])</f>
        <v>0</v>
      </c>
      <c r="AK171" s="22">
        <f>SUM(tabCustoUnit[[#This Row],[Vale - Transporte (Descontada parcela do empregado)]:[Despesas de Viagem]])</f>
        <v>594.34320000000014</v>
      </c>
      <c r="AL171" s="22">
        <f>tabCustoUnit[[#This Row],[Submódulo 2.1]]+tabCustoUnit[[#This Row],[Submódulo 2.2]]+tabCustoUnit[[#This Row],[Submódulo 2.3]]</f>
        <v>1659.1967628500001</v>
      </c>
      <c r="AM171" s="22">
        <f>SUMIF(tabParametros[Código do Posto],tabCustoUnit[[#This Row],[Código do Posto]],tabParametros[Aviso Prévio Indenizado (API) e Reflexo do Aviso Prévio Indenizado])*tabCustoUnit[[#This Row],[MODULO 1 - REMUNERAÇÃO ]]</f>
        <v>11.559051416493055</v>
      </c>
      <c r="AN171" s="22">
        <f>SUMIF(tabParametros[Código do Posto],tabCustoUnit[[#This Row],[Código do Posto]],tabParametros[Incidência do FGTS sobre API e Reflexo do API])*tabCustoUnit[[#This Row],[MODULO 1 - REMUNERAÇÃO ]]</f>
        <v>0.92472411331944449</v>
      </c>
      <c r="AO171" s="22">
        <f>SUMIF(tabParametros[Código do Posto],tabCustoUnit[[#This Row],[Código do Posto]],tabParametros[Multa Rescisória do FGTS sobre o Aviso Prévio Indenizado])*tabCustoUnit[[#This Row],[MODULO 1 - REMUNERAÇÃO ]]</f>
        <v>0.36988964532777785</v>
      </c>
      <c r="AP171" s="22">
        <f>SUMIF(tabParametros[Código do Posto],tabCustoUnit[[#This Row],[Código do Posto]],tabParametros[Aviso Prévio Trabalhado - APT])*tabCustoUnit[[#This Row],[MODULO 1 - REMUNERAÇÃO ]]</f>
        <v>5.7698266500000006</v>
      </c>
      <c r="AQ171" s="22">
        <f>SUMIF(tabParametros[Código do Posto],tabCustoUnit[[#This Row],[Código do Posto]],tabParametros[Incidência dos encargos do submódulo 2.1 sobre Aviso Prévio Trabalhado])*tabCustoUnit[[#This Row],[MODULO 1 - REMUNERAÇÃO ]]</f>
        <v>2.1809944737000007</v>
      </c>
      <c r="AR171" s="22">
        <f>SUMIF(tabParametros[Código do Posto],tabCustoUnit[[#This Row],[Código do Posto]],tabParametros[Multa Rescisória do FGTS])*tabCustoUnit[[#This Row],[MODULO 1 - REMUNERAÇÃO ]]</f>
        <v>50.40813631999999</v>
      </c>
      <c r="AS171" s="22">
        <f>SUMIF(tabParametros[Código do Posto],tabCustoUnit[[#This Row],[Código do Posto]],tabParametros[Indenização Adicional (Art. 9º da Lei nº 7.238/84)])*tabCustoUnit[[#This Row],[MODULO 1 - REMUNERAÇÃO ]]</f>
        <v>1.3737682500000001</v>
      </c>
      <c r="AT171" s="22">
        <f>SUM(tabCustoUnit[[#This Row],[Aviso Prévio Indenizado (API) e Reflexo do Aviso Prévio Indenizado]:[Indenização Adicional (Art. 9º da Lei nº 7.238/84)]])</f>
        <v>72.586390868840269</v>
      </c>
      <c r="AU171" s="22">
        <f>SUMIF(tabParametros[Código do Posto],tabCustoUnit[[#This Row],[Código do Posto]],tabParametros[Ausência por Doença])*tabCustoUnit[[#This Row],[MODULO 1 - REMUNERAÇÃO ]]</f>
        <v>13.920851599999999</v>
      </c>
      <c r="AV171" s="22">
        <f>SUMIF(tabParametros[Código do Posto],tabCustoUnit[[#This Row],[Código do Posto]],tabParametros[Ausências Legais])*tabCustoUnit[[#This Row],[MODULO 1 - REMUNERAÇÃO ]]</f>
        <v>3.3428360749999997</v>
      </c>
      <c r="AW171" s="22">
        <f>SUMIF(tabParametros[Código do Posto],tabCustoUnit[[#This Row],[Código do Posto]],tabParametros[Licença Paternidade])*tabCustoUnit[[#This Row],[MODULO 1 - REMUNERAÇÃO ]]</f>
        <v>0.28162249125</v>
      </c>
      <c r="AX171" s="22">
        <f>SUMIF(tabParametros[Código do Posto],tabCustoUnit[[#This Row],[Código do Posto]],tabParametros[Ausência por Acidente de Trabalho])*tabCustoUnit[[#This Row],[MODULO 1 - REMUNERAÇÃO ]]</f>
        <v>0.34344206250000003</v>
      </c>
      <c r="AY171" s="22">
        <f>SUMIF(tabParametros[Código do Posto],tabCustoUnit[[#This Row],[Código do Posto]],tabParametros[Férias, Adicional de Férias e 13º  com empregada em gozo de Licença Maternidade])*tabCustoUnit[[#This Row],[MODULO 1 - REMUNERAÇÃO ]]</f>
        <v>2.1369728333333331</v>
      </c>
      <c r="AZ171" s="22">
        <f>SUMIF(tabParametros[Código do Posto],tabCustoUnit[[#This Row],[Código do Posto]],tabParametros[Incidência do Submódulo 2.1 sobre Ausências Legais])*tabCustoUnit[[#This Row],[MODULO 1 - REMUNERAÇÃO ]]</f>
        <v>7.5697240734675013</v>
      </c>
      <c r="BA171" s="22">
        <f>SUM(tabCustoUnit[[#This Row],[Ausência por Doença]:[Incidência do Submódulo 2.1 sobre Ausências Legais]])</f>
        <v>27.595449135550833</v>
      </c>
      <c r="BB171" s="22">
        <f>SUMIF(tabParametros[Código do Posto],tabCustoUnit[[#This Row],[Código do Posto]],tabParametros[Intervalo para Repouso ou Alimentação])</f>
        <v>0</v>
      </c>
      <c r="BC171" s="22">
        <f>tabCustoUnit[[#This Row],[Intervalo para Repouso ou Alimentação]]</f>
        <v>0</v>
      </c>
      <c r="BD171" s="22">
        <f>IF(VLOOKUP(tabCustoUnit[[#This Row],[Código do Posto]],PARAMETROS!$A$4:$BJ$255,7,0)&lt;=0,0,
IFERROR((tabCustoUnit[[#This Row],[MODULO 1 - REMUNERAÇÃO ]]*VLOOKUP(tabCustoUnit[[#This Row],[Código do Posto]],PARAMETROS!$A$4:$BJ$255,49,0))/(VLOOKUP(tabCustoUnit[[#This Row],[Código do Posto]],PARAMETROS!$A$4:$BJ$255,7,0)*VLOOKUP(tabCustoUnit[[#This Row],[Código do Posto]],PARAMETROS!$A$4:$BJ$255,8,0)),0)
)</f>
        <v>0</v>
      </c>
      <c r="BE171" s="22">
        <f>tabCustoUnit[[#This Row],[Suspensão Temporária do Contrato de Trabalho]]</f>
        <v>0</v>
      </c>
      <c r="BF171" s="22">
        <f>tabCustoUnit[[#This Row],[Submódulo 4.1]]+tabCustoUnit[[#This Row],[Submódulo 4.2]]+tabCustoUnit[[#This Row],[Submódulo 4.3]]</f>
        <v>27.595449135550833</v>
      </c>
      <c r="BG171" s="22">
        <f>VLOOKUP(tabCustoUnit[[#This Row],[Código do Posto]],tabParametros[],MATCH(tabCustoUnit[[#Headers],[Uniformes e EPIs]],tabParametros[#Headers],0),0)</f>
        <v>100.80916666666666</v>
      </c>
      <c r="BH171" s="22">
        <f>VLOOKUP(tabCustoUnit[[#This Row],[Código do Posto]],tabParametros[],MATCH(tabCustoUnit[[#Headers],[Materiais de Consumo]],tabParametros[#Headers],0),0)</f>
        <v>35.518212958583888</v>
      </c>
      <c r="BI171" s="22">
        <f>VLOOKUP(tabCustoUnit[[#This Row],[Código do Posto]],tabParametros[],MATCH(tabCustoUnit[[#Headers],[Máquinas e Equipamentos (depreciação)]],tabParametros[#Headers],0),0)</f>
        <v>64.529393914825576</v>
      </c>
      <c r="BJ171" s="22">
        <f>VLOOKUP(tabCustoUnit[[#This Row],[Código do Posto]],tabParametros[],MATCH(tabCustoUnit[[#Headers],[Produtos de Limpeza e Materiais de Higiene Pessoal]],tabParametros[#Headers],0),0)</f>
        <v>690.27153277931654</v>
      </c>
      <c r="BK171" s="22">
        <f>VLOOKUP(tabCustoUnit[[#This Row],[Código do Posto]],tabParametros[],MATCH(tabCustoUnit[[#Headers],[Outros (especificar)]],tabParametros[#Headers],0),0)</f>
        <v>0</v>
      </c>
      <c r="BL171" s="22">
        <f>SUM(tabCustoUnit[[#This Row],[Uniformes e EPIs]:[Outros (especificar)]])</f>
        <v>891.12830631939266</v>
      </c>
      <c r="BM171" s="22">
        <f>tabCustoUnit[[#This Row],[MODULO 1 - REMUNERAÇÃO ]]+tabCustoUnit[[#This Row],[MÓDULO 2 - Total Encargos e Benefícios mensais e diários]]+tabCustoUnit[[#This Row],[MÓDULO 3 – PROVISÃO PARA RESCISÃO]]+tabCustoUnit[[#This Row],[MÓDULO 4 – CUSTO DE REPOSIÇÃO DO PROFISSIONAL AUSENTE]]+tabCustoUnit[[#This Row],[MÓDULO 5 – INSUMOS DIVERSOS]]</f>
        <v>4299.0288091737839</v>
      </c>
      <c r="BN171" s="22">
        <f>VLOOKUP(tabCustoUnit[[#This Row],[Código do Posto]],tabParametros[],MATCH(tabCustoUnit[[#Headers],[Custos Indiretos]],tabParametros[#Headers],0),0)</f>
        <v>189.64880140242613</v>
      </c>
      <c r="BO171" s="22">
        <f>VLOOKUP(tabCustoUnit[[#This Row],[Código do Posto]],tabParametros[],MATCH(tabCustoUnit[[#Headers],[Lucro]],tabParametros[#Headers],0),0)</f>
        <v>159.30499317803796</v>
      </c>
      <c r="BP171" s="26">
        <f>((100/((1-tabCustoUnit[[#This Row],[Resumo de Alíquotas (PIS+CONFINS+ISS)]]))-100)*VLOOKUP(tabCustoUnit[[#This Row],[Código do Posto]],tabParametros[],MATCH(tabCustoUnit[[#Headers],[COFINS]],tabParametros[#Headers],0),0))/(tabCustoUnit[[#This Row],[Resumo de Alíquotas (PIS+CONFINS+ISS)]]*100)</f>
        <v>8.7608069164265154E-2</v>
      </c>
      <c r="BQ171" s="26">
        <f>((100/((100-(tabCustoUnit[[#This Row],[Resumo de Alíquotas (PIS+CONFINS+ISS)]]*100))%)-100)*VLOOKUP(tabCustoUnit[[#This Row],[Código do Posto]],tabParametros[],MATCH(tabCustoUnit[[#Headers],[PIS]],tabParametros[#Headers],0),0))/(tabCustoUnit[[#This Row],[Resumo de Alíquotas (PIS+CONFINS+ISS)]]*100)</f>
        <v>1.9020172910662814E-2</v>
      </c>
      <c r="BR171" s="28">
        <f>VLOOKUP(tabCustoUnit[[#This Row],[Código do Posto]],tabParametros[],MATCH(tabCustoUnit[[#Headers],[ISS]],tabParametros[#Headers],0),0)</f>
        <v>0.04</v>
      </c>
      <c r="BS171" s="26">
        <f>(((100/((100-(tabCustoUnit[[#This Row],[Resumo de Alíquotas (PIS+CONFINS+ISS)]]*100))%)-100)*tabCustoUnit[[#This Row],[ISS]])/tabCustoUnit[[#This Row],[Resumo de Alíquotas (PIS+CONFINS+ISS)]])/100</f>
        <v>4.6109510086455294E-2</v>
      </c>
      <c r="BT171" s="26">
        <f>(VLOOKUP(tabCustoUnit[[#This Row],[Código do Posto]],tabParametros[],MATCH(tabCustoUnit[[#Headers],[COFINS]],tabParametros[#Headers],0),0)+
VLOOKUP(tabCustoUnit[[#This Row],[Código do Posto]],tabParametros[],MATCH(tabCustoUnit[[#Headers],[PIS]],tabParametros[#Headers],0),0)+
VLOOKUP(tabCustoUnit[[#This Row],[Código do Posto]],tabParametros[],MATCH(tabCustoUnit[[#Headers],[ISS]],tabParametros[#Headers],0),0))</f>
        <v>0.13250000000000001</v>
      </c>
      <c r="BU171" s="138">
        <f>tabCustoUnit[[#This Row],[COFINS]]+tabCustoUnit[[#This Row],[PIS]]+tabCustoUnit[[#This Row],[ISS (Conversão Alíquota s/ fatura)]]</f>
        <v>0.15273775216138324</v>
      </c>
      <c r="BV171" s="22">
        <f>(tabCustoUnit[[#This Row],[TOTAL MÓDULOS 1+2+3+4+5]]+tabCustoUnit[[#This Row],[Custos Indiretos]]+tabCustoUnit[[#This Row],[Lucro]])*tabCustoUnit[[#This Row],[PIS + COFINS + ISS (Total Conversão  Alíquota s/ Fatura)]]</f>
        <v>709.92241498263706</v>
      </c>
      <c r="BW171" s="22">
        <f>tabCustoUnit[[#This Row],[Custos Indiretos]]+tabCustoUnit[[#This Row],[Lucro]]+tabCustoUnit[[#This Row],[Valor dos Tributos (ISS, PIS, CONFINS)]]</f>
        <v>1058.8762095631012</v>
      </c>
      <c r="BX171" s="22">
        <f>tabCustoUnit[[#This Row],[TOTAL MÓDULOS 1+2+3+4+5]]+tabCustoUnit[[#This Row],[MÓDULO 6 – CUSTOS INDIRETOS, TRIBUTOS E LUCRO]]</f>
        <v>5357.9050187368848</v>
      </c>
      <c r="BY171" s="22">
        <f>tabCustoUnit[[#This Row],[CUSTO TOTAL MENSAL]]*12</f>
        <v>64294.860224842618</v>
      </c>
      <c r="BZ171" s="24">
        <f>VLOOKUP(tabCustoUnit[[#This Row],[Código do Posto]],tabParametros[],MATCH(tabCustoUnit[[#Headers],[ANO DA CCT]],tabParametros[#Headers],0),0)</f>
        <v>45658</v>
      </c>
      <c r="CA171" s="25" t="str">
        <f>VLOOKUP(tabCustoUnit[[#This Row],[Código do Posto]],tabParametros[],MATCH(tabCustoUnit[[#Headers],[Nº DE PEDIDO DA CCT]],tabParametros[#Headers],0),0)</f>
        <v>-</v>
      </c>
      <c r="CB171" s="25" t="str">
        <f>VLOOKUP(tabCustoUnit[[#This Row],[Código do Posto]],tabParametros[],MATCH(tabCustoUnit[[#Headers],[TERMO ADITIVO ALTERAÇÃO DA CCT]],tabParametros[#Headers],0),0)</f>
        <v>-</v>
      </c>
    </row>
    <row r="172" spans="1:80" x14ac:dyDescent="0.25">
      <c r="A172" s="20" t="s">
        <v>1508</v>
      </c>
      <c r="B172" t="s">
        <v>156</v>
      </c>
      <c r="C172" t="s">
        <v>1246</v>
      </c>
      <c r="D172" t="s">
        <v>1010</v>
      </c>
      <c r="E172" s="20" t="s">
        <v>9</v>
      </c>
      <c r="F172" s="20" t="s">
        <v>10</v>
      </c>
      <c r="G172" s="21">
        <v>1088.3699999999999</v>
      </c>
      <c r="H172" s="21">
        <v>0</v>
      </c>
      <c r="I172" s="21">
        <v>0</v>
      </c>
      <c r="J172" s="21">
        <v>0</v>
      </c>
      <c r="K172" s="21">
        <v>0</v>
      </c>
      <c r="L172" s="21">
        <v>0</v>
      </c>
      <c r="M172" s="21">
        <v>0</v>
      </c>
      <c r="N172" s="21">
        <v>39.1813</v>
      </c>
      <c r="O172" s="21">
        <f>SUM(tabCustoUnit[[#This Row],[Salário Base]:[Adicional de Acúmulo de função]])</f>
        <v>1127.5512999999999</v>
      </c>
      <c r="P172" s="21">
        <f>tabCustoUnit[[#This Row],[MODULO 1 - REMUNERAÇÃO ]]*SUMIFS(tabParametros[INSS],tabParametros[Código do Posto],tabCustoUnit[[#This Row],[Código do Posto]])</f>
        <v>225.51025999999999</v>
      </c>
      <c r="Q172" s="21">
        <f>tabCustoUnit[[#This Row],[MODULO 1 - REMUNERAÇÃO ]]*SUMIFS(tabParametros[SESI OU SESC],tabParametros[Código do Posto],tabCustoUnit[[#This Row],[Código do Posto]])</f>
        <v>16.913269499999998</v>
      </c>
      <c r="R172" s="21">
        <f>tabCustoUnit[[#This Row],[MODULO 1 - REMUNERAÇÃO ]]*SUMIFS(tabParametros[SENAI OU SENAC],tabParametros[Código do Posto],tabCustoUnit[[#This Row],[Código do Posto]])</f>
        <v>11.275512999999998</v>
      </c>
      <c r="S172" s="21">
        <f>tabCustoUnit[[#This Row],[MODULO 1 - REMUNERAÇÃO ]]*SUMIFS(tabParametros[INCRA],tabParametros[Código do Posto],tabCustoUnit[[#This Row],[Código do Posto]])</f>
        <v>2.2551025999999998</v>
      </c>
      <c r="T172" s="21">
        <f>tabCustoUnit[[#This Row],[MODULO 1 - REMUNERAÇÃO ]]*SUMIFS(tabParametros[Salário Educação],tabParametros[Código do Posto],tabCustoUnit[[#This Row],[Código do Posto]])</f>
        <v>28.188782499999999</v>
      </c>
      <c r="U172" s="21">
        <f>tabCustoUnit[[#This Row],[MODULO 1 - REMUNERAÇÃO ]]*SUMIFS(tabParametros[FGTS],tabParametros[Código do Posto],tabCustoUnit[[#This Row],[Código do Posto]])</f>
        <v>90.204103999999987</v>
      </c>
      <c r="V172" s="21">
        <f>tabCustoUnit[[#This Row],[MODULO 1 - REMUNERAÇÃO ]]*SUMIFS(tabParametros[RAT Ajustado],tabParametros[Código do Posto],tabCustoUnit[[#This Row],[Código do Posto]])</f>
        <v>45.102051999999993</v>
      </c>
      <c r="W172" s="21">
        <f>tabCustoUnit[[#This Row],[MODULO 1 - REMUNERAÇÃO ]]*SUMIFS(tabParametros[SEBRAE],tabParametros[Código do Posto],tabCustoUnit[[#This Row],[Código do Posto]])</f>
        <v>6.7653077999999995</v>
      </c>
      <c r="X172" s="21">
        <f>SUM(tabCustoUnit[[#This Row],[INSS]:[SEBRAE]])</f>
        <v>426.21439139999995</v>
      </c>
      <c r="Y172" s="21">
        <f>tabCustoUnit[[#This Row],[MODULO 1 - REMUNERAÇÃO ]]*SUMIFS(tabParametros[13º salário (titular)],tabParametros[Código do Posto],tabCustoUnit[[#This Row],[Código do Posto]])</f>
        <v>93.962608333333321</v>
      </c>
      <c r="Z172" s="21">
        <f>tabCustoUnit[[#This Row],[MODULO 1 - REMUNERAÇÃO ]]*SUMIFS(tabParametros[Férias e Adicional de Férias (titular)],tabParametros[Código do Posto],tabCustoUnit[[#This Row],[Código do Posto]])</f>
        <v>125.28347777777776</v>
      </c>
      <c r="AA172" s="21">
        <f>IFERROR((tabCustoUnit[[#This Row],[Submódulo 2.1]]/tabCustoUnit[[#This Row],[MODULO 1 - REMUNERAÇÃO ]])*SUM(tabCustoUnit[[#This Row],[13º salário (titular)]:[Férias e Adicional de Férias (titular)]]),0)</f>
        <v>82.875020549999988</v>
      </c>
      <c r="AB172" s="21">
        <f>SUM(tabCustoUnit[[#This Row],[13º salário (titular)]:[Incidência do Submódulo 2.1 sobre 13º Salário, Férias e Adicional de Férias]])</f>
        <v>302.12110666111107</v>
      </c>
      <c r="AC172" s="22">
        <f>_xlfn.LET(_xlpm.VT,SUMIF(tabParametros[Código do Posto],tabCustoUnit[[#This Row],[Código do Posto]],tabParametros[Vale - Transporte])*2*20,
IF((_xlpm.VT-tabCustoUnit[[#This Row],[Salário Base]]*0.06)&gt;=0,(_xlpm.VT-tabCustoUnit[[#This Row],[Salário Base]]*0.06),0)
)</f>
        <v>190.69780000000003</v>
      </c>
      <c r="AD172" s="22">
        <f>IF(SUMIF(tabParametros[Código do Posto],tabCustoUnit[[#This Row],[Código do Posto]],tabParametros[Vale - Alimentação])&lt;=0,0,
SUMIF(tabParametros[Código do Posto],tabCustoUnit[[#This Row],[Código do Posto]],tabParametros[Vale - Alimentação])*20-1)</f>
        <v>582</v>
      </c>
      <c r="AE172" s="22">
        <f>SUMIF(tabParametros[Código do Posto],tabCustoUnit[[#This Row],[Código do Posto]],tabParametros[Cesta Básica])</f>
        <v>0</v>
      </c>
      <c r="AF172" s="22">
        <f>SUMIF(tabParametros[Código do Posto],tabCustoUnit[[#This Row],[Código do Posto]],tabParametros[PAF])</f>
        <v>51.88</v>
      </c>
      <c r="AG172" s="22">
        <f>SUMIF(tabParametros[Código do Posto],tabCustoUnit[[#This Row],[Código do Posto]],tabParametros[PQM])</f>
        <v>0</v>
      </c>
      <c r="AH172" s="22">
        <f>SUMIF(tabParametros[Código do Posto],tabCustoUnit[[#This Row],[Código do Posto]],tabParametros[PAT])</f>
        <v>0</v>
      </c>
      <c r="AI172" s="22">
        <f>SUMIF(tabParametros[Código do Posto],tabCustoUnit[[#This Row],[Código do Posto]],tabParametros[Seguro de Vida])</f>
        <v>3.36</v>
      </c>
      <c r="AJ172" s="22">
        <f>SUMIF(tabParametros[Código do Posto],tabCustoUnit[[#This Row],[Código do Posto]],tabParametros[Despesas de Viagem])</f>
        <v>0</v>
      </c>
      <c r="AK172" s="22">
        <f>SUM(tabCustoUnit[[#This Row],[Vale - Transporte (Descontada parcela do empregado)]:[Despesas de Viagem]])</f>
        <v>827.93780000000004</v>
      </c>
      <c r="AL172" s="22">
        <f>tabCustoUnit[[#This Row],[Submódulo 2.1]]+tabCustoUnit[[#This Row],[Submódulo 2.2]]+tabCustoUnit[[#This Row],[Submódulo 2.3]]</f>
        <v>1556.2732980611111</v>
      </c>
      <c r="AM172" s="22">
        <f>SUMIF(tabParametros[Código do Posto],tabCustoUnit[[#This Row],[Código do Posto]],tabParametros[Aviso Prévio Indenizado (API) e Reflexo do Aviso Prévio Indenizado])*tabCustoUnit[[#This Row],[MODULO 1 - REMUNERAÇÃO ]]</f>
        <v>7.9061269683063262</v>
      </c>
      <c r="AN172" s="22">
        <f>SUMIF(tabParametros[Código do Posto],tabCustoUnit[[#This Row],[Código do Posto]],tabParametros[Incidência do FGTS sobre API e Reflexo do API])*tabCustoUnit[[#This Row],[MODULO 1 - REMUNERAÇÃO ]]</f>
        <v>0.6324901574645061</v>
      </c>
      <c r="AO172" s="22">
        <f>SUMIF(tabParametros[Código do Posto],tabCustoUnit[[#This Row],[Código do Posto]],tabParametros[Multa Rescisória do FGTS sobre o Aviso Prévio Indenizado])*tabCustoUnit[[#This Row],[MODULO 1 - REMUNERAÇÃO ]]</f>
        <v>0.25299606298580246</v>
      </c>
      <c r="AP172" s="22">
        <f>SUMIF(tabParametros[Código do Posto],tabCustoUnit[[#This Row],[Código do Posto]],tabParametros[Aviso Prévio Trabalhado - APT])*tabCustoUnit[[#This Row],[MODULO 1 - REMUNERAÇÃO ]]</f>
        <v>3.94642955</v>
      </c>
      <c r="AQ172" s="22">
        <f>SUMIF(tabParametros[Código do Posto],tabCustoUnit[[#This Row],[Código do Posto]],tabParametros[Incidência dos encargos do submódulo 2.1 sobre Aviso Prévio Trabalhado])*tabCustoUnit[[#This Row],[MODULO 1 - REMUNERAÇÃO ]]</f>
        <v>1.4917503699000003</v>
      </c>
      <c r="AR172" s="22">
        <f>SUMIF(tabParametros[Código do Posto],tabCustoUnit[[#This Row],[Código do Posto]],tabParametros[Multa Rescisória do FGTS])*tabCustoUnit[[#This Row],[MODULO 1 - REMUNERAÇÃO ]]</f>
        <v>34.478013084444434</v>
      </c>
      <c r="AS172" s="22">
        <f>SUMIF(tabParametros[Código do Posto],tabCustoUnit[[#This Row],[Código do Posto]],tabParametros[Indenização Adicional (Art. 9º da Lei nº 7.238/84)])*tabCustoUnit[[#This Row],[MODULO 1 - REMUNERAÇÃO ]]</f>
        <v>0.93962608333333331</v>
      </c>
      <c r="AT172" s="22">
        <f>SUM(tabCustoUnit[[#This Row],[Aviso Prévio Indenizado (API) e Reflexo do Aviso Prévio Indenizado]:[Indenização Adicional (Art. 9º da Lei nº 7.238/84)]])</f>
        <v>49.647432276434401</v>
      </c>
      <c r="AU172" s="22">
        <f>SUMIF(tabParametros[Código do Posto],tabCustoUnit[[#This Row],[Código do Posto]],tabParametros[Ausência por Doença])*tabCustoUnit[[#This Row],[MODULO 1 - REMUNERAÇÃO ]]</f>
        <v>9.5215443111111089</v>
      </c>
      <c r="AV172" s="22">
        <f>SUMIF(tabParametros[Código do Posto],tabCustoUnit[[#This Row],[Código do Posto]],tabParametros[Ausências Legais])*tabCustoUnit[[#This Row],[MODULO 1 - REMUNERAÇÃO ]]</f>
        <v>2.2864234694444439</v>
      </c>
      <c r="AW172" s="22">
        <f>SUMIF(tabParametros[Código do Posto],tabCustoUnit[[#This Row],[Código do Posto]],tabParametros[Licença Paternidade])*tabCustoUnit[[#This Row],[MODULO 1 - REMUNERAÇÃO ]]</f>
        <v>0.19262334708333331</v>
      </c>
      <c r="AX172" s="22">
        <f>SUMIF(tabParametros[Código do Posto],tabCustoUnit[[#This Row],[Código do Posto]],tabParametros[Ausência por Acidente de Trabalho])*tabCustoUnit[[#This Row],[MODULO 1 - REMUNERAÇÃO ]]</f>
        <v>0.23490652083333333</v>
      </c>
      <c r="AY172" s="22">
        <f>SUMIF(tabParametros[Código do Posto],tabCustoUnit[[#This Row],[Código do Posto]],tabParametros[Férias, Adicional de Férias e 13º  com empregada em gozo de Licença Maternidade])*tabCustoUnit[[#This Row],[MODULO 1 - REMUNERAÇÃO ]]</f>
        <v>1.4616405740740739</v>
      </c>
      <c r="AZ172" s="22">
        <f>SUMIF(tabParametros[Código do Posto],tabCustoUnit[[#This Row],[Código do Posto]],tabParametros[Incidência do Submódulo 2.1 sobre Ausências Legais])*tabCustoUnit[[#This Row],[MODULO 1 - REMUNERAÇÃO ]]</f>
        <v>5.1775182481225004</v>
      </c>
      <c r="BA172" s="22">
        <f>SUM(tabCustoUnit[[#This Row],[Ausência por Doença]:[Incidência do Submódulo 2.1 sobre Ausências Legais]])</f>
        <v>18.874656470668793</v>
      </c>
      <c r="BB172" s="22">
        <f>SUMIF(tabParametros[Código do Posto],tabCustoUnit[[#This Row],[Código do Posto]],tabParametros[Intervalo para Repouso ou Alimentação])</f>
        <v>0</v>
      </c>
      <c r="BC172" s="22">
        <f>tabCustoUnit[[#This Row],[Intervalo para Repouso ou Alimentação]]</f>
        <v>0</v>
      </c>
      <c r="BD172" s="22">
        <f>IF(VLOOKUP(tabCustoUnit[[#This Row],[Código do Posto]],PARAMETROS!$A$4:$BJ$255,7,0)&lt;=0,0,
IFERROR((tabCustoUnit[[#This Row],[MODULO 1 - REMUNERAÇÃO ]]*VLOOKUP(tabCustoUnit[[#This Row],[Código do Posto]],PARAMETROS!$A$4:$BJ$255,49,0))/(VLOOKUP(tabCustoUnit[[#This Row],[Código do Posto]],PARAMETROS!$A$4:$BJ$255,7,0)*VLOOKUP(tabCustoUnit[[#This Row],[Código do Posto]],PARAMETROS!$A$4:$BJ$255,8,0)),0)
)</f>
        <v>0</v>
      </c>
      <c r="BE172" s="22">
        <f>tabCustoUnit[[#This Row],[Suspensão Temporária do Contrato de Trabalho]]</f>
        <v>0</v>
      </c>
      <c r="BF172" s="22">
        <f>tabCustoUnit[[#This Row],[Submódulo 4.1]]+tabCustoUnit[[#This Row],[Submódulo 4.2]]+tabCustoUnit[[#This Row],[Submódulo 4.3]]</f>
        <v>18.874656470668793</v>
      </c>
      <c r="BG172" s="22">
        <f>VLOOKUP(tabCustoUnit[[#This Row],[Código do Posto]],tabParametros[],MATCH(tabCustoUnit[[#Headers],[Uniformes e EPIs]],tabParametros[#Headers],0),0)</f>
        <v>100.80916666666666</v>
      </c>
      <c r="BH172" s="22">
        <f>VLOOKUP(tabCustoUnit[[#This Row],[Código do Posto]],tabParametros[],MATCH(tabCustoUnit[[#Headers],[Materiais de Consumo]],tabParametros[#Headers],0),0)</f>
        <v>24.216963380852651</v>
      </c>
      <c r="BI172" s="22">
        <f>VLOOKUP(tabCustoUnit[[#This Row],[Código do Posto]],tabParametros[],MATCH(tabCustoUnit[[#Headers],[Máquinas e Equipamentos (depreciação)]],tabParametros[#Headers],0),0)</f>
        <v>43.997314032835618</v>
      </c>
      <c r="BJ172" s="22">
        <f>VLOOKUP(tabCustoUnit[[#This Row],[Código do Posto]],tabParametros[],MATCH(tabCustoUnit[[#Headers],[Produtos de Limpeza e Materiais de Higiene Pessoal]],tabParametros[#Headers],0),0)</f>
        <v>470.6396814404431</v>
      </c>
      <c r="BK172" s="22">
        <f>VLOOKUP(tabCustoUnit[[#This Row],[Código do Posto]],tabParametros[],MATCH(tabCustoUnit[[#Headers],[Outros (especificar)]],tabParametros[#Headers],0),0)</f>
        <v>0</v>
      </c>
      <c r="BL172" s="22">
        <f>SUM(tabCustoUnit[[#This Row],[Uniformes e EPIs]:[Outros (especificar)]])</f>
        <v>639.66312552079808</v>
      </c>
      <c r="BM172" s="22">
        <f>tabCustoUnit[[#This Row],[MODULO 1 - REMUNERAÇÃO ]]+tabCustoUnit[[#This Row],[MÓDULO 2 - Total Encargos e Benefícios mensais e diários]]+tabCustoUnit[[#This Row],[MÓDULO 3 – PROVISÃO PARA RESCISÃO]]+tabCustoUnit[[#This Row],[MÓDULO 4 – CUSTO DE REPOSIÇÃO DO PROFISSIONAL AUSENTE]]+tabCustoUnit[[#This Row],[MÓDULO 5 – INSUMOS DIVERSOS]]</f>
        <v>3392.0098123290122</v>
      </c>
      <c r="BN172" s="22">
        <f>VLOOKUP(tabCustoUnit[[#This Row],[Código do Posto]],tabParametros[],MATCH(tabCustoUnit[[#Headers],[Custos Indiretos]],tabParametros[#Headers],0),0)</f>
        <v>189.64880140242613</v>
      </c>
      <c r="BO172" s="22">
        <f>VLOOKUP(tabCustoUnit[[#This Row],[Código do Posto]],tabParametros[],MATCH(tabCustoUnit[[#Headers],[Lucro]],tabParametros[#Headers],0),0)</f>
        <v>159.30499317803796</v>
      </c>
      <c r="BP172" s="26">
        <f>((100/((1-tabCustoUnit[[#This Row],[Resumo de Alíquotas (PIS+CONFINS+ISS)]]))-100)*VLOOKUP(tabCustoUnit[[#This Row],[Código do Posto]],tabParametros[],MATCH(tabCustoUnit[[#Headers],[COFINS]],tabParametros[#Headers],0),0))/(tabCustoUnit[[#This Row],[Resumo de Alíquotas (PIS+CONFINS+ISS)]]*100)</f>
        <v>8.6609686609686695E-2</v>
      </c>
      <c r="BQ172" s="26">
        <f>((100/((100-(tabCustoUnit[[#This Row],[Resumo de Alíquotas (PIS+CONFINS+ISS)]]*100))%)-100)*VLOOKUP(tabCustoUnit[[#This Row],[Código do Posto]],tabParametros[],MATCH(tabCustoUnit[[#Headers],[PIS]],tabParametros[#Headers],0),0))/(tabCustoUnit[[#This Row],[Resumo de Alíquotas (PIS+CONFINS+ISS)]]*100)</f>
        <v>1.880341880341882E-2</v>
      </c>
      <c r="BR172" s="28">
        <f>VLOOKUP(tabCustoUnit[[#This Row],[Código do Posto]],tabParametros[],MATCH(tabCustoUnit[[#Headers],[ISS]],tabParametros[#Headers],0),0)</f>
        <v>0.03</v>
      </c>
      <c r="BS172" s="26">
        <f>(((100/((100-(tabCustoUnit[[#This Row],[Resumo de Alíquotas (PIS+CONFINS+ISS)]]*100))%)-100)*tabCustoUnit[[#This Row],[ISS]])/tabCustoUnit[[#This Row],[Resumo de Alíquotas (PIS+CONFINS+ISS)]])/100</f>
        <v>3.4188034188034219E-2</v>
      </c>
      <c r="BT172" s="26">
        <f>(VLOOKUP(tabCustoUnit[[#This Row],[Código do Posto]],tabParametros[],MATCH(tabCustoUnit[[#Headers],[COFINS]],tabParametros[#Headers],0),0)+
VLOOKUP(tabCustoUnit[[#This Row],[Código do Posto]],tabParametros[],MATCH(tabCustoUnit[[#Headers],[PIS]],tabParametros[#Headers],0),0)+
VLOOKUP(tabCustoUnit[[#This Row],[Código do Posto]],tabParametros[],MATCH(tabCustoUnit[[#Headers],[ISS]],tabParametros[#Headers],0),0))</f>
        <v>0.1225</v>
      </c>
      <c r="BU172" s="138">
        <f>tabCustoUnit[[#This Row],[COFINS]]+tabCustoUnit[[#This Row],[PIS]]+tabCustoUnit[[#This Row],[ISS (Conversão Alíquota s/ fatura)]]</f>
        <v>0.13960113960113973</v>
      </c>
      <c r="BV172" s="22">
        <f>(tabCustoUnit[[#This Row],[TOTAL MÓDULOS 1+2+3+4+5]]+tabCustoUnit[[#This Row],[Custos Indiretos]]+tabCustoUnit[[#This Row],[Lucro]])*tabCustoUnit[[#This Row],[PIS + COFINS + ISS (Total Conversão  Alíquota s/ Fatura)]]</f>
        <v>522.24278273095308</v>
      </c>
      <c r="BW172" s="22">
        <f>tabCustoUnit[[#This Row],[Custos Indiretos]]+tabCustoUnit[[#This Row],[Lucro]]+tabCustoUnit[[#This Row],[Valor dos Tributos (ISS, PIS, CONFINS)]]</f>
        <v>871.19657731141717</v>
      </c>
      <c r="BX172" s="22">
        <f>tabCustoUnit[[#This Row],[TOTAL MÓDULOS 1+2+3+4+5]]+tabCustoUnit[[#This Row],[MÓDULO 6 – CUSTOS INDIRETOS, TRIBUTOS E LUCRO]]</f>
        <v>4263.2063896404297</v>
      </c>
      <c r="BY172" s="22">
        <f>tabCustoUnit[[#This Row],[CUSTO TOTAL MENSAL]]*12</f>
        <v>51158.47667568516</v>
      </c>
      <c r="BZ172" s="24">
        <f>VLOOKUP(tabCustoUnit[[#This Row],[Código do Posto]],tabParametros[],MATCH(tabCustoUnit[[#Headers],[ANO DA CCT]],tabParametros[#Headers],0),0)</f>
        <v>45658</v>
      </c>
      <c r="CA172" s="25" t="str">
        <f>VLOOKUP(tabCustoUnit[[#This Row],[Código do Posto]],tabParametros[],MATCH(tabCustoUnit[[#Headers],[Nº DE PEDIDO DA CCT]],tabParametros[#Headers],0),0)</f>
        <v>-</v>
      </c>
      <c r="CB172" s="25" t="str">
        <f>VLOOKUP(tabCustoUnit[[#This Row],[Código do Posto]],tabParametros[],MATCH(tabCustoUnit[[#Headers],[TERMO ADITIVO ALTERAÇÃO DA CCT]],tabParametros[#Headers],0),0)</f>
        <v>-</v>
      </c>
    </row>
    <row r="173" spans="1:80" x14ac:dyDescent="0.25">
      <c r="A173" s="20" t="s">
        <v>1509</v>
      </c>
      <c r="B173" t="s">
        <v>157</v>
      </c>
      <c r="C173" t="s">
        <v>1247</v>
      </c>
      <c r="D173" t="s">
        <v>1026</v>
      </c>
      <c r="E173" s="20" t="s">
        <v>9</v>
      </c>
      <c r="F173" s="20" t="s">
        <v>10</v>
      </c>
      <c r="G173" s="21">
        <v>544.17999999999995</v>
      </c>
      <c r="H173" s="21">
        <v>0</v>
      </c>
      <c r="I173" s="21">
        <v>0</v>
      </c>
      <c r="J173" s="21">
        <v>0</v>
      </c>
      <c r="K173" s="21">
        <v>0</v>
      </c>
      <c r="L173" s="21">
        <v>0</v>
      </c>
      <c r="M173" s="21">
        <v>0</v>
      </c>
      <c r="N173" s="21">
        <v>19.590499999999999</v>
      </c>
      <c r="O173" s="21">
        <f>SUM(tabCustoUnit[[#This Row],[Salário Base]:[Adicional de Acúmulo de função]])</f>
        <v>563.77049999999997</v>
      </c>
      <c r="P173" s="21">
        <f>tabCustoUnit[[#This Row],[MODULO 1 - REMUNERAÇÃO ]]*SUMIFS(tabParametros[INSS],tabParametros[Código do Posto],tabCustoUnit[[#This Row],[Código do Posto]])</f>
        <v>112.75409999999999</v>
      </c>
      <c r="Q173" s="21">
        <f>tabCustoUnit[[#This Row],[MODULO 1 - REMUNERAÇÃO ]]*SUMIFS(tabParametros[SESI OU SESC],tabParametros[Código do Posto],tabCustoUnit[[#This Row],[Código do Posto]])</f>
        <v>8.4565574999999988</v>
      </c>
      <c r="R173" s="21">
        <f>tabCustoUnit[[#This Row],[MODULO 1 - REMUNERAÇÃO ]]*SUMIFS(tabParametros[SENAI OU SENAC],tabParametros[Código do Posto],tabCustoUnit[[#This Row],[Código do Posto]])</f>
        <v>5.6377049999999995</v>
      </c>
      <c r="S173" s="21">
        <f>tabCustoUnit[[#This Row],[MODULO 1 - REMUNERAÇÃO ]]*SUMIFS(tabParametros[INCRA],tabParametros[Código do Posto],tabCustoUnit[[#This Row],[Código do Posto]])</f>
        <v>1.1275409999999999</v>
      </c>
      <c r="T173" s="21">
        <f>tabCustoUnit[[#This Row],[MODULO 1 - REMUNERAÇÃO ]]*SUMIFS(tabParametros[Salário Educação],tabParametros[Código do Posto],tabCustoUnit[[#This Row],[Código do Posto]])</f>
        <v>14.094262499999999</v>
      </c>
      <c r="U173" s="21">
        <f>tabCustoUnit[[#This Row],[MODULO 1 - REMUNERAÇÃO ]]*SUMIFS(tabParametros[FGTS],tabParametros[Código do Posto],tabCustoUnit[[#This Row],[Código do Posto]])</f>
        <v>45.101639999999996</v>
      </c>
      <c r="V173" s="21">
        <f>tabCustoUnit[[#This Row],[MODULO 1 - REMUNERAÇÃO ]]*SUMIFS(tabParametros[RAT Ajustado],tabParametros[Código do Posto],tabCustoUnit[[#This Row],[Código do Posto]])</f>
        <v>22.550819999999998</v>
      </c>
      <c r="W173" s="21">
        <f>tabCustoUnit[[#This Row],[MODULO 1 - REMUNERAÇÃO ]]*SUMIFS(tabParametros[SEBRAE],tabParametros[Código do Posto],tabCustoUnit[[#This Row],[Código do Posto]])</f>
        <v>3.3826229999999997</v>
      </c>
      <c r="X173" s="21">
        <f>SUM(tabCustoUnit[[#This Row],[INSS]:[SEBRAE]])</f>
        <v>213.10524899999996</v>
      </c>
      <c r="Y173" s="21">
        <f>tabCustoUnit[[#This Row],[MODULO 1 - REMUNERAÇÃO ]]*SUMIFS(tabParametros[13º salário (titular)],tabParametros[Código do Posto],tabCustoUnit[[#This Row],[Código do Posto]])</f>
        <v>46.980874999999997</v>
      </c>
      <c r="Z173" s="21">
        <f>tabCustoUnit[[#This Row],[MODULO 1 - REMUNERAÇÃO ]]*SUMIFS(tabParametros[Férias e Adicional de Férias (titular)],tabParametros[Código do Posto],tabCustoUnit[[#This Row],[Código do Posto]])</f>
        <v>62.641166666666663</v>
      </c>
      <c r="AA173" s="21">
        <f>IFERROR((tabCustoUnit[[#This Row],[Submódulo 2.1]]/tabCustoUnit[[#This Row],[MODULO 1 - REMUNERAÇÃO ]])*SUM(tabCustoUnit[[#This Row],[13º salário (titular)]:[Férias e Adicional de Férias (titular)]]),0)</f>
        <v>41.437131749999992</v>
      </c>
      <c r="AB173" s="21">
        <f>SUM(tabCustoUnit[[#This Row],[13º salário (titular)]:[Incidência do Submódulo 2.1 sobre 13º Salário, Férias e Adicional de Férias]])</f>
        <v>151.05917341666665</v>
      </c>
      <c r="AC173" s="22">
        <f>_xlfn.LET(_xlpm.VT,SUMIF(tabParametros[Código do Posto],tabCustoUnit[[#This Row],[Código do Posto]],tabParametros[Vale - Transporte])*2*20,
IF((_xlpm.VT-tabCustoUnit[[#This Row],[Salário Base]]*0.06)&gt;=0,(_xlpm.VT-tabCustoUnit[[#This Row],[Salário Base]]*0.06),0)
)</f>
        <v>223.3492</v>
      </c>
      <c r="AD173" s="22">
        <f>IF(SUMIF(tabParametros[Código do Posto],tabCustoUnit[[#This Row],[Código do Posto]],tabParametros[Vale - Alimentação])&lt;=0,0,
SUMIF(tabParametros[Código do Posto],tabCustoUnit[[#This Row],[Código do Posto]],tabParametros[Vale - Alimentação])*20-1)</f>
        <v>582</v>
      </c>
      <c r="AE173" s="22">
        <f>SUMIF(tabParametros[Código do Posto],tabCustoUnit[[#This Row],[Código do Posto]],tabParametros[Cesta Básica])</f>
        <v>0</v>
      </c>
      <c r="AF173" s="22">
        <f>SUMIF(tabParametros[Código do Posto],tabCustoUnit[[#This Row],[Código do Posto]],tabParametros[PAF])</f>
        <v>0</v>
      </c>
      <c r="AG173" s="22">
        <f>SUMIF(tabParametros[Código do Posto],tabCustoUnit[[#This Row],[Código do Posto]],tabParametros[PQM])</f>
        <v>15.07</v>
      </c>
      <c r="AH173" s="22">
        <f>SUMIF(tabParametros[Código do Posto],tabCustoUnit[[#This Row],[Código do Posto]],tabParametros[PAT])</f>
        <v>0</v>
      </c>
      <c r="AI173" s="22">
        <f>SUMIF(tabParametros[Código do Posto],tabCustoUnit[[#This Row],[Código do Posto]],tabParametros[Seguro de Vida])</f>
        <v>3.36</v>
      </c>
      <c r="AJ173" s="22">
        <f>SUMIF(tabParametros[Código do Posto],tabCustoUnit[[#This Row],[Código do Posto]],tabParametros[Despesas de Viagem])</f>
        <v>0</v>
      </c>
      <c r="AK173" s="22">
        <f>SUM(tabCustoUnit[[#This Row],[Vale - Transporte (Descontada parcela do empregado)]:[Despesas de Viagem]])</f>
        <v>823.77920000000006</v>
      </c>
      <c r="AL173" s="22">
        <f>tabCustoUnit[[#This Row],[Submódulo 2.1]]+tabCustoUnit[[#This Row],[Submódulo 2.2]]+tabCustoUnit[[#This Row],[Submódulo 2.3]]</f>
        <v>1187.9436224166666</v>
      </c>
      <c r="AM173" s="22">
        <f>SUMIF(tabParametros[Código do Posto],tabCustoUnit[[#This Row],[Código do Posto]],tabParametros[Aviso Prévio Indenizado (API) e Reflexo do Aviso Prévio Indenizado])*tabCustoUnit[[#This Row],[MODULO 1 - REMUNERAÇÃO ]]</f>
        <v>3.9530273735532404</v>
      </c>
      <c r="AN173" s="22">
        <f>SUMIF(tabParametros[Código do Posto],tabCustoUnit[[#This Row],[Código do Posto]],tabParametros[Incidência do FGTS sobre API e Reflexo do API])*tabCustoUnit[[#This Row],[MODULO 1 - REMUNERAÇÃO ]]</f>
        <v>0.31624218988425928</v>
      </c>
      <c r="AO173" s="22">
        <f>SUMIF(tabParametros[Código do Posto],tabCustoUnit[[#This Row],[Código do Posto]],tabParametros[Multa Rescisória do FGTS sobre o Aviso Prévio Indenizado])*tabCustoUnit[[#This Row],[MODULO 1 - REMUNERAÇÃO ]]</f>
        <v>0.12649687595370371</v>
      </c>
      <c r="AP173" s="22">
        <f>SUMIF(tabParametros[Código do Posto],tabCustoUnit[[#This Row],[Código do Posto]],tabParametros[Aviso Prévio Trabalhado - APT])*tabCustoUnit[[#This Row],[MODULO 1 - REMUNERAÇÃO ]]</f>
        <v>1.9731967500000003</v>
      </c>
      <c r="AQ173" s="22">
        <f>SUMIF(tabParametros[Código do Posto],tabCustoUnit[[#This Row],[Código do Posto]],tabParametros[Incidência dos encargos do submódulo 2.1 sobre Aviso Prévio Trabalhado])*tabCustoUnit[[#This Row],[MODULO 1 - REMUNERAÇÃO ]]</f>
        <v>0.74586837150000018</v>
      </c>
      <c r="AR173" s="22">
        <f>SUMIF(tabParametros[Código do Posto],tabCustoUnit[[#This Row],[Código do Posto]],tabParametros[Multa Rescisória do FGTS])*tabCustoUnit[[#This Row],[MODULO 1 - REMUNERAÇÃO ]]</f>
        <v>17.238849066666663</v>
      </c>
      <c r="AS173" s="22">
        <f>SUMIF(tabParametros[Código do Posto],tabCustoUnit[[#This Row],[Código do Posto]],tabParametros[Indenização Adicional (Art. 9º da Lei nº 7.238/84)])*tabCustoUnit[[#This Row],[MODULO 1 - REMUNERAÇÃO ]]</f>
        <v>0.46980875</v>
      </c>
      <c r="AT173" s="22">
        <f>SUM(tabCustoUnit[[#This Row],[Aviso Prévio Indenizado (API) e Reflexo do Aviso Prévio Indenizado]:[Indenização Adicional (Art. 9º da Lei nº 7.238/84)]])</f>
        <v>24.823489377557866</v>
      </c>
      <c r="AU173" s="22">
        <f>SUMIF(tabParametros[Código do Posto],tabCustoUnit[[#This Row],[Código do Posto]],tabParametros[Ausência por Doença])*tabCustoUnit[[#This Row],[MODULO 1 - REMUNERAÇÃO ]]</f>
        <v>4.7607286666666662</v>
      </c>
      <c r="AV173" s="22">
        <f>SUMIF(tabParametros[Código do Posto],tabCustoUnit[[#This Row],[Código do Posto]],tabParametros[Ausências Legais])*tabCustoUnit[[#This Row],[MODULO 1 - REMUNERAÇÃO ]]</f>
        <v>1.1432012916666665</v>
      </c>
      <c r="AW173" s="22">
        <f>SUMIF(tabParametros[Código do Posto],tabCustoUnit[[#This Row],[Código do Posto]],tabParametros[Licença Paternidade])*tabCustoUnit[[#This Row],[MODULO 1 - REMUNERAÇÃO ]]</f>
        <v>9.6310793749999998E-2</v>
      </c>
      <c r="AX173" s="22">
        <f>SUMIF(tabParametros[Código do Posto],tabCustoUnit[[#This Row],[Código do Posto]],tabParametros[Ausência por Acidente de Trabalho])*tabCustoUnit[[#This Row],[MODULO 1 - REMUNERAÇÃO ]]</f>
        <v>0.1174521875</v>
      </c>
      <c r="AY173" s="22">
        <f>SUMIF(tabParametros[Código do Posto],tabCustoUnit[[#This Row],[Código do Posto]],tabParametros[Férias, Adicional de Férias e 13º  com empregada em gozo de Licença Maternidade])*tabCustoUnit[[#This Row],[MODULO 1 - REMUNERAÇÃO ]]</f>
        <v>0.73081361111111109</v>
      </c>
      <c r="AZ173" s="22">
        <f>SUMIF(tabParametros[Código do Posto],tabCustoUnit[[#This Row],[Código do Posto]],tabParametros[Incidência do Submódulo 2.1 sobre Ausências Legais])*tabCustoUnit[[#This Row],[MODULO 1 - REMUNERAÇÃO ]]</f>
        <v>2.5887354761625003</v>
      </c>
      <c r="BA173" s="22">
        <f>SUM(tabCustoUnit[[#This Row],[Ausência por Doença]:[Incidência do Submódulo 2.1 sobre Ausências Legais]])</f>
        <v>9.4372420268569428</v>
      </c>
      <c r="BB173" s="22">
        <f>SUMIF(tabParametros[Código do Posto],tabCustoUnit[[#This Row],[Código do Posto]],tabParametros[Intervalo para Repouso ou Alimentação])</f>
        <v>0</v>
      </c>
      <c r="BC173" s="22">
        <f>tabCustoUnit[[#This Row],[Intervalo para Repouso ou Alimentação]]</f>
        <v>0</v>
      </c>
      <c r="BD173" s="22">
        <f>IF(VLOOKUP(tabCustoUnit[[#This Row],[Código do Posto]],PARAMETROS!$A$4:$BJ$255,7,0)&lt;=0,0,
IFERROR((tabCustoUnit[[#This Row],[MODULO 1 - REMUNERAÇÃO ]]*VLOOKUP(tabCustoUnit[[#This Row],[Código do Posto]],PARAMETROS!$A$4:$BJ$255,49,0))/(VLOOKUP(tabCustoUnit[[#This Row],[Código do Posto]],PARAMETROS!$A$4:$BJ$255,7,0)*VLOOKUP(tabCustoUnit[[#This Row],[Código do Posto]],PARAMETROS!$A$4:$BJ$255,8,0)),0)
)</f>
        <v>0</v>
      </c>
      <c r="BE173" s="22">
        <f>tabCustoUnit[[#This Row],[Suspensão Temporária do Contrato de Trabalho]]</f>
        <v>0</v>
      </c>
      <c r="BF173" s="22">
        <f>tabCustoUnit[[#This Row],[Submódulo 4.1]]+tabCustoUnit[[#This Row],[Submódulo 4.2]]+tabCustoUnit[[#This Row],[Submódulo 4.3]]</f>
        <v>9.4372420268569428</v>
      </c>
      <c r="BG173" s="22">
        <f>VLOOKUP(tabCustoUnit[[#This Row],[Código do Posto]],tabParametros[],MATCH(tabCustoUnit[[#Headers],[Uniformes e EPIs]],tabParametros[#Headers],0),0)</f>
        <v>62.806666666666665</v>
      </c>
      <c r="BH173" s="22">
        <f>VLOOKUP(tabCustoUnit[[#This Row],[Código do Posto]],tabParametros[],MATCH(tabCustoUnit[[#Headers],[Materiais de Consumo]],tabParametros[#Headers],0),0)</f>
        <v>12.108481690426325</v>
      </c>
      <c r="BI173" s="22">
        <f>VLOOKUP(tabCustoUnit[[#This Row],[Código do Posto]],tabParametros[],MATCH(tabCustoUnit[[#Headers],[Máquinas e Equipamentos (depreciação)]],tabParametros[#Headers],0),0)</f>
        <v>21.998657016417809</v>
      </c>
      <c r="BJ173" s="22">
        <f>VLOOKUP(tabCustoUnit[[#This Row],[Código do Posto]],tabParametros[],MATCH(tabCustoUnit[[#Headers],[Produtos de Limpeza e Materiais de Higiene Pessoal]],tabParametros[#Headers],0),0)</f>
        <v>235.31984072022155</v>
      </c>
      <c r="BK173" s="22">
        <f>VLOOKUP(tabCustoUnit[[#This Row],[Código do Posto]],tabParametros[],MATCH(tabCustoUnit[[#Headers],[Outros (especificar)]],tabParametros[#Headers],0),0)</f>
        <v>0</v>
      </c>
      <c r="BL173" s="22">
        <f>SUM(tabCustoUnit[[#This Row],[Uniformes e EPIs]:[Outros (especificar)]])</f>
        <v>332.23364609373232</v>
      </c>
      <c r="BM173" s="22">
        <f>tabCustoUnit[[#This Row],[MODULO 1 - REMUNERAÇÃO ]]+tabCustoUnit[[#This Row],[MÓDULO 2 - Total Encargos e Benefícios mensais e diários]]+tabCustoUnit[[#This Row],[MÓDULO 3 – PROVISÃO PARA RESCISÃO]]+tabCustoUnit[[#This Row],[MÓDULO 4 – CUSTO DE REPOSIÇÃO DO PROFISSIONAL AUSENTE]]+tabCustoUnit[[#This Row],[MÓDULO 5 – INSUMOS DIVERSOS]]</f>
        <v>2118.2084999148137</v>
      </c>
      <c r="BN173" s="22">
        <f>VLOOKUP(tabCustoUnit[[#This Row],[Código do Posto]],tabParametros[],MATCH(tabCustoUnit[[#Headers],[Custos Indiretos]],tabParametros[#Headers],0),0)</f>
        <v>189.64880140242613</v>
      </c>
      <c r="BO173" s="22">
        <f>VLOOKUP(tabCustoUnit[[#This Row],[Código do Posto]],tabParametros[],MATCH(tabCustoUnit[[#Headers],[Lucro]],tabParametros[#Headers],0),0)</f>
        <v>159.30499317803796</v>
      </c>
      <c r="BP173" s="26">
        <f>((100/((1-tabCustoUnit[[#This Row],[Resumo de Alíquotas (PIS+CONFINS+ISS)]]))-100)*VLOOKUP(tabCustoUnit[[#This Row],[Código do Posto]],tabParametros[],MATCH(tabCustoUnit[[#Headers],[COFINS]],tabParametros[#Headers],0),0))/(tabCustoUnit[[#This Row],[Resumo de Alíquotas (PIS+CONFINS+ISS)]]*100)</f>
        <v>8.8629737609329504E-2</v>
      </c>
      <c r="BQ173" s="26">
        <f>((100/((100-(tabCustoUnit[[#This Row],[Resumo de Alíquotas (PIS+CONFINS+ISS)]]*100))%)-100)*VLOOKUP(tabCustoUnit[[#This Row],[Código do Posto]],tabParametros[],MATCH(tabCustoUnit[[#Headers],[PIS]],tabParametros[#Headers],0),0))/(tabCustoUnit[[#This Row],[Resumo de Alíquotas (PIS+CONFINS+ISS)]]*100)</f>
        <v>1.9241982507288629E-2</v>
      </c>
      <c r="BR173" s="28">
        <f>VLOOKUP(tabCustoUnit[[#This Row],[Código do Posto]],tabParametros[],MATCH(tabCustoUnit[[#Headers],[ISS]],tabParametros[#Headers],0),0)</f>
        <v>0.05</v>
      </c>
      <c r="BS173" s="26">
        <f>(((100/((100-(tabCustoUnit[[#This Row],[Resumo de Alíquotas (PIS+CONFINS+ISS)]]*100))%)-100)*tabCustoUnit[[#This Row],[ISS]])/tabCustoUnit[[#This Row],[Resumo de Alíquotas (PIS+CONFINS+ISS)]])/100</f>
        <v>5.8309037900874633E-2</v>
      </c>
      <c r="BT173" s="26">
        <f>(VLOOKUP(tabCustoUnit[[#This Row],[Código do Posto]],tabParametros[],MATCH(tabCustoUnit[[#Headers],[COFINS]],tabParametros[#Headers],0),0)+
VLOOKUP(tabCustoUnit[[#This Row],[Código do Posto]],tabParametros[],MATCH(tabCustoUnit[[#Headers],[PIS]],tabParametros[#Headers],0),0)+
VLOOKUP(tabCustoUnit[[#This Row],[Código do Posto]],tabParametros[],MATCH(tabCustoUnit[[#Headers],[ISS]],tabParametros[#Headers],0),0))</f>
        <v>0.14250000000000002</v>
      </c>
      <c r="BU173" s="138">
        <f>tabCustoUnit[[#This Row],[COFINS]]+tabCustoUnit[[#This Row],[PIS]]+tabCustoUnit[[#This Row],[ISS (Conversão Alíquota s/ fatura)]]</f>
        <v>0.16618075801749277</v>
      </c>
      <c r="BV173" s="22">
        <f>(tabCustoUnit[[#This Row],[TOTAL MÓDULOS 1+2+3+4+5]]+tabCustoUnit[[#This Row],[Custos Indiretos]]+tabCustoUnit[[#This Row],[Lucro]])*tabCustoUnit[[#This Row],[PIS + COFINS + ISS (Total Conversão  Alíquota s/ Fatura)]]</f>
        <v>409.99490025140199</v>
      </c>
      <c r="BW173" s="22">
        <f>tabCustoUnit[[#This Row],[Custos Indiretos]]+tabCustoUnit[[#This Row],[Lucro]]+tabCustoUnit[[#This Row],[Valor dos Tributos (ISS, PIS, CONFINS)]]</f>
        <v>758.94869483186608</v>
      </c>
      <c r="BX173" s="22">
        <f>tabCustoUnit[[#This Row],[TOTAL MÓDULOS 1+2+3+4+5]]+tabCustoUnit[[#This Row],[MÓDULO 6 – CUSTOS INDIRETOS, TRIBUTOS E LUCRO]]</f>
        <v>2877.15719474668</v>
      </c>
      <c r="BY173" s="22">
        <f>tabCustoUnit[[#This Row],[CUSTO TOTAL MENSAL]]*12</f>
        <v>34525.88633696016</v>
      </c>
      <c r="BZ173" s="24">
        <f>VLOOKUP(tabCustoUnit[[#This Row],[Código do Posto]],tabParametros[],MATCH(tabCustoUnit[[#Headers],[ANO DA CCT]],tabParametros[#Headers],0),0)</f>
        <v>45658</v>
      </c>
      <c r="CA173" s="25" t="str">
        <f>VLOOKUP(tabCustoUnit[[#This Row],[Código do Posto]],tabParametros[],MATCH(tabCustoUnit[[#Headers],[Nº DE PEDIDO DA CCT]],tabParametros[#Headers],0),0)</f>
        <v>-</v>
      </c>
      <c r="CB173" s="25" t="str">
        <f>VLOOKUP(tabCustoUnit[[#This Row],[Código do Posto]],tabParametros[],MATCH(tabCustoUnit[[#Headers],[TERMO ADITIVO ALTERAÇÃO DA CCT]],tabParametros[#Headers],0),0)</f>
        <v>-</v>
      </c>
    </row>
    <row r="174" spans="1:80" x14ac:dyDescent="0.25">
      <c r="A174" s="20" t="s">
        <v>1510</v>
      </c>
      <c r="B174" t="s">
        <v>158</v>
      </c>
      <c r="C174" t="s">
        <v>1245</v>
      </c>
      <c r="D174" t="s">
        <v>1010</v>
      </c>
      <c r="E174" s="20" t="s">
        <v>9</v>
      </c>
      <c r="F174" s="20" t="s">
        <v>10</v>
      </c>
      <c r="G174" s="21">
        <v>1596.28</v>
      </c>
      <c r="H174" s="21">
        <v>0</v>
      </c>
      <c r="I174" s="21">
        <v>0</v>
      </c>
      <c r="J174" s="21">
        <v>0</v>
      </c>
      <c r="K174" s="21">
        <v>0</v>
      </c>
      <c r="L174" s="21">
        <v>0</v>
      </c>
      <c r="M174" s="21">
        <v>0</v>
      </c>
      <c r="N174" s="21">
        <v>52.241900000000001</v>
      </c>
      <c r="O174" s="21">
        <f>SUM(tabCustoUnit[[#This Row],[Salário Base]:[Adicional de Acúmulo de função]])</f>
        <v>1648.5219</v>
      </c>
      <c r="P174" s="21">
        <f>tabCustoUnit[[#This Row],[MODULO 1 - REMUNERAÇÃO ]]*SUMIFS(tabParametros[INSS],tabParametros[Código do Posto],tabCustoUnit[[#This Row],[Código do Posto]])</f>
        <v>329.70438000000001</v>
      </c>
      <c r="Q174" s="21">
        <f>tabCustoUnit[[#This Row],[MODULO 1 - REMUNERAÇÃO ]]*SUMIFS(tabParametros[SESI OU SESC],tabParametros[Código do Posto],tabCustoUnit[[#This Row],[Código do Posto]])</f>
        <v>24.727828499999998</v>
      </c>
      <c r="R174" s="21">
        <f>tabCustoUnit[[#This Row],[MODULO 1 - REMUNERAÇÃO ]]*SUMIFS(tabParametros[SENAI OU SENAC],tabParametros[Código do Posto],tabCustoUnit[[#This Row],[Código do Posto]])</f>
        <v>16.485219000000001</v>
      </c>
      <c r="S174" s="21">
        <f>tabCustoUnit[[#This Row],[MODULO 1 - REMUNERAÇÃO ]]*SUMIFS(tabParametros[INCRA],tabParametros[Código do Posto],tabCustoUnit[[#This Row],[Código do Posto]])</f>
        <v>3.2970438</v>
      </c>
      <c r="T174" s="21">
        <f>tabCustoUnit[[#This Row],[MODULO 1 - REMUNERAÇÃO ]]*SUMIFS(tabParametros[Salário Educação],tabParametros[Código do Posto],tabCustoUnit[[#This Row],[Código do Posto]])</f>
        <v>41.213047500000002</v>
      </c>
      <c r="U174" s="21">
        <f>tabCustoUnit[[#This Row],[MODULO 1 - REMUNERAÇÃO ]]*SUMIFS(tabParametros[FGTS],tabParametros[Código do Posto],tabCustoUnit[[#This Row],[Código do Posto]])</f>
        <v>131.88175200000001</v>
      </c>
      <c r="V174" s="21">
        <f>tabCustoUnit[[#This Row],[MODULO 1 - REMUNERAÇÃO ]]*SUMIFS(tabParametros[RAT Ajustado],tabParametros[Código do Posto],tabCustoUnit[[#This Row],[Código do Posto]])</f>
        <v>65.940876000000003</v>
      </c>
      <c r="W174" s="21">
        <f>tabCustoUnit[[#This Row],[MODULO 1 - REMUNERAÇÃO ]]*SUMIFS(tabParametros[SEBRAE],tabParametros[Código do Posto],tabCustoUnit[[#This Row],[Código do Posto]])</f>
        <v>9.8911314000000008</v>
      </c>
      <c r="X174" s="21">
        <f>SUM(tabCustoUnit[[#This Row],[INSS]:[SEBRAE]])</f>
        <v>623.14127819999999</v>
      </c>
      <c r="Y174" s="21">
        <f>tabCustoUnit[[#This Row],[MODULO 1 - REMUNERAÇÃO ]]*SUMIFS(tabParametros[13º salário (titular)],tabParametros[Código do Posto],tabCustoUnit[[#This Row],[Código do Posto]])</f>
        <v>137.376825</v>
      </c>
      <c r="Z174" s="21">
        <f>tabCustoUnit[[#This Row],[MODULO 1 - REMUNERAÇÃO ]]*SUMIFS(tabParametros[Férias e Adicional de Férias (titular)],tabParametros[Código do Posto],tabCustoUnit[[#This Row],[Código do Posto]])</f>
        <v>183.16909999999999</v>
      </c>
      <c r="AA174" s="21">
        <f>IFERROR((tabCustoUnit[[#This Row],[Submódulo 2.1]]/tabCustoUnit[[#This Row],[MODULO 1 - REMUNERAÇÃO ]])*SUM(tabCustoUnit[[#This Row],[13º salário (titular)]:[Férias e Adicional de Férias (titular)]]),0)</f>
        <v>121.16635965</v>
      </c>
      <c r="AB174" s="21">
        <f>SUM(tabCustoUnit[[#This Row],[13º salário (titular)]:[Incidência do Submódulo 2.1 sobre 13º Salário, Férias e Adicional de Férias]])</f>
        <v>441.71228465000002</v>
      </c>
      <c r="AC174" s="22">
        <f>_xlfn.LET(_xlpm.VT,SUMIF(tabParametros[Código do Posto],tabCustoUnit[[#This Row],[Código do Posto]],tabParametros[Vale - Transporte])*2*20,
IF((_xlpm.VT-tabCustoUnit[[#This Row],[Salário Base]]*0.06)&gt;=0,(_xlpm.VT-tabCustoUnit[[#This Row],[Salário Base]]*0.06),0)
)</f>
        <v>160.22320000000002</v>
      </c>
      <c r="AD174" s="22">
        <f>IF(SUMIF(tabParametros[Código do Posto],tabCustoUnit[[#This Row],[Código do Posto]],tabParametros[Vale - Alimentação])&lt;=0,0,
SUMIF(tabParametros[Código do Posto],tabCustoUnit[[#This Row],[Código do Posto]],tabParametros[Vale - Alimentação])*20-1)</f>
        <v>582</v>
      </c>
      <c r="AE174" s="22">
        <f>SUMIF(tabParametros[Código do Posto],tabCustoUnit[[#This Row],[Código do Posto]],tabParametros[Cesta Básica])</f>
        <v>0</v>
      </c>
      <c r="AF174" s="22">
        <f>SUMIF(tabParametros[Código do Posto],tabCustoUnit[[#This Row],[Código do Posto]],tabParametros[PAF])</f>
        <v>51.88</v>
      </c>
      <c r="AG174" s="22">
        <f>SUMIF(tabParametros[Código do Posto],tabCustoUnit[[#This Row],[Código do Posto]],tabParametros[PQM])</f>
        <v>0</v>
      </c>
      <c r="AH174" s="22">
        <f>SUMIF(tabParametros[Código do Posto],tabCustoUnit[[#This Row],[Código do Posto]],tabParametros[PAT])</f>
        <v>0</v>
      </c>
      <c r="AI174" s="22">
        <f>SUMIF(tabParametros[Código do Posto],tabCustoUnit[[#This Row],[Código do Posto]],tabParametros[Seguro de Vida])</f>
        <v>3.36</v>
      </c>
      <c r="AJ174" s="22">
        <f>SUMIF(tabParametros[Código do Posto],tabCustoUnit[[#This Row],[Código do Posto]],tabParametros[Despesas de Viagem])</f>
        <v>0</v>
      </c>
      <c r="AK174" s="22">
        <f>SUM(tabCustoUnit[[#This Row],[Vale - Transporte (Descontada parcela do empregado)]:[Despesas de Viagem]])</f>
        <v>797.46320000000003</v>
      </c>
      <c r="AL174" s="22">
        <f>tabCustoUnit[[#This Row],[Submódulo 2.1]]+tabCustoUnit[[#This Row],[Submódulo 2.2]]+tabCustoUnit[[#This Row],[Submódulo 2.3]]</f>
        <v>1862.31676285</v>
      </c>
      <c r="AM174" s="22">
        <f>SUMIF(tabParametros[Código do Posto],tabCustoUnit[[#This Row],[Código do Posto]],tabParametros[Aviso Prévio Indenizado (API) e Reflexo do Aviso Prévio Indenizado])*tabCustoUnit[[#This Row],[MODULO 1 - REMUNERAÇÃO ]]</f>
        <v>11.559051416493055</v>
      </c>
      <c r="AN174" s="22">
        <f>SUMIF(tabParametros[Código do Posto],tabCustoUnit[[#This Row],[Código do Posto]],tabParametros[Incidência do FGTS sobre API e Reflexo do API])*tabCustoUnit[[#This Row],[MODULO 1 - REMUNERAÇÃO ]]</f>
        <v>0.92472411331944449</v>
      </c>
      <c r="AO174" s="22">
        <f>SUMIF(tabParametros[Código do Posto],tabCustoUnit[[#This Row],[Código do Posto]],tabParametros[Multa Rescisória do FGTS sobre o Aviso Prévio Indenizado])*tabCustoUnit[[#This Row],[MODULO 1 - REMUNERAÇÃO ]]</f>
        <v>0.36988964532777785</v>
      </c>
      <c r="AP174" s="22">
        <f>SUMIF(tabParametros[Código do Posto],tabCustoUnit[[#This Row],[Código do Posto]],tabParametros[Aviso Prévio Trabalhado - APT])*tabCustoUnit[[#This Row],[MODULO 1 - REMUNERAÇÃO ]]</f>
        <v>5.7698266500000006</v>
      </c>
      <c r="AQ174" s="22">
        <f>SUMIF(tabParametros[Código do Posto],tabCustoUnit[[#This Row],[Código do Posto]],tabParametros[Incidência dos encargos do submódulo 2.1 sobre Aviso Prévio Trabalhado])*tabCustoUnit[[#This Row],[MODULO 1 - REMUNERAÇÃO ]]</f>
        <v>2.1809944737000007</v>
      </c>
      <c r="AR174" s="22">
        <f>SUMIF(tabParametros[Código do Posto],tabCustoUnit[[#This Row],[Código do Posto]],tabParametros[Multa Rescisória do FGTS])*tabCustoUnit[[#This Row],[MODULO 1 - REMUNERAÇÃO ]]</f>
        <v>50.40813631999999</v>
      </c>
      <c r="AS174" s="22">
        <f>SUMIF(tabParametros[Código do Posto],tabCustoUnit[[#This Row],[Código do Posto]],tabParametros[Indenização Adicional (Art. 9º da Lei nº 7.238/84)])*tabCustoUnit[[#This Row],[MODULO 1 - REMUNERAÇÃO ]]</f>
        <v>1.3737682500000001</v>
      </c>
      <c r="AT174" s="22">
        <f>SUM(tabCustoUnit[[#This Row],[Aviso Prévio Indenizado (API) e Reflexo do Aviso Prévio Indenizado]:[Indenização Adicional (Art. 9º da Lei nº 7.238/84)]])</f>
        <v>72.586390868840269</v>
      </c>
      <c r="AU174" s="22">
        <f>SUMIF(tabParametros[Código do Posto],tabCustoUnit[[#This Row],[Código do Posto]],tabParametros[Ausência por Doença])*tabCustoUnit[[#This Row],[MODULO 1 - REMUNERAÇÃO ]]</f>
        <v>13.920851599999999</v>
      </c>
      <c r="AV174" s="22">
        <f>SUMIF(tabParametros[Código do Posto],tabCustoUnit[[#This Row],[Código do Posto]],tabParametros[Ausências Legais])*tabCustoUnit[[#This Row],[MODULO 1 - REMUNERAÇÃO ]]</f>
        <v>3.3428360749999997</v>
      </c>
      <c r="AW174" s="22">
        <f>SUMIF(tabParametros[Código do Posto],tabCustoUnit[[#This Row],[Código do Posto]],tabParametros[Licença Paternidade])*tabCustoUnit[[#This Row],[MODULO 1 - REMUNERAÇÃO ]]</f>
        <v>0.28162249125</v>
      </c>
      <c r="AX174" s="22">
        <f>SUMIF(tabParametros[Código do Posto],tabCustoUnit[[#This Row],[Código do Posto]],tabParametros[Ausência por Acidente de Trabalho])*tabCustoUnit[[#This Row],[MODULO 1 - REMUNERAÇÃO ]]</f>
        <v>0.34344206250000003</v>
      </c>
      <c r="AY174" s="22">
        <f>SUMIF(tabParametros[Código do Posto],tabCustoUnit[[#This Row],[Código do Posto]],tabParametros[Férias, Adicional de Férias e 13º  com empregada em gozo de Licença Maternidade])*tabCustoUnit[[#This Row],[MODULO 1 - REMUNERAÇÃO ]]</f>
        <v>2.1369728333333331</v>
      </c>
      <c r="AZ174" s="22">
        <f>SUMIF(tabParametros[Código do Posto],tabCustoUnit[[#This Row],[Código do Posto]],tabParametros[Incidência do Submódulo 2.1 sobre Ausências Legais])*tabCustoUnit[[#This Row],[MODULO 1 - REMUNERAÇÃO ]]</f>
        <v>7.5697240734675013</v>
      </c>
      <c r="BA174" s="22">
        <f>SUM(tabCustoUnit[[#This Row],[Ausência por Doença]:[Incidência do Submódulo 2.1 sobre Ausências Legais]])</f>
        <v>27.595449135550833</v>
      </c>
      <c r="BB174" s="22">
        <f>SUMIF(tabParametros[Código do Posto],tabCustoUnit[[#This Row],[Código do Posto]],tabParametros[Intervalo para Repouso ou Alimentação])</f>
        <v>0</v>
      </c>
      <c r="BC174" s="22">
        <f>tabCustoUnit[[#This Row],[Intervalo para Repouso ou Alimentação]]</f>
        <v>0</v>
      </c>
      <c r="BD174" s="22">
        <f>IF(VLOOKUP(tabCustoUnit[[#This Row],[Código do Posto]],PARAMETROS!$A$4:$BJ$255,7,0)&lt;=0,0,
IFERROR((tabCustoUnit[[#This Row],[MODULO 1 - REMUNERAÇÃO ]]*VLOOKUP(tabCustoUnit[[#This Row],[Código do Posto]],PARAMETROS!$A$4:$BJ$255,49,0))/(VLOOKUP(tabCustoUnit[[#This Row],[Código do Posto]],PARAMETROS!$A$4:$BJ$255,7,0)*VLOOKUP(tabCustoUnit[[#This Row],[Código do Posto]],PARAMETROS!$A$4:$BJ$255,8,0)),0)
)</f>
        <v>0</v>
      </c>
      <c r="BE174" s="22">
        <f>tabCustoUnit[[#This Row],[Suspensão Temporária do Contrato de Trabalho]]</f>
        <v>0</v>
      </c>
      <c r="BF174" s="22">
        <f>tabCustoUnit[[#This Row],[Submódulo 4.1]]+tabCustoUnit[[#This Row],[Submódulo 4.2]]+tabCustoUnit[[#This Row],[Submódulo 4.3]]</f>
        <v>27.595449135550833</v>
      </c>
      <c r="BG174" s="22">
        <f>VLOOKUP(tabCustoUnit[[#This Row],[Código do Posto]],tabParametros[],MATCH(tabCustoUnit[[#Headers],[Uniformes e EPIs]],tabParametros[#Headers],0),0)</f>
        <v>100.80916666666666</v>
      </c>
      <c r="BH174" s="22">
        <f>VLOOKUP(tabCustoUnit[[#This Row],[Código do Posto]],tabParametros[],MATCH(tabCustoUnit[[#Headers],[Materiais de Consumo]],tabParametros[#Headers],0),0)</f>
        <v>35.518212958583888</v>
      </c>
      <c r="BI174" s="22">
        <f>VLOOKUP(tabCustoUnit[[#This Row],[Código do Posto]],tabParametros[],MATCH(tabCustoUnit[[#Headers],[Máquinas e Equipamentos (depreciação)]],tabParametros[#Headers],0),0)</f>
        <v>64.529393914825576</v>
      </c>
      <c r="BJ174" s="22">
        <f>VLOOKUP(tabCustoUnit[[#This Row],[Código do Posto]],tabParametros[],MATCH(tabCustoUnit[[#Headers],[Produtos de Limpeza e Materiais de Higiene Pessoal]],tabParametros[#Headers],0),0)</f>
        <v>690.27153277931654</v>
      </c>
      <c r="BK174" s="22">
        <f>VLOOKUP(tabCustoUnit[[#This Row],[Código do Posto]],tabParametros[],MATCH(tabCustoUnit[[#Headers],[Outros (especificar)]],tabParametros[#Headers],0),0)</f>
        <v>0</v>
      </c>
      <c r="BL174" s="22">
        <f>SUM(tabCustoUnit[[#This Row],[Uniformes e EPIs]:[Outros (especificar)]])</f>
        <v>891.12830631939266</v>
      </c>
      <c r="BM174" s="22">
        <f>tabCustoUnit[[#This Row],[MODULO 1 - REMUNERAÇÃO ]]+tabCustoUnit[[#This Row],[MÓDULO 2 - Total Encargos e Benefícios mensais e diários]]+tabCustoUnit[[#This Row],[MÓDULO 3 – PROVISÃO PARA RESCISÃO]]+tabCustoUnit[[#This Row],[MÓDULO 4 – CUSTO DE REPOSIÇÃO DO PROFISSIONAL AUSENTE]]+tabCustoUnit[[#This Row],[MÓDULO 5 – INSUMOS DIVERSOS]]</f>
        <v>4502.1488091737838</v>
      </c>
      <c r="BN174" s="22">
        <f>VLOOKUP(tabCustoUnit[[#This Row],[Código do Posto]],tabParametros[],MATCH(tabCustoUnit[[#Headers],[Custos Indiretos]],tabParametros[#Headers],0),0)</f>
        <v>189.64880140242613</v>
      </c>
      <c r="BO174" s="22">
        <f>VLOOKUP(tabCustoUnit[[#This Row],[Código do Posto]],tabParametros[],MATCH(tabCustoUnit[[#Headers],[Lucro]],tabParametros[#Headers],0),0)</f>
        <v>159.30499317803796</v>
      </c>
      <c r="BP174" s="26">
        <f>((100/((1-tabCustoUnit[[#This Row],[Resumo de Alíquotas (PIS+CONFINS+ISS)]]))-100)*VLOOKUP(tabCustoUnit[[#This Row],[Código do Posto]],tabParametros[],MATCH(tabCustoUnit[[#Headers],[COFINS]],tabParametros[#Headers],0),0))/(tabCustoUnit[[#This Row],[Resumo de Alíquotas (PIS+CONFINS+ISS)]]*100)</f>
        <v>8.6609686609686695E-2</v>
      </c>
      <c r="BQ174" s="26">
        <f>((100/((100-(tabCustoUnit[[#This Row],[Resumo de Alíquotas (PIS+CONFINS+ISS)]]*100))%)-100)*VLOOKUP(tabCustoUnit[[#This Row],[Código do Posto]],tabParametros[],MATCH(tabCustoUnit[[#Headers],[PIS]],tabParametros[#Headers],0),0))/(tabCustoUnit[[#This Row],[Resumo de Alíquotas (PIS+CONFINS+ISS)]]*100)</f>
        <v>1.880341880341882E-2</v>
      </c>
      <c r="BR174" s="28">
        <f>VLOOKUP(tabCustoUnit[[#This Row],[Código do Posto]],tabParametros[],MATCH(tabCustoUnit[[#Headers],[ISS]],tabParametros[#Headers],0),0)</f>
        <v>0.03</v>
      </c>
      <c r="BS174" s="26">
        <f>(((100/((100-(tabCustoUnit[[#This Row],[Resumo de Alíquotas (PIS+CONFINS+ISS)]]*100))%)-100)*tabCustoUnit[[#This Row],[ISS]])/tabCustoUnit[[#This Row],[Resumo de Alíquotas (PIS+CONFINS+ISS)]])/100</f>
        <v>3.4188034188034219E-2</v>
      </c>
      <c r="BT174" s="26">
        <f>(VLOOKUP(tabCustoUnit[[#This Row],[Código do Posto]],tabParametros[],MATCH(tabCustoUnit[[#Headers],[COFINS]],tabParametros[#Headers],0),0)+
VLOOKUP(tabCustoUnit[[#This Row],[Código do Posto]],tabParametros[],MATCH(tabCustoUnit[[#Headers],[PIS]],tabParametros[#Headers],0),0)+
VLOOKUP(tabCustoUnit[[#This Row],[Código do Posto]],tabParametros[],MATCH(tabCustoUnit[[#Headers],[ISS]],tabParametros[#Headers],0),0))</f>
        <v>0.1225</v>
      </c>
      <c r="BU174" s="138">
        <f>tabCustoUnit[[#This Row],[COFINS]]+tabCustoUnit[[#This Row],[PIS]]+tabCustoUnit[[#This Row],[ISS (Conversão Alíquota s/ fatura)]]</f>
        <v>0.13960113960113973</v>
      </c>
      <c r="BV174" s="22">
        <f>(tabCustoUnit[[#This Row],[TOTAL MÓDULOS 1+2+3+4+5]]+tabCustoUnit[[#This Row],[Custos Indiretos]]+tabCustoUnit[[#This Row],[Lucro]])*tabCustoUnit[[#This Row],[PIS + COFINS + ISS (Total Conversão  Alíquota s/ Fatura)]]</f>
        <v>677.21945180614921</v>
      </c>
      <c r="BW174" s="22">
        <f>tabCustoUnit[[#This Row],[Custos Indiretos]]+tabCustoUnit[[#This Row],[Lucro]]+tabCustoUnit[[#This Row],[Valor dos Tributos (ISS, PIS, CONFINS)]]</f>
        <v>1026.1732463866133</v>
      </c>
      <c r="BX174" s="22">
        <f>tabCustoUnit[[#This Row],[TOTAL MÓDULOS 1+2+3+4+5]]+tabCustoUnit[[#This Row],[MÓDULO 6 – CUSTOS INDIRETOS, TRIBUTOS E LUCRO]]</f>
        <v>5528.3220555603966</v>
      </c>
      <c r="BY174" s="22">
        <f>tabCustoUnit[[#This Row],[CUSTO TOTAL MENSAL]]*12</f>
        <v>66339.864666724752</v>
      </c>
      <c r="BZ174" s="24">
        <f>VLOOKUP(tabCustoUnit[[#This Row],[Código do Posto]],tabParametros[],MATCH(tabCustoUnit[[#Headers],[ANO DA CCT]],tabParametros[#Headers],0),0)</f>
        <v>45658</v>
      </c>
      <c r="CA174" s="25" t="str">
        <f>VLOOKUP(tabCustoUnit[[#This Row],[Código do Posto]],tabParametros[],MATCH(tabCustoUnit[[#Headers],[Nº DE PEDIDO DA CCT]],tabParametros[#Headers],0),0)</f>
        <v>-</v>
      </c>
      <c r="CB174" s="25" t="str">
        <f>VLOOKUP(tabCustoUnit[[#This Row],[Código do Posto]],tabParametros[],MATCH(tabCustoUnit[[#Headers],[TERMO ADITIVO ALTERAÇÃO DA CCT]],tabParametros[#Headers],0),0)</f>
        <v>-</v>
      </c>
    </row>
    <row r="175" spans="1:80" x14ac:dyDescent="0.25">
      <c r="A175" s="20" t="s">
        <v>1511</v>
      </c>
      <c r="B175" t="s">
        <v>159</v>
      </c>
      <c r="C175" t="s">
        <v>1247</v>
      </c>
      <c r="D175" t="s">
        <v>1023</v>
      </c>
      <c r="E175" s="20" t="s">
        <v>9</v>
      </c>
      <c r="F175" s="20" t="s">
        <v>10</v>
      </c>
      <c r="G175" s="21">
        <v>544.17999999999995</v>
      </c>
      <c r="H175" s="21">
        <v>0</v>
      </c>
      <c r="I175" s="21">
        <v>0</v>
      </c>
      <c r="J175" s="21">
        <v>0</v>
      </c>
      <c r="K175" s="21">
        <v>0</v>
      </c>
      <c r="L175" s="21">
        <v>0</v>
      </c>
      <c r="M175" s="21">
        <v>0</v>
      </c>
      <c r="N175" s="21">
        <v>19.590499999999999</v>
      </c>
      <c r="O175" s="21">
        <f>SUM(tabCustoUnit[[#This Row],[Salário Base]:[Adicional de Acúmulo de função]])</f>
        <v>563.77049999999997</v>
      </c>
      <c r="P175" s="21">
        <f>tabCustoUnit[[#This Row],[MODULO 1 - REMUNERAÇÃO ]]*SUMIFS(tabParametros[INSS],tabParametros[Código do Posto],tabCustoUnit[[#This Row],[Código do Posto]])</f>
        <v>112.75409999999999</v>
      </c>
      <c r="Q175" s="21">
        <f>tabCustoUnit[[#This Row],[MODULO 1 - REMUNERAÇÃO ]]*SUMIFS(tabParametros[SESI OU SESC],tabParametros[Código do Posto],tabCustoUnit[[#This Row],[Código do Posto]])</f>
        <v>8.4565574999999988</v>
      </c>
      <c r="R175" s="21">
        <f>tabCustoUnit[[#This Row],[MODULO 1 - REMUNERAÇÃO ]]*SUMIFS(tabParametros[SENAI OU SENAC],tabParametros[Código do Posto],tabCustoUnit[[#This Row],[Código do Posto]])</f>
        <v>5.6377049999999995</v>
      </c>
      <c r="S175" s="21">
        <f>tabCustoUnit[[#This Row],[MODULO 1 - REMUNERAÇÃO ]]*SUMIFS(tabParametros[INCRA],tabParametros[Código do Posto],tabCustoUnit[[#This Row],[Código do Posto]])</f>
        <v>1.1275409999999999</v>
      </c>
      <c r="T175" s="21">
        <f>tabCustoUnit[[#This Row],[MODULO 1 - REMUNERAÇÃO ]]*SUMIFS(tabParametros[Salário Educação],tabParametros[Código do Posto],tabCustoUnit[[#This Row],[Código do Posto]])</f>
        <v>14.094262499999999</v>
      </c>
      <c r="U175" s="21">
        <f>tabCustoUnit[[#This Row],[MODULO 1 - REMUNERAÇÃO ]]*SUMIFS(tabParametros[FGTS],tabParametros[Código do Posto],tabCustoUnit[[#This Row],[Código do Posto]])</f>
        <v>45.101639999999996</v>
      </c>
      <c r="V175" s="21">
        <f>tabCustoUnit[[#This Row],[MODULO 1 - REMUNERAÇÃO ]]*SUMIFS(tabParametros[RAT Ajustado],tabParametros[Código do Posto],tabCustoUnit[[#This Row],[Código do Posto]])</f>
        <v>22.550819999999998</v>
      </c>
      <c r="W175" s="21">
        <f>tabCustoUnit[[#This Row],[MODULO 1 - REMUNERAÇÃO ]]*SUMIFS(tabParametros[SEBRAE],tabParametros[Código do Posto],tabCustoUnit[[#This Row],[Código do Posto]])</f>
        <v>3.3826229999999997</v>
      </c>
      <c r="X175" s="21">
        <f>SUM(tabCustoUnit[[#This Row],[INSS]:[SEBRAE]])</f>
        <v>213.10524899999996</v>
      </c>
      <c r="Y175" s="21">
        <f>tabCustoUnit[[#This Row],[MODULO 1 - REMUNERAÇÃO ]]*SUMIFS(tabParametros[13º salário (titular)],tabParametros[Código do Posto],tabCustoUnit[[#This Row],[Código do Posto]])</f>
        <v>46.980874999999997</v>
      </c>
      <c r="Z175" s="21">
        <f>tabCustoUnit[[#This Row],[MODULO 1 - REMUNERAÇÃO ]]*SUMIFS(tabParametros[Férias e Adicional de Férias (titular)],tabParametros[Código do Posto],tabCustoUnit[[#This Row],[Código do Posto]])</f>
        <v>62.641166666666663</v>
      </c>
      <c r="AA175" s="21">
        <f>IFERROR((tabCustoUnit[[#This Row],[Submódulo 2.1]]/tabCustoUnit[[#This Row],[MODULO 1 - REMUNERAÇÃO ]])*SUM(tabCustoUnit[[#This Row],[13º salário (titular)]:[Férias e Adicional de Férias (titular)]]),0)</f>
        <v>41.437131749999992</v>
      </c>
      <c r="AB175" s="21">
        <f>SUM(tabCustoUnit[[#This Row],[13º salário (titular)]:[Incidência do Submódulo 2.1 sobre 13º Salário, Férias e Adicional de Férias]])</f>
        <v>151.05917341666665</v>
      </c>
      <c r="AC175" s="22">
        <f>_xlfn.LET(_xlpm.VT,SUMIF(tabParametros[Código do Posto],tabCustoUnit[[#This Row],[Código do Posto]],tabParametros[Vale - Transporte])*2*20,
IF((_xlpm.VT-tabCustoUnit[[#This Row],[Salário Base]]*0.06)&gt;=0,(_xlpm.VT-tabCustoUnit[[#This Row],[Salário Base]]*0.06),0)
)</f>
        <v>223.3492</v>
      </c>
      <c r="AD175" s="22">
        <f>IF(SUMIF(tabParametros[Código do Posto],tabCustoUnit[[#This Row],[Código do Posto]],tabParametros[Vale - Alimentação])&lt;=0,0,
SUMIF(tabParametros[Código do Posto],tabCustoUnit[[#This Row],[Código do Posto]],tabParametros[Vale - Alimentação])*20-1)</f>
        <v>582</v>
      </c>
      <c r="AE175" s="22">
        <f>SUMIF(tabParametros[Código do Posto],tabCustoUnit[[#This Row],[Código do Posto]],tabParametros[Cesta Básica])</f>
        <v>0</v>
      </c>
      <c r="AF175" s="22">
        <f>SUMIF(tabParametros[Código do Posto],tabCustoUnit[[#This Row],[Código do Posto]],tabParametros[PAF])</f>
        <v>0</v>
      </c>
      <c r="AG175" s="22">
        <f>SUMIF(tabParametros[Código do Posto],tabCustoUnit[[#This Row],[Código do Posto]],tabParametros[PQM])</f>
        <v>0</v>
      </c>
      <c r="AH175" s="22">
        <f>SUMIF(tabParametros[Código do Posto],tabCustoUnit[[#This Row],[Código do Posto]],tabParametros[PAT])</f>
        <v>0</v>
      </c>
      <c r="AI175" s="22">
        <f>SUMIF(tabParametros[Código do Posto],tabCustoUnit[[#This Row],[Código do Posto]],tabParametros[Seguro de Vida])</f>
        <v>3.36</v>
      </c>
      <c r="AJ175" s="22">
        <f>SUMIF(tabParametros[Código do Posto],tabCustoUnit[[#This Row],[Código do Posto]],tabParametros[Despesas de Viagem])</f>
        <v>0</v>
      </c>
      <c r="AK175" s="22">
        <f>SUM(tabCustoUnit[[#This Row],[Vale - Transporte (Descontada parcela do empregado)]:[Despesas de Viagem]])</f>
        <v>808.70920000000001</v>
      </c>
      <c r="AL175" s="22">
        <f>tabCustoUnit[[#This Row],[Submódulo 2.1]]+tabCustoUnit[[#This Row],[Submódulo 2.2]]+tabCustoUnit[[#This Row],[Submódulo 2.3]]</f>
        <v>1172.8736224166666</v>
      </c>
      <c r="AM175" s="22">
        <f>SUMIF(tabParametros[Código do Posto],tabCustoUnit[[#This Row],[Código do Posto]],tabParametros[Aviso Prévio Indenizado (API) e Reflexo do Aviso Prévio Indenizado])*tabCustoUnit[[#This Row],[MODULO 1 - REMUNERAÇÃO ]]</f>
        <v>3.9530273735532404</v>
      </c>
      <c r="AN175" s="22">
        <f>SUMIF(tabParametros[Código do Posto],tabCustoUnit[[#This Row],[Código do Posto]],tabParametros[Incidência do FGTS sobre API e Reflexo do API])*tabCustoUnit[[#This Row],[MODULO 1 - REMUNERAÇÃO ]]</f>
        <v>0.31624218988425928</v>
      </c>
      <c r="AO175" s="22">
        <f>SUMIF(tabParametros[Código do Posto],tabCustoUnit[[#This Row],[Código do Posto]],tabParametros[Multa Rescisória do FGTS sobre o Aviso Prévio Indenizado])*tabCustoUnit[[#This Row],[MODULO 1 - REMUNERAÇÃO ]]</f>
        <v>0.12649687595370371</v>
      </c>
      <c r="AP175" s="22">
        <f>SUMIF(tabParametros[Código do Posto],tabCustoUnit[[#This Row],[Código do Posto]],tabParametros[Aviso Prévio Trabalhado - APT])*tabCustoUnit[[#This Row],[MODULO 1 - REMUNERAÇÃO ]]</f>
        <v>1.9731967500000003</v>
      </c>
      <c r="AQ175" s="22">
        <f>SUMIF(tabParametros[Código do Posto],tabCustoUnit[[#This Row],[Código do Posto]],tabParametros[Incidência dos encargos do submódulo 2.1 sobre Aviso Prévio Trabalhado])*tabCustoUnit[[#This Row],[MODULO 1 - REMUNERAÇÃO ]]</f>
        <v>0.74586837150000018</v>
      </c>
      <c r="AR175" s="22">
        <f>SUMIF(tabParametros[Código do Posto],tabCustoUnit[[#This Row],[Código do Posto]],tabParametros[Multa Rescisória do FGTS])*tabCustoUnit[[#This Row],[MODULO 1 - REMUNERAÇÃO ]]</f>
        <v>17.238849066666663</v>
      </c>
      <c r="AS175" s="22">
        <f>SUMIF(tabParametros[Código do Posto],tabCustoUnit[[#This Row],[Código do Posto]],tabParametros[Indenização Adicional (Art. 9º da Lei nº 7.238/84)])*tabCustoUnit[[#This Row],[MODULO 1 - REMUNERAÇÃO ]]</f>
        <v>0.46980875</v>
      </c>
      <c r="AT175" s="22">
        <f>SUM(tabCustoUnit[[#This Row],[Aviso Prévio Indenizado (API) e Reflexo do Aviso Prévio Indenizado]:[Indenização Adicional (Art. 9º da Lei nº 7.238/84)]])</f>
        <v>24.823489377557866</v>
      </c>
      <c r="AU175" s="22">
        <f>SUMIF(tabParametros[Código do Posto],tabCustoUnit[[#This Row],[Código do Posto]],tabParametros[Ausência por Doença])*tabCustoUnit[[#This Row],[MODULO 1 - REMUNERAÇÃO ]]</f>
        <v>4.7607286666666662</v>
      </c>
      <c r="AV175" s="22">
        <f>SUMIF(tabParametros[Código do Posto],tabCustoUnit[[#This Row],[Código do Posto]],tabParametros[Ausências Legais])*tabCustoUnit[[#This Row],[MODULO 1 - REMUNERAÇÃO ]]</f>
        <v>1.1432012916666665</v>
      </c>
      <c r="AW175" s="22">
        <f>SUMIF(tabParametros[Código do Posto],tabCustoUnit[[#This Row],[Código do Posto]],tabParametros[Licença Paternidade])*tabCustoUnit[[#This Row],[MODULO 1 - REMUNERAÇÃO ]]</f>
        <v>9.6310793749999998E-2</v>
      </c>
      <c r="AX175" s="22">
        <f>SUMIF(tabParametros[Código do Posto],tabCustoUnit[[#This Row],[Código do Posto]],tabParametros[Ausência por Acidente de Trabalho])*tabCustoUnit[[#This Row],[MODULO 1 - REMUNERAÇÃO ]]</f>
        <v>0.1174521875</v>
      </c>
      <c r="AY175" s="22">
        <f>SUMIF(tabParametros[Código do Posto],tabCustoUnit[[#This Row],[Código do Posto]],tabParametros[Férias, Adicional de Férias e 13º  com empregada em gozo de Licença Maternidade])*tabCustoUnit[[#This Row],[MODULO 1 - REMUNERAÇÃO ]]</f>
        <v>0.73081361111111109</v>
      </c>
      <c r="AZ175" s="22">
        <f>SUMIF(tabParametros[Código do Posto],tabCustoUnit[[#This Row],[Código do Posto]],tabParametros[Incidência do Submódulo 2.1 sobre Ausências Legais])*tabCustoUnit[[#This Row],[MODULO 1 - REMUNERAÇÃO ]]</f>
        <v>2.5887354761625003</v>
      </c>
      <c r="BA175" s="22">
        <f>SUM(tabCustoUnit[[#This Row],[Ausência por Doença]:[Incidência do Submódulo 2.1 sobre Ausências Legais]])</f>
        <v>9.4372420268569428</v>
      </c>
      <c r="BB175" s="22">
        <f>SUMIF(tabParametros[Código do Posto],tabCustoUnit[[#This Row],[Código do Posto]],tabParametros[Intervalo para Repouso ou Alimentação])</f>
        <v>0</v>
      </c>
      <c r="BC175" s="22">
        <f>tabCustoUnit[[#This Row],[Intervalo para Repouso ou Alimentação]]</f>
        <v>0</v>
      </c>
      <c r="BD175" s="22">
        <f>IF(VLOOKUP(tabCustoUnit[[#This Row],[Código do Posto]],PARAMETROS!$A$4:$BJ$255,7,0)&lt;=0,0,
IFERROR((tabCustoUnit[[#This Row],[MODULO 1 - REMUNERAÇÃO ]]*VLOOKUP(tabCustoUnit[[#This Row],[Código do Posto]],PARAMETROS!$A$4:$BJ$255,49,0))/(VLOOKUP(tabCustoUnit[[#This Row],[Código do Posto]],PARAMETROS!$A$4:$BJ$255,7,0)*VLOOKUP(tabCustoUnit[[#This Row],[Código do Posto]],PARAMETROS!$A$4:$BJ$255,8,0)),0)
)</f>
        <v>0</v>
      </c>
      <c r="BE175" s="22">
        <f>tabCustoUnit[[#This Row],[Suspensão Temporária do Contrato de Trabalho]]</f>
        <v>0</v>
      </c>
      <c r="BF175" s="22">
        <f>tabCustoUnit[[#This Row],[Submódulo 4.1]]+tabCustoUnit[[#This Row],[Submódulo 4.2]]+tabCustoUnit[[#This Row],[Submódulo 4.3]]</f>
        <v>9.4372420268569428</v>
      </c>
      <c r="BG175" s="22">
        <f>VLOOKUP(tabCustoUnit[[#This Row],[Código do Posto]],tabParametros[],MATCH(tabCustoUnit[[#Headers],[Uniformes e EPIs]],tabParametros[#Headers],0),0)</f>
        <v>62.806666666666665</v>
      </c>
      <c r="BH175" s="22">
        <f>VLOOKUP(tabCustoUnit[[#This Row],[Código do Posto]],tabParametros[],MATCH(tabCustoUnit[[#Headers],[Materiais de Consumo]],tabParametros[#Headers],0),0)</f>
        <v>12.108481690426325</v>
      </c>
      <c r="BI175" s="22">
        <f>VLOOKUP(tabCustoUnit[[#This Row],[Código do Posto]],tabParametros[],MATCH(tabCustoUnit[[#Headers],[Máquinas e Equipamentos (depreciação)]],tabParametros[#Headers],0),0)</f>
        <v>21.998657016417809</v>
      </c>
      <c r="BJ175" s="22">
        <f>VLOOKUP(tabCustoUnit[[#This Row],[Código do Posto]],tabParametros[],MATCH(tabCustoUnit[[#Headers],[Produtos de Limpeza e Materiais de Higiene Pessoal]],tabParametros[#Headers],0),0)</f>
        <v>235.31984072022155</v>
      </c>
      <c r="BK175" s="22">
        <f>VLOOKUP(tabCustoUnit[[#This Row],[Código do Posto]],tabParametros[],MATCH(tabCustoUnit[[#Headers],[Outros (especificar)]],tabParametros[#Headers],0),0)</f>
        <v>0</v>
      </c>
      <c r="BL175" s="22">
        <f>SUM(tabCustoUnit[[#This Row],[Uniformes e EPIs]:[Outros (especificar)]])</f>
        <v>332.23364609373232</v>
      </c>
      <c r="BM175" s="22">
        <f>tabCustoUnit[[#This Row],[MODULO 1 - REMUNERAÇÃO ]]+tabCustoUnit[[#This Row],[MÓDULO 2 - Total Encargos e Benefícios mensais e diários]]+tabCustoUnit[[#This Row],[MÓDULO 3 – PROVISÃO PARA RESCISÃO]]+tabCustoUnit[[#This Row],[MÓDULO 4 – CUSTO DE REPOSIÇÃO DO PROFISSIONAL AUSENTE]]+tabCustoUnit[[#This Row],[MÓDULO 5 – INSUMOS DIVERSOS]]</f>
        <v>2103.1384999148136</v>
      </c>
      <c r="BN175" s="22">
        <f>VLOOKUP(tabCustoUnit[[#This Row],[Código do Posto]],tabParametros[],MATCH(tabCustoUnit[[#Headers],[Custos Indiretos]],tabParametros[#Headers],0),0)</f>
        <v>189.64880140242613</v>
      </c>
      <c r="BO175" s="22">
        <f>VLOOKUP(tabCustoUnit[[#This Row],[Código do Posto]],tabParametros[],MATCH(tabCustoUnit[[#Headers],[Lucro]],tabParametros[#Headers],0),0)</f>
        <v>159.30499317803796</v>
      </c>
      <c r="BP175" s="26">
        <f>((100/((1-tabCustoUnit[[#This Row],[Resumo de Alíquotas (PIS+CONFINS+ISS)]]))-100)*VLOOKUP(tabCustoUnit[[#This Row],[Código do Posto]],tabParametros[],MATCH(tabCustoUnit[[#Headers],[COFINS]],tabParametros[#Headers],0),0))/(tabCustoUnit[[#This Row],[Resumo de Alíquotas (PIS+CONFINS+ISS)]]*100)</f>
        <v>8.8629737609329504E-2</v>
      </c>
      <c r="BQ175" s="26">
        <f>((100/((100-(tabCustoUnit[[#This Row],[Resumo de Alíquotas (PIS+CONFINS+ISS)]]*100))%)-100)*VLOOKUP(tabCustoUnit[[#This Row],[Código do Posto]],tabParametros[],MATCH(tabCustoUnit[[#Headers],[PIS]],tabParametros[#Headers],0),0))/(tabCustoUnit[[#This Row],[Resumo de Alíquotas (PIS+CONFINS+ISS)]]*100)</f>
        <v>1.9241982507288629E-2</v>
      </c>
      <c r="BR175" s="28">
        <f>VLOOKUP(tabCustoUnit[[#This Row],[Código do Posto]],tabParametros[],MATCH(tabCustoUnit[[#Headers],[ISS]],tabParametros[#Headers],0),0)</f>
        <v>0.05</v>
      </c>
      <c r="BS175" s="26">
        <f>(((100/((100-(tabCustoUnit[[#This Row],[Resumo de Alíquotas (PIS+CONFINS+ISS)]]*100))%)-100)*tabCustoUnit[[#This Row],[ISS]])/tabCustoUnit[[#This Row],[Resumo de Alíquotas (PIS+CONFINS+ISS)]])/100</f>
        <v>5.8309037900874633E-2</v>
      </c>
      <c r="BT175" s="26">
        <f>(VLOOKUP(tabCustoUnit[[#This Row],[Código do Posto]],tabParametros[],MATCH(tabCustoUnit[[#Headers],[COFINS]],tabParametros[#Headers],0),0)+
VLOOKUP(tabCustoUnit[[#This Row],[Código do Posto]],tabParametros[],MATCH(tabCustoUnit[[#Headers],[PIS]],tabParametros[#Headers],0),0)+
VLOOKUP(tabCustoUnit[[#This Row],[Código do Posto]],tabParametros[],MATCH(tabCustoUnit[[#Headers],[ISS]],tabParametros[#Headers],0),0))</f>
        <v>0.14250000000000002</v>
      </c>
      <c r="BU175" s="138">
        <f>tabCustoUnit[[#This Row],[COFINS]]+tabCustoUnit[[#This Row],[PIS]]+tabCustoUnit[[#This Row],[ISS (Conversão Alíquota s/ fatura)]]</f>
        <v>0.16618075801749277</v>
      </c>
      <c r="BV175" s="22">
        <f>(tabCustoUnit[[#This Row],[TOTAL MÓDULOS 1+2+3+4+5]]+tabCustoUnit[[#This Row],[Custos Indiretos]]+tabCustoUnit[[#This Row],[Lucro]])*tabCustoUnit[[#This Row],[PIS + COFINS + ISS (Total Conversão  Alíquota s/ Fatura)]]</f>
        <v>407.49055622807833</v>
      </c>
      <c r="BW175" s="22">
        <f>tabCustoUnit[[#This Row],[Custos Indiretos]]+tabCustoUnit[[#This Row],[Lucro]]+tabCustoUnit[[#This Row],[Valor dos Tributos (ISS, PIS, CONFINS)]]</f>
        <v>756.44435080854237</v>
      </c>
      <c r="BX175" s="22">
        <f>tabCustoUnit[[#This Row],[TOTAL MÓDULOS 1+2+3+4+5]]+tabCustoUnit[[#This Row],[MÓDULO 6 – CUSTOS INDIRETOS, TRIBUTOS E LUCRO]]</f>
        <v>2859.5828507233559</v>
      </c>
      <c r="BY175" s="22">
        <f>tabCustoUnit[[#This Row],[CUSTO TOTAL MENSAL]]*12</f>
        <v>34314.994208680269</v>
      </c>
      <c r="BZ175" s="24">
        <f>VLOOKUP(tabCustoUnit[[#This Row],[Código do Posto]],tabParametros[],MATCH(tabCustoUnit[[#Headers],[ANO DA CCT]],tabParametros[#Headers],0),0)</f>
        <v>45658</v>
      </c>
      <c r="CA175" s="25" t="str">
        <f>VLOOKUP(tabCustoUnit[[#This Row],[Código do Posto]],tabParametros[],MATCH(tabCustoUnit[[#Headers],[Nº DE PEDIDO DA CCT]],tabParametros[#Headers],0),0)</f>
        <v>-</v>
      </c>
      <c r="CB175" s="25" t="str">
        <f>VLOOKUP(tabCustoUnit[[#This Row],[Código do Posto]],tabParametros[],MATCH(tabCustoUnit[[#Headers],[TERMO ADITIVO ALTERAÇÃO DA CCT]],tabParametros[#Headers],0),0)</f>
        <v>-</v>
      </c>
    </row>
    <row r="176" spans="1:80" x14ac:dyDescent="0.25">
      <c r="A176" s="20" t="s">
        <v>1512</v>
      </c>
      <c r="B176" t="s">
        <v>160</v>
      </c>
      <c r="C176" t="s">
        <v>1245</v>
      </c>
      <c r="D176" t="s">
        <v>1020</v>
      </c>
      <c r="E176" s="20" t="s">
        <v>9</v>
      </c>
      <c r="F176" s="20" t="s">
        <v>10</v>
      </c>
      <c r="G176" s="21">
        <v>1596.28</v>
      </c>
      <c r="H176" s="21">
        <v>0</v>
      </c>
      <c r="I176" s="21">
        <v>0</v>
      </c>
      <c r="J176" s="21">
        <v>0</v>
      </c>
      <c r="K176" s="21">
        <v>0</v>
      </c>
      <c r="L176" s="21">
        <v>0</v>
      </c>
      <c r="M176" s="21">
        <v>0</v>
      </c>
      <c r="N176" s="21">
        <v>52.241900000000001</v>
      </c>
      <c r="O176" s="21">
        <f>SUM(tabCustoUnit[[#This Row],[Salário Base]:[Adicional de Acúmulo de função]])</f>
        <v>1648.5219</v>
      </c>
      <c r="P176" s="21">
        <f>tabCustoUnit[[#This Row],[MODULO 1 - REMUNERAÇÃO ]]*SUMIFS(tabParametros[INSS],tabParametros[Código do Posto],tabCustoUnit[[#This Row],[Código do Posto]])</f>
        <v>329.70438000000001</v>
      </c>
      <c r="Q176" s="21">
        <f>tabCustoUnit[[#This Row],[MODULO 1 - REMUNERAÇÃO ]]*SUMIFS(tabParametros[SESI OU SESC],tabParametros[Código do Posto],tabCustoUnit[[#This Row],[Código do Posto]])</f>
        <v>24.727828499999998</v>
      </c>
      <c r="R176" s="21">
        <f>tabCustoUnit[[#This Row],[MODULO 1 - REMUNERAÇÃO ]]*SUMIFS(tabParametros[SENAI OU SENAC],tabParametros[Código do Posto],tabCustoUnit[[#This Row],[Código do Posto]])</f>
        <v>16.485219000000001</v>
      </c>
      <c r="S176" s="21">
        <f>tabCustoUnit[[#This Row],[MODULO 1 - REMUNERAÇÃO ]]*SUMIFS(tabParametros[INCRA],tabParametros[Código do Posto],tabCustoUnit[[#This Row],[Código do Posto]])</f>
        <v>3.2970438</v>
      </c>
      <c r="T176" s="21">
        <f>tabCustoUnit[[#This Row],[MODULO 1 - REMUNERAÇÃO ]]*SUMIFS(tabParametros[Salário Educação],tabParametros[Código do Posto],tabCustoUnit[[#This Row],[Código do Posto]])</f>
        <v>41.213047500000002</v>
      </c>
      <c r="U176" s="21">
        <f>tabCustoUnit[[#This Row],[MODULO 1 - REMUNERAÇÃO ]]*SUMIFS(tabParametros[FGTS],tabParametros[Código do Posto],tabCustoUnit[[#This Row],[Código do Posto]])</f>
        <v>131.88175200000001</v>
      </c>
      <c r="V176" s="21">
        <f>tabCustoUnit[[#This Row],[MODULO 1 - REMUNERAÇÃO ]]*SUMIFS(tabParametros[RAT Ajustado],tabParametros[Código do Posto],tabCustoUnit[[#This Row],[Código do Posto]])</f>
        <v>65.940876000000003</v>
      </c>
      <c r="W176" s="21">
        <f>tabCustoUnit[[#This Row],[MODULO 1 - REMUNERAÇÃO ]]*SUMIFS(tabParametros[SEBRAE],tabParametros[Código do Posto],tabCustoUnit[[#This Row],[Código do Posto]])</f>
        <v>9.8911314000000008</v>
      </c>
      <c r="X176" s="21">
        <f>SUM(tabCustoUnit[[#This Row],[INSS]:[SEBRAE]])</f>
        <v>623.14127819999999</v>
      </c>
      <c r="Y176" s="21">
        <f>tabCustoUnit[[#This Row],[MODULO 1 - REMUNERAÇÃO ]]*SUMIFS(tabParametros[13º salário (titular)],tabParametros[Código do Posto],tabCustoUnit[[#This Row],[Código do Posto]])</f>
        <v>137.376825</v>
      </c>
      <c r="Z176" s="21">
        <f>tabCustoUnit[[#This Row],[MODULO 1 - REMUNERAÇÃO ]]*SUMIFS(tabParametros[Férias e Adicional de Férias (titular)],tabParametros[Código do Posto],tabCustoUnit[[#This Row],[Código do Posto]])</f>
        <v>183.16909999999999</v>
      </c>
      <c r="AA176" s="21">
        <f>IFERROR((tabCustoUnit[[#This Row],[Submódulo 2.1]]/tabCustoUnit[[#This Row],[MODULO 1 - REMUNERAÇÃO ]])*SUM(tabCustoUnit[[#This Row],[13º salário (titular)]:[Férias e Adicional de Férias (titular)]]),0)</f>
        <v>121.16635965</v>
      </c>
      <c r="AB176" s="21">
        <f>SUM(tabCustoUnit[[#This Row],[13º salário (titular)]:[Incidência do Submódulo 2.1 sobre 13º Salário, Férias e Adicional de Férias]])</f>
        <v>441.71228465000002</v>
      </c>
      <c r="AC176" s="22">
        <f>_xlfn.LET(_xlpm.VT,SUMIF(tabParametros[Código do Posto],tabCustoUnit[[#This Row],[Código do Posto]],tabParametros[Vale - Transporte])*2*20,
IF((_xlpm.VT-tabCustoUnit[[#This Row],[Salário Base]]*0.06)&gt;=0,(_xlpm.VT-tabCustoUnit[[#This Row],[Salário Base]]*0.06),0)
)</f>
        <v>160.22320000000002</v>
      </c>
      <c r="AD176" s="22">
        <f>IF(SUMIF(tabParametros[Código do Posto],tabCustoUnit[[#This Row],[Código do Posto]],tabParametros[Vale - Alimentação])&lt;=0,0,
SUMIF(tabParametros[Código do Posto],tabCustoUnit[[#This Row],[Código do Posto]],tabParametros[Vale - Alimentação])*20-1)</f>
        <v>582</v>
      </c>
      <c r="AE176" s="22">
        <f>SUMIF(tabParametros[Código do Posto],tabCustoUnit[[#This Row],[Código do Posto]],tabParametros[Cesta Básica])</f>
        <v>0</v>
      </c>
      <c r="AF176" s="22">
        <f>SUMIF(tabParametros[Código do Posto],tabCustoUnit[[#This Row],[Código do Posto]],tabParametros[PAF])</f>
        <v>51.87</v>
      </c>
      <c r="AG176" s="22">
        <f>SUMIF(tabParametros[Código do Posto],tabCustoUnit[[#This Row],[Código do Posto]],tabParametros[PQM])</f>
        <v>0</v>
      </c>
      <c r="AH176" s="22">
        <f>SUMIF(tabParametros[Código do Posto],tabCustoUnit[[#This Row],[Código do Posto]],tabParametros[PAT])</f>
        <v>0</v>
      </c>
      <c r="AI176" s="22">
        <f>SUMIF(tabParametros[Código do Posto],tabCustoUnit[[#This Row],[Código do Posto]],tabParametros[Seguro de Vida])</f>
        <v>3.36</v>
      </c>
      <c r="AJ176" s="22">
        <f>SUMIF(tabParametros[Código do Posto],tabCustoUnit[[#This Row],[Código do Posto]],tabParametros[Despesas de Viagem])</f>
        <v>0</v>
      </c>
      <c r="AK176" s="22">
        <f>SUM(tabCustoUnit[[#This Row],[Vale - Transporte (Descontada parcela do empregado)]:[Despesas de Viagem]])</f>
        <v>797.45320000000004</v>
      </c>
      <c r="AL176" s="22">
        <f>tabCustoUnit[[#This Row],[Submódulo 2.1]]+tabCustoUnit[[#This Row],[Submódulo 2.2]]+tabCustoUnit[[#This Row],[Submódulo 2.3]]</f>
        <v>1862.3067628499998</v>
      </c>
      <c r="AM176" s="22">
        <f>SUMIF(tabParametros[Código do Posto],tabCustoUnit[[#This Row],[Código do Posto]],tabParametros[Aviso Prévio Indenizado (API) e Reflexo do Aviso Prévio Indenizado])*tabCustoUnit[[#This Row],[MODULO 1 - REMUNERAÇÃO ]]</f>
        <v>11.559051416493055</v>
      </c>
      <c r="AN176" s="22">
        <f>SUMIF(tabParametros[Código do Posto],tabCustoUnit[[#This Row],[Código do Posto]],tabParametros[Incidência do FGTS sobre API e Reflexo do API])*tabCustoUnit[[#This Row],[MODULO 1 - REMUNERAÇÃO ]]</f>
        <v>0.92472411331944449</v>
      </c>
      <c r="AO176" s="22">
        <f>SUMIF(tabParametros[Código do Posto],tabCustoUnit[[#This Row],[Código do Posto]],tabParametros[Multa Rescisória do FGTS sobre o Aviso Prévio Indenizado])*tabCustoUnit[[#This Row],[MODULO 1 - REMUNERAÇÃO ]]</f>
        <v>0.36988964532777785</v>
      </c>
      <c r="AP176" s="22">
        <f>SUMIF(tabParametros[Código do Posto],tabCustoUnit[[#This Row],[Código do Posto]],tabParametros[Aviso Prévio Trabalhado - APT])*tabCustoUnit[[#This Row],[MODULO 1 - REMUNERAÇÃO ]]</f>
        <v>5.7698266500000006</v>
      </c>
      <c r="AQ176" s="22">
        <f>SUMIF(tabParametros[Código do Posto],tabCustoUnit[[#This Row],[Código do Posto]],tabParametros[Incidência dos encargos do submódulo 2.1 sobre Aviso Prévio Trabalhado])*tabCustoUnit[[#This Row],[MODULO 1 - REMUNERAÇÃO ]]</f>
        <v>2.1809944737000007</v>
      </c>
      <c r="AR176" s="22">
        <f>SUMIF(tabParametros[Código do Posto],tabCustoUnit[[#This Row],[Código do Posto]],tabParametros[Multa Rescisória do FGTS])*tabCustoUnit[[#This Row],[MODULO 1 - REMUNERAÇÃO ]]</f>
        <v>50.40813631999999</v>
      </c>
      <c r="AS176" s="22">
        <f>SUMIF(tabParametros[Código do Posto],tabCustoUnit[[#This Row],[Código do Posto]],tabParametros[Indenização Adicional (Art. 9º da Lei nº 7.238/84)])*tabCustoUnit[[#This Row],[MODULO 1 - REMUNERAÇÃO ]]</f>
        <v>1.3737682500000001</v>
      </c>
      <c r="AT176" s="22">
        <f>SUM(tabCustoUnit[[#This Row],[Aviso Prévio Indenizado (API) e Reflexo do Aviso Prévio Indenizado]:[Indenização Adicional (Art. 9º da Lei nº 7.238/84)]])</f>
        <v>72.586390868840269</v>
      </c>
      <c r="AU176" s="22">
        <f>SUMIF(tabParametros[Código do Posto],tabCustoUnit[[#This Row],[Código do Posto]],tabParametros[Ausência por Doença])*tabCustoUnit[[#This Row],[MODULO 1 - REMUNERAÇÃO ]]</f>
        <v>13.920851599999999</v>
      </c>
      <c r="AV176" s="22">
        <f>SUMIF(tabParametros[Código do Posto],tabCustoUnit[[#This Row],[Código do Posto]],tabParametros[Ausências Legais])*tabCustoUnit[[#This Row],[MODULO 1 - REMUNERAÇÃO ]]</f>
        <v>3.3428360749999997</v>
      </c>
      <c r="AW176" s="22">
        <f>SUMIF(tabParametros[Código do Posto],tabCustoUnit[[#This Row],[Código do Posto]],tabParametros[Licença Paternidade])*tabCustoUnit[[#This Row],[MODULO 1 - REMUNERAÇÃO ]]</f>
        <v>0.28162249125</v>
      </c>
      <c r="AX176" s="22">
        <f>SUMIF(tabParametros[Código do Posto],tabCustoUnit[[#This Row],[Código do Posto]],tabParametros[Ausência por Acidente de Trabalho])*tabCustoUnit[[#This Row],[MODULO 1 - REMUNERAÇÃO ]]</f>
        <v>0.34344206250000003</v>
      </c>
      <c r="AY176" s="22">
        <f>SUMIF(tabParametros[Código do Posto],tabCustoUnit[[#This Row],[Código do Posto]],tabParametros[Férias, Adicional de Férias e 13º  com empregada em gozo de Licença Maternidade])*tabCustoUnit[[#This Row],[MODULO 1 - REMUNERAÇÃO ]]</f>
        <v>2.1369728333333331</v>
      </c>
      <c r="AZ176" s="22">
        <f>SUMIF(tabParametros[Código do Posto],tabCustoUnit[[#This Row],[Código do Posto]],tabParametros[Incidência do Submódulo 2.1 sobre Ausências Legais])*tabCustoUnit[[#This Row],[MODULO 1 - REMUNERAÇÃO ]]</f>
        <v>7.5697240734675013</v>
      </c>
      <c r="BA176" s="22">
        <f>SUM(tabCustoUnit[[#This Row],[Ausência por Doença]:[Incidência do Submódulo 2.1 sobre Ausências Legais]])</f>
        <v>27.595449135550833</v>
      </c>
      <c r="BB176" s="22">
        <f>SUMIF(tabParametros[Código do Posto],tabCustoUnit[[#This Row],[Código do Posto]],tabParametros[Intervalo para Repouso ou Alimentação])</f>
        <v>0</v>
      </c>
      <c r="BC176" s="22">
        <f>tabCustoUnit[[#This Row],[Intervalo para Repouso ou Alimentação]]</f>
        <v>0</v>
      </c>
      <c r="BD176" s="22">
        <f>IF(VLOOKUP(tabCustoUnit[[#This Row],[Código do Posto]],PARAMETROS!$A$4:$BJ$255,7,0)&lt;=0,0,
IFERROR((tabCustoUnit[[#This Row],[MODULO 1 - REMUNERAÇÃO ]]*VLOOKUP(tabCustoUnit[[#This Row],[Código do Posto]],PARAMETROS!$A$4:$BJ$255,49,0))/(VLOOKUP(tabCustoUnit[[#This Row],[Código do Posto]],PARAMETROS!$A$4:$BJ$255,7,0)*VLOOKUP(tabCustoUnit[[#This Row],[Código do Posto]],PARAMETROS!$A$4:$BJ$255,8,0)),0)
)</f>
        <v>0</v>
      </c>
      <c r="BE176" s="22">
        <f>tabCustoUnit[[#This Row],[Suspensão Temporária do Contrato de Trabalho]]</f>
        <v>0</v>
      </c>
      <c r="BF176" s="22">
        <f>tabCustoUnit[[#This Row],[Submódulo 4.1]]+tabCustoUnit[[#This Row],[Submódulo 4.2]]+tabCustoUnit[[#This Row],[Submódulo 4.3]]</f>
        <v>27.595449135550833</v>
      </c>
      <c r="BG176" s="22">
        <f>VLOOKUP(tabCustoUnit[[#This Row],[Código do Posto]],tabParametros[],MATCH(tabCustoUnit[[#Headers],[Uniformes e EPIs]],tabParametros[#Headers],0),0)</f>
        <v>100.80916666666666</v>
      </c>
      <c r="BH176" s="22">
        <f>VLOOKUP(tabCustoUnit[[#This Row],[Código do Posto]],tabParametros[],MATCH(tabCustoUnit[[#Headers],[Materiais de Consumo]],tabParametros[#Headers],0),0)</f>
        <v>35.518212958583888</v>
      </c>
      <c r="BI176" s="22">
        <f>VLOOKUP(tabCustoUnit[[#This Row],[Código do Posto]],tabParametros[],MATCH(tabCustoUnit[[#Headers],[Máquinas e Equipamentos (depreciação)]],tabParametros[#Headers],0),0)</f>
        <v>64.529393914825576</v>
      </c>
      <c r="BJ176" s="22">
        <f>VLOOKUP(tabCustoUnit[[#This Row],[Código do Posto]],tabParametros[],MATCH(tabCustoUnit[[#Headers],[Produtos de Limpeza e Materiais de Higiene Pessoal]],tabParametros[#Headers],0),0)</f>
        <v>690.27153277931654</v>
      </c>
      <c r="BK176" s="22">
        <f>VLOOKUP(tabCustoUnit[[#This Row],[Código do Posto]],tabParametros[],MATCH(tabCustoUnit[[#Headers],[Outros (especificar)]],tabParametros[#Headers],0),0)</f>
        <v>0</v>
      </c>
      <c r="BL176" s="22">
        <f>SUM(tabCustoUnit[[#This Row],[Uniformes e EPIs]:[Outros (especificar)]])</f>
        <v>891.12830631939266</v>
      </c>
      <c r="BM176" s="22">
        <f>tabCustoUnit[[#This Row],[MODULO 1 - REMUNERAÇÃO ]]+tabCustoUnit[[#This Row],[MÓDULO 2 - Total Encargos e Benefícios mensais e diários]]+tabCustoUnit[[#This Row],[MÓDULO 3 – PROVISÃO PARA RESCISÃO]]+tabCustoUnit[[#This Row],[MÓDULO 4 – CUSTO DE REPOSIÇÃO DO PROFISSIONAL AUSENTE]]+tabCustoUnit[[#This Row],[MÓDULO 5 – INSUMOS DIVERSOS]]</f>
        <v>4502.1388091737836</v>
      </c>
      <c r="BN176" s="22">
        <f>VLOOKUP(tabCustoUnit[[#This Row],[Código do Posto]],tabParametros[],MATCH(tabCustoUnit[[#Headers],[Custos Indiretos]],tabParametros[#Headers],0),0)</f>
        <v>189.64880140242613</v>
      </c>
      <c r="BO176" s="22">
        <f>VLOOKUP(tabCustoUnit[[#This Row],[Código do Posto]],tabParametros[],MATCH(tabCustoUnit[[#Headers],[Lucro]],tabParametros[#Headers],0),0)</f>
        <v>159.30499317803796</v>
      </c>
      <c r="BP176" s="26">
        <f>((100/((1-tabCustoUnit[[#This Row],[Resumo de Alíquotas (PIS+CONFINS+ISS)]]))-100)*VLOOKUP(tabCustoUnit[[#This Row],[Código do Posto]],tabParametros[],MATCH(tabCustoUnit[[#Headers],[COFINS]],tabParametros[#Headers],0),0))/(tabCustoUnit[[#This Row],[Resumo de Alíquotas (PIS+CONFINS+ISS)]]*100)</f>
        <v>8.8629737609329504E-2</v>
      </c>
      <c r="BQ176" s="26">
        <f>((100/((100-(tabCustoUnit[[#This Row],[Resumo de Alíquotas (PIS+CONFINS+ISS)]]*100))%)-100)*VLOOKUP(tabCustoUnit[[#This Row],[Código do Posto]],tabParametros[],MATCH(tabCustoUnit[[#Headers],[PIS]],tabParametros[#Headers],0),0))/(tabCustoUnit[[#This Row],[Resumo de Alíquotas (PIS+CONFINS+ISS)]]*100)</f>
        <v>1.9241982507288629E-2</v>
      </c>
      <c r="BR176" s="28">
        <f>VLOOKUP(tabCustoUnit[[#This Row],[Código do Posto]],tabParametros[],MATCH(tabCustoUnit[[#Headers],[ISS]],tabParametros[#Headers],0),0)</f>
        <v>0.05</v>
      </c>
      <c r="BS176" s="26">
        <f>(((100/((100-(tabCustoUnit[[#This Row],[Resumo de Alíquotas (PIS+CONFINS+ISS)]]*100))%)-100)*tabCustoUnit[[#This Row],[ISS]])/tabCustoUnit[[#This Row],[Resumo de Alíquotas (PIS+CONFINS+ISS)]])/100</f>
        <v>5.8309037900874633E-2</v>
      </c>
      <c r="BT176" s="26">
        <f>(VLOOKUP(tabCustoUnit[[#This Row],[Código do Posto]],tabParametros[],MATCH(tabCustoUnit[[#Headers],[COFINS]],tabParametros[#Headers],0),0)+
VLOOKUP(tabCustoUnit[[#This Row],[Código do Posto]],tabParametros[],MATCH(tabCustoUnit[[#Headers],[PIS]],tabParametros[#Headers],0),0)+
VLOOKUP(tabCustoUnit[[#This Row],[Código do Posto]],tabParametros[],MATCH(tabCustoUnit[[#Headers],[ISS]],tabParametros[#Headers],0),0))</f>
        <v>0.14250000000000002</v>
      </c>
      <c r="BU176" s="138">
        <f>tabCustoUnit[[#This Row],[COFINS]]+tabCustoUnit[[#This Row],[PIS]]+tabCustoUnit[[#This Row],[ISS (Conversão Alíquota s/ fatura)]]</f>
        <v>0.16618075801749277</v>
      </c>
      <c r="BV176" s="22">
        <f>(tabCustoUnit[[#This Row],[TOTAL MÓDULOS 1+2+3+4+5]]+tabCustoUnit[[#This Row],[Custos Indiretos]]+tabCustoUnit[[#This Row],[Lucro]])*tabCustoUnit[[#This Row],[PIS + COFINS + ISS (Total Conversão  Alíquota s/ Fatura)]]</f>
        <v>806.1582461049336</v>
      </c>
      <c r="BW176" s="22">
        <f>tabCustoUnit[[#This Row],[Custos Indiretos]]+tabCustoUnit[[#This Row],[Lucro]]+tabCustoUnit[[#This Row],[Valor dos Tributos (ISS, PIS, CONFINS)]]</f>
        <v>1155.1120406853977</v>
      </c>
      <c r="BX176" s="22">
        <f>tabCustoUnit[[#This Row],[TOTAL MÓDULOS 1+2+3+4+5]]+tabCustoUnit[[#This Row],[MÓDULO 6 – CUSTOS INDIRETOS, TRIBUTOS E LUCRO]]</f>
        <v>5657.2508498591815</v>
      </c>
      <c r="BY176" s="22">
        <f>tabCustoUnit[[#This Row],[CUSTO TOTAL MENSAL]]*12</f>
        <v>67887.010198310178</v>
      </c>
      <c r="BZ176" s="24">
        <f>VLOOKUP(tabCustoUnit[[#This Row],[Código do Posto]],tabParametros[],MATCH(tabCustoUnit[[#Headers],[ANO DA CCT]],tabParametros[#Headers],0),0)</f>
        <v>45658</v>
      </c>
      <c r="CA176" s="25" t="str">
        <f>VLOOKUP(tabCustoUnit[[#This Row],[Código do Posto]],tabParametros[],MATCH(tabCustoUnit[[#Headers],[Nº DE PEDIDO DA CCT]],tabParametros[#Headers],0),0)</f>
        <v>-</v>
      </c>
      <c r="CB176" s="25" t="str">
        <f>VLOOKUP(tabCustoUnit[[#This Row],[Código do Posto]],tabParametros[],MATCH(tabCustoUnit[[#Headers],[TERMO ADITIVO ALTERAÇÃO DA CCT]],tabParametros[#Headers],0),0)</f>
        <v>-</v>
      </c>
    </row>
    <row r="177" spans="1:80" x14ac:dyDescent="0.25">
      <c r="A177" s="20" t="s">
        <v>1513</v>
      </c>
      <c r="B177" t="s">
        <v>1239</v>
      </c>
      <c r="C177" t="s">
        <v>1245</v>
      </c>
      <c r="D177" t="s">
        <v>1018</v>
      </c>
      <c r="E177" s="20" t="s">
        <v>9</v>
      </c>
      <c r="F177" s="20" t="s">
        <v>10</v>
      </c>
      <c r="G177" s="21">
        <v>1596.28</v>
      </c>
      <c r="H177" s="21">
        <v>0</v>
      </c>
      <c r="I177" s="21">
        <v>0</v>
      </c>
      <c r="J177" s="21">
        <v>0</v>
      </c>
      <c r="K177" s="21">
        <v>0</v>
      </c>
      <c r="L177" s="21">
        <v>0</v>
      </c>
      <c r="M177" s="21">
        <v>0</v>
      </c>
      <c r="N177" s="21">
        <v>52.241900000000001</v>
      </c>
      <c r="O177" s="21">
        <f>SUM(tabCustoUnit[[#This Row],[Salário Base]:[Adicional de Acúmulo de função]])</f>
        <v>1648.5219</v>
      </c>
      <c r="P177" s="21">
        <f>tabCustoUnit[[#This Row],[MODULO 1 - REMUNERAÇÃO ]]*SUMIFS(tabParametros[INSS],tabParametros[Código do Posto],tabCustoUnit[[#This Row],[Código do Posto]])</f>
        <v>329.70438000000001</v>
      </c>
      <c r="Q177" s="21">
        <f>tabCustoUnit[[#This Row],[MODULO 1 - REMUNERAÇÃO ]]*SUMIFS(tabParametros[SESI OU SESC],tabParametros[Código do Posto],tabCustoUnit[[#This Row],[Código do Posto]])</f>
        <v>24.727828499999998</v>
      </c>
      <c r="R177" s="21">
        <f>tabCustoUnit[[#This Row],[MODULO 1 - REMUNERAÇÃO ]]*SUMIFS(tabParametros[SENAI OU SENAC],tabParametros[Código do Posto],tabCustoUnit[[#This Row],[Código do Posto]])</f>
        <v>16.485219000000001</v>
      </c>
      <c r="S177" s="21">
        <f>tabCustoUnit[[#This Row],[MODULO 1 - REMUNERAÇÃO ]]*SUMIFS(tabParametros[INCRA],tabParametros[Código do Posto],tabCustoUnit[[#This Row],[Código do Posto]])</f>
        <v>3.2970438</v>
      </c>
      <c r="T177" s="21">
        <f>tabCustoUnit[[#This Row],[MODULO 1 - REMUNERAÇÃO ]]*SUMIFS(tabParametros[Salário Educação],tabParametros[Código do Posto],tabCustoUnit[[#This Row],[Código do Posto]])</f>
        <v>41.213047500000002</v>
      </c>
      <c r="U177" s="21">
        <f>tabCustoUnit[[#This Row],[MODULO 1 - REMUNERAÇÃO ]]*SUMIFS(tabParametros[FGTS],tabParametros[Código do Posto],tabCustoUnit[[#This Row],[Código do Posto]])</f>
        <v>131.88175200000001</v>
      </c>
      <c r="V177" s="21">
        <f>tabCustoUnit[[#This Row],[MODULO 1 - REMUNERAÇÃO ]]*SUMIFS(tabParametros[RAT Ajustado],tabParametros[Código do Posto],tabCustoUnit[[#This Row],[Código do Posto]])</f>
        <v>65.940876000000003</v>
      </c>
      <c r="W177" s="21">
        <f>tabCustoUnit[[#This Row],[MODULO 1 - REMUNERAÇÃO ]]*SUMIFS(tabParametros[SEBRAE],tabParametros[Código do Posto],tabCustoUnit[[#This Row],[Código do Posto]])</f>
        <v>9.8911314000000008</v>
      </c>
      <c r="X177" s="21">
        <f>SUM(tabCustoUnit[[#This Row],[INSS]:[SEBRAE]])</f>
        <v>623.14127819999999</v>
      </c>
      <c r="Y177" s="21">
        <f>tabCustoUnit[[#This Row],[MODULO 1 - REMUNERAÇÃO ]]*SUMIFS(tabParametros[13º salário (titular)],tabParametros[Código do Posto],tabCustoUnit[[#This Row],[Código do Posto]])</f>
        <v>137.376825</v>
      </c>
      <c r="Z177" s="21">
        <f>tabCustoUnit[[#This Row],[MODULO 1 - REMUNERAÇÃO ]]*SUMIFS(tabParametros[Férias e Adicional de Férias (titular)],tabParametros[Código do Posto],tabCustoUnit[[#This Row],[Código do Posto]])</f>
        <v>183.16909999999999</v>
      </c>
      <c r="AA177" s="21">
        <f>IFERROR((tabCustoUnit[[#This Row],[Submódulo 2.1]]/tabCustoUnit[[#This Row],[MODULO 1 - REMUNERAÇÃO ]])*SUM(tabCustoUnit[[#This Row],[13º salário (titular)]:[Férias e Adicional de Férias (titular)]]),0)</f>
        <v>121.16635965</v>
      </c>
      <c r="AB177" s="21">
        <f>SUM(tabCustoUnit[[#This Row],[13º salário (titular)]:[Incidência do Submódulo 2.1 sobre 13º Salário, Férias e Adicional de Férias]])</f>
        <v>441.71228465000002</v>
      </c>
      <c r="AC177" s="22">
        <f>_xlfn.LET(_xlpm.VT,SUMIF(tabParametros[Código do Posto],tabCustoUnit[[#This Row],[Código do Posto]],tabParametros[Vale - Transporte])*2*20,
IF((_xlpm.VT-tabCustoUnit[[#This Row],[Salário Base]]*0.06)&gt;=0,(_xlpm.VT-tabCustoUnit[[#This Row],[Salário Base]]*0.06),0)
)</f>
        <v>160.22320000000002</v>
      </c>
      <c r="AD177" s="22">
        <f>IF(SUMIF(tabParametros[Código do Posto],tabCustoUnit[[#This Row],[Código do Posto]],tabParametros[Vale - Alimentação])&lt;=0,0,
SUMIF(tabParametros[Código do Posto],tabCustoUnit[[#This Row],[Código do Posto]],tabParametros[Vale - Alimentação])*20-1)</f>
        <v>582</v>
      </c>
      <c r="AE177" s="22">
        <f>SUMIF(tabParametros[Código do Posto],tabCustoUnit[[#This Row],[Código do Posto]],tabParametros[Cesta Básica])</f>
        <v>0</v>
      </c>
      <c r="AF177" s="22">
        <f>SUMIF(tabParametros[Código do Posto],tabCustoUnit[[#This Row],[Código do Posto]],tabParametros[PAF])</f>
        <v>51.88</v>
      </c>
      <c r="AG177" s="22">
        <f>SUMIF(tabParametros[Código do Posto],tabCustoUnit[[#This Row],[Código do Posto]],tabParametros[PQM])</f>
        <v>0</v>
      </c>
      <c r="AH177" s="22">
        <f>SUMIF(tabParametros[Código do Posto],tabCustoUnit[[#This Row],[Código do Posto]],tabParametros[PAT])</f>
        <v>0</v>
      </c>
      <c r="AI177" s="22">
        <f>SUMIF(tabParametros[Código do Posto],tabCustoUnit[[#This Row],[Código do Posto]],tabParametros[Seguro de Vida])</f>
        <v>3.36</v>
      </c>
      <c r="AJ177" s="22">
        <f>SUMIF(tabParametros[Código do Posto],tabCustoUnit[[#This Row],[Código do Posto]],tabParametros[Despesas de Viagem])</f>
        <v>0</v>
      </c>
      <c r="AK177" s="22">
        <f>SUM(tabCustoUnit[[#This Row],[Vale - Transporte (Descontada parcela do empregado)]:[Despesas de Viagem]])</f>
        <v>797.46320000000003</v>
      </c>
      <c r="AL177" s="22">
        <f>tabCustoUnit[[#This Row],[Submódulo 2.1]]+tabCustoUnit[[#This Row],[Submódulo 2.2]]+tabCustoUnit[[#This Row],[Submódulo 2.3]]</f>
        <v>1862.31676285</v>
      </c>
      <c r="AM177" s="22">
        <f>SUMIF(tabParametros[Código do Posto],tabCustoUnit[[#This Row],[Código do Posto]],tabParametros[Aviso Prévio Indenizado (API) e Reflexo do Aviso Prévio Indenizado])*tabCustoUnit[[#This Row],[MODULO 1 - REMUNERAÇÃO ]]</f>
        <v>11.559051416493055</v>
      </c>
      <c r="AN177" s="22">
        <f>SUMIF(tabParametros[Código do Posto],tabCustoUnit[[#This Row],[Código do Posto]],tabParametros[Incidência do FGTS sobre API e Reflexo do API])*tabCustoUnit[[#This Row],[MODULO 1 - REMUNERAÇÃO ]]</f>
        <v>0.92472411331944449</v>
      </c>
      <c r="AO177" s="22">
        <f>SUMIF(tabParametros[Código do Posto],tabCustoUnit[[#This Row],[Código do Posto]],tabParametros[Multa Rescisória do FGTS sobre o Aviso Prévio Indenizado])*tabCustoUnit[[#This Row],[MODULO 1 - REMUNERAÇÃO ]]</f>
        <v>0.36988964532777785</v>
      </c>
      <c r="AP177" s="22">
        <f>SUMIF(tabParametros[Código do Posto],tabCustoUnit[[#This Row],[Código do Posto]],tabParametros[Aviso Prévio Trabalhado - APT])*tabCustoUnit[[#This Row],[MODULO 1 - REMUNERAÇÃO ]]</f>
        <v>5.7698266500000006</v>
      </c>
      <c r="AQ177" s="22">
        <f>SUMIF(tabParametros[Código do Posto],tabCustoUnit[[#This Row],[Código do Posto]],tabParametros[Incidência dos encargos do submódulo 2.1 sobre Aviso Prévio Trabalhado])*tabCustoUnit[[#This Row],[MODULO 1 - REMUNERAÇÃO ]]</f>
        <v>2.1809944737000007</v>
      </c>
      <c r="AR177" s="22">
        <f>SUMIF(tabParametros[Código do Posto],tabCustoUnit[[#This Row],[Código do Posto]],tabParametros[Multa Rescisória do FGTS])*tabCustoUnit[[#This Row],[MODULO 1 - REMUNERAÇÃO ]]</f>
        <v>50.40813631999999</v>
      </c>
      <c r="AS177" s="22">
        <f>SUMIF(tabParametros[Código do Posto],tabCustoUnit[[#This Row],[Código do Posto]],tabParametros[Indenização Adicional (Art. 9º da Lei nº 7.238/84)])*tabCustoUnit[[#This Row],[MODULO 1 - REMUNERAÇÃO ]]</f>
        <v>1.3737682500000001</v>
      </c>
      <c r="AT177" s="22">
        <f>SUM(tabCustoUnit[[#This Row],[Aviso Prévio Indenizado (API) e Reflexo do Aviso Prévio Indenizado]:[Indenização Adicional (Art. 9º da Lei nº 7.238/84)]])</f>
        <v>72.586390868840269</v>
      </c>
      <c r="AU177" s="22">
        <f>SUMIF(tabParametros[Código do Posto],tabCustoUnit[[#This Row],[Código do Posto]],tabParametros[Ausência por Doença])*tabCustoUnit[[#This Row],[MODULO 1 - REMUNERAÇÃO ]]</f>
        <v>13.920851599999999</v>
      </c>
      <c r="AV177" s="22">
        <f>SUMIF(tabParametros[Código do Posto],tabCustoUnit[[#This Row],[Código do Posto]],tabParametros[Ausências Legais])*tabCustoUnit[[#This Row],[MODULO 1 - REMUNERAÇÃO ]]</f>
        <v>3.3428360749999997</v>
      </c>
      <c r="AW177" s="22">
        <f>SUMIF(tabParametros[Código do Posto],tabCustoUnit[[#This Row],[Código do Posto]],tabParametros[Licença Paternidade])*tabCustoUnit[[#This Row],[MODULO 1 - REMUNERAÇÃO ]]</f>
        <v>0.28162249125</v>
      </c>
      <c r="AX177" s="22">
        <f>SUMIF(tabParametros[Código do Posto],tabCustoUnit[[#This Row],[Código do Posto]],tabParametros[Ausência por Acidente de Trabalho])*tabCustoUnit[[#This Row],[MODULO 1 - REMUNERAÇÃO ]]</f>
        <v>0.34344206250000003</v>
      </c>
      <c r="AY177" s="22">
        <f>SUMIF(tabParametros[Código do Posto],tabCustoUnit[[#This Row],[Código do Posto]],tabParametros[Férias, Adicional de Férias e 13º  com empregada em gozo de Licença Maternidade])*tabCustoUnit[[#This Row],[MODULO 1 - REMUNERAÇÃO ]]</f>
        <v>2.1369728333333331</v>
      </c>
      <c r="AZ177" s="22">
        <f>SUMIF(tabParametros[Código do Posto],tabCustoUnit[[#This Row],[Código do Posto]],tabParametros[Incidência do Submódulo 2.1 sobre Ausências Legais])*tabCustoUnit[[#This Row],[MODULO 1 - REMUNERAÇÃO ]]</f>
        <v>7.5697240734675013</v>
      </c>
      <c r="BA177" s="22">
        <f>SUM(tabCustoUnit[[#This Row],[Ausência por Doença]:[Incidência do Submódulo 2.1 sobre Ausências Legais]])</f>
        <v>27.595449135550833</v>
      </c>
      <c r="BB177" s="22">
        <f>SUMIF(tabParametros[Código do Posto],tabCustoUnit[[#This Row],[Código do Posto]],tabParametros[Intervalo para Repouso ou Alimentação])</f>
        <v>0</v>
      </c>
      <c r="BC177" s="22">
        <f>tabCustoUnit[[#This Row],[Intervalo para Repouso ou Alimentação]]</f>
        <v>0</v>
      </c>
      <c r="BD177" s="22">
        <f>IF(VLOOKUP(tabCustoUnit[[#This Row],[Código do Posto]],PARAMETROS!$A$4:$BJ$255,7,0)&lt;=0,0,
IFERROR((tabCustoUnit[[#This Row],[MODULO 1 - REMUNERAÇÃO ]]*VLOOKUP(tabCustoUnit[[#This Row],[Código do Posto]],PARAMETROS!$A$4:$BJ$255,49,0))/(VLOOKUP(tabCustoUnit[[#This Row],[Código do Posto]],PARAMETROS!$A$4:$BJ$255,7,0)*VLOOKUP(tabCustoUnit[[#This Row],[Código do Posto]],PARAMETROS!$A$4:$BJ$255,8,0)),0)
)</f>
        <v>0</v>
      </c>
      <c r="BE177" s="22">
        <f>tabCustoUnit[[#This Row],[Suspensão Temporária do Contrato de Trabalho]]</f>
        <v>0</v>
      </c>
      <c r="BF177" s="22">
        <f>tabCustoUnit[[#This Row],[Submódulo 4.1]]+tabCustoUnit[[#This Row],[Submódulo 4.2]]+tabCustoUnit[[#This Row],[Submódulo 4.3]]</f>
        <v>27.595449135550833</v>
      </c>
      <c r="BG177" s="22">
        <f>VLOOKUP(tabCustoUnit[[#This Row],[Código do Posto]],tabParametros[],MATCH(tabCustoUnit[[#Headers],[Uniformes e EPIs]],tabParametros[#Headers],0),0)</f>
        <v>100.80916666666666</v>
      </c>
      <c r="BH177" s="22">
        <f>VLOOKUP(tabCustoUnit[[#This Row],[Código do Posto]],tabParametros[],MATCH(tabCustoUnit[[#Headers],[Materiais de Consumo]],tabParametros[#Headers],0),0)</f>
        <v>35.518212958583888</v>
      </c>
      <c r="BI177" s="22">
        <f>VLOOKUP(tabCustoUnit[[#This Row],[Código do Posto]],tabParametros[],MATCH(tabCustoUnit[[#Headers],[Máquinas e Equipamentos (depreciação)]],tabParametros[#Headers],0),0)</f>
        <v>64.529393914825576</v>
      </c>
      <c r="BJ177" s="22">
        <f>VLOOKUP(tabCustoUnit[[#This Row],[Código do Posto]],tabParametros[],MATCH(tabCustoUnit[[#Headers],[Produtos de Limpeza e Materiais de Higiene Pessoal]],tabParametros[#Headers],0),0)</f>
        <v>690.27153277931654</v>
      </c>
      <c r="BK177" s="22">
        <f>VLOOKUP(tabCustoUnit[[#This Row],[Código do Posto]],tabParametros[],MATCH(tabCustoUnit[[#Headers],[Outros (especificar)]],tabParametros[#Headers],0),0)</f>
        <v>0</v>
      </c>
      <c r="BL177" s="22">
        <f>SUM(tabCustoUnit[[#This Row],[Uniformes e EPIs]:[Outros (especificar)]])</f>
        <v>891.12830631939266</v>
      </c>
      <c r="BM177" s="22">
        <f>tabCustoUnit[[#This Row],[MODULO 1 - REMUNERAÇÃO ]]+tabCustoUnit[[#This Row],[MÓDULO 2 - Total Encargos e Benefícios mensais e diários]]+tabCustoUnit[[#This Row],[MÓDULO 3 – PROVISÃO PARA RESCISÃO]]+tabCustoUnit[[#This Row],[MÓDULO 4 – CUSTO DE REPOSIÇÃO DO PROFISSIONAL AUSENTE]]+tabCustoUnit[[#This Row],[MÓDULO 5 – INSUMOS DIVERSOS]]</f>
        <v>4502.1488091737838</v>
      </c>
      <c r="BN177" s="22">
        <f>VLOOKUP(tabCustoUnit[[#This Row],[Código do Posto]],tabParametros[],MATCH(tabCustoUnit[[#Headers],[Custos Indiretos]],tabParametros[#Headers],0),0)</f>
        <v>189.64880140242613</v>
      </c>
      <c r="BO177" s="22">
        <f>VLOOKUP(tabCustoUnit[[#This Row],[Código do Posto]],tabParametros[],MATCH(tabCustoUnit[[#Headers],[Lucro]],tabParametros[#Headers],0),0)</f>
        <v>159.30499317803796</v>
      </c>
      <c r="BP177" s="26">
        <f>((100/((1-tabCustoUnit[[#This Row],[Resumo de Alíquotas (PIS+CONFINS+ISS)]]))-100)*VLOOKUP(tabCustoUnit[[#This Row],[Código do Posto]],tabParametros[],MATCH(tabCustoUnit[[#Headers],[COFINS]],tabParametros[#Headers],0),0))/(tabCustoUnit[[#This Row],[Resumo de Alíquotas (PIS+CONFINS+ISS)]]*100)</f>
        <v>8.6609686609686695E-2</v>
      </c>
      <c r="BQ177" s="26">
        <f>((100/((100-(tabCustoUnit[[#This Row],[Resumo de Alíquotas (PIS+CONFINS+ISS)]]*100))%)-100)*VLOOKUP(tabCustoUnit[[#This Row],[Código do Posto]],tabParametros[],MATCH(tabCustoUnit[[#Headers],[PIS]],tabParametros[#Headers],0),0))/(tabCustoUnit[[#This Row],[Resumo de Alíquotas (PIS+CONFINS+ISS)]]*100)</f>
        <v>1.880341880341882E-2</v>
      </c>
      <c r="BR177" s="28">
        <f>VLOOKUP(tabCustoUnit[[#This Row],[Código do Posto]],tabParametros[],MATCH(tabCustoUnit[[#Headers],[ISS]],tabParametros[#Headers],0),0)</f>
        <v>0.03</v>
      </c>
      <c r="BS177" s="26">
        <f>(((100/((100-(tabCustoUnit[[#This Row],[Resumo de Alíquotas (PIS+CONFINS+ISS)]]*100))%)-100)*tabCustoUnit[[#This Row],[ISS]])/tabCustoUnit[[#This Row],[Resumo de Alíquotas (PIS+CONFINS+ISS)]])/100</f>
        <v>3.4188034188034219E-2</v>
      </c>
      <c r="BT177" s="26">
        <f>(VLOOKUP(tabCustoUnit[[#This Row],[Código do Posto]],tabParametros[],MATCH(tabCustoUnit[[#Headers],[COFINS]],tabParametros[#Headers],0),0)+
VLOOKUP(tabCustoUnit[[#This Row],[Código do Posto]],tabParametros[],MATCH(tabCustoUnit[[#Headers],[PIS]],tabParametros[#Headers],0),0)+
VLOOKUP(tabCustoUnit[[#This Row],[Código do Posto]],tabParametros[],MATCH(tabCustoUnit[[#Headers],[ISS]],tabParametros[#Headers],0),0))</f>
        <v>0.1225</v>
      </c>
      <c r="BU177" s="138">
        <f>tabCustoUnit[[#This Row],[COFINS]]+tabCustoUnit[[#This Row],[PIS]]+tabCustoUnit[[#This Row],[ISS (Conversão Alíquota s/ fatura)]]</f>
        <v>0.13960113960113973</v>
      </c>
      <c r="BV177" s="22">
        <f>(tabCustoUnit[[#This Row],[TOTAL MÓDULOS 1+2+3+4+5]]+tabCustoUnit[[#This Row],[Custos Indiretos]]+tabCustoUnit[[#This Row],[Lucro]])*tabCustoUnit[[#This Row],[PIS + COFINS + ISS (Total Conversão  Alíquota s/ Fatura)]]</f>
        <v>677.21945180614921</v>
      </c>
      <c r="BW177" s="22">
        <f>tabCustoUnit[[#This Row],[Custos Indiretos]]+tabCustoUnit[[#This Row],[Lucro]]+tabCustoUnit[[#This Row],[Valor dos Tributos (ISS, PIS, CONFINS)]]</f>
        <v>1026.1732463866133</v>
      </c>
      <c r="BX177" s="22">
        <f>tabCustoUnit[[#This Row],[TOTAL MÓDULOS 1+2+3+4+5]]+tabCustoUnit[[#This Row],[MÓDULO 6 – CUSTOS INDIRETOS, TRIBUTOS E LUCRO]]</f>
        <v>5528.3220555603966</v>
      </c>
      <c r="BY177" s="22">
        <f>tabCustoUnit[[#This Row],[CUSTO TOTAL MENSAL]]*12</f>
        <v>66339.864666724752</v>
      </c>
      <c r="BZ177" s="24">
        <f>VLOOKUP(tabCustoUnit[[#This Row],[Código do Posto]],tabParametros[],MATCH(tabCustoUnit[[#Headers],[ANO DA CCT]],tabParametros[#Headers],0),0)</f>
        <v>45658</v>
      </c>
      <c r="CA177" s="25" t="str">
        <f>VLOOKUP(tabCustoUnit[[#This Row],[Código do Posto]],tabParametros[],MATCH(tabCustoUnit[[#Headers],[Nº DE PEDIDO DA CCT]],tabParametros[#Headers],0),0)</f>
        <v>-</v>
      </c>
      <c r="CB177" s="25" t="str">
        <f>VLOOKUP(tabCustoUnit[[#This Row],[Código do Posto]],tabParametros[],MATCH(tabCustoUnit[[#Headers],[TERMO ADITIVO ALTERAÇÃO DA CCT]],tabParametros[#Headers],0),0)</f>
        <v>-</v>
      </c>
    </row>
    <row r="178" spans="1:80" x14ac:dyDescent="0.25">
      <c r="A178" s="20" t="s">
        <v>1514</v>
      </c>
      <c r="B178" t="s">
        <v>161</v>
      </c>
      <c r="C178" t="s">
        <v>1244</v>
      </c>
      <c r="D178" t="s">
        <v>1000</v>
      </c>
      <c r="E178" s="20" t="s">
        <v>9</v>
      </c>
      <c r="F178" s="20" t="s">
        <v>10</v>
      </c>
      <c r="G178" s="21">
        <v>798.14</v>
      </c>
      <c r="H178" s="21">
        <v>0</v>
      </c>
      <c r="I178" s="21">
        <v>0</v>
      </c>
      <c r="J178" s="21">
        <v>0</v>
      </c>
      <c r="K178" s="21">
        <v>0</v>
      </c>
      <c r="L178" s="21">
        <v>0</v>
      </c>
      <c r="M178" s="21">
        <v>0</v>
      </c>
      <c r="N178" s="21">
        <v>26.120899999999999</v>
      </c>
      <c r="O178" s="21">
        <f>SUM(tabCustoUnit[[#This Row],[Salário Base]:[Adicional de Acúmulo de função]])</f>
        <v>824.26089999999999</v>
      </c>
      <c r="P178" s="21">
        <f>tabCustoUnit[[#This Row],[MODULO 1 - REMUNERAÇÃO ]]*SUMIFS(tabParametros[INSS],tabParametros[Código do Posto],tabCustoUnit[[#This Row],[Código do Posto]])</f>
        <v>164.85218</v>
      </c>
      <c r="Q178" s="21">
        <f>tabCustoUnit[[#This Row],[MODULO 1 - REMUNERAÇÃO ]]*SUMIFS(tabParametros[SESI OU SESC],tabParametros[Código do Posto],tabCustoUnit[[#This Row],[Código do Posto]])</f>
        <v>12.363913499999999</v>
      </c>
      <c r="R178" s="21">
        <f>tabCustoUnit[[#This Row],[MODULO 1 - REMUNERAÇÃO ]]*SUMIFS(tabParametros[SENAI OU SENAC],tabParametros[Código do Posto],tabCustoUnit[[#This Row],[Código do Posto]])</f>
        <v>8.2426089999999999</v>
      </c>
      <c r="S178" s="21">
        <f>tabCustoUnit[[#This Row],[MODULO 1 - REMUNERAÇÃO ]]*SUMIFS(tabParametros[INCRA],tabParametros[Código do Posto],tabCustoUnit[[#This Row],[Código do Posto]])</f>
        <v>1.6485217999999999</v>
      </c>
      <c r="T178" s="21">
        <f>tabCustoUnit[[#This Row],[MODULO 1 - REMUNERAÇÃO ]]*SUMIFS(tabParametros[Salário Educação],tabParametros[Código do Posto],tabCustoUnit[[#This Row],[Código do Posto]])</f>
        <v>20.606522500000001</v>
      </c>
      <c r="U178" s="21">
        <f>tabCustoUnit[[#This Row],[MODULO 1 - REMUNERAÇÃO ]]*SUMIFS(tabParametros[FGTS],tabParametros[Código do Posto],tabCustoUnit[[#This Row],[Código do Posto]])</f>
        <v>65.940871999999999</v>
      </c>
      <c r="V178" s="21">
        <f>tabCustoUnit[[#This Row],[MODULO 1 - REMUNERAÇÃO ]]*SUMIFS(tabParametros[RAT Ajustado],tabParametros[Código do Posto],tabCustoUnit[[#This Row],[Código do Posto]])</f>
        <v>32.970435999999999</v>
      </c>
      <c r="W178" s="21">
        <f>tabCustoUnit[[#This Row],[MODULO 1 - REMUNERAÇÃO ]]*SUMIFS(tabParametros[SEBRAE],tabParametros[Código do Posto],tabCustoUnit[[#This Row],[Código do Posto]])</f>
        <v>4.9455654000000004</v>
      </c>
      <c r="X178" s="21">
        <f>SUM(tabCustoUnit[[#This Row],[INSS]:[SEBRAE]])</f>
        <v>311.57062020000001</v>
      </c>
      <c r="Y178" s="21">
        <f>tabCustoUnit[[#This Row],[MODULO 1 - REMUNERAÇÃO ]]*SUMIFS(tabParametros[13º salário (titular)],tabParametros[Código do Posto],tabCustoUnit[[#This Row],[Código do Posto]])</f>
        <v>68.688408333333328</v>
      </c>
      <c r="Z178" s="21">
        <f>tabCustoUnit[[#This Row],[MODULO 1 - REMUNERAÇÃO ]]*SUMIFS(tabParametros[Férias e Adicional de Férias (titular)],tabParametros[Código do Posto],tabCustoUnit[[#This Row],[Código do Posto]])</f>
        <v>91.584544444444433</v>
      </c>
      <c r="AA178" s="21">
        <f>IFERROR((tabCustoUnit[[#This Row],[Submódulo 2.1]]/tabCustoUnit[[#This Row],[MODULO 1 - REMUNERAÇÃO ]])*SUM(tabCustoUnit[[#This Row],[13º salário (titular)]:[Férias e Adicional de Férias (titular)]]),0)</f>
        <v>60.583176149999993</v>
      </c>
      <c r="AB178" s="21">
        <f>SUM(tabCustoUnit[[#This Row],[13º salário (titular)]:[Incidência do Submódulo 2.1 sobre 13º Salário, Férias e Adicional de Férias]])</f>
        <v>220.85612892777775</v>
      </c>
      <c r="AC178" s="22">
        <f>_xlfn.LET(_xlpm.VT,SUMIF(tabParametros[Código do Posto],tabCustoUnit[[#This Row],[Código do Posto]],tabParametros[Vale - Transporte])*2*20,
IF((_xlpm.VT-tabCustoUnit[[#This Row],[Salário Base]]*0.06)&gt;=0,(_xlpm.VT-tabCustoUnit[[#This Row],[Salário Base]]*0.06),0)
)</f>
        <v>208.11160000000001</v>
      </c>
      <c r="AD178" s="22">
        <f>IF(SUMIF(tabParametros[Código do Posto],tabCustoUnit[[#This Row],[Código do Posto]],tabParametros[Vale - Alimentação])&lt;=0,0,
SUMIF(tabParametros[Código do Posto],tabCustoUnit[[#This Row],[Código do Posto]],tabParametros[Vale - Alimentação])*20-1)</f>
        <v>582</v>
      </c>
      <c r="AE178" s="22">
        <f>SUMIF(tabParametros[Código do Posto],tabCustoUnit[[#This Row],[Código do Posto]],tabParametros[Cesta Básica])</f>
        <v>0</v>
      </c>
      <c r="AF178" s="22">
        <f>SUMIF(tabParametros[Código do Posto],tabCustoUnit[[#This Row],[Código do Posto]],tabParametros[PAF])</f>
        <v>0</v>
      </c>
      <c r="AG178" s="22">
        <f>SUMIF(tabParametros[Código do Posto],tabCustoUnit[[#This Row],[Código do Posto]],tabParametros[PQM])</f>
        <v>15.07</v>
      </c>
      <c r="AH178" s="22">
        <f>SUMIF(tabParametros[Código do Posto],tabCustoUnit[[#This Row],[Código do Posto]],tabParametros[PAT])</f>
        <v>0</v>
      </c>
      <c r="AI178" s="22">
        <f>SUMIF(tabParametros[Código do Posto],tabCustoUnit[[#This Row],[Código do Posto]],tabParametros[Seguro de Vida])</f>
        <v>3.36</v>
      </c>
      <c r="AJ178" s="22">
        <f>SUMIF(tabParametros[Código do Posto],tabCustoUnit[[#This Row],[Código do Posto]],tabParametros[Despesas de Viagem])</f>
        <v>0</v>
      </c>
      <c r="AK178" s="22">
        <f>SUM(tabCustoUnit[[#This Row],[Vale - Transporte (Descontada parcela do empregado)]:[Despesas de Viagem]])</f>
        <v>808.54160000000002</v>
      </c>
      <c r="AL178" s="22">
        <f>tabCustoUnit[[#This Row],[Submódulo 2.1]]+tabCustoUnit[[#This Row],[Submódulo 2.2]]+tabCustoUnit[[#This Row],[Submódulo 2.3]]</f>
        <v>1340.9683491277779</v>
      </c>
      <c r="AM178" s="22">
        <f>SUMIF(tabParametros[Código do Posto],tabCustoUnit[[#This Row],[Código do Posto]],tabParametros[Aviso Prévio Indenizado (API) e Reflexo do Aviso Prévio Indenizado])*tabCustoUnit[[#This Row],[MODULO 1 - REMUNERAÇÃO ]]</f>
        <v>5.7795253576581791</v>
      </c>
      <c r="AN178" s="22">
        <f>SUMIF(tabParametros[Código do Posto],tabCustoUnit[[#This Row],[Código do Posto]],tabParametros[Incidência do FGTS sobre API e Reflexo do API])*tabCustoUnit[[#This Row],[MODULO 1 - REMUNERAÇÃO ]]</f>
        <v>0.46236202861265435</v>
      </c>
      <c r="AO178" s="22">
        <f>SUMIF(tabParametros[Código do Posto],tabCustoUnit[[#This Row],[Código do Posto]],tabParametros[Multa Rescisória do FGTS sobre o Aviso Prévio Indenizado])*tabCustoUnit[[#This Row],[MODULO 1 - REMUNERAÇÃO ]]</f>
        <v>0.18494481144506175</v>
      </c>
      <c r="AP178" s="22">
        <f>SUMIF(tabParametros[Código do Posto],tabCustoUnit[[#This Row],[Código do Posto]],tabParametros[Aviso Prévio Trabalhado - APT])*tabCustoUnit[[#This Row],[MODULO 1 - REMUNERAÇÃO ]]</f>
        <v>2.8849131500000005</v>
      </c>
      <c r="AQ178" s="22">
        <f>SUMIF(tabParametros[Código do Posto],tabCustoUnit[[#This Row],[Código do Posto]],tabParametros[Incidência dos encargos do submódulo 2.1 sobre Aviso Prévio Trabalhado])*tabCustoUnit[[#This Row],[MODULO 1 - REMUNERAÇÃO ]]</f>
        <v>1.0904971707000004</v>
      </c>
      <c r="AR178" s="22">
        <f>SUMIF(tabParametros[Código do Posto],tabCustoUnit[[#This Row],[Código do Posto]],tabParametros[Multa Rescisória do FGTS])*tabCustoUnit[[#This Row],[MODULO 1 - REMUNERAÇÃO ]]</f>
        <v>25.204066631111107</v>
      </c>
      <c r="AS178" s="22">
        <f>SUMIF(tabParametros[Código do Posto],tabCustoUnit[[#This Row],[Código do Posto]],tabParametros[Indenização Adicional (Art. 9º da Lei nº 7.238/84)])*tabCustoUnit[[#This Row],[MODULO 1 - REMUNERAÇÃO ]]</f>
        <v>0.6868840833333334</v>
      </c>
      <c r="AT178" s="22">
        <f>SUM(tabCustoUnit[[#This Row],[Aviso Prévio Indenizado (API) e Reflexo do Aviso Prévio Indenizado]:[Indenização Adicional (Art. 9º da Lei nº 7.238/84)]])</f>
        <v>36.293193232860339</v>
      </c>
      <c r="AU178" s="22">
        <f>SUMIF(tabParametros[Código do Posto],tabCustoUnit[[#This Row],[Código do Posto]],tabParametros[Ausência por Doença])*tabCustoUnit[[#This Row],[MODULO 1 - REMUNERAÇÃO ]]</f>
        <v>6.9604253777777769</v>
      </c>
      <c r="AV178" s="22">
        <f>SUMIF(tabParametros[Código do Posto],tabCustoUnit[[#This Row],[Código do Posto]],tabParametros[Ausências Legais])*tabCustoUnit[[#This Row],[MODULO 1 - REMUNERAÇÃO ]]</f>
        <v>1.671417936111111</v>
      </c>
      <c r="AW178" s="22">
        <f>SUMIF(tabParametros[Código do Posto],tabCustoUnit[[#This Row],[Código do Posto]],tabParametros[Licença Paternidade])*tabCustoUnit[[#This Row],[MODULO 1 - REMUNERAÇÃO ]]</f>
        <v>0.14081123708333332</v>
      </c>
      <c r="AX178" s="22">
        <f>SUMIF(tabParametros[Código do Posto],tabCustoUnit[[#This Row],[Código do Posto]],tabParametros[Ausência por Acidente de Trabalho])*tabCustoUnit[[#This Row],[MODULO 1 - REMUNERAÇÃO ]]</f>
        <v>0.17172102083333335</v>
      </c>
      <c r="AY178" s="22">
        <f>SUMIF(tabParametros[Código do Posto],tabCustoUnit[[#This Row],[Código do Posto]],tabParametros[Férias, Adicional de Férias e 13º  com empregada em gozo de Licença Maternidade])*tabCustoUnit[[#This Row],[MODULO 1 - REMUNERAÇÃO ]]</f>
        <v>1.0684863518518517</v>
      </c>
      <c r="AZ178" s="22">
        <f>SUMIF(tabParametros[Código do Posto],tabCustoUnit[[#This Row],[Código do Posto]],tabParametros[Incidência do Submódulo 2.1 sobre Ausências Legais])*tabCustoUnit[[#This Row],[MODULO 1 - REMUNERAÇÃO ]]</f>
        <v>3.7848618071425006</v>
      </c>
      <c r="BA178" s="22">
        <f>SUM(tabCustoUnit[[#This Row],[Ausência por Doença]:[Incidência do Submódulo 2.1 sobre Ausências Legais]])</f>
        <v>13.797723730799909</v>
      </c>
      <c r="BB178" s="22">
        <f>SUMIF(tabParametros[Código do Posto],tabCustoUnit[[#This Row],[Código do Posto]],tabParametros[Intervalo para Repouso ou Alimentação])</f>
        <v>0</v>
      </c>
      <c r="BC178" s="22">
        <f>tabCustoUnit[[#This Row],[Intervalo para Repouso ou Alimentação]]</f>
        <v>0</v>
      </c>
      <c r="BD178" s="22">
        <f>IF(VLOOKUP(tabCustoUnit[[#This Row],[Código do Posto]],PARAMETROS!$A$4:$BJ$255,7,0)&lt;=0,0,
IFERROR((tabCustoUnit[[#This Row],[MODULO 1 - REMUNERAÇÃO ]]*VLOOKUP(tabCustoUnit[[#This Row],[Código do Posto]],PARAMETROS!$A$4:$BJ$255,49,0))/(VLOOKUP(tabCustoUnit[[#This Row],[Código do Posto]],PARAMETROS!$A$4:$BJ$255,7,0)*VLOOKUP(tabCustoUnit[[#This Row],[Código do Posto]],PARAMETROS!$A$4:$BJ$255,8,0)),0)
)</f>
        <v>0</v>
      </c>
      <c r="BE178" s="22">
        <f>tabCustoUnit[[#This Row],[Suspensão Temporária do Contrato de Trabalho]]</f>
        <v>0</v>
      </c>
      <c r="BF178" s="22">
        <f>tabCustoUnit[[#This Row],[Submódulo 4.1]]+tabCustoUnit[[#This Row],[Submódulo 4.2]]+tabCustoUnit[[#This Row],[Submódulo 4.3]]</f>
        <v>13.797723730799909</v>
      </c>
      <c r="BG178" s="22">
        <f>VLOOKUP(tabCustoUnit[[#This Row],[Código do Posto]],tabParametros[],MATCH(tabCustoUnit[[#Headers],[Uniformes e EPIs]],tabParametros[#Headers],0),0)</f>
        <v>62.806666666666665</v>
      </c>
      <c r="BH178" s="22">
        <f>VLOOKUP(tabCustoUnit[[#This Row],[Código do Posto]],tabParametros[],MATCH(tabCustoUnit[[#Headers],[Materiais de Consumo]],tabParametros[#Headers],0),0)</f>
        <v>17.759106479291944</v>
      </c>
      <c r="BI178" s="22">
        <f>VLOOKUP(tabCustoUnit[[#This Row],[Código do Posto]],tabParametros[],MATCH(tabCustoUnit[[#Headers],[Máquinas e Equipamentos (depreciação)]],tabParametros[#Headers],0),0)</f>
        <v>32.264696957412788</v>
      </c>
      <c r="BJ178" s="22">
        <f>VLOOKUP(tabCustoUnit[[#This Row],[Código do Posto]],tabParametros[],MATCH(tabCustoUnit[[#Headers],[Produtos de Limpeza e Materiais de Higiene Pessoal]],tabParametros[#Headers],0),0)</f>
        <v>345.13576638965827</v>
      </c>
      <c r="BK178" s="22">
        <f>VLOOKUP(tabCustoUnit[[#This Row],[Código do Posto]],tabParametros[],MATCH(tabCustoUnit[[#Headers],[Outros (especificar)]],tabParametros[#Headers],0),0)</f>
        <v>0</v>
      </c>
      <c r="BL178" s="22">
        <f>SUM(tabCustoUnit[[#This Row],[Uniformes e EPIs]:[Outros (especificar)]])</f>
        <v>457.96623649302967</v>
      </c>
      <c r="BM178" s="22">
        <f>tabCustoUnit[[#This Row],[MODULO 1 - REMUNERAÇÃO ]]+tabCustoUnit[[#This Row],[MÓDULO 2 - Total Encargos e Benefícios mensais e diários]]+tabCustoUnit[[#This Row],[MÓDULO 3 – PROVISÃO PARA RESCISÃO]]+tabCustoUnit[[#This Row],[MÓDULO 4 – CUSTO DE REPOSIÇÃO DO PROFISSIONAL AUSENTE]]+tabCustoUnit[[#This Row],[MÓDULO 5 – INSUMOS DIVERSOS]]</f>
        <v>2673.2864025844674</v>
      </c>
      <c r="BN178" s="22">
        <f>VLOOKUP(tabCustoUnit[[#This Row],[Código do Posto]],tabParametros[],MATCH(tabCustoUnit[[#Headers],[Custos Indiretos]],tabParametros[#Headers],0),0)</f>
        <v>189.64880140242613</v>
      </c>
      <c r="BO178" s="22">
        <f>VLOOKUP(tabCustoUnit[[#This Row],[Código do Posto]],tabParametros[],MATCH(tabCustoUnit[[#Headers],[Lucro]],tabParametros[#Headers],0),0)</f>
        <v>159.30499317803796</v>
      </c>
      <c r="BP178" s="26">
        <f>((100/((1-tabCustoUnit[[#This Row],[Resumo de Alíquotas (PIS+CONFINS+ISS)]]))-100)*VLOOKUP(tabCustoUnit[[#This Row],[Código do Posto]],tabParametros[],MATCH(tabCustoUnit[[#Headers],[COFINS]],tabParametros[#Headers],0),0))/(tabCustoUnit[[#This Row],[Resumo de Alíquotas (PIS+CONFINS+ISS)]]*100)</f>
        <v>8.7608069164265154E-2</v>
      </c>
      <c r="BQ178" s="26">
        <f>((100/((100-(tabCustoUnit[[#This Row],[Resumo de Alíquotas (PIS+CONFINS+ISS)]]*100))%)-100)*VLOOKUP(tabCustoUnit[[#This Row],[Código do Posto]],tabParametros[],MATCH(tabCustoUnit[[#Headers],[PIS]],tabParametros[#Headers],0),0))/(tabCustoUnit[[#This Row],[Resumo de Alíquotas (PIS+CONFINS+ISS)]]*100)</f>
        <v>1.9020172910662814E-2</v>
      </c>
      <c r="BR178" s="28">
        <f>VLOOKUP(tabCustoUnit[[#This Row],[Código do Posto]],tabParametros[],MATCH(tabCustoUnit[[#Headers],[ISS]],tabParametros[#Headers],0),0)</f>
        <v>0.04</v>
      </c>
      <c r="BS178" s="26">
        <f>(((100/((100-(tabCustoUnit[[#This Row],[Resumo de Alíquotas (PIS+CONFINS+ISS)]]*100))%)-100)*tabCustoUnit[[#This Row],[ISS]])/tabCustoUnit[[#This Row],[Resumo de Alíquotas (PIS+CONFINS+ISS)]])/100</f>
        <v>4.6109510086455294E-2</v>
      </c>
      <c r="BT178" s="26">
        <f>(VLOOKUP(tabCustoUnit[[#This Row],[Código do Posto]],tabParametros[],MATCH(tabCustoUnit[[#Headers],[COFINS]],tabParametros[#Headers],0),0)+
VLOOKUP(tabCustoUnit[[#This Row],[Código do Posto]],tabParametros[],MATCH(tabCustoUnit[[#Headers],[PIS]],tabParametros[#Headers],0),0)+
VLOOKUP(tabCustoUnit[[#This Row],[Código do Posto]],tabParametros[],MATCH(tabCustoUnit[[#Headers],[ISS]],tabParametros[#Headers],0),0))</f>
        <v>0.13250000000000001</v>
      </c>
      <c r="BU178" s="138">
        <f>tabCustoUnit[[#This Row],[COFINS]]+tabCustoUnit[[#This Row],[PIS]]+tabCustoUnit[[#This Row],[ISS (Conversão Alíquota s/ fatura)]]</f>
        <v>0.15273775216138324</v>
      </c>
      <c r="BV178" s="22">
        <f>(tabCustoUnit[[#This Row],[TOTAL MÓDULOS 1+2+3+4+5]]+tabCustoUnit[[#This Row],[Custos Indiretos]]+tabCustoUnit[[#This Row],[Lucro]])*tabCustoUnit[[#This Row],[PIS + COFINS + ISS (Total Conversão  Alíquota s/ Fatura)]]</f>
        <v>461.61017420674733</v>
      </c>
      <c r="BW178" s="22">
        <f>tabCustoUnit[[#This Row],[Custos Indiretos]]+tabCustoUnit[[#This Row],[Lucro]]+tabCustoUnit[[#This Row],[Valor dos Tributos (ISS, PIS, CONFINS)]]</f>
        <v>810.56396878721148</v>
      </c>
      <c r="BX178" s="22">
        <f>tabCustoUnit[[#This Row],[TOTAL MÓDULOS 1+2+3+4+5]]+tabCustoUnit[[#This Row],[MÓDULO 6 – CUSTOS INDIRETOS, TRIBUTOS E LUCRO]]</f>
        <v>3483.8503713716791</v>
      </c>
      <c r="BY178" s="22">
        <f>tabCustoUnit[[#This Row],[CUSTO TOTAL MENSAL]]*12</f>
        <v>41806.204456460153</v>
      </c>
      <c r="BZ178" s="24">
        <f>VLOOKUP(tabCustoUnit[[#This Row],[Código do Posto]],tabParametros[],MATCH(tabCustoUnit[[#Headers],[ANO DA CCT]],tabParametros[#Headers],0),0)</f>
        <v>45658</v>
      </c>
      <c r="CA178" s="25" t="str">
        <f>VLOOKUP(tabCustoUnit[[#This Row],[Código do Posto]],tabParametros[],MATCH(tabCustoUnit[[#Headers],[Nº DE PEDIDO DA CCT]],tabParametros[#Headers],0),0)</f>
        <v>-</v>
      </c>
      <c r="CB178" s="25" t="str">
        <f>VLOOKUP(tabCustoUnit[[#This Row],[Código do Posto]],tabParametros[],MATCH(tabCustoUnit[[#Headers],[TERMO ADITIVO ALTERAÇÃO DA CCT]],tabParametros[#Headers],0),0)</f>
        <v>-</v>
      </c>
    </row>
    <row r="179" spans="1:80" x14ac:dyDescent="0.25">
      <c r="A179" s="20" t="s">
        <v>1515</v>
      </c>
      <c r="B179" t="s">
        <v>162</v>
      </c>
      <c r="C179" t="s">
        <v>1247</v>
      </c>
      <c r="D179" t="s">
        <v>1000</v>
      </c>
      <c r="E179" s="20" t="s">
        <v>9</v>
      </c>
      <c r="F179" s="20" t="s">
        <v>10</v>
      </c>
      <c r="G179" s="21">
        <v>544.17999999999995</v>
      </c>
      <c r="H179" s="21">
        <v>0</v>
      </c>
      <c r="I179" s="21">
        <v>0</v>
      </c>
      <c r="J179" s="21">
        <v>0</v>
      </c>
      <c r="K179" s="21">
        <v>0</v>
      </c>
      <c r="L179" s="21">
        <v>0</v>
      </c>
      <c r="M179" s="21">
        <v>0</v>
      </c>
      <c r="N179" s="21">
        <v>19.590499999999999</v>
      </c>
      <c r="O179" s="21">
        <f>SUM(tabCustoUnit[[#This Row],[Salário Base]:[Adicional de Acúmulo de função]])</f>
        <v>563.77049999999997</v>
      </c>
      <c r="P179" s="21">
        <f>tabCustoUnit[[#This Row],[MODULO 1 - REMUNERAÇÃO ]]*SUMIFS(tabParametros[INSS],tabParametros[Código do Posto],tabCustoUnit[[#This Row],[Código do Posto]])</f>
        <v>112.75409999999999</v>
      </c>
      <c r="Q179" s="21">
        <f>tabCustoUnit[[#This Row],[MODULO 1 - REMUNERAÇÃO ]]*SUMIFS(tabParametros[SESI OU SESC],tabParametros[Código do Posto],tabCustoUnit[[#This Row],[Código do Posto]])</f>
        <v>8.4565574999999988</v>
      </c>
      <c r="R179" s="21">
        <f>tabCustoUnit[[#This Row],[MODULO 1 - REMUNERAÇÃO ]]*SUMIFS(tabParametros[SENAI OU SENAC],tabParametros[Código do Posto],tabCustoUnit[[#This Row],[Código do Posto]])</f>
        <v>5.6377049999999995</v>
      </c>
      <c r="S179" s="21">
        <f>tabCustoUnit[[#This Row],[MODULO 1 - REMUNERAÇÃO ]]*SUMIFS(tabParametros[INCRA],tabParametros[Código do Posto],tabCustoUnit[[#This Row],[Código do Posto]])</f>
        <v>1.1275409999999999</v>
      </c>
      <c r="T179" s="21">
        <f>tabCustoUnit[[#This Row],[MODULO 1 - REMUNERAÇÃO ]]*SUMIFS(tabParametros[Salário Educação],tabParametros[Código do Posto],tabCustoUnit[[#This Row],[Código do Posto]])</f>
        <v>14.094262499999999</v>
      </c>
      <c r="U179" s="21">
        <f>tabCustoUnit[[#This Row],[MODULO 1 - REMUNERAÇÃO ]]*SUMIFS(tabParametros[FGTS],tabParametros[Código do Posto],tabCustoUnit[[#This Row],[Código do Posto]])</f>
        <v>45.101639999999996</v>
      </c>
      <c r="V179" s="21">
        <f>tabCustoUnit[[#This Row],[MODULO 1 - REMUNERAÇÃO ]]*SUMIFS(tabParametros[RAT Ajustado],tabParametros[Código do Posto],tabCustoUnit[[#This Row],[Código do Posto]])</f>
        <v>22.550819999999998</v>
      </c>
      <c r="W179" s="21">
        <f>tabCustoUnit[[#This Row],[MODULO 1 - REMUNERAÇÃO ]]*SUMIFS(tabParametros[SEBRAE],tabParametros[Código do Posto],tabCustoUnit[[#This Row],[Código do Posto]])</f>
        <v>3.3826229999999997</v>
      </c>
      <c r="X179" s="21">
        <f>SUM(tabCustoUnit[[#This Row],[INSS]:[SEBRAE]])</f>
        <v>213.10524899999996</v>
      </c>
      <c r="Y179" s="21">
        <f>tabCustoUnit[[#This Row],[MODULO 1 - REMUNERAÇÃO ]]*SUMIFS(tabParametros[13º salário (titular)],tabParametros[Código do Posto],tabCustoUnit[[#This Row],[Código do Posto]])</f>
        <v>46.980874999999997</v>
      </c>
      <c r="Z179" s="21">
        <f>tabCustoUnit[[#This Row],[MODULO 1 - REMUNERAÇÃO ]]*SUMIFS(tabParametros[Férias e Adicional de Férias (titular)],tabParametros[Código do Posto],tabCustoUnit[[#This Row],[Código do Posto]])</f>
        <v>62.641166666666663</v>
      </c>
      <c r="AA179" s="21">
        <f>IFERROR((tabCustoUnit[[#This Row],[Submódulo 2.1]]/tabCustoUnit[[#This Row],[MODULO 1 - REMUNERAÇÃO ]])*SUM(tabCustoUnit[[#This Row],[13º salário (titular)]:[Férias e Adicional de Férias (titular)]]),0)</f>
        <v>41.437131749999992</v>
      </c>
      <c r="AB179" s="21">
        <f>SUM(tabCustoUnit[[#This Row],[13º salário (titular)]:[Incidência do Submódulo 2.1 sobre 13º Salário, Férias e Adicional de Férias]])</f>
        <v>151.05917341666665</v>
      </c>
      <c r="AC179" s="22">
        <f>_xlfn.LET(_xlpm.VT,SUMIF(tabParametros[Código do Posto],tabCustoUnit[[#This Row],[Código do Posto]],tabParametros[Vale - Transporte])*2*20,
IF((_xlpm.VT-tabCustoUnit[[#This Row],[Salário Base]]*0.06)&gt;=0,(_xlpm.VT-tabCustoUnit[[#This Row],[Salário Base]]*0.06),0)
)</f>
        <v>223.3492</v>
      </c>
      <c r="AD179" s="22">
        <f>IF(SUMIF(tabParametros[Código do Posto],tabCustoUnit[[#This Row],[Código do Posto]],tabParametros[Vale - Alimentação])&lt;=0,0,
SUMIF(tabParametros[Código do Posto],tabCustoUnit[[#This Row],[Código do Posto]],tabParametros[Vale - Alimentação])*20-1)</f>
        <v>582</v>
      </c>
      <c r="AE179" s="22">
        <f>SUMIF(tabParametros[Código do Posto],tabCustoUnit[[#This Row],[Código do Posto]],tabParametros[Cesta Básica])</f>
        <v>0</v>
      </c>
      <c r="AF179" s="22">
        <f>SUMIF(tabParametros[Código do Posto],tabCustoUnit[[#This Row],[Código do Posto]],tabParametros[PAF])</f>
        <v>0</v>
      </c>
      <c r="AG179" s="22">
        <f>SUMIF(tabParametros[Código do Posto],tabCustoUnit[[#This Row],[Código do Posto]],tabParametros[PQM])</f>
        <v>15.07</v>
      </c>
      <c r="AH179" s="22">
        <f>SUMIF(tabParametros[Código do Posto],tabCustoUnit[[#This Row],[Código do Posto]],tabParametros[PAT])</f>
        <v>0</v>
      </c>
      <c r="AI179" s="22">
        <f>SUMIF(tabParametros[Código do Posto],tabCustoUnit[[#This Row],[Código do Posto]],tabParametros[Seguro de Vida])</f>
        <v>3.36</v>
      </c>
      <c r="AJ179" s="22">
        <f>SUMIF(tabParametros[Código do Posto],tabCustoUnit[[#This Row],[Código do Posto]],tabParametros[Despesas de Viagem])</f>
        <v>0</v>
      </c>
      <c r="AK179" s="22">
        <f>SUM(tabCustoUnit[[#This Row],[Vale - Transporte (Descontada parcela do empregado)]:[Despesas de Viagem]])</f>
        <v>823.77920000000006</v>
      </c>
      <c r="AL179" s="22">
        <f>tabCustoUnit[[#This Row],[Submódulo 2.1]]+tabCustoUnit[[#This Row],[Submódulo 2.2]]+tabCustoUnit[[#This Row],[Submódulo 2.3]]</f>
        <v>1187.9436224166666</v>
      </c>
      <c r="AM179" s="22">
        <f>SUMIF(tabParametros[Código do Posto],tabCustoUnit[[#This Row],[Código do Posto]],tabParametros[Aviso Prévio Indenizado (API) e Reflexo do Aviso Prévio Indenizado])*tabCustoUnit[[#This Row],[MODULO 1 - REMUNERAÇÃO ]]</f>
        <v>3.9530273735532404</v>
      </c>
      <c r="AN179" s="22">
        <f>SUMIF(tabParametros[Código do Posto],tabCustoUnit[[#This Row],[Código do Posto]],tabParametros[Incidência do FGTS sobre API e Reflexo do API])*tabCustoUnit[[#This Row],[MODULO 1 - REMUNERAÇÃO ]]</f>
        <v>0.31624218988425928</v>
      </c>
      <c r="AO179" s="22">
        <f>SUMIF(tabParametros[Código do Posto],tabCustoUnit[[#This Row],[Código do Posto]],tabParametros[Multa Rescisória do FGTS sobre o Aviso Prévio Indenizado])*tabCustoUnit[[#This Row],[MODULO 1 - REMUNERAÇÃO ]]</f>
        <v>0.12649687595370371</v>
      </c>
      <c r="AP179" s="22">
        <f>SUMIF(tabParametros[Código do Posto],tabCustoUnit[[#This Row],[Código do Posto]],tabParametros[Aviso Prévio Trabalhado - APT])*tabCustoUnit[[#This Row],[MODULO 1 - REMUNERAÇÃO ]]</f>
        <v>1.9731967500000003</v>
      </c>
      <c r="AQ179" s="22">
        <f>SUMIF(tabParametros[Código do Posto],tabCustoUnit[[#This Row],[Código do Posto]],tabParametros[Incidência dos encargos do submódulo 2.1 sobre Aviso Prévio Trabalhado])*tabCustoUnit[[#This Row],[MODULO 1 - REMUNERAÇÃO ]]</f>
        <v>0.74586837150000018</v>
      </c>
      <c r="AR179" s="22">
        <f>SUMIF(tabParametros[Código do Posto],tabCustoUnit[[#This Row],[Código do Posto]],tabParametros[Multa Rescisória do FGTS])*tabCustoUnit[[#This Row],[MODULO 1 - REMUNERAÇÃO ]]</f>
        <v>17.238849066666663</v>
      </c>
      <c r="AS179" s="22">
        <f>SUMIF(tabParametros[Código do Posto],tabCustoUnit[[#This Row],[Código do Posto]],tabParametros[Indenização Adicional (Art. 9º da Lei nº 7.238/84)])*tabCustoUnit[[#This Row],[MODULO 1 - REMUNERAÇÃO ]]</f>
        <v>0.46980875</v>
      </c>
      <c r="AT179" s="22">
        <f>SUM(tabCustoUnit[[#This Row],[Aviso Prévio Indenizado (API) e Reflexo do Aviso Prévio Indenizado]:[Indenização Adicional (Art. 9º da Lei nº 7.238/84)]])</f>
        <v>24.823489377557866</v>
      </c>
      <c r="AU179" s="22">
        <f>SUMIF(tabParametros[Código do Posto],tabCustoUnit[[#This Row],[Código do Posto]],tabParametros[Ausência por Doença])*tabCustoUnit[[#This Row],[MODULO 1 - REMUNERAÇÃO ]]</f>
        <v>4.7607286666666662</v>
      </c>
      <c r="AV179" s="22">
        <f>SUMIF(tabParametros[Código do Posto],tabCustoUnit[[#This Row],[Código do Posto]],tabParametros[Ausências Legais])*tabCustoUnit[[#This Row],[MODULO 1 - REMUNERAÇÃO ]]</f>
        <v>1.1432012916666665</v>
      </c>
      <c r="AW179" s="22">
        <f>SUMIF(tabParametros[Código do Posto],tabCustoUnit[[#This Row],[Código do Posto]],tabParametros[Licença Paternidade])*tabCustoUnit[[#This Row],[MODULO 1 - REMUNERAÇÃO ]]</f>
        <v>9.6310793749999998E-2</v>
      </c>
      <c r="AX179" s="22">
        <f>SUMIF(tabParametros[Código do Posto],tabCustoUnit[[#This Row],[Código do Posto]],tabParametros[Ausência por Acidente de Trabalho])*tabCustoUnit[[#This Row],[MODULO 1 - REMUNERAÇÃO ]]</f>
        <v>0.1174521875</v>
      </c>
      <c r="AY179" s="22">
        <f>SUMIF(tabParametros[Código do Posto],tabCustoUnit[[#This Row],[Código do Posto]],tabParametros[Férias, Adicional de Férias e 13º  com empregada em gozo de Licença Maternidade])*tabCustoUnit[[#This Row],[MODULO 1 - REMUNERAÇÃO ]]</f>
        <v>0.73081361111111109</v>
      </c>
      <c r="AZ179" s="22">
        <f>SUMIF(tabParametros[Código do Posto],tabCustoUnit[[#This Row],[Código do Posto]],tabParametros[Incidência do Submódulo 2.1 sobre Ausências Legais])*tabCustoUnit[[#This Row],[MODULO 1 - REMUNERAÇÃO ]]</f>
        <v>2.5887354761625003</v>
      </c>
      <c r="BA179" s="22">
        <f>SUM(tabCustoUnit[[#This Row],[Ausência por Doença]:[Incidência do Submódulo 2.1 sobre Ausências Legais]])</f>
        <v>9.4372420268569428</v>
      </c>
      <c r="BB179" s="22">
        <f>SUMIF(tabParametros[Código do Posto],tabCustoUnit[[#This Row],[Código do Posto]],tabParametros[Intervalo para Repouso ou Alimentação])</f>
        <v>0</v>
      </c>
      <c r="BC179" s="22">
        <f>tabCustoUnit[[#This Row],[Intervalo para Repouso ou Alimentação]]</f>
        <v>0</v>
      </c>
      <c r="BD179" s="22">
        <f>IF(VLOOKUP(tabCustoUnit[[#This Row],[Código do Posto]],PARAMETROS!$A$4:$BJ$255,7,0)&lt;=0,0,
IFERROR((tabCustoUnit[[#This Row],[MODULO 1 - REMUNERAÇÃO ]]*VLOOKUP(tabCustoUnit[[#This Row],[Código do Posto]],PARAMETROS!$A$4:$BJ$255,49,0))/(VLOOKUP(tabCustoUnit[[#This Row],[Código do Posto]],PARAMETROS!$A$4:$BJ$255,7,0)*VLOOKUP(tabCustoUnit[[#This Row],[Código do Posto]],PARAMETROS!$A$4:$BJ$255,8,0)),0)
)</f>
        <v>0</v>
      </c>
      <c r="BE179" s="22">
        <f>tabCustoUnit[[#This Row],[Suspensão Temporária do Contrato de Trabalho]]</f>
        <v>0</v>
      </c>
      <c r="BF179" s="22">
        <f>tabCustoUnit[[#This Row],[Submódulo 4.1]]+tabCustoUnit[[#This Row],[Submódulo 4.2]]+tabCustoUnit[[#This Row],[Submódulo 4.3]]</f>
        <v>9.4372420268569428</v>
      </c>
      <c r="BG179" s="22">
        <f>VLOOKUP(tabCustoUnit[[#This Row],[Código do Posto]],tabParametros[],MATCH(tabCustoUnit[[#Headers],[Uniformes e EPIs]],tabParametros[#Headers],0),0)</f>
        <v>62.806666666666665</v>
      </c>
      <c r="BH179" s="22">
        <f>VLOOKUP(tabCustoUnit[[#This Row],[Código do Posto]],tabParametros[],MATCH(tabCustoUnit[[#Headers],[Materiais de Consumo]],tabParametros[#Headers],0),0)</f>
        <v>12.108481690426325</v>
      </c>
      <c r="BI179" s="22">
        <f>VLOOKUP(tabCustoUnit[[#This Row],[Código do Posto]],tabParametros[],MATCH(tabCustoUnit[[#Headers],[Máquinas e Equipamentos (depreciação)]],tabParametros[#Headers],0),0)</f>
        <v>21.998657016417809</v>
      </c>
      <c r="BJ179" s="22">
        <f>VLOOKUP(tabCustoUnit[[#This Row],[Código do Posto]],tabParametros[],MATCH(tabCustoUnit[[#Headers],[Produtos de Limpeza e Materiais de Higiene Pessoal]],tabParametros[#Headers],0),0)</f>
        <v>235.31984072022155</v>
      </c>
      <c r="BK179" s="22">
        <f>VLOOKUP(tabCustoUnit[[#This Row],[Código do Posto]],tabParametros[],MATCH(tabCustoUnit[[#Headers],[Outros (especificar)]],tabParametros[#Headers],0),0)</f>
        <v>0</v>
      </c>
      <c r="BL179" s="22">
        <f>SUM(tabCustoUnit[[#This Row],[Uniformes e EPIs]:[Outros (especificar)]])</f>
        <v>332.23364609373232</v>
      </c>
      <c r="BM179" s="22">
        <f>tabCustoUnit[[#This Row],[MODULO 1 - REMUNERAÇÃO ]]+tabCustoUnit[[#This Row],[MÓDULO 2 - Total Encargos e Benefícios mensais e diários]]+tabCustoUnit[[#This Row],[MÓDULO 3 – PROVISÃO PARA RESCISÃO]]+tabCustoUnit[[#This Row],[MÓDULO 4 – CUSTO DE REPOSIÇÃO DO PROFISSIONAL AUSENTE]]+tabCustoUnit[[#This Row],[MÓDULO 5 – INSUMOS DIVERSOS]]</f>
        <v>2118.2084999148137</v>
      </c>
      <c r="BN179" s="22">
        <f>VLOOKUP(tabCustoUnit[[#This Row],[Código do Posto]],tabParametros[],MATCH(tabCustoUnit[[#Headers],[Custos Indiretos]],tabParametros[#Headers],0),0)</f>
        <v>189.64880140242613</v>
      </c>
      <c r="BO179" s="22">
        <f>VLOOKUP(tabCustoUnit[[#This Row],[Código do Posto]],tabParametros[],MATCH(tabCustoUnit[[#Headers],[Lucro]],tabParametros[#Headers],0),0)</f>
        <v>159.30499317803796</v>
      </c>
      <c r="BP179" s="26">
        <f>((100/((1-tabCustoUnit[[#This Row],[Resumo de Alíquotas (PIS+CONFINS+ISS)]]))-100)*VLOOKUP(tabCustoUnit[[#This Row],[Código do Posto]],tabParametros[],MATCH(tabCustoUnit[[#Headers],[COFINS]],tabParametros[#Headers],0),0))/(tabCustoUnit[[#This Row],[Resumo de Alíquotas (PIS+CONFINS+ISS)]]*100)</f>
        <v>8.7106017191977067E-2</v>
      </c>
      <c r="BQ179" s="26">
        <f>((100/((100-(tabCustoUnit[[#This Row],[Resumo de Alíquotas (PIS+CONFINS+ISS)]]*100))%)-100)*VLOOKUP(tabCustoUnit[[#This Row],[Código do Posto]],tabParametros[],MATCH(tabCustoUnit[[#Headers],[PIS]],tabParametros[#Headers],0),0))/(tabCustoUnit[[#This Row],[Resumo de Alíquotas (PIS+CONFINS+ISS)]]*100)</f>
        <v>1.8911174785100283E-2</v>
      </c>
      <c r="BR179" s="28">
        <f>VLOOKUP(tabCustoUnit[[#This Row],[Código do Posto]],tabParametros[],MATCH(tabCustoUnit[[#Headers],[ISS]],tabParametros[#Headers],0),0)</f>
        <v>3.5000000000000003E-2</v>
      </c>
      <c r="BS179" s="26">
        <f>(((100/((100-(tabCustoUnit[[#This Row],[Resumo de Alíquotas (PIS+CONFINS+ISS)]]*100))%)-100)*tabCustoUnit[[#This Row],[ISS]])/tabCustoUnit[[#This Row],[Resumo de Alíquotas (PIS+CONFINS+ISS)]])/100</f>
        <v>4.0114613180515762E-2</v>
      </c>
      <c r="BT179" s="26">
        <f>(VLOOKUP(tabCustoUnit[[#This Row],[Código do Posto]],tabParametros[],MATCH(tabCustoUnit[[#Headers],[COFINS]],tabParametros[#Headers],0),0)+
VLOOKUP(tabCustoUnit[[#This Row],[Código do Posto]],tabParametros[],MATCH(tabCustoUnit[[#Headers],[PIS]],tabParametros[#Headers],0),0)+
VLOOKUP(tabCustoUnit[[#This Row],[Código do Posto]],tabParametros[],MATCH(tabCustoUnit[[#Headers],[ISS]],tabParametros[#Headers],0),0))</f>
        <v>0.1275</v>
      </c>
      <c r="BU179" s="138">
        <f>tabCustoUnit[[#This Row],[COFINS]]+tabCustoUnit[[#This Row],[PIS]]+tabCustoUnit[[#This Row],[ISS (Conversão Alíquota s/ fatura)]]</f>
        <v>0.14613180515759311</v>
      </c>
      <c r="BV179" s="22">
        <f>(tabCustoUnit[[#This Row],[TOTAL MÓDULOS 1+2+3+4+5]]+tabCustoUnit[[#This Row],[Custos Indiretos]]+tabCustoUnit[[#This Row],[Lucro]])*tabCustoUnit[[#This Row],[PIS + COFINS + ISS (Total Conversão  Alíquota s/ Fatura)]]</f>
        <v>360.53087971134431</v>
      </c>
      <c r="BW179" s="22">
        <f>tabCustoUnit[[#This Row],[Custos Indiretos]]+tabCustoUnit[[#This Row],[Lucro]]+tabCustoUnit[[#This Row],[Valor dos Tributos (ISS, PIS, CONFINS)]]</f>
        <v>709.48467429180846</v>
      </c>
      <c r="BX179" s="22">
        <f>tabCustoUnit[[#This Row],[TOTAL MÓDULOS 1+2+3+4+5]]+tabCustoUnit[[#This Row],[MÓDULO 6 – CUSTOS INDIRETOS, TRIBUTOS E LUCRO]]</f>
        <v>2827.6931742066222</v>
      </c>
      <c r="BY179" s="22">
        <f>tabCustoUnit[[#This Row],[CUSTO TOTAL MENSAL]]*12</f>
        <v>33932.318090479464</v>
      </c>
      <c r="BZ179" s="24">
        <f>VLOOKUP(tabCustoUnit[[#This Row],[Código do Posto]],tabParametros[],MATCH(tabCustoUnit[[#Headers],[ANO DA CCT]],tabParametros[#Headers],0),0)</f>
        <v>45658</v>
      </c>
      <c r="CA179" s="25" t="str">
        <f>VLOOKUP(tabCustoUnit[[#This Row],[Código do Posto]],tabParametros[],MATCH(tabCustoUnit[[#Headers],[Nº DE PEDIDO DA CCT]],tabParametros[#Headers],0),0)</f>
        <v>-</v>
      </c>
      <c r="CB179" s="25" t="str">
        <f>VLOOKUP(tabCustoUnit[[#This Row],[Código do Posto]],tabParametros[],MATCH(tabCustoUnit[[#Headers],[TERMO ADITIVO ALTERAÇÃO DA CCT]],tabParametros[#Headers],0),0)</f>
        <v>-</v>
      </c>
    </row>
    <row r="180" spans="1:80" x14ac:dyDescent="0.25">
      <c r="A180" s="20" t="s">
        <v>1516</v>
      </c>
      <c r="B180" t="s">
        <v>162</v>
      </c>
      <c r="C180" t="s">
        <v>1246</v>
      </c>
      <c r="D180" t="s">
        <v>1000</v>
      </c>
      <c r="E180" s="20" t="s">
        <v>9</v>
      </c>
      <c r="F180" s="20" t="s">
        <v>10</v>
      </c>
      <c r="G180" s="21">
        <v>1088.3699999999999</v>
      </c>
      <c r="H180" s="21">
        <v>0</v>
      </c>
      <c r="I180" s="21">
        <v>0</v>
      </c>
      <c r="J180" s="21">
        <v>0</v>
      </c>
      <c r="K180" s="21">
        <v>0</v>
      </c>
      <c r="L180" s="21">
        <v>0</v>
      </c>
      <c r="M180" s="21">
        <v>0</v>
      </c>
      <c r="N180" s="21">
        <v>39.1813</v>
      </c>
      <c r="O180" s="21">
        <f>SUM(tabCustoUnit[[#This Row],[Salário Base]:[Adicional de Acúmulo de função]])</f>
        <v>1127.5512999999999</v>
      </c>
      <c r="P180" s="21">
        <f>tabCustoUnit[[#This Row],[MODULO 1 - REMUNERAÇÃO ]]*SUMIFS(tabParametros[INSS],tabParametros[Código do Posto],tabCustoUnit[[#This Row],[Código do Posto]])</f>
        <v>225.51025999999999</v>
      </c>
      <c r="Q180" s="21">
        <f>tabCustoUnit[[#This Row],[MODULO 1 - REMUNERAÇÃO ]]*SUMIFS(tabParametros[SESI OU SESC],tabParametros[Código do Posto],tabCustoUnit[[#This Row],[Código do Posto]])</f>
        <v>16.913269499999998</v>
      </c>
      <c r="R180" s="21">
        <f>tabCustoUnit[[#This Row],[MODULO 1 - REMUNERAÇÃO ]]*SUMIFS(tabParametros[SENAI OU SENAC],tabParametros[Código do Posto],tabCustoUnit[[#This Row],[Código do Posto]])</f>
        <v>11.275512999999998</v>
      </c>
      <c r="S180" s="21">
        <f>tabCustoUnit[[#This Row],[MODULO 1 - REMUNERAÇÃO ]]*SUMIFS(tabParametros[INCRA],tabParametros[Código do Posto],tabCustoUnit[[#This Row],[Código do Posto]])</f>
        <v>2.2551025999999998</v>
      </c>
      <c r="T180" s="21">
        <f>tabCustoUnit[[#This Row],[MODULO 1 - REMUNERAÇÃO ]]*SUMIFS(tabParametros[Salário Educação],tabParametros[Código do Posto],tabCustoUnit[[#This Row],[Código do Posto]])</f>
        <v>28.188782499999999</v>
      </c>
      <c r="U180" s="21">
        <f>tabCustoUnit[[#This Row],[MODULO 1 - REMUNERAÇÃO ]]*SUMIFS(tabParametros[FGTS],tabParametros[Código do Posto],tabCustoUnit[[#This Row],[Código do Posto]])</f>
        <v>90.204103999999987</v>
      </c>
      <c r="V180" s="21">
        <f>tabCustoUnit[[#This Row],[MODULO 1 - REMUNERAÇÃO ]]*SUMIFS(tabParametros[RAT Ajustado],tabParametros[Código do Posto],tabCustoUnit[[#This Row],[Código do Posto]])</f>
        <v>45.102051999999993</v>
      </c>
      <c r="W180" s="21">
        <f>tabCustoUnit[[#This Row],[MODULO 1 - REMUNERAÇÃO ]]*SUMIFS(tabParametros[SEBRAE],tabParametros[Código do Posto],tabCustoUnit[[#This Row],[Código do Posto]])</f>
        <v>6.7653077999999995</v>
      </c>
      <c r="X180" s="21">
        <f>SUM(tabCustoUnit[[#This Row],[INSS]:[SEBRAE]])</f>
        <v>426.21439139999995</v>
      </c>
      <c r="Y180" s="21">
        <f>tabCustoUnit[[#This Row],[MODULO 1 - REMUNERAÇÃO ]]*SUMIFS(tabParametros[13º salário (titular)],tabParametros[Código do Posto],tabCustoUnit[[#This Row],[Código do Posto]])</f>
        <v>93.962608333333321</v>
      </c>
      <c r="Z180" s="21">
        <f>tabCustoUnit[[#This Row],[MODULO 1 - REMUNERAÇÃO ]]*SUMIFS(tabParametros[Férias e Adicional de Férias (titular)],tabParametros[Código do Posto],tabCustoUnit[[#This Row],[Código do Posto]])</f>
        <v>125.28347777777776</v>
      </c>
      <c r="AA180" s="21">
        <f>IFERROR((tabCustoUnit[[#This Row],[Submódulo 2.1]]/tabCustoUnit[[#This Row],[MODULO 1 - REMUNERAÇÃO ]])*SUM(tabCustoUnit[[#This Row],[13º salário (titular)]:[Férias e Adicional de Férias (titular)]]),0)</f>
        <v>82.875020549999988</v>
      </c>
      <c r="AB180" s="21">
        <f>SUM(tabCustoUnit[[#This Row],[13º salário (titular)]:[Incidência do Submódulo 2.1 sobre 13º Salário, Férias e Adicional de Férias]])</f>
        <v>302.12110666111107</v>
      </c>
      <c r="AC180" s="22">
        <f>_xlfn.LET(_xlpm.VT,SUMIF(tabParametros[Código do Posto],tabCustoUnit[[#This Row],[Código do Posto]],tabParametros[Vale - Transporte])*2*20,
IF((_xlpm.VT-tabCustoUnit[[#This Row],[Salário Base]]*0.06)&gt;=0,(_xlpm.VT-tabCustoUnit[[#This Row],[Salário Base]]*0.06),0)
)</f>
        <v>190.69780000000003</v>
      </c>
      <c r="AD180" s="22">
        <f>IF(SUMIF(tabParametros[Código do Posto],tabCustoUnit[[#This Row],[Código do Posto]],tabParametros[Vale - Alimentação])&lt;=0,0,
SUMIF(tabParametros[Código do Posto],tabCustoUnit[[#This Row],[Código do Posto]],tabParametros[Vale - Alimentação])*20-1)</f>
        <v>582</v>
      </c>
      <c r="AE180" s="22">
        <f>SUMIF(tabParametros[Código do Posto],tabCustoUnit[[#This Row],[Código do Posto]],tabParametros[Cesta Básica])</f>
        <v>0</v>
      </c>
      <c r="AF180" s="22">
        <f>SUMIF(tabParametros[Código do Posto],tabCustoUnit[[#This Row],[Código do Posto]],tabParametros[PAF])</f>
        <v>0</v>
      </c>
      <c r="AG180" s="22">
        <f>SUMIF(tabParametros[Código do Posto],tabCustoUnit[[#This Row],[Código do Posto]],tabParametros[PQM])</f>
        <v>15.07</v>
      </c>
      <c r="AH180" s="22">
        <f>SUMIF(tabParametros[Código do Posto],tabCustoUnit[[#This Row],[Código do Posto]],tabParametros[PAT])</f>
        <v>0</v>
      </c>
      <c r="AI180" s="22">
        <f>SUMIF(tabParametros[Código do Posto],tabCustoUnit[[#This Row],[Código do Posto]],tabParametros[Seguro de Vida])</f>
        <v>3.36</v>
      </c>
      <c r="AJ180" s="22">
        <f>SUMIF(tabParametros[Código do Posto],tabCustoUnit[[#This Row],[Código do Posto]],tabParametros[Despesas de Viagem])</f>
        <v>0</v>
      </c>
      <c r="AK180" s="22">
        <f>SUM(tabCustoUnit[[#This Row],[Vale - Transporte (Descontada parcela do empregado)]:[Despesas de Viagem]])</f>
        <v>791.12780000000009</v>
      </c>
      <c r="AL180" s="22">
        <f>tabCustoUnit[[#This Row],[Submódulo 2.1]]+tabCustoUnit[[#This Row],[Submódulo 2.2]]+tabCustoUnit[[#This Row],[Submódulo 2.3]]</f>
        <v>1519.4632980611111</v>
      </c>
      <c r="AM180" s="22">
        <f>SUMIF(tabParametros[Código do Posto],tabCustoUnit[[#This Row],[Código do Posto]],tabParametros[Aviso Prévio Indenizado (API) e Reflexo do Aviso Prévio Indenizado])*tabCustoUnit[[#This Row],[MODULO 1 - REMUNERAÇÃO ]]</f>
        <v>7.9061269683063262</v>
      </c>
      <c r="AN180" s="22">
        <f>SUMIF(tabParametros[Código do Posto],tabCustoUnit[[#This Row],[Código do Posto]],tabParametros[Incidência do FGTS sobre API e Reflexo do API])*tabCustoUnit[[#This Row],[MODULO 1 - REMUNERAÇÃO ]]</f>
        <v>0.6324901574645061</v>
      </c>
      <c r="AO180" s="22">
        <f>SUMIF(tabParametros[Código do Posto],tabCustoUnit[[#This Row],[Código do Posto]],tabParametros[Multa Rescisória do FGTS sobre o Aviso Prévio Indenizado])*tabCustoUnit[[#This Row],[MODULO 1 - REMUNERAÇÃO ]]</f>
        <v>0.25299606298580246</v>
      </c>
      <c r="AP180" s="22">
        <f>SUMIF(tabParametros[Código do Posto],tabCustoUnit[[#This Row],[Código do Posto]],tabParametros[Aviso Prévio Trabalhado - APT])*tabCustoUnit[[#This Row],[MODULO 1 - REMUNERAÇÃO ]]</f>
        <v>3.94642955</v>
      </c>
      <c r="AQ180" s="22">
        <f>SUMIF(tabParametros[Código do Posto],tabCustoUnit[[#This Row],[Código do Posto]],tabParametros[Incidência dos encargos do submódulo 2.1 sobre Aviso Prévio Trabalhado])*tabCustoUnit[[#This Row],[MODULO 1 - REMUNERAÇÃO ]]</f>
        <v>1.4917503699000003</v>
      </c>
      <c r="AR180" s="22">
        <f>SUMIF(tabParametros[Código do Posto],tabCustoUnit[[#This Row],[Código do Posto]],tabParametros[Multa Rescisória do FGTS])*tabCustoUnit[[#This Row],[MODULO 1 - REMUNERAÇÃO ]]</f>
        <v>34.478013084444434</v>
      </c>
      <c r="AS180" s="22">
        <f>SUMIF(tabParametros[Código do Posto],tabCustoUnit[[#This Row],[Código do Posto]],tabParametros[Indenização Adicional (Art. 9º da Lei nº 7.238/84)])*tabCustoUnit[[#This Row],[MODULO 1 - REMUNERAÇÃO ]]</f>
        <v>0.93962608333333331</v>
      </c>
      <c r="AT180" s="22">
        <f>SUM(tabCustoUnit[[#This Row],[Aviso Prévio Indenizado (API) e Reflexo do Aviso Prévio Indenizado]:[Indenização Adicional (Art. 9º da Lei nº 7.238/84)]])</f>
        <v>49.647432276434401</v>
      </c>
      <c r="AU180" s="22">
        <f>SUMIF(tabParametros[Código do Posto],tabCustoUnit[[#This Row],[Código do Posto]],tabParametros[Ausência por Doença])*tabCustoUnit[[#This Row],[MODULO 1 - REMUNERAÇÃO ]]</f>
        <v>9.5215443111111089</v>
      </c>
      <c r="AV180" s="22">
        <f>SUMIF(tabParametros[Código do Posto],tabCustoUnit[[#This Row],[Código do Posto]],tabParametros[Ausências Legais])*tabCustoUnit[[#This Row],[MODULO 1 - REMUNERAÇÃO ]]</f>
        <v>2.2864234694444439</v>
      </c>
      <c r="AW180" s="22">
        <f>SUMIF(tabParametros[Código do Posto],tabCustoUnit[[#This Row],[Código do Posto]],tabParametros[Licença Paternidade])*tabCustoUnit[[#This Row],[MODULO 1 - REMUNERAÇÃO ]]</f>
        <v>0.19262334708333331</v>
      </c>
      <c r="AX180" s="22">
        <f>SUMIF(tabParametros[Código do Posto],tabCustoUnit[[#This Row],[Código do Posto]],tabParametros[Ausência por Acidente de Trabalho])*tabCustoUnit[[#This Row],[MODULO 1 - REMUNERAÇÃO ]]</f>
        <v>0.23490652083333333</v>
      </c>
      <c r="AY180" s="22">
        <f>SUMIF(tabParametros[Código do Posto],tabCustoUnit[[#This Row],[Código do Posto]],tabParametros[Férias, Adicional de Férias e 13º  com empregada em gozo de Licença Maternidade])*tabCustoUnit[[#This Row],[MODULO 1 - REMUNERAÇÃO ]]</f>
        <v>1.4616405740740739</v>
      </c>
      <c r="AZ180" s="22">
        <f>SUMIF(tabParametros[Código do Posto],tabCustoUnit[[#This Row],[Código do Posto]],tabParametros[Incidência do Submódulo 2.1 sobre Ausências Legais])*tabCustoUnit[[#This Row],[MODULO 1 - REMUNERAÇÃO ]]</f>
        <v>5.1775182481225004</v>
      </c>
      <c r="BA180" s="22">
        <f>SUM(tabCustoUnit[[#This Row],[Ausência por Doença]:[Incidência do Submódulo 2.1 sobre Ausências Legais]])</f>
        <v>18.874656470668793</v>
      </c>
      <c r="BB180" s="22">
        <f>SUMIF(tabParametros[Código do Posto],tabCustoUnit[[#This Row],[Código do Posto]],tabParametros[Intervalo para Repouso ou Alimentação])</f>
        <v>0</v>
      </c>
      <c r="BC180" s="22">
        <f>tabCustoUnit[[#This Row],[Intervalo para Repouso ou Alimentação]]</f>
        <v>0</v>
      </c>
      <c r="BD180" s="22">
        <f>IF(VLOOKUP(tabCustoUnit[[#This Row],[Código do Posto]],PARAMETROS!$A$4:$BJ$255,7,0)&lt;=0,0,
IFERROR((tabCustoUnit[[#This Row],[MODULO 1 - REMUNERAÇÃO ]]*VLOOKUP(tabCustoUnit[[#This Row],[Código do Posto]],PARAMETROS!$A$4:$BJ$255,49,0))/(VLOOKUP(tabCustoUnit[[#This Row],[Código do Posto]],PARAMETROS!$A$4:$BJ$255,7,0)*VLOOKUP(tabCustoUnit[[#This Row],[Código do Posto]],PARAMETROS!$A$4:$BJ$255,8,0)),0)
)</f>
        <v>0</v>
      </c>
      <c r="BE180" s="22">
        <f>tabCustoUnit[[#This Row],[Suspensão Temporária do Contrato de Trabalho]]</f>
        <v>0</v>
      </c>
      <c r="BF180" s="22">
        <f>tabCustoUnit[[#This Row],[Submódulo 4.1]]+tabCustoUnit[[#This Row],[Submódulo 4.2]]+tabCustoUnit[[#This Row],[Submódulo 4.3]]</f>
        <v>18.874656470668793</v>
      </c>
      <c r="BG180" s="22">
        <f>VLOOKUP(tabCustoUnit[[#This Row],[Código do Posto]],tabParametros[],MATCH(tabCustoUnit[[#Headers],[Uniformes e EPIs]],tabParametros[#Headers],0),0)</f>
        <v>100.80916666666666</v>
      </c>
      <c r="BH180" s="22">
        <f>VLOOKUP(tabCustoUnit[[#This Row],[Código do Posto]],tabParametros[],MATCH(tabCustoUnit[[#Headers],[Materiais de Consumo]],tabParametros[#Headers],0),0)</f>
        <v>24.216963380852651</v>
      </c>
      <c r="BI180" s="22">
        <f>VLOOKUP(tabCustoUnit[[#This Row],[Código do Posto]],tabParametros[],MATCH(tabCustoUnit[[#Headers],[Máquinas e Equipamentos (depreciação)]],tabParametros[#Headers],0),0)</f>
        <v>43.997314032835618</v>
      </c>
      <c r="BJ180" s="22">
        <f>VLOOKUP(tabCustoUnit[[#This Row],[Código do Posto]],tabParametros[],MATCH(tabCustoUnit[[#Headers],[Produtos de Limpeza e Materiais de Higiene Pessoal]],tabParametros[#Headers],0),0)</f>
        <v>470.6396814404431</v>
      </c>
      <c r="BK180" s="22">
        <f>VLOOKUP(tabCustoUnit[[#This Row],[Código do Posto]],tabParametros[],MATCH(tabCustoUnit[[#Headers],[Outros (especificar)]],tabParametros[#Headers],0),0)</f>
        <v>0</v>
      </c>
      <c r="BL180" s="22">
        <f>SUM(tabCustoUnit[[#This Row],[Uniformes e EPIs]:[Outros (especificar)]])</f>
        <v>639.66312552079808</v>
      </c>
      <c r="BM180" s="22">
        <f>tabCustoUnit[[#This Row],[MODULO 1 - REMUNERAÇÃO ]]+tabCustoUnit[[#This Row],[MÓDULO 2 - Total Encargos e Benefícios mensais e diários]]+tabCustoUnit[[#This Row],[MÓDULO 3 – PROVISÃO PARA RESCISÃO]]+tabCustoUnit[[#This Row],[MÓDULO 4 – CUSTO DE REPOSIÇÃO DO PROFISSIONAL AUSENTE]]+tabCustoUnit[[#This Row],[MÓDULO 5 – INSUMOS DIVERSOS]]</f>
        <v>3355.1998123290123</v>
      </c>
      <c r="BN180" s="22">
        <f>VLOOKUP(tabCustoUnit[[#This Row],[Código do Posto]],tabParametros[],MATCH(tabCustoUnit[[#Headers],[Custos Indiretos]],tabParametros[#Headers],0),0)</f>
        <v>189.64880140242613</v>
      </c>
      <c r="BO180" s="22">
        <f>VLOOKUP(tabCustoUnit[[#This Row],[Código do Posto]],tabParametros[],MATCH(tabCustoUnit[[#Headers],[Lucro]],tabParametros[#Headers],0),0)</f>
        <v>159.30499317803796</v>
      </c>
      <c r="BP180" s="26">
        <f>((100/((1-tabCustoUnit[[#This Row],[Resumo de Alíquotas (PIS+CONFINS+ISS)]]))-100)*VLOOKUP(tabCustoUnit[[#This Row],[Código do Posto]],tabParametros[],MATCH(tabCustoUnit[[#Headers],[COFINS]],tabParametros[#Headers],0),0))/(tabCustoUnit[[#This Row],[Resumo de Alíquotas (PIS+CONFINS+ISS)]]*100)</f>
        <v>8.7106017191977067E-2</v>
      </c>
      <c r="BQ180" s="26">
        <f>((100/((100-(tabCustoUnit[[#This Row],[Resumo de Alíquotas (PIS+CONFINS+ISS)]]*100))%)-100)*VLOOKUP(tabCustoUnit[[#This Row],[Código do Posto]],tabParametros[],MATCH(tabCustoUnit[[#Headers],[PIS]],tabParametros[#Headers],0),0))/(tabCustoUnit[[#This Row],[Resumo de Alíquotas (PIS+CONFINS+ISS)]]*100)</f>
        <v>1.8911174785100283E-2</v>
      </c>
      <c r="BR180" s="28">
        <f>VLOOKUP(tabCustoUnit[[#This Row],[Código do Posto]],tabParametros[],MATCH(tabCustoUnit[[#Headers],[ISS]],tabParametros[#Headers],0),0)</f>
        <v>3.5000000000000003E-2</v>
      </c>
      <c r="BS180" s="26">
        <f>(((100/((100-(tabCustoUnit[[#This Row],[Resumo de Alíquotas (PIS+CONFINS+ISS)]]*100))%)-100)*tabCustoUnit[[#This Row],[ISS]])/tabCustoUnit[[#This Row],[Resumo de Alíquotas (PIS+CONFINS+ISS)]])/100</f>
        <v>4.0114613180515762E-2</v>
      </c>
      <c r="BT180" s="26">
        <f>(VLOOKUP(tabCustoUnit[[#This Row],[Código do Posto]],tabParametros[],MATCH(tabCustoUnit[[#Headers],[COFINS]],tabParametros[#Headers],0),0)+
VLOOKUP(tabCustoUnit[[#This Row],[Código do Posto]],tabParametros[],MATCH(tabCustoUnit[[#Headers],[PIS]],tabParametros[#Headers],0),0)+
VLOOKUP(tabCustoUnit[[#This Row],[Código do Posto]],tabParametros[],MATCH(tabCustoUnit[[#Headers],[ISS]],tabParametros[#Headers],0),0))</f>
        <v>0.1275</v>
      </c>
      <c r="BU180" s="138">
        <f>tabCustoUnit[[#This Row],[COFINS]]+tabCustoUnit[[#This Row],[PIS]]+tabCustoUnit[[#This Row],[ISS (Conversão Alíquota s/ fatura)]]</f>
        <v>0.14613180515759311</v>
      </c>
      <c r="BV180" s="22">
        <f>(tabCustoUnit[[#This Row],[TOTAL MÓDULOS 1+2+3+4+5]]+tabCustoUnit[[#This Row],[Custos Indiretos]]+tabCustoUnit[[#This Row],[Lucro]])*tabCustoUnit[[#This Row],[PIS + COFINS + ISS (Total Conversão  Alíquota s/ Fatura)]]</f>
        <v>541.29465315869129</v>
      </c>
      <c r="BW180" s="22">
        <f>tabCustoUnit[[#This Row],[Custos Indiretos]]+tabCustoUnit[[#This Row],[Lucro]]+tabCustoUnit[[#This Row],[Valor dos Tributos (ISS, PIS, CONFINS)]]</f>
        <v>890.24844773915538</v>
      </c>
      <c r="BX180" s="22">
        <f>tabCustoUnit[[#This Row],[TOTAL MÓDULOS 1+2+3+4+5]]+tabCustoUnit[[#This Row],[MÓDULO 6 – CUSTOS INDIRETOS, TRIBUTOS E LUCRO]]</f>
        <v>4245.4482600681677</v>
      </c>
      <c r="BY180" s="22">
        <f>tabCustoUnit[[#This Row],[CUSTO TOTAL MENSAL]]*12</f>
        <v>50945.379120818012</v>
      </c>
      <c r="BZ180" s="24">
        <f>VLOOKUP(tabCustoUnit[[#This Row],[Código do Posto]],tabParametros[],MATCH(tabCustoUnit[[#Headers],[ANO DA CCT]],tabParametros[#Headers],0),0)</f>
        <v>45658</v>
      </c>
      <c r="CA180" s="25" t="str">
        <f>VLOOKUP(tabCustoUnit[[#This Row],[Código do Posto]],tabParametros[],MATCH(tabCustoUnit[[#Headers],[Nº DE PEDIDO DA CCT]],tabParametros[#Headers],0),0)</f>
        <v>-</v>
      </c>
      <c r="CB180" s="25" t="str">
        <f>VLOOKUP(tabCustoUnit[[#This Row],[Código do Posto]],tabParametros[],MATCH(tabCustoUnit[[#Headers],[TERMO ADITIVO ALTERAÇÃO DA CCT]],tabParametros[#Headers],0),0)</f>
        <v>-</v>
      </c>
    </row>
    <row r="181" spans="1:80" x14ac:dyDescent="0.25">
      <c r="A181" s="20" t="s">
        <v>1517</v>
      </c>
      <c r="B181" t="s">
        <v>163</v>
      </c>
      <c r="C181" t="s">
        <v>1244</v>
      </c>
      <c r="D181" t="s">
        <v>1023</v>
      </c>
      <c r="E181" s="20" t="s">
        <v>9</v>
      </c>
      <c r="F181" s="20" t="s">
        <v>10</v>
      </c>
      <c r="G181" s="21">
        <v>798.14</v>
      </c>
      <c r="H181" s="21">
        <v>0</v>
      </c>
      <c r="I181" s="21">
        <v>0</v>
      </c>
      <c r="J181" s="21">
        <v>0</v>
      </c>
      <c r="K181" s="21">
        <v>0</v>
      </c>
      <c r="L181" s="21">
        <v>0</v>
      </c>
      <c r="M181" s="21">
        <v>0</v>
      </c>
      <c r="N181" s="21">
        <v>26.120899999999999</v>
      </c>
      <c r="O181" s="21">
        <f>SUM(tabCustoUnit[[#This Row],[Salário Base]:[Adicional de Acúmulo de função]])</f>
        <v>824.26089999999999</v>
      </c>
      <c r="P181" s="21">
        <f>tabCustoUnit[[#This Row],[MODULO 1 - REMUNERAÇÃO ]]*SUMIFS(tabParametros[INSS],tabParametros[Código do Posto],tabCustoUnit[[#This Row],[Código do Posto]])</f>
        <v>164.85218</v>
      </c>
      <c r="Q181" s="21">
        <f>tabCustoUnit[[#This Row],[MODULO 1 - REMUNERAÇÃO ]]*SUMIFS(tabParametros[SESI OU SESC],tabParametros[Código do Posto],tabCustoUnit[[#This Row],[Código do Posto]])</f>
        <v>12.363913499999999</v>
      </c>
      <c r="R181" s="21">
        <f>tabCustoUnit[[#This Row],[MODULO 1 - REMUNERAÇÃO ]]*SUMIFS(tabParametros[SENAI OU SENAC],tabParametros[Código do Posto],tabCustoUnit[[#This Row],[Código do Posto]])</f>
        <v>8.2426089999999999</v>
      </c>
      <c r="S181" s="21">
        <f>tabCustoUnit[[#This Row],[MODULO 1 - REMUNERAÇÃO ]]*SUMIFS(tabParametros[INCRA],tabParametros[Código do Posto],tabCustoUnit[[#This Row],[Código do Posto]])</f>
        <v>1.6485217999999999</v>
      </c>
      <c r="T181" s="21">
        <f>tabCustoUnit[[#This Row],[MODULO 1 - REMUNERAÇÃO ]]*SUMIFS(tabParametros[Salário Educação],tabParametros[Código do Posto],tabCustoUnit[[#This Row],[Código do Posto]])</f>
        <v>20.606522500000001</v>
      </c>
      <c r="U181" s="21">
        <f>tabCustoUnit[[#This Row],[MODULO 1 - REMUNERAÇÃO ]]*SUMIFS(tabParametros[FGTS],tabParametros[Código do Posto],tabCustoUnit[[#This Row],[Código do Posto]])</f>
        <v>65.940871999999999</v>
      </c>
      <c r="V181" s="21">
        <f>tabCustoUnit[[#This Row],[MODULO 1 - REMUNERAÇÃO ]]*SUMIFS(tabParametros[RAT Ajustado],tabParametros[Código do Posto],tabCustoUnit[[#This Row],[Código do Posto]])</f>
        <v>32.970435999999999</v>
      </c>
      <c r="W181" s="21">
        <f>tabCustoUnit[[#This Row],[MODULO 1 - REMUNERAÇÃO ]]*SUMIFS(tabParametros[SEBRAE],tabParametros[Código do Posto],tabCustoUnit[[#This Row],[Código do Posto]])</f>
        <v>4.9455654000000004</v>
      </c>
      <c r="X181" s="21">
        <f>SUM(tabCustoUnit[[#This Row],[INSS]:[SEBRAE]])</f>
        <v>311.57062020000001</v>
      </c>
      <c r="Y181" s="21">
        <f>tabCustoUnit[[#This Row],[MODULO 1 - REMUNERAÇÃO ]]*SUMIFS(tabParametros[13º salário (titular)],tabParametros[Código do Posto],tabCustoUnit[[#This Row],[Código do Posto]])</f>
        <v>68.688408333333328</v>
      </c>
      <c r="Z181" s="21">
        <f>tabCustoUnit[[#This Row],[MODULO 1 - REMUNERAÇÃO ]]*SUMIFS(tabParametros[Férias e Adicional de Férias (titular)],tabParametros[Código do Posto],tabCustoUnit[[#This Row],[Código do Posto]])</f>
        <v>91.584544444444433</v>
      </c>
      <c r="AA181" s="21">
        <f>IFERROR((tabCustoUnit[[#This Row],[Submódulo 2.1]]/tabCustoUnit[[#This Row],[MODULO 1 - REMUNERAÇÃO ]])*SUM(tabCustoUnit[[#This Row],[13º salário (titular)]:[Férias e Adicional de Férias (titular)]]),0)</f>
        <v>60.583176149999993</v>
      </c>
      <c r="AB181" s="21">
        <f>SUM(tabCustoUnit[[#This Row],[13º salário (titular)]:[Incidência do Submódulo 2.1 sobre 13º Salário, Férias e Adicional de Férias]])</f>
        <v>220.85612892777775</v>
      </c>
      <c r="AC181" s="22">
        <f>_xlfn.LET(_xlpm.VT,SUMIF(tabParametros[Código do Posto],tabCustoUnit[[#This Row],[Código do Posto]],tabParametros[Vale - Transporte])*2*20,
IF((_xlpm.VT-tabCustoUnit[[#This Row],[Salário Base]]*0.06)&gt;=0,(_xlpm.VT-tabCustoUnit[[#This Row],[Salário Base]]*0.06),0)
)</f>
        <v>208.11160000000001</v>
      </c>
      <c r="AD181" s="22">
        <f>IF(SUMIF(tabParametros[Código do Posto],tabCustoUnit[[#This Row],[Código do Posto]],tabParametros[Vale - Alimentação])&lt;=0,0,
SUMIF(tabParametros[Código do Posto],tabCustoUnit[[#This Row],[Código do Posto]],tabParametros[Vale - Alimentação])*20-1)</f>
        <v>582</v>
      </c>
      <c r="AE181" s="22">
        <f>SUMIF(tabParametros[Código do Posto],tabCustoUnit[[#This Row],[Código do Posto]],tabParametros[Cesta Básica])</f>
        <v>0</v>
      </c>
      <c r="AF181" s="22">
        <f>SUMIF(tabParametros[Código do Posto],tabCustoUnit[[#This Row],[Código do Posto]],tabParametros[PAF])</f>
        <v>0</v>
      </c>
      <c r="AG181" s="22">
        <f>SUMIF(tabParametros[Código do Posto],tabCustoUnit[[#This Row],[Código do Posto]],tabParametros[PQM])</f>
        <v>0</v>
      </c>
      <c r="AH181" s="22">
        <f>SUMIF(tabParametros[Código do Posto],tabCustoUnit[[#This Row],[Código do Posto]],tabParametros[PAT])</f>
        <v>0</v>
      </c>
      <c r="AI181" s="22">
        <f>SUMIF(tabParametros[Código do Posto],tabCustoUnit[[#This Row],[Código do Posto]],tabParametros[Seguro de Vida])</f>
        <v>3.36</v>
      </c>
      <c r="AJ181" s="22">
        <f>SUMIF(tabParametros[Código do Posto],tabCustoUnit[[#This Row],[Código do Posto]],tabParametros[Despesas de Viagem])</f>
        <v>0</v>
      </c>
      <c r="AK181" s="22">
        <f>SUM(tabCustoUnit[[#This Row],[Vale - Transporte (Descontada parcela do empregado)]:[Despesas de Viagem]])</f>
        <v>793.47159999999997</v>
      </c>
      <c r="AL181" s="22">
        <f>tabCustoUnit[[#This Row],[Submódulo 2.1]]+tabCustoUnit[[#This Row],[Submódulo 2.2]]+tabCustoUnit[[#This Row],[Submódulo 2.3]]</f>
        <v>1325.8983491277777</v>
      </c>
      <c r="AM181" s="22">
        <f>SUMIF(tabParametros[Código do Posto],tabCustoUnit[[#This Row],[Código do Posto]],tabParametros[Aviso Prévio Indenizado (API) e Reflexo do Aviso Prévio Indenizado])*tabCustoUnit[[#This Row],[MODULO 1 - REMUNERAÇÃO ]]</f>
        <v>5.7795253576581791</v>
      </c>
      <c r="AN181" s="22">
        <f>SUMIF(tabParametros[Código do Posto],tabCustoUnit[[#This Row],[Código do Posto]],tabParametros[Incidência do FGTS sobre API e Reflexo do API])*tabCustoUnit[[#This Row],[MODULO 1 - REMUNERAÇÃO ]]</f>
        <v>0.46236202861265435</v>
      </c>
      <c r="AO181" s="22">
        <f>SUMIF(tabParametros[Código do Posto],tabCustoUnit[[#This Row],[Código do Posto]],tabParametros[Multa Rescisória do FGTS sobre o Aviso Prévio Indenizado])*tabCustoUnit[[#This Row],[MODULO 1 - REMUNERAÇÃO ]]</f>
        <v>0.18494481144506175</v>
      </c>
      <c r="AP181" s="22">
        <f>SUMIF(tabParametros[Código do Posto],tabCustoUnit[[#This Row],[Código do Posto]],tabParametros[Aviso Prévio Trabalhado - APT])*tabCustoUnit[[#This Row],[MODULO 1 - REMUNERAÇÃO ]]</f>
        <v>2.8849131500000005</v>
      </c>
      <c r="AQ181" s="22">
        <f>SUMIF(tabParametros[Código do Posto],tabCustoUnit[[#This Row],[Código do Posto]],tabParametros[Incidência dos encargos do submódulo 2.1 sobre Aviso Prévio Trabalhado])*tabCustoUnit[[#This Row],[MODULO 1 - REMUNERAÇÃO ]]</f>
        <v>1.0904971707000004</v>
      </c>
      <c r="AR181" s="22">
        <f>SUMIF(tabParametros[Código do Posto],tabCustoUnit[[#This Row],[Código do Posto]],tabParametros[Multa Rescisória do FGTS])*tabCustoUnit[[#This Row],[MODULO 1 - REMUNERAÇÃO ]]</f>
        <v>25.204066631111107</v>
      </c>
      <c r="AS181" s="22">
        <f>SUMIF(tabParametros[Código do Posto],tabCustoUnit[[#This Row],[Código do Posto]],tabParametros[Indenização Adicional (Art. 9º da Lei nº 7.238/84)])*tabCustoUnit[[#This Row],[MODULO 1 - REMUNERAÇÃO ]]</f>
        <v>0.6868840833333334</v>
      </c>
      <c r="AT181" s="22">
        <f>SUM(tabCustoUnit[[#This Row],[Aviso Prévio Indenizado (API) e Reflexo do Aviso Prévio Indenizado]:[Indenização Adicional (Art. 9º da Lei nº 7.238/84)]])</f>
        <v>36.293193232860339</v>
      </c>
      <c r="AU181" s="22">
        <f>SUMIF(tabParametros[Código do Posto],tabCustoUnit[[#This Row],[Código do Posto]],tabParametros[Ausência por Doença])*tabCustoUnit[[#This Row],[MODULO 1 - REMUNERAÇÃO ]]</f>
        <v>6.9604253777777769</v>
      </c>
      <c r="AV181" s="22">
        <f>SUMIF(tabParametros[Código do Posto],tabCustoUnit[[#This Row],[Código do Posto]],tabParametros[Ausências Legais])*tabCustoUnit[[#This Row],[MODULO 1 - REMUNERAÇÃO ]]</f>
        <v>1.671417936111111</v>
      </c>
      <c r="AW181" s="22">
        <f>SUMIF(tabParametros[Código do Posto],tabCustoUnit[[#This Row],[Código do Posto]],tabParametros[Licença Paternidade])*tabCustoUnit[[#This Row],[MODULO 1 - REMUNERAÇÃO ]]</f>
        <v>0.14081123708333332</v>
      </c>
      <c r="AX181" s="22">
        <f>SUMIF(tabParametros[Código do Posto],tabCustoUnit[[#This Row],[Código do Posto]],tabParametros[Ausência por Acidente de Trabalho])*tabCustoUnit[[#This Row],[MODULO 1 - REMUNERAÇÃO ]]</f>
        <v>0.17172102083333335</v>
      </c>
      <c r="AY181" s="22">
        <f>SUMIF(tabParametros[Código do Posto],tabCustoUnit[[#This Row],[Código do Posto]],tabParametros[Férias, Adicional de Férias e 13º  com empregada em gozo de Licença Maternidade])*tabCustoUnit[[#This Row],[MODULO 1 - REMUNERAÇÃO ]]</f>
        <v>1.0684863518518517</v>
      </c>
      <c r="AZ181" s="22">
        <f>SUMIF(tabParametros[Código do Posto],tabCustoUnit[[#This Row],[Código do Posto]],tabParametros[Incidência do Submódulo 2.1 sobre Ausências Legais])*tabCustoUnit[[#This Row],[MODULO 1 - REMUNERAÇÃO ]]</f>
        <v>3.7848618071425006</v>
      </c>
      <c r="BA181" s="22">
        <f>SUM(tabCustoUnit[[#This Row],[Ausência por Doença]:[Incidência do Submódulo 2.1 sobre Ausências Legais]])</f>
        <v>13.797723730799909</v>
      </c>
      <c r="BB181" s="22">
        <f>SUMIF(tabParametros[Código do Posto],tabCustoUnit[[#This Row],[Código do Posto]],tabParametros[Intervalo para Repouso ou Alimentação])</f>
        <v>0</v>
      </c>
      <c r="BC181" s="22">
        <f>tabCustoUnit[[#This Row],[Intervalo para Repouso ou Alimentação]]</f>
        <v>0</v>
      </c>
      <c r="BD181" s="22">
        <f>IF(VLOOKUP(tabCustoUnit[[#This Row],[Código do Posto]],PARAMETROS!$A$4:$BJ$255,7,0)&lt;=0,0,
IFERROR((tabCustoUnit[[#This Row],[MODULO 1 - REMUNERAÇÃO ]]*VLOOKUP(tabCustoUnit[[#This Row],[Código do Posto]],PARAMETROS!$A$4:$BJ$255,49,0))/(VLOOKUP(tabCustoUnit[[#This Row],[Código do Posto]],PARAMETROS!$A$4:$BJ$255,7,0)*VLOOKUP(tabCustoUnit[[#This Row],[Código do Posto]],PARAMETROS!$A$4:$BJ$255,8,0)),0)
)</f>
        <v>0</v>
      </c>
      <c r="BE181" s="22">
        <f>tabCustoUnit[[#This Row],[Suspensão Temporária do Contrato de Trabalho]]</f>
        <v>0</v>
      </c>
      <c r="BF181" s="22">
        <f>tabCustoUnit[[#This Row],[Submódulo 4.1]]+tabCustoUnit[[#This Row],[Submódulo 4.2]]+tabCustoUnit[[#This Row],[Submódulo 4.3]]</f>
        <v>13.797723730799909</v>
      </c>
      <c r="BG181" s="22">
        <f>VLOOKUP(tabCustoUnit[[#This Row],[Código do Posto]],tabParametros[],MATCH(tabCustoUnit[[#Headers],[Uniformes e EPIs]],tabParametros[#Headers],0),0)</f>
        <v>62.806666666666665</v>
      </c>
      <c r="BH181" s="22">
        <f>VLOOKUP(tabCustoUnit[[#This Row],[Código do Posto]],tabParametros[],MATCH(tabCustoUnit[[#Headers],[Materiais de Consumo]],tabParametros[#Headers],0),0)</f>
        <v>17.759106479291944</v>
      </c>
      <c r="BI181" s="22">
        <f>VLOOKUP(tabCustoUnit[[#This Row],[Código do Posto]],tabParametros[],MATCH(tabCustoUnit[[#Headers],[Máquinas e Equipamentos (depreciação)]],tabParametros[#Headers],0),0)</f>
        <v>32.264696957412788</v>
      </c>
      <c r="BJ181" s="22">
        <f>VLOOKUP(tabCustoUnit[[#This Row],[Código do Posto]],tabParametros[],MATCH(tabCustoUnit[[#Headers],[Produtos de Limpeza e Materiais de Higiene Pessoal]],tabParametros[#Headers],0),0)</f>
        <v>345.13576638965827</v>
      </c>
      <c r="BK181" s="22">
        <f>VLOOKUP(tabCustoUnit[[#This Row],[Código do Posto]],tabParametros[],MATCH(tabCustoUnit[[#Headers],[Outros (especificar)]],tabParametros[#Headers],0),0)</f>
        <v>0</v>
      </c>
      <c r="BL181" s="22">
        <f>SUM(tabCustoUnit[[#This Row],[Uniformes e EPIs]:[Outros (especificar)]])</f>
        <v>457.96623649302967</v>
      </c>
      <c r="BM181" s="22">
        <f>tabCustoUnit[[#This Row],[MODULO 1 - REMUNERAÇÃO ]]+tabCustoUnit[[#This Row],[MÓDULO 2 - Total Encargos e Benefícios mensais e diários]]+tabCustoUnit[[#This Row],[MÓDULO 3 – PROVISÃO PARA RESCISÃO]]+tabCustoUnit[[#This Row],[MÓDULO 4 – CUSTO DE REPOSIÇÃO DO PROFISSIONAL AUSENTE]]+tabCustoUnit[[#This Row],[MÓDULO 5 – INSUMOS DIVERSOS]]</f>
        <v>2658.2164025844677</v>
      </c>
      <c r="BN181" s="22">
        <f>VLOOKUP(tabCustoUnit[[#This Row],[Código do Posto]],tabParametros[],MATCH(tabCustoUnit[[#Headers],[Custos Indiretos]],tabParametros[#Headers],0),0)</f>
        <v>189.64880140242613</v>
      </c>
      <c r="BO181" s="22">
        <f>VLOOKUP(tabCustoUnit[[#This Row],[Código do Posto]],tabParametros[],MATCH(tabCustoUnit[[#Headers],[Lucro]],tabParametros[#Headers],0),0)</f>
        <v>159.30499317803796</v>
      </c>
      <c r="BP181" s="26">
        <f>((100/((1-tabCustoUnit[[#This Row],[Resumo de Alíquotas (PIS+CONFINS+ISS)]]))-100)*VLOOKUP(tabCustoUnit[[#This Row],[Código do Posto]],tabParametros[],MATCH(tabCustoUnit[[#Headers],[COFINS]],tabParametros[#Headers],0),0))/(tabCustoUnit[[#This Row],[Resumo de Alíquotas (PIS+CONFINS+ISS)]]*100)</f>
        <v>8.6609686609686695E-2</v>
      </c>
      <c r="BQ181" s="26">
        <f>((100/((100-(tabCustoUnit[[#This Row],[Resumo de Alíquotas (PIS+CONFINS+ISS)]]*100))%)-100)*VLOOKUP(tabCustoUnit[[#This Row],[Código do Posto]],tabParametros[],MATCH(tabCustoUnit[[#Headers],[PIS]],tabParametros[#Headers],0),0))/(tabCustoUnit[[#This Row],[Resumo de Alíquotas (PIS+CONFINS+ISS)]]*100)</f>
        <v>1.880341880341882E-2</v>
      </c>
      <c r="BR181" s="28">
        <f>VLOOKUP(tabCustoUnit[[#This Row],[Código do Posto]],tabParametros[],MATCH(tabCustoUnit[[#Headers],[ISS]],tabParametros[#Headers],0),0)</f>
        <v>0.03</v>
      </c>
      <c r="BS181" s="26">
        <f>(((100/((100-(tabCustoUnit[[#This Row],[Resumo de Alíquotas (PIS+CONFINS+ISS)]]*100))%)-100)*tabCustoUnit[[#This Row],[ISS]])/tabCustoUnit[[#This Row],[Resumo de Alíquotas (PIS+CONFINS+ISS)]])/100</f>
        <v>3.4188034188034219E-2</v>
      </c>
      <c r="BT181" s="26">
        <f>(VLOOKUP(tabCustoUnit[[#This Row],[Código do Posto]],tabParametros[],MATCH(tabCustoUnit[[#Headers],[COFINS]],tabParametros[#Headers],0),0)+
VLOOKUP(tabCustoUnit[[#This Row],[Código do Posto]],tabParametros[],MATCH(tabCustoUnit[[#Headers],[PIS]],tabParametros[#Headers],0),0)+
VLOOKUP(tabCustoUnit[[#This Row],[Código do Posto]],tabParametros[],MATCH(tabCustoUnit[[#Headers],[ISS]],tabParametros[#Headers],0),0))</f>
        <v>0.1225</v>
      </c>
      <c r="BU181" s="138">
        <f>tabCustoUnit[[#This Row],[COFINS]]+tabCustoUnit[[#This Row],[PIS]]+tabCustoUnit[[#This Row],[ISS (Conversão Alíquota s/ fatura)]]</f>
        <v>0.13960113960113973</v>
      </c>
      <c r="BV181" s="22">
        <f>(tabCustoUnit[[#This Row],[TOTAL MÓDULOS 1+2+3+4+5]]+tabCustoUnit[[#This Row],[Custos Indiretos]]+tabCustoUnit[[#This Row],[Lucro]])*tabCustoUnit[[#This Row],[PIS + COFINS + ISS (Total Conversão  Alíquota s/ Fatura)]]</f>
        <v>419.80438649880853</v>
      </c>
      <c r="BW181" s="22">
        <f>tabCustoUnit[[#This Row],[Custos Indiretos]]+tabCustoUnit[[#This Row],[Lucro]]+tabCustoUnit[[#This Row],[Valor dos Tributos (ISS, PIS, CONFINS)]]</f>
        <v>768.75818107927262</v>
      </c>
      <c r="BX181" s="22">
        <f>tabCustoUnit[[#This Row],[TOTAL MÓDULOS 1+2+3+4+5]]+tabCustoUnit[[#This Row],[MÓDULO 6 – CUSTOS INDIRETOS, TRIBUTOS E LUCRO]]</f>
        <v>3426.9745836637403</v>
      </c>
      <c r="BY181" s="22">
        <f>tabCustoUnit[[#This Row],[CUSTO TOTAL MENSAL]]*12</f>
        <v>41123.69500396488</v>
      </c>
      <c r="BZ181" s="24">
        <f>VLOOKUP(tabCustoUnit[[#This Row],[Código do Posto]],tabParametros[],MATCH(tabCustoUnit[[#Headers],[ANO DA CCT]],tabParametros[#Headers],0),0)</f>
        <v>45658</v>
      </c>
      <c r="CA181" s="25" t="str">
        <f>VLOOKUP(tabCustoUnit[[#This Row],[Código do Posto]],tabParametros[],MATCH(tabCustoUnit[[#Headers],[Nº DE PEDIDO DA CCT]],tabParametros[#Headers],0),0)</f>
        <v>-</v>
      </c>
      <c r="CB181" s="25" t="str">
        <f>VLOOKUP(tabCustoUnit[[#This Row],[Código do Posto]],tabParametros[],MATCH(tabCustoUnit[[#Headers],[TERMO ADITIVO ALTERAÇÃO DA CCT]],tabParametros[#Headers],0),0)</f>
        <v>-</v>
      </c>
    </row>
    <row r="182" spans="1:80" x14ac:dyDescent="0.25">
      <c r="A182" s="20" t="s">
        <v>1518</v>
      </c>
      <c r="B182" t="s">
        <v>164</v>
      </c>
      <c r="C182" t="s">
        <v>1244</v>
      </c>
      <c r="D182" t="s">
        <v>211</v>
      </c>
      <c r="E182" s="20" t="s">
        <v>9</v>
      </c>
      <c r="F182" s="20" t="s">
        <v>10</v>
      </c>
      <c r="G182" s="21">
        <v>824.56</v>
      </c>
      <c r="H182" s="21">
        <v>0</v>
      </c>
      <c r="I182" s="21">
        <v>0</v>
      </c>
      <c r="J182" s="21">
        <v>0</v>
      </c>
      <c r="K182" s="21">
        <v>0</v>
      </c>
      <c r="L182" s="21">
        <v>0</v>
      </c>
      <c r="M182" s="21">
        <v>0</v>
      </c>
      <c r="N182" s="21">
        <v>26.985600000000002</v>
      </c>
      <c r="O182" s="21">
        <f>SUM(tabCustoUnit[[#This Row],[Salário Base]:[Adicional de Acúmulo de função]])</f>
        <v>851.54559999999992</v>
      </c>
      <c r="P182" s="21">
        <f>tabCustoUnit[[#This Row],[MODULO 1 - REMUNERAÇÃO ]]*SUMIFS(tabParametros[INSS],tabParametros[Código do Posto],tabCustoUnit[[#This Row],[Código do Posto]])</f>
        <v>170.30912000000001</v>
      </c>
      <c r="Q182" s="21">
        <f>tabCustoUnit[[#This Row],[MODULO 1 - REMUNERAÇÃO ]]*SUMIFS(tabParametros[SESI OU SESC],tabParametros[Código do Posto],tabCustoUnit[[#This Row],[Código do Posto]])</f>
        <v>12.773183999999999</v>
      </c>
      <c r="R182" s="21">
        <f>tabCustoUnit[[#This Row],[MODULO 1 - REMUNERAÇÃO ]]*SUMIFS(tabParametros[SENAI OU SENAC],tabParametros[Código do Posto],tabCustoUnit[[#This Row],[Código do Posto]])</f>
        <v>8.5154559999999986</v>
      </c>
      <c r="S182" s="21">
        <f>tabCustoUnit[[#This Row],[MODULO 1 - REMUNERAÇÃO ]]*SUMIFS(tabParametros[INCRA],tabParametros[Código do Posto],tabCustoUnit[[#This Row],[Código do Posto]])</f>
        <v>1.7030911999999998</v>
      </c>
      <c r="T182" s="21">
        <f>tabCustoUnit[[#This Row],[MODULO 1 - REMUNERAÇÃO ]]*SUMIFS(tabParametros[Salário Educação],tabParametros[Código do Posto],tabCustoUnit[[#This Row],[Código do Posto]])</f>
        <v>21.288640000000001</v>
      </c>
      <c r="U182" s="21">
        <f>tabCustoUnit[[#This Row],[MODULO 1 - REMUNERAÇÃO ]]*SUMIFS(tabParametros[FGTS],tabParametros[Código do Posto],tabCustoUnit[[#This Row],[Código do Posto]])</f>
        <v>68.123647999999989</v>
      </c>
      <c r="V182" s="21">
        <f>tabCustoUnit[[#This Row],[MODULO 1 - REMUNERAÇÃO ]]*SUMIFS(tabParametros[RAT Ajustado],tabParametros[Código do Posto],tabCustoUnit[[#This Row],[Código do Posto]])</f>
        <v>34.061823999999994</v>
      </c>
      <c r="W182" s="21">
        <f>tabCustoUnit[[#This Row],[MODULO 1 - REMUNERAÇÃO ]]*SUMIFS(tabParametros[SEBRAE],tabParametros[Código do Posto],tabCustoUnit[[#This Row],[Código do Posto]])</f>
        <v>5.1092735999999999</v>
      </c>
      <c r="X182" s="21">
        <f>SUM(tabCustoUnit[[#This Row],[INSS]:[SEBRAE]])</f>
        <v>321.8842368</v>
      </c>
      <c r="Y182" s="21">
        <f>tabCustoUnit[[#This Row],[MODULO 1 - REMUNERAÇÃO ]]*SUMIFS(tabParametros[13º salário (titular)],tabParametros[Código do Posto],tabCustoUnit[[#This Row],[Código do Posto]])</f>
        <v>70.962133333333327</v>
      </c>
      <c r="Z182" s="21">
        <f>tabCustoUnit[[#This Row],[MODULO 1 - REMUNERAÇÃO ]]*SUMIFS(tabParametros[Férias e Adicional de Férias (titular)],tabParametros[Código do Posto],tabCustoUnit[[#This Row],[Código do Posto]])</f>
        <v>94.616177777777764</v>
      </c>
      <c r="AA182" s="21">
        <f>IFERROR((tabCustoUnit[[#This Row],[Submódulo 2.1]]/tabCustoUnit[[#This Row],[MODULO 1 - REMUNERAÇÃO ]])*SUM(tabCustoUnit[[#This Row],[13º salário (titular)]:[Férias e Adicional de Férias (titular)]]),0)</f>
        <v>62.588601599999997</v>
      </c>
      <c r="AB182" s="21">
        <f>SUM(tabCustoUnit[[#This Row],[13º salário (titular)]:[Incidência do Submódulo 2.1 sobre 13º Salário, Férias e Adicional de Férias]])</f>
        <v>228.16691271111108</v>
      </c>
      <c r="AC182" s="22">
        <f>_xlfn.LET(_xlpm.VT,SUMIF(tabParametros[Código do Posto],tabCustoUnit[[#This Row],[Código do Posto]],tabParametros[Vale - Transporte])*2*20,
IF((_xlpm.VT-tabCustoUnit[[#This Row],[Salário Base]]*0.06)&gt;=0,(_xlpm.VT-tabCustoUnit[[#This Row],[Salário Base]]*0.06),0)
)</f>
        <v>206.5264</v>
      </c>
      <c r="AD182" s="22">
        <f>IF(SUMIF(tabParametros[Código do Posto],tabCustoUnit[[#This Row],[Código do Posto]],tabParametros[Vale - Alimentação])&lt;=0,0,
SUMIF(tabParametros[Código do Posto],tabCustoUnit[[#This Row],[Código do Posto]],tabParametros[Vale - Alimentação])*20-1)</f>
        <v>582</v>
      </c>
      <c r="AE182" s="22">
        <f>SUMIF(tabParametros[Código do Posto],tabCustoUnit[[#This Row],[Código do Posto]],tabParametros[Cesta Básica])</f>
        <v>0</v>
      </c>
      <c r="AF182" s="22">
        <f>SUMIF(tabParametros[Código do Posto],tabCustoUnit[[#This Row],[Código do Posto]],tabParametros[PAF])</f>
        <v>51.86</v>
      </c>
      <c r="AG182" s="22">
        <f>SUMIF(tabParametros[Código do Posto],tabCustoUnit[[#This Row],[Código do Posto]],tabParametros[PQM])</f>
        <v>0</v>
      </c>
      <c r="AH182" s="22">
        <f>SUMIF(tabParametros[Código do Posto],tabCustoUnit[[#This Row],[Código do Posto]],tabParametros[PAT])</f>
        <v>0</v>
      </c>
      <c r="AI182" s="22">
        <f>SUMIF(tabParametros[Código do Posto],tabCustoUnit[[#This Row],[Código do Posto]],tabParametros[Seguro de Vida])</f>
        <v>3.36</v>
      </c>
      <c r="AJ182" s="22">
        <f>SUMIF(tabParametros[Código do Posto],tabCustoUnit[[#This Row],[Código do Posto]],tabParametros[Despesas de Viagem])</f>
        <v>0</v>
      </c>
      <c r="AK182" s="22">
        <f>SUM(tabCustoUnit[[#This Row],[Vale - Transporte (Descontada parcela do empregado)]:[Despesas de Viagem]])</f>
        <v>843.74639999999999</v>
      </c>
      <c r="AL182" s="22">
        <f>tabCustoUnit[[#This Row],[Submódulo 2.1]]+tabCustoUnit[[#This Row],[Submódulo 2.2]]+tabCustoUnit[[#This Row],[Submódulo 2.3]]</f>
        <v>1393.7975495111111</v>
      </c>
      <c r="AM182" s="22">
        <f>SUMIF(tabParametros[Código do Posto],tabCustoUnit[[#This Row],[Código do Posto]],tabParametros[Aviso Prévio Indenizado (API) e Reflexo do Aviso Prévio Indenizado])*tabCustoUnit[[#This Row],[MODULO 1 - REMUNERAÇÃO ]]</f>
        <v>5.970839316049382</v>
      </c>
      <c r="AN182" s="22">
        <f>SUMIF(tabParametros[Código do Posto],tabCustoUnit[[#This Row],[Código do Posto]],tabParametros[Incidência do FGTS sobre API e Reflexo do API])*tabCustoUnit[[#This Row],[MODULO 1 - REMUNERAÇÃO ]]</f>
        <v>0.4776671452839506</v>
      </c>
      <c r="AO182" s="22">
        <f>SUMIF(tabParametros[Código do Posto],tabCustoUnit[[#This Row],[Código do Posto]],tabParametros[Multa Rescisória do FGTS sobre o Aviso Prévio Indenizado])*tabCustoUnit[[#This Row],[MODULO 1 - REMUNERAÇÃO ]]</f>
        <v>0.19106685811358026</v>
      </c>
      <c r="AP182" s="22">
        <f>SUMIF(tabParametros[Código do Posto],tabCustoUnit[[#This Row],[Código do Posto]],tabParametros[Aviso Prévio Trabalhado - APT])*tabCustoUnit[[#This Row],[MODULO 1 - REMUNERAÇÃO ]]</f>
        <v>2.9804096000000002</v>
      </c>
      <c r="AQ182" s="22">
        <f>SUMIF(tabParametros[Código do Posto],tabCustoUnit[[#This Row],[Código do Posto]],tabParametros[Incidência dos encargos do submódulo 2.1 sobre Aviso Prévio Trabalhado])*tabCustoUnit[[#This Row],[MODULO 1 - REMUNERAÇÃO ]]</f>
        <v>1.1265948288000003</v>
      </c>
      <c r="AR182" s="22">
        <f>SUMIF(tabParametros[Código do Posto],tabCustoUnit[[#This Row],[Código do Posto]],tabParametros[Multa Rescisória do FGTS])*tabCustoUnit[[#This Row],[MODULO 1 - REMUNERAÇÃO ]]</f>
        <v>26.038372124444439</v>
      </c>
      <c r="AS182" s="22">
        <f>SUMIF(tabParametros[Código do Posto],tabCustoUnit[[#This Row],[Código do Posto]],tabParametros[Indenização Adicional (Art. 9º da Lei nº 7.238/84)])*tabCustoUnit[[#This Row],[MODULO 1 - REMUNERAÇÃO ]]</f>
        <v>0.70962133333333333</v>
      </c>
      <c r="AT182" s="22">
        <f>SUM(tabCustoUnit[[#This Row],[Aviso Prévio Indenizado (API) e Reflexo do Aviso Prévio Indenizado]:[Indenização Adicional (Art. 9º da Lei nº 7.238/84)]])</f>
        <v>37.494571206024688</v>
      </c>
      <c r="AU182" s="22">
        <f>SUMIF(tabParametros[Código do Posto],tabCustoUnit[[#This Row],[Código do Posto]],tabParametros[Ausência por Doença])*tabCustoUnit[[#This Row],[MODULO 1 - REMUNERAÇÃO ]]</f>
        <v>7.1908295111111098</v>
      </c>
      <c r="AV182" s="22">
        <f>SUMIF(tabParametros[Código do Posto],tabCustoUnit[[#This Row],[Código do Posto]],tabParametros[Ausências Legais])*tabCustoUnit[[#This Row],[MODULO 1 - REMUNERAÇÃO ]]</f>
        <v>1.7267452444444442</v>
      </c>
      <c r="AW182" s="22">
        <f>SUMIF(tabParametros[Código do Posto],tabCustoUnit[[#This Row],[Código do Posto]],tabParametros[Licença Paternidade])*tabCustoUnit[[#This Row],[MODULO 1 - REMUNERAÇÃO ]]</f>
        <v>0.14547237333333332</v>
      </c>
      <c r="AX182" s="22">
        <f>SUMIF(tabParametros[Código do Posto],tabCustoUnit[[#This Row],[Código do Posto]],tabParametros[Ausência por Acidente de Trabalho])*tabCustoUnit[[#This Row],[MODULO 1 - REMUNERAÇÃO ]]</f>
        <v>0.17740533333333333</v>
      </c>
      <c r="AY182" s="22">
        <f>SUMIF(tabParametros[Código do Posto],tabCustoUnit[[#This Row],[Código do Posto]],tabParametros[Férias, Adicional de Férias e 13º  com empregada em gozo de Licença Maternidade])*tabCustoUnit[[#This Row],[MODULO 1 - REMUNERAÇÃO ]]</f>
        <v>1.1038554074074072</v>
      </c>
      <c r="AZ182" s="22">
        <f>SUMIF(tabParametros[Código do Posto],tabCustoUnit[[#This Row],[Código do Posto]],tabParametros[Incidência do Submódulo 2.1 sobre Ausências Legais])*tabCustoUnit[[#This Row],[MODULO 1 - REMUNERAÇÃO ]]</f>
        <v>3.9101483747200003</v>
      </c>
      <c r="BA182" s="22">
        <f>SUM(tabCustoUnit[[#This Row],[Ausência por Doença]:[Incidência do Submódulo 2.1 sobre Ausências Legais]])</f>
        <v>14.254456244349628</v>
      </c>
      <c r="BB182" s="22">
        <f>SUMIF(tabParametros[Código do Posto],tabCustoUnit[[#This Row],[Código do Posto]],tabParametros[Intervalo para Repouso ou Alimentação])</f>
        <v>0</v>
      </c>
      <c r="BC182" s="22">
        <f>tabCustoUnit[[#This Row],[Intervalo para Repouso ou Alimentação]]</f>
        <v>0</v>
      </c>
      <c r="BD182" s="22">
        <f>IF(VLOOKUP(tabCustoUnit[[#This Row],[Código do Posto]],PARAMETROS!$A$4:$BJ$255,7,0)&lt;=0,0,
IFERROR((tabCustoUnit[[#This Row],[MODULO 1 - REMUNERAÇÃO ]]*VLOOKUP(tabCustoUnit[[#This Row],[Código do Posto]],PARAMETROS!$A$4:$BJ$255,49,0))/(VLOOKUP(tabCustoUnit[[#This Row],[Código do Posto]],PARAMETROS!$A$4:$BJ$255,7,0)*VLOOKUP(tabCustoUnit[[#This Row],[Código do Posto]],PARAMETROS!$A$4:$BJ$255,8,0)),0)
)</f>
        <v>0</v>
      </c>
      <c r="BE182" s="22">
        <f>tabCustoUnit[[#This Row],[Suspensão Temporária do Contrato de Trabalho]]</f>
        <v>0</v>
      </c>
      <c r="BF182" s="22">
        <f>tabCustoUnit[[#This Row],[Submódulo 4.1]]+tabCustoUnit[[#This Row],[Submódulo 4.2]]+tabCustoUnit[[#This Row],[Submódulo 4.3]]</f>
        <v>14.254456244349628</v>
      </c>
      <c r="BG182" s="22">
        <f>VLOOKUP(tabCustoUnit[[#This Row],[Código do Posto]],tabParametros[],MATCH(tabCustoUnit[[#Headers],[Uniformes e EPIs]],tabParametros[#Headers],0),0)</f>
        <v>62.806666666666665</v>
      </c>
      <c r="BH182" s="22">
        <f>VLOOKUP(tabCustoUnit[[#This Row],[Código do Posto]],tabParametros[],MATCH(tabCustoUnit[[#Headers],[Materiais de Consumo]],tabParametros[#Headers],0),0)</f>
        <v>17.759106479291944</v>
      </c>
      <c r="BI182" s="22">
        <f>VLOOKUP(tabCustoUnit[[#This Row],[Código do Posto]],tabParametros[],MATCH(tabCustoUnit[[#Headers],[Máquinas e Equipamentos (depreciação)]],tabParametros[#Headers],0),0)</f>
        <v>32.264696957412788</v>
      </c>
      <c r="BJ182" s="22">
        <f>VLOOKUP(tabCustoUnit[[#This Row],[Código do Posto]],tabParametros[],MATCH(tabCustoUnit[[#Headers],[Produtos de Limpeza e Materiais de Higiene Pessoal]],tabParametros[#Headers],0),0)</f>
        <v>345.13576638965827</v>
      </c>
      <c r="BK182" s="22">
        <f>VLOOKUP(tabCustoUnit[[#This Row],[Código do Posto]],tabParametros[],MATCH(tabCustoUnit[[#Headers],[Outros (especificar)]],tabParametros[#Headers],0),0)</f>
        <v>0</v>
      </c>
      <c r="BL182" s="22">
        <f>SUM(tabCustoUnit[[#This Row],[Uniformes e EPIs]:[Outros (especificar)]])</f>
        <v>457.96623649302967</v>
      </c>
      <c r="BM182" s="22">
        <f>tabCustoUnit[[#This Row],[MODULO 1 - REMUNERAÇÃO ]]+tabCustoUnit[[#This Row],[MÓDULO 2 - Total Encargos e Benefícios mensais e diários]]+tabCustoUnit[[#This Row],[MÓDULO 3 – PROVISÃO PARA RESCISÃO]]+tabCustoUnit[[#This Row],[MÓDULO 4 – CUSTO DE REPOSIÇÃO DO PROFISSIONAL AUSENTE]]+tabCustoUnit[[#This Row],[MÓDULO 5 – INSUMOS DIVERSOS]]</f>
        <v>2755.0584134545147</v>
      </c>
      <c r="BN182" s="22">
        <f>VLOOKUP(tabCustoUnit[[#This Row],[Código do Posto]],tabParametros[],MATCH(tabCustoUnit[[#Headers],[Custos Indiretos]],tabParametros[#Headers],0),0)</f>
        <v>189.64880140242613</v>
      </c>
      <c r="BO182" s="22">
        <f>VLOOKUP(tabCustoUnit[[#This Row],[Código do Posto]],tabParametros[],MATCH(tabCustoUnit[[#Headers],[Lucro]],tabParametros[#Headers],0),0)</f>
        <v>159.30499317803796</v>
      </c>
      <c r="BP182" s="26">
        <f>((100/((1-tabCustoUnit[[#This Row],[Resumo de Alíquotas (PIS+CONFINS+ISS)]]))-100)*VLOOKUP(tabCustoUnit[[#This Row],[Código do Posto]],tabParametros[],MATCH(tabCustoUnit[[#Headers],[COFINS]],tabParametros[#Headers],0),0))/(tabCustoUnit[[#This Row],[Resumo de Alíquotas (PIS+CONFINS+ISS)]]*100)</f>
        <v>8.6609686609686695E-2</v>
      </c>
      <c r="BQ182" s="26">
        <f>((100/((100-(tabCustoUnit[[#This Row],[Resumo de Alíquotas (PIS+CONFINS+ISS)]]*100))%)-100)*VLOOKUP(tabCustoUnit[[#This Row],[Código do Posto]],tabParametros[],MATCH(tabCustoUnit[[#Headers],[PIS]],tabParametros[#Headers],0),0))/(tabCustoUnit[[#This Row],[Resumo de Alíquotas (PIS+CONFINS+ISS)]]*100)</f>
        <v>1.880341880341882E-2</v>
      </c>
      <c r="BR182" s="28">
        <f>VLOOKUP(tabCustoUnit[[#This Row],[Código do Posto]],tabParametros[],MATCH(tabCustoUnit[[#Headers],[ISS]],tabParametros[#Headers],0),0)</f>
        <v>0.03</v>
      </c>
      <c r="BS182" s="26">
        <f>(((100/((100-(tabCustoUnit[[#This Row],[Resumo de Alíquotas (PIS+CONFINS+ISS)]]*100))%)-100)*tabCustoUnit[[#This Row],[ISS]])/tabCustoUnit[[#This Row],[Resumo de Alíquotas (PIS+CONFINS+ISS)]])/100</f>
        <v>3.4188034188034219E-2</v>
      </c>
      <c r="BT182" s="26">
        <f>(VLOOKUP(tabCustoUnit[[#This Row],[Código do Posto]],tabParametros[],MATCH(tabCustoUnit[[#Headers],[COFINS]],tabParametros[#Headers],0),0)+
VLOOKUP(tabCustoUnit[[#This Row],[Código do Posto]],tabParametros[],MATCH(tabCustoUnit[[#Headers],[PIS]],tabParametros[#Headers],0),0)+
VLOOKUP(tabCustoUnit[[#This Row],[Código do Posto]],tabParametros[],MATCH(tabCustoUnit[[#Headers],[ISS]],tabParametros[#Headers],0),0))</f>
        <v>0.1225</v>
      </c>
      <c r="BU182" s="138">
        <f>tabCustoUnit[[#This Row],[COFINS]]+tabCustoUnit[[#This Row],[PIS]]+tabCustoUnit[[#This Row],[ISS (Conversão Alíquota s/ fatura)]]</f>
        <v>0.13960113960113973</v>
      </c>
      <c r="BV182" s="22">
        <f>(tabCustoUnit[[#This Row],[TOTAL MÓDULOS 1+2+3+4+5]]+tabCustoUnit[[#This Row],[Custos Indiretos]]+tabCustoUnit[[#This Row],[Lucro]])*tabCustoUnit[[#This Row],[PIS + COFINS + ISS (Total Conversão  Alíquota s/ Fatura)]]</f>
        <v>433.32364157753307</v>
      </c>
      <c r="BW182" s="22">
        <f>tabCustoUnit[[#This Row],[Custos Indiretos]]+tabCustoUnit[[#This Row],[Lucro]]+tabCustoUnit[[#This Row],[Valor dos Tributos (ISS, PIS, CONFINS)]]</f>
        <v>782.27743615799716</v>
      </c>
      <c r="BX182" s="22">
        <f>tabCustoUnit[[#This Row],[TOTAL MÓDULOS 1+2+3+4+5]]+tabCustoUnit[[#This Row],[MÓDULO 6 – CUSTOS INDIRETOS, TRIBUTOS E LUCRO]]</f>
        <v>3537.335849612512</v>
      </c>
      <c r="BY182" s="22">
        <f>tabCustoUnit[[#This Row],[CUSTO TOTAL MENSAL]]*12</f>
        <v>42448.030195350148</v>
      </c>
      <c r="BZ182" s="24">
        <f>VLOOKUP(tabCustoUnit[[#This Row],[Código do Posto]],tabParametros[],MATCH(tabCustoUnit[[#Headers],[ANO DA CCT]],tabParametros[#Headers],0),0)</f>
        <v>45658</v>
      </c>
      <c r="CA182" s="25" t="str">
        <f>VLOOKUP(tabCustoUnit[[#This Row],[Código do Posto]],tabParametros[],MATCH(tabCustoUnit[[#Headers],[Nº DE PEDIDO DA CCT]],tabParametros[#Headers],0),0)</f>
        <v>-</v>
      </c>
      <c r="CB182" s="25" t="str">
        <f>VLOOKUP(tabCustoUnit[[#This Row],[Código do Posto]],tabParametros[],MATCH(tabCustoUnit[[#Headers],[TERMO ADITIVO ALTERAÇÃO DA CCT]],tabParametros[#Headers],0),0)</f>
        <v>-</v>
      </c>
    </row>
    <row r="183" spans="1:80" x14ac:dyDescent="0.25">
      <c r="A183" s="20" t="s">
        <v>1519</v>
      </c>
      <c r="B183" t="s">
        <v>165</v>
      </c>
      <c r="C183" t="s">
        <v>1245</v>
      </c>
      <c r="D183" t="s">
        <v>1023</v>
      </c>
      <c r="E183" s="20" t="s">
        <v>9</v>
      </c>
      <c r="F183" s="20" t="s">
        <v>10</v>
      </c>
      <c r="G183" s="21">
        <v>1596.28</v>
      </c>
      <c r="H183" s="21">
        <v>0</v>
      </c>
      <c r="I183" s="21">
        <v>0</v>
      </c>
      <c r="J183" s="21">
        <v>0</v>
      </c>
      <c r="K183" s="21">
        <v>0</v>
      </c>
      <c r="L183" s="21">
        <v>0</v>
      </c>
      <c r="M183" s="21">
        <v>0</v>
      </c>
      <c r="N183" s="21">
        <v>52.241900000000001</v>
      </c>
      <c r="O183" s="21">
        <f>SUM(tabCustoUnit[[#This Row],[Salário Base]:[Adicional de Acúmulo de função]])</f>
        <v>1648.5219</v>
      </c>
      <c r="P183" s="21">
        <f>tabCustoUnit[[#This Row],[MODULO 1 - REMUNERAÇÃO ]]*SUMIFS(tabParametros[INSS],tabParametros[Código do Posto],tabCustoUnit[[#This Row],[Código do Posto]])</f>
        <v>329.70438000000001</v>
      </c>
      <c r="Q183" s="21">
        <f>tabCustoUnit[[#This Row],[MODULO 1 - REMUNERAÇÃO ]]*SUMIFS(tabParametros[SESI OU SESC],tabParametros[Código do Posto],tabCustoUnit[[#This Row],[Código do Posto]])</f>
        <v>24.727828499999998</v>
      </c>
      <c r="R183" s="21">
        <f>tabCustoUnit[[#This Row],[MODULO 1 - REMUNERAÇÃO ]]*SUMIFS(tabParametros[SENAI OU SENAC],tabParametros[Código do Posto],tabCustoUnit[[#This Row],[Código do Posto]])</f>
        <v>16.485219000000001</v>
      </c>
      <c r="S183" s="21">
        <f>tabCustoUnit[[#This Row],[MODULO 1 - REMUNERAÇÃO ]]*SUMIFS(tabParametros[INCRA],tabParametros[Código do Posto],tabCustoUnit[[#This Row],[Código do Posto]])</f>
        <v>3.2970438</v>
      </c>
      <c r="T183" s="21">
        <f>tabCustoUnit[[#This Row],[MODULO 1 - REMUNERAÇÃO ]]*SUMIFS(tabParametros[Salário Educação],tabParametros[Código do Posto],tabCustoUnit[[#This Row],[Código do Posto]])</f>
        <v>41.213047500000002</v>
      </c>
      <c r="U183" s="21">
        <f>tabCustoUnit[[#This Row],[MODULO 1 - REMUNERAÇÃO ]]*SUMIFS(tabParametros[FGTS],tabParametros[Código do Posto],tabCustoUnit[[#This Row],[Código do Posto]])</f>
        <v>131.88175200000001</v>
      </c>
      <c r="V183" s="21">
        <f>tabCustoUnit[[#This Row],[MODULO 1 - REMUNERAÇÃO ]]*SUMIFS(tabParametros[RAT Ajustado],tabParametros[Código do Posto],tabCustoUnit[[#This Row],[Código do Posto]])</f>
        <v>65.940876000000003</v>
      </c>
      <c r="W183" s="21">
        <f>tabCustoUnit[[#This Row],[MODULO 1 - REMUNERAÇÃO ]]*SUMIFS(tabParametros[SEBRAE],tabParametros[Código do Posto],tabCustoUnit[[#This Row],[Código do Posto]])</f>
        <v>9.8911314000000008</v>
      </c>
      <c r="X183" s="21">
        <f>SUM(tabCustoUnit[[#This Row],[INSS]:[SEBRAE]])</f>
        <v>623.14127819999999</v>
      </c>
      <c r="Y183" s="21">
        <f>tabCustoUnit[[#This Row],[MODULO 1 - REMUNERAÇÃO ]]*SUMIFS(tabParametros[13º salário (titular)],tabParametros[Código do Posto],tabCustoUnit[[#This Row],[Código do Posto]])</f>
        <v>137.376825</v>
      </c>
      <c r="Z183" s="21">
        <f>tabCustoUnit[[#This Row],[MODULO 1 - REMUNERAÇÃO ]]*SUMIFS(tabParametros[Férias e Adicional de Férias (titular)],tabParametros[Código do Posto],tabCustoUnit[[#This Row],[Código do Posto]])</f>
        <v>183.16909999999999</v>
      </c>
      <c r="AA183" s="21">
        <f>IFERROR((tabCustoUnit[[#This Row],[Submódulo 2.1]]/tabCustoUnit[[#This Row],[MODULO 1 - REMUNERAÇÃO ]])*SUM(tabCustoUnit[[#This Row],[13º salário (titular)]:[Férias e Adicional de Férias (titular)]]),0)</f>
        <v>121.16635965</v>
      </c>
      <c r="AB183" s="21">
        <f>SUM(tabCustoUnit[[#This Row],[13º salário (titular)]:[Incidência do Submódulo 2.1 sobre 13º Salário, Férias e Adicional de Férias]])</f>
        <v>441.71228465000002</v>
      </c>
      <c r="AC183" s="22">
        <f>_xlfn.LET(_xlpm.VT,SUMIF(tabParametros[Código do Posto],tabCustoUnit[[#This Row],[Código do Posto]],tabParametros[Vale - Transporte])*2*20,
IF((_xlpm.VT-tabCustoUnit[[#This Row],[Salário Base]]*0.06)&gt;=0,(_xlpm.VT-tabCustoUnit[[#This Row],[Salário Base]]*0.06),0)
)</f>
        <v>160.22320000000002</v>
      </c>
      <c r="AD183" s="22">
        <f>IF(SUMIF(tabParametros[Código do Posto],tabCustoUnit[[#This Row],[Código do Posto]],tabParametros[Vale - Alimentação])&lt;=0,0,
SUMIF(tabParametros[Código do Posto],tabCustoUnit[[#This Row],[Código do Posto]],tabParametros[Vale - Alimentação])*20-1)</f>
        <v>582</v>
      </c>
      <c r="AE183" s="22">
        <f>SUMIF(tabParametros[Código do Posto],tabCustoUnit[[#This Row],[Código do Posto]],tabParametros[Cesta Básica])</f>
        <v>0</v>
      </c>
      <c r="AF183" s="22">
        <f>SUMIF(tabParametros[Código do Posto],tabCustoUnit[[#This Row],[Código do Posto]],tabParametros[PAF])</f>
        <v>0</v>
      </c>
      <c r="AG183" s="22">
        <f>SUMIF(tabParametros[Código do Posto],tabCustoUnit[[#This Row],[Código do Posto]],tabParametros[PQM])</f>
        <v>0</v>
      </c>
      <c r="AH183" s="22">
        <f>SUMIF(tabParametros[Código do Posto],tabCustoUnit[[#This Row],[Código do Posto]],tabParametros[PAT])</f>
        <v>0</v>
      </c>
      <c r="AI183" s="22">
        <f>SUMIF(tabParametros[Código do Posto],tabCustoUnit[[#This Row],[Código do Posto]],tabParametros[Seguro de Vida])</f>
        <v>3.36</v>
      </c>
      <c r="AJ183" s="22">
        <f>SUMIF(tabParametros[Código do Posto],tabCustoUnit[[#This Row],[Código do Posto]],tabParametros[Despesas de Viagem])</f>
        <v>0</v>
      </c>
      <c r="AK183" s="22">
        <f>SUM(tabCustoUnit[[#This Row],[Vale - Transporte (Descontada parcela do empregado)]:[Despesas de Viagem]])</f>
        <v>745.58320000000003</v>
      </c>
      <c r="AL183" s="22">
        <f>tabCustoUnit[[#This Row],[Submódulo 2.1]]+tabCustoUnit[[#This Row],[Submódulo 2.2]]+tabCustoUnit[[#This Row],[Submódulo 2.3]]</f>
        <v>1810.4367628499999</v>
      </c>
      <c r="AM183" s="22">
        <f>SUMIF(tabParametros[Código do Posto],tabCustoUnit[[#This Row],[Código do Posto]],tabParametros[Aviso Prévio Indenizado (API) e Reflexo do Aviso Prévio Indenizado])*tabCustoUnit[[#This Row],[MODULO 1 - REMUNERAÇÃO ]]</f>
        <v>11.559051416493055</v>
      </c>
      <c r="AN183" s="22">
        <f>SUMIF(tabParametros[Código do Posto],tabCustoUnit[[#This Row],[Código do Posto]],tabParametros[Incidência do FGTS sobre API e Reflexo do API])*tabCustoUnit[[#This Row],[MODULO 1 - REMUNERAÇÃO ]]</f>
        <v>0.92472411331944449</v>
      </c>
      <c r="AO183" s="22">
        <f>SUMIF(tabParametros[Código do Posto],tabCustoUnit[[#This Row],[Código do Posto]],tabParametros[Multa Rescisória do FGTS sobre o Aviso Prévio Indenizado])*tabCustoUnit[[#This Row],[MODULO 1 - REMUNERAÇÃO ]]</f>
        <v>0.36988964532777785</v>
      </c>
      <c r="AP183" s="22">
        <f>SUMIF(tabParametros[Código do Posto],tabCustoUnit[[#This Row],[Código do Posto]],tabParametros[Aviso Prévio Trabalhado - APT])*tabCustoUnit[[#This Row],[MODULO 1 - REMUNERAÇÃO ]]</f>
        <v>5.7698266500000006</v>
      </c>
      <c r="AQ183" s="22">
        <f>SUMIF(tabParametros[Código do Posto],tabCustoUnit[[#This Row],[Código do Posto]],tabParametros[Incidência dos encargos do submódulo 2.1 sobre Aviso Prévio Trabalhado])*tabCustoUnit[[#This Row],[MODULO 1 - REMUNERAÇÃO ]]</f>
        <v>2.1809944737000007</v>
      </c>
      <c r="AR183" s="22">
        <f>SUMIF(tabParametros[Código do Posto],tabCustoUnit[[#This Row],[Código do Posto]],tabParametros[Multa Rescisória do FGTS])*tabCustoUnit[[#This Row],[MODULO 1 - REMUNERAÇÃO ]]</f>
        <v>50.40813631999999</v>
      </c>
      <c r="AS183" s="22">
        <f>SUMIF(tabParametros[Código do Posto],tabCustoUnit[[#This Row],[Código do Posto]],tabParametros[Indenização Adicional (Art. 9º da Lei nº 7.238/84)])*tabCustoUnit[[#This Row],[MODULO 1 - REMUNERAÇÃO ]]</f>
        <v>1.3737682500000001</v>
      </c>
      <c r="AT183" s="22">
        <f>SUM(tabCustoUnit[[#This Row],[Aviso Prévio Indenizado (API) e Reflexo do Aviso Prévio Indenizado]:[Indenização Adicional (Art. 9º da Lei nº 7.238/84)]])</f>
        <v>72.586390868840269</v>
      </c>
      <c r="AU183" s="22">
        <f>SUMIF(tabParametros[Código do Posto],tabCustoUnit[[#This Row],[Código do Posto]],tabParametros[Ausência por Doença])*tabCustoUnit[[#This Row],[MODULO 1 - REMUNERAÇÃO ]]</f>
        <v>13.920851599999999</v>
      </c>
      <c r="AV183" s="22">
        <f>SUMIF(tabParametros[Código do Posto],tabCustoUnit[[#This Row],[Código do Posto]],tabParametros[Ausências Legais])*tabCustoUnit[[#This Row],[MODULO 1 - REMUNERAÇÃO ]]</f>
        <v>3.3428360749999997</v>
      </c>
      <c r="AW183" s="22">
        <f>SUMIF(tabParametros[Código do Posto],tabCustoUnit[[#This Row],[Código do Posto]],tabParametros[Licença Paternidade])*tabCustoUnit[[#This Row],[MODULO 1 - REMUNERAÇÃO ]]</f>
        <v>0.28162249125</v>
      </c>
      <c r="AX183" s="22">
        <f>SUMIF(tabParametros[Código do Posto],tabCustoUnit[[#This Row],[Código do Posto]],tabParametros[Ausência por Acidente de Trabalho])*tabCustoUnit[[#This Row],[MODULO 1 - REMUNERAÇÃO ]]</f>
        <v>0.34344206250000003</v>
      </c>
      <c r="AY183" s="22">
        <f>SUMIF(tabParametros[Código do Posto],tabCustoUnit[[#This Row],[Código do Posto]],tabParametros[Férias, Adicional de Férias e 13º  com empregada em gozo de Licença Maternidade])*tabCustoUnit[[#This Row],[MODULO 1 - REMUNERAÇÃO ]]</f>
        <v>2.1369728333333331</v>
      </c>
      <c r="AZ183" s="22">
        <f>SUMIF(tabParametros[Código do Posto],tabCustoUnit[[#This Row],[Código do Posto]],tabParametros[Incidência do Submódulo 2.1 sobre Ausências Legais])*tabCustoUnit[[#This Row],[MODULO 1 - REMUNERAÇÃO ]]</f>
        <v>7.5697240734675013</v>
      </c>
      <c r="BA183" s="22">
        <f>SUM(tabCustoUnit[[#This Row],[Ausência por Doença]:[Incidência do Submódulo 2.1 sobre Ausências Legais]])</f>
        <v>27.595449135550833</v>
      </c>
      <c r="BB183" s="22">
        <f>SUMIF(tabParametros[Código do Posto],tabCustoUnit[[#This Row],[Código do Posto]],tabParametros[Intervalo para Repouso ou Alimentação])</f>
        <v>0</v>
      </c>
      <c r="BC183" s="22">
        <f>tabCustoUnit[[#This Row],[Intervalo para Repouso ou Alimentação]]</f>
        <v>0</v>
      </c>
      <c r="BD183" s="22">
        <f>IF(VLOOKUP(tabCustoUnit[[#This Row],[Código do Posto]],PARAMETROS!$A$4:$BJ$255,7,0)&lt;=0,0,
IFERROR((tabCustoUnit[[#This Row],[MODULO 1 - REMUNERAÇÃO ]]*VLOOKUP(tabCustoUnit[[#This Row],[Código do Posto]],PARAMETROS!$A$4:$BJ$255,49,0))/(VLOOKUP(tabCustoUnit[[#This Row],[Código do Posto]],PARAMETROS!$A$4:$BJ$255,7,0)*VLOOKUP(tabCustoUnit[[#This Row],[Código do Posto]],PARAMETROS!$A$4:$BJ$255,8,0)),0)
)</f>
        <v>0</v>
      </c>
      <c r="BE183" s="22">
        <f>tabCustoUnit[[#This Row],[Suspensão Temporária do Contrato de Trabalho]]</f>
        <v>0</v>
      </c>
      <c r="BF183" s="22">
        <f>tabCustoUnit[[#This Row],[Submódulo 4.1]]+tabCustoUnit[[#This Row],[Submódulo 4.2]]+tabCustoUnit[[#This Row],[Submódulo 4.3]]</f>
        <v>27.595449135550833</v>
      </c>
      <c r="BG183" s="22">
        <f>VLOOKUP(tabCustoUnit[[#This Row],[Código do Posto]],tabParametros[],MATCH(tabCustoUnit[[#Headers],[Uniformes e EPIs]],tabParametros[#Headers],0),0)</f>
        <v>100.80916666666666</v>
      </c>
      <c r="BH183" s="22">
        <f>VLOOKUP(tabCustoUnit[[#This Row],[Código do Posto]],tabParametros[],MATCH(tabCustoUnit[[#Headers],[Materiais de Consumo]],tabParametros[#Headers],0),0)</f>
        <v>35.518212958583888</v>
      </c>
      <c r="BI183" s="22">
        <f>VLOOKUP(tabCustoUnit[[#This Row],[Código do Posto]],tabParametros[],MATCH(tabCustoUnit[[#Headers],[Máquinas e Equipamentos (depreciação)]],tabParametros[#Headers],0),0)</f>
        <v>64.529393914825576</v>
      </c>
      <c r="BJ183" s="22">
        <f>VLOOKUP(tabCustoUnit[[#This Row],[Código do Posto]],tabParametros[],MATCH(tabCustoUnit[[#Headers],[Produtos de Limpeza e Materiais de Higiene Pessoal]],tabParametros[#Headers],0),0)</f>
        <v>690.27153277931654</v>
      </c>
      <c r="BK183" s="22">
        <f>VLOOKUP(tabCustoUnit[[#This Row],[Código do Posto]],tabParametros[],MATCH(tabCustoUnit[[#Headers],[Outros (especificar)]],tabParametros[#Headers],0),0)</f>
        <v>0</v>
      </c>
      <c r="BL183" s="22">
        <f>SUM(tabCustoUnit[[#This Row],[Uniformes e EPIs]:[Outros (especificar)]])</f>
        <v>891.12830631939266</v>
      </c>
      <c r="BM183" s="22">
        <f>tabCustoUnit[[#This Row],[MODULO 1 - REMUNERAÇÃO ]]+tabCustoUnit[[#This Row],[MÓDULO 2 - Total Encargos e Benefícios mensais e diários]]+tabCustoUnit[[#This Row],[MÓDULO 3 – PROVISÃO PARA RESCISÃO]]+tabCustoUnit[[#This Row],[MÓDULO 4 – CUSTO DE REPOSIÇÃO DO PROFISSIONAL AUSENTE]]+tabCustoUnit[[#This Row],[MÓDULO 5 – INSUMOS DIVERSOS]]</f>
        <v>4450.2688091737837</v>
      </c>
      <c r="BN183" s="22">
        <f>VLOOKUP(tabCustoUnit[[#This Row],[Código do Posto]],tabParametros[],MATCH(tabCustoUnit[[#Headers],[Custos Indiretos]],tabParametros[#Headers],0),0)</f>
        <v>189.64880140242613</v>
      </c>
      <c r="BO183" s="22">
        <f>VLOOKUP(tabCustoUnit[[#This Row],[Código do Posto]],tabParametros[],MATCH(tabCustoUnit[[#Headers],[Lucro]],tabParametros[#Headers],0),0)</f>
        <v>159.30499317803796</v>
      </c>
      <c r="BP183" s="26">
        <f>((100/((1-tabCustoUnit[[#This Row],[Resumo de Alíquotas (PIS+CONFINS+ISS)]]))-100)*VLOOKUP(tabCustoUnit[[#This Row],[Código do Posto]],tabParametros[],MATCH(tabCustoUnit[[#Headers],[COFINS]],tabParametros[#Headers],0),0))/(tabCustoUnit[[#This Row],[Resumo de Alíquotas (PIS+CONFINS+ISS)]]*100)</f>
        <v>8.6609686609686695E-2</v>
      </c>
      <c r="BQ183" s="26">
        <f>((100/((100-(tabCustoUnit[[#This Row],[Resumo de Alíquotas (PIS+CONFINS+ISS)]]*100))%)-100)*VLOOKUP(tabCustoUnit[[#This Row],[Código do Posto]],tabParametros[],MATCH(tabCustoUnit[[#Headers],[PIS]],tabParametros[#Headers],0),0))/(tabCustoUnit[[#This Row],[Resumo de Alíquotas (PIS+CONFINS+ISS)]]*100)</f>
        <v>1.880341880341882E-2</v>
      </c>
      <c r="BR183" s="28">
        <f>VLOOKUP(tabCustoUnit[[#This Row],[Código do Posto]],tabParametros[],MATCH(tabCustoUnit[[#Headers],[ISS]],tabParametros[#Headers],0),0)</f>
        <v>0.03</v>
      </c>
      <c r="BS183" s="26">
        <f>(((100/((100-(tabCustoUnit[[#This Row],[Resumo de Alíquotas (PIS+CONFINS+ISS)]]*100))%)-100)*tabCustoUnit[[#This Row],[ISS]])/tabCustoUnit[[#This Row],[Resumo de Alíquotas (PIS+CONFINS+ISS)]])/100</f>
        <v>3.4188034188034219E-2</v>
      </c>
      <c r="BT183" s="26">
        <f>(VLOOKUP(tabCustoUnit[[#This Row],[Código do Posto]],tabParametros[],MATCH(tabCustoUnit[[#Headers],[COFINS]],tabParametros[#Headers],0),0)+
VLOOKUP(tabCustoUnit[[#This Row],[Código do Posto]],tabParametros[],MATCH(tabCustoUnit[[#Headers],[PIS]],tabParametros[#Headers],0),0)+
VLOOKUP(tabCustoUnit[[#This Row],[Código do Posto]],tabParametros[],MATCH(tabCustoUnit[[#Headers],[ISS]],tabParametros[#Headers],0),0))</f>
        <v>0.1225</v>
      </c>
      <c r="BU183" s="138">
        <f>tabCustoUnit[[#This Row],[COFINS]]+tabCustoUnit[[#This Row],[PIS]]+tabCustoUnit[[#This Row],[ISS (Conversão Alíquota s/ fatura)]]</f>
        <v>0.13960113960113973</v>
      </c>
      <c r="BV183" s="22">
        <f>(tabCustoUnit[[#This Row],[TOTAL MÓDULOS 1+2+3+4+5]]+tabCustoUnit[[#This Row],[Custos Indiretos]]+tabCustoUnit[[#This Row],[Lucro]])*tabCustoUnit[[#This Row],[PIS + COFINS + ISS (Total Conversão  Alíquota s/ Fatura)]]</f>
        <v>669.97694468364205</v>
      </c>
      <c r="BW183" s="22">
        <f>tabCustoUnit[[#This Row],[Custos Indiretos]]+tabCustoUnit[[#This Row],[Lucro]]+tabCustoUnit[[#This Row],[Valor dos Tributos (ISS, PIS, CONFINS)]]</f>
        <v>1018.9307392641061</v>
      </c>
      <c r="BX183" s="22">
        <f>tabCustoUnit[[#This Row],[TOTAL MÓDULOS 1+2+3+4+5]]+tabCustoUnit[[#This Row],[MÓDULO 6 – CUSTOS INDIRETOS, TRIBUTOS E LUCRO]]</f>
        <v>5469.1995484378895</v>
      </c>
      <c r="BY183" s="22">
        <f>tabCustoUnit[[#This Row],[CUSTO TOTAL MENSAL]]*12</f>
        <v>65630.394581254674</v>
      </c>
      <c r="BZ183" s="24">
        <f>VLOOKUP(tabCustoUnit[[#This Row],[Código do Posto]],tabParametros[],MATCH(tabCustoUnit[[#Headers],[ANO DA CCT]],tabParametros[#Headers],0),0)</f>
        <v>45658</v>
      </c>
      <c r="CA183" s="25" t="str">
        <f>VLOOKUP(tabCustoUnit[[#This Row],[Código do Posto]],tabParametros[],MATCH(tabCustoUnit[[#Headers],[Nº DE PEDIDO DA CCT]],tabParametros[#Headers],0),0)</f>
        <v>-</v>
      </c>
      <c r="CB183" s="25" t="str">
        <f>VLOOKUP(tabCustoUnit[[#This Row],[Código do Posto]],tabParametros[],MATCH(tabCustoUnit[[#Headers],[TERMO ADITIVO ALTERAÇÃO DA CCT]],tabParametros[#Headers],0),0)</f>
        <v>-</v>
      </c>
    </row>
    <row r="184" spans="1:80" x14ac:dyDescent="0.25">
      <c r="A184" s="20" t="s">
        <v>1520</v>
      </c>
      <c r="B184" t="s">
        <v>166</v>
      </c>
      <c r="C184" t="s">
        <v>1245</v>
      </c>
      <c r="D184" t="s">
        <v>1028</v>
      </c>
      <c r="E184" s="20" t="s">
        <v>9</v>
      </c>
      <c r="F184" s="20" t="s">
        <v>10</v>
      </c>
      <c r="G184" s="21">
        <v>1596.28</v>
      </c>
      <c r="H184" s="21">
        <v>0</v>
      </c>
      <c r="I184" s="21">
        <v>0</v>
      </c>
      <c r="J184" s="21">
        <v>0</v>
      </c>
      <c r="K184" s="21">
        <v>0</v>
      </c>
      <c r="L184" s="21">
        <v>0</v>
      </c>
      <c r="M184" s="21">
        <v>0</v>
      </c>
      <c r="N184" s="21">
        <v>52.241900000000001</v>
      </c>
      <c r="O184" s="21">
        <f>SUM(tabCustoUnit[[#This Row],[Salário Base]:[Adicional de Acúmulo de função]])</f>
        <v>1648.5219</v>
      </c>
      <c r="P184" s="21">
        <f>tabCustoUnit[[#This Row],[MODULO 1 - REMUNERAÇÃO ]]*SUMIFS(tabParametros[INSS],tabParametros[Código do Posto],tabCustoUnit[[#This Row],[Código do Posto]])</f>
        <v>329.70438000000001</v>
      </c>
      <c r="Q184" s="21">
        <f>tabCustoUnit[[#This Row],[MODULO 1 - REMUNERAÇÃO ]]*SUMIFS(tabParametros[SESI OU SESC],tabParametros[Código do Posto],tabCustoUnit[[#This Row],[Código do Posto]])</f>
        <v>24.727828499999998</v>
      </c>
      <c r="R184" s="21">
        <f>tabCustoUnit[[#This Row],[MODULO 1 - REMUNERAÇÃO ]]*SUMIFS(tabParametros[SENAI OU SENAC],tabParametros[Código do Posto],tabCustoUnit[[#This Row],[Código do Posto]])</f>
        <v>16.485219000000001</v>
      </c>
      <c r="S184" s="21">
        <f>tabCustoUnit[[#This Row],[MODULO 1 - REMUNERAÇÃO ]]*SUMIFS(tabParametros[INCRA],tabParametros[Código do Posto],tabCustoUnit[[#This Row],[Código do Posto]])</f>
        <v>3.2970438</v>
      </c>
      <c r="T184" s="21">
        <f>tabCustoUnit[[#This Row],[MODULO 1 - REMUNERAÇÃO ]]*SUMIFS(tabParametros[Salário Educação],tabParametros[Código do Posto],tabCustoUnit[[#This Row],[Código do Posto]])</f>
        <v>41.213047500000002</v>
      </c>
      <c r="U184" s="21">
        <f>tabCustoUnit[[#This Row],[MODULO 1 - REMUNERAÇÃO ]]*SUMIFS(tabParametros[FGTS],tabParametros[Código do Posto],tabCustoUnit[[#This Row],[Código do Posto]])</f>
        <v>131.88175200000001</v>
      </c>
      <c r="V184" s="21">
        <f>tabCustoUnit[[#This Row],[MODULO 1 - REMUNERAÇÃO ]]*SUMIFS(tabParametros[RAT Ajustado],tabParametros[Código do Posto],tabCustoUnit[[#This Row],[Código do Posto]])</f>
        <v>65.940876000000003</v>
      </c>
      <c r="W184" s="21">
        <f>tabCustoUnit[[#This Row],[MODULO 1 - REMUNERAÇÃO ]]*SUMIFS(tabParametros[SEBRAE],tabParametros[Código do Posto],tabCustoUnit[[#This Row],[Código do Posto]])</f>
        <v>9.8911314000000008</v>
      </c>
      <c r="X184" s="21">
        <f>SUM(tabCustoUnit[[#This Row],[INSS]:[SEBRAE]])</f>
        <v>623.14127819999999</v>
      </c>
      <c r="Y184" s="21">
        <f>tabCustoUnit[[#This Row],[MODULO 1 - REMUNERAÇÃO ]]*SUMIFS(tabParametros[13º salário (titular)],tabParametros[Código do Posto],tabCustoUnit[[#This Row],[Código do Posto]])</f>
        <v>137.376825</v>
      </c>
      <c r="Z184" s="21">
        <f>tabCustoUnit[[#This Row],[MODULO 1 - REMUNERAÇÃO ]]*SUMIFS(tabParametros[Férias e Adicional de Férias (titular)],tabParametros[Código do Posto],tabCustoUnit[[#This Row],[Código do Posto]])</f>
        <v>183.16909999999999</v>
      </c>
      <c r="AA184" s="21">
        <f>IFERROR((tabCustoUnit[[#This Row],[Submódulo 2.1]]/tabCustoUnit[[#This Row],[MODULO 1 - REMUNERAÇÃO ]])*SUM(tabCustoUnit[[#This Row],[13º salário (titular)]:[Férias e Adicional de Férias (titular)]]),0)</f>
        <v>121.16635965</v>
      </c>
      <c r="AB184" s="21">
        <f>SUM(tabCustoUnit[[#This Row],[13º salário (titular)]:[Incidência do Submódulo 2.1 sobre 13º Salário, Férias e Adicional de Férias]])</f>
        <v>441.71228465000002</v>
      </c>
      <c r="AC184" s="22">
        <f>_xlfn.LET(_xlpm.VT,SUMIF(tabParametros[Código do Posto],tabCustoUnit[[#This Row],[Código do Posto]],tabParametros[Vale - Transporte])*2*20,
IF((_xlpm.VT-tabCustoUnit[[#This Row],[Salário Base]]*0.06)&gt;=0,(_xlpm.VT-tabCustoUnit[[#This Row],[Salário Base]]*0.06),0)
)</f>
        <v>160.22320000000002</v>
      </c>
      <c r="AD184" s="22">
        <f>IF(SUMIF(tabParametros[Código do Posto],tabCustoUnit[[#This Row],[Código do Posto]],tabParametros[Vale - Alimentação])&lt;=0,0,
SUMIF(tabParametros[Código do Posto],tabCustoUnit[[#This Row],[Código do Posto]],tabParametros[Vale - Alimentação])*20-1)</f>
        <v>582</v>
      </c>
      <c r="AE184" s="22">
        <f>SUMIF(tabParametros[Código do Posto],tabCustoUnit[[#This Row],[Código do Posto]],tabParametros[Cesta Básica])</f>
        <v>0</v>
      </c>
      <c r="AF184" s="22">
        <f>SUMIF(tabParametros[Código do Posto],tabCustoUnit[[#This Row],[Código do Posto]],tabParametros[PAF])</f>
        <v>51.86</v>
      </c>
      <c r="AG184" s="22">
        <f>SUMIF(tabParametros[Código do Posto],tabCustoUnit[[#This Row],[Código do Posto]],tabParametros[PQM])</f>
        <v>0</v>
      </c>
      <c r="AH184" s="22">
        <f>SUMIF(tabParametros[Código do Posto],tabCustoUnit[[#This Row],[Código do Posto]],tabParametros[PAT])</f>
        <v>0</v>
      </c>
      <c r="AI184" s="22">
        <f>SUMIF(tabParametros[Código do Posto],tabCustoUnit[[#This Row],[Código do Posto]],tabParametros[Seguro de Vida])</f>
        <v>3.36</v>
      </c>
      <c r="AJ184" s="22">
        <f>SUMIF(tabParametros[Código do Posto],tabCustoUnit[[#This Row],[Código do Posto]],tabParametros[Despesas de Viagem])</f>
        <v>0</v>
      </c>
      <c r="AK184" s="22">
        <f>SUM(tabCustoUnit[[#This Row],[Vale - Transporte (Descontada parcela do empregado)]:[Despesas de Viagem]])</f>
        <v>797.44320000000005</v>
      </c>
      <c r="AL184" s="22">
        <f>tabCustoUnit[[#This Row],[Submódulo 2.1]]+tabCustoUnit[[#This Row],[Submódulo 2.2]]+tabCustoUnit[[#This Row],[Submódulo 2.3]]</f>
        <v>1862.2967628500001</v>
      </c>
      <c r="AM184" s="22">
        <f>SUMIF(tabParametros[Código do Posto],tabCustoUnit[[#This Row],[Código do Posto]],tabParametros[Aviso Prévio Indenizado (API) e Reflexo do Aviso Prévio Indenizado])*tabCustoUnit[[#This Row],[MODULO 1 - REMUNERAÇÃO ]]</f>
        <v>11.559051416493055</v>
      </c>
      <c r="AN184" s="22">
        <f>SUMIF(tabParametros[Código do Posto],tabCustoUnit[[#This Row],[Código do Posto]],tabParametros[Incidência do FGTS sobre API e Reflexo do API])*tabCustoUnit[[#This Row],[MODULO 1 - REMUNERAÇÃO ]]</f>
        <v>0.92472411331944449</v>
      </c>
      <c r="AO184" s="22">
        <f>SUMIF(tabParametros[Código do Posto],tabCustoUnit[[#This Row],[Código do Posto]],tabParametros[Multa Rescisória do FGTS sobre o Aviso Prévio Indenizado])*tabCustoUnit[[#This Row],[MODULO 1 - REMUNERAÇÃO ]]</f>
        <v>0.36988964532777785</v>
      </c>
      <c r="AP184" s="22">
        <f>SUMIF(tabParametros[Código do Posto],tabCustoUnit[[#This Row],[Código do Posto]],tabParametros[Aviso Prévio Trabalhado - APT])*tabCustoUnit[[#This Row],[MODULO 1 - REMUNERAÇÃO ]]</f>
        <v>5.7698266500000006</v>
      </c>
      <c r="AQ184" s="22">
        <f>SUMIF(tabParametros[Código do Posto],tabCustoUnit[[#This Row],[Código do Posto]],tabParametros[Incidência dos encargos do submódulo 2.1 sobre Aviso Prévio Trabalhado])*tabCustoUnit[[#This Row],[MODULO 1 - REMUNERAÇÃO ]]</f>
        <v>2.1809944737000007</v>
      </c>
      <c r="AR184" s="22">
        <f>SUMIF(tabParametros[Código do Posto],tabCustoUnit[[#This Row],[Código do Posto]],tabParametros[Multa Rescisória do FGTS])*tabCustoUnit[[#This Row],[MODULO 1 - REMUNERAÇÃO ]]</f>
        <v>50.40813631999999</v>
      </c>
      <c r="AS184" s="22">
        <f>SUMIF(tabParametros[Código do Posto],tabCustoUnit[[#This Row],[Código do Posto]],tabParametros[Indenização Adicional (Art. 9º da Lei nº 7.238/84)])*tabCustoUnit[[#This Row],[MODULO 1 - REMUNERAÇÃO ]]</f>
        <v>1.3737682500000001</v>
      </c>
      <c r="AT184" s="22">
        <f>SUM(tabCustoUnit[[#This Row],[Aviso Prévio Indenizado (API) e Reflexo do Aviso Prévio Indenizado]:[Indenização Adicional (Art. 9º da Lei nº 7.238/84)]])</f>
        <v>72.586390868840269</v>
      </c>
      <c r="AU184" s="22">
        <f>SUMIF(tabParametros[Código do Posto],tabCustoUnit[[#This Row],[Código do Posto]],tabParametros[Ausência por Doença])*tabCustoUnit[[#This Row],[MODULO 1 - REMUNERAÇÃO ]]</f>
        <v>13.920851599999999</v>
      </c>
      <c r="AV184" s="22">
        <f>SUMIF(tabParametros[Código do Posto],tabCustoUnit[[#This Row],[Código do Posto]],tabParametros[Ausências Legais])*tabCustoUnit[[#This Row],[MODULO 1 - REMUNERAÇÃO ]]</f>
        <v>3.3428360749999997</v>
      </c>
      <c r="AW184" s="22">
        <f>SUMIF(tabParametros[Código do Posto],tabCustoUnit[[#This Row],[Código do Posto]],tabParametros[Licença Paternidade])*tabCustoUnit[[#This Row],[MODULO 1 - REMUNERAÇÃO ]]</f>
        <v>0.28162249125</v>
      </c>
      <c r="AX184" s="22">
        <f>SUMIF(tabParametros[Código do Posto],tabCustoUnit[[#This Row],[Código do Posto]],tabParametros[Ausência por Acidente de Trabalho])*tabCustoUnit[[#This Row],[MODULO 1 - REMUNERAÇÃO ]]</f>
        <v>0.34344206250000003</v>
      </c>
      <c r="AY184" s="22">
        <f>SUMIF(tabParametros[Código do Posto],tabCustoUnit[[#This Row],[Código do Posto]],tabParametros[Férias, Adicional de Férias e 13º  com empregada em gozo de Licença Maternidade])*tabCustoUnit[[#This Row],[MODULO 1 - REMUNERAÇÃO ]]</f>
        <v>2.1369728333333331</v>
      </c>
      <c r="AZ184" s="22">
        <f>SUMIF(tabParametros[Código do Posto],tabCustoUnit[[#This Row],[Código do Posto]],tabParametros[Incidência do Submódulo 2.1 sobre Ausências Legais])*tabCustoUnit[[#This Row],[MODULO 1 - REMUNERAÇÃO ]]</f>
        <v>7.5697240734675013</v>
      </c>
      <c r="BA184" s="22">
        <f>SUM(tabCustoUnit[[#This Row],[Ausência por Doença]:[Incidência do Submódulo 2.1 sobre Ausências Legais]])</f>
        <v>27.595449135550833</v>
      </c>
      <c r="BB184" s="22">
        <f>SUMIF(tabParametros[Código do Posto],tabCustoUnit[[#This Row],[Código do Posto]],tabParametros[Intervalo para Repouso ou Alimentação])</f>
        <v>0</v>
      </c>
      <c r="BC184" s="22">
        <f>tabCustoUnit[[#This Row],[Intervalo para Repouso ou Alimentação]]</f>
        <v>0</v>
      </c>
      <c r="BD184" s="22">
        <f>IF(VLOOKUP(tabCustoUnit[[#This Row],[Código do Posto]],PARAMETROS!$A$4:$BJ$255,7,0)&lt;=0,0,
IFERROR((tabCustoUnit[[#This Row],[MODULO 1 - REMUNERAÇÃO ]]*VLOOKUP(tabCustoUnit[[#This Row],[Código do Posto]],PARAMETROS!$A$4:$BJ$255,49,0))/(VLOOKUP(tabCustoUnit[[#This Row],[Código do Posto]],PARAMETROS!$A$4:$BJ$255,7,0)*VLOOKUP(tabCustoUnit[[#This Row],[Código do Posto]],PARAMETROS!$A$4:$BJ$255,8,0)),0)
)</f>
        <v>0</v>
      </c>
      <c r="BE184" s="22">
        <f>tabCustoUnit[[#This Row],[Suspensão Temporária do Contrato de Trabalho]]</f>
        <v>0</v>
      </c>
      <c r="BF184" s="22">
        <f>tabCustoUnit[[#This Row],[Submódulo 4.1]]+tabCustoUnit[[#This Row],[Submódulo 4.2]]+tabCustoUnit[[#This Row],[Submódulo 4.3]]</f>
        <v>27.595449135550833</v>
      </c>
      <c r="BG184" s="22">
        <f>VLOOKUP(tabCustoUnit[[#This Row],[Código do Posto]],tabParametros[],MATCH(tabCustoUnit[[#Headers],[Uniformes e EPIs]],tabParametros[#Headers],0),0)</f>
        <v>100.80916666666666</v>
      </c>
      <c r="BH184" s="22">
        <f>VLOOKUP(tabCustoUnit[[#This Row],[Código do Posto]],tabParametros[],MATCH(tabCustoUnit[[#Headers],[Materiais de Consumo]],tabParametros[#Headers],0),0)</f>
        <v>35.518212958583888</v>
      </c>
      <c r="BI184" s="22">
        <f>VLOOKUP(tabCustoUnit[[#This Row],[Código do Posto]],tabParametros[],MATCH(tabCustoUnit[[#Headers],[Máquinas e Equipamentos (depreciação)]],tabParametros[#Headers],0),0)</f>
        <v>64.529393914825576</v>
      </c>
      <c r="BJ184" s="22">
        <f>VLOOKUP(tabCustoUnit[[#This Row],[Código do Posto]],tabParametros[],MATCH(tabCustoUnit[[#Headers],[Produtos de Limpeza e Materiais de Higiene Pessoal]],tabParametros[#Headers],0),0)</f>
        <v>690.27153277931654</v>
      </c>
      <c r="BK184" s="22">
        <f>VLOOKUP(tabCustoUnit[[#This Row],[Código do Posto]],tabParametros[],MATCH(tabCustoUnit[[#Headers],[Outros (especificar)]],tabParametros[#Headers],0),0)</f>
        <v>0</v>
      </c>
      <c r="BL184" s="22">
        <f>SUM(tabCustoUnit[[#This Row],[Uniformes e EPIs]:[Outros (especificar)]])</f>
        <v>891.12830631939266</v>
      </c>
      <c r="BM184" s="22">
        <f>tabCustoUnit[[#This Row],[MODULO 1 - REMUNERAÇÃO ]]+tabCustoUnit[[#This Row],[MÓDULO 2 - Total Encargos e Benefícios mensais e diários]]+tabCustoUnit[[#This Row],[MÓDULO 3 – PROVISÃO PARA RESCISÃO]]+tabCustoUnit[[#This Row],[MÓDULO 4 – CUSTO DE REPOSIÇÃO DO PROFISSIONAL AUSENTE]]+tabCustoUnit[[#This Row],[MÓDULO 5 – INSUMOS DIVERSOS]]</f>
        <v>4502.1288091737833</v>
      </c>
      <c r="BN184" s="22">
        <f>VLOOKUP(tabCustoUnit[[#This Row],[Código do Posto]],tabParametros[],MATCH(tabCustoUnit[[#Headers],[Custos Indiretos]],tabParametros[#Headers],0),0)</f>
        <v>189.64880140242613</v>
      </c>
      <c r="BO184" s="22">
        <f>VLOOKUP(tabCustoUnit[[#This Row],[Código do Posto]],tabParametros[],MATCH(tabCustoUnit[[#Headers],[Lucro]],tabParametros[#Headers],0),0)</f>
        <v>159.30499317803796</v>
      </c>
      <c r="BP184" s="26">
        <f>((100/((1-tabCustoUnit[[#This Row],[Resumo de Alíquotas (PIS+CONFINS+ISS)]]))-100)*VLOOKUP(tabCustoUnit[[#This Row],[Código do Posto]],tabParametros[],MATCH(tabCustoUnit[[#Headers],[COFINS]],tabParametros[#Headers],0),0))/(tabCustoUnit[[#This Row],[Resumo de Alíquotas (PIS+CONFINS+ISS)]]*100)</f>
        <v>8.5633802816901458E-2</v>
      </c>
      <c r="BQ184" s="26">
        <f>((100/((100-(tabCustoUnit[[#This Row],[Resumo de Alíquotas (PIS+CONFINS+ISS)]]*100))%)-100)*VLOOKUP(tabCustoUnit[[#This Row],[Código do Posto]],tabParametros[],MATCH(tabCustoUnit[[#Headers],[PIS]],tabParametros[#Headers],0),0))/(tabCustoUnit[[#This Row],[Resumo de Alíquotas (PIS+CONFINS+ISS)]]*100)</f>
        <v>1.8591549295774657E-2</v>
      </c>
      <c r="BR184" s="28">
        <f>VLOOKUP(tabCustoUnit[[#This Row],[Código do Posto]],tabParametros[],MATCH(tabCustoUnit[[#Headers],[ISS]],tabParametros[#Headers],0),0)</f>
        <v>0.02</v>
      </c>
      <c r="BS184" s="26">
        <f>(((100/((100-(tabCustoUnit[[#This Row],[Resumo de Alíquotas (PIS+CONFINS+ISS)]]*100))%)-100)*tabCustoUnit[[#This Row],[ISS]])/tabCustoUnit[[#This Row],[Resumo de Alíquotas (PIS+CONFINS+ISS)]])/100</f>
        <v>2.2535211267605645E-2</v>
      </c>
      <c r="BT184" s="26">
        <f>(VLOOKUP(tabCustoUnit[[#This Row],[Código do Posto]],tabParametros[],MATCH(tabCustoUnit[[#Headers],[COFINS]],tabParametros[#Headers],0),0)+
VLOOKUP(tabCustoUnit[[#This Row],[Código do Posto]],tabParametros[],MATCH(tabCustoUnit[[#Headers],[PIS]],tabParametros[#Headers],0),0)+
VLOOKUP(tabCustoUnit[[#This Row],[Código do Posto]],tabParametros[],MATCH(tabCustoUnit[[#Headers],[ISS]],tabParametros[#Headers],0),0))</f>
        <v>0.1125</v>
      </c>
      <c r="BU184" s="138">
        <f>tabCustoUnit[[#This Row],[COFINS]]+tabCustoUnit[[#This Row],[PIS]]+tabCustoUnit[[#This Row],[ISS (Conversão Alíquota s/ fatura)]]</f>
        <v>0.12676056338028174</v>
      </c>
      <c r="BV184" s="22">
        <f>(tabCustoUnit[[#This Row],[TOTAL MÓDULOS 1+2+3+4+5]]+tabCustoUnit[[#This Row],[Custos Indiretos]]+tabCustoUnit[[#This Row],[Lucro]])*tabCustoUnit[[#This Row],[PIS + COFINS + ISS (Total Conversão  Alíquota s/ Fatura)]]</f>
        <v>614.92596385617242</v>
      </c>
      <c r="BW184" s="22">
        <f>tabCustoUnit[[#This Row],[Custos Indiretos]]+tabCustoUnit[[#This Row],[Lucro]]+tabCustoUnit[[#This Row],[Valor dos Tributos (ISS, PIS, CONFINS)]]</f>
        <v>963.87975843663651</v>
      </c>
      <c r="BX184" s="22">
        <f>tabCustoUnit[[#This Row],[TOTAL MÓDULOS 1+2+3+4+5]]+tabCustoUnit[[#This Row],[MÓDULO 6 – CUSTOS INDIRETOS, TRIBUTOS E LUCRO]]</f>
        <v>5466.00856761042</v>
      </c>
      <c r="BY184" s="22">
        <f>tabCustoUnit[[#This Row],[CUSTO TOTAL MENSAL]]*12</f>
        <v>65592.102811325036</v>
      </c>
      <c r="BZ184" s="24">
        <f>VLOOKUP(tabCustoUnit[[#This Row],[Código do Posto]],tabParametros[],MATCH(tabCustoUnit[[#Headers],[ANO DA CCT]],tabParametros[#Headers],0),0)</f>
        <v>45658</v>
      </c>
      <c r="CA184" s="25" t="str">
        <f>VLOOKUP(tabCustoUnit[[#This Row],[Código do Posto]],tabParametros[],MATCH(tabCustoUnit[[#Headers],[Nº DE PEDIDO DA CCT]],tabParametros[#Headers],0),0)</f>
        <v>-</v>
      </c>
      <c r="CB184" s="25" t="str">
        <f>VLOOKUP(tabCustoUnit[[#This Row],[Código do Posto]],tabParametros[],MATCH(tabCustoUnit[[#Headers],[TERMO ADITIVO ALTERAÇÃO DA CCT]],tabParametros[#Headers],0),0)</f>
        <v>-</v>
      </c>
    </row>
    <row r="185" spans="1:80" x14ac:dyDescent="0.25">
      <c r="A185" s="20" t="s">
        <v>1521</v>
      </c>
      <c r="B185" t="s">
        <v>167</v>
      </c>
      <c r="C185" t="s">
        <v>1246</v>
      </c>
      <c r="D185" t="s">
        <v>1000</v>
      </c>
      <c r="E185" s="20" t="s">
        <v>9</v>
      </c>
      <c r="F185" s="20" t="s">
        <v>10</v>
      </c>
      <c r="G185" s="21">
        <v>1088.3699999999999</v>
      </c>
      <c r="H185" s="21">
        <v>0</v>
      </c>
      <c r="I185" s="21">
        <v>0</v>
      </c>
      <c r="J185" s="21">
        <v>0</v>
      </c>
      <c r="K185" s="21">
        <v>0</v>
      </c>
      <c r="L185" s="21">
        <v>0</v>
      </c>
      <c r="M185" s="21">
        <v>0</v>
      </c>
      <c r="N185" s="21">
        <v>39.1813</v>
      </c>
      <c r="O185" s="21">
        <f>SUM(tabCustoUnit[[#This Row],[Salário Base]:[Adicional de Acúmulo de função]])</f>
        <v>1127.5512999999999</v>
      </c>
      <c r="P185" s="21">
        <f>tabCustoUnit[[#This Row],[MODULO 1 - REMUNERAÇÃO ]]*SUMIFS(tabParametros[INSS],tabParametros[Código do Posto],tabCustoUnit[[#This Row],[Código do Posto]])</f>
        <v>225.51025999999999</v>
      </c>
      <c r="Q185" s="21">
        <f>tabCustoUnit[[#This Row],[MODULO 1 - REMUNERAÇÃO ]]*SUMIFS(tabParametros[SESI OU SESC],tabParametros[Código do Posto],tabCustoUnit[[#This Row],[Código do Posto]])</f>
        <v>16.913269499999998</v>
      </c>
      <c r="R185" s="21">
        <f>tabCustoUnit[[#This Row],[MODULO 1 - REMUNERAÇÃO ]]*SUMIFS(tabParametros[SENAI OU SENAC],tabParametros[Código do Posto],tabCustoUnit[[#This Row],[Código do Posto]])</f>
        <v>11.275512999999998</v>
      </c>
      <c r="S185" s="21">
        <f>tabCustoUnit[[#This Row],[MODULO 1 - REMUNERAÇÃO ]]*SUMIFS(tabParametros[INCRA],tabParametros[Código do Posto],tabCustoUnit[[#This Row],[Código do Posto]])</f>
        <v>2.2551025999999998</v>
      </c>
      <c r="T185" s="21">
        <f>tabCustoUnit[[#This Row],[MODULO 1 - REMUNERAÇÃO ]]*SUMIFS(tabParametros[Salário Educação],tabParametros[Código do Posto],tabCustoUnit[[#This Row],[Código do Posto]])</f>
        <v>28.188782499999999</v>
      </c>
      <c r="U185" s="21">
        <f>tabCustoUnit[[#This Row],[MODULO 1 - REMUNERAÇÃO ]]*SUMIFS(tabParametros[FGTS],tabParametros[Código do Posto],tabCustoUnit[[#This Row],[Código do Posto]])</f>
        <v>90.204103999999987</v>
      </c>
      <c r="V185" s="21">
        <f>tabCustoUnit[[#This Row],[MODULO 1 - REMUNERAÇÃO ]]*SUMIFS(tabParametros[RAT Ajustado],tabParametros[Código do Posto],tabCustoUnit[[#This Row],[Código do Posto]])</f>
        <v>45.102051999999993</v>
      </c>
      <c r="W185" s="21">
        <f>tabCustoUnit[[#This Row],[MODULO 1 - REMUNERAÇÃO ]]*SUMIFS(tabParametros[SEBRAE],tabParametros[Código do Posto],tabCustoUnit[[#This Row],[Código do Posto]])</f>
        <v>6.7653077999999995</v>
      </c>
      <c r="X185" s="21">
        <f>SUM(tabCustoUnit[[#This Row],[INSS]:[SEBRAE]])</f>
        <v>426.21439139999995</v>
      </c>
      <c r="Y185" s="21">
        <f>tabCustoUnit[[#This Row],[MODULO 1 - REMUNERAÇÃO ]]*SUMIFS(tabParametros[13º salário (titular)],tabParametros[Código do Posto],tabCustoUnit[[#This Row],[Código do Posto]])</f>
        <v>93.962608333333321</v>
      </c>
      <c r="Z185" s="21">
        <f>tabCustoUnit[[#This Row],[MODULO 1 - REMUNERAÇÃO ]]*SUMIFS(tabParametros[Férias e Adicional de Férias (titular)],tabParametros[Código do Posto],tabCustoUnit[[#This Row],[Código do Posto]])</f>
        <v>125.28347777777776</v>
      </c>
      <c r="AA185" s="21">
        <f>IFERROR((tabCustoUnit[[#This Row],[Submódulo 2.1]]/tabCustoUnit[[#This Row],[MODULO 1 - REMUNERAÇÃO ]])*SUM(tabCustoUnit[[#This Row],[13º salário (titular)]:[Férias e Adicional de Férias (titular)]]),0)</f>
        <v>82.875020549999988</v>
      </c>
      <c r="AB185" s="21">
        <f>SUM(tabCustoUnit[[#This Row],[13º salário (titular)]:[Incidência do Submódulo 2.1 sobre 13º Salário, Férias e Adicional de Férias]])</f>
        <v>302.12110666111107</v>
      </c>
      <c r="AC185" s="22">
        <f>_xlfn.LET(_xlpm.VT,SUMIF(tabParametros[Código do Posto],tabCustoUnit[[#This Row],[Código do Posto]],tabParametros[Vale - Transporte])*2*20,
IF((_xlpm.VT-tabCustoUnit[[#This Row],[Salário Base]]*0.06)&gt;=0,(_xlpm.VT-tabCustoUnit[[#This Row],[Salário Base]]*0.06),0)
)</f>
        <v>190.69780000000003</v>
      </c>
      <c r="AD185" s="22">
        <f>IF(SUMIF(tabParametros[Código do Posto],tabCustoUnit[[#This Row],[Código do Posto]],tabParametros[Vale - Alimentação])&lt;=0,0,
SUMIF(tabParametros[Código do Posto],tabCustoUnit[[#This Row],[Código do Posto]],tabParametros[Vale - Alimentação])*20-1)</f>
        <v>582</v>
      </c>
      <c r="AE185" s="22">
        <f>SUMIF(tabParametros[Código do Posto],tabCustoUnit[[#This Row],[Código do Posto]],tabParametros[Cesta Básica])</f>
        <v>0</v>
      </c>
      <c r="AF185" s="22">
        <f>SUMIF(tabParametros[Código do Posto],tabCustoUnit[[#This Row],[Código do Posto]],tabParametros[PAF])</f>
        <v>0</v>
      </c>
      <c r="AG185" s="22">
        <f>SUMIF(tabParametros[Código do Posto],tabCustoUnit[[#This Row],[Código do Posto]],tabParametros[PQM])</f>
        <v>15.07</v>
      </c>
      <c r="AH185" s="22">
        <f>SUMIF(tabParametros[Código do Posto],tabCustoUnit[[#This Row],[Código do Posto]],tabParametros[PAT])</f>
        <v>0</v>
      </c>
      <c r="AI185" s="22">
        <f>SUMIF(tabParametros[Código do Posto],tabCustoUnit[[#This Row],[Código do Posto]],tabParametros[Seguro de Vida])</f>
        <v>3.36</v>
      </c>
      <c r="AJ185" s="22">
        <f>SUMIF(tabParametros[Código do Posto],tabCustoUnit[[#This Row],[Código do Posto]],tabParametros[Despesas de Viagem])</f>
        <v>0</v>
      </c>
      <c r="AK185" s="22">
        <f>SUM(tabCustoUnit[[#This Row],[Vale - Transporte (Descontada parcela do empregado)]:[Despesas de Viagem]])</f>
        <v>791.12780000000009</v>
      </c>
      <c r="AL185" s="22">
        <f>tabCustoUnit[[#This Row],[Submódulo 2.1]]+tabCustoUnit[[#This Row],[Submódulo 2.2]]+tabCustoUnit[[#This Row],[Submódulo 2.3]]</f>
        <v>1519.4632980611111</v>
      </c>
      <c r="AM185" s="22">
        <f>SUMIF(tabParametros[Código do Posto],tabCustoUnit[[#This Row],[Código do Posto]],tabParametros[Aviso Prévio Indenizado (API) e Reflexo do Aviso Prévio Indenizado])*tabCustoUnit[[#This Row],[MODULO 1 - REMUNERAÇÃO ]]</f>
        <v>7.9061269683063262</v>
      </c>
      <c r="AN185" s="22">
        <f>SUMIF(tabParametros[Código do Posto],tabCustoUnit[[#This Row],[Código do Posto]],tabParametros[Incidência do FGTS sobre API e Reflexo do API])*tabCustoUnit[[#This Row],[MODULO 1 - REMUNERAÇÃO ]]</f>
        <v>0.6324901574645061</v>
      </c>
      <c r="AO185" s="22">
        <f>SUMIF(tabParametros[Código do Posto],tabCustoUnit[[#This Row],[Código do Posto]],tabParametros[Multa Rescisória do FGTS sobre o Aviso Prévio Indenizado])*tabCustoUnit[[#This Row],[MODULO 1 - REMUNERAÇÃO ]]</f>
        <v>0.25299606298580246</v>
      </c>
      <c r="AP185" s="22">
        <f>SUMIF(tabParametros[Código do Posto],tabCustoUnit[[#This Row],[Código do Posto]],tabParametros[Aviso Prévio Trabalhado - APT])*tabCustoUnit[[#This Row],[MODULO 1 - REMUNERAÇÃO ]]</f>
        <v>3.94642955</v>
      </c>
      <c r="AQ185" s="22">
        <f>SUMIF(tabParametros[Código do Posto],tabCustoUnit[[#This Row],[Código do Posto]],tabParametros[Incidência dos encargos do submódulo 2.1 sobre Aviso Prévio Trabalhado])*tabCustoUnit[[#This Row],[MODULO 1 - REMUNERAÇÃO ]]</f>
        <v>1.4917503699000003</v>
      </c>
      <c r="AR185" s="22">
        <f>SUMIF(tabParametros[Código do Posto],tabCustoUnit[[#This Row],[Código do Posto]],tabParametros[Multa Rescisória do FGTS])*tabCustoUnit[[#This Row],[MODULO 1 - REMUNERAÇÃO ]]</f>
        <v>34.478013084444434</v>
      </c>
      <c r="AS185" s="22">
        <f>SUMIF(tabParametros[Código do Posto],tabCustoUnit[[#This Row],[Código do Posto]],tabParametros[Indenização Adicional (Art. 9º da Lei nº 7.238/84)])*tabCustoUnit[[#This Row],[MODULO 1 - REMUNERAÇÃO ]]</f>
        <v>0.93962608333333331</v>
      </c>
      <c r="AT185" s="22">
        <f>SUM(tabCustoUnit[[#This Row],[Aviso Prévio Indenizado (API) e Reflexo do Aviso Prévio Indenizado]:[Indenização Adicional (Art. 9º da Lei nº 7.238/84)]])</f>
        <v>49.647432276434401</v>
      </c>
      <c r="AU185" s="22">
        <f>SUMIF(tabParametros[Código do Posto],tabCustoUnit[[#This Row],[Código do Posto]],tabParametros[Ausência por Doença])*tabCustoUnit[[#This Row],[MODULO 1 - REMUNERAÇÃO ]]</f>
        <v>9.5215443111111089</v>
      </c>
      <c r="AV185" s="22">
        <f>SUMIF(tabParametros[Código do Posto],tabCustoUnit[[#This Row],[Código do Posto]],tabParametros[Ausências Legais])*tabCustoUnit[[#This Row],[MODULO 1 - REMUNERAÇÃO ]]</f>
        <v>2.2864234694444439</v>
      </c>
      <c r="AW185" s="22">
        <f>SUMIF(tabParametros[Código do Posto],tabCustoUnit[[#This Row],[Código do Posto]],tabParametros[Licença Paternidade])*tabCustoUnit[[#This Row],[MODULO 1 - REMUNERAÇÃO ]]</f>
        <v>0.19262334708333331</v>
      </c>
      <c r="AX185" s="22">
        <f>SUMIF(tabParametros[Código do Posto],tabCustoUnit[[#This Row],[Código do Posto]],tabParametros[Ausência por Acidente de Trabalho])*tabCustoUnit[[#This Row],[MODULO 1 - REMUNERAÇÃO ]]</f>
        <v>0.23490652083333333</v>
      </c>
      <c r="AY185" s="22">
        <f>SUMIF(tabParametros[Código do Posto],tabCustoUnit[[#This Row],[Código do Posto]],tabParametros[Férias, Adicional de Férias e 13º  com empregada em gozo de Licença Maternidade])*tabCustoUnit[[#This Row],[MODULO 1 - REMUNERAÇÃO ]]</f>
        <v>1.4616405740740739</v>
      </c>
      <c r="AZ185" s="22">
        <f>SUMIF(tabParametros[Código do Posto],tabCustoUnit[[#This Row],[Código do Posto]],tabParametros[Incidência do Submódulo 2.1 sobre Ausências Legais])*tabCustoUnit[[#This Row],[MODULO 1 - REMUNERAÇÃO ]]</f>
        <v>5.1775182481225004</v>
      </c>
      <c r="BA185" s="22">
        <f>SUM(tabCustoUnit[[#This Row],[Ausência por Doença]:[Incidência do Submódulo 2.1 sobre Ausências Legais]])</f>
        <v>18.874656470668793</v>
      </c>
      <c r="BB185" s="22">
        <f>SUMIF(tabParametros[Código do Posto],tabCustoUnit[[#This Row],[Código do Posto]],tabParametros[Intervalo para Repouso ou Alimentação])</f>
        <v>0</v>
      </c>
      <c r="BC185" s="22">
        <f>tabCustoUnit[[#This Row],[Intervalo para Repouso ou Alimentação]]</f>
        <v>0</v>
      </c>
      <c r="BD185" s="22">
        <f>IF(VLOOKUP(tabCustoUnit[[#This Row],[Código do Posto]],PARAMETROS!$A$4:$BJ$255,7,0)&lt;=0,0,
IFERROR((tabCustoUnit[[#This Row],[MODULO 1 - REMUNERAÇÃO ]]*VLOOKUP(tabCustoUnit[[#This Row],[Código do Posto]],PARAMETROS!$A$4:$BJ$255,49,0))/(VLOOKUP(tabCustoUnit[[#This Row],[Código do Posto]],PARAMETROS!$A$4:$BJ$255,7,0)*VLOOKUP(tabCustoUnit[[#This Row],[Código do Posto]],PARAMETROS!$A$4:$BJ$255,8,0)),0)
)</f>
        <v>0</v>
      </c>
      <c r="BE185" s="22">
        <f>tabCustoUnit[[#This Row],[Suspensão Temporária do Contrato de Trabalho]]</f>
        <v>0</v>
      </c>
      <c r="BF185" s="22">
        <f>tabCustoUnit[[#This Row],[Submódulo 4.1]]+tabCustoUnit[[#This Row],[Submódulo 4.2]]+tabCustoUnit[[#This Row],[Submódulo 4.3]]</f>
        <v>18.874656470668793</v>
      </c>
      <c r="BG185" s="22">
        <f>VLOOKUP(tabCustoUnit[[#This Row],[Código do Posto]],tabParametros[],MATCH(tabCustoUnit[[#Headers],[Uniformes e EPIs]],tabParametros[#Headers],0),0)</f>
        <v>100.80916666666666</v>
      </c>
      <c r="BH185" s="22">
        <f>VLOOKUP(tabCustoUnit[[#This Row],[Código do Posto]],tabParametros[],MATCH(tabCustoUnit[[#Headers],[Materiais de Consumo]],tabParametros[#Headers],0),0)</f>
        <v>24.216963380852651</v>
      </c>
      <c r="BI185" s="22">
        <f>VLOOKUP(tabCustoUnit[[#This Row],[Código do Posto]],tabParametros[],MATCH(tabCustoUnit[[#Headers],[Máquinas e Equipamentos (depreciação)]],tabParametros[#Headers],0),0)</f>
        <v>43.997314032835618</v>
      </c>
      <c r="BJ185" s="22">
        <f>VLOOKUP(tabCustoUnit[[#This Row],[Código do Posto]],tabParametros[],MATCH(tabCustoUnit[[#Headers],[Produtos de Limpeza e Materiais de Higiene Pessoal]],tabParametros[#Headers],0),0)</f>
        <v>470.6396814404431</v>
      </c>
      <c r="BK185" s="22">
        <f>VLOOKUP(tabCustoUnit[[#This Row],[Código do Posto]],tabParametros[],MATCH(tabCustoUnit[[#Headers],[Outros (especificar)]],tabParametros[#Headers],0),0)</f>
        <v>0</v>
      </c>
      <c r="BL185" s="22">
        <f>SUM(tabCustoUnit[[#This Row],[Uniformes e EPIs]:[Outros (especificar)]])</f>
        <v>639.66312552079808</v>
      </c>
      <c r="BM185" s="22">
        <f>tabCustoUnit[[#This Row],[MODULO 1 - REMUNERAÇÃO ]]+tabCustoUnit[[#This Row],[MÓDULO 2 - Total Encargos e Benefícios mensais e diários]]+tabCustoUnit[[#This Row],[MÓDULO 3 – PROVISÃO PARA RESCISÃO]]+tabCustoUnit[[#This Row],[MÓDULO 4 – CUSTO DE REPOSIÇÃO DO PROFISSIONAL AUSENTE]]+tabCustoUnit[[#This Row],[MÓDULO 5 – INSUMOS DIVERSOS]]</f>
        <v>3355.1998123290123</v>
      </c>
      <c r="BN185" s="22">
        <f>VLOOKUP(tabCustoUnit[[#This Row],[Código do Posto]],tabParametros[],MATCH(tabCustoUnit[[#Headers],[Custos Indiretos]],tabParametros[#Headers],0),0)</f>
        <v>189.64880140242613</v>
      </c>
      <c r="BO185" s="22">
        <f>VLOOKUP(tabCustoUnit[[#This Row],[Código do Posto]],tabParametros[],MATCH(tabCustoUnit[[#Headers],[Lucro]],tabParametros[#Headers],0),0)</f>
        <v>159.30499317803796</v>
      </c>
      <c r="BP185" s="26">
        <f>((100/((1-tabCustoUnit[[#This Row],[Resumo de Alíquotas (PIS+CONFINS+ISS)]]))-100)*VLOOKUP(tabCustoUnit[[#This Row],[Código do Posto]],tabParametros[],MATCH(tabCustoUnit[[#Headers],[COFINS]],tabParametros[#Headers],0),0))/(tabCustoUnit[[#This Row],[Resumo de Alíquotas (PIS+CONFINS+ISS)]]*100)</f>
        <v>8.8629737609329504E-2</v>
      </c>
      <c r="BQ185" s="26">
        <f>((100/((100-(tabCustoUnit[[#This Row],[Resumo de Alíquotas (PIS+CONFINS+ISS)]]*100))%)-100)*VLOOKUP(tabCustoUnit[[#This Row],[Código do Posto]],tabParametros[],MATCH(tabCustoUnit[[#Headers],[PIS]],tabParametros[#Headers],0),0))/(tabCustoUnit[[#This Row],[Resumo de Alíquotas (PIS+CONFINS+ISS)]]*100)</f>
        <v>1.9241982507288629E-2</v>
      </c>
      <c r="BR185" s="28">
        <f>VLOOKUP(tabCustoUnit[[#This Row],[Código do Posto]],tabParametros[],MATCH(tabCustoUnit[[#Headers],[ISS]],tabParametros[#Headers],0),0)</f>
        <v>0.05</v>
      </c>
      <c r="BS185" s="26">
        <f>(((100/((100-(tabCustoUnit[[#This Row],[Resumo de Alíquotas (PIS+CONFINS+ISS)]]*100))%)-100)*tabCustoUnit[[#This Row],[ISS]])/tabCustoUnit[[#This Row],[Resumo de Alíquotas (PIS+CONFINS+ISS)]])/100</f>
        <v>5.8309037900874633E-2</v>
      </c>
      <c r="BT185" s="26">
        <f>(VLOOKUP(tabCustoUnit[[#This Row],[Código do Posto]],tabParametros[],MATCH(tabCustoUnit[[#Headers],[COFINS]],tabParametros[#Headers],0),0)+
VLOOKUP(tabCustoUnit[[#This Row],[Código do Posto]],tabParametros[],MATCH(tabCustoUnit[[#Headers],[PIS]],tabParametros[#Headers],0),0)+
VLOOKUP(tabCustoUnit[[#This Row],[Código do Posto]],tabParametros[],MATCH(tabCustoUnit[[#Headers],[ISS]],tabParametros[#Headers],0),0))</f>
        <v>0.14250000000000002</v>
      </c>
      <c r="BU185" s="138">
        <f>tabCustoUnit[[#This Row],[COFINS]]+tabCustoUnit[[#This Row],[PIS]]+tabCustoUnit[[#This Row],[ISS (Conversão Alíquota s/ fatura)]]</f>
        <v>0.16618075801749277</v>
      </c>
      <c r="BV185" s="22">
        <f>(tabCustoUnit[[#This Row],[TOTAL MÓDULOS 1+2+3+4+5]]+tabCustoUnit[[#This Row],[Custos Indiretos]]+tabCustoUnit[[#This Row],[Lucro]])*tabCustoUnit[[#This Row],[PIS + COFINS + ISS (Total Conversão  Alíquota s/ Fatura)]]</f>
        <v>615.55905420944669</v>
      </c>
      <c r="BW185" s="22">
        <f>tabCustoUnit[[#This Row],[Custos Indiretos]]+tabCustoUnit[[#This Row],[Lucro]]+tabCustoUnit[[#This Row],[Valor dos Tributos (ISS, PIS, CONFINS)]]</f>
        <v>964.51284878991078</v>
      </c>
      <c r="BX185" s="22">
        <f>tabCustoUnit[[#This Row],[TOTAL MÓDULOS 1+2+3+4+5]]+tabCustoUnit[[#This Row],[MÓDULO 6 – CUSTOS INDIRETOS, TRIBUTOS E LUCRO]]</f>
        <v>4319.7126611189233</v>
      </c>
      <c r="BY185" s="22">
        <f>tabCustoUnit[[#This Row],[CUSTO TOTAL MENSAL]]*12</f>
        <v>51836.551933427079</v>
      </c>
      <c r="BZ185" s="24">
        <f>VLOOKUP(tabCustoUnit[[#This Row],[Código do Posto]],tabParametros[],MATCH(tabCustoUnit[[#Headers],[ANO DA CCT]],tabParametros[#Headers],0),0)</f>
        <v>45658</v>
      </c>
      <c r="CA185" s="25" t="str">
        <f>VLOOKUP(tabCustoUnit[[#This Row],[Código do Posto]],tabParametros[],MATCH(tabCustoUnit[[#Headers],[Nº DE PEDIDO DA CCT]],tabParametros[#Headers],0),0)</f>
        <v>-</v>
      </c>
      <c r="CB185" s="25" t="str">
        <f>VLOOKUP(tabCustoUnit[[#This Row],[Código do Posto]],tabParametros[],MATCH(tabCustoUnit[[#Headers],[TERMO ADITIVO ALTERAÇÃO DA CCT]],tabParametros[#Headers],0),0)</f>
        <v>-</v>
      </c>
    </row>
    <row r="186" spans="1:80" x14ac:dyDescent="0.25">
      <c r="A186" s="20" t="s">
        <v>1522</v>
      </c>
      <c r="B186" t="s">
        <v>168</v>
      </c>
      <c r="C186" t="s">
        <v>1244</v>
      </c>
      <c r="D186" t="s">
        <v>1026</v>
      </c>
      <c r="E186" s="20" t="s">
        <v>9</v>
      </c>
      <c r="F186" s="20" t="s">
        <v>10</v>
      </c>
      <c r="G186" s="21">
        <v>798.14</v>
      </c>
      <c r="H186" s="21">
        <v>0</v>
      </c>
      <c r="I186" s="21">
        <v>0</v>
      </c>
      <c r="J186" s="21">
        <v>0</v>
      </c>
      <c r="K186" s="21">
        <v>0</v>
      </c>
      <c r="L186" s="21">
        <v>0</v>
      </c>
      <c r="M186" s="21">
        <v>0</v>
      </c>
      <c r="N186" s="21">
        <v>26.120899999999999</v>
      </c>
      <c r="O186" s="21">
        <f>SUM(tabCustoUnit[[#This Row],[Salário Base]:[Adicional de Acúmulo de função]])</f>
        <v>824.26089999999999</v>
      </c>
      <c r="P186" s="21">
        <f>tabCustoUnit[[#This Row],[MODULO 1 - REMUNERAÇÃO ]]*SUMIFS(tabParametros[INSS],tabParametros[Código do Posto],tabCustoUnit[[#This Row],[Código do Posto]])</f>
        <v>164.85218</v>
      </c>
      <c r="Q186" s="21">
        <f>tabCustoUnit[[#This Row],[MODULO 1 - REMUNERAÇÃO ]]*SUMIFS(tabParametros[SESI OU SESC],tabParametros[Código do Posto],tabCustoUnit[[#This Row],[Código do Posto]])</f>
        <v>12.363913499999999</v>
      </c>
      <c r="R186" s="21">
        <f>tabCustoUnit[[#This Row],[MODULO 1 - REMUNERAÇÃO ]]*SUMIFS(tabParametros[SENAI OU SENAC],tabParametros[Código do Posto],tabCustoUnit[[#This Row],[Código do Posto]])</f>
        <v>8.2426089999999999</v>
      </c>
      <c r="S186" s="21">
        <f>tabCustoUnit[[#This Row],[MODULO 1 - REMUNERAÇÃO ]]*SUMIFS(tabParametros[INCRA],tabParametros[Código do Posto],tabCustoUnit[[#This Row],[Código do Posto]])</f>
        <v>1.6485217999999999</v>
      </c>
      <c r="T186" s="21">
        <f>tabCustoUnit[[#This Row],[MODULO 1 - REMUNERAÇÃO ]]*SUMIFS(tabParametros[Salário Educação],tabParametros[Código do Posto],tabCustoUnit[[#This Row],[Código do Posto]])</f>
        <v>20.606522500000001</v>
      </c>
      <c r="U186" s="21">
        <f>tabCustoUnit[[#This Row],[MODULO 1 - REMUNERAÇÃO ]]*SUMIFS(tabParametros[FGTS],tabParametros[Código do Posto],tabCustoUnit[[#This Row],[Código do Posto]])</f>
        <v>65.940871999999999</v>
      </c>
      <c r="V186" s="21">
        <f>tabCustoUnit[[#This Row],[MODULO 1 - REMUNERAÇÃO ]]*SUMIFS(tabParametros[RAT Ajustado],tabParametros[Código do Posto],tabCustoUnit[[#This Row],[Código do Posto]])</f>
        <v>32.970435999999999</v>
      </c>
      <c r="W186" s="21">
        <f>tabCustoUnit[[#This Row],[MODULO 1 - REMUNERAÇÃO ]]*SUMIFS(tabParametros[SEBRAE],tabParametros[Código do Posto],tabCustoUnit[[#This Row],[Código do Posto]])</f>
        <v>4.9455654000000004</v>
      </c>
      <c r="X186" s="21">
        <f>SUM(tabCustoUnit[[#This Row],[INSS]:[SEBRAE]])</f>
        <v>311.57062020000001</v>
      </c>
      <c r="Y186" s="21">
        <f>tabCustoUnit[[#This Row],[MODULO 1 - REMUNERAÇÃO ]]*SUMIFS(tabParametros[13º salário (titular)],tabParametros[Código do Posto],tabCustoUnit[[#This Row],[Código do Posto]])</f>
        <v>68.688408333333328</v>
      </c>
      <c r="Z186" s="21">
        <f>tabCustoUnit[[#This Row],[MODULO 1 - REMUNERAÇÃO ]]*SUMIFS(tabParametros[Férias e Adicional de Férias (titular)],tabParametros[Código do Posto],tabCustoUnit[[#This Row],[Código do Posto]])</f>
        <v>91.584544444444433</v>
      </c>
      <c r="AA186" s="21">
        <f>IFERROR((tabCustoUnit[[#This Row],[Submódulo 2.1]]/tabCustoUnit[[#This Row],[MODULO 1 - REMUNERAÇÃO ]])*SUM(tabCustoUnit[[#This Row],[13º salário (titular)]:[Férias e Adicional de Férias (titular)]]),0)</f>
        <v>60.583176149999993</v>
      </c>
      <c r="AB186" s="21">
        <f>SUM(tabCustoUnit[[#This Row],[13º salário (titular)]:[Incidência do Submódulo 2.1 sobre 13º Salário, Férias e Adicional de Férias]])</f>
        <v>220.85612892777775</v>
      </c>
      <c r="AC186" s="22">
        <f>_xlfn.LET(_xlpm.VT,SUMIF(tabParametros[Código do Posto],tabCustoUnit[[#This Row],[Código do Posto]],tabParametros[Vale - Transporte])*2*20,
IF((_xlpm.VT-tabCustoUnit[[#This Row],[Salário Base]]*0.06)&gt;=0,(_xlpm.VT-tabCustoUnit[[#This Row],[Salário Base]]*0.06),0)
)</f>
        <v>208.11160000000001</v>
      </c>
      <c r="AD186" s="22">
        <f>IF(SUMIF(tabParametros[Código do Posto],tabCustoUnit[[#This Row],[Código do Posto]],tabParametros[Vale - Alimentação])&lt;=0,0,
SUMIF(tabParametros[Código do Posto],tabCustoUnit[[#This Row],[Código do Posto]],tabParametros[Vale - Alimentação])*20-1)</f>
        <v>582</v>
      </c>
      <c r="AE186" s="22">
        <f>SUMIF(tabParametros[Código do Posto],tabCustoUnit[[#This Row],[Código do Posto]],tabParametros[Cesta Básica])</f>
        <v>0</v>
      </c>
      <c r="AF186" s="22">
        <f>SUMIF(tabParametros[Código do Posto],tabCustoUnit[[#This Row],[Código do Posto]],tabParametros[PAF])</f>
        <v>0</v>
      </c>
      <c r="AG186" s="22">
        <f>SUMIF(tabParametros[Código do Posto],tabCustoUnit[[#This Row],[Código do Posto]],tabParametros[PQM])</f>
        <v>15.07</v>
      </c>
      <c r="AH186" s="22">
        <f>SUMIF(tabParametros[Código do Posto],tabCustoUnit[[#This Row],[Código do Posto]],tabParametros[PAT])</f>
        <v>0</v>
      </c>
      <c r="AI186" s="22">
        <f>SUMIF(tabParametros[Código do Posto],tabCustoUnit[[#This Row],[Código do Posto]],tabParametros[Seguro de Vida])</f>
        <v>3.36</v>
      </c>
      <c r="AJ186" s="22">
        <f>SUMIF(tabParametros[Código do Posto],tabCustoUnit[[#This Row],[Código do Posto]],tabParametros[Despesas de Viagem])</f>
        <v>0</v>
      </c>
      <c r="AK186" s="22">
        <f>SUM(tabCustoUnit[[#This Row],[Vale - Transporte (Descontada parcela do empregado)]:[Despesas de Viagem]])</f>
        <v>808.54160000000002</v>
      </c>
      <c r="AL186" s="22">
        <f>tabCustoUnit[[#This Row],[Submódulo 2.1]]+tabCustoUnit[[#This Row],[Submódulo 2.2]]+tabCustoUnit[[#This Row],[Submódulo 2.3]]</f>
        <v>1340.9683491277779</v>
      </c>
      <c r="AM186" s="22">
        <f>SUMIF(tabParametros[Código do Posto],tabCustoUnit[[#This Row],[Código do Posto]],tabParametros[Aviso Prévio Indenizado (API) e Reflexo do Aviso Prévio Indenizado])*tabCustoUnit[[#This Row],[MODULO 1 - REMUNERAÇÃO ]]</f>
        <v>5.7795253576581791</v>
      </c>
      <c r="AN186" s="22">
        <f>SUMIF(tabParametros[Código do Posto],tabCustoUnit[[#This Row],[Código do Posto]],tabParametros[Incidência do FGTS sobre API e Reflexo do API])*tabCustoUnit[[#This Row],[MODULO 1 - REMUNERAÇÃO ]]</f>
        <v>0.46236202861265435</v>
      </c>
      <c r="AO186" s="22">
        <f>SUMIF(tabParametros[Código do Posto],tabCustoUnit[[#This Row],[Código do Posto]],tabParametros[Multa Rescisória do FGTS sobre o Aviso Prévio Indenizado])*tabCustoUnit[[#This Row],[MODULO 1 - REMUNERAÇÃO ]]</f>
        <v>0.18494481144506175</v>
      </c>
      <c r="AP186" s="22">
        <f>SUMIF(tabParametros[Código do Posto],tabCustoUnit[[#This Row],[Código do Posto]],tabParametros[Aviso Prévio Trabalhado - APT])*tabCustoUnit[[#This Row],[MODULO 1 - REMUNERAÇÃO ]]</f>
        <v>2.8849131500000005</v>
      </c>
      <c r="AQ186" s="22">
        <f>SUMIF(tabParametros[Código do Posto],tabCustoUnit[[#This Row],[Código do Posto]],tabParametros[Incidência dos encargos do submódulo 2.1 sobre Aviso Prévio Trabalhado])*tabCustoUnit[[#This Row],[MODULO 1 - REMUNERAÇÃO ]]</f>
        <v>1.0904971707000004</v>
      </c>
      <c r="AR186" s="22">
        <f>SUMIF(tabParametros[Código do Posto],tabCustoUnit[[#This Row],[Código do Posto]],tabParametros[Multa Rescisória do FGTS])*tabCustoUnit[[#This Row],[MODULO 1 - REMUNERAÇÃO ]]</f>
        <v>25.204066631111107</v>
      </c>
      <c r="AS186" s="22">
        <f>SUMIF(tabParametros[Código do Posto],tabCustoUnit[[#This Row],[Código do Posto]],tabParametros[Indenização Adicional (Art. 9º da Lei nº 7.238/84)])*tabCustoUnit[[#This Row],[MODULO 1 - REMUNERAÇÃO ]]</f>
        <v>0.6868840833333334</v>
      </c>
      <c r="AT186" s="22">
        <f>SUM(tabCustoUnit[[#This Row],[Aviso Prévio Indenizado (API) e Reflexo do Aviso Prévio Indenizado]:[Indenização Adicional (Art. 9º da Lei nº 7.238/84)]])</f>
        <v>36.293193232860339</v>
      </c>
      <c r="AU186" s="22">
        <f>SUMIF(tabParametros[Código do Posto],tabCustoUnit[[#This Row],[Código do Posto]],tabParametros[Ausência por Doença])*tabCustoUnit[[#This Row],[MODULO 1 - REMUNERAÇÃO ]]</f>
        <v>6.9604253777777769</v>
      </c>
      <c r="AV186" s="22">
        <f>SUMIF(tabParametros[Código do Posto],tabCustoUnit[[#This Row],[Código do Posto]],tabParametros[Ausências Legais])*tabCustoUnit[[#This Row],[MODULO 1 - REMUNERAÇÃO ]]</f>
        <v>1.671417936111111</v>
      </c>
      <c r="AW186" s="22">
        <f>SUMIF(tabParametros[Código do Posto],tabCustoUnit[[#This Row],[Código do Posto]],tabParametros[Licença Paternidade])*tabCustoUnit[[#This Row],[MODULO 1 - REMUNERAÇÃO ]]</f>
        <v>0.14081123708333332</v>
      </c>
      <c r="AX186" s="22">
        <f>SUMIF(tabParametros[Código do Posto],tabCustoUnit[[#This Row],[Código do Posto]],tabParametros[Ausência por Acidente de Trabalho])*tabCustoUnit[[#This Row],[MODULO 1 - REMUNERAÇÃO ]]</f>
        <v>0.17172102083333335</v>
      </c>
      <c r="AY186" s="22">
        <f>SUMIF(tabParametros[Código do Posto],tabCustoUnit[[#This Row],[Código do Posto]],tabParametros[Férias, Adicional de Férias e 13º  com empregada em gozo de Licença Maternidade])*tabCustoUnit[[#This Row],[MODULO 1 - REMUNERAÇÃO ]]</f>
        <v>1.0684863518518517</v>
      </c>
      <c r="AZ186" s="22">
        <f>SUMIF(tabParametros[Código do Posto],tabCustoUnit[[#This Row],[Código do Posto]],tabParametros[Incidência do Submódulo 2.1 sobre Ausências Legais])*tabCustoUnit[[#This Row],[MODULO 1 - REMUNERAÇÃO ]]</f>
        <v>3.7848618071425006</v>
      </c>
      <c r="BA186" s="22">
        <f>SUM(tabCustoUnit[[#This Row],[Ausência por Doença]:[Incidência do Submódulo 2.1 sobre Ausências Legais]])</f>
        <v>13.797723730799909</v>
      </c>
      <c r="BB186" s="22">
        <f>SUMIF(tabParametros[Código do Posto],tabCustoUnit[[#This Row],[Código do Posto]],tabParametros[Intervalo para Repouso ou Alimentação])</f>
        <v>0</v>
      </c>
      <c r="BC186" s="22">
        <f>tabCustoUnit[[#This Row],[Intervalo para Repouso ou Alimentação]]</f>
        <v>0</v>
      </c>
      <c r="BD186" s="22">
        <f>IF(VLOOKUP(tabCustoUnit[[#This Row],[Código do Posto]],PARAMETROS!$A$4:$BJ$255,7,0)&lt;=0,0,
IFERROR((tabCustoUnit[[#This Row],[MODULO 1 - REMUNERAÇÃO ]]*VLOOKUP(tabCustoUnit[[#This Row],[Código do Posto]],PARAMETROS!$A$4:$BJ$255,49,0))/(VLOOKUP(tabCustoUnit[[#This Row],[Código do Posto]],PARAMETROS!$A$4:$BJ$255,7,0)*VLOOKUP(tabCustoUnit[[#This Row],[Código do Posto]],PARAMETROS!$A$4:$BJ$255,8,0)),0)
)</f>
        <v>0</v>
      </c>
      <c r="BE186" s="22">
        <f>tabCustoUnit[[#This Row],[Suspensão Temporária do Contrato de Trabalho]]</f>
        <v>0</v>
      </c>
      <c r="BF186" s="22">
        <f>tabCustoUnit[[#This Row],[Submódulo 4.1]]+tabCustoUnit[[#This Row],[Submódulo 4.2]]+tabCustoUnit[[#This Row],[Submódulo 4.3]]</f>
        <v>13.797723730799909</v>
      </c>
      <c r="BG186" s="22">
        <f>VLOOKUP(tabCustoUnit[[#This Row],[Código do Posto]],tabParametros[],MATCH(tabCustoUnit[[#Headers],[Uniformes e EPIs]],tabParametros[#Headers],0),0)</f>
        <v>62.806666666666665</v>
      </c>
      <c r="BH186" s="22">
        <f>VLOOKUP(tabCustoUnit[[#This Row],[Código do Posto]],tabParametros[],MATCH(tabCustoUnit[[#Headers],[Materiais de Consumo]],tabParametros[#Headers],0),0)</f>
        <v>17.759106479291944</v>
      </c>
      <c r="BI186" s="22">
        <f>VLOOKUP(tabCustoUnit[[#This Row],[Código do Posto]],tabParametros[],MATCH(tabCustoUnit[[#Headers],[Máquinas e Equipamentos (depreciação)]],tabParametros[#Headers],0),0)</f>
        <v>32.264696957412788</v>
      </c>
      <c r="BJ186" s="22">
        <f>VLOOKUP(tabCustoUnit[[#This Row],[Código do Posto]],tabParametros[],MATCH(tabCustoUnit[[#Headers],[Produtos de Limpeza e Materiais de Higiene Pessoal]],tabParametros[#Headers],0),0)</f>
        <v>345.13576638965827</v>
      </c>
      <c r="BK186" s="22">
        <f>VLOOKUP(tabCustoUnit[[#This Row],[Código do Posto]],tabParametros[],MATCH(tabCustoUnit[[#Headers],[Outros (especificar)]],tabParametros[#Headers],0),0)</f>
        <v>0</v>
      </c>
      <c r="BL186" s="22">
        <f>SUM(tabCustoUnit[[#This Row],[Uniformes e EPIs]:[Outros (especificar)]])</f>
        <v>457.96623649302967</v>
      </c>
      <c r="BM186" s="22">
        <f>tabCustoUnit[[#This Row],[MODULO 1 - REMUNERAÇÃO ]]+tabCustoUnit[[#This Row],[MÓDULO 2 - Total Encargos e Benefícios mensais e diários]]+tabCustoUnit[[#This Row],[MÓDULO 3 – PROVISÃO PARA RESCISÃO]]+tabCustoUnit[[#This Row],[MÓDULO 4 – CUSTO DE REPOSIÇÃO DO PROFISSIONAL AUSENTE]]+tabCustoUnit[[#This Row],[MÓDULO 5 – INSUMOS DIVERSOS]]</f>
        <v>2673.2864025844674</v>
      </c>
      <c r="BN186" s="22">
        <f>VLOOKUP(tabCustoUnit[[#This Row],[Código do Posto]],tabParametros[],MATCH(tabCustoUnit[[#Headers],[Custos Indiretos]],tabParametros[#Headers],0),0)</f>
        <v>189.64880140242613</v>
      </c>
      <c r="BO186" s="22">
        <f>VLOOKUP(tabCustoUnit[[#This Row],[Código do Posto]],tabParametros[],MATCH(tabCustoUnit[[#Headers],[Lucro]],tabParametros[#Headers],0),0)</f>
        <v>159.30499317803796</v>
      </c>
      <c r="BP186" s="26">
        <f>((100/((1-tabCustoUnit[[#This Row],[Resumo de Alíquotas (PIS+CONFINS+ISS)]]))-100)*VLOOKUP(tabCustoUnit[[#This Row],[Código do Posto]],tabParametros[],MATCH(tabCustoUnit[[#Headers],[COFINS]],tabParametros[#Headers],0),0))/(tabCustoUnit[[#This Row],[Resumo de Alíquotas (PIS+CONFINS+ISS)]]*100)</f>
        <v>8.8629737609329504E-2</v>
      </c>
      <c r="BQ186" s="26">
        <f>((100/((100-(tabCustoUnit[[#This Row],[Resumo de Alíquotas (PIS+CONFINS+ISS)]]*100))%)-100)*VLOOKUP(tabCustoUnit[[#This Row],[Código do Posto]],tabParametros[],MATCH(tabCustoUnit[[#Headers],[PIS]],tabParametros[#Headers],0),0))/(tabCustoUnit[[#This Row],[Resumo de Alíquotas (PIS+CONFINS+ISS)]]*100)</f>
        <v>1.9241982507288629E-2</v>
      </c>
      <c r="BR186" s="28">
        <f>VLOOKUP(tabCustoUnit[[#This Row],[Código do Posto]],tabParametros[],MATCH(tabCustoUnit[[#Headers],[ISS]],tabParametros[#Headers],0),0)</f>
        <v>0.05</v>
      </c>
      <c r="BS186" s="26">
        <f>(((100/((100-(tabCustoUnit[[#This Row],[Resumo de Alíquotas (PIS+CONFINS+ISS)]]*100))%)-100)*tabCustoUnit[[#This Row],[ISS]])/tabCustoUnit[[#This Row],[Resumo de Alíquotas (PIS+CONFINS+ISS)]])/100</f>
        <v>5.8309037900874633E-2</v>
      </c>
      <c r="BT186" s="26">
        <f>(VLOOKUP(tabCustoUnit[[#This Row],[Código do Posto]],tabParametros[],MATCH(tabCustoUnit[[#Headers],[COFINS]],tabParametros[#Headers],0),0)+
VLOOKUP(tabCustoUnit[[#This Row],[Código do Posto]],tabParametros[],MATCH(tabCustoUnit[[#Headers],[PIS]],tabParametros[#Headers],0),0)+
VLOOKUP(tabCustoUnit[[#This Row],[Código do Posto]],tabParametros[],MATCH(tabCustoUnit[[#Headers],[ISS]],tabParametros[#Headers],0),0))</f>
        <v>0.14250000000000002</v>
      </c>
      <c r="BU186" s="138">
        <f>tabCustoUnit[[#This Row],[COFINS]]+tabCustoUnit[[#This Row],[PIS]]+tabCustoUnit[[#This Row],[ISS (Conversão Alíquota s/ fatura)]]</f>
        <v>0.16618075801749277</v>
      </c>
      <c r="BV186" s="22">
        <f>(tabCustoUnit[[#This Row],[TOTAL MÓDULOS 1+2+3+4+5]]+tabCustoUnit[[#This Row],[Custos Indiretos]]+tabCustoUnit[[#This Row],[Lucro]])*tabCustoUnit[[#This Row],[PIS + COFINS + ISS (Total Conversão  Alíquota s/ Fatura)]]</f>
        <v>502.23816687580512</v>
      </c>
      <c r="BW186" s="22">
        <f>tabCustoUnit[[#This Row],[Custos Indiretos]]+tabCustoUnit[[#This Row],[Lucro]]+tabCustoUnit[[#This Row],[Valor dos Tributos (ISS, PIS, CONFINS)]]</f>
        <v>851.19196145626915</v>
      </c>
      <c r="BX186" s="22">
        <f>tabCustoUnit[[#This Row],[TOTAL MÓDULOS 1+2+3+4+5]]+tabCustoUnit[[#This Row],[MÓDULO 6 – CUSTOS INDIRETOS, TRIBUTOS E LUCRO]]</f>
        <v>3524.4783640407368</v>
      </c>
      <c r="BY186" s="22">
        <f>tabCustoUnit[[#This Row],[CUSTO TOTAL MENSAL]]*12</f>
        <v>42293.740368488841</v>
      </c>
      <c r="BZ186" s="24">
        <f>VLOOKUP(tabCustoUnit[[#This Row],[Código do Posto]],tabParametros[],MATCH(tabCustoUnit[[#Headers],[ANO DA CCT]],tabParametros[#Headers],0),0)</f>
        <v>45658</v>
      </c>
      <c r="CA186" s="25" t="str">
        <f>VLOOKUP(tabCustoUnit[[#This Row],[Código do Posto]],tabParametros[],MATCH(tabCustoUnit[[#Headers],[Nº DE PEDIDO DA CCT]],tabParametros[#Headers],0),0)</f>
        <v>-</v>
      </c>
      <c r="CB186" s="25" t="str">
        <f>VLOOKUP(tabCustoUnit[[#This Row],[Código do Posto]],tabParametros[],MATCH(tabCustoUnit[[#Headers],[TERMO ADITIVO ALTERAÇÃO DA CCT]],tabParametros[#Headers],0),0)</f>
        <v>-</v>
      </c>
    </row>
    <row r="187" spans="1:80" x14ac:dyDescent="0.25">
      <c r="A187" s="20" t="s">
        <v>1523</v>
      </c>
      <c r="B187" t="s">
        <v>169</v>
      </c>
      <c r="C187" t="s">
        <v>1245</v>
      </c>
      <c r="D187" t="s">
        <v>1002</v>
      </c>
      <c r="E187" s="20" t="s">
        <v>9</v>
      </c>
      <c r="F187" s="20" t="s">
        <v>10</v>
      </c>
      <c r="G187" s="21">
        <v>1649.12</v>
      </c>
      <c r="H187" s="21">
        <v>0</v>
      </c>
      <c r="I187" s="21">
        <v>0</v>
      </c>
      <c r="J187" s="21">
        <v>0</v>
      </c>
      <c r="K187" s="21">
        <v>0</v>
      </c>
      <c r="L187" s="21">
        <v>0</v>
      </c>
      <c r="M187" s="21">
        <v>0</v>
      </c>
      <c r="N187" s="21">
        <v>53.971200000000003</v>
      </c>
      <c r="O187" s="21">
        <f>SUM(tabCustoUnit[[#This Row],[Salário Base]:[Adicional de Acúmulo de função]])</f>
        <v>1703.0911999999998</v>
      </c>
      <c r="P187" s="21">
        <f>tabCustoUnit[[#This Row],[MODULO 1 - REMUNERAÇÃO ]]*SUMIFS(tabParametros[INSS],tabParametros[Código do Posto],tabCustoUnit[[#This Row],[Código do Posto]])</f>
        <v>340.61824000000001</v>
      </c>
      <c r="Q187" s="21">
        <f>tabCustoUnit[[#This Row],[MODULO 1 - REMUNERAÇÃO ]]*SUMIFS(tabParametros[SESI OU SESC],tabParametros[Código do Posto],tabCustoUnit[[#This Row],[Código do Posto]])</f>
        <v>25.546367999999998</v>
      </c>
      <c r="R187" s="21">
        <f>tabCustoUnit[[#This Row],[MODULO 1 - REMUNERAÇÃO ]]*SUMIFS(tabParametros[SENAI OU SENAC],tabParametros[Código do Posto],tabCustoUnit[[#This Row],[Código do Posto]])</f>
        <v>17.030911999999997</v>
      </c>
      <c r="S187" s="21">
        <f>tabCustoUnit[[#This Row],[MODULO 1 - REMUNERAÇÃO ]]*SUMIFS(tabParametros[INCRA],tabParametros[Código do Posto],tabCustoUnit[[#This Row],[Código do Posto]])</f>
        <v>3.4061823999999996</v>
      </c>
      <c r="T187" s="21">
        <f>tabCustoUnit[[#This Row],[MODULO 1 - REMUNERAÇÃO ]]*SUMIFS(tabParametros[Salário Educação],tabParametros[Código do Posto],tabCustoUnit[[#This Row],[Código do Posto]])</f>
        <v>42.577280000000002</v>
      </c>
      <c r="U187" s="21">
        <f>tabCustoUnit[[#This Row],[MODULO 1 - REMUNERAÇÃO ]]*SUMIFS(tabParametros[FGTS],tabParametros[Código do Posto],tabCustoUnit[[#This Row],[Código do Posto]])</f>
        <v>136.24729599999998</v>
      </c>
      <c r="V187" s="21">
        <f>tabCustoUnit[[#This Row],[MODULO 1 - REMUNERAÇÃO ]]*SUMIFS(tabParametros[RAT Ajustado],tabParametros[Código do Posto],tabCustoUnit[[#This Row],[Código do Posto]])</f>
        <v>68.123647999999989</v>
      </c>
      <c r="W187" s="21">
        <f>tabCustoUnit[[#This Row],[MODULO 1 - REMUNERAÇÃO ]]*SUMIFS(tabParametros[SEBRAE],tabParametros[Código do Posto],tabCustoUnit[[#This Row],[Código do Posto]])</f>
        <v>10.2185472</v>
      </c>
      <c r="X187" s="21">
        <f>SUM(tabCustoUnit[[#This Row],[INSS]:[SEBRAE]])</f>
        <v>643.76847359999999</v>
      </c>
      <c r="Y187" s="21">
        <f>tabCustoUnit[[#This Row],[MODULO 1 - REMUNERAÇÃO ]]*SUMIFS(tabParametros[13º salário (titular)],tabParametros[Código do Posto],tabCustoUnit[[#This Row],[Código do Posto]])</f>
        <v>141.92426666666665</v>
      </c>
      <c r="Z187" s="21">
        <f>tabCustoUnit[[#This Row],[MODULO 1 - REMUNERAÇÃO ]]*SUMIFS(tabParametros[Férias e Adicional de Férias (titular)],tabParametros[Código do Posto],tabCustoUnit[[#This Row],[Código do Posto]])</f>
        <v>189.23235555555553</v>
      </c>
      <c r="AA187" s="21">
        <f>IFERROR((tabCustoUnit[[#This Row],[Submódulo 2.1]]/tabCustoUnit[[#This Row],[MODULO 1 - REMUNERAÇÃO ]])*SUM(tabCustoUnit[[#This Row],[13º salário (titular)]:[Férias e Adicional de Férias (titular)]]),0)</f>
        <v>125.17720319999999</v>
      </c>
      <c r="AB187" s="21">
        <f>SUM(tabCustoUnit[[#This Row],[13º salário (titular)]:[Incidência do Submódulo 2.1 sobre 13º Salário, Férias e Adicional de Férias]])</f>
        <v>456.33382542222216</v>
      </c>
      <c r="AC187" s="22">
        <f>_xlfn.LET(_xlpm.VT,SUMIF(tabParametros[Código do Posto],tabCustoUnit[[#This Row],[Código do Posto]],tabParametros[Vale - Transporte])*2*20,
IF((_xlpm.VT-tabCustoUnit[[#This Row],[Salário Base]]*0.06)&gt;=0,(_xlpm.VT-tabCustoUnit[[#This Row],[Salário Base]]*0.06),0)
)</f>
        <v>157.05279999999999</v>
      </c>
      <c r="AD187" s="22">
        <f>IF(SUMIF(tabParametros[Código do Posto],tabCustoUnit[[#This Row],[Código do Posto]],tabParametros[Vale - Alimentação])&lt;=0,0,
SUMIF(tabParametros[Código do Posto],tabCustoUnit[[#This Row],[Código do Posto]],tabParametros[Vale - Alimentação])*20-1)</f>
        <v>582</v>
      </c>
      <c r="AE187" s="22">
        <f>SUMIF(tabParametros[Código do Posto],tabCustoUnit[[#This Row],[Código do Posto]],tabParametros[Cesta Básica])</f>
        <v>0</v>
      </c>
      <c r="AF187" s="22">
        <f>SUMIF(tabParametros[Código do Posto],tabCustoUnit[[#This Row],[Código do Posto]],tabParametros[PAF])</f>
        <v>0</v>
      </c>
      <c r="AG187" s="22">
        <f>SUMIF(tabParametros[Código do Posto],tabCustoUnit[[#This Row],[Código do Posto]],tabParametros[PQM])</f>
        <v>15.07</v>
      </c>
      <c r="AH187" s="22">
        <f>SUMIF(tabParametros[Código do Posto],tabCustoUnit[[#This Row],[Código do Posto]],tabParametros[PAT])</f>
        <v>0</v>
      </c>
      <c r="AI187" s="22">
        <f>SUMIF(tabParametros[Código do Posto],tabCustoUnit[[#This Row],[Código do Posto]],tabParametros[Seguro de Vida])</f>
        <v>3.36</v>
      </c>
      <c r="AJ187" s="22">
        <f>SUMIF(tabParametros[Código do Posto],tabCustoUnit[[#This Row],[Código do Posto]],tabParametros[Despesas de Viagem])</f>
        <v>0</v>
      </c>
      <c r="AK187" s="22">
        <f>SUM(tabCustoUnit[[#This Row],[Vale - Transporte (Descontada parcela do empregado)]:[Despesas de Viagem]])</f>
        <v>757.4828</v>
      </c>
      <c r="AL187" s="22">
        <f>tabCustoUnit[[#This Row],[Submódulo 2.1]]+tabCustoUnit[[#This Row],[Submódulo 2.2]]+tabCustoUnit[[#This Row],[Submódulo 2.3]]</f>
        <v>1857.5850990222223</v>
      </c>
      <c r="AM187" s="22">
        <f>SUMIF(tabParametros[Código do Posto],tabCustoUnit[[#This Row],[Código do Posto]],tabParametros[Aviso Prévio Indenizado (API) e Reflexo do Aviso Prévio Indenizado])*tabCustoUnit[[#This Row],[MODULO 1 - REMUNERAÇÃO ]]</f>
        <v>11.941678632098764</v>
      </c>
      <c r="AN187" s="22">
        <f>SUMIF(tabParametros[Código do Posto],tabCustoUnit[[#This Row],[Código do Posto]],tabParametros[Incidência do FGTS sobre API e Reflexo do API])*tabCustoUnit[[#This Row],[MODULO 1 - REMUNERAÇÃO ]]</f>
        <v>0.9553342905679012</v>
      </c>
      <c r="AO187" s="22">
        <f>SUMIF(tabParametros[Código do Posto],tabCustoUnit[[#This Row],[Código do Posto]],tabParametros[Multa Rescisória do FGTS sobre o Aviso Prévio Indenizado])*tabCustoUnit[[#This Row],[MODULO 1 - REMUNERAÇÃO ]]</f>
        <v>0.38213371622716052</v>
      </c>
      <c r="AP187" s="22">
        <f>SUMIF(tabParametros[Código do Posto],tabCustoUnit[[#This Row],[Código do Posto]],tabParametros[Aviso Prévio Trabalhado - APT])*tabCustoUnit[[#This Row],[MODULO 1 - REMUNERAÇÃO ]]</f>
        <v>5.9608192000000004</v>
      </c>
      <c r="AQ187" s="22">
        <f>SUMIF(tabParametros[Código do Posto],tabCustoUnit[[#This Row],[Código do Posto]],tabParametros[Incidência dos encargos do submódulo 2.1 sobre Aviso Prévio Trabalhado])*tabCustoUnit[[#This Row],[MODULO 1 - REMUNERAÇÃO ]]</f>
        <v>2.2531896576000006</v>
      </c>
      <c r="AR187" s="22">
        <f>SUMIF(tabParametros[Código do Posto],tabCustoUnit[[#This Row],[Código do Posto]],tabParametros[Multa Rescisória do FGTS])*tabCustoUnit[[#This Row],[MODULO 1 - REMUNERAÇÃO ]]</f>
        <v>52.076744248888879</v>
      </c>
      <c r="AS187" s="22">
        <f>SUMIF(tabParametros[Código do Posto],tabCustoUnit[[#This Row],[Código do Posto]],tabParametros[Indenização Adicional (Art. 9º da Lei nº 7.238/84)])*tabCustoUnit[[#This Row],[MODULO 1 - REMUNERAÇÃO ]]</f>
        <v>1.4192426666666667</v>
      </c>
      <c r="AT187" s="22">
        <f>SUM(tabCustoUnit[[#This Row],[Aviso Prévio Indenizado (API) e Reflexo do Aviso Prévio Indenizado]:[Indenização Adicional (Art. 9º da Lei nº 7.238/84)]])</f>
        <v>74.989142412049375</v>
      </c>
      <c r="AU187" s="22">
        <f>SUMIF(tabParametros[Código do Posto],tabCustoUnit[[#This Row],[Código do Posto]],tabParametros[Ausência por Doença])*tabCustoUnit[[#This Row],[MODULO 1 - REMUNERAÇÃO ]]</f>
        <v>14.38165902222222</v>
      </c>
      <c r="AV187" s="22">
        <f>SUMIF(tabParametros[Código do Posto],tabCustoUnit[[#This Row],[Código do Posto]],tabParametros[Ausências Legais])*tabCustoUnit[[#This Row],[MODULO 1 - REMUNERAÇÃO ]]</f>
        <v>3.4534904888888884</v>
      </c>
      <c r="AW187" s="22">
        <f>SUMIF(tabParametros[Código do Posto],tabCustoUnit[[#This Row],[Código do Posto]],tabParametros[Licença Paternidade])*tabCustoUnit[[#This Row],[MODULO 1 - REMUNERAÇÃO ]]</f>
        <v>0.29094474666666664</v>
      </c>
      <c r="AX187" s="22">
        <f>SUMIF(tabParametros[Código do Posto],tabCustoUnit[[#This Row],[Código do Posto]],tabParametros[Ausência por Acidente de Trabalho])*tabCustoUnit[[#This Row],[MODULO 1 - REMUNERAÇÃO ]]</f>
        <v>0.35481066666666666</v>
      </c>
      <c r="AY187" s="22">
        <f>SUMIF(tabParametros[Código do Posto],tabCustoUnit[[#This Row],[Código do Posto]],tabParametros[Férias, Adicional de Férias e 13º  com empregada em gozo de Licença Maternidade])*tabCustoUnit[[#This Row],[MODULO 1 - REMUNERAÇÃO ]]</f>
        <v>2.2077108148148143</v>
      </c>
      <c r="AZ187" s="22">
        <f>SUMIF(tabParametros[Código do Posto],tabCustoUnit[[#This Row],[Código do Posto]],tabParametros[Incidência do Submódulo 2.1 sobre Ausências Legais])*tabCustoUnit[[#This Row],[MODULO 1 - REMUNERAÇÃO ]]</f>
        <v>7.8202967494400006</v>
      </c>
      <c r="BA187" s="22">
        <f>SUM(tabCustoUnit[[#This Row],[Ausência por Doença]:[Incidência do Submódulo 2.1 sobre Ausências Legais]])</f>
        <v>28.508912488699256</v>
      </c>
      <c r="BB187" s="22">
        <f>SUMIF(tabParametros[Código do Posto],tabCustoUnit[[#This Row],[Código do Posto]],tabParametros[Intervalo para Repouso ou Alimentação])</f>
        <v>0</v>
      </c>
      <c r="BC187" s="22">
        <f>tabCustoUnit[[#This Row],[Intervalo para Repouso ou Alimentação]]</f>
        <v>0</v>
      </c>
      <c r="BD187" s="22">
        <f>IF(VLOOKUP(tabCustoUnit[[#This Row],[Código do Posto]],PARAMETROS!$A$4:$BJ$255,7,0)&lt;=0,0,
IFERROR((tabCustoUnit[[#This Row],[MODULO 1 - REMUNERAÇÃO ]]*VLOOKUP(tabCustoUnit[[#This Row],[Código do Posto]],PARAMETROS!$A$4:$BJ$255,49,0))/(VLOOKUP(tabCustoUnit[[#This Row],[Código do Posto]],PARAMETROS!$A$4:$BJ$255,7,0)*VLOOKUP(tabCustoUnit[[#This Row],[Código do Posto]],PARAMETROS!$A$4:$BJ$255,8,0)),0)
)</f>
        <v>0</v>
      </c>
      <c r="BE187" s="22">
        <f>tabCustoUnit[[#This Row],[Suspensão Temporária do Contrato de Trabalho]]</f>
        <v>0</v>
      </c>
      <c r="BF187" s="22">
        <f>tabCustoUnit[[#This Row],[Submódulo 4.1]]+tabCustoUnit[[#This Row],[Submódulo 4.2]]+tabCustoUnit[[#This Row],[Submódulo 4.3]]</f>
        <v>28.508912488699256</v>
      </c>
      <c r="BG187" s="22">
        <f>VLOOKUP(tabCustoUnit[[#This Row],[Código do Posto]],tabParametros[],MATCH(tabCustoUnit[[#Headers],[Uniformes e EPIs]],tabParametros[#Headers],0),0)</f>
        <v>100.80916666666666</v>
      </c>
      <c r="BH187" s="22">
        <f>VLOOKUP(tabCustoUnit[[#This Row],[Código do Posto]],tabParametros[],MATCH(tabCustoUnit[[#Headers],[Materiais de Consumo]],tabParametros[#Headers],0),0)</f>
        <v>35.518212958583888</v>
      </c>
      <c r="BI187" s="22">
        <f>VLOOKUP(tabCustoUnit[[#This Row],[Código do Posto]],tabParametros[],MATCH(tabCustoUnit[[#Headers],[Máquinas e Equipamentos (depreciação)]],tabParametros[#Headers],0),0)</f>
        <v>64.529393914825576</v>
      </c>
      <c r="BJ187" s="22">
        <f>VLOOKUP(tabCustoUnit[[#This Row],[Código do Posto]],tabParametros[],MATCH(tabCustoUnit[[#Headers],[Produtos de Limpeza e Materiais de Higiene Pessoal]],tabParametros[#Headers],0),0)</f>
        <v>690.27153277931654</v>
      </c>
      <c r="BK187" s="22">
        <f>VLOOKUP(tabCustoUnit[[#This Row],[Código do Posto]],tabParametros[],MATCH(tabCustoUnit[[#Headers],[Outros (especificar)]],tabParametros[#Headers],0),0)</f>
        <v>0</v>
      </c>
      <c r="BL187" s="22">
        <f>SUM(tabCustoUnit[[#This Row],[Uniformes e EPIs]:[Outros (especificar)]])</f>
        <v>891.12830631939266</v>
      </c>
      <c r="BM187" s="22">
        <f>tabCustoUnit[[#This Row],[MODULO 1 - REMUNERAÇÃO ]]+tabCustoUnit[[#This Row],[MÓDULO 2 - Total Encargos e Benefícios mensais e diários]]+tabCustoUnit[[#This Row],[MÓDULO 3 – PROVISÃO PARA RESCISÃO]]+tabCustoUnit[[#This Row],[MÓDULO 4 – CUSTO DE REPOSIÇÃO DO PROFISSIONAL AUSENTE]]+tabCustoUnit[[#This Row],[MÓDULO 5 – INSUMOS DIVERSOS]]</f>
        <v>4555.3026602423633</v>
      </c>
      <c r="BN187" s="22">
        <f>VLOOKUP(tabCustoUnit[[#This Row],[Código do Posto]],tabParametros[],MATCH(tabCustoUnit[[#Headers],[Custos Indiretos]],tabParametros[#Headers],0),0)</f>
        <v>189.64880140242613</v>
      </c>
      <c r="BO187" s="22">
        <f>VLOOKUP(tabCustoUnit[[#This Row],[Código do Posto]],tabParametros[],MATCH(tabCustoUnit[[#Headers],[Lucro]],tabParametros[#Headers],0),0)</f>
        <v>159.30499317803796</v>
      </c>
      <c r="BP187" s="26">
        <f>((100/((1-tabCustoUnit[[#This Row],[Resumo de Alíquotas (PIS+CONFINS+ISS)]]))-100)*VLOOKUP(tabCustoUnit[[#This Row],[Código do Posto]],tabParametros[],MATCH(tabCustoUnit[[#Headers],[COFINS]],tabParametros[#Headers],0),0))/(tabCustoUnit[[#This Row],[Resumo de Alíquotas (PIS+CONFINS+ISS)]]*100)</f>
        <v>8.6314593980692772E-2</v>
      </c>
      <c r="BQ187" s="26">
        <f>((100/((100-(tabCustoUnit[[#This Row],[Resumo de Alíquotas (PIS+CONFINS+ISS)]]*100))%)-100)*VLOOKUP(tabCustoUnit[[#This Row],[Código do Posto]],tabParametros[],MATCH(tabCustoUnit[[#Headers],[PIS]],tabParametros[#Headers],0),0))/(tabCustoUnit[[#This Row],[Resumo de Alíquotas (PIS+CONFINS+ISS)]]*100)</f>
        <v>1.8739352640545163E-2</v>
      </c>
      <c r="BR187" s="28">
        <f>VLOOKUP(tabCustoUnit[[#This Row],[Código do Posto]],tabParametros[],MATCH(tabCustoUnit[[#Headers],[ISS]],tabParametros[#Headers],0),0)</f>
        <v>2.7E-2</v>
      </c>
      <c r="BS187" s="26">
        <f>(((100/((100-(tabCustoUnit[[#This Row],[Resumo de Alíquotas (PIS+CONFINS+ISS)]]*100))%)-100)*tabCustoUnit[[#This Row],[ISS]])/tabCustoUnit[[#This Row],[Resumo de Alíquotas (PIS+CONFINS+ISS)]])/100</f>
        <v>3.0664395229982988E-2</v>
      </c>
      <c r="BT187" s="26">
        <f>(VLOOKUP(tabCustoUnit[[#This Row],[Código do Posto]],tabParametros[],MATCH(tabCustoUnit[[#Headers],[COFINS]],tabParametros[#Headers],0),0)+
VLOOKUP(tabCustoUnit[[#This Row],[Código do Posto]],tabParametros[],MATCH(tabCustoUnit[[#Headers],[PIS]],tabParametros[#Headers],0),0)+
VLOOKUP(tabCustoUnit[[#This Row],[Código do Posto]],tabParametros[],MATCH(tabCustoUnit[[#Headers],[ISS]],tabParametros[#Headers],0),0))</f>
        <v>0.1195</v>
      </c>
      <c r="BU187" s="138">
        <f>tabCustoUnit[[#This Row],[COFINS]]+tabCustoUnit[[#This Row],[PIS]]+tabCustoUnit[[#This Row],[ISS (Conversão Alíquota s/ fatura)]]</f>
        <v>0.13571834185122092</v>
      </c>
      <c r="BV187" s="22">
        <f>(tabCustoUnit[[#This Row],[TOTAL MÓDULOS 1+2+3+4+5]]+tabCustoUnit[[#This Row],[Custos Indiretos]]+tabCustoUnit[[#This Row],[Lucro]])*tabCustoUnit[[#This Row],[PIS + COFINS + ISS (Total Conversão  Alíquota s/ Fatura)]]</f>
        <v>665.59755406170132</v>
      </c>
      <c r="BW187" s="22">
        <f>tabCustoUnit[[#This Row],[Custos Indiretos]]+tabCustoUnit[[#This Row],[Lucro]]+tabCustoUnit[[#This Row],[Valor dos Tributos (ISS, PIS, CONFINS)]]</f>
        <v>1014.5513486421654</v>
      </c>
      <c r="BX187" s="22">
        <f>tabCustoUnit[[#This Row],[TOTAL MÓDULOS 1+2+3+4+5]]+tabCustoUnit[[#This Row],[MÓDULO 6 – CUSTOS INDIRETOS, TRIBUTOS E LUCRO]]</f>
        <v>5569.8540088845284</v>
      </c>
      <c r="BY187" s="22">
        <f>tabCustoUnit[[#This Row],[CUSTO TOTAL MENSAL]]*12</f>
        <v>66838.248106614337</v>
      </c>
      <c r="BZ187" s="24">
        <f>VLOOKUP(tabCustoUnit[[#This Row],[Código do Posto]],tabParametros[],MATCH(tabCustoUnit[[#Headers],[ANO DA CCT]],tabParametros[#Headers],0),0)</f>
        <v>45658</v>
      </c>
      <c r="CA187" s="25" t="str">
        <f>VLOOKUP(tabCustoUnit[[#This Row],[Código do Posto]],tabParametros[],MATCH(tabCustoUnit[[#Headers],[Nº DE PEDIDO DA CCT]],tabParametros[#Headers],0),0)</f>
        <v>-</v>
      </c>
      <c r="CB187" s="25" t="str">
        <f>VLOOKUP(tabCustoUnit[[#This Row],[Código do Posto]],tabParametros[],MATCH(tabCustoUnit[[#Headers],[TERMO ADITIVO ALTERAÇÃO DA CCT]],tabParametros[#Headers],0),0)</f>
        <v>-</v>
      </c>
    </row>
    <row r="188" spans="1:80" x14ac:dyDescent="0.25">
      <c r="A188" s="20" t="s">
        <v>1524</v>
      </c>
      <c r="B188" t="s">
        <v>170</v>
      </c>
      <c r="C188" t="s">
        <v>1244</v>
      </c>
      <c r="D188" t="s">
        <v>992</v>
      </c>
      <c r="E188" s="20" t="s">
        <v>9</v>
      </c>
      <c r="F188" s="20" t="s">
        <v>10</v>
      </c>
      <c r="G188" s="21">
        <v>798.14</v>
      </c>
      <c r="H188" s="21">
        <v>0</v>
      </c>
      <c r="I188" s="21">
        <v>0</v>
      </c>
      <c r="J188" s="21">
        <v>0</v>
      </c>
      <c r="K188" s="21">
        <v>0</v>
      </c>
      <c r="L188" s="21">
        <v>0</v>
      </c>
      <c r="M188" s="21">
        <v>0</v>
      </c>
      <c r="N188" s="21">
        <v>26.120899999999999</v>
      </c>
      <c r="O188" s="21">
        <f>SUM(tabCustoUnit[[#This Row],[Salário Base]:[Adicional de Acúmulo de função]])</f>
        <v>824.26089999999999</v>
      </c>
      <c r="P188" s="21">
        <f>tabCustoUnit[[#This Row],[MODULO 1 - REMUNERAÇÃO ]]*SUMIFS(tabParametros[INSS],tabParametros[Código do Posto],tabCustoUnit[[#This Row],[Código do Posto]])</f>
        <v>164.85218</v>
      </c>
      <c r="Q188" s="21">
        <f>tabCustoUnit[[#This Row],[MODULO 1 - REMUNERAÇÃO ]]*SUMIFS(tabParametros[SESI OU SESC],tabParametros[Código do Posto],tabCustoUnit[[#This Row],[Código do Posto]])</f>
        <v>12.363913499999999</v>
      </c>
      <c r="R188" s="21">
        <f>tabCustoUnit[[#This Row],[MODULO 1 - REMUNERAÇÃO ]]*SUMIFS(tabParametros[SENAI OU SENAC],tabParametros[Código do Posto],tabCustoUnit[[#This Row],[Código do Posto]])</f>
        <v>8.2426089999999999</v>
      </c>
      <c r="S188" s="21">
        <f>tabCustoUnit[[#This Row],[MODULO 1 - REMUNERAÇÃO ]]*SUMIFS(tabParametros[INCRA],tabParametros[Código do Posto],tabCustoUnit[[#This Row],[Código do Posto]])</f>
        <v>1.6485217999999999</v>
      </c>
      <c r="T188" s="21">
        <f>tabCustoUnit[[#This Row],[MODULO 1 - REMUNERAÇÃO ]]*SUMIFS(tabParametros[Salário Educação],tabParametros[Código do Posto],tabCustoUnit[[#This Row],[Código do Posto]])</f>
        <v>20.606522500000001</v>
      </c>
      <c r="U188" s="21">
        <f>tabCustoUnit[[#This Row],[MODULO 1 - REMUNERAÇÃO ]]*SUMIFS(tabParametros[FGTS],tabParametros[Código do Posto],tabCustoUnit[[#This Row],[Código do Posto]])</f>
        <v>65.940871999999999</v>
      </c>
      <c r="V188" s="21">
        <f>tabCustoUnit[[#This Row],[MODULO 1 - REMUNERAÇÃO ]]*SUMIFS(tabParametros[RAT Ajustado],tabParametros[Código do Posto],tabCustoUnit[[#This Row],[Código do Posto]])</f>
        <v>32.970435999999999</v>
      </c>
      <c r="W188" s="21">
        <f>tabCustoUnit[[#This Row],[MODULO 1 - REMUNERAÇÃO ]]*SUMIFS(tabParametros[SEBRAE],tabParametros[Código do Posto],tabCustoUnit[[#This Row],[Código do Posto]])</f>
        <v>4.9455654000000004</v>
      </c>
      <c r="X188" s="21">
        <f>SUM(tabCustoUnit[[#This Row],[INSS]:[SEBRAE]])</f>
        <v>311.57062020000001</v>
      </c>
      <c r="Y188" s="21">
        <f>tabCustoUnit[[#This Row],[MODULO 1 - REMUNERAÇÃO ]]*SUMIFS(tabParametros[13º salário (titular)],tabParametros[Código do Posto],tabCustoUnit[[#This Row],[Código do Posto]])</f>
        <v>68.688408333333328</v>
      </c>
      <c r="Z188" s="21">
        <f>tabCustoUnit[[#This Row],[MODULO 1 - REMUNERAÇÃO ]]*SUMIFS(tabParametros[Férias e Adicional de Férias (titular)],tabParametros[Código do Posto],tabCustoUnit[[#This Row],[Código do Posto]])</f>
        <v>91.584544444444433</v>
      </c>
      <c r="AA188" s="21">
        <f>IFERROR((tabCustoUnit[[#This Row],[Submódulo 2.1]]/tabCustoUnit[[#This Row],[MODULO 1 - REMUNERAÇÃO ]])*SUM(tabCustoUnit[[#This Row],[13º salário (titular)]:[Férias e Adicional de Férias (titular)]]),0)</f>
        <v>60.583176149999993</v>
      </c>
      <c r="AB188" s="21">
        <f>SUM(tabCustoUnit[[#This Row],[13º salário (titular)]:[Incidência do Submódulo 2.1 sobre 13º Salário, Férias e Adicional de Férias]])</f>
        <v>220.85612892777775</v>
      </c>
      <c r="AC188" s="22">
        <f>_xlfn.LET(_xlpm.VT,SUMIF(tabParametros[Código do Posto],tabCustoUnit[[#This Row],[Código do Posto]],tabParametros[Vale - Transporte])*2*20,
IF((_xlpm.VT-tabCustoUnit[[#This Row],[Salário Base]]*0.06)&gt;=0,(_xlpm.VT-tabCustoUnit[[#This Row],[Salário Base]]*0.06),0)
)</f>
        <v>208.11160000000001</v>
      </c>
      <c r="AD188" s="22">
        <f>IF(SUMIF(tabParametros[Código do Posto],tabCustoUnit[[#This Row],[Código do Posto]],tabParametros[Vale - Alimentação])&lt;=0,0,
SUMIF(tabParametros[Código do Posto],tabCustoUnit[[#This Row],[Código do Posto]],tabParametros[Vale - Alimentação])*20-1)</f>
        <v>0</v>
      </c>
      <c r="AE188" s="22">
        <f>SUMIF(tabParametros[Código do Posto],tabCustoUnit[[#This Row],[Código do Posto]],tabParametros[Cesta Básica])</f>
        <v>387.79</v>
      </c>
      <c r="AF188" s="22">
        <f>SUMIF(tabParametros[Código do Posto],tabCustoUnit[[#This Row],[Código do Posto]],tabParametros[PAF])</f>
        <v>42.97</v>
      </c>
      <c r="AG188" s="22">
        <f>SUMIF(tabParametros[Código do Posto],tabCustoUnit[[#This Row],[Código do Posto]],tabParametros[PQM])</f>
        <v>0</v>
      </c>
      <c r="AH188" s="22">
        <f>SUMIF(tabParametros[Código do Posto],tabCustoUnit[[#This Row],[Código do Posto]],tabParametros[PAT])</f>
        <v>0</v>
      </c>
      <c r="AI188" s="22">
        <f>SUMIF(tabParametros[Código do Posto],tabCustoUnit[[#This Row],[Código do Posto]],tabParametros[Seguro de Vida])</f>
        <v>3.36</v>
      </c>
      <c r="AJ188" s="22">
        <f>SUMIF(tabParametros[Código do Posto],tabCustoUnit[[#This Row],[Código do Posto]],tabParametros[Despesas de Viagem])</f>
        <v>0</v>
      </c>
      <c r="AK188" s="22">
        <f>SUM(tabCustoUnit[[#This Row],[Vale - Transporte (Descontada parcela do empregado)]:[Despesas de Viagem]])</f>
        <v>642.23160000000007</v>
      </c>
      <c r="AL188" s="22">
        <f>tabCustoUnit[[#This Row],[Submódulo 2.1]]+tabCustoUnit[[#This Row],[Submódulo 2.2]]+tabCustoUnit[[#This Row],[Submódulo 2.3]]</f>
        <v>1174.6583491277779</v>
      </c>
      <c r="AM188" s="22">
        <f>SUMIF(tabParametros[Código do Posto],tabCustoUnit[[#This Row],[Código do Posto]],tabParametros[Aviso Prévio Indenizado (API) e Reflexo do Aviso Prévio Indenizado])*tabCustoUnit[[#This Row],[MODULO 1 - REMUNERAÇÃO ]]</f>
        <v>5.7795253576581791</v>
      </c>
      <c r="AN188" s="22">
        <f>SUMIF(tabParametros[Código do Posto],tabCustoUnit[[#This Row],[Código do Posto]],tabParametros[Incidência do FGTS sobre API e Reflexo do API])*tabCustoUnit[[#This Row],[MODULO 1 - REMUNERAÇÃO ]]</f>
        <v>0.46236202861265435</v>
      </c>
      <c r="AO188" s="22">
        <f>SUMIF(tabParametros[Código do Posto],tabCustoUnit[[#This Row],[Código do Posto]],tabParametros[Multa Rescisória do FGTS sobre o Aviso Prévio Indenizado])*tabCustoUnit[[#This Row],[MODULO 1 - REMUNERAÇÃO ]]</f>
        <v>0.18494481144506175</v>
      </c>
      <c r="AP188" s="22">
        <f>SUMIF(tabParametros[Código do Posto],tabCustoUnit[[#This Row],[Código do Posto]],tabParametros[Aviso Prévio Trabalhado - APT])*tabCustoUnit[[#This Row],[MODULO 1 - REMUNERAÇÃO ]]</f>
        <v>2.8849131500000005</v>
      </c>
      <c r="AQ188" s="22">
        <f>SUMIF(tabParametros[Código do Posto],tabCustoUnit[[#This Row],[Código do Posto]],tabParametros[Incidência dos encargos do submódulo 2.1 sobre Aviso Prévio Trabalhado])*tabCustoUnit[[#This Row],[MODULO 1 - REMUNERAÇÃO ]]</f>
        <v>1.0904971707000004</v>
      </c>
      <c r="AR188" s="22">
        <f>SUMIF(tabParametros[Código do Posto],tabCustoUnit[[#This Row],[Código do Posto]],tabParametros[Multa Rescisória do FGTS])*tabCustoUnit[[#This Row],[MODULO 1 - REMUNERAÇÃO ]]</f>
        <v>25.204066631111107</v>
      </c>
      <c r="AS188" s="22">
        <f>SUMIF(tabParametros[Código do Posto],tabCustoUnit[[#This Row],[Código do Posto]],tabParametros[Indenização Adicional (Art. 9º da Lei nº 7.238/84)])*tabCustoUnit[[#This Row],[MODULO 1 - REMUNERAÇÃO ]]</f>
        <v>0.6868840833333334</v>
      </c>
      <c r="AT188" s="22">
        <f>SUM(tabCustoUnit[[#This Row],[Aviso Prévio Indenizado (API) e Reflexo do Aviso Prévio Indenizado]:[Indenização Adicional (Art. 9º da Lei nº 7.238/84)]])</f>
        <v>36.293193232860339</v>
      </c>
      <c r="AU188" s="22">
        <f>SUMIF(tabParametros[Código do Posto],tabCustoUnit[[#This Row],[Código do Posto]],tabParametros[Ausência por Doença])*tabCustoUnit[[#This Row],[MODULO 1 - REMUNERAÇÃO ]]</f>
        <v>6.9604253777777769</v>
      </c>
      <c r="AV188" s="22">
        <f>SUMIF(tabParametros[Código do Posto],tabCustoUnit[[#This Row],[Código do Posto]],tabParametros[Ausências Legais])*tabCustoUnit[[#This Row],[MODULO 1 - REMUNERAÇÃO ]]</f>
        <v>1.671417936111111</v>
      </c>
      <c r="AW188" s="22">
        <f>SUMIF(tabParametros[Código do Posto],tabCustoUnit[[#This Row],[Código do Posto]],tabParametros[Licença Paternidade])*tabCustoUnit[[#This Row],[MODULO 1 - REMUNERAÇÃO ]]</f>
        <v>0.14081123708333332</v>
      </c>
      <c r="AX188" s="22">
        <f>SUMIF(tabParametros[Código do Posto],tabCustoUnit[[#This Row],[Código do Posto]],tabParametros[Ausência por Acidente de Trabalho])*tabCustoUnit[[#This Row],[MODULO 1 - REMUNERAÇÃO ]]</f>
        <v>0.17172102083333335</v>
      </c>
      <c r="AY188" s="22">
        <f>SUMIF(tabParametros[Código do Posto],tabCustoUnit[[#This Row],[Código do Posto]],tabParametros[Férias, Adicional de Férias e 13º  com empregada em gozo de Licença Maternidade])*tabCustoUnit[[#This Row],[MODULO 1 - REMUNERAÇÃO ]]</f>
        <v>1.0684863518518517</v>
      </c>
      <c r="AZ188" s="22">
        <f>SUMIF(tabParametros[Código do Posto],tabCustoUnit[[#This Row],[Código do Posto]],tabParametros[Incidência do Submódulo 2.1 sobre Ausências Legais])*tabCustoUnit[[#This Row],[MODULO 1 - REMUNERAÇÃO ]]</f>
        <v>3.7848618071425006</v>
      </c>
      <c r="BA188" s="22">
        <f>SUM(tabCustoUnit[[#This Row],[Ausência por Doença]:[Incidência do Submódulo 2.1 sobre Ausências Legais]])</f>
        <v>13.797723730799909</v>
      </c>
      <c r="BB188" s="22">
        <f>SUMIF(tabParametros[Código do Posto],tabCustoUnit[[#This Row],[Código do Posto]],tabParametros[Intervalo para Repouso ou Alimentação])</f>
        <v>0</v>
      </c>
      <c r="BC188" s="22">
        <f>tabCustoUnit[[#This Row],[Intervalo para Repouso ou Alimentação]]</f>
        <v>0</v>
      </c>
      <c r="BD188" s="22">
        <f>IF(VLOOKUP(tabCustoUnit[[#This Row],[Código do Posto]],PARAMETROS!$A$4:$BJ$255,7,0)&lt;=0,0,
IFERROR((tabCustoUnit[[#This Row],[MODULO 1 - REMUNERAÇÃO ]]*VLOOKUP(tabCustoUnit[[#This Row],[Código do Posto]],PARAMETROS!$A$4:$BJ$255,49,0))/(VLOOKUP(tabCustoUnit[[#This Row],[Código do Posto]],PARAMETROS!$A$4:$BJ$255,7,0)*VLOOKUP(tabCustoUnit[[#This Row],[Código do Posto]],PARAMETROS!$A$4:$BJ$255,8,0)),0)
)</f>
        <v>0</v>
      </c>
      <c r="BE188" s="22">
        <f>tabCustoUnit[[#This Row],[Suspensão Temporária do Contrato de Trabalho]]</f>
        <v>0</v>
      </c>
      <c r="BF188" s="22">
        <f>tabCustoUnit[[#This Row],[Submódulo 4.1]]+tabCustoUnit[[#This Row],[Submódulo 4.2]]+tabCustoUnit[[#This Row],[Submódulo 4.3]]</f>
        <v>13.797723730799909</v>
      </c>
      <c r="BG188" s="22">
        <f>VLOOKUP(tabCustoUnit[[#This Row],[Código do Posto]],tabParametros[],MATCH(tabCustoUnit[[#Headers],[Uniformes e EPIs]],tabParametros[#Headers],0),0)</f>
        <v>62.806666666666665</v>
      </c>
      <c r="BH188" s="22">
        <f>VLOOKUP(tabCustoUnit[[#This Row],[Código do Posto]],tabParametros[],MATCH(tabCustoUnit[[#Headers],[Materiais de Consumo]],tabParametros[#Headers],0),0)</f>
        <v>17.759106479291944</v>
      </c>
      <c r="BI188" s="22">
        <f>VLOOKUP(tabCustoUnit[[#This Row],[Código do Posto]],tabParametros[],MATCH(tabCustoUnit[[#Headers],[Máquinas e Equipamentos (depreciação)]],tabParametros[#Headers],0),0)</f>
        <v>32.264696957412788</v>
      </c>
      <c r="BJ188" s="22">
        <f>VLOOKUP(tabCustoUnit[[#This Row],[Código do Posto]],tabParametros[],MATCH(tabCustoUnit[[#Headers],[Produtos de Limpeza e Materiais de Higiene Pessoal]],tabParametros[#Headers],0),0)</f>
        <v>345.13576638965827</v>
      </c>
      <c r="BK188" s="22">
        <f>VLOOKUP(tabCustoUnit[[#This Row],[Código do Posto]],tabParametros[],MATCH(tabCustoUnit[[#Headers],[Outros (especificar)]],tabParametros[#Headers],0),0)</f>
        <v>0</v>
      </c>
      <c r="BL188" s="22">
        <f>SUM(tabCustoUnit[[#This Row],[Uniformes e EPIs]:[Outros (especificar)]])</f>
        <v>457.96623649302967</v>
      </c>
      <c r="BM188" s="22">
        <f>tabCustoUnit[[#This Row],[MODULO 1 - REMUNERAÇÃO ]]+tabCustoUnit[[#This Row],[MÓDULO 2 - Total Encargos e Benefícios mensais e diários]]+tabCustoUnit[[#This Row],[MÓDULO 3 – PROVISÃO PARA RESCISÃO]]+tabCustoUnit[[#This Row],[MÓDULO 4 – CUSTO DE REPOSIÇÃO DO PROFISSIONAL AUSENTE]]+tabCustoUnit[[#This Row],[MÓDULO 5 – INSUMOS DIVERSOS]]</f>
        <v>2506.9764025844679</v>
      </c>
      <c r="BN188" s="22">
        <f>VLOOKUP(tabCustoUnit[[#This Row],[Código do Posto]],tabParametros[],MATCH(tabCustoUnit[[#Headers],[Custos Indiretos]],tabParametros[#Headers],0),0)</f>
        <v>189.64880140242613</v>
      </c>
      <c r="BO188" s="22">
        <f>VLOOKUP(tabCustoUnit[[#This Row],[Código do Posto]],tabParametros[],MATCH(tabCustoUnit[[#Headers],[Lucro]],tabParametros[#Headers],0),0)</f>
        <v>159.30499317803796</v>
      </c>
      <c r="BP188" s="26">
        <f>((100/((1-tabCustoUnit[[#This Row],[Resumo de Alíquotas (PIS+CONFINS+ISS)]]))-100)*VLOOKUP(tabCustoUnit[[#This Row],[Código do Posto]],tabParametros[],MATCH(tabCustoUnit[[#Headers],[COFINS]],tabParametros[#Headers],0),0))/(tabCustoUnit[[#This Row],[Resumo de Alíquotas (PIS+CONFINS+ISS)]]*100)</f>
        <v>8.6609686609686695E-2</v>
      </c>
      <c r="BQ188" s="26">
        <f>((100/((100-(tabCustoUnit[[#This Row],[Resumo de Alíquotas (PIS+CONFINS+ISS)]]*100))%)-100)*VLOOKUP(tabCustoUnit[[#This Row],[Código do Posto]],tabParametros[],MATCH(tabCustoUnit[[#Headers],[PIS]],tabParametros[#Headers],0),0))/(tabCustoUnit[[#This Row],[Resumo de Alíquotas (PIS+CONFINS+ISS)]]*100)</f>
        <v>1.880341880341882E-2</v>
      </c>
      <c r="BR188" s="28">
        <f>VLOOKUP(tabCustoUnit[[#This Row],[Código do Posto]],tabParametros[],MATCH(tabCustoUnit[[#Headers],[ISS]],tabParametros[#Headers],0),0)</f>
        <v>0.03</v>
      </c>
      <c r="BS188" s="26">
        <f>(((100/((100-(tabCustoUnit[[#This Row],[Resumo de Alíquotas (PIS+CONFINS+ISS)]]*100))%)-100)*tabCustoUnit[[#This Row],[ISS]])/tabCustoUnit[[#This Row],[Resumo de Alíquotas (PIS+CONFINS+ISS)]])/100</f>
        <v>3.4188034188034219E-2</v>
      </c>
      <c r="BT188" s="26">
        <f>(VLOOKUP(tabCustoUnit[[#This Row],[Código do Posto]],tabParametros[],MATCH(tabCustoUnit[[#Headers],[COFINS]],tabParametros[#Headers],0),0)+
VLOOKUP(tabCustoUnit[[#This Row],[Código do Posto]],tabParametros[],MATCH(tabCustoUnit[[#Headers],[PIS]],tabParametros[#Headers],0),0)+
VLOOKUP(tabCustoUnit[[#This Row],[Código do Posto]],tabParametros[],MATCH(tabCustoUnit[[#Headers],[ISS]],tabParametros[#Headers],0),0))</f>
        <v>0.1225</v>
      </c>
      <c r="BU188" s="138">
        <f>tabCustoUnit[[#This Row],[COFINS]]+tabCustoUnit[[#This Row],[PIS]]+tabCustoUnit[[#This Row],[ISS (Conversão Alíquota s/ fatura)]]</f>
        <v>0.13960113960113973</v>
      </c>
      <c r="BV188" s="22">
        <f>(tabCustoUnit[[#This Row],[TOTAL MÓDULOS 1+2+3+4+5]]+tabCustoUnit[[#This Row],[Custos Indiretos]]+tabCustoUnit[[#This Row],[Lucro]])*tabCustoUnit[[#This Row],[PIS + COFINS + ISS (Total Conversão  Alíquota s/ Fatura)]]</f>
        <v>398.69111014553221</v>
      </c>
      <c r="BW188" s="22">
        <f>tabCustoUnit[[#This Row],[Custos Indiretos]]+tabCustoUnit[[#This Row],[Lucro]]+tabCustoUnit[[#This Row],[Valor dos Tributos (ISS, PIS, CONFINS)]]</f>
        <v>747.6449047259963</v>
      </c>
      <c r="BX188" s="22">
        <f>tabCustoUnit[[#This Row],[TOTAL MÓDULOS 1+2+3+4+5]]+tabCustoUnit[[#This Row],[MÓDULO 6 – CUSTOS INDIRETOS, TRIBUTOS E LUCRO]]</f>
        <v>3254.6213073104641</v>
      </c>
      <c r="BY188" s="22">
        <f>tabCustoUnit[[#This Row],[CUSTO TOTAL MENSAL]]*12</f>
        <v>39055.455687725567</v>
      </c>
      <c r="BZ188" s="24">
        <f>VLOOKUP(tabCustoUnit[[#This Row],[Código do Posto]],tabParametros[],MATCH(tabCustoUnit[[#Headers],[ANO DA CCT]],tabParametros[#Headers],0),0)</f>
        <v>45658</v>
      </c>
      <c r="CA188" s="25" t="str">
        <f>VLOOKUP(tabCustoUnit[[#This Row],[Código do Posto]],tabParametros[],MATCH(tabCustoUnit[[#Headers],[Nº DE PEDIDO DA CCT]],tabParametros[#Headers],0),0)</f>
        <v>-</v>
      </c>
      <c r="CB188" s="25" t="str">
        <f>VLOOKUP(tabCustoUnit[[#This Row],[Código do Posto]],tabParametros[],MATCH(tabCustoUnit[[#Headers],[TERMO ADITIVO ALTERAÇÃO DA CCT]],tabParametros[#Headers],0),0)</f>
        <v>-</v>
      </c>
    </row>
    <row r="189" spans="1:80" x14ac:dyDescent="0.25">
      <c r="A189" s="20" t="s">
        <v>1525</v>
      </c>
      <c r="B189" t="s">
        <v>171</v>
      </c>
      <c r="C189" t="s">
        <v>1244</v>
      </c>
      <c r="D189" t="s">
        <v>1020</v>
      </c>
      <c r="E189" s="20" t="s">
        <v>9</v>
      </c>
      <c r="F189" s="20" t="s">
        <v>10</v>
      </c>
      <c r="G189" s="21">
        <v>798.14</v>
      </c>
      <c r="H189" s="21">
        <v>0</v>
      </c>
      <c r="I189" s="21">
        <v>0</v>
      </c>
      <c r="J189" s="21">
        <v>0</v>
      </c>
      <c r="K189" s="21">
        <v>0</v>
      </c>
      <c r="L189" s="21">
        <v>0</v>
      </c>
      <c r="M189" s="21">
        <v>0</v>
      </c>
      <c r="N189" s="21">
        <v>26.120899999999999</v>
      </c>
      <c r="O189" s="21">
        <f>SUM(tabCustoUnit[[#This Row],[Salário Base]:[Adicional de Acúmulo de função]])</f>
        <v>824.26089999999999</v>
      </c>
      <c r="P189" s="21">
        <f>tabCustoUnit[[#This Row],[MODULO 1 - REMUNERAÇÃO ]]*SUMIFS(tabParametros[INSS],tabParametros[Código do Posto],tabCustoUnit[[#This Row],[Código do Posto]])</f>
        <v>164.85218</v>
      </c>
      <c r="Q189" s="21">
        <f>tabCustoUnit[[#This Row],[MODULO 1 - REMUNERAÇÃO ]]*SUMIFS(tabParametros[SESI OU SESC],tabParametros[Código do Posto],tabCustoUnit[[#This Row],[Código do Posto]])</f>
        <v>12.363913499999999</v>
      </c>
      <c r="R189" s="21">
        <f>tabCustoUnit[[#This Row],[MODULO 1 - REMUNERAÇÃO ]]*SUMIFS(tabParametros[SENAI OU SENAC],tabParametros[Código do Posto],tabCustoUnit[[#This Row],[Código do Posto]])</f>
        <v>8.2426089999999999</v>
      </c>
      <c r="S189" s="21">
        <f>tabCustoUnit[[#This Row],[MODULO 1 - REMUNERAÇÃO ]]*SUMIFS(tabParametros[INCRA],tabParametros[Código do Posto],tabCustoUnit[[#This Row],[Código do Posto]])</f>
        <v>1.6485217999999999</v>
      </c>
      <c r="T189" s="21">
        <f>tabCustoUnit[[#This Row],[MODULO 1 - REMUNERAÇÃO ]]*SUMIFS(tabParametros[Salário Educação],tabParametros[Código do Posto],tabCustoUnit[[#This Row],[Código do Posto]])</f>
        <v>20.606522500000001</v>
      </c>
      <c r="U189" s="21">
        <f>tabCustoUnit[[#This Row],[MODULO 1 - REMUNERAÇÃO ]]*SUMIFS(tabParametros[FGTS],tabParametros[Código do Posto],tabCustoUnit[[#This Row],[Código do Posto]])</f>
        <v>65.940871999999999</v>
      </c>
      <c r="V189" s="21">
        <f>tabCustoUnit[[#This Row],[MODULO 1 - REMUNERAÇÃO ]]*SUMIFS(tabParametros[RAT Ajustado],tabParametros[Código do Posto],tabCustoUnit[[#This Row],[Código do Posto]])</f>
        <v>32.970435999999999</v>
      </c>
      <c r="W189" s="21">
        <f>tabCustoUnit[[#This Row],[MODULO 1 - REMUNERAÇÃO ]]*SUMIFS(tabParametros[SEBRAE],tabParametros[Código do Posto],tabCustoUnit[[#This Row],[Código do Posto]])</f>
        <v>4.9455654000000004</v>
      </c>
      <c r="X189" s="21">
        <f>SUM(tabCustoUnit[[#This Row],[INSS]:[SEBRAE]])</f>
        <v>311.57062020000001</v>
      </c>
      <c r="Y189" s="21">
        <f>tabCustoUnit[[#This Row],[MODULO 1 - REMUNERAÇÃO ]]*SUMIFS(tabParametros[13º salário (titular)],tabParametros[Código do Posto],tabCustoUnit[[#This Row],[Código do Posto]])</f>
        <v>68.688408333333328</v>
      </c>
      <c r="Z189" s="21">
        <f>tabCustoUnit[[#This Row],[MODULO 1 - REMUNERAÇÃO ]]*SUMIFS(tabParametros[Férias e Adicional de Férias (titular)],tabParametros[Código do Posto],tabCustoUnit[[#This Row],[Código do Posto]])</f>
        <v>91.584544444444433</v>
      </c>
      <c r="AA189" s="21">
        <f>IFERROR((tabCustoUnit[[#This Row],[Submódulo 2.1]]/tabCustoUnit[[#This Row],[MODULO 1 - REMUNERAÇÃO ]])*SUM(tabCustoUnit[[#This Row],[13º salário (titular)]:[Férias e Adicional de Férias (titular)]]),0)</f>
        <v>60.583176149999993</v>
      </c>
      <c r="AB189" s="21">
        <f>SUM(tabCustoUnit[[#This Row],[13º salário (titular)]:[Incidência do Submódulo 2.1 sobre 13º Salário, Férias e Adicional de Férias]])</f>
        <v>220.85612892777775</v>
      </c>
      <c r="AC189" s="22">
        <f>_xlfn.LET(_xlpm.VT,SUMIF(tabParametros[Código do Posto],tabCustoUnit[[#This Row],[Código do Posto]],tabParametros[Vale - Transporte])*2*20,
IF((_xlpm.VT-tabCustoUnit[[#This Row],[Salário Base]]*0.06)&gt;=0,(_xlpm.VT-tabCustoUnit[[#This Row],[Salário Base]]*0.06),0)
)</f>
        <v>208.11160000000001</v>
      </c>
      <c r="AD189" s="22">
        <f>IF(SUMIF(tabParametros[Código do Posto],tabCustoUnit[[#This Row],[Código do Posto]],tabParametros[Vale - Alimentação])&lt;=0,0,
SUMIF(tabParametros[Código do Posto],tabCustoUnit[[#This Row],[Código do Posto]],tabParametros[Vale - Alimentação])*20-1)</f>
        <v>582</v>
      </c>
      <c r="AE189" s="22">
        <f>SUMIF(tabParametros[Código do Posto],tabCustoUnit[[#This Row],[Código do Posto]],tabParametros[Cesta Básica])</f>
        <v>0</v>
      </c>
      <c r="AF189" s="22">
        <f>SUMIF(tabParametros[Código do Posto],tabCustoUnit[[#This Row],[Código do Posto]],tabParametros[PAF])</f>
        <v>0</v>
      </c>
      <c r="AG189" s="22">
        <f>SUMIF(tabParametros[Código do Posto],tabCustoUnit[[#This Row],[Código do Posto]],tabParametros[PQM])</f>
        <v>0</v>
      </c>
      <c r="AH189" s="22">
        <f>SUMIF(tabParametros[Código do Posto],tabCustoUnit[[#This Row],[Código do Posto]],tabParametros[PAT])</f>
        <v>0</v>
      </c>
      <c r="AI189" s="22">
        <f>SUMIF(tabParametros[Código do Posto],tabCustoUnit[[#This Row],[Código do Posto]],tabParametros[Seguro de Vida])</f>
        <v>3.36</v>
      </c>
      <c r="AJ189" s="22">
        <f>SUMIF(tabParametros[Código do Posto],tabCustoUnit[[#This Row],[Código do Posto]],tabParametros[Despesas de Viagem])</f>
        <v>0</v>
      </c>
      <c r="AK189" s="22">
        <f>SUM(tabCustoUnit[[#This Row],[Vale - Transporte (Descontada parcela do empregado)]:[Despesas de Viagem]])</f>
        <v>793.47159999999997</v>
      </c>
      <c r="AL189" s="22">
        <f>tabCustoUnit[[#This Row],[Submódulo 2.1]]+tabCustoUnit[[#This Row],[Submódulo 2.2]]+tabCustoUnit[[#This Row],[Submódulo 2.3]]</f>
        <v>1325.8983491277777</v>
      </c>
      <c r="AM189" s="22">
        <f>SUMIF(tabParametros[Código do Posto],tabCustoUnit[[#This Row],[Código do Posto]],tabParametros[Aviso Prévio Indenizado (API) e Reflexo do Aviso Prévio Indenizado])*tabCustoUnit[[#This Row],[MODULO 1 - REMUNERAÇÃO ]]</f>
        <v>5.7795253576581791</v>
      </c>
      <c r="AN189" s="22">
        <f>SUMIF(tabParametros[Código do Posto],tabCustoUnit[[#This Row],[Código do Posto]],tabParametros[Incidência do FGTS sobre API e Reflexo do API])*tabCustoUnit[[#This Row],[MODULO 1 - REMUNERAÇÃO ]]</f>
        <v>0.46236202861265435</v>
      </c>
      <c r="AO189" s="22">
        <f>SUMIF(tabParametros[Código do Posto],tabCustoUnit[[#This Row],[Código do Posto]],tabParametros[Multa Rescisória do FGTS sobre o Aviso Prévio Indenizado])*tabCustoUnit[[#This Row],[MODULO 1 - REMUNERAÇÃO ]]</f>
        <v>0.18494481144506175</v>
      </c>
      <c r="AP189" s="22">
        <f>SUMIF(tabParametros[Código do Posto],tabCustoUnit[[#This Row],[Código do Posto]],tabParametros[Aviso Prévio Trabalhado - APT])*tabCustoUnit[[#This Row],[MODULO 1 - REMUNERAÇÃO ]]</f>
        <v>2.8849131500000005</v>
      </c>
      <c r="AQ189" s="22">
        <f>SUMIF(tabParametros[Código do Posto],tabCustoUnit[[#This Row],[Código do Posto]],tabParametros[Incidência dos encargos do submódulo 2.1 sobre Aviso Prévio Trabalhado])*tabCustoUnit[[#This Row],[MODULO 1 - REMUNERAÇÃO ]]</f>
        <v>1.0904971707000004</v>
      </c>
      <c r="AR189" s="22">
        <f>SUMIF(tabParametros[Código do Posto],tabCustoUnit[[#This Row],[Código do Posto]],tabParametros[Multa Rescisória do FGTS])*tabCustoUnit[[#This Row],[MODULO 1 - REMUNERAÇÃO ]]</f>
        <v>25.204066631111107</v>
      </c>
      <c r="AS189" s="22">
        <f>SUMIF(tabParametros[Código do Posto],tabCustoUnit[[#This Row],[Código do Posto]],tabParametros[Indenização Adicional (Art. 9º da Lei nº 7.238/84)])*tabCustoUnit[[#This Row],[MODULO 1 - REMUNERAÇÃO ]]</f>
        <v>0.6868840833333334</v>
      </c>
      <c r="AT189" s="22">
        <f>SUM(tabCustoUnit[[#This Row],[Aviso Prévio Indenizado (API) e Reflexo do Aviso Prévio Indenizado]:[Indenização Adicional (Art. 9º da Lei nº 7.238/84)]])</f>
        <v>36.293193232860339</v>
      </c>
      <c r="AU189" s="22">
        <f>SUMIF(tabParametros[Código do Posto],tabCustoUnit[[#This Row],[Código do Posto]],tabParametros[Ausência por Doença])*tabCustoUnit[[#This Row],[MODULO 1 - REMUNERAÇÃO ]]</f>
        <v>6.9604253777777769</v>
      </c>
      <c r="AV189" s="22">
        <f>SUMIF(tabParametros[Código do Posto],tabCustoUnit[[#This Row],[Código do Posto]],tabParametros[Ausências Legais])*tabCustoUnit[[#This Row],[MODULO 1 - REMUNERAÇÃO ]]</f>
        <v>1.671417936111111</v>
      </c>
      <c r="AW189" s="22">
        <f>SUMIF(tabParametros[Código do Posto],tabCustoUnit[[#This Row],[Código do Posto]],tabParametros[Licença Paternidade])*tabCustoUnit[[#This Row],[MODULO 1 - REMUNERAÇÃO ]]</f>
        <v>0.14081123708333332</v>
      </c>
      <c r="AX189" s="22">
        <f>SUMIF(tabParametros[Código do Posto],tabCustoUnit[[#This Row],[Código do Posto]],tabParametros[Ausência por Acidente de Trabalho])*tabCustoUnit[[#This Row],[MODULO 1 - REMUNERAÇÃO ]]</f>
        <v>0.17172102083333335</v>
      </c>
      <c r="AY189" s="22">
        <f>SUMIF(tabParametros[Código do Posto],tabCustoUnit[[#This Row],[Código do Posto]],tabParametros[Férias, Adicional de Férias e 13º  com empregada em gozo de Licença Maternidade])*tabCustoUnit[[#This Row],[MODULO 1 - REMUNERAÇÃO ]]</f>
        <v>1.0684863518518517</v>
      </c>
      <c r="AZ189" s="22">
        <f>SUMIF(tabParametros[Código do Posto],tabCustoUnit[[#This Row],[Código do Posto]],tabParametros[Incidência do Submódulo 2.1 sobre Ausências Legais])*tabCustoUnit[[#This Row],[MODULO 1 - REMUNERAÇÃO ]]</f>
        <v>3.7848618071425006</v>
      </c>
      <c r="BA189" s="22">
        <f>SUM(tabCustoUnit[[#This Row],[Ausência por Doença]:[Incidência do Submódulo 2.1 sobre Ausências Legais]])</f>
        <v>13.797723730799909</v>
      </c>
      <c r="BB189" s="22">
        <f>SUMIF(tabParametros[Código do Posto],tabCustoUnit[[#This Row],[Código do Posto]],tabParametros[Intervalo para Repouso ou Alimentação])</f>
        <v>0</v>
      </c>
      <c r="BC189" s="22">
        <f>tabCustoUnit[[#This Row],[Intervalo para Repouso ou Alimentação]]</f>
        <v>0</v>
      </c>
      <c r="BD189" s="22">
        <f>IF(VLOOKUP(tabCustoUnit[[#This Row],[Código do Posto]],PARAMETROS!$A$4:$BJ$255,7,0)&lt;=0,0,
IFERROR((tabCustoUnit[[#This Row],[MODULO 1 - REMUNERAÇÃO ]]*VLOOKUP(tabCustoUnit[[#This Row],[Código do Posto]],PARAMETROS!$A$4:$BJ$255,49,0))/(VLOOKUP(tabCustoUnit[[#This Row],[Código do Posto]],PARAMETROS!$A$4:$BJ$255,7,0)*VLOOKUP(tabCustoUnit[[#This Row],[Código do Posto]],PARAMETROS!$A$4:$BJ$255,8,0)),0)
)</f>
        <v>0</v>
      </c>
      <c r="BE189" s="22">
        <f>tabCustoUnit[[#This Row],[Suspensão Temporária do Contrato de Trabalho]]</f>
        <v>0</v>
      </c>
      <c r="BF189" s="22">
        <f>tabCustoUnit[[#This Row],[Submódulo 4.1]]+tabCustoUnit[[#This Row],[Submódulo 4.2]]+tabCustoUnit[[#This Row],[Submódulo 4.3]]</f>
        <v>13.797723730799909</v>
      </c>
      <c r="BG189" s="22">
        <f>VLOOKUP(tabCustoUnit[[#This Row],[Código do Posto]],tabParametros[],MATCH(tabCustoUnit[[#Headers],[Uniformes e EPIs]],tabParametros[#Headers],0),0)</f>
        <v>62.806666666666665</v>
      </c>
      <c r="BH189" s="22">
        <f>VLOOKUP(tabCustoUnit[[#This Row],[Código do Posto]],tabParametros[],MATCH(tabCustoUnit[[#Headers],[Materiais de Consumo]],tabParametros[#Headers],0),0)</f>
        <v>17.759106479291944</v>
      </c>
      <c r="BI189" s="22">
        <f>VLOOKUP(tabCustoUnit[[#This Row],[Código do Posto]],tabParametros[],MATCH(tabCustoUnit[[#Headers],[Máquinas e Equipamentos (depreciação)]],tabParametros[#Headers],0),0)</f>
        <v>32.264696957412788</v>
      </c>
      <c r="BJ189" s="22">
        <f>VLOOKUP(tabCustoUnit[[#This Row],[Código do Posto]],tabParametros[],MATCH(tabCustoUnit[[#Headers],[Produtos de Limpeza e Materiais de Higiene Pessoal]],tabParametros[#Headers],0),0)</f>
        <v>345.13576638965827</v>
      </c>
      <c r="BK189" s="22">
        <f>VLOOKUP(tabCustoUnit[[#This Row],[Código do Posto]],tabParametros[],MATCH(tabCustoUnit[[#Headers],[Outros (especificar)]],tabParametros[#Headers],0),0)</f>
        <v>0</v>
      </c>
      <c r="BL189" s="22">
        <f>SUM(tabCustoUnit[[#This Row],[Uniformes e EPIs]:[Outros (especificar)]])</f>
        <v>457.96623649302967</v>
      </c>
      <c r="BM189" s="22">
        <f>tabCustoUnit[[#This Row],[MODULO 1 - REMUNERAÇÃO ]]+tabCustoUnit[[#This Row],[MÓDULO 2 - Total Encargos e Benefícios mensais e diários]]+tabCustoUnit[[#This Row],[MÓDULO 3 – PROVISÃO PARA RESCISÃO]]+tabCustoUnit[[#This Row],[MÓDULO 4 – CUSTO DE REPOSIÇÃO DO PROFISSIONAL AUSENTE]]+tabCustoUnit[[#This Row],[MÓDULO 5 – INSUMOS DIVERSOS]]</f>
        <v>2658.2164025844677</v>
      </c>
      <c r="BN189" s="22">
        <f>VLOOKUP(tabCustoUnit[[#This Row],[Código do Posto]],tabParametros[],MATCH(tabCustoUnit[[#Headers],[Custos Indiretos]],tabParametros[#Headers],0),0)</f>
        <v>189.64880140242613</v>
      </c>
      <c r="BO189" s="22">
        <f>VLOOKUP(tabCustoUnit[[#This Row],[Código do Posto]],tabParametros[],MATCH(tabCustoUnit[[#Headers],[Lucro]],tabParametros[#Headers],0),0)</f>
        <v>159.30499317803796</v>
      </c>
      <c r="BP189" s="26">
        <f>((100/((1-tabCustoUnit[[#This Row],[Resumo de Alíquotas (PIS+CONFINS+ISS)]]))-100)*VLOOKUP(tabCustoUnit[[#This Row],[Código do Posto]],tabParametros[],MATCH(tabCustoUnit[[#Headers],[COFINS]],tabParametros[#Headers],0),0))/(tabCustoUnit[[#This Row],[Resumo de Alíquotas (PIS+CONFINS+ISS)]]*100)</f>
        <v>8.5633802816901458E-2</v>
      </c>
      <c r="BQ189" s="26">
        <f>((100/((100-(tabCustoUnit[[#This Row],[Resumo de Alíquotas (PIS+CONFINS+ISS)]]*100))%)-100)*VLOOKUP(tabCustoUnit[[#This Row],[Código do Posto]],tabParametros[],MATCH(tabCustoUnit[[#Headers],[PIS]],tabParametros[#Headers],0),0))/(tabCustoUnit[[#This Row],[Resumo de Alíquotas (PIS+CONFINS+ISS)]]*100)</f>
        <v>1.8591549295774657E-2</v>
      </c>
      <c r="BR189" s="28">
        <f>VLOOKUP(tabCustoUnit[[#This Row],[Código do Posto]],tabParametros[],MATCH(tabCustoUnit[[#Headers],[ISS]],tabParametros[#Headers],0),0)</f>
        <v>0.02</v>
      </c>
      <c r="BS189" s="26">
        <f>(((100/((100-(tabCustoUnit[[#This Row],[Resumo de Alíquotas (PIS+CONFINS+ISS)]]*100))%)-100)*tabCustoUnit[[#This Row],[ISS]])/tabCustoUnit[[#This Row],[Resumo de Alíquotas (PIS+CONFINS+ISS)]])/100</f>
        <v>2.2535211267605645E-2</v>
      </c>
      <c r="BT189" s="26">
        <f>(VLOOKUP(tabCustoUnit[[#This Row],[Código do Posto]],tabParametros[],MATCH(tabCustoUnit[[#Headers],[COFINS]],tabParametros[#Headers],0),0)+
VLOOKUP(tabCustoUnit[[#This Row],[Código do Posto]],tabParametros[],MATCH(tabCustoUnit[[#Headers],[PIS]],tabParametros[#Headers],0),0)+
VLOOKUP(tabCustoUnit[[#This Row],[Código do Posto]],tabParametros[],MATCH(tabCustoUnit[[#Headers],[ISS]],tabParametros[#Headers],0),0))</f>
        <v>0.1125</v>
      </c>
      <c r="BU189" s="138">
        <f>tabCustoUnit[[#This Row],[COFINS]]+tabCustoUnit[[#This Row],[PIS]]+tabCustoUnit[[#This Row],[ISS (Conversão Alíquota s/ fatura)]]</f>
        <v>0.12676056338028174</v>
      </c>
      <c r="BV189" s="22">
        <f>(tabCustoUnit[[#This Row],[TOTAL MÓDULOS 1+2+3+4+5]]+tabCustoUnit[[#This Row],[Custos Indiretos]]+tabCustoUnit[[#This Row],[Lucro]])*tabCustoUnit[[#This Row],[PIS + COFINS + ISS (Total Conversão  Alíquota s/ Fatura)]]</f>
        <v>381.19058837301969</v>
      </c>
      <c r="BW189" s="22">
        <f>tabCustoUnit[[#This Row],[Custos Indiretos]]+tabCustoUnit[[#This Row],[Lucro]]+tabCustoUnit[[#This Row],[Valor dos Tributos (ISS, PIS, CONFINS)]]</f>
        <v>730.14438295348373</v>
      </c>
      <c r="BX189" s="22">
        <f>tabCustoUnit[[#This Row],[TOTAL MÓDULOS 1+2+3+4+5]]+tabCustoUnit[[#This Row],[MÓDULO 6 – CUSTOS INDIRETOS, TRIBUTOS E LUCRO]]</f>
        <v>3388.3607855379514</v>
      </c>
      <c r="BY189" s="22">
        <f>tabCustoUnit[[#This Row],[CUSTO TOTAL MENSAL]]*12</f>
        <v>40660.329426455413</v>
      </c>
      <c r="BZ189" s="24">
        <f>VLOOKUP(tabCustoUnit[[#This Row],[Código do Posto]],tabParametros[],MATCH(tabCustoUnit[[#Headers],[ANO DA CCT]],tabParametros[#Headers],0),0)</f>
        <v>45658</v>
      </c>
      <c r="CA189" s="25" t="str">
        <f>VLOOKUP(tabCustoUnit[[#This Row],[Código do Posto]],tabParametros[],MATCH(tabCustoUnit[[#Headers],[Nº DE PEDIDO DA CCT]],tabParametros[#Headers],0),0)</f>
        <v>-</v>
      </c>
      <c r="CB189" s="25" t="str">
        <f>VLOOKUP(tabCustoUnit[[#This Row],[Código do Posto]],tabParametros[],MATCH(tabCustoUnit[[#Headers],[TERMO ADITIVO ALTERAÇÃO DA CCT]],tabParametros[#Headers],0),0)</f>
        <v>-</v>
      </c>
    </row>
    <row r="190" spans="1:80" x14ac:dyDescent="0.25">
      <c r="A190" s="20" t="s">
        <v>1526</v>
      </c>
      <c r="B190" t="s">
        <v>172</v>
      </c>
      <c r="C190" t="s">
        <v>1246</v>
      </c>
      <c r="D190" t="s">
        <v>1041</v>
      </c>
      <c r="E190" s="20" t="s">
        <v>9</v>
      </c>
      <c r="F190" s="20" t="s">
        <v>10</v>
      </c>
      <c r="G190" s="21">
        <v>1088.3699999999999</v>
      </c>
      <c r="H190" s="21">
        <v>0</v>
      </c>
      <c r="I190" s="21">
        <v>0</v>
      </c>
      <c r="J190" s="21">
        <v>0</v>
      </c>
      <c r="K190" s="21">
        <v>0</v>
      </c>
      <c r="L190" s="21">
        <v>0</v>
      </c>
      <c r="M190" s="21">
        <v>0</v>
      </c>
      <c r="N190" s="21">
        <v>39.1813</v>
      </c>
      <c r="O190" s="21">
        <f>SUM(tabCustoUnit[[#This Row],[Salário Base]:[Adicional de Acúmulo de função]])</f>
        <v>1127.5512999999999</v>
      </c>
      <c r="P190" s="21">
        <f>tabCustoUnit[[#This Row],[MODULO 1 - REMUNERAÇÃO ]]*SUMIFS(tabParametros[INSS],tabParametros[Código do Posto],tabCustoUnit[[#This Row],[Código do Posto]])</f>
        <v>225.51025999999999</v>
      </c>
      <c r="Q190" s="21">
        <f>tabCustoUnit[[#This Row],[MODULO 1 - REMUNERAÇÃO ]]*SUMIFS(tabParametros[SESI OU SESC],tabParametros[Código do Posto],tabCustoUnit[[#This Row],[Código do Posto]])</f>
        <v>16.913269499999998</v>
      </c>
      <c r="R190" s="21">
        <f>tabCustoUnit[[#This Row],[MODULO 1 - REMUNERAÇÃO ]]*SUMIFS(tabParametros[SENAI OU SENAC],tabParametros[Código do Posto],tabCustoUnit[[#This Row],[Código do Posto]])</f>
        <v>11.275512999999998</v>
      </c>
      <c r="S190" s="21">
        <f>tabCustoUnit[[#This Row],[MODULO 1 - REMUNERAÇÃO ]]*SUMIFS(tabParametros[INCRA],tabParametros[Código do Posto],tabCustoUnit[[#This Row],[Código do Posto]])</f>
        <v>2.2551025999999998</v>
      </c>
      <c r="T190" s="21">
        <f>tabCustoUnit[[#This Row],[MODULO 1 - REMUNERAÇÃO ]]*SUMIFS(tabParametros[Salário Educação],tabParametros[Código do Posto],tabCustoUnit[[#This Row],[Código do Posto]])</f>
        <v>28.188782499999999</v>
      </c>
      <c r="U190" s="21">
        <f>tabCustoUnit[[#This Row],[MODULO 1 - REMUNERAÇÃO ]]*SUMIFS(tabParametros[FGTS],tabParametros[Código do Posto],tabCustoUnit[[#This Row],[Código do Posto]])</f>
        <v>90.204103999999987</v>
      </c>
      <c r="V190" s="21">
        <f>tabCustoUnit[[#This Row],[MODULO 1 - REMUNERAÇÃO ]]*SUMIFS(tabParametros[RAT Ajustado],tabParametros[Código do Posto],tabCustoUnit[[#This Row],[Código do Posto]])</f>
        <v>45.102051999999993</v>
      </c>
      <c r="W190" s="21">
        <f>tabCustoUnit[[#This Row],[MODULO 1 - REMUNERAÇÃO ]]*SUMIFS(tabParametros[SEBRAE],tabParametros[Código do Posto],tabCustoUnit[[#This Row],[Código do Posto]])</f>
        <v>6.7653077999999995</v>
      </c>
      <c r="X190" s="21">
        <f>SUM(tabCustoUnit[[#This Row],[INSS]:[SEBRAE]])</f>
        <v>426.21439139999995</v>
      </c>
      <c r="Y190" s="21">
        <f>tabCustoUnit[[#This Row],[MODULO 1 - REMUNERAÇÃO ]]*SUMIFS(tabParametros[13º salário (titular)],tabParametros[Código do Posto],tabCustoUnit[[#This Row],[Código do Posto]])</f>
        <v>93.962608333333321</v>
      </c>
      <c r="Z190" s="21">
        <f>tabCustoUnit[[#This Row],[MODULO 1 - REMUNERAÇÃO ]]*SUMIFS(tabParametros[Férias e Adicional de Férias (titular)],tabParametros[Código do Posto],tabCustoUnit[[#This Row],[Código do Posto]])</f>
        <v>125.28347777777776</v>
      </c>
      <c r="AA190" s="21">
        <f>IFERROR((tabCustoUnit[[#This Row],[Submódulo 2.1]]/tabCustoUnit[[#This Row],[MODULO 1 - REMUNERAÇÃO ]])*SUM(tabCustoUnit[[#This Row],[13º salário (titular)]:[Férias e Adicional de Férias (titular)]]),0)</f>
        <v>82.875020549999988</v>
      </c>
      <c r="AB190" s="21">
        <f>SUM(tabCustoUnit[[#This Row],[13º salário (titular)]:[Incidência do Submódulo 2.1 sobre 13º Salário, Férias e Adicional de Férias]])</f>
        <v>302.12110666111107</v>
      </c>
      <c r="AC190" s="22">
        <f>_xlfn.LET(_xlpm.VT,SUMIF(tabParametros[Código do Posto],tabCustoUnit[[#This Row],[Código do Posto]],tabParametros[Vale - Transporte])*2*20,
IF((_xlpm.VT-tabCustoUnit[[#This Row],[Salário Base]]*0.06)&gt;=0,(_xlpm.VT-tabCustoUnit[[#This Row],[Salário Base]]*0.06),0)
)</f>
        <v>190.69780000000003</v>
      </c>
      <c r="AD190" s="22">
        <f>IF(SUMIF(tabParametros[Código do Posto],tabCustoUnit[[#This Row],[Código do Posto]],tabParametros[Vale - Alimentação])&lt;=0,0,
SUMIF(tabParametros[Código do Posto],tabCustoUnit[[#This Row],[Código do Posto]],tabParametros[Vale - Alimentação])*20-1)</f>
        <v>582</v>
      </c>
      <c r="AE190" s="22">
        <f>SUMIF(tabParametros[Código do Posto],tabCustoUnit[[#This Row],[Código do Posto]],tabParametros[Cesta Básica])</f>
        <v>0</v>
      </c>
      <c r="AF190" s="22">
        <f>SUMIF(tabParametros[Código do Posto],tabCustoUnit[[#This Row],[Código do Posto]],tabParametros[PAF])</f>
        <v>51.86</v>
      </c>
      <c r="AG190" s="22">
        <f>SUMIF(tabParametros[Código do Posto],tabCustoUnit[[#This Row],[Código do Posto]],tabParametros[PQM])</f>
        <v>0</v>
      </c>
      <c r="AH190" s="22">
        <f>SUMIF(tabParametros[Código do Posto],tabCustoUnit[[#This Row],[Código do Posto]],tabParametros[PAT])</f>
        <v>0</v>
      </c>
      <c r="AI190" s="22">
        <f>SUMIF(tabParametros[Código do Posto],tabCustoUnit[[#This Row],[Código do Posto]],tabParametros[Seguro de Vida])</f>
        <v>3.36</v>
      </c>
      <c r="AJ190" s="22">
        <f>SUMIF(tabParametros[Código do Posto],tabCustoUnit[[#This Row],[Código do Posto]],tabParametros[Despesas de Viagem])</f>
        <v>0</v>
      </c>
      <c r="AK190" s="22">
        <f>SUM(tabCustoUnit[[#This Row],[Vale - Transporte (Descontada parcela do empregado)]:[Despesas de Viagem]])</f>
        <v>827.91780000000006</v>
      </c>
      <c r="AL190" s="22">
        <f>tabCustoUnit[[#This Row],[Submódulo 2.1]]+tabCustoUnit[[#This Row],[Submódulo 2.2]]+tabCustoUnit[[#This Row],[Submódulo 2.3]]</f>
        <v>1556.2532980611111</v>
      </c>
      <c r="AM190" s="22">
        <f>SUMIF(tabParametros[Código do Posto],tabCustoUnit[[#This Row],[Código do Posto]],tabParametros[Aviso Prévio Indenizado (API) e Reflexo do Aviso Prévio Indenizado])*tabCustoUnit[[#This Row],[MODULO 1 - REMUNERAÇÃO ]]</f>
        <v>7.9061269683063262</v>
      </c>
      <c r="AN190" s="22">
        <f>SUMIF(tabParametros[Código do Posto],tabCustoUnit[[#This Row],[Código do Posto]],tabParametros[Incidência do FGTS sobre API e Reflexo do API])*tabCustoUnit[[#This Row],[MODULO 1 - REMUNERAÇÃO ]]</f>
        <v>0.6324901574645061</v>
      </c>
      <c r="AO190" s="22">
        <f>SUMIF(tabParametros[Código do Posto],tabCustoUnit[[#This Row],[Código do Posto]],tabParametros[Multa Rescisória do FGTS sobre o Aviso Prévio Indenizado])*tabCustoUnit[[#This Row],[MODULO 1 - REMUNERAÇÃO ]]</f>
        <v>0.25299606298580246</v>
      </c>
      <c r="AP190" s="22">
        <f>SUMIF(tabParametros[Código do Posto],tabCustoUnit[[#This Row],[Código do Posto]],tabParametros[Aviso Prévio Trabalhado - APT])*tabCustoUnit[[#This Row],[MODULO 1 - REMUNERAÇÃO ]]</f>
        <v>3.94642955</v>
      </c>
      <c r="AQ190" s="22">
        <f>SUMIF(tabParametros[Código do Posto],tabCustoUnit[[#This Row],[Código do Posto]],tabParametros[Incidência dos encargos do submódulo 2.1 sobre Aviso Prévio Trabalhado])*tabCustoUnit[[#This Row],[MODULO 1 - REMUNERAÇÃO ]]</f>
        <v>1.4917503699000003</v>
      </c>
      <c r="AR190" s="22">
        <f>SUMIF(tabParametros[Código do Posto],tabCustoUnit[[#This Row],[Código do Posto]],tabParametros[Multa Rescisória do FGTS])*tabCustoUnit[[#This Row],[MODULO 1 - REMUNERAÇÃO ]]</f>
        <v>34.478013084444434</v>
      </c>
      <c r="AS190" s="22">
        <f>SUMIF(tabParametros[Código do Posto],tabCustoUnit[[#This Row],[Código do Posto]],tabParametros[Indenização Adicional (Art. 9º da Lei nº 7.238/84)])*tabCustoUnit[[#This Row],[MODULO 1 - REMUNERAÇÃO ]]</f>
        <v>0.93962608333333331</v>
      </c>
      <c r="AT190" s="22">
        <f>SUM(tabCustoUnit[[#This Row],[Aviso Prévio Indenizado (API) e Reflexo do Aviso Prévio Indenizado]:[Indenização Adicional (Art. 9º da Lei nº 7.238/84)]])</f>
        <v>49.647432276434401</v>
      </c>
      <c r="AU190" s="22">
        <f>SUMIF(tabParametros[Código do Posto],tabCustoUnit[[#This Row],[Código do Posto]],tabParametros[Ausência por Doença])*tabCustoUnit[[#This Row],[MODULO 1 - REMUNERAÇÃO ]]</f>
        <v>9.5215443111111089</v>
      </c>
      <c r="AV190" s="22">
        <f>SUMIF(tabParametros[Código do Posto],tabCustoUnit[[#This Row],[Código do Posto]],tabParametros[Ausências Legais])*tabCustoUnit[[#This Row],[MODULO 1 - REMUNERAÇÃO ]]</f>
        <v>2.2864234694444439</v>
      </c>
      <c r="AW190" s="22">
        <f>SUMIF(tabParametros[Código do Posto],tabCustoUnit[[#This Row],[Código do Posto]],tabParametros[Licença Paternidade])*tabCustoUnit[[#This Row],[MODULO 1 - REMUNERAÇÃO ]]</f>
        <v>0.19262334708333331</v>
      </c>
      <c r="AX190" s="22">
        <f>SUMIF(tabParametros[Código do Posto],tabCustoUnit[[#This Row],[Código do Posto]],tabParametros[Ausência por Acidente de Trabalho])*tabCustoUnit[[#This Row],[MODULO 1 - REMUNERAÇÃO ]]</f>
        <v>0.23490652083333333</v>
      </c>
      <c r="AY190" s="22">
        <f>SUMIF(tabParametros[Código do Posto],tabCustoUnit[[#This Row],[Código do Posto]],tabParametros[Férias, Adicional de Férias e 13º  com empregada em gozo de Licença Maternidade])*tabCustoUnit[[#This Row],[MODULO 1 - REMUNERAÇÃO ]]</f>
        <v>1.4616405740740739</v>
      </c>
      <c r="AZ190" s="22">
        <f>SUMIF(tabParametros[Código do Posto],tabCustoUnit[[#This Row],[Código do Posto]],tabParametros[Incidência do Submódulo 2.1 sobre Ausências Legais])*tabCustoUnit[[#This Row],[MODULO 1 - REMUNERAÇÃO ]]</f>
        <v>5.1775182481225004</v>
      </c>
      <c r="BA190" s="22">
        <f>SUM(tabCustoUnit[[#This Row],[Ausência por Doença]:[Incidência do Submódulo 2.1 sobre Ausências Legais]])</f>
        <v>18.874656470668793</v>
      </c>
      <c r="BB190" s="22">
        <f>SUMIF(tabParametros[Código do Posto],tabCustoUnit[[#This Row],[Código do Posto]],tabParametros[Intervalo para Repouso ou Alimentação])</f>
        <v>0</v>
      </c>
      <c r="BC190" s="22">
        <f>tabCustoUnit[[#This Row],[Intervalo para Repouso ou Alimentação]]</f>
        <v>0</v>
      </c>
      <c r="BD190" s="22">
        <f>IF(VLOOKUP(tabCustoUnit[[#This Row],[Código do Posto]],PARAMETROS!$A$4:$BJ$255,7,0)&lt;=0,0,
IFERROR((tabCustoUnit[[#This Row],[MODULO 1 - REMUNERAÇÃO ]]*VLOOKUP(tabCustoUnit[[#This Row],[Código do Posto]],PARAMETROS!$A$4:$BJ$255,49,0))/(VLOOKUP(tabCustoUnit[[#This Row],[Código do Posto]],PARAMETROS!$A$4:$BJ$255,7,0)*VLOOKUP(tabCustoUnit[[#This Row],[Código do Posto]],PARAMETROS!$A$4:$BJ$255,8,0)),0)
)</f>
        <v>0</v>
      </c>
      <c r="BE190" s="22">
        <f>tabCustoUnit[[#This Row],[Suspensão Temporária do Contrato de Trabalho]]</f>
        <v>0</v>
      </c>
      <c r="BF190" s="22">
        <f>tabCustoUnit[[#This Row],[Submódulo 4.1]]+tabCustoUnit[[#This Row],[Submódulo 4.2]]+tabCustoUnit[[#This Row],[Submódulo 4.3]]</f>
        <v>18.874656470668793</v>
      </c>
      <c r="BG190" s="22">
        <f>VLOOKUP(tabCustoUnit[[#This Row],[Código do Posto]],tabParametros[],MATCH(tabCustoUnit[[#Headers],[Uniformes e EPIs]],tabParametros[#Headers],0),0)</f>
        <v>100.80916666666666</v>
      </c>
      <c r="BH190" s="22">
        <f>VLOOKUP(tabCustoUnit[[#This Row],[Código do Posto]],tabParametros[],MATCH(tabCustoUnit[[#Headers],[Materiais de Consumo]],tabParametros[#Headers],0),0)</f>
        <v>24.216963380852651</v>
      </c>
      <c r="BI190" s="22">
        <f>VLOOKUP(tabCustoUnit[[#This Row],[Código do Posto]],tabParametros[],MATCH(tabCustoUnit[[#Headers],[Máquinas e Equipamentos (depreciação)]],tabParametros[#Headers],0),0)</f>
        <v>43.997314032835618</v>
      </c>
      <c r="BJ190" s="22">
        <f>VLOOKUP(tabCustoUnit[[#This Row],[Código do Posto]],tabParametros[],MATCH(tabCustoUnit[[#Headers],[Produtos de Limpeza e Materiais de Higiene Pessoal]],tabParametros[#Headers],0),0)</f>
        <v>470.6396814404431</v>
      </c>
      <c r="BK190" s="22">
        <f>VLOOKUP(tabCustoUnit[[#This Row],[Código do Posto]],tabParametros[],MATCH(tabCustoUnit[[#Headers],[Outros (especificar)]],tabParametros[#Headers],0),0)</f>
        <v>0</v>
      </c>
      <c r="BL190" s="22">
        <f>SUM(tabCustoUnit[[#This Row],[Uniformes e EPIs]:[Outros (especificar)]])</f>
        <v>639.66312552079808</v>
      </c>
      <c r="BM190" s="22">
        <f>tabCustoUnit[[#This Row],[MODULO 1 - REMUNERAÇÃO ]]+tabCustoUnit[[#This Row],[MÓDULO 2 - Total Encargos e Benefícios mensais e diários]]+tabCustoUnit[[#This Row],[MÓDULO 3 – PROVISÃO PARA RESCISÃO]]+tabCustoUnit[[#This Row],[MÓDULO 4 – CUSTO DE REPOSIÇÃO DO PROFISSIONAL AUSENTE]]+tabCustoUnit[[#This Row],[MÓDULO 5 – INSUMOS DIVERSOS]]</f>
        <v>3391.9898123290122</v>
      </c>
      <c r="BN190" s="22">
        <f>VLOOKUP(tabCustoUnit[[#This Row],[Código do Posto]],tabParametros[],MATCH(tabCustoUnit[[#Headers],[Custos Indiretos]],tabParametros[#Headers],0),0)</f>
        <v>189.64880140242613</v>
      </c>
      <c r="BO190" s="22">
        <f>VLOOKUP(tabCustoUnit[[#This Row],[Código do Posto]],tabParametros[],MATCH(tabCustoUnit[[#Headers],[Lucro]],tabParametros[#Headers],0),0)</f>
        <v>159.30499317803796</v>
      </c>
      <c r="BP190" s="26">
        <f>((100/((1-tabCustoUnit[[#This Row],[Resumo de Alíquotas (PIS+CONFINS+ISS)]]))-100)*VLOOKUP(tabCustoUnit[[#This Row],[Código do Posto]],tabParametros[],MATCH(tabCustoUnit[[#Headers],[COFINS]],tabParametros[#Headers],0),0))/(tabCustoUnit[[#This Row],[Resumo de Alíquotas (PIS+CONFINS+ISS)]]*100)</f>
        <v>8.8629737609329504E-2</v>
      </c>
      <c r="BQ190" s="26">
        <f>((100/((100-(tabCustoUnit[[#This Row],[Resumo de Alíquotas (PIS+CONFINS+ISS)]]*100))%)-100)*VLOOKUP(tabCustoUnit[[#This Row],[Código do Posto]],tabParametros[],MATCH(tabCustoUnit[[#Headers],[PIS]],tabParametros[#Headers],0),0))/(tabCustoUnit[[#This Row],[Resumo de Alíquotas (PIS+CONFINS+ISS)]]*100)</f>
        <v>1.9241982507288629E-2</v>
      </c>
      <c r="BR190" s="28">
        <f>VLOOKUP(tabCustoUnit[[#This Row],[Código do Posto]],tabParametros[],MATCH(tabCustoUnit[[#Headers],[ISS]],tabParametros[#Headers],0),0)</f>
        <v>0.05</v>
      </c>
      <c r="BS190" s="26">
        <f>(((100/((100-(tabCustoUnit[[#This Row],[Resumo de Alíquotas (PIS+CONFINS+ISS)]]*100))%)-100)*tabCustoUnit[[#This Row],[ISS]])/tabCustoUnit[[#This Row],[Resumo de Alíquotas (PIS+CONFINS+ISS)]])/100</f>
        <v>5.8309037900874633E-2</v>
      </c>
      <c r="BT190" s="26">
        <f>(VLOOKUP(tabCustoUnit[[#This Row],[Código do Posto]],tabParametros[],MATCH(tabCustoUnit[[#Headers],[COFINS]],tabParametros[#Headers],0),0)+
VLOOKUP(tabCustoUnit[[#This Row],[Código do Posto]],tabParametros[],MATCH(tabCustoUnit[[#Headers],[PIS]],tabParametros[#Headers],0),0)+
VLOOKUP(tabCustoUnit[[#This Row],[Código do Posto]],tabParametros[],MATCH(tabCustoUnit[[#Headers],[ISS]],tabParametros[#Headers],0),0))</f>
        <v>0.14250000000000002</v>
      </c>
      <c r="BU190" s="138">
        <f>tabCustoUnit[[#This Row],[COFINS]]+tabCustoUnit[[#This Row],[PIS]]+tabCustoUnit[[#This Row],[ISS (Conversão Alíquota s/ fatura)]]</f>
        <v>0.16618075801749277</v>
      </c>
      <c r="BV190" s="22">
        <f>(tabCustoUnit[[#This Row],[TOTAL MÓDULOS 1+2+3+4+5]]+tabCustoUnit[[#This Row],[Custos Indiretos]]+tabCustoUnit[[#This Row],[Lucro]])*tabCustoUnit[[#This Row],[PIS + COFINS + ISS (Total Conversão  Alíquota s/ Fatura)]]</f>
        <v>621.67284429691028</v>
      </c>
      <c r="BW190" s="22">
        <f>tabCustoUnit[[#This Row],[Custos Indiretos]]+tabCustoUnit[[#This Row],[Lucro]]+tabCustoUnit[[#This Row],[Valor dos Tributos (ISS, PIS, CONFINS)]]</f>
        <v>970.62663887737438</v>
      </c>
      <c r="BX190" s="22">
        <f>tabCustoUnit[[#This Row],[TOTAL MÓDULOS 1+2+3+4+5]]+tabCustoUnit[[#This Row],[MÓDULO 6 – CUSTOS INDIRETOS, TRIBUTOS E LUCRO]]</f>
        <v>4362.616451206387</v>
      </c>
      <c r="BY190" s="22">
        <f>tabCustoUnit[[#This Row],[CUSTO TOTAL MENSAL]]*12</f>
        <v>52351.39741447664</v>
      </c>
      <c r="BZ190" s="24">
        <f>VLOOKUP(tabCustoUnit[[#This Row],[Código do Posto]],tabParametros[],MATCH(tabCustoUnit[[#Headers],[ANO DA CCT]],tabParametros[#Headers],0),0)</f>
        <v>45658</v>
      </c>
      <c r="CA190" s="25" t="str">
        <f>VLOOKUP(tabCustoUnit[[#This Row],[Código do Posto]],tabParametros[],MATCH(tabCustoUnit[[#Headers],[Nº DE PEDIDO DA CCT]],tabParametros[#Headers],0),0)</f>
        <v>-</v>
      </c>
      <c r="CB190" s="25" t="str">
        <f>VLOOKUP(tabCustoUnit[[#This Row],[Código do Posto]],tabParametros[],MATCH(tabCustoUnit[[#Headers],[TERMO ADITIVO ALTERAÇÃO DA CCT]],tabParametros[#Headers],0),0)</f>
        <v>-</v>
      </c>
    </row>
    <row r="191" spans="1:80" x14ac:dyDescent="0.25">
      <c r="A191" s="20" t="s">
        <v>1527</v>
      </c>
      <c r="B191" t="s">
        <v>173</v>
      </c>
      <c r="C191" t="s">
        <v>1244</v>
      </c>
      <c r="D191" t="s">
        <v>1010</v>
      </c>
      <c r="E191" s="20" t="s">
        <v>9</v>
      </c>
      <c r="F191" s="20" t="s">
        <v>10</v>
      </c>
      <c r="G191" s="21">
        <v>798.14</v>
      </c>
      <c r="H191" s="21">
        <v>0</v>
      </c>
      <c r="I191" s="21">
        <v>0</v>
      </c>
      <c r="J191" s="21">
        <v>0</v>
      </c>
      <c r="K191" s="21">
        <v>0</v>
      </c>
      <c r="L191" s="21">
        <v>0</v>
      </c>
      <c r="M191" s="21">
        <v>0</v>
      </c>
      <c r="N191" s="21">
        <v>26.120899999999999</v>
      </c>
      <c r="O191" s="21">
        <f>SUM(tabCustoUnit[[#This Row],[Salário Base]:[Adicional de Acúmulo de função]])</f>
        <v>824.26089999999999</v>
      </c>
      <c r="P191" s="21">
        <f>tabCustoUnit[[#This Row],[MODULO 1 - REMUNERAÇÃO ]]*SUMIFS(tabParametros[INSS],tabParametros[Código do Posto],tabCustoUnit[[#This Row],[Código do Posto]])</f>
        <v>164.85218</v>
      </c>
      <c r="Q191" s="21">
        <f>tabCustoUnit[[#This Row],[MODULO 1 - REMUNERAÇÃO ]]*SUMIFS(tabParametros[SESI OU SESC],tabParametros[Código do Posto],tabCustoUnit[[#This Row],[Código do Posto]])</f>
        <v>12.363913499999999</v>
      </c>
      <c r="R191" s="21">
        <f>tabCustoUnit[[#This Row],[MODULO 1 - REMUNERAÇÃO ]]*SUMIFS(tabParametros[SENAI OU SENAC],tabParametros[Código do Posto],tabCustoUnit[[#This Row],[Código do Posto]])</f>
        <v>8.2426089999999999</v>
      </c>
      <c r="S191" s="21">
        <f>tabCustoUnit[[#This Row],[MODULO 1 - REMUNERAÇÃO ]]*SUMIFS(tabParametros[INCRA],tabParametros[Código do Posto],tabCustoUnit[[#This Row],[Código do Posto]])</f>
        <v>1.6485217999999999</v>
      </c>
      <c r="T191" s="21">
        <f>tabCustoUnit[[#This Row],[MODULO 1 - REMUNERAÇÃO ]]*SUMIFS(tabParametros[Salário Educação],tabParametros[Código do Posto],tabCustoUnit[[#This Row],[Código do Posto]])</f>
        <v>20.606522500000001</v>
      </c>
      <c r="U191" s="21">
        <f>tabCustoUnit[[#This Row],[MODULO 1 - REMUNERAÇÃO ]]*SUMIFS(tabParametros[FGTS],tabParametros[Código do Posto],tabCustoUnit[[#This Row],[Código do Posto]])</f>
        <v>65.940871999999999</v>
      </c>
      <c r="V191" s="21">
        <f>tabCustoUnit[[#This Row],[MODULO 1 - REMUNERAÇÃO ]]*SUMIFS(tabParametros[RAT Ajustado],tabParametros[Código do Posto],tabCustoUnit[[#This Row],[Código do Posto]])</f>
        <v>32.970435999999999</v>
      </c>
      <c r="W191" s="21">
        <f>tabCustoUnit[[#This Row],[MODULO 1 - REMUNERAÇÃO ]]*SUMIFS(tabParametros[SEBRAE],tabParametros[Código do Posto],tabCustoUnit[[#This Row],[Código do Posto]])</f>
        <v>4.9455654000000004</v>
      </c>
      <c r="X191" s="21">
        <f>SUM(tabCustoUnit[[#This Row],[INSS]:[SEBRAE]])</f>
        <v>311.57062020000001</v>
      </c>
      <c r="Y191" s="21">
        <f>tabCustoUnit[[#This Row],[MODULO 1 - REMUNERAÇÃO ]]*SUMIFS(tabParametros[13º salário (titular)],tabParametros[Código do Posto],tabCustoUnit[[#This Row],[Código do Posto]])</f>
        <v>68.688408333333328</v>
      </c>
      <c r="Z191" s="21">
        <f>tabCustoUnit[[#This Row],[MODULO 1 - REMUNERAÇÃO ]]*SUMIFS(tabParametros[Férias e Adicional de Férias (titular)],tabParametros[Código do Posto],tabCustoUnit[[#This Row],[Código do Posto]])</f>
        <v>91.584544444444433</v>
      </c>
      <c r="AA191" s="21">
        <f>IFERROR((tabCustoUnit[[#This Row],[Submódulo 2.1]]/tabCustoUnit[[#This Row],[MODULO 1 - REMUNERAÇÃO ]])*SUM(tabCustoUnit[[#This Row],[13º salário (titular)]:[Férias e Adicional de Férias (titular)]]),0)</f>
        <v>60.583176149999993</v>
      </c>
      <c r="AB191" s="21">
        <f>SUM(tabCustoUnit[[#This Row],[13º salário (titular)]:[Incidência do Submódulo 2.1 sobre 13º Salário, Férias e Adicional de Férias]])</f>
        <v>220.85612892777775</v>
      </c>
      <c r="AC191" s="22">
        <f>_xlfn.LET(_xlpm.VT,SUMIF(tabParametros[Código do Posto],tabCustoUnit[[#This Row],[Código do Posto]],tabParametros[Vale - Transporte])*2*20,
IF((_xlpm.VT-tabCustoUnit[[#This Row],[Salário Base]]*0.06)&gt;=0,(_xlpm.VT-tabCustoUnit[[#This Row],[Salário Base]]*0.06),0)
)</f>
        <v>208.11160000000001</v>
      </c>
      <c r="AD191" s="22">
        <f>IF(SUMIF(tabParametros[Código do Posto],tabCustoUnit[[#This Row],[Código do Posto]],tabParametros[Vale - Alimentação])&lt;=0,0,
SUMIF(tabParametros[Código do Posto],tabCustoUnit[[#This Row],[Código do Posto]],tabParametros[Vale - Alimentação])*20-1)</f>
        <v>582</v>
      </c>
      <c r="AE191" s="22">
        <f>SUMIF(tabParametros[Código do Posto],tabCustoUnit[[#This Row],[Código do Posto]],tabParametros[Cesta Básica])</f>
        <v>0</v>
      </c>
      <c r="AF191" s="22">
        <f>SUMIF(tabParametros[Código do Posto],tabCustoUnit[[#This Row],[Código do Posto]],tabParametros[PAF])</f>
        <v>0</v>
      </c>
      <c r="AG191" s="22">
        <f>SUMIF(tabParametros[Código do Posto],tabCustoUnit[[#This Row],[Código do Posto]],tabParametros[PQM])</f>
        <v>0</v>
      </c>
      <c r="AH191" s="22">
        <f>SUMIF(tabParametros[Código do Posto],tabCustoUnit[[#This Row],[Código do Posto]],tabParametros[PAT])</f>
        <v>0</v>
      </c>
      <c r="AI191" s="22">
        <f>SUMIF(tabParametros[Código do Posto],tabCustoUnit[[#This Row],[Código do Posto]],tabParametros[Seguro de Vida])</f>
        <v>3.36</v>
      </c>
      <c r="AJ191" s="22">
        <f>SUMIF(tabParametros[Código do Posto],tabCustoUnit[[#This Row],[Código do Posto]],tabParametros[Despesas de Viagem])</f>
        <v>0</v>
      </c>
      <c r="AK191" s="22">
        <f>SUM(tabCustoUnit[[#This Row],[Vale - Transporte (Descontada parcela do empregado)]:[Despesas de Viagem]])</f>
        <v>793.47159999999997</v>
      </c>
      <c r="AL191" s="22">
        <f>tabCustoUnit[[#This Row],[Submódulo 2.1]]+tabCustoUnit[[#This Row],[Submódulo 2.2]]+tabCustoUnit[[#This Row],[Submódulo 2.3]]</f>
        <v>1325.8983491277777</v>
      </c>
      <c r="AM191" s="22">
        <f>SUMIF(tabParametros[Código do Posto],tabCustoUnit[[#This Row],[Código do Posto]],tabParametros[Aviso Prévio Indenizado (API) e Reflexo do Aviso Prévio Indenizado])*tabCustoUnit[[#This Row],[MODULO 1 - REMUNERAÇÃO ]]</f>
        <v>5.7795253576581791</v>
      </c>
      <c r="AN191" s="22">
        <f>SUMIF(tabParametros[Código do Posto],tabCustoUnit[[#This Row],[Código do Posto]],tabParametros[Incidência do FGTS sobre API e Reflexo do API])*tabCustoUnit[[#This Row],[MODULO 1 - REMUNERAÇÃO ]]</f>
        <v>0.46236202861265435</v>
      </c>
      <c r="AO191" s="22">
        <f>SUMIF(tabParametros[Código do Posto],tabCustoUnit[[#This Row],[Código do Posto]],tabParametros[Multa Rescisória do FGTS sobre o Aviso Prévio Indenizado])*tabCustoUnit[[#This Row],[MODULO 1 - REMUNERAÇÃO ]]</f>
        <v>0.18494481144506175</v>
      </c>
      <c r="AP191" s="22">
        <f>SUMIF(tabParametros[Código do Posto],tabCustoUnit[[#This Row],[Código do Posto]],tabParametros[Aviso Prévio Trabalhado - APT])*tabCustoUnit[[#This Row],[MODULO 1 - REMUNERAÇÃO ]]</f>
        <v>2.8849131500000005</v>
      </c>
      <c r="AQ191" s="22">
        <f>SUMIF(tabParametros[Código do Posto],tabCustoUnit[[#This Row],[Código do Posto]],tabParametros[Incidência dos encargos do submódulo 2.1 sobre Aviso Prévio Trabalhado])*tabCustoUnit[[#This Row],[MODULO 1 - REMUNERAÇÃO ]]</f>
        <v>1.0904971707000004</v>
      </c>
      <c r="AR191" s="22">
        <f>SUMIF(tabParametros[Código do Posto],tabCustoUnit[[#This Row],[Código do Posto]],tabParametros[Multa Rescisória do FGTS])*tabCustoUnit[[#This Row],[MODULO 1 - REMUNERAÇÃO ]]</f>
        <v>25.204066631111107</v>
      </c>
      <c r="AS191" s="22">
        <f>SUMIF(tabParametros[Código do Posto],tabCustoUnit[[#This Row],[Código do Posto]],tabParametros[Indenização Adicional (Art. 9º da Lei nº 7.238/84)])*tabCustoUnit[[#This Row],[MODULO 1 - REMUNERAÇÃO ]]</f>
        <v>0.6868840833333334</v>
      </c>
      <c r="AT191" s="22">
        <f>SUM(tabCustoUnit[[#This Row],[Aviso Prévio Indenizado (API) e Reflexo do Aviso Prévio Indenizado]:[Indenização Adicional (Art. 9º da Lei nº 7.238/84)]])</f>
        <v>36.293193232860339</v>
      </c>
      <c r="AU191" s="22">
        <f>SUMIF(tabParametros[Código do Posto],tabCustoUnit[[#This Row],[Código do Posto]],tabParametros[Ausência por Doença])*tabCustoUnit[[#This Row],[MODULO 1 - REMUNERAÇÃO ]]</f>
        <v>6.9604253777777769</v>
      </c>
      <c r="AV191" s="22">
        <f>SUMIF(tabParametros[Código do Posto],tabCustoUnit[[#This Row],[Código do Posto]],tabParametros[Ausências Legais])*tabCustoUnit[[#This Row],[MODULO 1 - REMUNERAÇÃO ]]</f>
        <v>1.671417936111111</v>
      </c>
      <c r="AW191" s="22">
        <f>SUMIF(tabParametros[Código do Posto],tabCustoUnit[[#This Row],[Código do Posto]],tabParametros[Licença Paternidade])*tabCustoUnit[[#This Row],[MODULO 1 - REMUNERAÇÃO ]]</f>
        <v>0.14081123708333332</v>
      </c>
      <c r="AX191" s="22">
        <f>SUMIF(tabParametros[Código do Posto],tabCustoUnit[[#This Row],[Código do Posto]],tabParametros[Ausência por Acidente de Trabalho])*tabCustoUnit[[#This Row],[MODULO 1 - REMUNERAÇÃO ]]</f>
        <v>0.17172102083333335</v>
      </c>
      <c r="AY191" s="22">
        <f>SUMIF(tabParametros[Código do Posto],tabCustoUnit[[#This Row],[Código do Posto]],tabParametros[Férias, Adicional de Férias e 13º  com empregada em gozo de Licença Maternidade])*tabCustoUnit[[#This Row],[MODULO 1 - REMUNERAÇÃO ]]</f>
        <v>1.0684863518518517</v>
      </c>
      <c r="AZ191" s="22">
        <f>SUMIF(tabParametros[Código do Posto],tabCustoUnit[[#This Row],[Código do Posto]],tabParametros[Incidência do Submódulo 2.1 sobre Ausências Legais])*tabCustoUnit[[#This Row],[MODULO 1 - REMUNERAÇÃO ]]</f>
        <v>3.7848618071425006</v>
      </c>
      <c r="BA191" s="22">
        <f>SUM(tabCustoUnit[[#This Row],[Ausência por Doença]:[Incidência do Submódulo 2.1 sobre Ausências Legais]])</f>
        <v>13.797723730799909</v>
      </c>
      <c r="BB191" s="22">
        <f>SUMIF(tabParametros[Código do Posto],tabCustoUnit[[#This Row],[Código do Posto]],tabParametros[Intervalo para Repouso ou Alimentação])</f>
        <v>0</v>
      </c>
      <c r="BC191" s="22">
        <f>tabCustoUnit[[#This Row],[Intervalo para Repouso ou Alimentação]]</f>
        <v>0</v>
      </c>
      <c r="BD191" s="22">
        <f>IF(VLOOKUP(tabCustoUnit[[#This Row],[Código do Posto]],PARAMETROS!$A$4:$BJ$255,7,0)&lt;=0,0,
IFERROR((tabCustoUnit[[#This Row],[MODULO 1 - REMUNERAÇÃO ]]*VLOOKUP(tabCustoUnit[[#This Row],[Código do Posto]],PARAMETROS!$A$4:$BJ$255,49,0))/(VLOOKUP(tabCustoUnit[[#This Row],[Código do Posto]],PARAMETROS!$A$4:$BJ$255,7,0)*VLOOKUP(tabCustoUnit[[#This Row],[Código do Posto]],PARAMETROS!$A$4:$BJ$255,8,0)),0)
)</f>
        <v>0</v>
      </c>
      <c r="BE191" s="22">
        <f>tabCustoUnit[[#This Row],[Suspensão Temporária do Contrato de Trabalho]]</f>
        <v>0</v>
      </c>
      <c r="BF191" s="22">
        <f>tabCustoUnit[[#This Row],[Submódulo 4.1]]+tabCustoUnit[[#This Row],[Submódulo 4.2]]+tabCustoUnit[[#This Row],[Submódulo 4.3]]</f>
        <v>13.797723730799909</v>
      </c>
      <c r="BG191" s="22">
        <f>VLOOKUP(tabCustoUnit[[#This Row],[Código do Posto]],tabParametros[],MATCH(tabCustoUnit[[#Headers],[Uniformes e EPIs]],tabParametros[#Headers],0),0)</f>
        <v>62.806666666666665</v>
      </c>
      <c r="BH191" s="22">
        <f>VLOOKUP(tabCustoUnit[[#This Row],[Código do Posto]],tabParametros[],MATCH(tabCustoUnit[[#Headers],[Materiais de Consumo]],tabParametros[#Headers],0),0)</f>
        <v>17.759106479291944</v>
      </c>
      <c r="BI191" s="22">
        <f>VLOOKUP(tabCustoUnit[[#This Row],[Código do Posto]],tabParametros[],MATCH(tabCustoUnit[[#Headers],[Máquinas e Equipamentos (depreciação)]],tabParametros[#Headers],0),0)</f>
        <v>32.264696957412788</v>
      </c>
      <c r="BJ191" s="22">
        <f>VLOOKUP(tabCustoUnit[[#This Row],[Código do Posto]],tabParametros[],MATCH(tabCustoUnit[[#Headers],[Produtos de Limpeza e Materiais de Higiene Pessoal]],tabParametros[#Headers],0),0)</f>
        <v>345.13576638965827</v>
      </c>
      <c r="BK191" s="22">
        <f>VLOOKUP(tabCustoUnit[[#This Row],[Código do Posto]],tabParametros[],MATCH(tabCustoUnit[[#Headers],[Outros (especificar)]],tabParametros[#Headers],0),0)</f>
        <v>0</v>
      </c>
      <c r="BL191" s="22">
        <f>SUM(tabCustoUnit[[#This Row],[Uniformes e EPIs]:[Outros (especificar)]])</f>
        <v>457.96623649302967</v>
      </c>
      <c r="BM191" s="22">
        <f>tabCustoUnit[[#This Row],[MODULO 1 - REMUNERAÇÃO ]]+tabCustoUnit[[#This Row],[MÓDULO 2 - Total Encargos e Benefícios mensais e diários]]+tabCustoUnit[[#This Row],[MÓDULO 3 – PROVISÃO PARA RESCISÃO]]+tabCustoUnit[[#This Row],[MÓDULO 4 – CUSTO DE REPOSIÇÃO DO PROFISSIONAL AUSENTE]]+tabCustoUnit[[#This Row],[MÓDULO 5 – INSUMOS DIVERSOS]]</f>
        <v>2658.2164025844677</v>
      </c>
      <c r="BN191" s="22">
        <f>VLOOKUP(tabCustoUnit[[#This Row],[Código do Posto]],tabParametros[],MATCH(tabCustoUnit[[#Headers],[Custos Indiretos]],tabParametros[#Headers],0),0)</f>
        <v>189.64880140242613</v>
      </c>
      <c r="BO191" s="22">
        <f>VLOOKUP(tabCustoUnit[[#This Row],[Código do Posto]],tabParametros[],MATCH(tabCustoUnit[[#Headers],[Lucro]],tabParametros[#Headers],0),0)</f>
        <v>159.30499317803796</v>
      </c>
      <c r="BP191" s="26">
        <f>((100/((1-tabCustoUnit[[#This Row],[Resumo de Alíquotas (PIS+CONFINS+ISS)]]))-100)*VLOOKUP(tabCustoUnit[[#This Row],[Código do Posto]],tabParametros[],MATCH(tabCustoUnit[[#Headers],[COFINS]],tabParametros[#Headers],0),0))/(tabCustoUnit[[#This Row],[Resumo de Alíquotas (PIS+CONFINS+ISS)]]*100)</f>
        <v>8.5633802816901458E-2</v>
      </c>
      <c r="BQ191" s="26">
        <f>((100/((100-(tabCustoUnit[[#This Row],[Resumo de Alíquotas (PIS+CONFINS+ISS)]]*100))%)-100)*VLOOKUP(tabCustoUnit[[#This Row],[Código do Posto]],tabParametros[],MATCH(tabCustoUnit[[#Headers],[PIS]],tabParametros[#Headers],0),0))/(tabCustoUnit[[#This Row],[Resumo de Alíquotas (PIS+CONFINS+ISS)]]*100)</f>
        <v>1.8591549295774657E-2</v>
      </c>
      <c r="BR191" s="28">
        <f>VLOOKUP(tabCustoUnit[[#This Row],[Código do Posto]],tabParametros[],MATCH(tabCustoUnit[[#Headers],[ISS]],tabParametros[#Headers],0),0)</f>
        <v>0.02</v>
      </c>
      <c r="BS191" s="26">
        <f>(((100/((100-(tabCustoUnit[[#This Row],[Resumo de Alíquotas (PIS+CONFINS+ISS)]]*100))%)-100)*tabCustoUnit[[#This Row],[ISS]])/tabCustoUnit[[#This Row],[Resumo de Alíquotas (PIS+CONFINS+ISS)]])/100</f>
        <v>2.2535211267605645E-2</v>
      </c>
      <c r="BT191" s="26">
        <f>(VLOOKUP(tabCustoUnit[[#This Row],[Código do Posto]],tabParametros[],MATCH(tabCustoUnit[[#Headers],[COFINS]],tabParametros[#Headers],0),0)+
VLOOKUP(tabCustoUnit[[#This Row],[Código do Posto]],tabParametros[],MATCH(tabCustoUnit[[#Headers],[PIS]],tabParametros[#Headers],0),0)+
VLOOKUP(tabCustoUnit[[#This Row],[Código do Posto]],tabParametros[],MATCH(tabCustoUnit[[#Headers],[ISS]],tabParametros[#Headers],0),0))</f>
        <v>0.1125</v>
      </c>
      <c r="BU191" s="138">
        <f>tabCustoUnit[[#This Row],[COFINS]]+tabCustoUnit[[#This Row],[PIS]]+tabCustoUnit[[#This Row],[ISS (Conversão Alíquota s/ fatura)]]</f>
        <v>0.12676056338028174</v>
      </c>
      <c r="BV191" s="22">
        <f>(tabCustoUnit[[#This Row],[TOTAL MÓDULOS 1+2+3+4+5]]+tabCustoUnit[[#This Row],[Custos Indiretos]]+tabCustoUnit[[#This Row],[Lucro]])*tabCustoUnit[[#This Row],[PIS + COFINS + ISS (Total Conversão  Alíquota s/ Fatura)]]</f>
        <v>381.19058837301969</v>
      </c>
      <c r="BW191" s="22">
        <f>tabCustoUnit[[#This Row],[Custos Indiretos]]+tabCustoUnit[[#This Row],[Lucro]]+tabCustoUnit[[#This Row],[Valor dos Tributos (ISS, PIS, CONFINS)]]</f>
        <v>730.14438295348373</v>
      </c>
      <c r="BX191" s="22">
        <f>tabCustoUnit[[#This Row],[TOTAL MÓDULOS 1+2+3+4+5]]+tabCustoUnit[[#This Row],[MÓDULO 6 – CUSTOS INDIRETOS, TRIBUTOS E LUCRO]]</f>
        <v>3388.3607855379514</v>
      </c>
      <c r="BY191" s="22">
        <f>tabCustoUnit[[#This Row],[CUSTO TOTAL MENSAL]]*12</f>
        <v>40660.329426455413</v>
      </c>
      <c r="BZ191" s="24">
        <f>VLOOKUP(tabCustoUnit[[#This Row],[Código do Posto]],tabParametros[],MATCH(tabCustoUnit[[#Headers],[ANO DA CCT]],tabParametros[#Headers],0),0)</f>
        <v>45658</v>
      </c>
      <c r="CA191" s="25" t="str">
        <f>VLOOKUP(tabCustoUnit[[#This Row],[Código do Posto]],tabParametros[],MATCH(tabCustoUnit[[#Headers],[Nº DE PEDIDO DA CCT]],tabParametros[#Headers],0),0)</f>
        <v>-</v>
      </c>
      <c r="CB191" s="25" t="str">
        <f>VLOOKUP(tabCustoUnit[[#This Row],[Código do Posto]],tabParametros[],MATCH(tabCustoUnit[[#Headers],[TERMO ADITIVO ALTERAÇÃO DA CCT]],tabParametros[#Headers],0),0)</f>
        <v>-</v>
      </c>
    </row>
    <row r="192" spans="1:80" x14ac:dyDescent="0.25">
      <c r="A192" s="20" t="s">
        <v>1528</v>
      </c>
      <c r="B192" t="s">
        <v>174</v>
      </c>
      <c r="C192" t="s">
        <v>1244</v>
      </c>
      <c r="D192" t="s">
        <v>1023</v>
      </c>
      <c r="E192" s="20" t="s">
        <v>9</v>
      </c>
      <c r="F192" s="20" t="s">
        <v>10</v>
      </c>
      <c r="G192" s="21">
        <v>798.14</v>
      </c>
      <c r="H192" s="21">
        <v>0</v>
      </c>
      <c r="I192" s="21">
        <v>0</v>
      </c>
      <c r="J192" s="21">
        <v>0</v>
      </c>
      <c r="K192" s="21">
        <v>0</v>
      </c>
      <c r="L192" s="21">
        <v>0</v>
      </c>
      <c r="M192" s="21">
        <v>0</v>
      </c>
      <c r="N192" s="21">
        <v>26.120899999999999</v>
      </c>
      <c r="O192" s="21">
        <f>SUM(tabCustoUnit[[#This Row],[Salário Base]:[Adicional de Acúmulo de função]])</f>
        <v>824.26089999999999</v>
      </c>
      <c r="P192" s="21">
        <f>tabCustoUnit[[#This Row],[MODULO 1 - REMUNERAÇÃO ]]*SUMIFS(tabParametros[INSS],tabParametros[Código do Posto],tabCustoUnit[[#This Row],[Código do Posto]])</f>
        <v>164.85218</v>
      </c>
      <c r="Q192" s="21">
        <f>tabCustoUnit[[#This Row],[MODULO 1 - REMUNERAÇÃO ]]*SUMIFS(tabParametros[SESI OU SESC],tabParametros[Código do Posto],tabCustoUnit[[#This Row],[Código do Posto]])</f>
        <v>12.363913499999999</v>
      </c>
      <c r="R192" s="21">
        <f>tabCustoUnit[[#This Row],[MODULO 1 - REMUNERAÇÃO ]]*SUMIFS(tabParametros[SENAI OU SENAC],tabParametros[Código do Posto],tabCustoUnit[[#This Row],[Código do Posto]])</f>
        <v>8.2426089999999999</v>
      </c>
      <c r="S192" s="21">
        <f>tabCustoUnit[[#This Row],[MODULO 1 - REMUNERAÇÃO ]]*SUMIFS(tabParametros[INCRA],tabParametros[Código do Posto],tabCustoUnit[[#This Row],[Código do Posto]])</f>
        <v>1.6485217999999999</v>
      </c>
      <c r="T192" s="21">
        <f>tabCustoUnit[[#This Row],[MODULO 1 - REMUNERAÇÃO ]]*SUMIFS(tabParametros[Salário Educação],tabParametros[Código do Posto],tabCustoUnit[[#This Row],[Código do Posto]])</f>
        <v>20.606522500000001</v>
      </c>
      <c r="U192" s="21">
        <f>tabCustoUnit[[#This Row],[MODULO 1 - REMUNERAÇÃO ]]*SUMIFS(tabParametros[FGTS],tabParametros[Código do Posto],tabCustoUnit[[#This Row],[Código do Posto]])</f>
        <v>65.940871999999999</v>
      </c>
      <c r="V192" s="21">
        <f>tabCustoUnit[[#This Row],[MODULO 1 - REMUNERAÇÃO ]]*SUMIFS(tabParametros[RAT Ajustado],tabParametros[Código do Posto],tabCustoUnit[[#This Row],[Código do Posto]])</f>
        <v>32.970435999999999</v>
      </c>
      <c r="W192" s="21">
        <f>tabCustoUnit[[#This Row],[MODULO 1 - REMUNERAÇÃO ]]*SUMIFS(tabParametros[SEBRAE],tabParametros[Código do Posto],tabCustoUnit[[#This Row],[Código do Posto]])</f>
        <v>4.9455654000000004</v>
      </c>
      <c r="X192" s="21">
        <f>SUM(tabCustoUnit[[#This Row],[INSS]:[SEBRAE]])</f>
        <v>311.57062020000001</v>
      </c>
      <c r="Y192" s="21">
        <f>tabCustoUnit[[#This Row],[MODULO 1 - REMUNERAÇÃO ]]*SUMIFS(tabParametros[13º salário (titular)],tabParametros[Código do Posto],tabCustoUnit[[#This Row],[Código do Posto]])</f>
        <v>68.688408333333328</v>
      </c>
      <c r="Z192" s="21">
        <f>tabCustoUnit[[#This Row],[MODULO 1 - REMUNERAÇÃO ]]*SUMIFS(tabParametros[Férias e Adicional de Férias (titular)],tabParametros[Código do Posto],tabCustoUnit[[#This Row],[Código do Posto]])</f>
        <v>91.584544444444433</v>
      </c>
      <c r="AA192" s="21">
        <f>IFERROR((tabCustoUnit[[#This Row],[Submódulo 2.1]]/tabCustoUnit[[#This Row],[MODULO 1 - REMUNERAÇÃO ]])*SUM(tabCustoUnit[[#This Row],[13º salário (titular)]:[Férias e Adicional de Férias (titular)]]),0)</f>
        <v>60.583176149999993</v>
      </c>
      <c r="AB192" s="21">
        <f>SUM(tabCustoUnit[[#This Row],[13º salário (titular)]:[Incidência do Submódulo 2.1 sobre 13º Salário, Férias e Adicional de Férias]])</f>
        <v>220.85612892777775</v>
      </c>
      <c r="AC192" s="22">
        <f>_xlfn.LET(_xlpm.VT,SUMIF(tabParametros[Código do Posto],tabCustoUnit[[#This Row],[Código do Posto]],tabParametros[Vale - Transporte])*2*20,
IF((_xlpm.VT-tabCustoUnit[[#This Row],[Salário Base]]*0.06)&gt;=0,(_xlpm.VT-tabCustoUnit[[#This Row],[Salário Base]]*0.06),0)
)</f>
        <v>208.11160000000001</v>
      </c>
      <c r="AD192" s="22">
        <f>IF(SUMIF(tabParametros[Código do Posto],tabCustoUnit[[#This Row],[Código do Posto]],tabParametros[Vale - Alimentação])&lt;=0,0,
SUMIF(tabParametros[Código do Posto],tabCustoUnit[[#This Row],[Código do Posto]],tabParametros[Vale - Alimentação])*20-1)</f>
        <v>582</v>
      </c>
      <c r="AE192" s="22">
        <f>SUMIF(tabParametros[Código do Posto],tabCustoUnit[[#This Row],[Código do Posto]],tabParametros[Cesta Básica])</f>
        <v>0</v>
      </c>
      <c r="AF192" s="22">
        <f>SUMIF(tabParametros[Código do Posto],tabCustoUnit[[#This Row],[Código do Posto]],tabParametros[PAF])</f>
        <v>0</v>
      </c>
      <c r="AG192" s="22">
        <f>SUMIF(tabParametros[Código do Posto],tabCustoUnit[[#This Row],[Código do Posto]],tabParametros[PQM])</f>
        <v>0</v>
      </c>
      <c r="AH192" s="22">
        <f>SUMIF(tabParametros[Código do Posto],tabCustoUnit[[#This Row],[Código do Posto]],tabParametros[PAT])</f>
        <v>0</v>
      </c>
      <c r="AI192" s="22">
        <f>SUMIF(tabParametros[Código do Posto],tabCustoUnit[[#This Row],[Código do Posto]],tabParametros[Seguro de Vida])</f>
        <v>3.36</v>
      </c>
      <c r="AJ192" s="22">
        <f>SUMIF(tabParametros[Código do Posto],tabCustoUnit[[#This Row],[Código do Posto]],tabParametros[Despesas de Viagem])</f>
        <v>0</v>
      </c>
      <c r="AK192" s="22">
        <f>SUM(tabCustoUnit[[#This Row],[Vale - Transporte (Descontada parcela do empregado)]:[Despesas de Viagem]])</f>
        <v>793.47159999999997</v>
      </c>
      <c r="AL192" s="22">
        <f>tabCustoUnit[[#This Row],[Submódulo 2.1]]+tabCustoUnit[[#This Row],[Submódulo 2.2]]+tabCustoUnit[[#This Row],[Submódulo 2.3]]</f>
        <v>1325.8983491277777</v>
      </c>
      <c r="AM192" s="22">
        <f>SUMIF(tabParametros[Código do Posto],tabCustoUnit[[#This Row],[Código do Posto]],tabParametros[Aviso Prévio Indenizado (API) e Reflexo do Aviso Prévio Indenizado])*tabCustoUnit[[#This Row],[MODULO 1 - REMUNERAÇÃO ]]</f>
        <v>5.7795253576581791</v>
      </c>
      <c r="AN192" s="22">
        <f>SUMIF(tabParametros[Código do Posto],tabCustoUnit[[#This Row],[Código do Posto]],tabParametros[Incidência do FGTS sobre API e Reflexo do API])*tabCustoUnit[[#This Row],[MODULO 1 - REMUNERAÇÃO ]]</f>
        <v>0.46236202861265435</v>
      </c>
      <c r="AO192" s="22">
        <f>SUMIF(tabParametros[Código do Posto],tabCustoUnit[[#This Row],[Código do Posto]],tabParametros[Multa Rescisória do FGTS sobre o Aviso Prévio Indenizado])*tabCustoUnit[[#This Row],[MODULO 1 - REMUNERAÇÃO ]]</f>
        <v>0.18494481144506175</v>
      </c>
      <c r="AP192" s="22">
        <f>SUMIF(tabParametros[Código do Posto],tabCustoUnit[[#This Row],[Código do Posto]],tabParametros[Aviso Prévio Trabalhado - APT])*tabCustoUnit[[#This Row],[MODULO 1 - REMUNERAÇÃO ]]</f>
        <v>2.8849131500000005</v>
      </c>
      <c r="AQ192" s="22">
        <f>SUMIF(tabParametros[Código do Posto],tabCustoUnit[[#This Row],[Código do Posto]],tabParametros[Incidência dos encargos do submódulo 2.1 sobre Aviso Prévio Trabalhado])*tabCustoUnit[[#This Row],[MODULO 1 - REMUNERAÇÃO ]]</f>
        <v>1.0904971707000004</v>
      </c>
      <c r="AR192" s="22">
        <f>SUMIF(tabParametros[Código do Posto],tabCustoUnit[[#This Row],[Código do Posto]],tabParametros[Multa Rescisória do FGTS])*tabCustoUnit[[#This Row],[MODULO 1 - REMUNERAÇÃO ]]</f>
        <v>25.204066631111107</v>
      </c>
      <c r="AS192" s="22">
        <f>SUMIF(tabParametros[Código do Posto],tabCustoUnit[[#This Row],[Código do Posto]],tabParametros[Indenização Adicional (Art. 9º da Lei nº 7.238/84)])*tabCustoUnit[[#This Row],[MODULO 1 - REMUNERAÇÃO ]]</f>
        <v>0.6868840833333334</v>
      </c>
      <c r="AT192" s="22">
        <f>SUM(tabCustoUnit[[#This Row],[Aviso Prévio Indenizado (API) e Reflexo do Aviso Prévio Indenizado]:[Indenização Adicional (Art. 9º da Lei nº 7.238/84)]])</f>
        <v>36.293193232860339</v>
      </c>
      <c r="AU192" s="22">
        <f>SUMIF(tabParametros[Código do Posto],tabCustoUnit[[#This Row],[Código do Posto]],tabParametros[Ausência por Doença])*tabCustoUnit[[#This Row],[MODULO 1 - REMUNERAÇÃO ]]</f>
        <v>6.9604253777777769</v>
      </c>
      <c r="AV192" s="22">
        <f>SUMIF(tabParametros[Código do Posto],tabCustoUnit[[#This Row],[Código do Posto]],tabParametros[Ausências Legais])*tabCustoUnit[[#This Row],[MODULO 1 - REMUNERAÇÃO ]]</f>
        <v>1.671417936111111</v>
      </c>
      <c r="AW192" s="22">
        <f>SUMIF(tabParametros[Código do Posto],tabCustoUnit[[#This Row],[Código do Posto]],tabParametros[Licença Paternidade])*tabCustoUnit[[#This Row],[MODULO 1 - REMUNERAÇÃO ]]</f>
        <v>0.14081123708333332</v>
      </c>
      <c r="AX192" s="22">
        <f>SUMIF(tabParametros[Código do Posto],tabCustoUnit[[#This Row],[Código do Posto]],tabParametros[Ausência por Acidente de Trabalho])*tabCustoUnit[[#This Row],[MODULO 1 - REMUNERAÇÃO ]]</f>
        <v>0.17172102083333335</v>
      </c>
      <c r="AY192" s="22">
        <f>SUMIF(tabParametros[Código do Posto],tabCustoUnit[[#This Row],[Código do Posto]],tabParametros[Férias, Adicional de Férias e 13º  com empregada em gozo de Licença Maternidade])*tabCustoUnit[[#This Row],[MODULO 1 - REMUNERAÇÃO ]]</f>
        <v>1.0684863518518517</v>
      </c>
      <c r="AZ192" s="22">
        <f>SUMIF(tabParametros[Código do Posto],tabCustoUnit[[#This Row],[Código do Posto]],tabParametros[Incidência do Submódulo 2.1 sobre Ausências Legais])*tabCustoUnit[[#This Row],[MODULO 1 - REMUNERAÇÃO ]]</f>
        <v>3.7848618071425006</v>
      </c>
      <c r="BA192" s="22">
        <f>SUM(tabCustoUnit[[#This Row],[Ausência por Doença]:[Incidência do Submódulo 2.1 sobre Ausências Legais]])</f>
        <v>13.797723730799909</v>
      </c>
      <c r="BB192" s="22">
        <f>SUMIF(tabParametros[Código do Posto],tabCustoUnit[[#This Row],[Código do Posto]],tabParametros[Intervalo para Repouso ou Alimentação])</f>
        <v>0</v>
      </c>
      <c r="BC192" s="22">
        <f>tabCustoUnit[[#This Row],[Intervalo para Repouso ou Alimentação]]</f>
        <v>0</v>
      </c>
      <c r="BD192" s="22">
        <f>IF(VLOOKUP(tabCustoUnit[[#This Row],[Código do Posto]],PARAMETROS!$A$4:$BJ$255,7,0)&lt;=0,0,
IFERROR((tabCustoUnit[[#This Row],[MODULO 1 - REMUNERAÇÃO ]]*VLOOKUP(tabCustoUnit[[#This Row],[Código do Posto]],PARAMETROS!$A$4:$BJ$255,49,0))/(VLOOKUP(tabCustoUnit[[#This Row],[Código do Posto]],PARAMETROS!$A$4:$BJ$255,7,0)*VLOOKUP(tabCustoUnit[[#This Row],[Código do Posto]],PARAMETROS!$A$4:$BJ$255,8,0)),0)
)</f>
        <v>0</v>
      </c>
      <c r="BE192" s="22">
        <f>tabCustoUnit[[#This Row],[Suspensão Temporária do Contrato de Trabalho]]</f>
        <v>0</v>
      </c>
      <c r="BF192" s="22">
        <f>tabCustoUnit[[#This Row],[Submódulo 4.1]]+tabCustoUnit[[#This Row],[Submódulo 4.2]]+tabCustoUnit[[#This Row],[Submódulo 4.3]]</f>
        <v>13.797723730799909</v>
      </c>
      <c r="BG192" s="22">
        <f>VLOOKUP(tabCustoUnit[[#This Row],[Código do Posto]],tabParametros[],MATCH(tabCustoUnit[[#Headers],[Uniformes e EPIs]],tabParametros[#Headers],0),0)</f>
        <v>62.806666666666665</v>
      </c>
      <c r="BH192" s="22">
        <f>VLOOKUP(tabCustoUnit[[#This Row],[Código do Posto]],tabParametros[],MATCH(tabCustoUnit[[#Headers],[Materiais de Consumo]],tabParametros[#Headers],0),0)</f>
        <v>17.759106479291944</v>
      </c>
      <c r="BI192" s="22">
        <f>VLOOKUP(tabCustoUnit[[#This Row],[Código do Posto]],tabParametros[],MATCH(tabCustoUnit[[#Headers],[Máquinas e Equipamentos (depreciação)]],tabParametros[#Headers],0),0)</f>
        <v>32.264696957412788</v>
      </c>
      <c r="BJ192" s="22">
        <f>VLOOKUP(tabCustoUnit[[#This Row],[Código do Posto]],tabParametros[],MATCH(tabCustoUnit[[#Headers],[Produtos de Limpeza e Materiais de Higiene Pessoal]],tabParametros[#Headers],0),0)</f>
        <v>345.13576638965827</v>
      </c>
      <c r="BK192" s="22">
        <f>VLOOKUP(tabCustoUnit[[#This Row],[Código do Posto]],tabParametros[],MATCH(tabCustoUnit[[#Headers],[Outros (especificar)]],tabParametros[#Headers],0),0)</f>
        <v>0</v>
      </c>
      <c r="BL192" s="22">
        <f>SUM(tabCustoUnit[[#This Row],[Uniformes e EPIs]:[Outros (especificar)]])</f>
        <v>457.96623649302967</v>
      </c>
      <c r="BM192" s="22">
        <f>tabCustoUnit[[#This Row],[MODULO 1 - REMUNERAÇÃO ]]+tabCustoUnit[[#This Row],[MÓDULO 2 - Total Encargos e Benefícios mensais e diários]]+tabCustoUnit[[#This Row],[MÓDULO 3 – PROVISÃO PARA RESCISÃO]]+tabCustoUnit[[#This Row],[MÓDULO 4 – CUSTO DE REPOSIÇÃO DO PROFISSIONAL AUSENTE]]+tabCustoUnit[[#This Row],[MÓDULO 5 – INSUMOS DIVERSOS]]</f>
        <v>2658.2164025844677</v>
      </c>
      <c r="BN192" s="22">
        <f>VLOOKUP(tabCustoUnit[[#This Row],[Código do Posto]],tabParametros[],MATCH(tabCustoUnit[[#Headers],[Custos Indiretos]],tabParametros[#Headers],0),0)</f>
        <v>189.64880140242613</v>
      </c>
      <c r="BO192" s="22">
        <f>VLOOKUP(tabCustoUnit[[#This Row],[Código do Posto]],tabParametros[],MATCH(tabCustoUnit[[#Headers],[Lucro]],tabParametros[#Headers],0),0)</f>
        <v>159.30499317803796</v>
      </c>
      <c r="BP192" s="26">
        <f>((100/((1-tabCustoUnit[[#This Row],[Resumo de Alíquotas (PIS+CONFINS+ISS)]]))-100)*VLOOKUP(tabCustoUnit[[#This Row],[Código do Posto]],tabParametros[],MATCH(tabCustoUnit[[#Headers],[COFINS]],tabParametros[#Headers],0),0))/(tabCustoUnit[[#This Row],[Resumo de Alíquotas (PIS+CONFINS+ISS)]]*100)</f>
        <v>8.8629737609329504E-2</v>
      </c>
      <c r="BQ192" s="26">
        <f>((100/((100-(tabCustoUnit[[#This Row],[Resumo de Alíquotas (PIS+CONFINS+ISS)]]*100))%)-100)*VLOOKUP(tabCustoUnit[[#This Row],[Código do Posto]],tabParametros[],MATCH(tabCustoUnit[[#Headers],[PIS]],tabParametros[#Headers],0),0))/(tabCustoUnit[[#This Row],[Resumo de Alíquotas (PIS+CONFINS+ISS)]]*100)</f>
        <v>1.9241982507288629E-2</v>
      </c>
      <c r="BR192" s="28">
        <f>VLOOKUP(tabCustoUnit[[#This Row],[Código do Posto]],tabParametros[],MATCH(tabCustoUnit[[#Headers],[ISS]],tabParametros[#Headers],0),0)</f>
        <v>0.05</v>
      </c>
      <c r="BS192" s="26">
        <f>(((100/((100-(tabCustoUnit[[#This Row],[Resumo de Alíquotas (PIS+CONFINS+ISS)]]*100))%)-100)*tabCustoUnit[[#This Row],[ISS]])/tabCustoUnit[[#This Row],[Resumo de Alíquotas (PIS+CONFINS+ISS)]])/100</f>
        <v>5.8309037900874633E-2</v>
      </c>
      <c r="BT192" s="26">
        <f>(VLOOKUP(tabCustoUnit[[#This Row],[Código do Posto]],tabParametros[],MATCH(tabCustoUnit[[#Headers],[COFINS]],tabParametros[#Headers],0),0)+
VLOOKUP(tabCustoUnit[[#This Row],[Código do Posto]],tabParametros[],MATCH(tabCustoUnit[[#Headers],[PIS]],tabParametros[#Headers],0),0)+
VLOOKUP(tabCustoUnit[[#This Row],[Código do Posto]],tabParametros[],MATCH(tabCustoUnit[[#Headers],[ISS]],tabParametros[#Headers],0),0))</f>
        <v>0.14250000000000002</v>
      </c>
      <c r="BU192" s="138">
        <f>tabCustoUnit[[#This Row],[COFINS]]+tabCustoUnit[[#This Row],[PIS]]+tabCustoUnit[[#This Row],[ISS (Conversão Alíquota s/ fatura)]]</f>
        <v>0.16618075801749277</v>
      </c>
      <c r="BV192" s="22">
        <f>(tabCustoUnit[[#This Row],[TOTAL MÓDULOS 1+2+3+4+5]]+tabCustoUnit[[#This Row],[Custos Indiretos]]+tabCustoUnit[[#This Row],[Lucro]])*tabCustoUnit[[#This Row],[PIS + COFINS + ISS (Total Conversão  Alíquota s/ Fatura)]]</f>
        <v>499.73382285248152</v>
      </c>
      <c r="BW192" s="22">
        <f>tabCustoUnit[[#This Row],[Custos Indiretos]]+tabCustoUnit[[#This Row],[Lucro]]+tabCustoUnit[[#This Row],[Valor dos Tributos (ISS, PIS, CONFINS)]]</f>
        <v>848.68761743294567</v>
      </c>
      <c r="BX192" s="22">
        <f>tabCustoUnit[[#This Row],[TOTAL MÓDULOS 1+2+3+4+5]]+tabCustoUnit[[#This Row],[MÓDULO 6 – CUSTOS INDIRETOS, TRIBUTOS E LUCRO]]</f>
        <v>3506.9040200174131</v>
      </c>
      <c r="BY192" s="22">
        <f>tabCustoUnit[[#This Row],[CUSTO TOTAL MENSAL]]*12</f>
        <v>42082.848240208958</v>
      </c>
      <c r="BZ192" s="24">
        <f>VLOOKUP(tabCustoUnit[[#This Row],[Código do Posto]],tabParametros[],MATCH(tabCustoUnit[[#Headers],[ANO DA CCT]],tabParametros[#Headers],0),0)</f>
        <v>45658</v>
      </c>
      <c r="CA192" s="25" t="str">
        <f>VLOOKUP(tabCustoUnit[[#This Row],[Código do Posto]],tabParametros[],MATCH(tabCustoUnit[[#Headers],[Nº DE PEDIDO DA CCT]],tabParametros[#Headers],0),0)</f>
        <v>-</v>
      </c>
      <c r="CB192" s="25" t="str">
        <f>VLOOKUP(tabCustoUnit[[#This Row],[Código do Posto]],tabParametros[],MATCH(tabCustoUnit[[#Headers],[TERMO ADITIVO ALTERAÇÃO DA CCT]],tabParametros[#Headers],0),0)</f>
        <v>-</v>
      </c>
    </row>
    <row r="193" spans="1:80" x14ac:dyDescent="0.25">
      <c r="A193" s="20" t="s">
        <v>1529</v>
      </c>
      <c r="B193" t="s">
        <v>175</v>
      </c>
      <c r="C193" t="s">
        <v>1245</v>
      </c>
      <c r="D193" t="s">
        <v>1023</v>
      </c>
      <c r="E193" s="20" t="s">
        <v>9</v>
      </c>
      <c r="F193" s="20" t="s">
        <v>10</v>
      </c>
      <c r="G193" s="21">
        <v>1596.28</v>
      </c>
      <c r="H193" s="21">
        <v>0</v>
      </c>
      <c r="I193" s="21">
        <v>0</v>
      </c>
      <c r="J193" s="21">
        <v>0</v>
      </c>
      <c r="K193" s="21">
        <v>0</v>
      </c>
      <c r="L193" s="21">
        <v>0</v>
      </c>
      <c r="M193" s="21">
        <v>0</v>
      </c>
      <c r="N193" s="21">
        <v>52.241900000000001</v>
      </c>
      <c r="O193" s="21">
        <f>SUM(tabCustoUnit[[#This Row],[Salário Base]:[Adicional de Acúmulo de função]])</f>
        <v>1648.5219</v>
      </c>
      <c r="P193" s="21">
        <f>tabCustoUnit[[#This Row],[MODULO 1 - REMUNERAÇÃO ]]*SUMIFS(tabParametros[INSS],tabParametros[Código do Posto],tabCustoUnit[[#This Row],[Código do Posto]])</f>
        <v>329.70438000000001</v>
      </c>
      <c r="Q193" s="21">
        <f>tabCustoUnit[[#This Row],[MODULO 1 - REMUNERAÇÃO ]]*SUMIFS(tabParametros[SESI OU SESC],tabParametros[Código do Posto],tabCustoUnit[[#This Row],[Código do Posto]])</f>
        <v>24.727828499999998</v>
      </c>
      <c r="R193" s="21">
        <f>tabCustoUnit[[#This Row],[MODULO 1 - REMUNERAÇÃO ]]*SUMIFS(tabParametros[SENAI OU SENAC],tabParametros[Código do Posto],tabCustoUnit[[#This Row],[Código do Posto]])</f>
        <v>16.485219000000001</v>
      </c>
      <c r="S193" s="21">
        <f>tabCustoUnit[[#This Row],[MODULO 1 - REMUNERAÇÃO ]]*SUMIFS(tabParametros[INCRA],tabParametros[Código do Posto],tabCustoUnit[[#This Row],[Código do Posto]])</f>
        <v>3.2970438</v>
      </c>
      <c r="T193" s="21">
        <f>tabCustoUnit[[#This Row],[MODULO 1 - REMUNERAÇÃO ]]*SUMIFS(tabParametros[Salário Educação],tabParametros[Código do Posto],tabCustoUnit[[#This Row],[Código do Posto]])</f>
        <v>41.213047500000002</v>
      </c>
      <c r="U193" s="21">
        <f>tabCustoUnit[[#This Row],[MODULO 1 - REMUNERAÇÃO ]]*SUMIFS(tabParametros[FGTS],tabParametros[Código do Posto],tabCustoUnit[[#This Row],[Código do Posto]])</f>
        <v>131.88175200000001</v>
      </c>
      <c r="V193" s="21">
        <f>tabCustoUnit[[#This Row],[MODULO 1 - REMUNERAÇÃO ]]*SUMIFS(tabParametros[RAT Ajustado],tabParametros[Código do Posto],tabCustoUnit[[#This Row],[Código do Posto]])</f>
        <v>65.940876000000003</v>
      </c>
      <c r="W193" s="21">
        <f>tabCustoUnit[[#This Row],[MODULO 1 - REMUNERAÇÃO ]]*SUMIFS(tabParametros[SEBRAE],tabParametros[Código do Posto],tabCustoUnit[[#This Row],[Código do Posto]])</f>
        <v>9.8911314000000008</v>
      </c>
      <c r="X193" s="21">
        <f>SUM(tabCustoUnit[[#This Row],[INSS]:[SEBRAE]])</f>
        <v>623.14127819999999</v>
      </c>
      <c r="Y193" s="21">
        <f>tabCustoUnit[[#This Row],[MODULO 1 - REMUNERAÇÃO ]]*SUMIFS(tabParametros[13º salário (titular)],tabParametros[Código do Posto],tabCustoUnit[[#This Row],[Código do Posto]])</f>
        <v>137.376825</v>
      </c>
      <c r="Z193" s="21">
        <f>tabCustoUnit[[#This Row],[MODULO 1 - REMUNERAÇÃO ]]*SUMIFS(tabParametros[Férias e Adicional de Férias (titular)],tabParametros[Código do Posto],tabCustoUnit[[#This Row],[Código do Posto]])</f>
        <v>183.16909999999999</v>
      </c>
      <c r="AA193" s="21">
        <f>IFERROR((tabCustoUnit[[#This Row],[Submódulo 2.1]]/tabCustoUnit[[#This Row],[MODULO 1 - REMUNERAÇÃO ]])*SUM(tabCustoUnit[[#This Row],[13º salário (titular)]:[Férias e Adicional de Férias (titular)]]),0)</f>
        <v>121.16635965</v>
      </c>
      <c r="AB193" s="21">
        <f>SUM(tabCustoUnit[[#This Row],[13º salário (titular)]:[Incidência do Submódulo 2.1 sobre 13º Salário, Férias e Adicional de Férias]])</f>
        <v>441.71228465000002</v>
      </c>
      <c r="AC193" s="22">
        <f>_xlfn.LET(_xlpm.VT,SUMIF(tabParametros[Código do Posto],tabCustoUnit[[#This Row],[Código do Posto]],tabParametros[Vale - Transporte])*2*20,
IF((_xlpm.VT-tabCustoUnit[[#This Row],[Salário Base]]*0.06)&gt;=0,(_xlpm.VT-tabCustoUnit[[#This Row],[Salário Base]]*0.06),0)
)</f>
        <v>160.22320000000002</v>
      </c>
      <c r="AD193" s="22">
        <f>IF(SUMIF(tabParametros[Código do Posto],tabCustoUnit[[#This Row],[Código do Posto]],tabParametros[Vale - Alimentação])&lt;=0,0,
SUMIF(tabParametros[Código do Posto],tabCustoUnit[[#This Row],[Código do Posto]],tabParametros[Vale - Alimentação])*20-1)</f>
        <v>582</v>
      </c>
      <c r="AE193" s="22">
        <f>SUMIF(tabParametros[Código do Posto],tabCustoUnit[[#This Row],[Código do Posto]],tabParametros[Cesta Básica])</f>
        <v>0</v>
      </c>
      <c r="AF193" s="22">
        <f>SUMIF(tabParametros[Código do Posto],tabCustoUnit[[#This Row],[Código do Posto]],tabParametros[PAF])</f>
        <v>0</v>
      </c>
      <c r="AG193" s="22">
        <f>SUMIF(tabParametros[Código do Posto],tabCustoUnit[[#This Row],[Código do Posto]],tabParametros[PQM])</f>
        <v>0</v>
      </c>
      <c r="AH193" s="22">
        <f>SUMIF(tabParametros[Código do Posto],tabCustoUnit[[#This Row],[Código do Posto]],tabParametros[PAT])</f>
        <v>0</v>
      </c>
      <c r="AI193" s="22">
        <f>SUMIF(tabParametros[Código do Posto],tabCustoUnit[[#This Row],[Código do Posto]],tabParametros[Seguro de Vida])</f>
        <v>3.36</v>
      </c>
      <c r="AJ193" s="22">
        <f>SUMIF(tabParametros[Código do Posto],tabCustoUnit[[#This Row],[Código do Posto]],tabParametros[Despesas de Viagem])</f>
        <v>0</v>
      </c>
      <c r="AK193" s="22">
        <f>SUM(tabCustoUnit[[#This Row],[Vale - Transporte (Descontada parcela do empregado)]:[Despesas de Viagem]])</f>
        <v>745.58320000000003</v>
      </c>
      <c r="AL193" s="22">
        <f>tabCustoUnit[[#This Row],[Submódulo 2.1]]+tabCustoUnit[[#This Row],[Submódulo 2.2]]+tabCustoUnit[[#This Row],[Submódulo 2.3]]</f>
        <v>1810.4367628499999</v>
      </c>
      <c r="AM193" s="22">
        <f>SUMIF(tabParametros[Código do Posto],tabCustoUnit[[#This Row],[Código do Posto]],tabParametros[Aviso Prévio Indenizado (API) e Reflexo do Aviso Prévio Indenizado])*tabCustoUnit[[#This Row],[MODULO 1 - REMUNERAÇÃO ]]</f>
        <v>11.559051416493055</v>
      </c>
      <c r="AN193" s="22">
        <f>SUMIF(tabParametros[Código do Posto],tabCustoUnit[[#This Row],[Código do Posto]],tabParametros[Incidência do FGTS sobre API e Reflexo do API])*tabCustoUnit[[#This Row],[MODULO 1 - REMUNERAÇÃO ]]</f>
        <v>0.92472411331944449</v>
      </c>
      <c r="AO193" s="22">
        <f>SUMIF(tabParametros[Código do Posto],tabCustoUnit[[#This Row],[Código do Posto]],tabParametros[Multa Rescisória do FGTS sobre o Aviso Prévio Indenizado])*tabCustoUnit[[#This Row],[MODULO 1 - REMUNERAÇÃO ]]</f>
        <v>0.36988964532777785</v>
      </c>
      <c r="AP193" s="22">
        <f>SUMIF(tabParametros[Código do Posto],tabCustoUnit[[#This Row],[Código do Posto]],tabParametros[Aviso Prévio Trabalhado - APT])*tabCustoUnit[[#This Row],[MODULO 1 - REMUNERAÇÃO ]]</f>
        <v>5.7698266500000006</v>
      </c>
      <c r="AQ193" s="22">
        <f>SUMIF(tabParametros[Código do Posto],tabCustoUnit[[#This Row],[Código do Posto]],tabParametros[Incidência dos encargos do submódulo 2.1 sobre Aviso Prévio Trabalhado])*tabCustoUnit[[#This Row],[MODULO 1 - REMUNERAÇÃO ]]</f>
        <v>2.1809944737000007</v>
      </c>
      <c r="AR193" s="22">
        <f>SUMIF(tabParametros[Código do Posto],tabCustoUnit[[#This Row],[Código do Posto]],tabParametros[Multa Rescisória do FGTS])*tabCustoUnit[[#This Row],[MODULO 1 - REMUNERAÇÃO ]]</f>
        <v>50.40813631999999</v>
      </c>
      <c r="AS193" s="22">
        <f>SUMIF(tabParametros[Código do Posto],tabCustoUnit[[#This Row],[Código do Posto]],tabParametros[Indenização Adicional (Art. 9º da Lei nº 7.238/84)])*tabCustoUnit[[#This Row],[MODULO 1 - REMUNERAÇÃO ]]</f>
        <v>1.3737682500000001</v>
      </c>
      <c r="AT193" s="22">
        <f>SUM(tabCustoUnit[[#This Row],[Aviso Prévio Indenizado (API) e Reflexo do Aviso Prévio Indenizado]:[Indenização Adicional (Art. 9º da Lei nº 7.238/84)]])</f>
        <v>72.586390868840269</v>
      </c>
      <c r="AU193" s="22">
        <f>SUMIF(tabParametros[Código do Posto],tabCustoUnit[[#This Row],[Código do Posto]],tabParametros[Ausência por Doença])*tabCustoUnit[[#This Row],[MODULO 1 - REMUNERAÇÃO ]]</f>
        <v>13.920851599999999</v>
      </c>
      <c r="AV193" s="22">
        <f>SUMIF(tabParametros[Código do Posto],tabCustoUnit[[#This Row],[Código do Posto]],tabParametros[Ausências Legais])*tabCustoUnit[[#This Row],[MODULO 1 - REMUNERAÇÃO ]]</f>
        <v>3.3428360749999997</v>
      </c>
      <c r="AW193" s="22">
        <f>SUMIF(tabParametros[Código do Posto],tabCustoUnit[[#This Row],[Código do Posto]],tabParametros[Licença Paternidade])*tabCustoUnit[[#This Row],[MODULO 1 - REMUNERAÇÃO ]]</f>
        <v>0.28162249125</v>
      </c>
      <c r="AX193" s="22">
        <f>SUMIF(tabParametros[Código do Posto],tabCustoUnit[[#This Row],[Código do Posto]],tabParametros[Ausência por Acidente de Trabalho])*tabCustoUnit[[#This Row],[MODULO 1 - REMUNERAÇÃO ]]</f>
        <v>0.34344206250000003</v>
      </c>
      <c r="AY193" s="22">
        <f>SUMIF(tabParametros[Código do Posto],tabCustoUnit[[#This Row],[Código do Posto]],tabParametros[Férias, Adicional de Férias e 13º  com empregada em gozo de Licença Maternidade])*tabCustoUnit[[#This Row],[MODULO 1 - REMUNERAÇÃO ]]</f>
        <v>2.1369728333333331</v>
      </c>
      <c r="AZ193" s="22">
        <f>SUMIF(tabParametros[Código do Posto],tabCustoUnit[[#This Row],[Código do Posto]],tabParametros[Incidência do Submódulo 2.1 sobre Ausências Legais])*tabCustoUnit[[#This Row],[MODULO 1 - REMUNERAÇÃO ]]</f>
        <v>7.5697240734675013</v>
      </c>
      <c r="BA193" s="22">
        <f>SUM(tabCustoUnit[[#This Row],[Ausência por Doença]:[Incidência do Submódulo 2.1 sobre Ausências Legais]])</f>
        <v>27.595449135550833</v>
      </c>
      <c r="BB193" s="22">
        <f>SUMIF(tabParametros[Código do Posto],tabCustoUnit[[#This Row],[Código do Posto]],tabParametros[Intervalo para Repouso ou Alimentação])</f>
        <v>0</v>
      </c>
      <c r="BC193" s="22">
        <f>tabCustoUnit[[#This Row],[Intervalo para Repouso ou Alimentação]]</f>
        <v>0</v>
      </c>
      <c r="BD193" s="22">
        <f>IF(VLOOKUP(tabCustoUnit[[#This Row],[Código do Posto]],PARAMETROS!$A$4:$BJ$255,7,0)&lt;=0,0,
IFERROR((tabCustoUnit[[#This Row],[MODULO 1 - REMUNERAÇÃO ]]*VLOOKUP(tabCustoUnit[[#This Row],[Código do Posto]],PARAMETROS!$A$4:$BJ$255,49,0))/(VLOOKUP(tabCustoUnit[[#This Row],[Código do Posto]],PARAMETROS!$A$4:$BJ$255,7,0)*VLOOKUP(tabCustoUnit[[#This Row],[Código do Posto]],PARAMETROS!$A$4:$BJ$255,8,0)),0)
)</f>
        <v>0</v>
      </c>
      <c r="BE193" s="22">
        <f>tabCustoUnit[[#This Row],[Suspensão Temporária do Contrato de Trabalho]]</f>
        <v>0</v>
      </c>
      <c r="BF193" s="22">
        <f>tabCustoUnit[[#This Row],[Submódulo 4.1]]+tabCustoUnit[[#This Row],[Submódulo 4.2]]+tabCustoUnit[[#This Row],[Submódulo 4.3]]</f>
        <v>27.595449135550833</v>
      </c>
      <c r="BG193" s="22">
        <f>VLOOKUP(tabCustoUnit[[#This Row],[Código do Posto]],tabParametros[],MATCH(tabCustoUnit[[#Headers],[Uniformes e EPIs]],tabParametros[#Headers],0),0)</f>
        <v>100.80916666666666</v>
      </c>
      <c r="BH193" s="22">
        <f>VLOOKUP(tabCustoUnit[[#This Row],[Código do Posto]],tabParametros[],MATCH(tabCustoUnit[[#Headers],[Materiais de Consumo]],tabParametros[#Headers],0),0)</f>
        <v>35.518212958583888</v>
      </c>
      <c r="BI193" s="22">
        <f>VLOOKUP(tabCustoUnit[[#This Row],[Código do Posto]],tabParametros[],MATCH(tabCustoUnit[[#Headers],[Máquinas e Equipamentos (depreciação)]],tabParametros[#Headers],0),0)</f>
        <v>64.529393914825576</v>
      </c>
      <c r="BJ193" s="22">
        <f>VLOOKUP(tabCustoUnit[[#This Row],[Código do Posto]],tabParametros[],MATCH(tabCustoUnit[[#Headers],[Produtos de Limpeza e Materiais de Higiene Pessoal]],tabParametros[#Headers],0),0)</f>
        <v>690.27153277931654</v>
      </c>
      <c r="BK193" s="22">
        <f>VLOOKUP(tabCustoUnit[[#This Row],[Código do Posto]],tabParametros[],MATCH(tabCustoUnit[[#Headers],[Outros (especificar)]],tabParametros[#Headers],0),0)</f>
        <v>0</v>
      </c>
      <c r="BL193" s="22">
        <f>SUM(tabCustoUnit[[#This Row],[Uniformes e EPIs]:[Outros (especificar)]])</f>
        <v>891.12830631939266</v>
      </c>
      <c r="BM193" s="22">
        <f>tabCustoUnit[[#This Row],[MODULO 1 - REMUNERAÇÃO ]]+tabCustoUnit[[#This Row],[MÓDULO 2 - Total Encargos e Benefícios mensais e diários]]+tabCustoUnit[[#This Row],[MÓDULO 3 – PROVISÃO PARA RESCISÃO]]+tabCustoUnit[[#This Row],[MÓDULO 4 – CUSTO DE REPOSIÇÃO DO PROFISSIONAL AUSENTE]]+tabCustoUnit[[#This Row],[MÓDULO 5 – INSUMOS DIVERSOS]]</f>
        <v>4450.2688091737837</v>
      </c>
      <c r="BN193" s="22">
        <f>VLOOKUP(tabCustoUnit[[#This Row],[Código do Posto]],tabParametros[],MATCH(tabCustoUnit[[#Headers],[Custos Indiretos]],tabParametros[#Headers],0),0)</f>
        <v>189.64880140242613</v>
      </c>
      <c r="BO193" s="22">
        <f>VLOOKUP(tabCustoUnit[[#This Row],[Código do Posto]],tabParametros[],MATCH(tabCustoUnit[[#Headers],[Lucro]],tabParametros[#Headers],0),0)</f>
        <v>159.30499317803796</v>
      </c>
      <c r="BP193" s="26">
        <f>((100/((1-tabCustoUnit[[#This Row],[Resumo de Alíquotas (PIS+CONFINS+ISS)]]))-100)*VLOOKUP(tabCustoUnit[[#This Row],[Código do Posto]],tabParametros[],MATCH(tabCustoUnit[[#Headers],[COFINS]],tabParametros[#Headers],0),0))/(tabCustoUnit[[#This Row],[Resumo de Alíquotas (PIS+CONFINS+ISS)]]*100)</f>
        <v>8.6609686609686695E-2</v>
      </c>
      <c r="BQ193" s="26">
        <f>((100/((100-(tabCustoUnit[[#This Row],[Resumo de Alíquotas (PIS+CONFINS+ISS)]]*100))%)-100)*VLOOKUP(tabCustoUnit[[#This Row],[Código do Posto]],tabParametros[],MATCH(tabCustoUnit[[#Headers],[PIS]],tabParametros[#Headers],0),0))/(tabCustoUnit[[#This Row],[Resumo de Alíquotas (PIS+CONFINS+ISS)]]*100)</f>
        <v>1.880341880341882E-2</v>
      </c>
      <c r="BR193" s="28">
        <f>VLOOKUP(tabCustoUnit[[#This Row],[Código do Posto]],tabParametros[],MATCH(tabCustoUnit[[#Headers],[ISS]],tabParametros[#Headers],0),0)</f>
        <v>0.03</v>
      </c>
      <c r="BS193" s="26">
        <f>(((100/((100-(tabCustoUnit[[#This Row],[Resumo de Alíquotas (PIS+CONFINS+ISS)]]*100))%)-100)*tabCustoUnit[[#This Row],[ISS]])/tabCustoUnit[[#This Row],[Resumo de Alíquotas (PIS+CONFINS+ISS)]])/100</f>
        <v>3.4188034188034219E-2</v>
      </c>
      <c r="BT193" s="26">
        <f>(VLOOKUP(tabCustoUnit[[#This Row],[Código do Posto]],tabParametros[],MATCH(tabCustoUnit[[#Headers],[COFINS]],tabParametros[#Headers],0),0)+
VLOOKUP(tabCustoUnit[[#This Row],[Código do Posto]],tabParametros[],MATCH(tabCustoUnit[[#Headers],[PIS]],tabParametros[#Headers],0),0)+
VLOOKUP(tabCustoUnit[[#This Row],[Código do Posto]],tabParametros[],MATCH(tabCustoUnit[[#Headers],[ISS]],tabParametros[#Headers],0),0))</f>
        <v>0.1225</v>
      </c>
      <c r="BU193" s="138">
        <f>tabCustoUnit[[#This Row],[COFINS]]+tabCustoUnit[[#This Row],[PIS]]+tabCustoUnit[[#This Row],[ISS (Conversão Alíquota s/ fatura)]]</f>
        <v>0.13960113960113973</v>
      </c>
      <c r="BV193" s="22">
        <f>(tabCustoUnit[[#This Row],[TOTAL MÓDULOS 1+2+3+4+5]]+tabCustoUnit[[#This Row],[Custos Indiretos]]+tabCustoUnit[[#This Row],[Lucro]])*tabCustoUnit[[#This Row],[PIS + COFINS + ISS (Total Conversão  Alíquota s/ Fatura)]]</f>
        <v>669.97694468364205</v>
      </c>
      <c r="BW193" s="22">
        <f>tabCustoUnit[[#This Row],[Custos Indiretos]]+tabCustoUnit[[#This Row],[Lucro]]+tabCustoUnit[[#This Row],[Valor dos Tributos (ISS, PIS, CONFINS)]]</f>
        <v>1018.9307392641061</v>
      </c>
      <c r="BX193" s="22">
        <f>tabCustoUnit[[#This Row],[TOTAL MÓDULOS 1+2+3+4+5]]+tabCustoUnit[[#This Row],[MÓDULO 6 – CUSTOS INDIRETOS, TRIBUTOS E LUCRO]]</f>
        <v>5469.1995484378895</v>
      </c>
      <c r="BY193" s="22">
        <f>tabCustoUnit[[#This Row],[CUSTO TOTAL MENSAL]]*12</f>
        <v>65630.394581254674</v>
      </c>
      <c r="BZ193" s="24">
        <f>VLOOKUP(tabCustoUnit[[#This Row],[Código do Posto]],tabParametros[],MATCH(tabCustoUnit[[#Headers],[ANO DA CCT]],tabParametros[#Headers],0),0)</f>
        <v>45658</v>
      </c>
      <c r="CA193" s="25" t="str">
        <f>VLOOKUP(tabCustoUnit[[#This Row],[Código do Posto]],tabParametros[],MATCH(tabCustoUnit[[#Headers],[Nº DE PEDIDO DA CCT]],tabParametros[#Headers],0),0)</f>
        <v>-</v>
      </c>
      <c r="CB193" s="25" t="str">
        <f>VLOOKUP(tabCustoUnit[[#This Row],[Código do Posto]],tabParametros[],MATCH(tabCustoUnit[[#Headers],[TERMO ADITIVO ALTERAÇÃO DA CCT]],tabParametros[#Headers],0),0)</f>
        <v>-</v>
      </c>
    </row>
    <row r="194" spans="1:80" x14ac:dyDescent="0.25">
      <c r="A194" s="20" t="s">
        <v>1530</v>
      </c>
      <c r="B194" t="s">
        <v>176</v>
      </c>
      <c r="C194" t="s">
        <v>1245</v>
      </c>
      <c r="D194" t="s">
        <v>1044</v>
      </c>
      <c r="E194" s="20" t="s">
        <v>9</v>
      </c>
      <c r="F194" s="20" t="s">
        <v>10</v>
      </c>
      <c r="G194" s="21">
        <v>1596.28</v>
      </c>
      <c r="H194" s="21">
        <v>0</v>
      </c>
      <c r="I194" s="21">
        <v>0</v>
      </c>
      <c r="J194" s="21">
        <v>0</v>
      </c>
      <c r="K194" s="21">
        <v>0</v>
      </c>
      <c r="L194" s="21">
        <v>0</v>
      </c>
      <c r="M194" s="21">
        <v>0</v>
      </c>
      <c r="N194" s="21">
        <v>52.241900000000001</v>
      </c>
      <c r="O194" s="21">
        <f>SUM(tabCustoUnit[[#This Row],[Salário Base]:[Adicional de Acúmulo de função]])</f>
        <v>1648.5219</v>
      </c>
      <c r="P194" s="21">
        <f>tabCustoUnit[[#This Row],[MODULO 1 - REMUNERAÇÃO ]]*SUMIFS(tabParametros[INSS],tabParametros[Código do Posto],tabCustoUnit[[#This Row],[Código do Posto]])</f>
        <v>329.70438000000001</v>
      </c>
      <c r="Q194" s="21">
        <f>tabCustoUnit[[#This Row],[MODULO 1 - REMUNERAÇÃO ]]*SUMIFS(tabParametros[SESI OU SESC],tabParametros[Código do Posto],tabCustoUnit[[#This Row],[Código do Posto]])</f>
        <v>24.727828499999998</v>
      </c>
      <c r="R194" s="21">
        <f>tabCustoUnit[[#This Row],[MODULO 1 - REMUNERAÇÃO ]]*SUMIFS(tabParametros[SENAI OU SENAC],tabParametros[Código do Posto],tabCustoUnit[[#This Row],[Código do Posto]])</f>
        <v>16.485219000000001</v>
      </c>
      <c r="S194" s="21">
        <f>tabCustoUnit[[#This Row],[MODULO 1 - REMUNERAÇÃO ]]*SUMIFS(tabParametros[INCRA],tabParametros[Código do Posto],tabCustoUnit[[#This Row],[Código do Posto]])</f>
        <v>3.2970438</v>
      </c>
      <c r="T194" s="21">
        <f>tabCustoUnit[[#This Row],[MODULO 1 - REMUNERAÇÃO ]]*SUMIFS(tabParametros[Salário Educação],tabParametros[Código do Posto],tabCustoUnit[[#This Row],[Código do Posto]])</f>
        <v>41.213047500000002</v>
      </c>
      <c r="U194" s="21">
        <f>tabCustoUnit[[#This Row],[MODULO 1 - REMUNERAÇÃO ]]*SUMIFS(tabParametros[FGTS],tabParametros[Código do Posto],tabCustoUnit[[#This Row],[Código do Posto]])</f>
        <v>131.88175200000001</v>
      </c>
      <c r="V194" s="21">
        <f>tabCustoUnit[[#This Row],[MODULO 1 - REMUNERAÇÃO ]]*SUMIFS(tabParametros[RAT Ajustado],tabParametros[Código do Posto],tabCustoUnit[[#This Row],[Código do Posto]])</f>
        <v>65.940876000000003</v>
      </c>
      <c r="W194" s="21">
        <f>tabCustoUnit[[#This Row],[MODULO 1 - REMUNERAÇÃO ]]*SUMIFS(tabParametros[SEBRAE],tabParametros[Código do Posto],tabCustoUnit[[#This Row],[Código do Posto]])</f>
        <v>9.8911314000000008</v>
      </c>
      <c r="X194" s="21">
        <f>SUM(tabCustoUnit[[#This Row],[INSS]:[SEBRAE]])</f>
        <v>623.14127819999999</v>
      </c>
      <c r="Y194" s="21">
        <f>tabCustoUnit[[#This Row],[MODULO 1 - REMUNERAÇÃO ]]*SUMIFS(tabParametros[13º salário (titular)],tabParametros[Código do Posto],tabCustoUnit[[#This Row],[Código do Posto]])</f>
        <v>137.376825</v>
      </c>
      <c r="Z194" s="21">
        <f>tabCustoUnit[[#This Row],[MODULO 1 - REMUNERAÇÃO ]]*SUMIFS(tabParametros[Férias e Adicional de Férias (titular)],tabParametros[Código do Posto],tabCustoUnit[[#This Row],[Código do Posto]])</f>
        <v>183.16909999999999</v>
      </c>
      <c r="AA194" s="21">
        <f>IFERROR((tabCustoUnit[[#This Row],[Submódulo 2.1]]/tabCustoUnit[[#This Row],[MODULO 1 - REMUNERAÇÃO ]])*SUM(tabCustoUnit[[#This Row],[13º salário (titular)]:[Férias e Adicional de Férias (titular)]]),0)</f>
        <v>121.16635965</v>
      </c>
      <c r="AB194" s="21">
        <f>SUM(tabCustoUnit[[#This Row],[13º salário (titular)]:[Incidência do Submódulo 2.1 sobre 13º Salário, Férias e Adicional de Férias]])</f>
        <v>441.71228465000002</v>
      </c>
      <c r="AC194" s="22">
        <f>_xlfn.LET(_xlpm.VT,SUMIF(tabParametros[Código do Posto],tabCustoUnit[[#This Row],[Código do Posto]],tabParametros[Vale - Transporte])*2*20,
IF((_xlpm.VT-tabCustoUnit[[#This Row],[Salário Base]]*0.06)&gt;=0,(_xlpm.VT-tabCustoUnit[[#This Row],[Salário Base]]*0.06),0)
)</f>
        <v>160.22320000000002</v>
      </c>
      <c r="AD194" s="22">
        <f>IF(SUMIF(tabParametros[Código do Posto],tabCustoUnit[[#This Row],[Código do Posto]],tabParametros[Vale - Alimentação])&lt;=0,0,
SUMIF(tabParametros[Código do Posto],tabCustoUnit[[#This Row],[Código do Posto]],tabParametros[Vale - Alimentação])*20-1)</f>
        <v>582</v>
      </c>
      <c r="AE194" s="22">
        <f>SUMIF(tabParametros[Código do Posto],tabCustoUnit[[#This Row],[Código do Posto]],tabParametros[Cesta Básica])</f>
        <v>0</v>
      </c>
      <c r="AF194" s="22">
        <f>SUMIF(tabParametros[Código do Posto],tabCustoUnit[[#This Row],[Código do Posto]],tabParametros[PAF])</f>
        <v>51.86</v>
      </c>
      <c r="AG194" s="22">
        <f>SUMIF(tabParametros[Código do Posto],tabCustoUnit[[#This Row],[Código do Posto]],tabParametros[PQM])</f>
        <v>0</v>
      </c>
      <c r="AH194" s="22">
        <f>SUMIF(tabParametros[Código do Posto],tabCustoUnit[[#This Row],[Código do Posto]],tabParametros[PAT])</f>
        <v>0</v>
      </c>
      <c r="AI194" s="22">
        <f>SUMIF(tabParametros[Código do Posto],tabCustoUnit[[#This Row],[Código do Posto]],tabParametros[Seguro de Vida])</f>
        <v>3.36</v>
      </c>
      <c r="AJ194" s="22">
        <f>SUMIF(tabParametros[Código do Posto],tabCustoUnit[[#This Row],[Código do Posto]],tabParametros[Despesas de Viagem])</f>
        <v>0</v>
      </c>
      <c r="AK194" s="22">
        <f>SUM(tabCustoUnit[[#This Row],[Vale - Transporte (Descontada parcela do empregado)]:[Despesas de Viagem]])</f>
        <v>797.44320000000005</v>
      </c>
      <c r="AL194" s="22">
        <f>tabCustoUnit[[#This Row],[Submódulo 2.1]]+tabCustoUnit[[#This Row],[Submódulo 2.2]]+tabCustoUnit[[#This Row],[Submódulo 2.3]]</f>
        <v>1862.2967628500001</v>
      </c>
      <c r="AM194" s="22">
        <f>SUMIF(tabParametros[Código do Posto],tabCustoUnit[[#This Row],[Código do Posto]],tabParametros[Aviso Prévio Indenizado (API) e Reflexo do Aviso Prévio Indenizado])*tabCustoUnit[[#This Row],[MODULO 1 - REMUNERAÇÃO ]]</f>
        <v>11.559051416493055</v>
      </c>
      <c r="AN194" s="22">
        <f>SUMIF(tabParametros[Código do Posto],tabCustoUnit[[#This Row],[Código do Posto]],tabParametros[Incidência do FGTS sobre API e Reflexo do API])*tabCustoUnit[[#This Row],[MODULO 1 - REMUNERAÇÃO ]]</f>
        <v>0.92472411331944449</v>
      </c>
      <c r="AO194" s="22">
        <f>SUMIF(tabParametros[Código do Posto],tabCustoUnit[[#This Row],[Código do Posto]],tabParametros[Multa Rescisória do FGTS sobre o Aviso Prévio Indenizado])*tabCustoUnit[[#This Row],[MODULO 1 - REMUNERAÇÃO ]]</f>
        <v>0.36988964532777785</v>
      </c>
      <c r="AP194" s="22">
        <f>SUMIF(tabParametros[Código do Posto],tabCustoUnit[[#This Row],[Código do Posto]],tabParametros[Aviso Prévio Trabalhado - APT])*tabCustoUnit[[#This Row],[MODULO 1 - REMUNERAÇÃO ]]</f>
        <v>5.7698266500000006</v>
      </c>
      <c r="AQ194" s="22">
        <f>SUMIF(tabParametros[Código do Posto],tabCustoUnit[[#This Row],[Código do Posto]],tabParametros[Incidência dos encargos do submódulo 2.1 sobre Aviso Prévio Trabalhado])*tabCustoUnit[[#This Row],[MODULO 1 - REMUNERAÇÃO ]]</f>
        <v>2.1809944737000007</v>
      </c>
      <c r="AR194" s="22">
        <f>SUMIF(tabParametros[Código do Posto],tabCustoUnit[[#This Row],[Código do Posto]],tabParametros[Multa Rescisória do FGTS])*tabCustoUnit[[#This Row],[MODULO 1 - REMUNERAÇÃO ]]</f>
        <v>50.40813631999999</v>
      </c>
      <c r="AS194" s="22">
        <f>SUMIF(tabParametros[Código do Posto],tabCustoUnit[[#This Row],[Código do Posto]],tabParametros[Indenização Adicional (Art. 9º da Lei nº 7.238/84)])*tabCustoUnit[[#This Row],[MODULO 1 - REMUNERAÇÃO ]]</f>
        <v>1.3737682500000001</v>
      </c>
      <c r="AT194" s="22">
        <f>SUM(tabCustoUnit[[#This Row],[Aviso Prévio Indenizado (API) e Reflexo do Aviso Prévio Indenizado]:[Indenização Adicional (Art. 9º da Lei nº 7.238/84)]])</f>
        <v>72.586390868840269</v>
      </c>
      <c r="AU194" s="22">
        <f>SUMIF(tabParametros[Código do Posto],tabCustoUnit[[#This Row],[Código do Posto]],tabParametros[Ausência por Doença])*tabCustoUnit[[#This Row],[MODULO 1 - REMUNERAÇÃO ]]</f>
        <v>13.920851599999999</v>
      </c>
      <c r="AV194" s="22">
        <f>SUMIF(tabParametros[Código do Posto],tabCustoUnit[[#This Row],[Código do Posto]],tabParametros[Ausências Legais])*tabCustoUnit[[#This Row],[MODULO 1 - REMUNERAÇÃO ]]</f>
        <v>3.3428360749999997</v>
      </c>
      <c r="AW194" s="22">
        <f>SUMIF(tabParametros[Código do Posto],tabCustoUnit[[#This Row],[Código do Posto]],tabParametros[Licença Paternidade])*tabCustoUnit[[#This Row],[MODULO 1 - REMUNERAÇÃO ]]</f>
        <v>0.28162249125</v>
      </c>
      <c r="AX194" s="22">
        <f>SUMIF(tabParametros[Código do Posto],tabCustoUnit[[#This Row],[Código do Posto]],tabParametros[Ausência por Acidente de Trabalho])*tabCustoUnit[[#This Row],[MODULO 1 - REMUNERAÇÃO ]]</f>
        <v>0.34344206250000003</v>
      </c>
      <c r="AY194" s="22">
        <f>SUMIF(tabParametros[Código do Posto],tabCustoUnit[[#This Row],[Código do Posto]],tabParametros[Férias, Adicional de Férias e 13º  com empregada em gozo de Licença Maternidade])*tabCustoUnit[[#This Row],[MODULO 1 - REMUNERAÇÃO ]]</f>
        <v>2.1369728333333331</v>
      </c>
      <c r="AZ194" s="22">
        <f>SUMIF(tabParametros[Código do Posto],tabCustoUnit[[#This Row],[Código do Posto]],tabParametros[Incidência do Submódulo 2.1 sobre Ausências Legais])*tabCustoUnit[[#This Row],[MODULO 1 - REMUNERAÇÃO ]]</f>
        <v>7.5697240734675013</v>
      </c>
      <c r="BA194" s="22">
        <f>SUM(tabCustoUnit[[#This Row],[Ausência por Doença]:[Incidência do Submódulo 2.1 sobre Ausências Legais]])</f>
        <v>27.595449135550833</v>
      </c>
      <c r="BB194" s="22">
        <f>SUMIF(tabParametros[Código do Posto],tabCustoUnit[[#This Row],[Código do Posto]],tabParametros[Intervalo para Repouso ou Alimentação])</f>
        <v>0</v>
      </c>
      <c r="BC194" s="22">
        <f>tabCustoUnit[[#This Row],[Intervalo para Repouso ou Alimentação]]</f>
        <v>0</v>
      </c>
      <c r="BD194" s="22">
        <f>IF(VLOOKUP(tabCustoUnit[[#This Row],[Código do Posto]],PARAMETROS!$A$4:$BJ$255,7,0)&lt;=0,0,
IFERROR((tabCustoUnit[[#This Row],[MODULO 1 - REMUNERAÇÃO ]]*VLOOKUP(tabCustoUnit[[#This Row],[Código do Posto]],PARAMETROS!$A$4:$BJ$255,49,0))/(VLOOKUP(tabCustoUnit[[#This Row],[Código do Posto]],PARAMETROS!$A$4:$BJ$255,7,0)*VLOOKUP(tabCustoUnit[[#This Row],[Código do Posto]],PARAMETROS!$A$4:$BJ$255,8,0)),0)
)</f>
        <v>0</v>
      </c>
      <c r="BE194" s="22">
        <f>tabCustoUnit[[#This Row],[Suspensão Temporária do Contrato de Trabalho]]</f>
        <v>0</v>
      </c>
      <c r="BF194" s="22">
        <f>tabCustoUnit[[#This Row],[Submódulo 4.1]]+tabCustoUnit[[#This Row],[Submódulo 4.2]]+tabCustoUnit[[#This Row],[Submódulo 4.3]]</f>
        <v>27.595449135550833</v>
      </c>
      <c r="BG194" s="22">
        <f>VLOOKUP(tabCustoUnit[[#This Row],[Código do Posto]],tabParametros[],MATCH(tabCustoUnit[[#Headers],[Uniformes e EPIs]],tabParametros[#Headers],0),0)</f>
        <v>100.80916666666666</v>
      </c>
      <c r="BH194" s="22">
        <f>VLOOKUP(tabCustoUnit[[#This Row],[Código do Posto]],tabParametros[],MATCH(tabCustoUnit[[#Headers],[Materiais de Consumo]],tabParametros[#Headers],0),0)</f>
        <v>35.518212958583888</v>
      </c>
      <c r="BI194" s="22">
        <f>VLOOKUP(tabCustoUnit[[#This Row],[Código do Posto]],tabParametros[],MATCH(tabCustoUnit[[#Headers],[Máquinas e Equipamentos (depreciação)]],tabParametros[#Headers],0),0)</f>
        <v>64.529393914825576</v>
      </c>
      <c r="BJ194" s="22">
        <f>VLOOKUP(tabCustoUnit[[#This Row],[Código do Posto]],tabParametros[],MATCH(tabCustoUnit[[#Headers],[Produtos de Limpeza e Materiais de Higiene Pessoal]],tabParametros[#Headers],0),0)</f>
        <v>690.27153277931654</v>
      </c>
      <c r="BK194" s="22">
        <f>VLOOKUP(tabCustoUnit[[#This Row],[Código do Posto]],tabParametros[],MATCH(tabCustoUnit[[#Headers],[Outros (especificar)]],tabParametros[#Headers],0),0)</f>
        <v>0</v>
      </c>
      <c r="BL194" s="22">
        <f>SUM(tabCustoUnit[[#This Row],[Uniformes e EPIs]:[Outros (especificar)]])</f>
        <v>891.12830631939266</v>
      </c>
      <c r="BM194" s="22">
        <f>tabCustoUnit[[#This Row],[MODULO 1 - REMUNERAÇÃO ]]+tabCustoUnit[[#This Row],[MÓDULO 2 - Total Encargos e Benefícios mensais e diários]]+tabCustoUnit[[#This Row],[MÓDULO 3 – PROVISÃO PARA RESCISÃO]]+tabCustoUnit[[#This Row],[MÓDULO 4 – CUSTO DE REPOSIÇÃO DO PROFISSIONAL AUSENTE]]+tabCustoUnit[[#This Row],[MÓDULO 5 – INSUMOS DIVERSOS]]</f>
        <v>4502.1288091737833</v>
      </c>
      <c r="BN194" s="22">
        <f>VLOOKUP(tabCustoUnit[[#This Row],[Código do Posto]],tabParametros[],MATCH(tabCustoUnit[[#Headers],[Custos Indiretos]],tabParametros[#Headers],0),0)</f>
        <v>189.64880140242613</v>
      </c>
      <c r="BO194" s="22">
        <f>VLOOKUP(tabCustoUnit[[#This Row],[Código do Posto]],tabParametros[],MATCH(tabCustoUnit[[#Headers],[Lucro]],tabParametros[#Headers],0),0)</f>
        <v>159.30499317803796</v>
      </c>
      <c r="BP194" s="26">
        <f>((100/((1-tabCustoUnit[[#This Row],[Resumo de Alíquotas (PIS+CONFINS+ISS)]]))-100)*VLOOKUP(tabCustoUnit[[#This Row],[Código do Posto]],tabParametros[],MATCH(tabCustoUnit[[#Headers],[COFINS]],tabParametros[#Headers],0),0))/(tabCustoUnit[[#This Row],[Resumo de Alíquotas (PIS+CONFINS+ISS)]]*100)</f>
        <v>8.8629737609329504E-2</v>
      </c>
      <c r="BQ194" s="26">
        <f>((100/((100-(tabCustoUnit[[#This Row],[Resumo de Alíquotas (PIS+CONFINS+ISS)]]*100))%)-100)*VLOOKUP(tabCustoUnit[[#This Row],[Código do Posto]],tabParametros[],MATCH(tabCustoUnit[[#Headers],[PIS]],tabParametros[#Headers],0),0))/(tabCustoUnit[[#This Row],[Resumo de Alíquotas (PIS+CONFINS+ISS)]]*100)</f>
        <v>1.9241982507288629E-2</v>
      </c>
      <c r="BR194" s="28">
        <f>VLOOKUP(tabCustoUnit[[#This Row],[Código do Posto]],tabParametros[],MATCH(tabCustoUnit[[#Headers],[ISS]],tabParametros[#Headers],0),0)</f>
        <v>0.05</v>
      </c>
      <c r="BS194" s="26">
        <f>(((100/((100-(tabCustoUnit[[#This Row],[Resumo de Alíquotas (PIS+CONFINS+ISS)]]*100))%)-100)*tabCustoUnit[[#This Row],[ISS]])/tabCustoUnit[[#This Row],[Resumo de Alíquotas (PIS+CONFINS+ISS)]])/100</f>
        <v>5.8309037900874633E-2</v>
      </c>
      <c r="BT194" s="26">
        <f>(VLOOKUP(tabCustoUnit[[#This Row],[Código do Posto]],tabParametros[],MATCH(tabCustoUnit[[#Headers],[COFINS]],tabParametros[#Headers],0),0)+
VLOOKUP(tabCustoUnit[[#This Row],[Código do Posto]],tabParametros[],MATCH(tabCustoUnit[[#Headers],[PIS]],tabParametros[#Headers],0),0)+
VLOOKUP(tabCustoUnit[[#This Row],[Código do Posto]],tabParametros[],MATCH(tabCustoUnit[[#Headers],[ISS]],tabParametros[#Headers],0),0))</f>
        <v>0.14250000000000002</v>
      </c>
      <c r="BU194" s="138">
        <f>tabCustoUnit[[#This Row],[COFINS]]+tabCustoUnit[[#This Row],[PIS]]+tabCustoUnit[[#This Row],[ISS (Conversão Alíquota s/ fatura)]]</f>
        <v>0.16618075801749277</v>
      </c>
      <c r="BV194" s="22">
        <f>(tabCustoUnit[[#This Row],[TOTAL MÓDULOS 1+2+3+4+5]]+tabCustoUnit[[#This Row],[Custos Indiretos]]+tabCustoUnit[[#This Row],[Lucro]])*tabCustoUnit[[#This Row],[PIS + COFINS + ISS (Total Conversão  Alíquota s/ Fatura)]]</f>
        <v>806.15658429735333</v>
      </c>
      <c r="BW194" s="22">
        <f>tabCustoUnit[[#This Row],[Custos Indiretos]]+tabCustoUnit[[#This Row],[Lucro]]+tabCustoUnit[[#This Row],[Valor dos Tributos (ISS, PIS, CONFINS)]]</f>
        <v>1155.1103788778173</v>
      </c>
      <c r="BX194" s="22">
        <f>tabCustoUnit[[#This Row],[TOTAL MÓDULOS 1+2+3+4+5]]+tabCustoUnit[[#This Row],[MÓDULO 6 – CUSTOS INDIRETOS, TRIBUTOS E LUCRO]]</f>
        <v>5657.2391880516006</v>
      </c>
      <c r="BY194" s="22">
        <f>tabCustoUnit[[#This Row],[CUSTO TOTAL MENSAL]]*12</f>
        <v>67886.870256619208</v>
      </c>
      <c r="BZ194" s="24">
        <f>VLOOKUP(tabCustoUnit[[#This Row],[Código do Posto]],tabParametros[],MATCH(tabCustoUnit[[#Headers],[ANO DA CCT]],tabParametros[#Headers],0),0)</f>
        <v>45658</v>
      </c>
      <c r="CA194" s="25" t="str">
        <f>VLOOKUP(tabCustoUnit[[#This Row],[Código do Posto]],tabParametros[],MATCH(tabCustoUnit[[#Headers],[Nº DE PEDIDO DA CCT]],tabParametros[#Headers],0),0)</f>
        <v>-</v>
      </c>
      <c r="CB194" s="25" t="str">
        <f>VLOOKUP(tabCustoUnit[[#This Row],[Código do Posto]],tabParametros[],MATCH(tabCustoUnit[[#Headers],[TERMO ADITIVO ALTERAÇÃO DA CCT]],tabParametros[#Headers],0),0)</f>
        <v>-</v>
      </c>
    </row>
    <row r="195" spans="1:80" x14ac:dyDescent="0.25">
      <c r="A195" s="20" t="s">
        <v>1274</v>
      </c>
      <c r="B195" t="s">
        <v>177</v>
      </c>
      <c r="C195" t="s">
        <v>1247</v>
      </c>
      <c r="D195" t="s">
        <v>81</v>
      </c>
      <c r="E195" s="20" t="s">
        <v>9</v>
      </c>
      <c r="F195" s="20" t="s">
        <v>10</v>
      </c>
      <c r="G195" s="21">
        <v>544.17999999999995</v>
      </c>
      <c r="H195" s="21">
        <v>0</v>
      </c>
      <c r="I195" s="21">
        <v>0</v>
      </c>
      <c r="J195" s="21">
        <v>0</v>
      </c>
      <c r="K195" s="21">
        <v>0</v>
      </c>
      <c r="L195" s="21">
        <v>0</v>
      </c>
      <c r="M195" s="21">
        <v>0</v>
      </c>
      <c r="N195" s="21">
        <v>19.590499999999999</v>
      </c>
      <c r="O195" s="21">
        <f>SUM(tabCustoUnit[[#This Row],[Salário Base]:[Adicional de Acúmulo de função]])</f>
        <v>563.77049999999997</v>
      </c>
      <c r="P195" s="21">
        <f>tabCustoUnit[[#This Row],[MODULO 1 - REMUNERAÇÃO ]]*SUMIFS(tabParametros[INSS],tabParametros[Código do Posto],tabCustoUnit[[#This Row],[Código do Posto]])</f>
        <v>112.75409999999999</v>
      </c>
      <c r="Q195" s="21">
        <f>tabCustoUnit[[#This Row],[MODULO 1 - REMUNERAÇÃO ]]*SUMIFS(tabParametros[SESI OU SESC],tabParametros[Código do Posto],tabCustoUnit[[#This Row],[Código do Posto]])</f>
        <v>8.4565574999999988</v>
      </c>
      <c r="R195" s="21">
        <f>tabCustoUnit[[#This Row],[MODULO 1 - REMUNERAÇÃO ]]*SUMIFS(tabParametros[SENAI OU SENAC],tabParametros[Código do Posto],tabCustoUnit[[#This Row],[Código do Posto]])</f>
        <v>5.6377049999999995</v>
      </c>
      <c r="S195" s="21">
        <f>tabCustoUnit[[#This Row],[MODULO 1 - REMUNERAÇÃO ]]*SUMIFS(tabParametros[INCRA],tabParametros[Código do Posto],tabCustoUnit[[#This Row],[Código do Posto]])</f>
        <v>1.1275409999999999</v>
      </c>
      <c r="T195" s="21">
        <f>tabCustoUnit[[#This Row],[MODULO 1 - REMUNERAÇÃO ]]*SUMIFS(tabParametros[Salário Educação],tabParametros[Código do Posto],tabCustoUnit[[#This Row],[Código do Posto]])</f>
        <v>14.094262499999999</v>
      </c>
      <c r="U195" s="21">
        <f>tabCustoUnit[[#This Row],[MODULO 1 - REMUNERAÇÃO ]]*SUMIFS(tabParametros[FGTS],tabParametros[Código do Posto],tabCustoUnit[[#This Row],[Código do Posto]])</f>
        <v>45.101639999999996</v>
      </c>
      <c r="V195" s="21">
        <f>tabCustoUnit[[#This Row],[MODULO 1 - REMUNERAÇÃO ]]*SUMIFS(tabParametros[RAT Ajustado],tabParametros[Código do Posto],tabCustoUnit[[#This Row],[Código do Posto]])</f>
        <v>22.550819999999998</v>
      </c>
      <c r="W195" s="21">
        <f>tabCustoUnit[[#This Row],[MODULO 1 - REMUNERAÇÃO ]]*SUMIFS(tabParametros[SEBRAE],tabParametros[Código do Posto],tabCustoUnit[[#This Row],[Código do Posto]])</f>
        <v>3.3826229999999997</v>
      </c>
      <c r="X195" s="21">
        <f>SUM(tabCustoUnit[[#This Row],[INSS]:[SEBRAE]])</f>
        <v>213.10524899999996</v>
      </c>
      <c r="Y195" s="21">
        <f>tabCustoUnit[[#This Row],[MODULO 1 - REMUNERAÇÃO ]]*SUMIFS(tabParametros[13º salário (titular)],tabParametros[Código do Posto],tabCustoUnit[[#This Row],[Código do Posto]])</f>
        <v>46.980874999999997</v>
      </c>
      <c r="Z195" s="21">
        <f>tabCustoUnit[[#This Row],[MODULO 1 - REMUNERAÇÃO ]]*SUMIFS(tabParametros[Férias e Adicional de Férias (titular)],tabParametros[Código do Posto],tabCustoUnit[[#This Row],[Código do Posto]])</f>
        <v>62.641166666666663</v>
      </c>
      <c r="AA195" s="21">
        <f>IFERROR((tabCustoUnit[[#This Row],[Submódulo 2.1]]/tabCustoUnit[[#This Row],[MODULO 1 - REMUNERAÇÃO ]])*SUM(tabCustoUnit[[#This Row],[13º salário (titular)]:[Férias e Adicional de Férias (titular)]]),0)</f>
        <v>41.437131749999992</v>
      </c>
      <c r="AB195" s="21">
        <f>SUM(tabCustoUnit[[#This Row],[13º salário (titular)]:[Incidência do Submódulo 2.1 sobre 13º Salário, Férias e Adicional de Férias]])</f>
        <v>151.05917341666665</v>
      </c>
      <c r="AC195" s="22">
        <f>_xlfn.LET(_xlpm.VT,SUMIF(tabParametros[Código do Posto],tabCustoUnit[[#This Row],[Código do Posto]],tabParametros[Vale - Transporte])*2*20,
IF((_xlpm.VT-tabCustoUnit[[#This Row],[Salário Base]]*0.06)&gt;=0,(_xlpm.VT-tabCustoUnit[[#This Row],[Salário Base]]*0.06),0)
)</f>
        <v>223.3492</v>
      </c>
      <c r="AD195" s="22">
        <f>IF(SUMIF(tabParametros[Código do Posto],tabCustoUnit[[#This Row],[Código do Posto]],tabParametros[Vale - Alimentação])&lt;=0,0,
SUMIF(tabParametros[Código do Posto],tabCustoUnit[[#This Row],[Código do Posto]],tabParametros[Vale - Alimentação])*20-1)</f>
        <v>582</v>
      </c>
      <c r="AE195" s="22">
        <f>SUMIF(tabParametros[Código do Posto],tabCustoUnit[[#This Row],[Código do Posto]],tabParametros[Cesta Básica])</f>
        <v>0</v>
      </c>
      <c r="AF195" s="22">
        <f>SUMIF(tabParametros[Código do Posto],tabCustoUnit[[#This Row],[Código do Posto]],tabParametros[PAF])</f>
        <v>0</v>
      </c>
      <c r="AG195" s="22">
        <f>SUMIF(tabParametros[Código do Posto],tabCustoUnit[[#This Row],[Código do Posto]],tabParametros[PQM])</f>
        <v>0</v>
      </c>
      <c r="AH195" s="22">
        <f>SUMIF(tabParametros[Código do Posto],tabCustoUnit[[#This Row],[Código do Posto]],tabParametros[PAT])</f>
        <v>0</v>
      </c>
      <c r="AI195" s="22">
        <f>SUMIF(tabParametros[Código do Posto],tabCustoUnit[[#This Row],[Código do Posto]],tabParametros[Seguro de Vida])</f>
        <v>3.36</v>
      </c>
      <c r="AJ195" s="22">
        <f>SUMIF(tabParametros[Código do Posto],tabCustoUnit[[#This Row],[Código do Posto]],tabParametros[Despesas de Viagem])</f>
        <v>0</v>
      </c>
      <c r="AK195" s="22">
        <f>SUM(tabCustoUnit[[#This Row],[Vale - Transporte (Descontada parcela do empregado)]:[Despesas de Viagem]])</f>
        <v>808.70920000000001</v>
      </c>
      <c r="AL195" s="22">
        <f>tabCustoUnit[[#This Row],[Submódulo 2.1]]+tabCustoUnit[[#This Row],[Submódulo 2.2]]+tabCustoUnit[[#This Row],[Submódulo 2.3]]</f>
        <v>1172.8736224166666</v>
      </c>
      <c r="AM195" s="22">
        <f>SUMIF(tabParametros[Código do Posto],tabCustoUnit[[#This Row],[Código do Posto]],tabParametros[Aviso Prévio Indenizado (API) e Reflexo do Aviso Prévio Indenizado])*tabCustoUnit[[#This Row],[MODULO 1 - REMUNERAÇÃO ]]</f>
        <v>3.9530273735532404</v>
      </c>
      <c r="AN195" s="22">
        <f>SUMIF(tabParametros[Código do Posto],tabCustoUnit[[#This Row],[Código do Posto]],tabParametros[Incidência do FGTS sobre API e Reflexo do API])*tabCustoUnit[[#This Row],[MODULO 1 - REMUNERAÇÃO ]]</f>
        <v>0.31624218988425928</v>
      </c>
      <c r="AO195" s="22">
        <f>SUMIF(tabParametros[Código do Posto],tabCustoUnit[[#This Row],[Código do Posto]],tabParametros[Multa Rescisória do FGTS sobre o Aviso Prévio Indenizado])*tabCustoUnit[[#This Row],[MODULO 1 - REMUNERAÇÃO ]]</f>
        <v>0.12649687595370371</v>
      </c>
      <c r="AP195" s="22">
        <f>SUMIF(tabParametros[Código do Posto],tabCustoUnit[[#This Row],[Código do Posto]],tabParametros[Aviso Prévio Trabalhado - APT])*tabCustoUnit[[#This Row],[MODULO 1 - REMUNERAÇÃO ]]</f>
        <v>1.9731967500000003</v>
      </c>
      <c r="AQ195" s="22">
        <f>SUMIF(tabParametros[Código do Posto],tabCustoUnit[[#This Row],[Código do Posto]],tabParametros[Incidência dos encargos do submódulo 2.1 sobre Aviso Prévio Trabalhado])*tabCustoUnit[[#This Row],[MODULO 1 - REMUNERAÇÃO ]]</f>
        <v>0.74586837150000018</v>
      </c>
      <c r="AR195" s="22">
        <f>SUMIF(tabParametros[Código do Posto],tabCustoUnit[[#This Row],[Código do Posto]],tabParametros[Multa Rescisória do FGTS])*tabCustoUnit[[#This Row],[MODULO 1 - REMUNERAÇÃO ]]</f>
        <v>17.238849066666663</v>
      </c>
      <c r="AS195" s="22">
        <f>SUMIF(tabParametros[Código do Posto],tabCustoUnit[[#This Row],[Código do Posto]],tabParametros[Indenização Adicional (Art. 9º da Lei nº 7.238/84)])*tabCustoUnit[[#This Row],[MODULO 1 - REMUNERAÇÃO ]]</f>
        <v>0.46980875</v>
      </c>
      <c r="AT195" s="22">
        <f>SUM(tabCustoUnit[[#This Row],[Aviso Prévio Indenizado (API) e Reflexo do Aviso Prévio Indenizado]:[Indenização Adicional (Art. 9º da Lei nº 7.238/84)]])</f>
        <v>24.823489377557866</v>
      </c>
      <c r="AU195" s="22">
        <f>SUMIF(tabParametros[Código do Posto],tabCustoUnit[[#This Row],[Código do Posto]],tabParametros[Ausência por Doença])*tabCustoUnit[[#This Row],[MODULO 1 - REMUNERAÇÃO ]]</f>
        <v>4.7607286666666662</v>
      </c>
      <c r="AV195" s="22">
        <f>SUMIF(tabParametros[Código do Posto],tabCustoUnit[[#This Row],[Código do Posto]],tabParametros[Ausências Legais])*tabCustoUnit[[#This Row],[MODULO 1 - REMUNERAÇÃO ]]</f>
        <v>1.1432012916666665</v>
      </c>
      <c r="AW195" s="22">
        <f>SUMIF(tabParametros[Código do Posto],tabCustoUnit[[#This Row],[Código do Posto]],tabParametros[Licença Paternidade])*tabCustoUnit[[#This Row],[MODULO 1 - REMUNERAÇÃO ]]</f>
        <v>9.6310793749999998E-2</v>
      </c>
      <c r="AX195" s="22">
        <f>SUMIF(tabParametros[Código do Posto],tabCustoUnit[[#This Row],[Código do Posto]],tabParametros[Ausência por Acidente de Trabalho])*tabCustoUnit[[#This Row],[MODULO 1 - REMUNERAÇÃO ]]</f>
        <v>0.1174521875</v>
      </c>
      <c r="AY195" s="22">
        <f>SUMIF(tabParametros[Código do Posto],tabCustoUnit[[#This Row],[Código do Posto]],tabParametros[Férias, Adicional de Férias e 13º  com empregada em gozo de Licença Maternidade])*tabCustoUnit[[#This Row],[MODULO 1 - REMUNERAÇÃO ]]</f>
        <v>0.73081361111111109</v>
      </c>
      <c r="AZ195" s="22">
        <f>SUMIF(tabParametros[Código do Posto],tabCustoUnit[[#This Row],[Código do Posto]],tabParametros[Incidência do Submódulo 2.1 sobre Ausências Legais])*tabCustoUnit[[#This Row],[MODULO 1 - REMUNERAÇÃO ]]</f>
        <v>2.5887354761625003</v>
      </c>
      <c r="BA195" s="22">
        <f>SUM(tabCustoUnit[[#This Row],[Ausência por Doença]:[Incidência do Submódulo 2.1 sobre Ausências Legais]])</f>
        <v>9.4372420268569428</v>
      </c>
      <c r="BB195" s="22">
        <f>SUMIF(tabParametros[Código do Posto],tabCustoUnit[[#This Row],[Código do Posto]],tabParametros[Intervalo para Repouso ou Alimentação])</f>
        <v>0</v>
      </c>
      <c r="BC195" s="22">
        <f>tabCustoUnit[[#This Row],[Intervalo para Repouso ou Alimentação]]</f>
        <v>0</v>
      </c>
      <c r="BD195" s="22">
        <f>IF(VLOOKUP(tabCustoUnit[[#This Row],[Código do Posto]],PARAMETROS!$A$4:$BJ$255,7,0)&lt;=0,0,
IFERROR((tabCustoUnit[[#This Row],[MODULO 1 - REMUNERAÇÃO ]]*VLOOKUP(tabCustoUnit[[#This Row],[Código do Posto]],PARAMETROS!$A$4:$BJ$255,49,0))/(VLOOKUP(tabCustoUnit[[#This Row],[Código do Posto]],PARAMETROS!$A$4:$BJ$255,7,0)*VLOOKUP(tabCustoUnit[[#This Row],[Código do Posto]],PARAMETROS!$A$4:$BJ$255,8,0)),0)
)</f>
        <v>0</v>
      </c>
      <c r="BE195" s="22">
        <f>tabCustoUnit[[#This Row],[Suspensão Temporária do Contrato de Trabalho]]</f>
        <v>0</v>
      </c>
      <c r="BF195" s="22">
        <f>tabCustoUnit[[#This Row],[Submódulo 4.1]]+tabCustoUnit[[#This Row],[Submódulo 4.2]]+tabCustoUnit[[#This Row],[Submódulo 4.3]]</f>
        <v>9.4372420268569428</v>
      </c>
      <c r="BG195" s="22">
        <f>VLOOKUP(tabCustoUnit[[#This Row],[Código do Posto]],tabParametros[],MATCH(tabCustoUnit[[#Headers],[Uniformes e EPIs]],tabParametros[#Headers],0),0)</f>
        <v>62.806666666666665</v>
      </c>
      <c r="BH195" s="22">
        <f>VLOOKUP(tabCustoUnit[[#This Row],[Código do Posto]],tabParametros[],MATCH(tabCustoUnit[[#Headers],[Materiais de Consumo]],tabParametros[#Headers],0),0)</f>
        <v>12.108481690426325</v>
      </c>
      <c r="BI195" s="22">
        <f>VLOOKUP(tabCustoUnit[[#This Row],[Código do Posto]],tabParametros[],MATCH(tabCustoUnit[[#Headers],[Máquinas e Equipamentos (depreciação)]],tabParametros[#Headers],0),0)</f>
        <v>21.998657016417809</v>
      </c>
      <c r="BJ195" s="22">
        <f>VLOOKUP(tabCustoUnit[[#This Row],[Código do Posto]],tabParametros[],MATCH(tabCustoUnit[[#Headers],[Produtos de Limpeza e Materiais de Higiene Pessoal]],tabParametros[#Headers],0),0)</f>
        <v>235.31984072022155</v>
      </c>
      <c r="BK195" s="22">
        <f>VLOOKUP(tabCustoUnit[[#This Row],[Código do Posto]],tabParametros[],MATCH(tabCustoUnit[[#Headers],[Outros (especificar)]],tabParametros[#Headers],0),0)</f>
        <v>0</v>
      </c>
      <c r="BL195" s="22">
        <f>SUM(tabCustoUnit[[#This Row],[Uniformes e EPIs]:[Outros (especificar)]])</f>
        <v>332.23364609373232</v>
      </c>
      <c r="BM195" s="22">
        <f>tabCustoUnit[[#This Row],[MODULO 1 - REMUNERAÇÃO ]]+tabCustoUnit[[#This Row],[MÓDULO 2 - Total Encargos e Benefícios mensais e diários]]+tabCustoUnit[[#This Row],[MÓDULO 3 – PROVISÃO PARA RESCISÃO]]+tabCustoUnit[[#This Row],[MÓDULO 4 – CUSTO DE REPOSIÇÃO DO PROFISSIONAL AUSENTE]]+tabCustoUnit[[#This Row],[MÓDULO 5 – INSUMOS DIVERSOS]]</f>
        <v>2103.1384999148136</v>
      </c>
      <c r="BN195" s="22">
        <f>VLOOKUP(tabCustoUnit[[#This Row],[Código do Posto]],tabParametros[],MATCH(tabCustoUnit[[#Headers],[Custos Indiretos]],tabParametros[#Headers],0),0)</f>
        <v>189.64880140242613</v>
      </c>
      <c r="BO195" s="22">
        <f>VLOOKUP(tabCustoUnit[[#This Row],[Código do Posto]],tabParametros[],MATCH(tabCustoUnit[[#Headers],[Lucro]],tabParametros[#Headers],0),0)</f>
        <v>159.30499317803796</v>
      </c>
      <c r="BP195" s="26">
        <f>((100/((1-tabCustoUnit[[#This Row],[Resumo de Alíquotas (PIS+CONFINS+ISS)]]))-100)*VLOOKUP(tabCustoUnit[[#This Row],[Código do Posto]],tabParametros[],MATCH(tabCustoUnit[[#Headers],[COFINS]],tabParametros[#Headers],0),0))/(tabCustoUnit[[#This Row],[Resumo de Alíquotas (PIS+CONFINS+ISS)]]*100)</f>
        <v>8.5633802816901458E-2</v>
      </c>
      <c r="BQ195" s="26">
        <f>((100/((100-(tabCustoUnit[[#This Row],[Resumo de Alíquotas (PIS+CONFINS+ISS)]]*100))%)-100)*VLOOKUP(tabCustoUnit[[#This Row],[Código do Posto]],tabParametros[],MATCH(tabCustoUnit[[#Headers],[PIS]],tabParametros[#Headers],0),0))/(tabCustoUnit[[#This Row],[Resumo de Alíquotas (PIS+CONFINS+ISS)]]*100)</f>
        <v>1.8591549295774657E-2</v>
      </c>
      <c r="BR195" s="28">
        <f>VLOOKUP(tabCustoUnit[[#This Row],[Código do Posto]],tabParametros[],MATCH(tabCustoUnit[[#Headers],[ISS]],tabParametros[#Headers],0),0)</f>
        <v>0.02</v>
      </c>
      <c r="BS195" s="26">
        <f>(((100/((100-(tabCustoUnit[[#This Row],[Resumo de Alíquotas (PIS+CONFINS+ISS)]]*100))%)-100)*tabCustoUnit[[#This Row],[ISS]])/tabCustoUnit[[#This Row],[Resumo de Alíquotas (PIS+CONFINS+ISS)]])/100</f>
        <v>2.2535211267605645E-2</v>
      </c>
      <c r="BT195" s="26">
        <f>(VLOOKUP(tabCustoUnit[[#This Row],[Código do Posto]],tabParametros[],MATCH(tabCustoUnit[[#Headers],[COFINS]],tabParametros[#Headers],0),0)+
VLOOKUP(tabCustoUnit[[#This Row],[Código do Posto]],tabParametros[],MATCH(tabCustoUnit[[#Headers],[PIS]],tabParametros[#Headers],0),0)+
VLOOKUP(tabCustoUnit[[#This Row],[Código do Posto]],tabParametros[],MATCH(tabCustoUnit[[#Headers],[ISS]],tabParametros[#Headers],0),0))</f>
        <v>0.1125</v>
      </c>
      <c r="BU195" s="138">
        <f>tabCustoUnit[[#This Row],[COFINS]]+tabCustoUnit[[#This Row],[PIS]]+tabCustoUnit[[#This Row],[ISS (Conversão Alíquota s/ fatura)]]</f>
        <v>0.12676056338028174</v>
      </c>
      <c r="BV195" s="22">
        <f>(tabCustoUnit[[#This Row],[TOTAL MÓDULOS 1+2+3+4+5]]+tabCustoUnit[[#This Row],[Custos Indiretos]]+tabCustoUnit[[#This Row],[Lucro]])*tabCustoUnit[[#This Row],[PIS + COFINS + ISS (Total Conversão  Alíquota s/ Fatura)]]</f>
        <v>310.82860071066915</v>
      </c>
      <c r="BW195" s="22">
        <f>tabCustoUnit[[#This Row],[Custos Indiretos]]+tabCustoUnit[[#This Row],[Lucro]]+tabCustoUnit[[#This Row],[Valor dos Tributos (ISS, PIS, CONFINS)]]</f>
        <v>659.7823952911333</v>
      </c>
      <c r="BX195" s="22">
        <f>tabCustoUnit[[#This Row],[TOTAL MÓDULOS 1+2+3+4+5]]+tabCustoUnit[[#This Row],[MÓDULO 6 – CUSTOS INDIRETOS, TRIBUTOS E LUCRO]]</f>
        <v>2762.9208952059471</v>
      </c>
      <c r="BY195" s="22">
        <f>tabCustoUnit[[#This Row],[CUSTO TOTAL MENSAL]]*12</f>
        <v>33155.050742471365</v>
      </c>
      <c r="BZ195" s="24">
        <f>VLOOKUP(tabCustoUnit[[#This Row],[Código do Posto]],tabParametros[],MATCH(tabCustoUnit[[#Headers],[ANO DA CCT]],tabParametros[#Headers],0),0)</f>
        <v>45658</v>
      </c>
      <c r="CA195" s="25" t="str">
        <f>VLOOKUP(tabCustoUnit[[#This Row],[Código do Posto]],tabParametros[],MATCH(tabCustoUnit[[#Headers],[Nº DE PEDIDO DA CCT]],tabParametros[#Headers],0),0)</f>
        <v>-</v>
      </c>
      <c r="CB195" s="25" t="str">
        <f>VLOOKUP(tabCustoUnit[[#This Row],[Código do Posto]],tabParametros[],MATCH(tabCustoUnit[[#Headers],[TERMO ADITIVO ALTERAÇÃO DA CCT]],tabParametros[#Headers],0),0)</f>
        <v>-</v>
      </c>
    </row>
    <row r="196" spans="1:80" x14ac:dyDescent="0.25">
      <c r="A196" s="20" t="s">
        <v>1531</v>
      </c>
      <c r="B196" t="s">
        <v>177</v>
      </c>
      <c r="C196" t="s">
        <v>1244</v>
      </c>
      <c r="D196" t="s">
        <v>81</v>
      </c>
      <c r="E196" s="20" t="s">
        <v>9</v>
      </c>
      <c r="F196" s="20" t="s">
        <v>10</v>
      </c>
      <c r="G196" s="21">
        <v>798.14</v>
      </c>
      <c r="H196" s="21">
        <v>0</v>
      </c>
      <c r="I196" s="21">
        <v>0</v>
      </c>
      <c r="J196" s="21">
        <v>0</v>
      </c>
      <c r="K196" s="21">
        <v>0</v>
      </c>
      <c r="L196" s="21">
        <v>0</v>
      </c>
      <c r="M196" s="21">
        <v>0</v>
      </c>
      <c r="N196" s="21">
        <v>26.120899999999999</v>
      </c>
      <c r="O196" s="21">
        <f>SUM(tabCustoUnit[[#This Row],[Salário Base]:[Adicional de Acúmulo de função]])</f>
        <v>824.26089999999999</v>
      </c>
      <c r="P196" s="21">
        <f>tabCustoUnit[[#This Row],[MODULO 1 - REMUNERAÇÃO ]]*SUMIFS(tabParametros[INSS],tabParametros[Código do Posto],tabCustoUnit[[#This Row],[Código do Posto]])</f>
        <v>164.85218</v>
      </c>
      <c r="Q196" s="21">
        <f>tabCustoUnit[[#This Row],[MODULO 1 - REMUNERAÇÃO ]]*SUMIFS(tabParametros[SESI OU SESC],tabParametros[Código do Posto],tabCustoUnit[[#This Row],[Código do Posto]])</f>
        <v>12.363913499999999</v>
      </c>
      <c r="R196" s="21">
        <f>tabCustoUnit[[#This Row],[MODULO 1 - REMUNERAÇÃO ]]*SUMIFS(tabParametros[SENAI OU SENAC],tabParametros[Código do Posto],tabCustoUnit[[#This Row],[Código do Posto]])</f>
        <v>8.2426089999999999</v>
      </c>
      <c r="S196" s="21">
        <f>tabCustoUnit[[#This Row],[MODULO 1 - REMUNERAÇÃO ]]*SUMIFS(tabParametros[INCRA],tabParametros[Código do Posto],tabCustoUnit[[#This Row],[Código do Posto]])</f>
        <v>1.6485217999999999</v>
      </c>
      <c r="T196" s="21">
        <f>tabCustoUnit[[#This Row],[MODULO 1 - REMUNERAÇÃO ]]*SUMIFS(tabParametros[Salário Educação],tabParametros[Código do Posto],tabCustoUnit[[#This Row],[Código do Posto]])</f>
        <v>20.606522500000001</v>
      </c>
      <c r="U196" s="21">
        <f>tabCustoUnit[[#This Row],[MODULO 1 - REMUNERAÇÃO ]]*SUMIFS(tabParametros[FGTS],tabParametros[Código do Posto],tabCustoUnit[[#This Row],[Código do Posto]])</f>
        <v>65.940871999999999</v>
      </c>
      <c r="V196" s="21">
        <f>tabCustoUnit[[#This Row],[MODULO 1 - REMUNERAÇÃO ]]*SUMIFS(tabParametros[RAT Ajustado],tabParametros[Código do Posto],tabCustoUnit[[#This Row],[Código do Posto]])</f>
        <v>32.970435999999999</v>
      </c>
      <c r="W196" s="21">
        <f>tabCustoUnit[[#This Row],[MODULO 1 - REMUNERAÇÃO ]]*SUMIFS(tabParametros[SEBRAE],tabParametros[Código do Posto],tabCustoUnit[[#This Row],[Código do Posto]])</f>
        <v>4.9455654000000004</v>
      </c>
      <c r="X196" s="21">
        <f>SUM(tabCustoUnit[[#This Row],[INSS]:[SEBRAE]])</f>
        <v>311.57062020000001</v>
      </c>
      <c r="Y196" s="21">
        <f>tabCustoUnit[[#This Row],[MODULO 1 - REMUNERAÇÃO ]]*SUMIFS(tabParametros[13º salário (titular)],tabParametros[Código do Posto],tabCustoUnit[[#This Row],[Código do Posto]])</f>
        <v>68.688408333333328</v>
      </c>
      <c r="Z196" s="21">
        <f>tabCustoUnit[[#This Row],[MODULO 1 - REMUNERAÇÃO ]]*SUMIFS(tabParametros[Férias e Adicional de Férias (titular)],tabParametros[Código do Posto],tabCustoUnit[[#This Row],[Código do Posto]])</f>
        <v>91.584544444444433</v>
      </c>
      <c r="AA196" s="21">
        <f>IFERROR((tabCustoUnit[[#This Row],[Submódulo 2.1]]/tabCustoUnit[[#This Row],[MODULO 1 - REMUNERAÇÃO ]])*SUM(tabCustoUnit[[#This Row],[13º salário (titular)]:[Férias e Adicional de Férias (titular)]]),0)</f>
        <v>60.583176149999993</v>
      </c>
      <c r="AB196" s="21">
        <f>SUM(tabCustoUnit[[#This Row],[13º salário (titular)]:[Incidência do Submódulo 2.1 sobre 13º Salário, Férias e Adicional de Férias]])</f>
        <v>220.85612892777775</v>
      </c>
      <c r="AC196" s="22">
        <f>_xlfn.LET(_xlpm.VT,SUMIF(tabParametros[Código do Posto],tabCustoUnit[[#This Row],[Código do Posto]],tabParametros[Vale - Transporte])*2*20,
IF((_xlpm.VT-tabCustoUnit[[#This Row],[Salário Base]]*0.06)&gt;=0,(_xlpm.VT-tabCustoUnit[[#This Row],[Salário Base]]*0.06),0)
)</f>
        <v>208.11160000000001</v>
      </c>
      <c r="AD196" s="22">
        <f>IF(SUMIF(tabParametros[Código do Posto],tabCustoUnit[[#This Row],[Código do Posto]],tabParametros[Vale - Alimentação])&lt;=0,0,
SUMIF(tabParametros[Código do Posto],tabCustoUnit[[#This Row],[Código do Posto]],tabParametros[Vale - Alimentação])*20-1)</f>
        <v>582</v>
      </c>
      <c r="AE196" s="22">
        <f>SUMIF(tabParametros[Código do Posto],tabCustoUnit[[#This Row],[Código do Posto]],tabParametros[Cesta Básica])</f>
        <v>0</v>
      </c>
      <c r="AF196" s="22">
        <f>SUMIF(tabParametros[Código do Posto],tabCustoUnit[[#This Row],[Código do Posto]],tabParametros[PAF])</f>
        <v>0</v>
      </c>
      <c r="AG196" s="22">
        <f>SUMIF(tabParametros[Código do Posto],tabCustoUnit[[#This Row],[Código do Posto]],tabParametros[PQM])</f>
        <v>0</v>
      </c>
      <c r="AH196" s="22">
        <f>SUMIF(tabParametros[Código do Posto],tabCustoUnit[[#This Row],[Código do Posto]],tabParametros[PAT])</f>
        <v>0</v>
      </c>
      <c r="AI196" s="22">
        <f>SUMIF(tabParametros[Código do Posto],tabCustoUnit[[#This Row],[Código do Posto]],tabParametros[Seguro de Vida])</f>
        <v>3.36</v>
      </c>
      <c r="AJ196" s="22">
        <f>SUMIF(tabParametros[Código do Posto],tabCustoUnit[[#This Row],[Código do Posto]],tabParametros[Despesas de Viagem])</f>
        <v>0</v>
      </c>
      <c r="AK196" s="22">
        <f>SUM(tabCustoUnit[[#This Row],[Vale - Transporte (Descontada parcela do empregado)]:[Despesas de Viagem]])</f>
        <v>793.47159999999997</v>
      </c>
      <c r="AL196" s="22">
        <f>tabCustoUnit[[#This Row],[Submódulo 2.1]]+tabCustoUnit[[#This Row],[Submódulo 2.2]]+tabCustoUnit[[#This Row],[Submódulo 2.3]]</f>
        <v>1325.8983491277777</v>
      </c>
      <c r="AM196" s="22">
        <f>SUMIF(tabParametros[Código do Posto],tabCustoUnit[[#This Row],[Código do Posto]],tabParametros[Aviso Prévio Indenizado (API) e Reflexo do Aviso Prévio Indenizado])*tabCustoUnit[[#This Row],[MODULO 1 - REMUNERAÇÃO ]]</f>
        <v>5.7795253576581791</v>
      </c>
      <c r="AN196" s="22">
        <f>SUMIF(tabParametros[Código do Posto],tabCustoUnit[[#This Row],[Código do Posto]],tabParametros[Incidência do FGTS sobre API e Reflexo do API])*tabCustoUnit[[#This Row],[MODULO 1 - REMUNERAÇÃO ]]</f>
        <v>0.46236202861265435</v>
      </c>
      <c r="AO196" s="22">
        <f>SUMIF(tabParametros[Código do Posto],tabCustoUnit[[#This Row],[Código do Posto]],tabParametros[Multa Rescisória do FGTS sobre o Aviso Prévio Indenizado])*tabCustoUnit[[#This Row],[MODULO 1 - REMUNERAÇÃO ]]</f>
        <v>0.18494481144506175</v>
      </c>
      <c r="AP196" s="22">
        <f>SUMIF(tabParametros[Código do Posto],tabCustoUnit[[#This Row],[Código do Posto]],tabParametros[Aviso Prévio Trabalhado - APT])*tabCustoUnit[[#This Row],[MODULO 1 - REMUNERAÇÃO ]]</f>
        <v>2.8849131500000005</v>
      </c>
      <c r="AQ196" s="22">
        <f>SUMIF(tabParametros[Código do Posto],tabCustoUnit[[#This Row],[Código do Posto]],tabParametros[Incidência dos encargos do submódulo 2.1 sobre Aviso Prévio Trabalhado])*tabCustoUnit[[#This Row],[MODULO 1 - REMUNERAÇÃO ]]</f>
        <v>1.0904971707000004</v>
      </c>
      <c r="AR196" s="22">
        <f>SUMIF(tabParametros[Código do Posto],tabCustoUnit[[#This Row],[Código do Posto]],tabParametros[Multa Rescisória do FGTS])*tabCustoUnit[[#This Row],[MODULO 1 - REMUNERAÇÃO ]]</f>
        <v>25.204066631111107</v>
      </c>
      <c r="AS196" s="22">
        <f>SUMIF(tabParametros[Código do Posto],tabCustoUnit[[#This Row],[Código do Posto]],tabParametros[Indenização Adicional (Art. 9º da Lei nº 7.238/84)])*tabCustoUnit[[#This Row],[MODULO 1 - REMUNERAÇÃO ]]</f>
        <v>0.6868840833333334</v>
      </c>
      <c r="AT196" s="22">
        <f>SUM(tabCustoUnit[[#This Row],[Aviso Prévio Indenizado (API) e Reflexo do Aviso Prévio Indenizado]:[Indenização Adicional (Art. 9º da Lei nº 7.238/84)]])</f>
        <v>36.293193232860339</v>
      </c>
      <c r="AU196" s="22">
        <f>SUMIF(tabParametros[Código do Posto],tabCustoUnit[[#This Row],[Código do Posto]],tabParametros[Ausência por Doença])*tabCustoUnit[[#This Row],[MODULO 1 - REMUNERAÇÃO ]]</f>
        <v>6.9604253777777769</v>
      </c>
      <c r="AV196" s="22">
        <f>SUMIF(tabParametros[Código do Posto],tabCustoUnit[[#This Row],[Código do Posto]],tabParametros[Ausências Legais])*tabCustoUnit[[#This Row],[MODULO 1 - REMUNERAÇÃO ]]</f>
        <v>1.671417936111111</v>
      </c>
      <c r="AW196" s="22">
        <f>SUMIF(tabParametros[Código do Posto],tabCustoUnit[[#This Row],[Código do Posto]],tabParametros[Licença Paternidade])*tabCustoUnit[[#This Row],[MODULO 1 - REMUNERAÇÃO ]]</f>
        <v>0.14081123708333332</v>
      </c>
      <c r="AX196" s="22">
        <f>SUMIF(tabParametros[Código do Posto],tabCustoUnit[[#This Row],[Código do Posto]],tabParametros[Ausência por Acidente de Trabalho])*tabCustoUnit[[#This Row],[MODULO 1 - REMUNERAÇÃO ]]</f>
        <v>0.17172102083333335</v>
      </c>
      <c r="AY196" s="22">
        <f>SUMIF(tabParametros[Código do Posto],tabCustoUnit[[#This Row],[Código do Posto]],tabParametros[Férias, Adicional de Férias e 13º  com empregada em gozo de Licença Maternidade])*tabCustoUnit[[#This Row],[MODULO 1 - REMUNERAÇÃO ]]</f>
        <v>1.0684863518518517</v>
      </c>
      <c r="AZ196" s="22">
        <f>SUMIF(tabParametros[Código do Posto],tabCustoUnit[[#This Row],[Código do Posto]],tabParametros[Incidência do Submódulo 2.1 sobre Ausências Legais])*tabCustoUnit[[#This Row],[MODULO 1 - REMUNERAÇÃO ]]</f>
        <v>3.7848618071425006</v>
      </c>
      <c r="BA196" s="22">
        <f>SUM(tabCustoUnit[[#This Row],[Ausência por Doença]:[Incidência do Submódulo 2.1 sobre Ausências Legais]])</f>
        <v>13.797723730799909</v>
      </c>
      <c r="BB196" s="22">
        <f>SUMIF(tabParametros[Código do Posto],tabCustoUnit[[#This Row],[Código do Posto]],tabParametros[Intervalo para Repouso ou Alimentação])</f>
        <v>0</v>
      </c>
      <c r="BC196" s="22">
        <f>tabCustoUnit[[#This Row],[Intervalo para Repouso ou Alimentação]]</f>
        <v>0</v>
      </c>
      <c r="BD196" s="22">
        <f>IF(VLOOKUP(tabCustoUnit[[#This Row],[Código do Posto]],PARAMETROS!$A$4:$BJ$255,7,0)&lt;=0,0,
IFERROR((tabCustoUnit[[#This Row],[MODULO 1 - REMUNERAÇÃO ]]*VLOOKUP(tabCustoUnit[[#This Row],[Código do Posto]],PARAMETROS!$A$4:$BJ$255,49,0))/(VLOOKUP(tabCustoUnit[[#This Row],[Código do Posto]],PARAMETROS!$A$4:$BJ$255,7,0)*VLOOKUP(tabCustoUnit[[#This Row],[Código do Posto]],PARAMETROS!$A$4:$BJ$255,8,0)),0)
)</f>
        <v>0</v>
      </c>
      <c r="BE196" s="22">
        <f>tabCustoUnit[[#This Row],[Suspensão Temporária do Contrato de Trabalho]]</f>
        <v>0</v>
      </c>
      <c r="BF196" s="22">
        <f>tabCustoUnit[[#This Row],[Submódulo 4.1]]+tabCustoUnit[[#This Row],[Submódulo 4.2]]+tabCustoUnit[[#This Row],[Submódulo 4.3]]</f>
        <v>13.797723730799909</v>
      </c>
      <c r="BG196" s="22">
        <f>VLOOKUP(tabCustoUnit[[#This Row],[Código do Posto]],tabParametros[],MATCH(tabCustoUnit[[#Headers],[Uniformes e EPIs]],tabParametros[#Headers],0),0)</f>
        <v>62.806666666666665</v>
      </c>
      <c r="BH196" s="22">
        <f>VLOOKUP(tabCustoUnit[[#This Row],[Código do Posto]],tabParametros[],MATCH(tabCustoUnit[[#Headers],[Materiais de Consumo]],tabParametros[#Headers],0),0)</f>
        <v>17.759106479291944</v>
      </c>
      <c r="BI196" s="22">
        <f>VLOOKUP(tabCustoUnit[[#This Row],[Código do Posto]],tabParametros[],MATCH(tabCustoUnit[[#Headers],[Máquinas e Equipamentos (depreciação)]],tabParametros[#Headers],0),0)</f>
        <v>32.264696957412788</v>
      </c>
      <c r="BJ196" s="22">
        <f>VLOOKUP(tabCustoUnit[[#This Row],[Código do Posto]],tabParametros[],MATCH(tabCustoUnit[[#Headers],[Produtos de Limpeza e Materiais de Higiene Pessoal]],tabParametros[#Headers],0),0)</f>
        <v>345.13576638965827</v>
      </c>
      <c r="BK196" s="22">
        <f>VLOOKUP(tabCustoUnit[[#This Row],[Código do Posto]],tabParametros[],MATCH(tabCustoUnit[[#Headers],[Outros (especificar)]],tabParametros[#Headers],0),0)</f>
        <v>0</v>
      </c>
      <c r="BL196" s="22">
        <f>SUM(tabCustoUnit[[#This Row],[Uniformes e EPIs]:[Outros (especificar)]])</f>
        <v>457.96623649302967</v>
      </c>
      <c r="BM196" s="22">
        <f>tabCustoUnit[[#This Row],[MODULO 1 - REMUNERAÇÃO ]]+tabCustoUnit[[#This Row],[MÓDULO 2 - Total Encargos e Benefícios mensais e diários]]+tabCustoUnit[[#This Row],[MÓDULO 3 – PROVISÃO PARA RESCISÃO]]+tabCustoUnit[[#This Row],[MÓDULO 4 – CUSTO DE REPOSIÇÃO DO PROFISSIONAL AUSENTE]]+tabCustoUnit[[#This Row],[MÓDULO 5 – INSUMOS DIVERSOS]]</f>
        <v>2658.2164025844677</v>
      </c>
      <c r="BN196" s="22">
        <f>VLOOKUP(tabCustoUnit[[#This Row],[Código do Posto]],tabParametros[],MATCH(tabCustoUnit[[#Headers],[Custos Indiretos]],tabParametros[#Headers],0),0)</f>
        <v>189.64880140242613</v>
      </c>
      <c r="BO196" s="22">
        <f>VLOOKUP(tabCustoUnit[[#This Row],[Código do Posto]],tabParametros[],MATCH(tabCustoUnit[[#Headers],[Lucro]],tabParametros[#Headers],0),0)</f>
        <v>159.30499317803796</v>
      </c>
      <c r="BP196" s="26">
        <f>((100/((1-tabCustoUnit[[#This Row],[Resumo de Alíquotas (PIS+CONFINS+ISS)]]))-100)*VLOOKUP(tabCustoUnit[[#This Row],[Código do Posto]],tabParametros[],MATCH(tabCustoUnit[[#Headers],[COFINS]],tabParametros[#Headers],0),0))/(tabCustoUnit[[#This Row],[Resumo de Alíquotas (PIS+CONFINS+ISS)]]*100)</f>
        <v>8.5633802816901458E-2</v>
      </c>
      <c r="BQ196" s="26">
        <f>((100/((100-(tabCustoUnit[[#This Row],[Resumo de Alíquotas (PIS+CONFINS+ISS)]]*100))%)-100)*VLOOKUP(tabCustoUnit[[#This Row],[Código do Posto]],tabParametros[],MATCH(tabCustoUnit[[#Headers],[PIS]],tabParametros[#Headers],0),0))/(tabCustoUnit[[#This Row],[Resumo de Alíquotas (PIS+CONFINS+ISS)]]*100)</f>
        <v>1.8591549295774657E-2</v>
      </c>
      <c r="BR196" s="28">
        <f>VLOOKUP(tabCustoUnit[[#This Row],[Código do Posto]],tabParametros[],MATCH(tabCustoUnit[[#Headers],[ISS]],tabParametros[#Headers],0),0)</f>
        <v>0.02</v>
      </c>
      <c r="BS196" s="26">
        <f>(((100/((100-(tabCustoUnit[[#This Row],[Resumo de Alíquotas (PIS+CONFINS+ISS)]]*100))%)-100)*tabCustoUnit[[#This Row],[ISS]])/tabCustoUnit[[#This Row],[Resumo de Alíquotas (PIS+CONFINS+ISS)]])/100</f>
        <v>2.2535211267605645E-2</v>
      </c>
      <c r="BT196" s="26">
        <f>(VLOOKUP(tabCustoUnit[[#This Row],[Código do Posto]],tabParametros[],MATCH(tabCustoUnit[[#Headers],[COFINS]],tabParametros[#Headers],0),0)+
VLOOKUP(tabCustoUnit[[#This Row],[Código do Posto]],tabParametros[],MATCH(tabCustoUnit[[#Headers],[PIS]],tabParametros[#Headers],0),0)+
VLOOKUP(tabCustoUnit[[#This Row],[Código do Posto]],tabParametros[],MATCH(tabCustoUnit[[#Headers],[ISS]],tabParametros[#Headers],0),0))</f>
        <v>0.1125</v>
      </c>
      <c r="BU196" s="138">
        <f>tabCustoUnit[[#This Row],[COFINS]]+tabCustoUnit[[#This Row],[PIS]]+tabCustoUnit[[#This Row],[ISS (Conversão Alíquota s/ fatura)]]</f>
        <v>0.12676056338028174</v>
      </c>
      <c r="BV196" s="22">
        <f>(tabCustoUnit[[#This Row],[TOTAL MÓDULOS 1+2+3+4+5]]+tabCustoUnit[[#This Row],[Custos Indiretos]]+tabCustoUnit[[#This Row],[Lucro]])*tabCustoUnit[[#This Row],[PIS + COFINS + ISS (Total Conversão  Alíquota s/ Fatura)]]</f>
        <v>381.19058837301969</v>
      </c>
      <c r="BW196" s="22">
        <f>tabCustoUnit[[#This Row],[Custos Indiretos]]+tabCustoUnit[[#This Row],[Lucro]]+tabCustoUnit[[#This Row],[Valor dos Tributos (ISS, PIS, CONFINS)]]</f>
        <v>730.14438295348373</v>
      </c>
      <c r="BX196" s="22">
        <f>tabCustoUnit[[#This Row],[TOTAL MÓDULOS 1+2+3+4+5]]+tabCustoUnit[[#This Row],[MÓDULO 6 – CUSTOS INDIRETOS, TRIBUTOS E LUCRO]]</f>
        <v>3388.3607855379514</v>
      </c>
      <c r="BY196" s="22">
        <f>tabCustoUnit[[#This Row],[CUSTO TOTAL MENSAL]]*12</f>
        <v>40660.329426455413</v>
      </c>
      <c r="BZ196" s="24">
        <f>VLOOKUP(tabCustoUnit[[#This Row],[Código do Posto]],tabParametros[],MATCH(tabCustoUnit[[#Headers],[ANO DA CCT]],tabParametros[#Headers],0),0)</f>
        <v>45658</v>
      </c>
      <c r="CA196" s="25" t="str">
        <f>VLOOKUP(tabCustoUnit[[#This Row],[Código do Posto]],tabParametros[],MATCH(tabCustoUnit[[#Headers],[Nº DE PEDIDO DA CCT]],tabParametros[#Headers],0),0)</f>
        <v>-</v>
      </c>
      <c r="CB196" s="25" t="str">
        <f>VLOOKUP(tabCustoUnit[[#This Row],[Código do Posto]],tabParametros[],MATCH(tabCustoUnit[[#Headers],[TERMO ADITIVO ALTERAÇÃO DA CCT]],tabParametros[#Headers],0),0)</f>
        <v>-</v>
      </c>
    </row>
    <row r="197" spans="1:80" x14ac:dyDescent="0.25">
      <c r="A197" s="20" t="s">
        <v>1532</v>
      </c>
      <c r="B197" t="s">
        <v>178</v>
      </c>
      <c r="C197" t="s">
        <v>1245</v>
      </c>
      <c r="D197" t="s">
        <v>1020</v>
      </c>
      <c r="E197" s="20" t="s">
        <v>9</v>
      </c>
      <c r="F197" s="20" t="s">
        <v>10</v>
      </c>
      <c r="G197" s="21">
        <v>1596.28</v>
      </c>
      <c r="H197" s="21">
        <v>0</v>
      </c>
      <c r="I197" s="21">
        <v>0</v>
      </c>
      <c r="J197" s="21">
        <v>0</v>
      </c>
      <c r="K197" s="21">
        <v>0</v>
      </c>
      <c r="L197" s="21">
        <v>0</v>
      </c>
      <c r="M197" s="21">
        <v>0</v>
      </c>
      <c r="N197" s="21">
        <v>52.241900000000001</v>
      </c>
      <c r="O197" s="21">
        <f>SUM(tabCustoUnit[[#This Row],[Salário Base]:[Adicional de Acúmulo de função]])</f>
        <v>1648.5219</v>
      </c>
      <c r="P197" s="21">
        <f>tabCustoUnit[[#This Row],[MODULO 1 - REMUNERAÇÃO ]]*SUMIFS(tabParametros[INSS],tabParametros[Código do Posto],tabCustoUnit[[#This Row],[Código do Posto]])</f>
        <v>329.70438000000001</v>
      </c>
      <c r="Q197" s="21">
        <f>tabCustoUnit[[#This Row],[MODULO 1 - REMUNERAÇÃO ]]*SUMIFS(tabParametros[SESI OU SESC],tabParametros[Código do Posto],tabCustoUnit[[#This Row],[Código do Posto]])</f>
        <v>24.727828499999998</v>
      </c>
      <c r="R197" s="21">
        <f>tabCustoUnit[[#This Row],[MODULO 1 - REMUNERAÇÃO ]]*SUMIFS(tabParametros[SENAI OU SENAC],tabParametros[Código do Posto],tabCustoUnit[[#This Row],[Código do Posto]])</f>
        <v>16.485219000000001</v>
      </c>
      <c r="S197" s="21">
        <f>tabCustoUnit[[#This Row],[MODULO 1 - REMUNERAÇÃO ]]*SUMIFS(tabParametros[INCRA],tabParametros[Código do Posto],tabCustoUnit[[#This Row],[Código do Posto]])</f>
        <v>3.2970438</v>
      </c>
      <c r="T197" s="21">
        <f>tabCustoUnit[[#This Row],[MODULO 1 - REMUNERAÇÃO ]]*SUMIFS(tabParametros[Salário Educação],tabParametros[Código do Posto],tabCustoUnit[[#This Row],[Código do Posto]])</f>
        <v>41.213047500000002</v>
      </c>
      <c r="U197" s="21">
        <f>tabCustoUnit[[#This Row],[MODULO 1 - REMUNERAÇÃO ]]*SUMIFS(tabParametros[FGTS],tabParametros[Código do Posto],tabCustoUnit[[#This Row],[Código do Posto]])</f>
        <v>131.88175200000001</v>
      </c>
      <c r="V197" s="21">
        <f>tabCustoUnit[[#This Row],[MODULO 1 - REMUNERAÇÃO ]]*SUMIFS(tabParametros[RAT Ajustado],tabParametros[Código do Posto],tabCustoUnit[[#This Row],[Código do Posto]])</f>
        <v>65.940876000000003</v>
      </c>
      <c r="W197" s="21">
        <f>tabCustoUnit[[#This Row],[MODULO 1 - REMUNERAÇÃO ]]*SUMIFS(tabParametros[SEBRAE],tabParametros[Código do Posto],tabCustoUnit[[#This Row],[Código do Posto]])</f>
        <v>9.8911314000000008</v>
      </c>
      <c r="X197" s="21">
        <f>SUM(tabCustoUnit[[#This Row],[INSS]:[SEBRAE]])</f>
        <v>623.14127819999999</v>
      </c>
      <c r="Y197" s="21">
        <f>tabCustoUnit[[#This Row],[MODULO 1 - REMUNERAÇÃO ]]*SUMIFS(tabParametros[13º salário (titular)],tabParametros[Código do Posto],tabCustoUnit[[#This Row],[Código do Posto]])</f>
        <v>137.376825</v>
      </c>
      <c r="Z197" s="21">
        <f>tabCustoUnit[[#This Row],[MODULO 1 - REMUNERAÇÃO ]]*SUMIFS(tabParametros[Férias e Adicional de Férias (titular)],tabParametros[Código do Posto],tabCustoUnit[[#This Row],[Código do Posto]])</f>
        <v>183.16909999999999</v>
      </c>
      <c r="AA197" s="21">
        <f>IFERROR((tabCustoUnit[[#This Row],[Submódulo 2.1]]/tabCustoUnit[[#This Row],[MODULO 1 - REMUNERAÇÃO ]])*SUM(tabCustoUnit[[#This Row],[13º salário (titular)]:[Férias e Adicional de Férias (titular)]]),0)</f>
        <v>121.16635965</v>
      </c>
      <c r="AB197" s="21">
        <f>SUM(tabCustoUnit[[#This Row],[13º salário (titular)]:[Incidência do Submódulo 2.1 sobre 13º Salário, Férias e Adicional de Férias]])</f>
        <v>441.71228465000002</v>
      </c>
      <c r="AC197" s="22">
        <f>_xlfn.LET(_xlpm.VT,SUMIF(tabParametros[Código do Posto],tabCustoUnit[[#This Row],[Código do Posto]],tabParametros[Vale - Transporte])*2*20,
IF((_xlpm.VT-tabCustoUnit[[#This Row],[Salário Base]]*0.06)&gt;=0,(_xlpm.VT-tabCustoUnit[[#This Row],[Salário Base]]*0.06),0)
)</f>
        <v>160.22320000000002</v>
      </c>
      <c r="AD197" s="22">
        <f>IF(SUMIF(tabParametros[Código do Posto],tabCustoUnit[[#This Row],[Código do Posto]],tabParametros[Vale - Alimentação])&lt;=0,0,
SUMIF(tabParametros[Código do Posto],tabCustoUnit[[#This Row],[Código do Posto]],tabParametros[Vale - Alimentação])*20-1)</f>
        <v>582</v>
      </c>
      <c r="AE197" s="22">
        <f>SUMIF(tabParametros[Código do Posto],tabCustoUnit[[#This Row],[Código do Posto]],tabParametros[Cesta Básica])</f>
        <v>0</v>
      </c>
      <c r="AF197" s="22">
        <f>SUMIF(tabParametros[Código do Posto],tabCustoUnit[[#This Row],[Código do Posto]],tabParametros[PAF])</f>
        <v>0</v>
      </c>
      <c r="AG197" s="22">
        <f>SUMIF(tabParametros[Código do Posto],tabCustoUnit[[#This Row],[Código do Posto]],tabParametros[PQM])</f>
        <v>0</v>
      </c>
      <c r="AH197" s="22">
        <f>SUMIF(tabParametros[Código do Posto],tabCustoUnit[[#This Row],[Código do Posto]],tabParametros[PAT])</f>
        <v>0</v>
      </c>
      <c r="AI197" s="22">
        <f>SUMIF(tabParametros[Código do Posto],tabCustoUnit[[#This Row],[Código do Posto]],tabParametros[Seguro de Vida])</f>
        <v>3.36</v>
      </c>
      <c r="AJ197" s="22">
        <f>SUMIF(tabParametros[Código do Posto],tabCustoUnit[[#This Row],[Código do Posto]],tabParametros[Despesas de Viagem])</f>
        <v>0</v>
      </c>
      <c r="AK197" s="22">
        <f>SUM(tabCustoUnit[[#This Row],[Vale - Transporte (Descontada parcela do empregado)]:[Despesas de Viagem]])</f>
        <v>745.58320000000003</v>
      </c>
      <c r="AL197" s="22">
        <f>tabCustoUnit[[#This Row],[Submódulo 2.1]]+tabCustoUnit[[#This Row],[Submódulo 2.2]]+tabCustoUnit[[#This Row],[Submódulo 2.3]]</f>
        <v>1810.4367628499999</v>
      </c>
      <c r="AM197" s="22">
        <f>SUMIF(tabParametros[Código do Posto],tabCustoUnit[[#This Row],[Código do Posto]],tabParametros[Aviso Prévio Indenizado (API) e Reflexo do Aviso Prévio Indenizado])*tabCustoUnit[[#This Row],[MODULO 1 - REMUNERAÇÃO ]]</f>
        <v>11.559051416493055</v>
      </c>
      <c r="AN197" s="22">
        <f>SUMIF(tabParametros[Código do Posto],tabCustoUnit[[#This Row],[Código do Posto]],tabParametros[Incidência do FGTS sobre API e Reflexo do API])*tabCustoUnit[[#This Row],[MODULO 1 - REMUNERAÇÃO ]]</f>
        <v>0.92472411331944449</v>
      </c>
      <c r="AO197" s="22">
        <f>SUMIF(tabParametros[Código do Posto],tabCustoUnit[[#This Row],[Código do Posto]],tabParametros[Multa Rescisória do FGTS sobre o Aviso Prévio Indenizado])*tabCustoUnit[[#This Row],[MODULO 1 - REMUNERAÇÃO ]]</f>
        <v>0.36988964532777785</v>
      </c>
      <c r="AP197" s="22">
        <f>SUMIF(tabParametros[Código do Posto],tabCustoUnit[[#This Row],[Código do Posto]],tabParametros[Aviso Prévio Trabalhado - APT])*tabCustoUnit[[#This Row],[MODULO 1 - REMUNERAÇÃO ]]</f>
        <v>5.7698266500000006</v>
      </c>
      <c r="AQ197" s="22">
        <f>SUMIF(tabParametros[Código do Posto],tabCustoUnit[[#This Row],[Código do Posto]],tabParametros[Incidência dos encargos do submódulo 2.1 sobre Aviso Prévio Trabalhado])*tabCustoUnit[[#This Row],[MODULO 1 - REMUNERAÇÃO ]]</f>
        <v>2.1809944737000007</v>
      </c>
      <c r="AR197" s="22">
        <f>SUMIF(tabParametros[Código do Posto],tabCustoUnit[[#This Row],[Código do Posto]],tabParametros[Multa Rescisória do FGTS])*tabCustoUnit[[#This Row],[MODULO 1 - REMUNERAÇÃO ]]</f>
        <v>50.40813631999999</v>
      </c>
      <c r="AS197" s="22">
        <f>SUMIF(tabParametros[Código do Posto],tabCustoUnit[[#This Row],[Código do Posto]],tabParametros[Indenização Adicional (Art. 9º da Lei nº 7.238/84)])*tabCustoUnit[[#This Row],[MODULO 1 - REMUNERAÇÃO ]]</f>
        <v>1.3737682500000001</v>
      </c>
      <c r="AT197" s="22">
        <f>SUM(tabCustoUnit[[#This Row],[Aviso Prévio Indenizado (API) e Reflexo do Aviso Prévio Indenizado]:[Indenização Adicional (Art. 9º da Lei nº 7.238/84)]])</f>
        <v>72.586390868840269</v>
      </c>
      <c r="AU197" s="22">
        <f>SUMIF(tabParametros[Código do Posto],tabCustoUnit[[#This Row],[Código do Posto]],tabParametros[Ausência por Doença])*tabCustoUnit[[#This Row],[MODULO 1 - REMUNERAÇÃO ]]</f>
        <v>13.920851599999999</v>
      </c>
      <c r="AV197" s="22">
        <f>SUMIF(tabParametros[Código do Posto],tabCustoUnit[[#This Row],[Código do Posto]],tabParametros[Ausências Legais])*tabCustoUnit[[#This Row],[MODULO 1 - REMUNERAÇÃO ]]</f>
        <v>3.3428360749999997</v>
      </c>
      <c r="AW197" s="22">
        <f>SUMIF(tabParametros[Código do Posto],tabCustoUnit[[#This Row],[Código do Posto]],tabParametros[Licença Paternidade])*tabCustoUnit[[#This Row],[MODULO 1 - REMUNERAÇÃO ]]</f>
        <v>0.28162249125</v>
      </c>
      <c r="AX197" s="22">
        <f>SUMIF(tabParametros[Código do Posto],tabCustoUnit[[#This Row],[Código do Posto]],tabParametros[Ausência por Acidente de Trabalho])*tabCustoUnit[[#This Row],[MODULO 1 - REMUNERAÇÃO ]]</f>
        <v>0.34344206250000003</v>
      </c>
      <c r="AY197" s="22">
        <f>SUMIF(tabParametros[Código do Posto],tabCustoUnit[[#This Row],[Código do Posto]],tabParametros[Férias, Adicional de Férias e 13º  com empregada em gozo de Licença Maternidade])*tabCustoUnit[[#This Row],[MODULO 1 - REMUNERAÇÃO ]]</f>
        <v>2.1369728333333331</v>
      </c>
      <c r="AZ197" s="22">
        <f>SUMIF(tabParametros[Código do Posto],tabCustoUnit[[#This Row],[Código do Posto]],tabParametros[Incidência do Submódulo 2.1 sobre Ausências Legais])*tabCustoUnit[[#This Row],[MODULO 1 - REMUNERAÇÃO ]]</f>
        <v>7.5697240734675013</v>
      </c>
      <c r="BA197" s="22">
        <f>SUM(tabCustoUnit[[#This Row],[Ausência por Doença]:[Incidência do Submódulo 2.1 sobre Ausências Legais]])</f>
        <v>27.595449135550833</v>
      </c>
      <c r="BB197" s="22">
        <f>SUMIF(tabParametros[Código do Posto],tabCustoUnit[[#This Row],[Código do Posto]],tabParametros[Intervalo para Repouso ou Alimentação])</f>
        <v>0</v>
      </c>
      <c r="BC197" s="22">
        <f>tabCustoUnit[[#This Row],[Intervalo para Repouso ou Alimentação]]</f>
        <v>0</v>
      </c>
      <c r="BD197" s="22">
        <f>IF(VLOOKUP(tabCustoUnit[[#This Row],[Código do Posto]],PARAMETROS!$A$4:$BJ$255,7,0)&lt;=0,0,
IFERROR((tabCustoUnit[[#This Row],[MODULO 1 - REMUNERAÇÃO ]]*VLOOKUP(tabCustoUnit[[#This Row],[Código do Posto]],PARAMETROS!$A$4:$BJ$255,49,0))/(VLOOKUP(tabCustoUnit[[#This Row],[Código do Posto]],PARAMETROS!$A$4:$BJ$255,7,0)*VLOOKUP(tabCustoUnit[[#This Row],[Código do Posto]],PARAMETROS!$A$4:$BJ$255,8,0)),0)
)</f>
        <v>0</v>
      </c>
      <c r="BE197" s="22">
        <f>tabCustoUnit[[#This Row],[Suspensão Temporária do Contrato de Trabalho]]</f>
        <v>0</v>
      </c>
      <c r="BF197" s="22">
        <f>tabCustoUnit[[#This Row],[Submódulo 4.1]]+tabCustoUnit[[#This Row],[Submódulo 4.2]]+tabCustoUnit[[#This Row],[Submódulo 4.3]]</f>
        <v>27.595449135550833</v>
      </c>
      <c r="BG197" s="22">
        <f>VLOOKUP(tabCustoUnit[[#This Row],[Código do Posto]],tabParametros[],MATCH(tabCustoUnit[[#Headers],[Uniformes e EPIs]],tabParametros[#Headers],0),0)</f>
        <v>100.80916666666666</v>
      </c>
      <c r="BH197" s="22">
        <f>VLOOKUP(tabCustoUnit[[#This Row],[Código do Posto]],tabParametros[],MATCH(tabCustoUnit[[#Headers],[Materiais de Consumo]],tabParametros[#Headers],0),0)</f>
        <v>35.518212958583888</v>
      </c>
      <c r="BI197" s="22">
        <f>VLOOKUP(tabCustoUnit[[#This Row],[Código do Posto]],tabParametros[],MATCH(tabCustoUnit[[#Headers],[Máquinas e Equipamentos (depreciação)]],tabParametros[#Headers],0),0)</f>
        <v>64.529393914825576</v>
      </c>
      <c r="BJ197" s="22">
        <f>VLOOKUP(tabCustoUnit[[#This Row],[Código do Posto]],tabParametros[],MATCH(tabCustoUnit[[#Headers],[Produtos de Limpeza e Materiais de Higiene Pessoal]],tabParametros[#Headers],0),0)</f>
        <v>690.27153277931654</v>
      </c>
      <c r="BK197" s="22">
        <f>VLOOKUP(tabCustoUnit[[#This Row],[Código do Posto]],tabParametros[],MATCH(tabCustoUnit[[#Headers],[Outros (especificar)]],tabParametros[#Headers],0),0)</f>
        <v>0</v>
      </c>
      <c r="BL197" s="22">
        <f>SUM(tabCustoUnit[[#This Row],[Uniformes e EPIs]:[Outros (especificar)]])</f>
        <v>891.12830631939266</v>
      </c>
      <c r="BM197" s="22">
        <f>tabCustoUnit[[#This Row],[MODULO 1 - REMUNERAÇÃO ]]+tabCustoUnit[[#This Row],[MÓDULO 2 - Total Encargos e Benefícios mensais e diários]]+tabCustoUnit[[#This Row],[MÓDULO 3 – PROVISÃO PARA RESCISÃO]]+tabCustoUnit[[#This Row],[MÓDULO 4 – CUSTO DE REPOSIÇÃO DO PROFISSIONAL AUSENTE]]+tabCustoUnit[[#This Row],[MÓDULO 5 – INSUMOS DIVERSOS]]</f>
        <v>4450.2688091737837</v>
      </c>
      <c r="BN197" s="22">
        <f>VLOOKUP(tabCustoUnit[[#This Row],[Código do Posto]],tabParametros[],MATCH(tabCustoUnit[[#Headers],[Custos Indiretos]],tabParametros[#Headers],0),0)</f>
        <v>189.64880140242613</v>
      </c>
      <c r="BO197" s="22">
        <f>VLOOKUP(tabCustoUnit[[#This Row],[Código do Posto]],tabParametros[],MATCH(tabCustoUnit[[#Headers],[Lucro]],tabParametros[#Headers],0),0)</f>
        <v>159.30499317803796</v>
      </c>
      <c r="BP197" s="26">
        <f>((100/((1-tabCustoUnit[[#This Row],[Resumo de Alíquotas (PIS+CONFINS+ISS)]]))-100)*VLOOKUP(tabCustoUnit[[#This Row],[Código do Posto]],tabParametros[],MATCH(tabCustoUnit[[#Headers],[COFINS]],tabParametros[#Headers],0),0))/(tabCustoUnit[[#This Row],[Resumo de Alíquotas (PIS+CONFINS+ISS)]]*100)</f>
        <v>8.6609686609686695E-2</v>
      </c>
      <c r="BQ197" s="26">
        <f>((100/((100-(tabCustoUnit[[#This Row],[Resumo de Alíquotas (PIS+CONFINS+ISS)]]*100))%)-100)*VLOOKUP(tabCustoUnit[[#This Row],[Código do Posto]],tabParametros[],MATCH(tabCustoUnit[[#Headers],[PIS]],tabParametros[#Headers],0),0))/(tabCustoUnit[[#This Row],[Resumo de Alíquotas (PIS+CONFINS+ISS)]]*100)</f>
        <v>1.880341880341882E-2</v>
      </c>
      <c r="BR197" s="28">
        <f>VLOOKUP(tabCustoUnit[[#This Row],[Código do Posto]],tabParametros[],MATCH(tabCustoUnit[[#Headers],[ISS]],tabParametros[#Headers],0),0)</f>
        <v>0.03</v>
      </c>
      <c r="BS197" s="26">
        <f>(((100/((100-(tabCustoUnit[[#This Row],[Resumo de Alíquotas (PIS+CONFINS+ISS)]]*100))%)-100)*tabCustoUnit[[#This Row],[ISS]])/tabCustoUnit[[#This Row],[Resumo de Alíquotas (PIS+CONFINS+ISS)]])/100</f>
        <v>3.4188034188034219E-2</v>
      </c>
      <c r="BT197" s="26">
        <f>(VLOOKUP(tabCustoUnit[[#This Row],[Código do Posto]],tabParametros[],MATCH(tabCustoUnit[[#Headers],[COFINS]],tabParametros[#Headers],0),0)+
VLOOKUP(tabCustoUnit[[#This Row],[Código do Posto]],tabParametros[],MATCH(tabCustoUnit[[#Headers],[PIS]],tabParametros[#Headers],0),0)+
VLOOKUP(tabCustoUnit[[#This Row],[Código do Posto]],tabParametros[],MATCH(tabCustoUnit[[#Headers],[ISS]],tabParametros[#Headers],0),0))</f>
        <v>0.1225</v>
      </c>
      <c r="BU197" s="138">
        <f>tabCustoUnit[[#This Row],[COFINS]]+tabCustoUnit[[#This Row],[PIS]]+tabCustoUnit[[#This Row],[ISS (Conversão Alíquota s/ fatura)]]</f>
        <v>0.13960113960113973</v>
      </c>
      <c r="BV197" s="22">
        <f>(tabCustoUnit[[#This Row],[TOTAL MÓDULOS 1+2+3+4+5]]+tabCustoUnit[[#This Row],[Custos Indiretos]]+tabCustoUnit[[#This Row],[Lucro]])*tabCustoUnit[[#This Row],[PIS + COFINS + ISS (Total Conversão  Alíquota s/ Fatura)]]</f>
        <v>669.97694468364205</v>
      </c>
      <c r="BW197" s="22">
        <f>tabCustoUnit[[#This Row],[Custos Indiretos]]+tabCustoUnit[[#This Row],[Lucro]]+tabCustoUnit[[#This Row],[Valor dos Tributos (ISS, PIS, CONFINS)]]</f>
        <v>1018.9307392641061</v>
      </c>
      <c r="BX197" s="22">
        <f>tabCustoUnit[[#This Row],[TOTAL MÓDULOS 1+2+3+4+5]]+tabCustoUnit[[#This Row],[MÓDULO 6 – CUSTOS INDIRETOS, TRIBUTOS E LUCRO]]</f>
        <v>5469.1995484378895</v>
      </c>
      <c r="BY197" s="22">
        <f>tabCustoUnit[[#This Row],[CUSTO TOTAL MENSAL]]*12</f>
        <v>65630.394581254674</v>
      </c>
      <c r="BZ197" s="24">
        <f>VLOOKUP(tabCustoUnit[[#This Row],[Código do Posto]],tabParametros[],MATCH(tabCustoUnit[[#Headers],[ANO DA CCT]],tabParametros[#Headers],0),0)</f>
        <v>45658</v>
      </c>
      <c r="CA197" s="25" t="str">
        <f>VLOOKUP(tabCustoUnit[[#This Row],[Código do Posto]],tabParametros[],MATCH(tabCustoUnit[[#Headers],[Nº DE PEDIDO DA CCT]],tabParametros[#Headers],0),0)</f>
        <v>-</v>
      </c>
      <c r="CB197" s="25" t="str">
        <f>VLOOKUP(tabCustoUnit[[#This Row],[Código do Posto]],tabParametros[],MATCH(tabCustoUnit[[#Headers],[TERMO ADITIVO ALTERAÇÃO DA CCT]],tabParametros[#Headers],0),0)</f>
        <v>-</v>
      </c>
    </row>
    <row r="198" spans="1:80" x14ac:dyDescent="0.25">
      <c r="A198" s="20" t="s">
        <v>1533</v>
      </c>
      <c r="B198" t="s">
        <v>179</v>
      </c>
      <c r="C198" t="s">
        <v>1244</v>
      </c>
      <c r="D198" t="s">
        <v>1041</v>
      </c>
      <c r="E198" s="20" t="s">
        <v>9</v>
      </c>
      <c r="F198" s="20" t="s">
        <v>10</v>
      </c>
      <c r="G198" s="21">
        <v>798.14</v>
      </c>
      <c r="H198" s="21">
        <v>0</v>
      </c>
      <c r="I198" s="21">
        <v>0</v>
      </c>
      <c r="J198" s="21">
        <v>0</v>
      </c>
      <c r="K198" s="21">
        <v>0</v>
      </c>
      <c r="L198" s="21">
        <v>0</v>
      </c>
      <c r="M198" s="21">
        <v>0</v>
      </c>
      <c r="N198" s="21">
        <v>26.120899999999999</v>
      </c>
      <c r="O198" s="21">
        <f>SUM(tabCustoUnit[[#This Row],[Salário Base]:[Adicional de Acúmulo de função]])</f>
        <v>824.26089999999999</v>
      </c>
      <c r="P198" s="21">
        <f>tabCustoUnit[[#This Row],[MODULO 1 - REMUNERAÇÃO ]]*SUMIFS(tabParametros[INSS],tabParametros[Código do Posto],tabCustoUnit[[#This Row],[Código do Posto]])</f>
        <v>164.85218</v>
      </c>
      <c r="Q198" s="21">
        <f>tabCustoUnit[[#This Row],[MODULO 1 - REMUNERAÇÃO ]]*SUMIFS(tabParametros[SESI OU SESC],tabParametros[Código do Posto],tabCustoUnit[[#This Row],[Código do Posto]])</f>
        <v>12.363913499999999</v>
      </c>
      <c r="R198" s="21">
        <f>tabCustoUnit[[#This Row],[MODULO 1 - REMUNERAÇÃO ]]*SUMIFS(tabParametros[SENAI OU SENAC],tabParametros[Código do Posto],tabCustoUnit[[#This Row],[Código do Posto]])</f>
        <v>8.2426089999999999</v>
      </c>
      <c r="S198" s="21">
        <f>tabCustoUnit[[#This Row],[MODULO 1 - REMUNERAÇÃO ]]*SUMIFS(tabParametros[INCRA],tabParametros[Código do Posto],tabCustoUnit[[#This Row],[Código do Posto]])</f>
        <v>1.6485217999999999</v>
      </c>
      <c r="T198" s="21">
        <f>tabCustoUnit[[#This Row],[MODULO 1 - REMUNERAÇÃO ]]*SUMIFS(tabParametros[Salário Educação],tabParametros[Código do Posto],tabCustoUnit[[#This Row],[Código do Posto]])</f>
        <v>20.606522500000001</v>
      </c>
      <c r="U198" s="21">
        <f>tabCustoUnit[[#This Row],[MODULO 1 - REMUNERAÇÃO ]]*SUMIFS(tabParametros[FGTS],tabParametros[Código do Posto],tabCustoUnit[[#This Row],[Código do Posto]])</f>
        <v>65.940871999999999</v>
      </c>
      <c r="V198" s="21">
        <f>tabCustoUnit[[#This Row],[MODULO 1 - REMUNERAÇÃO ]]*SUMIFS(tabParametros[RAT Ajustado],tabParametros[Código do Posto],tabCustoUnit[[#This Row],[Código do Posto]])</f>
        <v>32.970435999999999</v>
      </c>
      <c r="W198" s="21">
        <f>tabCustoUnit[[#This Row],[MODULO 1 - REMUNERAÇÃO ]]*SUMIFS(tabParametros[SEBRAE],tabParametros[Código do Posto],tabCustoUnit[[#This Row],[Código do Posto]])</f>
        <v>4.9455654000000004</v>
      </c>
      <c r="X198" s="21">
        <f>SUM(tabCustoUnit[[#This Row],[INSS]:[SEBRAE]])</f>
        <v>311.57062020000001</v>
      </c>
      <c r="Y198" s="21">
        <f>tabCustoUnit[[#This Row],[MODULO 1 - REMUNERAÇÃO ]]*SUMIFS(tabParametros[13º salário (titular)],tabParametros[Código do Posto],tabCustoUnit[[#This Row],[Código do Posto]])</f>
        <v>68.688408333333328</v>
      </c>
      <c r="Z198" s="21">
        <f>tabCustoUnit[[#This Row],[MODULO 1 - REMUNERAÇÃO ]]*SUMIFS(tabParametros[Férias e Adicional de Férias (titular)],tabParametros[Código do Posto],tabCustoUnit[[#This Row],[Código do Posto]])</f>
        <v>91.584544444444433</v>
      </c>
      <c r="AA198" s="21">
        <f>IFERROR((tabCustoUnit[[#This Row],[Submódulo 2.1]]/tabCustoUnit[[#This Row],[MODULO 1 - REMUNERAÇÃO ]])*SUM(tabCustoUnit[[#This Row],[13º salário (titular)]:[Férias e Adicional de Férias (titular)]]),0)</f>
        <v>60.583176149999993</v>
      </c>
      <c r="AB198" s="21">
        <f>SUM(tabCustoUnit[[#This Row],[13º salário (titular)]:[Incidência do Submódulo 2.1 sobre 13º Salário, Férias e Adicional de Férias]])</f>
        <v>220.85612892777775</v>
      </c>
      <c r="AC198" s="22">
        <f>_xlfn.LET(_xlpm.VT,SUMIF(tabParametros[Código do Posto],tabCustoUnit[[#This Row],[Código do Posto]],tabParametros[Vale - Transporte])*2*20,
IF((_xlpm.VT-tabCustoUnit[[#This Row],[Salário Base]]*0.06)&gt;=0,(_xlpm.VT-tabCustoUnit[[#This Row],[Salário Base]]*0.06),0)
)</f>
        <v>208.11160000000001</v>
      </c>
      <c r="AD198" s="22">
        <f>IF(SUMIF(tabParametros[Código do Posto],tabCustoUnit[[#This Row],[Código do Posto]],tabParametros[Vale - Alimentação])&lt;=0,0,
SUMIF(tabParametros[Código do Posto],tabCustoUnit[[#This Row],[Código do Posto]],tabParametros[Vale - Alimentação])*20-1)</f>
        <v>582</v>
      </c>
      <c r="AE198" s="22">
        <f>SUMIF(tabParametros[Código do Posto],tabCustoUnit[[#This Row],[Código do Posto]],tabParametros[Cesta Básica])</f>
        <v>0</v>
      </c>
      <c r="AF198" s="22">
        <f>SUMIF(tabParametros[Código do Posto],tabCustoUnit[[#This Row],[Código do Posto]],tabParametros[PAF])</f>
        <v>0</v>
      </c>
      <c r="AG198" s="22">
        <f>SUMIF(tabParametros[Código do Posto],tabCustoUnit[[#This Row],[Código do Posto]],tabParametros[PQM])</f>
        <v>0</v>
      </c>
      <c r="AH198" s="22">
        <f>SUMIF(tabParametros[Código do Posto],tabCustoUnit[[#This Row],[Código do Posto]],tabParametros[PAT])</f>
        <v>0</v>
      </c>
      <c r="AI198" s="22">
        <f>SUMIF(tabParametros[Código do Posto],tabCustoUnit[[#This Row],[Código do Posto]],tabParametros[Seguro de Vida])</f>
        <v>3.36</v>
      </c>
      <c r="AJ198" s="22">
        <f>SUMIF(tabParametros[Código do Posto],tabCustoUnit[[#This Row],[Código do Posto]],tabParametros[Despesas de Viagem])</f>
        <v>0</v>
      </c>
      <c r="AK198" s="22">
        <f>SUM(tabCustoUnit[[#This Row],[Vale - Transporte (Descontada parcela do empregado)]:[Despesas de Viagem]])</f>
        <v>793.47159999999997</v>
      </c>
      <c r="AL198" s="22">
        <f>tabCustoUnit[[#This Row],[Submódulo 2.1]]+tabCustoUnit[[#This Row],[Submódulo 2.2]]+tabCustoUnit[[#This Row],[Submódulo 2.3]]</f>
        <v>1325.8983491277777</v>
      </c>
      <c r="AM198" s="22">
        <f>SUMIF(tabParametros[Código do Posto],tabCustoUnit[[#This Row],[Código do Posto]],tabParametros[Aviso Prévio Indenizado (API) e Reflexo do Aviso Prévio Indenizado])*tabCustoUnit[[#This Row],[MODULO 1 - REMUNERAÇÃO ]]</f>
        <v>5.7795253576581791</v>
      </c>
      <c r="AN198" s="22">
        <f>SUMIF(tabParametros[Código do Posto],tabCustoUnit[[#This Row],[Código do Posto]],tabParametros[Incidência do FGTS sobre API e Reflexo do API])*tabCustoUnit[[#This Row],[MODULO 1 - REMUNERAÇÃO ]]</f>
        <v>0.46236202861265435</v>
      </c>
      <c r="AO198" s="22">
        <f>SUMIF(tabParametros[Código do Posto],tabCustoUnit[[#This Row],[Código do Posto]],tabParametros[Multa Rescisória do FGTS sobre o Aviso Prévio Indenizado])*tabCustoUnit[[#This Row],[MODULO 1 - REMUNERAÇÃO ]]</f>
        <v>0.18494481144506175</v>
      </c>
      <c r="AP198" s="22">
        <f>SUMIF(tabParametros[Código do Posto],tabCustoUnit[[#This Row],[Código do Posto]],tabParametros[Aviso Prévio Trabalhado - APT])*tabCustoUnit[[#This Row],[MODULO 1 - REMUNERAÇÃO ]]</f>
        <v>2.8849131500000005</v>
      </c>
      <c r="AQ198" s="22">
        <f>SUMIF(tabParametros[Código do Posto],tabCustoUnit[[#This Row],[Código do Posto]],tabParametros[Incidência dos encargos do submódulo 2.1 sobre Aviso Prévio Trabalhado])*tabCustoUnit[[#This Row],[MODULO 1 - REMUNERAÇÃO ]]</f>
        <v>1.0904971707000004</v>
      </c>
      <c r="AR198" s="22">
        <f>SUMIF(tabParametros[Código do Posto],tabCustoUnit[[#This Row],[Código do Posto]],tabParametros[Multa Rescisória do FGTS])*tabCustoUnit[[#This Row],[MODULO 1 - REMUNERAÇÃO ]]</f>
        <v>25.204066631111107</v>
      </c>
      <c r="AS198" s="22">
        <f>SUMIF(tabParametros[Código do Posto],tabCustoUnit[[#This Row],[Código do Posto]],tabParametros[Indenização Adicional (Art. 9º da Lei nº 7.238/84)])*tabCustoUnit[[#This Row],[MODULO 1 - REMUNERAÇÃO ]]</f>
        <v>0.6868840833333334</v>
      </c>
      <c r="AT198" s="22">
        <f>SUM(tabCustoUnit[[#This Row],[Aviso Prévio Indenizado (API) e Reflexo do Aviso Prévio Indenizado]:[Indenização Adicional (Art. 9º da Lei nº 7.238/84)]])</f>
        <v>36.293193232860339</v>
      </c>
      <c r="AU198" s="22">
        <f>SUMIF(tabParametros[Código do Posto],tabCustoUnit[[#This Row],[Código do Posto]],tabParametros[Ausência por Doença])*tabCustoUnit[[#This Row],[MODULO 1 - REMUNERAÇÃO ]]</f>
        <v>6.9604253777777769</v>
      </c>
      <c r="AV198" s="22">
        <f>SUMIF(tabParametros[Código do Posto],tabCustoUnit[[#This Row],[Código do Posto]],tabParametros[Ausências Legais])*tabCustoUnit[[#This Row],[MODULO 1 - REMUNERAÇÃO ]]</f>
        <v>1.671417936111111</v>
      </c>
      <c r="AW198" s="22">
        <f>SUMIF(tabParametros[Código do Posto],tabCustoUnit[[#This Row],[Código do Posto]],tabParametros[Licença Paternidade])*tabCustoUnit[[#This Row],[MODULO 1 - REMUNERAÇÃO ]]</f>
        <v>0.14081123708333332</v>
      </c>
      <c r="AX198" s="22">
        <f>SUMIF(tabParametros[Código do Posto],tabCustoUnit[[#This Row],[Código do Posto]],tabParametros[Ausência por Acidente de Trabalho])*tabCustoUnit[[#This Row],[MODULO 1 - REMUNERAÇÃO ]]</f>
        <v>0.17172102083333335</v>
      </c>
      <c r="AY198" s="22">
        <f>SUMIF(tabParametros[Código do Posto],tabCustoUnit[[#This Row],[Código do Posto]],tabParametros[Férias, Adicional de Férias e 13º  com empregada em gozo de Licença Maternidade])*tabCustoUnit[[#This Row],[MODULO 1 - REMUNERAÇÃO ]]</f>
        <v>1.0684863518518517</v>
      </c>
      <c r="AZ198" s="22">
        <f>SUMIF(tabParametros[Código do Posto],tabCustoUnit[[#This Row],[Código do Posto]],tabParametros[Incidência do Submódulo 2.1 sobre Ausências Legais])*tabCustoUnit[[#This Row],[MODULO 1 - REMUNERAÇÃO ]]</f>
        <v>3.7848618071425006</v>
      </c>
      <c r="BA198" s="22">
        <f>SUM(tabCustoUnit[[#This Row],[Ausência por Doença]:[Incidência do Submódulo 2.1 sobre Ausências Legais]])</f>
        <v>13.797723730799909</v>
      </c>
      <c r="BB198" s="22">
        <f>SUMIF(tabParametros[Código do Posto],tabCustoUnit[[#This Row],[Código do Posto]],tabParametros[Intervalo para Repouso ou Alimentação])</f>
        <v>0</v>
      </c>
      <c r="BC198" s="22">
        <f>tabCustoUnit[[#This Row],[Intervalo para Repouso ou Alimentação]]</f>
        <v>0</v>
      </c>
      <c r="BD198" s="22">
        <f>IF(VLOOKUP(tabCustoUnit[[#This Row],[Código do Posto]],PARAMETROS!$A$4:$BJ$255,7,0)&lt;=0,0,
IFERROR((tabCustoUnit[[#This Row],[MODULO 1 - REMUNERAÇÃO ]]*VLOOKUP(tabCustoUnit[[#This Row],[Código do Posto]],PARAMETROS!$A$4:$BJ$255,49,0))/(VLOOKUP(tabCustoUnit[[#This Row],[Código do Posto]],PARAMETROS!$A$4:$BJ$255,7,0)*VLOOKUP(tabCustoUnit[[#This Row],[Código do Posto]],PARAMETROS!$A$4:$BJ$255,8,0)),0)
)</f>
        <v>0</v>
      </c>
      <c r="BE198" s="22">
        <f>tabCustoUnit[[#This Row],[Suspensão Temporária do Contrato de Trabalho]]</f>
        <v>0</v>
      </c>
      <c r="BF198" s="22">
        <f>tabCustoUnit[[#This Row],[Submódulo 4.1]]+tabCustoUnit[[#This Row],[Submódulo 4.2]]+tabCustoUnit[[#This Row],[Submódulo 4.3]]</f>
        <v>13.797723730799909</v>
      </c>
      <c r="BG198" s="22">
        <f>VLOOKUP(tabCustoUnit[[#This Row],[Código do Posto]],tabParametros[],MATCH(tabCustoUnit[[#Headers],[Uniformes e EPIs]],tabParametros[#Headers],0),0)</f>
        <v>62.806666666666665</v>
      </c>
      <c r="BH198" s="22">
        <f>VLOOKUP(tabCustoUnit[[#This Row],[Código do Posto]],tabParametros[],MATCH(tabCustoUnit[[#Headers],[Materiais de Consumo]],tabParametros[#Headers],0),0)</f>
        <v>17.759106479291944</v>
      </c>
      <c r="BI198" s="22">
        <f>VLOOKUP(tabCustoUnit[[#This Row],[Código do Posto]],tabParametros[],MATCH(tabCustoUnit[[#Headers],[Máquinas e Equipamentos (depreciação)]],tabParametros[#Headers],0),0)</f>
        <v>32.264696957412788</v>
      </c>
      <c r="BJ198" s="22">
        <f>VLOOKUP(tabCustoUnit[[#This Row],[Código do Posto]],tabParametros[],MATCH(tabCustoUnit[[#Headers],[Produtos de Limpeza e Materiais de Higiene Pessoal]],tabParametros[#Headers],0),0)</f>
        <v>345.13576638965827</v>
      </c>
      <c r="BK198" s="22">
        <f>VLOOKUP(tabCustoUnit[[#This Row],[Código do Posto]],tabParametros[],MATCH(tabCustoUnit[[#Headers],[Outros (especificar)]],tabParametros[#Headers],0),0)</f>
        <v>0</v>
      </c>
      <c r="BL198" s="22">
        <f>SUM(tabCustoUnit[[#This Row],[Uniformes e EPIs]:[Outros (especificar)]])</f>
        <v>457.96623649302967</v>
      </c>
      <c r="BM198" s="22">
        <f>tabCustoUnit[[#This Row],[MODULO 1 - REMUNERAÇÃO ]]+tabCustoUnit[[#This Row],[MÓDULO 2 - Total Encargos e Benefícios mensais e diários]]+tabCustoUnit[[#This Row],[MÓDULO 3 – PROVISÃO PARA RESCISÃO]]+tabCustoUnit[[#This Row],[MÓDULO 4 – CUSTO DE REPOSIÇÃO DO PROFISSIONAL AUSENTE]]+tabCustoUnit[[#This Row],[MÓDULO 5 – INSUMOS DIVERSOS]]</f>
        <v>2658.2164025844677</v>
      </c>
      <c r="BN198" s="22">
        <f>VLOOKUP(tabCustoUnit[[#This Row],[Código do Posto]],tabParametros[],MATCH(tabCustoUnit[[#Headers],[Custos Indiretos]],tabParametros[#Headers],0),0)</f>
        <v>189.64880140242613</v>
      </c>
      <c r="BO198" s="22">
        <f>VLOOKUP(tabCustoUnit[[#This Row],[Código do Posto]],tabParametros[],MATCH(tabCustoUnit[[#Headers],[Lucro]],tabParametros[#Headers],0),0)</f>
        <v>159.30499317803796</v>
      </c>
      <c r="BP198" s="26">
        <f>((100/((1-tabCustoUnit[[#This Row],[Resumo de Alíquotas (PIS+CONFINS+ISS)]]))-100)*VLOOKUP(tabCustoUnit[[#This Row],[Código do Posto]],tabParametros[],MATCH(tabCustoUnit[[#Headers],[COFINS]],tabParametros[#Headers],0),0))/(tabCustoUnit[[#This Row],[Resumo de Alíquotas (PIS+CONFINS+ISS)]]*100)</f>
        <v>8.8629737609329504E-2</v>
      </c>
      <c r="BQ198" s="26">
        <f>((100/((100-(tabCustoUnit[[#This Row],[Resumo de Alíquotas (PIS+CONFINS+ISS)]]*100))%)-100)*VLOOKUP(tabCustoUnit[[#This Row],[Código do Posto]],tabParametros[],MATCH(tabCustoUnit[[#Headers],[PIS]],tabParametros[#Headers],0),0))/(tabCustoUnit[[#This Row],[Resumo de Alíquotas (PIS+CONFINS+ISS)]]*100)</f>
        <v>1.9241982507288629E-2</v>
      </c>
      <c r="BR198" s="28">
        <f>VLOOKUP(tabCustoUnit[[#This Row],[Código do Posto]],tabParametros[],MATCH(tabCustoUnit[[#Headers],[ISS]],tabParametros[#Headers],0),0)</f>
        <v>0.05</v>
      </c>
      <c r="BS198" s="26">
        <f>(((100/((100-(tabCustoUnit[[#This Row],[Resumo de Alíquotas (PIS+CONFINS+ISS)]]*100))%)-100)*tabCustoUnit[[#This Row],[ISS]])/tabCustoUnit[[#This Row],[Resumo de Alíquotas (PIS+CONFINS+ISS)]])/100</f>
        <v>5.8309037900874633E-2</v>
      </c>
      <c r="BT198" s="26">
        <f>(VLOOKUP(tabCustoUnit[[#This Row],[Código do Posto]],tabParametros[],MATCH(tabCustoUnit[[#Headers],[COFINS]],tabParametros[#Headers],0),0)+
VLOOKUP(tabCustoUnit[[#This Row],[Código do Posto]],tabParametros[],MATCH(tabCustoUnit[[#Headers],[PIS]],tabParametros[#Headers],0),0)+
VLOOKUP(tabCustoUnit[[#This Row],[Código do Posto]],tabParametros[],MATCH(tabCustoUnit[[#Headers],[ISS]],tabParametros[#Headers],0),0))</f>
        <v>0.14250000000000002</v>
      </c>
      <c r="BU198" s="138">
        <f>tabCustoUnit[[#This Row],[COFINS]]+tabCustoUnit[[#This Row],[PIS]]+tabCustoUnit[[#This Row],[ISS (Conversão Alíquota s/ fatura)]]</f>
        <v>0.16618075801749277</v>
      </c>
      <c r="BV198" s="22">
        <f>(tabCustoUnit[[#This Row],[TOTAL MÓDULOS 1+2+3+4+5]]+tabCustoUnit[[#This Row],[Custos Indiretos]]+tabCustoUnit[[#This Row],[Lucro]])*tabCustoUnit[[#This Row],[PIS + COFINS + ISS (Total Conversão  Alíquota s/ Fatura)]]</f>
        <v>499.73382285248152</v>
      </c>
      <c r="BW198" s="22">
        <f>tabCustoUnit[[#This Row],[Custos Indiretos]]+tabCustoUnit[[#This Row],[Lucro]]+tabCustoUnit[[#This Row],[Valor dos Tributos (ISS, PIS, CONFINS)]]</f>
        <v>848.68761743294567</v>
      </c>
      <c r="BX198" s="22">
        <f>tabCustoUnit[[#This Row],[TOTAL MÓDULOS 1+2+3+4+5]]+tabCustoUnit[[#This Row],[MÓDULO 6 – CUSTOS INDIRETOS, TRIBUTOS E LUCRO]]</f>
        <v>3506.9040200174131</v>
      </c>
      <c r="BY198" s="22">
        <f>tabCustoUnit[[#This Row],[CUSTO TOTAL MENSAL]]*12</f>
        <v>42082.848240208958</v>
      </c>
      <c r="BZ198" s="24">
        <f>VLOOKUP(tabCustoUnit[[#This Row],[Código do Posto]],tabParametros[],MATCH(tabCustoUnit[[#Headers],[ANO DA CCT]],tabParametros[#Headers],0),0)</f>
        <v>45658</v>
      </c>
      <c r="CA198" s="25" t="str">
        <f>VLOOKUP(tabCustoUnit[[#This Row],[Código do Posto]],tabParametros[],MATCH(tabCustoUnit[[#Headers],[Nº DE PEDIDO DA CCT]],tabParametros[#Headers],0),0)</f>
        <v>-</v>
      </c>
      <c r="CB198" s="25" t="str">
        <f>VLOOKUP(tabCustoUnit[[#This Row],[Código do Posto]],tabParametros[],MATCH(tabCustoUnit[[#Headers],[TERMO ADITIVO ALTERAÇÃO DA CCT]],tabParametros[#Headers],0),0)</f>
        <v>-</v>
      </c>
    </row>
    <row r="199" spans="1:80" x14ac:dyDescent="0.25">
      <c r="A199" s="20" t="s">
        <v>1534</v>
      </c>
      <c r="B199" t="s">
        <v>180</v>
      </c>
      <c r="C199" t="s">
        <v>1245</v>
      </c>
      <c r="D199" t="s">
        <v>1023</v>
      </c>
      <c r="E199" s="20" t="s">
        <v>9</v>
      </c>
      <c r="F199" s="20" t="s">
        <v>10</v>
      </c>
      <c r="G199" s="21">
        <v>1596.28</v>
      </c>
      <c r="H199" s="21">
        <v>0</v>
      </c>
      <c r="I199" s="21">
        <v>0</v>
      </c>
      <c r="J199" s="21">
        <v>0</v>
      </c>
      <c r="K199" s="21">
        <v>0</v>
      </c>
      <c r="L199" s="21">
        <v>0</v>
      </c>
      <c r="M199" s="21">
        <v>0</v>
      </c>
      <c r="N199" s="21">
        <v>52.241900000000001</v>
      </c>
      <c r="O199" s="21">
        <f>SUM(tabCustoUnit[[#This Row],[Salário Base]:[Adicional de Acúmulo de função]])</f>
        <v>1648.5219</v>
      </c>
      <c r="P199" s="21">
        <f>tabCustoUnit[[#This Row],[MODULO 1 - REMUNERAÇÃO ]]*SUMIFS(tabParametros[INSS],tabParametros[Código do Posto],tabCustoUnit[[#This Row],[Código do Posto]])</f>
        <v>329.70438000000001</v>
      </c>
      <c r="Q199" s="21">
        <f>tabCustoUnit[[#This Row],[MODULO 1 - REMUNERAÇÃO ]]*SUMIFS(tabParametros[SESI OU SESC],tabParametros[Código do Posto],tabCustoUnit[[#This Row],[Código do Posto]])</f>
        <v>24.727828499999998</v>
      </c>
      <c r="R199" s="21">
        <f>tabCustoUnit[[#This Row],[MODULO 1 - REMUNERAÇÃO ]]*SUMIFS(tabParametros[SENAI OU SENAC],tabParametros[Código do Posto],tabCustoUnit[[#This Row],[Código do Posto]])</f>
        <v>16.485219000000001</v>
      </c>
      <c r="S199" s="21">
        <f>tabCustoUnit[[#This Row],[MODULO 1 - REMUNERAÇÃO ]]*SUMIFS(tabParametros[INCRA],tabParametros[Código do Posto],tabCustoUnit[[#This Row],[Código do Posto]])</f>
        <v>3.2970438</v>
      </c>
      <c r="T199" s="21">
        <f>tabCustoUnit[[#This Row],[MODULO 1 - REMUNERAÇÃO ]]*SUMIFS(tabParametros[Salário Educação],tabParametros[Código do Posto],tabCustoUnit[[#This Row],[Código do Posto]])</f>
        <v>41.213047500000002</v>
      </c>
      <c r="U199" s="21">
        <f>tabCustoUnit[[#This Row],[MODULO 1 - REMUNERAÇÃO ]]*SUMIFS(tabParametros[FGTS],tabParametros[Código do Posto],tabCustoUnit[[#This Row],[Código do Posto]])</f>
        <v>131.88175200000001</v>
      </c>
      <c r="V199" s="21">
        <f>tabCustoUnit[[#This Row],[MODULO 1 - REMUNERAÇÃO ]]*SUMIFS(tabParametros[RAT Ajustado],tabParametros[Código do Posto],tabCustoUnit[[#This Row],[Código do Posto]])</f>
        <v>65.940876000000003</v>
      </c>
      <c r="W199" s="21">
        <f>tabCustoUnit[[#This Row],[MODULO 1 - REMUNERAÇÃO ]]*SUMIFS(tabParametros[SEBRAE],tabParametros[Código do Posto],tabCustoUnit[[#This Row],[Código do Posto]])</f>
        <v>9.8911314000000008</v>
      </c>
      <c r="X199" s="21">
        <f>SUM(tabCustoUnit[[#This Row],[INSS]:[SEBRAE]])</f>
        <v>623.14127819999999</v>
      </c>
      <c r="Y199" s="21">
        <f>tabCustoUnit[[#This Row],[MODULO 1 - REMUNERAÇÃO ]]*SUMIFS(tabParametros[13º salário (titular)],tabParametros[Código do Posto],tabCustoUnit[[#This Row],[Código do Posto]])</f>
        <v>137.376825</v>
      </c>
      <c r="Z199" s="21">
        <f>tabCustoUnit[[#This Row],[MODULO 1 - REMUNERAÇÃO ]]*SUMIFS(tabParametros[Férias e Adicional de Férias (titular)],tabParametros[Código do Posto],tabCustoUnit[[#This Row],[Código do Posto]])</f>
        <v>183.16909999999999</v>
      </c>
      <c r="AA199" s="21">
        <f>IFERROR((tabCustoUnit[[#This Row],[Submódulo 2.1]]/tabCustoUnit[[#This Row],[MODULO 1 - REMUNERAÇÃO ]])*SUM(tabCustoUnit[[#This Row],[13º salário (titular)]:[Férias e Adicional de Férias (titular)]]),0)</f>
        <v>121.16635965</v>
      </c>
      <c r="AB199" s="21">
        <f>SUM(tabCustoUnit[[#This Row],[13º salário (titular)]:[Incidência do Submódulo 2.1 sobre 13º Salário, Férias e Adicional de Férias]])</f>
        <v>441.71228465000002</v>
      </c>
      <c r="AC199" s="22">
        <f>_xlfn.LET(_xlpm.VT,SUMIF(tabParametros[Código do Posto],tabCustoUnit[[#This Row],[Código do Posto]],tabParametros[Vale - Transporte])*2*20,
IF((_xlpm.VT-tabCustoUnit[[#This Row],[Salário Base]]*0.06)&gt;=0,(_xlpm.VT-tabCustoUnit[[#This Row],[Salário Base]]*0.06),0)
)</f>
        <v>160.22320000000002</v>
      </c>
      <c r="AD199" s="22">
        <f>IF(SUMIF(tabParametros[Código do Posto],tabCustoUnit[[#This Row],[Código do Posto]],tabParametros[Vale - Alimentação])&lt;=0,0,
SUMIF(tabParametros[Código do Posto],tabCustoUnit[[#This Row],[Código do Posto]],tabParametros[Vale - Alimentação])*20-1)</f>
        <v>582</v>
      </c>
      <c r="AE199" s="22">
        <f>SUMIF(tabParametros[Código do Posto],tabCustoUnit[[#This Row],[Código do Posto]],tabParametros[Cesta Básica])</f>
        <v>0</v>
      </c>
      <c r="AF199" s="22">
        <f>SUMIF(tabParametros[Código do Posto],tabCustoUnit[[#This Row],[Código do Posto]],tabParametros[PAF])</f>
        <v>53.27</v>
      </c>
      <c r="AG199" s="22">
        <f>SUMIF(tabParametros[Código do Posto],tabCustoUnit[[#This Row],[Código do Posto]],tabParametros[PQM])</f>
        <v>0</v>
      </c>
      <c r="AH199" s="22">
        <f>SUMIF(tabParametros[Código do Posto],tabCustoUnit[[#This Row],[Código do Posto]],tabParametros[PAT])</f>
        <v>0</v>
      </c>
      <c r="AI199" s="22">
        <f>SUMIF(tabParametros[Código do Posto],tabCustoUnit[[#This Row],[Código do Posto]],tabParametros[Seguro de Vida])</f>
        <v>3.36</v>
      </c>
      <c r="AJ199" s="22">
        <f>SUMIF(tabParametros[Código do Posto],tabCustoUnit[[#This Row],[Código do Posto]],tabParametros[Despesas de Viagem])</f>
        <v>0</v>
      </c>
      <c r="AK199" s="22">
        <f>SUM(tabCustoUnit[[#This Row],[Vale - Transporte (Descontada parcela do empregado)]:[Despesas de Viagem]])</f>
        <v>798.85320000000002</v>
      </c>
      <c r="AL199" s="22">
        <f>tabCustoUnit[[#This Row],[Submódulo 2.1]]+tabCustoUnit[[#This Row],[Submódulo 2.2]]+tabCustoUnit[[#This Row],[Submódulo 2.3]]</f>
        <v>1863.7067628499999</v>
      </c>
      <c r="AM199" s="22">
        <f>SUMIF(tabParametros[Código do Posto],tabCustoUnit[[#This Row],[Código do Posto]],tabParametros[Aviso Prévio Indenizado (API) e Reflexo do Aviso Prévio Indenizado])*tabCustoUnit[[#This Row],[MODULO 1 - REMUNERAÇÃO ]]</f>
        <v>11.559051416493055</v>
      </c>
      <c r="AN199" s="22">
        <f>SUMIF(tabParametros[Código do Posto],tabCustoUnit[[#This Row],[Código do Posto]],tabParametros[Incidência do FGTS sobre API e Reflexo do API])*tabCustoUnit[[#This Row],[MODULO 1 - REMUNERAÇÃO ]]</f>
        <v>0.92472411331944449</v>
      </c>
      <c r="AO199" s="22">
        <f>SUMIF(tabParametros[Código do Posto],tabCustoUnit[[#This Row],[Código do Posto]],tabParametros[Multa Rescisória do FGTS sobre o Aviso Prévio Indenizado])*tabCustoUnit[[#This Row],[MODULO 1 - REMUNERAÇÃO ]]</f>
        <v>0.36988964532777785</v>
      </c>
      <c r="AP199" s="22">
        <f>SUMIF(tabParametros[Código do Posto],tabCustoUnit[[#This Row],[Código do Posto]],tabParametros[Aviso Prévio Trabalhado - APT])*tabCustoUnit[[#This Row],[MODULO 1 - REMUNERAÇÃO ]]</f>
        <v>5.7698266500000006</v>
      </c>
      <c r="AQ199" s="22">
        <f>SUMIF(tabParametros[Código do Posto],tabCustoUnit[[#This Row],[Código do Posto]],tabParametros[Incidência dos encargos do submódulo 2.1 sobre Aviso Prévio Trabalhado])*tabCustoUnit[[#This Row],[MODULO 1 - REMUNERAÇÃO ]]</f>
        <v>2.1809944737000007</v>
      </c>
      <c r="AR199" s="22">
        <f>SUMIF(tabParametros[Código do Posto],tabCustoUnit[[#This Row],[Código do Posto]],tabParametros[Multa Rescisória do FGTS])*tabCustoUnit[[#This Row],[MODULO 1 - REMUNERAÇÃO ]]</f>
        <v>50.40813631999999</v>
      </c>
      <c r="AS199" s="22">
        <f>SUMIF(tabParametros[Código do Posto],tabCustoUnit[[#This Row],[Código do Posto]],tabParametros[Indenização Adicional (Art. 9º da Lei nº 7.238/84)])*tabCustoUnit[[#This Row],[MODULO 1 - REMUNERAÇÃO ]]</f>
        <v>1.3737682500000001</v>
      </c>
      <c r="AT199" s="22">
        <f>SUM(tabCustoUnit[[#This Row],[Aviso Prévio Indenizado (API) e Reflexo do Aviso Prévio Indenizado]:[Indenização Adicional (Art. 9º da Lei nº 7.238/84)]])</f>
        <v>72.586390868840269</v>
      </c>
      <c r="AU199" s="22">
        <f>SUMIF(tabParametros[Código do Posto],tabCustoUnit[[#This Row],[Código do Posto]],tabParametros[Ausência por Doença])*tabCustoUnit[[#This Row],[MODULO 1 - REMUNERAÇÃO ]]</f>
        <v>13.920851599999999</v>
      </c>
      <c r="AV199" s="22">
        <f>SUMIF(tabParametros[Código do Posto],tabCustoUnit[[#This Row],[Código do Posto]],tabParametros[Ausências Legais])*tabCustoUnit[[#This Row],[MODULO 1 - REMUNERAÇÃO ]]</f>
        <v>3.3428360749999997</v>
      </c>
      <c r="AW199" s="22">
        <f>SUMIF(tabParametros[Código do Posto],tabCustoUnit[[#This Row],[Código do Posto]],tabParametros[Licença Paternidade])*tabCustoUnit[[#This Row],[MODULO 1 - REMUNERAÇÃO ]]</f>
        <v>0.28162249125</v>
      </c>
      <c r="AX199" s="22">
        <f>SUMIF(tabParametros[Código do Posto],tabCustoUnit[[#This Row],[Código do Posto]],tabParametros[Ausência por Acidente de Trabalho])*tabCustoUnit[[#This Row],[MODULO 1 - REMUNERAÇÃO ]]</f>
        <v>0.34344206250000003</v>
      </c>
      <c r="AY199" s="22">
        <f>SUMIF(tabParametros[Código do Posto],tabCustoUnit[[#This Row],[Código do Posto]],tabParametros[Férias, Adicional de Férias e 13º  com empregada em gozo de Licença Maternidade])*tabCustoUnit[[#This Row],[MODULO 1 - REMUNERAÇÃO ]]</f>
        <v>2.1369728333333331</v>
      </c>
      <c r="AZ199" s="22">
        <f>SUMIF(tabParametros[Código do Posto],tabCustoUnit[[#This Row],[Código do Posto]],tabParametros[Incidência do Submódulo 2.1 sobre Ausências Legais])*tabCustoUnit[[#This Row],[MODULO 1 - REMUNERAÇÃO ]]</f>
        <v>7.5697240734675013</v>
      </c>
      <c r="BA199" s="22">
        <f>SUM(tabCustoUnit[[#This Row],[Ausência por Doença]:[Incidência do Submódulo 2.1 sobre Ausências Legais]])</f>
        <v>27.595449135550833</v>
      </c>
      <c r="BB199" s="22">
        <f>SUMIF(tabParametros[Código do Posto],tabCustoUnit[[#This Row],[Código do Posto]],tabParametros[Intervalo para Repouso ou Alimentação])</f>
        <v>0</v>
      </c>
      <c r="BC199" s="22">
        <f>tabCustoUnit[[#This Row],[Intervalo para Repouso ou Alimentação]]</f>
        <v>0</v>
      </c>
      <c r="BD199" s="22">
        <f>IF(VLOOKUP(tabCustoUnit[[#This Row],[Código do Posto]],PARAMETROS!$A$4:$BJ$255,7,0)&lt;=0,0,
IFERROR((tabCustoUnit[[#This Row],[MODULO 1 - REMUNERAÇÃO ]]*VLOOKUP(tabCustoUnit[[#This Row],[Código do Posto]],PARAMETROS!$A$4:$BJ$255,49,0))/(VLOOKUP(tabCustoUnit[[#This Row],[Código do Posto]],PARAMETROS!$A$4:$BJ$255,7,0)*VLOOKUP(tabCustoUnit[[#This Row],[Código do Posto]],PARAMETROS!$A$4:$BJ$255,8,0)),0)
)</f>
        <v>0</v>
      </c>
      <c r="BE199" s="22">
        <f>tabCustoUnit[[#This Row],[Suspensão Temporária do Contrato de Trabalho]]</f>
        <v>0</v>
      </c>
      <c r="BF199" s="22">
        <f>tabCustoUnit[[#This Row],[Submódulo 4.1]]+tabCustoUnit[[#This Row],[Submódulo 4.2]]+tabCustoUnit[[#This Row],[Submódulo 4.3]]</f>
        <v>27.595449135550833</v>
      </c>
      <c r="BG199" s="22">
        <f>VLOOKUP(tabCustoUnit[[#This Row],[Código do Posto]],tabParametros[],MATCH(tabCustoUnit[[#Headers],[Uniformes e EPIs]],tabParametros[#Headers],0),0)</f>
        <v>100.80916666666666</v>
      </c>
      <c r="BH199" s="22">
        <f>VLOOKUP(tabCustoUnit[[#This Row],[Código do Posto]],tabParametros[],MATCH(tabCustoUnit[[#Headers],[Materiais de Consumo]],tabParametros[#Headers],0),0)</f>
        <v>35.518212958583888</v>
      </c>
      <c r="BI199" s="22">
        <f>VLOOKUP(tabCustoUnit[[#This Row],[Código do Posto]],tabParametros[],MATCH(tabCustoUnit[[#Headers],[Máquinas e Equipamentos (depreciação)]],tabParametros[#Headers],0),0)</f>
        <v>64.529393914825576</v>
      </c>
      <c r="BJ199" s="22">
        <f>VLOOKUP(tabCustoUnit[[#This Row],[Código do Posto]],tabParametros[],MATCH(tabCustoUnit[[#Headers],[Produtos de Limpeza e Materiais de Higiene Pessoal]],tabParametros[#Headers],0),0)</f>
        <v>690.27153277931654</v>
      </c>
      <c r="BK199" s="22">
        <f>VLOOKUP(tabCustoUnit[[#This Row],[Código do Posto]],tabParametros[],MATCH(tabCustoUnit[[#Headers],[Outros (especificar)]],tabParametros[#Headers],0),0)</f>
        <v>0</v>
      </c>
      <c r="BL199" s="22">
        <f>SUM(tabCustoUnit[[#This Row],[Uniformes e EPIs]:[Outros (especificar)]])</f>
        <v>891.12830631939266</v>
      </c>
      <c r="BM199" s="22">
        <f>tabCustoUnit[[#This Row],[MODULO 1 - REMUNERAÇÃO ]]+tabCustoUnit[[#This Row],[MÓDULO 2 - Total Encargos e Benefícios mensais e diários]]+tabCustoUnit[[#This Row],[MÓDULO 3 – PROVISÃO PARA RESCISÃO]]+tabCustoUnit[[#This Row],[MÓDULO 4 – CUSTO DE REPOSIÇÃO DO PROFISSIONAL AUSENTE]]+tabCustoUnit[[#This Row],[MÓDULO 5 – INSUMOS DIVERSOS]]</f>
        <v>4503.5388091737832</v>
      </c>
      <c r="BN199" s="22">
        <f>VLOOKUP(tabCustoUnit[[#This Row],[Código do Posto]],tabParametros[],MATCH(tabCustoUnit[[#Headers],[Custos Indiretos]],tabParametros[#Headers],0),0)</f>
        <v>189.64880140242613</v>
      </c>
      <c r="BO199" s="22">
        <f>VLOOKUP(tabCustoUnit[[#This Row],[Código do Posto]],tabParametros[],MATCH(tabCustoUnit[[#Headers],[Lucro]],tabParametros[#Headers],0),0)</f>
        <v>159.30499317803796</v>
      </c>
      <c r="BP199" s="26">
        <f>((100/((1-tabCustoUnit[[#This Row],[Resumo de Alíquotas (PIS+CONFINS+ISS)]]))-100)*VLOOKUP(tabCustoUnit[[#This Row],[Código do Posto]],tabParametros[],MATCH(tabCustoUnit[[#Headers],[COFINS]],tabParametros[#Headers],0),0))/(tabCustoUnit[[#This Row],[Resumo de Alíquotas (PIS+CONFINS+ISS)]]*100)</f>
        <v>8.5633802816901458E-2</v>
      </c>
      <c r="BQ199" s="26">
        <f>((100/((100-(tabCustoUnit[[#This Row],[Resumo de Alíquotas (PIS+CONFINS+ISS)]]*100))%)-100)*VLOOKUP(tabCustoUnit[[#This Row],[Código do Posto]],tabParametros[],MATCH(tabCustoUnit[[#Headers],[PIS]],tabParametros[#Headers],0),0))/(tabCustoUnit[[#This Row],[Resumo de Alíquotas (PIS+CONFINS+ISS)]]*100)</f>
        <v>1.8591549295774657E-2</v>
      </c>
      <c r="BR199" s="28">
        <f>VLOOKUP(tabCustoUnit[[#This Row],[Código do Posto]],tabParametros[],MATCH(tabCustoUnit[[#Headers],[ISS]],tabParametros[#Headers],0),0)</f>
        <v>0.02</v>
      </c>
      <c r="BS199" s="26">
        <f>(((100/((100-(tabCustoUnit[[#This Row],[Resumo de Alíquotas (PIS+CONFINS+ISS)]]*100))%)-100)*tabCustoUnit[[#This Row],[ISS]])/tabCustoUnit[[#This Row],[Resumo de Alíquotas (PIS+CONFINS+ISS)]])/100</f>
        <v>2.2535211267605645E-2</v>
      </c>
      <c r="BT199" s="26">
        <f>(VLOOKUP(tabCustoUnit[[#This Row],[Código do Posto]],tabParametros[],MATCH(tabCustoUnit[[#Headers],[COFINS]],tabParametros[#Headers],0),0)+
VLOOKUP(tabCustoUnit[[#This Row],[Código do Posto]],tabParametros[],MATCH(tabCustoUnit[[#Headers],[PIS]],tabParametros[#Headers],0),0)+
VLOOKUP(tabCustoUnit[[#This Row],[Código do Posto]],tabParametros[],MATCH(tabCustoUnit[[#Headers],[ISS]],tabParametros[#Headers],0),0))</f>
        <v>0.1125</v>
      </c>
      <c r="BU199" s="138">
        <f>tabCustoUnit[[#This Row],[COFINS]]+tabCustoUnit[[#This Row],[PIS]]+tabCustoUnit[[#This Row],[ISS (Conversão Alíquota s/ fatura)]]</f>
        <v>0.12676056338028174</v>
      </c>
      <c r="BV199" s="22">
        <f>(tabCustoUnit[[#This Row],[TOTAL MÓDULOS 1+2+3+4+5]]+tabCustoUnit[[#This Row],[Custos Indiretos]]+tabCustoUnit[[#This Row],[Lucro]])*tabCustoUnit[[#This Row],[PIS + COFINS + ISS (Total Conversão  Alíquota s/ Fatura)]]</f>
        <v>615.10469625053861</v>
      </c>
      <c r="BW199" s="22">
        <f>tabCustoUnit[[#This Row],[Custos Indiretos]]+tabCustoUnit[[#This Row],[Lucro]]+tabCustoUnit[[#This Row],[Valor dos Tributos (ISS, PIS, CONFINS)]]</f>
        <v>964.0584908310027</v>
      </c>
      <c r="BX199" s="22">
        <f>tabCustoUnit[[#This Row],[TOTAL MÓDULOS 1+2+3+4+5]]+tabCustoUnit[[#This Row],[MÓDULO 6 – CUSTOS INDIRETOS, TRIBUTOS E LUCRO]]</f>
        <v>5467.5973000047861</v>
      </c>
      <c r="BY199" s="22">
        <f>tabCustoUnit[[#This Row],[CUSTO TOTAL MENSAL]]*12</f>
        <v>65611.167600057437</v>
      </c>
      <c r="BZ199" s="24">
        <f>VLOOKUP(tabCustoUnit[[#This Row],[Código do Posto]],tabParametros[],MATCH(tabCustoUnit[[#Headers],[ANO DA CCT]],tabParametros[#Headers],0),0)</f>
        <v>45658</v>
      </c>
      <c r="CA199" s="25" t="str">
        <f>VLOOKUP(tabCustoUnit[[#This Row],[Código do Posto]],tabParametros[],MATCH(tabCustoUnit[[#Headers],[Nº DE PEDIDO DA CCT]],tabParametros[#Headers],0),0)</f>
        <v>-</v>
      </c>
      <c r="CB199" s="25" t="str">
        <f>VLOOKUP(tabCustoUnit[[#This Row],[Código do Posto]],tabParametros[],MATCH(tabCustoUnit[[#Headers],[TERMO ADITIVO ALTERAÇÃO DA CCT]],tabParametros[#Headers],0),0)</f>
        <v>-</v>
      </c>
    </row>
    <row r="200" spans="1:80" x14ac:dyDescent="0.25">
      <c r="A200" s="20" t="s">
        <v>1535</v>
      </c>
      <c r="B200" t="s">
        <v>181</v>
      </c>
      <c r="C200" t="s">
        <v>1247</v>
      </c>
      <c r="D200" t="s">
        <v>1018</v>
      </c>
      <c r="E200" s="20" t="s">
        <v>9</v>
      </c>
      <c r="F200" s="20" t="s">
        <v>10</v>
      </c>
      <c r="G200" s="21">
        <v>544.17999999999995</v>
      </c>
      <c r="H200" s="21">
        <v>0</v>
      </c>
      <c r="I200" s="21">
        <v>0</v>
      </c>
      <c r="J200" s="21">
        <v>0</v>
      </c>
      <c r="K200" s="21">
        <v>0</v>
      </c>
      <c r="L200" s="21">
        <v>0</v>
      </c>
      <c r="M200" s="21">
        <v>0</v>
      </c>
      <c r="N200" s="21">
        <v>19.590499999999999</v>
      </c>
      <c r="O200" s="21">
        <f>SUM(tabCustoUnit[[#This Row],[Salário Base]:[Adicional de Acúmulo de função]])</f>
        <v>563.77049999999997</v>
      </c>
      <c r="P200" s="21">
        <f>tabCustoUnit[[#This Row],[MODULO 1 - REMUNERAÇÃO ]]*SUMIFS(tabParametros[INSS],tabParametros[Código do Posto],tabCustoUnit[[#This Row],[Código do Posto]])</f>
        <v>112.75409999999999</v>
      </c>
      <c r="Q200" s="21">
        <f>tabCustoUnit[[#This Row],[MODULO 1 - REMUNERAÇÃO ]]*SUMIFS(tabParametros[SESI OU SESC],tabParametros[Código do Posto],tabCustoUnit[[#This Row],[Código do Posto]])</f>
        <v>8.4565574999999988</v>
      </c>
      <c r="R200" s="21">
        <f>tabCustoUnit[[#This Row],[MODULO 1 - REMUNERAÇÃO ]]*SUMIFS(tabParametros[SENAI OU SENAC],tabParametros[Código do Posto],tabCustoUnit[[#This Row],[Código do Posto]])</f>
        <v>5.6377049999999995</v>
      </c>
      <c r="S200" s="21">
        <f>tabCustoUnit[[#This Row],[MODULO 1 - REMUNERAÇÃO ]]*SUMIFS(tabParametros[INCRA],tabParametros[Código do Posto],tabCustoUnit[[#This Row],[Código do Posto]])</f>
        <v>1.1275409999999999</v>
      </c>
      <c r="T200" s="21">
        <f>tabCustoUnit[[#This Row],[MODULO 1 - REMUNERAÇÃO ]]*SUMIFS(tabParametros[Salário Educação],tabParametros[Código do Posto],tabCustoUnit[[#This Row],[Código do Posto]])</f>
        <v>14.094262499999999</v>
      </c>
      <c r="U200" s="21">
        <f>tabCustoUnit[[#This Row],[MODULO 1 - REMUNERAÇÃO ]]*SUMIFS(tabParametros[FGTS],tabParametros[Código do Posto],tabCustoUnit[[#This Row],[Código do Posto]])</f>
        <v>45.101639999999996</v>
      </c>
      <c r="V200" s="21">
        <f>tabCustoUnit[[#This Row],[MODULO 1 - REMUNERAÇÃO ]]*SUMIFS(tabParametros[RAT Ajustado],tabParametros[Código do Posto],tabCustoUnit[[#This Row],[Código do Posto]])</f>
        <v>22.550819999999998</v>
      </c>
      <c r="W200" s="21">
        <f>tabCustoUnit[[#This Row],[MODULO 1 - REMUNERAÇÃO ]]*SUMIFS(tabParametros[SEBRAE],tabParametros[Código do Posto],tabCustoUnit[[#This Row],[Código do Posto]])</f>
        <v>3.3826229999999997</v>
      </c>
      <c r="X200" s="21">
        <f>SUM(tabCustoUnit[[#This Row],[INSS]:[SEBRAE]])</f>
        <v>213.10524899999996</v>
      </c>
      <c r="Y200" s="21">
        <f>tabCustoUnit[[#This Row],[MODULO 1 - REMUNERAÇÃO ]]*SUMIFS(tabParametros[13º salário (titular)],tabParametros[Código do Posto],tabCustoUnit[[#This Row],[Código do Posto]])</f>
        <v>46.980874999999997</v>
      </c>
      <c r="Z200" s="21">
        <f>tabCustoUnit[[#This Row],[MODULO 1 - REMUNERAÇÃO ]]*SUMIFS(tabParametros[Férias e Adicional de Férias (titular)],tabParametros[Código do Posto],tabCustoUnit[[#This Row],[Código do Posto]])</f>
        <v>62.641166666666663</v>
      </c>
      <c r="AA200" s="21">
        <f>IFERROR((tabCustoUnit[[#This Row],[Submódulo 2.1]]/tabCustoUnit[[#This Row],[MODULO 1 - REMUNERAÇÃO ]])*SUM(tabCustoUnit[[#This Row],[13º salário (titular)]:[Férias e Adicional de Férias (titular)]]),0)</f>
        <v>41.437131749999992</v>
      </c>
      <c r="AB200" s="21">
        <f>SUM(tabCustoUnit[[#This Row],[13º salário (titular)]:[Incidência do Submódulo 2.1 sobre 13º Salário, Férias e Adicional de Férias]])</f>
        <v>151.05917341666665</v>
      </c>
      <c r="AC200" s="22">
        <f>_xlfn.LET(_xlpm.VT,SUMIF(tabParametros[Código do Posto],tabCustoUnit[[#This Row],[Código do Posto]],tabParametros[Vale - Transporte])*2*20,
IF((_xlpm.VT-tabCustoUnit[[#This Row],[Salário Base]]*0.06)&gt;=0,(_xlpm.VT-tabCustoUnit[[#This Row],[Salário Base]]*0.06),0)
)</f>
        <v>223.3492</v>
      </c>
      <c r="AD200" s="22">
        <f>IF(SUMIF(tabParametros[Código do Posto],tabCustoUnit[[#This Row],[Código do Posto]],tabParametros[Vale - Alimentação])&lt;=0,0,
SUMIF(tabParametros[Código do Posto],tabCustoUnit[[#This Row],[Código do Posto]],tabParametros[Vale - Alimentação])*20-1)</f>
        <v>582</v>
      </c>
      <c r="AE200" s="22">
        <f>SUMIF(tabParametros[Código do Posto],tabCustoUnit[[#This Row],[Código do Posto]],tabParametros[Cesta Básica])</f>
        <v>0</v>
      </c>
      <c r="AF200" s="22">
        <f>SUMIF(tabParametros[Código do Posto],tabCustoUnit[[#This Row],[Código do Posto]],tabParametros[PAF])</f>
        <v>51.88</v>
      </c>
      <c r="AG200" s="22">
        <f>SUMIF(tabParametros[Código do Posto],tabCustoUnit[[#This Row],[Código do Posto]],tabParametros[PQM])</f>
        <v>0</v>
      </c>
      <c r="AH200" s="22">
        <f>SUMIF(tabParametros[Código do Posto],tabCustoUnit[[#This Row],[Código do Posto]],tabParametros[PAT])</f>
        <v>0</v>
      </c>
      <c r="AI200" s="22">
        <f>SUMIF(tabParametros[Código do Posto],tabCustoUnit[[#This Row],[Código do Posto]],tabParametros[Seguro de Vida])</f>
        <v>3.36</v>
      </c>
      <c r="AJ200" s="22">
        <f>SUMIF(tabParametros[Código do Posto],tabCustoUnit[[#This Row],[Código do Posto]],tabParametros[Despesas de Viagem])</f>
        <v>0</v>
      </c>
      <c r="AK200" s="22">
        <f>SUM(tabCustoUnit[[#This Row],[Vale - Transporte (Descontada parcela do empregado)]:[Despesas de Viagem]])</f>
        <v>860.58920000000001</v>
      </c>
      <c r="AL200" s="22">
        <f>tabCustoUnit[[#This Row],[Submódulo 2.1]]+tabCustoUnit[[#This Row],[Submódulo 2.2]]+tabCustoUnit[[#This Row],[Submódulo 2.3]]</f>
        <v>1224.7536224166665</v>
      </c>
      <c r="AM200" s="22">
        <f>SUMIF(tabParametros[Código do Posto],tabCustoUnit[[#This Row],[Código do Posto]],tabParametros[Aviso Prévio Indenizado (API) e Reflexo do Aviso Prévio Indenizado])*tabCustoUnit[[#This Row],[MODULO 1 - REMUNERAÇÃO ]]</f>
        <v>3.9530273735532404</v>
      </c>
      <c r="AN200" s="22">
        <f>SUMIF(tabParametros[Código do Posto],tabCustoUnit[[#This Row],[Código do Posto]],tabParametros[Incidência do FGTS sobre API e Reflexo do API])*tabCustoUnit[[#This Row],[MODULO 1 - REMUNERAÇÃO ]]</f>
        <v>0.31624218988425928</v>
      </c>
      <c r="AO200" s="22">
        <f>SUMIF(tabParametros[Código do Posto],tabCustoUnit[[#This Row],[Código do Posto]],tabParametros[Multa Rescisória do FGTS sobre o Aviso Prévio Indenizado])*tabCustoUnit[[#This Row],[MODULO 1 - REMUNERAÇÃO ]]</f>
        <v>0.12649687595370371</v>
      </c>
      <c r="AP200" s="22">
        <f>SUMIF(tabParametros[Código do Posto],tabCustoUnit[[#This Row],[Código do Posto]],tabParametros[Aviso Prévio Trabalhado - APT])*tabCustoUnit[[#This Row],[MODULO 1 - REMUNERAÇÃO ]]</f>
        <v>1.9731967500000003</v>
      </c>
      <c r="AQ200" s="22">
        <f>SUMIF(tabParametros[Código do Posto],tabCustoUnit[[#This Row],[Código do Posto]],tabParametros[Incidência dos encargos do submódulo 2.1 sobre Aviso Prévio Trabalhado])*tabCustoUnit[[#This Row],[MODULO 1 - REMUNERAÇÃO ]]</f>
        <v>0.74586837150000018</v>
      </c>
      <c r="AR200" s="22">
        <f>SUMIF(tabParametros[Código do Posto],tabCustoUnit[[#This Row],[Código do Posto]],tabParametros[Multa Rescisória do FGTS])*tabCustoUnit[[#This Row],[MODULO 1 - REMUNERAÇÃO ]]</f>
        <v>17.238849066666663</v>
      </c>
      <c r="AS200" s="22">
        <f>SUMIF(tabParametros[Código do Posto],tabCustoUnit[[#This Row],[Código do Posto]],tabParametros[Indenização Adicional (Art. 9º da Lei nº 7.238/84)])*tabCustoUnit[[#This Row],[MODULO 1 - REMUNERAÇÃO ]]</f>
        <v>0.46980875</v>
      </c>
      <c r="AT200" s="22">
        <f>SUM(tabCustoUnit[[#This Row],[Aviso Prévio Indenizado (API) e Reflexo do Aviso Prévio Indenizado]:[Indenização Adicional (Art. 9º da Lei nº 7.238/84)]])</f>
        <v>24.823489377557866</v>
      </c>
      <c r="AU200" s="22">
        <f>SUMIF(tabParametros[Código do Posto],tabCustoUnit[[#This Row],[Código do Posto]],tabParametros[Ausência por Doença])*tabCustoUnit[[#This Row],[MODULO 1 - REMUNERAÇÃO ]]</f>
        <v>4.7607286666666662</v>
      </c>
      <c r="AV200" s="22">
        <f>SUMIF(tabParametros[Código do Posto],tabCustoUnit[[#This Row],[Código do Posto]],tabParametros[Ausências Legais])*tabCustoUnit[[#This Row],[MODULO 1 - REMUNERAÇÃO ]]</f>
        <v>1.1432012916666665</v>
      </c>
      <c r="AW200" s="22">
        <f>SUMIF(tabParametros[Código do Posto],tabCustoUnit[[#This Row],[Código do Posto]],tabParametros[Licença Paternidade])*tabCustoUnit[[#This Row],[MODULO 1 - REMUNERAÇÃO ]]</f>
        <v>9.6310793749999998E-2</v>
      </c>
      <c r="AX200" s="22">
        <f>SUMIF(tabParametros[Código do Posto],tabCustoUnit[[#This Row],[Código do Posto]],tabParametros[Ausência por Acidente de Trabalho])*tabCustoUnit[[#This Row],[MODULO 1 - REMUNERAÇÃO ]]</f>
        <v>0.1174521875</v>
      </c>
      <c r="AY200" s="22">
        <f>SUMIF(tabParametros[Código do Posto],tabCustoUnit[[#This Row],[Código do Posto]],tabParametros[Férias, Adicional de Férias e 13º  com empregada em gozo de Licença Maternidade])*tabCustoUnit[[#This Row],[MODULO 1 - REMUNERAÇÃO ]]</f>
        <v>0.73081361111111109</v>
      </c>
      <c r="AZ200" s="22">
        <f>SUMIF(tabParametros[Código do Posto],tabCustoUnit[[#This Row],[Código do Posto]],tabParametros[Incidência do Submódulo 2.1 sobre Ausências Legais])*tabCustoUnit[[#This Row],[MODULO 1 - REMUNERAÇÃO ]]</f>
        <v>2.5887354761625003</v>
      </c>
      <c r="BA200" s="22">
        <f>SUM(tabCustoUnit[[#This Row],[Ausência por Doença]:[Incidência do Submódulo 2.1 sobre Ausências Legais]])</f>
        <v>9.4372420268569428</v>
      </c>
      <c r="BB200" s="22">
        <f>SUMIF(tabParametros[Código do Posto],tabCustoUnit[[#This Row],[Código do Posto]],tabParametros[Intervalo para Repouso ou Alimentação])</f>
        <v>0</v>
      </c>
      <c r="BC200" s="22">
        <f>tabCustoUnit[[#This Row],[Intervalo para Repouso ou Alimentação]]</f>
        <v>0</v>
      </c>
      <c r="BD200" s="22">
        <f>IF(VLOOKUP(tabCustoUnit[[#This Row],[Código do Posto]],PARAMETROS!$A$4:$BJ$255,7,0)&lt;=0,0,
IFERROR((tabCustoUnit[[#This Row],[MODULO 1 - REMUNERAÇÃO ]]*VLOOKUP(tabCustoUnit[[#This Row],[Código do Posto]],PARAMETROS!$A$4:$BJ$255,49,0))/(VLOOKUP(tabCustoUnit[[#This Row],[Código do Posto]],PARAMETROS!$A$4:$BJ$255,7,0)*VLOOKUP(tabCustoUnit[[#This Row],[Código do Posto]],PARAMETROS!$A$4:$BJ$255,8,0)),0)
)</f>
        <v>0</v>
      </c>
      <c r="BE200" s="22">
        <f>tabCustoUnit[[#This Row],[Suspensão Temporária do Contrato de Trabalho]]</f>
        <v>0</v>
      </c>
      <c r="BF200" s="22">
        <f>tabCustoUnit[[#This Row],[Submódulo 4.1]]+tabCustoUnit[[#This Row],[Submódulo 4.2]]+tabCustoUnit[[#This Row],[Submódulo 4.3]]</f>
        <v>9.4372420268569428</v>
      </c>
      <c r="BG200" s="22">
        <f>VLOOKUP(tabCustoUnit[[#This Row],[Código do Posto]],tabParametros[],MATCH(tabCustoUnit[[#Headers],[Uniformes e EPIs]],tabParametros[#Headers],0),0)</f>
        <v>62.806666666666665</v>
      </c>
      <c r="BH200" s="22">
        <f>VLOOKUP(tabCustoUnit[[#This Row],[Código do Posto]],tabParametros[],MATCH(tabCustoUnit[[#Headers],[Materiais de Consumo]],tabParametros[#Headers],0),0)</f>
        <v>12.108481690426325</v>
      </c>
      <c r="BI200" s="22">
        <f>VLOOKUP(tabCustoUnit[[#This Row],[Código do Posto]],tabParametros[],MATCH(tabCustoUnit[[#Headers],[Máquinas e Equipamentos (depreciação)]],tabParametros[#Headers],0),0)</f>
        <v>21.998657016417809</v>
      </c>
      <c r="BJ200" s="22">
        <f>VLOOKUP(tabCustoUnit[[#This Row],[Código do Posto]],tabParametros[],MATCH(tabCustoUnit[[#Headers],[Produtos de Limpeza e Materiais de Higiene Pessoal]],tabParametros[#Headers],0),0)</f>
        <v>235.31984072022155</v>
      </c>
      <c r="BK200" s="22">
        <f>VLOOKUP(tabCustoUnit[[#This Row],[Código do Posto]],tabParametros[],MATCH(tabCustoUnit[[#Headers],[Outros (especificar)]],tabParametros[#Headers],0),0)</f>
        <v>0</v>
      </c>
      <c r="BL200" s="22">
        <f>SUM(tabCustoUnit[[#This Row],[Uniformes e EPIs]:[Outros (especificar)]])</f>
        <v>332.23364609373232</v>
      </c>
      <c r="BM200" s="22">
        <f>tabCustoUnit[[#This Row],[MODULO 1 - REMUNERAÇÃO ]]+tabCustoUnit[[#This Row],[MÓDULO 2 - Total Encargos e Benefícios mensais e diários]]+tabCustoUnit[[#This Row],[MÓDULO 3 – PROVISÃO PARA RESCISÃO]]+tabCustoUnit[[#This Row],[MÓDULO 4 – CUSTO DE REPOSIÇÃO DO PROFISSIONAL AUSENTE]]+tabCustoUnit[[#This Row],[MÓDULO 5 – INSUMOS DIVERSOS]]</f>
        <v>2155.0184999148137</v>
      </c>
      <c r="BN200" s="22">
        <f>VLOOKUP(tabCustoUnit[[#This Row],[Código do Posto]],tabParametros[],MATCH(tabCustoUnit[[#Headers],[Custos Indiretos]],tabParametros[#Headers],0),0)</f>
        <v>189.64880140242613</v>
      </c>
      <c r="BO200" s="22">
        <f>VLOOKUP(tabCustoUnit[[#This Row],[Código do Posto]],tabParametros[],MATCH(tabCustoUnit[[#Headers],[Lucro]],tabParametros[#Headers],0),0)</f>
        <v>159.30499317803796</v>
      </c>
      <c r="BP200" s="26">
        <f>((100/((1-tabCustoUnit[[#This Row],[Resumo de Alíquotas (PIS+CONFINS+ISS)]]))-100)*VLOOKUP(tabCustoUnit[[#This Row],[Código do Posto]],tabParametros[],MATCH(tabCustoUnit[[#Headers],[COFINS]],tabParametros[#Headers],0),0))/(tabCustoUnit[[#This Row],[Resumo de Alíquotas (PIS+CONFINS+ISS)]]*100)</f>
        <v>8.7106017191977067E-2</v>
      </c>
      <c r="BQ200" s="26">
        <f>((100/((100-(tabCustoUnit[[#This Row],[Resumo de Alíquotas (PIS+CONFINS+ISS)]]*100))%)-100)*VLOOKUP(tabCustoUnit[[#This Row],[Código do Posto]],tabParametros[],MATCH(tabCustoUnit[[#Headers],[PIS]],tabParametros[#Headers],0),0))/(tabCustoUnit[[#This Row],[Resumo de Alíquotas (PIS+CONFINS+ISS)]]*100)</f>
        <v>1.8911174785100283E-2</v>
      </c>
      <c r="BR200" s="28">
        <f>VLOOKUP(tabCustoUnit[[#This Row],[Código do Posto]],tabParametros[],MATCH(tabCustoUnit[[#Headers],[ISS]],tabParametros[#Headers],0),0)</f>
        <v>3.5000000000000003E-2</v>
      </c>
      <c r="BS200" s="26">
        <f>(((100/((100-(tabCustoUnit[[#This Row],[Resumo de Alíquotas (PIS+CONFINS+ISS)]]*100))%)-100)*tabCustoUnit[[#This Row],[ISS]])/tabCustoUnit[[#This Row],[Resumo de Alíquotas (PIS+CONFINS+ISS)]])/100</f>
        <v>4.0114613180515762E-2</v>
      </c>
      <c r="BT200" s="26">
        <f>(VLOOKUP(tabCustoUnit[[#This Row],[Código do Posto]],tabParametros[],MATCH(tabCustoUnit[[#Headers],[COFINS]],tabParametros[#Headers],0),0)+
VLOOKUP(tabCustoUnit[[#This Row],[Código do Posto]],tabParametros[],MATCH(tabCustoUnit[[#Headers],[PIS]],tabParametros[#Headers],0),0)+
VLOOKUP(tabCustoUnit[[#This Row],[Código do Posto]],tabParametros[],MATCH(tabCustoUnit[[#Headers],[ISS]],tabParametros[#Headers],0),0))</f>
        <v>0.1275</v>
      </c>
      <c r="BU200" s="138">
        <f>tabCustoUnit[[#This Row],[COFINS]]+tabCustoUnit[[#This Row],[PIS]]+tabCustoUnit[[#This Row],[ISS (Conversão Alíquota s/ fatura)]]</f>
        <v>0.14613180515759311</v>
      </c>
      <c r="BV200" s="22">
        <f>(tabCustoUnit[[#This Row],[TOTAL MÓDULOS 1+2+3+4+5]]+tabCustoUnit[[#This Row],[Custos Indiretos]]+tabCustoUnit[[#This Row],[Lucro]])*tabCustoUnit[[#This Row],[PIS + COFINS + ISS (Total Conversão  Alíquota s/ Fatura)]]</f>
        <v>365.90999145919528</v>
      </c>
      <c r="BW200" s="22">
        <f>tabCustoUnit[[#This Row],[Custos Indiretos]]+tabCustoUnit[[#This Row],[Lucro]]+tabCustoUnit[[#This Row],[Valor dos Tributos (ISS, PIS, CONFINS)]]</f>
        <v>714.86378603965932</v>
      </c>
      <c r="BX200" s="22">
        <f>tabCustoUnit[[#This Row],[TOTAL MÓDULOS 1+2+3+4+5]]+tabCustoUnit[[#This Row],[MÓDULO 6 – CUSTOS INDIRETOS, TRIBUTOS E LUCRO]]</f>
        <v>2869.882285954473</v>
      </c>
      <c r="BY200" s="22">
        <f>tabCustoUnit[[#This Row],[CUSTO TOTAL MENSAL]]*12</f>
        <v>34438.587431453678</v>
      </c>
      <c r="BZ200" s="24">
        <f>VLOOKUP(tabCustoUnit[[#This Row],[Código do Posto]],tabParametros[],MATCH(tabCustoUnit[[#Headers],[ANO DA CCT]],tabParametros[#Headers],0),0)</f>
        <v>45658</v>
      </c>
      <c r="CA200" s="25" t="str">
        <f>VLOOKUP(tabCustoUnit[[#This Row],[Código do Posto]],tabParametros[],MATCH(tabCustoUnit[[#Headers],[Nº DE PEDIDO DA CCT]],tabParametros[#Headers],0),0)</f>
        <v>-</v>
      </c>
      <c r="CB200" s="25" t="str">
        <f>VLOOKUP(tabCustoUnit[[#This Row],[Código do Posto]],tabParametros[],MATCH(tabCustoUnit[[#Headers],[TERMO ADITIVO ALTERAÇÃO DA CCT]],tabParametros[#Headers],0),0)</f>
        <v>-</v>
      </c>
    </row>
    <row r="201" spans="1:80" x14ac:dyDescent="0.25">
      <c r="A201" s="20" t="s">
        <v>1536</v>
      </c>
      <c r="B201" t="s">
        <v>182</v>
      </c>
      <c r="C201" t="s">
        <v>1247</v>
      </c>
      <c r="D201" t="s">
        <v>992</v>
      </c>
      <c r="E201" s="20" t="s">
        <v>9</v>
      </c>
      <c r="F201" s="20" t="s">
        <v>10</v>
      </c>
      <c r="G201" s="21">
        <v>544.17999999999995</v>
      </c>
      <c r="H201" s="21">
        <v>0</v>
      </c>
      <c r="I201" s="21">
        <v>0</v>
      </c>
      <c r="J201" s="21">
        <v>0</v>
      </c>
      <c r="K201" s="21">
        <v>0</v>
      </c>
      <c r="L201" s="21">
        <v>0</v>
      </c>
      <c r="M201" s="21">
        <v>0</v>
      </c>
      <c r="N201" s="21">
        <v>19.590499999999999</v>
      </c>
      <c r="O201" s="21">
        <f>SUM(tabCustoUnit[[#This Row],[Salário Base]:[Adicional de Acúmulo de função]])</f>
        <v>563.77049999999997</v>
      </c>
      <c r="P201" s="21">
        <f>tabCustoUnit[[#This Row],[MODULO 1 - REMUNERAÇÃO ]]*SUMIFS(tabParametros[INSS],tabParametros[Código do Posto],tabCustoUnit[[#This Row],[Código do Posto]])</f>
        <v>112.75409999999999</v>
      </c>
      <c r="Q201" s="21">
        <f>tabCustoUnit[[#This Row],[MODULO 1 - REMUNERAÇÃO ]]*SUMIFS(tabParametros[SESI OU SESC],tabParametros[Código do Posto],tabCustoUnit[[#This Row],[Código do Posto]])</f>
        <v>8.4565574999999988</v>
      </c>
      <c r="R201" s="21">
        <f>tabCustoUnit[[#This Row],[MODULO 1 - REMUNERAÇÃO ]]*SUMIFS(tabParametros[SENAI OU SENAC],tabParametros[Código do Posto],tabCustoUnit[[#This Row],[Código do Posto]])</f>
        <v>5.6377049999999995</v>
      </c>
      <c r="S201" s="21">
        <f>tabCustoUnit[[#This Row],[MODULO 1 - REMUNERAÇÃO ]]*SUMIFS(tabParametros[INCRA],tabParametros[Código do Posto],tabCustoUnit[[#This Row],[Código do Posto]])</f>
        <v>1.1275409999999999</v>
      </c>
      <c r="T201" s="21">
        <f>tabCustoUnit[[#This Row],[MODULO 1 - REMUNERAÇÃO ]]*SUMIFS(tabParametros[Salário Educação],tabParametros[Código do Posto],tabCustoUnit[[#This Row],[Código do Posto]])</f>
        <v>14.094262499999999</v>
      </c>
      <c r="U201" s="21">
        <f>tabCustoUnit[[#This Row],[MODULO 1 - REMUNERAÇÃO ]]*SUMIFS(tabParametros[FGTS],tabParametros[Código do Posto],tabCustoUnit[[#This Row],[Código do Posto]])</f>
        <v>45.101639999999996</v>
      </c>
      <c r="V201" s="21">
        <f>tabCustoUnit[[#This Row],[MODULO 1 - REMUNERAÇÃO ]]*SUMIFS(tabParametros[RAT Ajustado],tabParametros[Código do Posto],tabCustoUnit[[#This Row],[Código do Posto]])</f>
        <v>22.550819999999998</v>
      </c>
      <c r="W201" s="21">
        <f>tabCustoUnit[[#This Row],[MODULO 1 - REMUNERAÇÃO ]]*SUMIFS(tabParametros[SEBRAE],tabParametros[Código do Posto],tabCustoUnit[[#This Row],[Código do Posto]])</f>
        <v>3.3826229999999997</v>
      </c>
      <c r="X201" s="21">
        <f>SUM(tabCustoUnit[[#This Row],[INSS]:[SEBRAE]])</f>
        <v>213.10524899999996</v>
      </c>
      <c r="Y201" s="21">
        <f>tabCustoUnit[[#This Row],[MODULO 1 - REMUNERAÇÃO ]]*SUMIFS(tabParametros[13º salário (titular)],tabParametros[Código do Posto],tabCustoUnit[[#This Row],[Código do Posto]])</f>
        <v>46.980874999999997</v>
      </c>
      <c r="Z201" s="21">
        <f>tabCustoUnit[[#This Row],[MODULO 1 - REMUNERAÇÃO ]]*SUMIFS(tabParametros[Férias e Adicional de Férias (titular)],tabParametros[Código do Posto],tabCustoUnit[[#This Row],[Código do Posto]])</f>
        <v>62.641166666666663</v>
      </c>
      <c r="AA201" s="21">
        <f>IFERROR((tabCustoUnit[[#This Row],[Submódulo 2.1]]/tabCustoUnit[[#This Row],[MODULO 1 - REMUNERAÇÃO ]])*SUM(tabCustoUnit[[#This Row],[13º salário (titular)]:[Férias e Adicional de Férias (titular)]]),0)</f>
        <v>41.437131749999992</v>
      </c>
      <c r="AB201" s="21">
        <f>SUM(tabCustoUnit[[#This Row],[13º salário (titular)]:[Incidência do Submódulo 2.1 sobre 13º Salário, Férias e Adicional de Férias]])</f>
        <v>151.05917341666665</v>
      </c>
      <c r="AC201" s="22">
        <f>_xlfn.LET(_xlpm.VT,SUMIF(tabParametros[Código do Posto],tabCustoUnit[[#This Row],[Código do Posto]],tabParametros[Vale - Transporte])*2*20,
IF((_xlpm.VT-tabCustoUnit[[#This Row],[Salário Base]]*0.06)&gt;=0,(_xlpm.VT-tabCustoUnit[[#This Row],[Salário Base]]*0.06),0)
)</f>
        <v>223.3492</v>
      </c>
      <c r="AD201" s="22">
        <f>IF(SUMIF(tabParametros[Código do Posto],tabCustoUnit[[#This Row],[Código do Posto]],tabParametros[Vale - Alimentação])&lt;=0,0,
SUMIF(tabParametros[Código do Posto],tabCustoUnit[[#This Row],[Código do Posto]],tabParametros[Vale - Alimentação])*20-1)</f>
        <v>0</v>
      </c>
      <c r="AE201" s="22">
        <f>SUMIF(tabParametros[Código do Posto],tabCustoUnit[[#This Row],[Código do Posto]],tabParametros[Cesta Básica])</f>
        <v>387.79</v>
      </c>
      <c r="AF201" s="22">
        <f>SUMIF(tabParametros[Código do Posto],tabCustoUnit[[#This Row],[Código do Posto]],tabParametros[PAF])</f>
        <v>42.97</v>
      </c>
      <c r="AG201" s="22">
        <f>SUMIF(tabParametros[Código do Posto],tabCustoUnit[[#This Row],[Código do Posto]],tabParametros[PQM])</f>
        <v>0</v>
      </c>
      <c r="AH201" s="22">
        <f>SUMIF(tabParametros[Código do Posto],tabCustoUnit[[#This Row],[Código do Posto]],tabParametros[PAT])</f>
        <v>0</v>
      </c>
      <c r="AI201" s="22">
        <f>SUMIF(tabParametros[Código do Posto],tabCustoUnit[[#This Row],[Código do Posto]],tabParametros[Seguro de Vida])</f>
        <v>3.36</v>
      </c>
      <c r="AJ201" s="22">
        <f>SUMIF(tabParametros[Código do Posto],tabCustoUnit[[#This Row],[Código do Posto]],tabParametros[Despesas de Viagem])</f>
        <v>0</v>
      </c>
      <c r="AK201" s="22">
        <f>SUM(tabCustoUnit[[#This Row],[Vale - Transporte (Descontada parcela do empregado)]:[Despesas de Viagem]])</f>
        <v>657.46920000000011</v>
      </c>
      <c r="AL201" s="22">
        <f>tabCustoUnit[[#This Row],[Submódulo 2.1]]+tabCustoUnit[[#This Row],[Submódulo 2.2]]+tabCustoUnit[[#This Row],[Submódulo 2.3]]</f>
        <v>1021.6336224166668</v>
      </c>
      <c r="AM201" s="22">
        <f>SUMIF(tabParametros[Código do Posto],tabCustoUnit[[#This Row],[Código do Posto]],tabParametros[Aviso Prévio Indenizado (API) e Reflexo do Aviso Prévio Indenizado])*tabCustoUnit[[#This Row],[MODULO 1 - REMUNERAÇÃO ]]</f>
        <v>3.9530273735532404</v>
      </c>
      <c r="AN201" s="22">
        <f>SUMIF(tabParametros[Código do Posto],tabCustoUnit[[#This Row],[Código do Posto]],tabParametros[Incidência do FGTS sobre API e Reflexo do API])*tabCustoUnit[[#This Row],[MODULO 1 - REMUNERAÇÃO ]]</f>
        <v>0.31624218988425928</v>
      </c>
      <c r="AO201" s="22">
        <f>SUMIF(tabParametros[Código do Posto],tabCustoUnit[[#This Row],[Código do Posto]],tabParametros[Multa Rescisória do FGTS sobre o Aviso Prévio Indenizado])*tabCustoUnit[[#This Row],[MODULO 1 - REMUNERAÇÃO ]]</f>
        <v>0.12649687595370371</v>
      </c>
      <c r="AP201" s="22">
        <f>SUMIF(tabParametros[Código do Posto],tabCustoUnit[[#This Row],[Código do Posto]],tabParametros[Aviso Prévio Trabalhado - APT])*tabCustoUnit[[#This Row],[MODULO 1 - REMUNERAÇÃO ]]</f>
        <v>1.9731967500000003</v>
      </c>
      <c r="AQ201" s="22">
        <f>SUMIF(tabParametros[Código do Posto],tabCustoUnit[[#This Row],[Código do Posto]],tabParametros[Incidência dos encargos do submódulo 2.1 sobre Aviso Prévio Trabalhado])*tabCustoUnit[[#This Row],[MODULO 1 - REMUNERAÇÃO ]]</f>
        <v>0.74586837150000018</v>
      </c>
      <c r="AR201" s="22">
        <f>SUMIF(tabParametros[Código do Posto],tabCustoUnit[[#This Row],[Código do Posto]],tabParametros[Multa Rescisória do FGTS])*tabCustoUnit[[#This Row],[MODULO 1 - REMUNERAÇÃO ]]</f>
        <v>17.238849066666663</v>
      </c>
      <c r="AS201" s="22">
        <f>SUMIF(tabParametros[Código do Posto],tabCustoUnit[[#This Row],[Código do Posto]],tabParametros[Indenização Adicional (Art. 9º da Lei nº 7.238/84)])*tabCustoUnit[[#This Row],[MODULO 1 - REMUNERAÇÃO ]]</f>
        <v>0.46980875</v>
      </c>
      <c r="AT201" s="22">
        <f>SUM(tabCustoUnit[[#This Row],[Aviso Prévio Indenizado (API) e Reflexo do Aviso Prévio Indenizado]:[Indenização Adicional (Art. 9º da Lei nº 7.238/84)]])</f>
        <v>24.823489377557866</v>
      </c>
      <c r="AU201" s="22">
        <f>SUMIF(tabParametros[Código do Posto],tabCustoUnit[[#This Row],[Código do Posto]],tabParametros[Ausência por Doença])*tabCustoUnit[[#This Row],[MODULO 1 - REMUNERAÇÃO ]]</f>
        <v>4.7607286666666662</v>
      </c>
      <c r="AV201" s="22">
        <f>SUMIF(tabParametros[Código do Posto],tabCustoUnit[[#This Row],[Código do Posto]],tabParametros[Ausências Legais])*tabCustoUnit[[#This Row],[MODULO 1 - REMUNERAÇÃO ]]</f>
        <v>1.1432012916666665</v>
      </c>
      <c r="AW201" s="22">
        <f>SUMIF(tabParametros[Código do Posto],tabCustoUnit[[#This Row],[Código do Posto]],tabParametros[Licença Paternidade])*tabCustoUnit[[#This Row],[MODULO 1 - REMUNERAÇÃO ]]</f>
        <v>9.6310793749999998E-2</v>
      </c>
      <c r="AX201" s="22">
        <f>SUMIF(tabParametros[Código do Posto],tabCustoUnit[[#This Row],[Código do Posto]],tabParametros[Ausência por Acidente de Trabalho])*tabCustoUnit[[#This Row],[MODULO 1 - REMUNERAÇÃO ]]</f>
        <v>0.1174521875</v>
      </c>
      <c r="AY201" s="22">
        <f>SUMIF(tabParametros[Código do Posto],tabCustoUnit[[#This Row],[Código do Posto]],tabParametros[Férias, Adicional de Férias e 13º  com empregada em gozo de Licença Maternidade])*tabCustoUnit[[#This Row],[MODULO 1 - REMUNERAÇÃO ]]</f>
        <v>0.73081361111111109</v>
      </c>
      <c r="AZ201" s="22">
        <f>SUMIF(tabParametros[Código do Posto],tabCustoUnit[[#This Row],[Código do Posto]],tabParametros[Incidência do Submódulo 2.1 sobre Ausências Legais])*tabCustoUnit[[#This Row],[MODULO 1 - REMUNERAÇÃO ]]</f>
        <v>2.5887354761625003</v>
      </c>
      <c r="BA201" s="22">
        <f>SUM(tabCustoUnit[[#This Row],[Ausência por Doença]:[Incidência do Submódulo 2.1 sobre Ausências Legais]])</f>
        <v>9.4372420268569428</v>
      </c>
      <c r="BB201" s="22">
        <f>SUMIF(tabParametros[Código do Posto],tabCustoUnit[[#This Row],[Código do Posto]],tabParametros[Intervalo para Repouso ou Alimentação])</f>
        <v>0</v>
      </c>
      <c r="BC201" s="22">
        <f>tabCustoUnit[[#This Row],[Intervalo para Repouso ou Alimentação]]</f>
        <v>0</v>
      </c>
      <c r="BD201" s="22">
        <f>IF(VLOOKUP(tabCustoUnit[[#This Row],[Código do Posto]],PARAMETROS!$A$4:$BJ$255,7,0)&lt;=0,0,
IFERROR((tabCustoUnit[[#This Row],[MODULO 1 - REMUNERAÇÃO ]]*VLOOKUP(tabCustoUnit[[#This Row],[Código do Posto]],PARAMETROS!$A$4:$BJ$255,49,0))/(VLOOKUP(tabCustoUnit[[#This Row],[Código do Posto]],PARAMETROS!$A$4:$BJ$255,7,0)*VLOOKUP(tabCustoUnit[[#This Row],[Código do Posto]],PARAMETROS!$A$4:$BJ$255,8,0)),0)
)</f>
        <v>0</v>
      </c>
      <c r="BE201" s="22">
        <f>tabCustoUnit[[#This Row],[Suspensão Temporária do Contrato de Trabalho]]</f>
        <v>0</v>
      </c>
      <c r="BF201" s="22">
        <f>tabCustoUnit[[#This Row],[Submódulo 4.1]]+tabCustoUnit[[#This Row],[Submódulo 4.2]]+tabCustoUnit[[#This Row],[Submódulo 4.3]]</f>
        <v>9.4372420268569428</v>
      </c>
      <c r="BG201" s="22">
        <f>VLOOKUP(tabCustoUnit[[#This Row],[Código do Posto]],tabParametros[],MATCH(tabCustoUnit[[#Headers],[Uniformes e EPIs]],tabParametros[#Headers],0),0)</f>
        <v>62.806666666666665</v>
      </c>
      <c r="BH201" s="22">
        <f>VLOOKUP(tabCustoUnit[[#This Row],[Código do Posto]],tabParametros[],MATCH(tabCustoUnit[[#Headers],[Materiais de Consumo]],tabParametros[#Headers],0),0)</f>
        <v>12.108481690426325</v>
      </c>
      <c r="BI201" s="22">
        <f>VLOOKUP(tabCustoUnit[[#This Row],[Código do Posto]],tabParametros[],MATCH(tabCustoUnit[[#Headers],[Máquinas e Equipamentos (depreciação)]],tabParametros[#Headers],0),0)</f>
        <v>21.998657016417809</v>
      </c>
      <c r="BJ201" s="22">
        <f>VLOOKUP(tabCustoUnit[[#This Row],[Código do Posto]],tabParametros[],MATCH(tabCustoUnit[[#Headers],[Produtos de Limpeza e Materiais de Higiene Pessoal]],tabParametros[#Headers],0),0)</f>
        <v>235.31984072022155</v>
      </c>
      <c r="BK201" s="22">
        <f>VLOOKUP(tabCustoUnit[[#This Row],[Código do Posto]],tabParametros[],MATCH(tabCustoUnit[[#Headers],[Outros (especificar)]],tabParametros[#Headers],0),0)</f>
        <v>0</v>
      </c>
      <c r="BL201" s="22">
        <f>SUM(tabCustoUnit[[#This Row],[Uniformes e EPIs]:[Outros (especificar)]])</f>
        <v>332.23364609373232</v>
      </c>
      <c r="BM201" s="22">
        <f>tabCustoUnit[[#This Row],[MODULO 1 - REMUNERAÇÃO ]]+tabCustoUnit[[#This Row],[MÓDULO 2 - Total Encargos e Benefícios mensais e diários]]+tabCustoUnit[[#This Row],[MÓDULO 3 – PROVISÃO PARA RESCISÃO]]+tabCustoUnit[[#This Row],[MÓDULO 4 – CUSTO DE REPOSIÇÃO DO PROFISSIONAL AUSENTE]]+tabCustoUnit[[#This Row],[MÓDULO 5 – INSUMOS DIVERSOS]]</f>
        <v>1951.8984999148138</v>
      </c>
      <c r="BN201" s="22">
        <f>VLOOKUP(tabCustoUnit[[#This Row],[Código do Posto]],tabParametros[],MATCH(tabCustoUnit[[#Headers],[Custos Indiretos]],tabParametros[#Headers],0),0)</f>
        <v>189.64880140242613</v>
      </c>
      <c r="BO201" s="22">
        <f>VLOOKUP(tabCustoUnit[[#This Row],[Código do Posto]],tabParametros[],MATCH(tabCustoUnit[[#Headers],[Lucro]],tabParametros[#Headers],0),0)</f>
        <v>159.30499317803796</v>
      </c>
      <c r="BP201" s="26">
        <f>((100/((1-tabCustoUnit[[#This Row],[Resumo de Alíquotas (PIS+CONFINS+ISS)]]))-100)*VLOOKUP(tabCustoUnit[[#This Row],[Código do Posto]],tabParametros[],MATCH(tabCustoUnit[[#Headers],[COFINS]],tabParametros[#Headers],0),0))/(tabCustoUnit[[#This Row],[Resumo de Alíquotas (PIS+CONFINS+ISS)]]*100)</f>
        <v>8.6609686609686695E-2</v>
      </c>
      <c r="BQ201" s="26">
        <f>((100/((100-(tabCustoUnit[[#This Row],[Resumo de Alíquotas (PIS+CONFINS+ISS)]]*100))%)-100)*VLOOKUP(tabCustoUnit[[#This Row],[Código do Posto]],tabParametros[],MATCH(tabCustoUnit[[#Headers],[PIS]],tabParametros[#Headers],0),0))/(tabCustoUnit[[#This Row],[Resumo de Alíquotas (PIS+CONFINS+ISS)]]*100)</f>
        <v>1.880341880341882E-2</v>
      </c>
      <c r="BR201" s="28">
        <f>VLOOKUP(tabCustoUnit[[#This Row],[Código do Posto]],tabParametros[],MATCH(tabCustoUnit[[#Headers],[ISS]],tabParametros[#Headers],0),0)</f>
        <v>0.03</v>
      </c>
      <c r="BS201" s="26">
        <f>(((100/((100-(tabCustoUnit[[#This Row],[Resumo de Alíquotas (PIS+CONFINS+ISS)]]*100))%)-100)*tabCustoUnit[[#This Row],[ISS]])/tabCustoUnit[[#This Row],[Resumo de Alíquotas (PIS+CONFINS+ISS)]])/100</f>
        <v>3.4188034188034219E-2</v>
      </c>
      <c r="BT201" s="26">
        <f>(VLOOKUP(tabCustoUnit[[#This Row],[Código do Posto]],tabParametros[],MATCH(tabCustoUnit[[#Headers],[COFINS]],tabParametros[#Headers],0),0)+
VLOOKUP(tabCustoUnit[[#This Row],[Código do Posto]],tabParametros[],MATCH(tabCustoUnit[[#Headers],[PIS]],tabParametros[#Headers],0),0)+
VLOOKUP(tabCustoUnit[[#This Row],[Código do Posto]],tabParametros[],MATCH(tabCustoUnit[[#Headers],[ISS]],tabParametros[#Headers],0),0))</f>
        <v>0.1225</v>
      </c>
      <c r="BU201" s="138">
        <f>tabCustoUnit[[#This Row],[COFINS]]+tabCustoUnit[[#This Row],[PIS]]+tabCustoUnit[[#This Row],[ISS (Conversão Alíquota s/ fatura)]]</f>
        <v>0.13960113960113973</v>
      </c>
      <c r="BV201" s="22">
        <f>(tabCustoUnit[[#This Row],[TOTAL MÓDULOS 1+2+3+4+5]]+tabCustoUnit[[#This Row],[Custos Indiretos]]+tabCustoUnit[[#This Row],[Lucro]])*tabCustoUnit[[#This Row],[PIS + COFINS + ISS (Total Conversão  Alíquota s/ Fatura)]]</f>
        <v>321.20160236543796</v>
      </c>
      <c r="BW201" s="22">
        <f>tabCustoUnit[[#This Row],[Custos Indiretos]]+tabCustoUnit[[#This Row],[Lucro]]+tabCustoUnit[[#This Row],[Valor dos Tributos (ISS, PIS, CONFINS)]]</f>
        <v>670.15539694590211</v>
      </c>
      <c r="BX201" s="22">
        <f>tabCustoUnit[[#This Row],[TOTAL MÓDULOS 1+2+3+4+5]]+tabCustoUnit[[#This Row],[MÓDULO 6 – CUSTOS INDIRETOS, TRIBUTOS E LUCRO]]</f>
        <v>2622.0538968607161</v>
      </c>
      <c r="BY201" s="22">
        <f>tabCustoUnit[[#This Row],[CUSTO TOTAL MENSAL]]*12</f>
        <v>31464.646762328593</v>
      </c>
      <c r="BZ201" s="24">
        <f>VLOOKUP(tabCustoUnit[[#This Row],[Código do Posto]],tabParametros[],MATCH(tabCustoUnit[[#Headers],[ANO DA CCT]],tabParametros[#Headers],0),0)</f>
        <v>45658</v>
      </c>
      <c r="CA201" s="25" t="str">
        <f>VLOOKUP(tabCustoUnit[[#This Row],[Código do Posto]],tabParametros[],MATCH(tabCustoUnit[[#Headers],[Nº DE PEDIDO DA CCT]],tabParametros[#Headers],0),0)</f>
        <v>-</v>
      </c>
      <c r="CB201" s="25" t="str">
        <f>VLOOKUP(tabCustoUnit[[#This Row],[Código do Posto]],tabParametros[],MATCH(tabCustoUnit[[#Headers],[TERMO ADITIVO ALTERAÇÃO DA CCT]],tabParametros[#Headers],0),0)</f>
        <v>-</v>
      </c>
    </row>
    <row r="202" spans="1:80" x14ac:dyDescent="0.25">
      <c r="A202" s="20" t="s">
        <v>1537</v>
      </c>
      <c r="B202" t="s">
        <v>183</v>
      </c>
      <c r="C202" t="s">
        <v>1247</v>
      </c>
      <c r="D202" t="s">
        <v>1050</v>
      </c>
      <c r="E202" s="20" t="s">
        <v>9</v>
      </c>
      <c r="F202" s="20" t="s">
        <v>10</v>
      </c>
      <c r="G202" s="21">
        <v>544.17999999999995</v>
      </c>
      <c r="H202" s="21">
        <v>0</v>
      </c>
      <c r="I202" s="21">
        <v>0</v>
      </c>
      <c r="J202" s="21">
        <v>0</v>
      </c>
      <c r="K202" s="21">
        <v>0</v>
      </c>
      <c r="L202" s="21">
        <v>0</v>
      </c>
      <c r="M202" s="21">
        <v>0</v>
      </c>
      <c r="N202" s="21">
        <v>19.590499999999999</v>
      </c>
      <c r="O202" s="21">
        <f>SUM(tabCustoUnit[[#This Row],[Salário Base]:[Adicional de Acúmulo de função]])</f>
        <v>563.77049999999997</v>
      </c>
      <c r="P202" s="21">
        <f>tabCustoUnit[[#This Row],[MODULO 1 - REMUNERAÇÃO ]]*SUMIFS(tabParametros[INSS],tabParametros[Código do Posto],tabCustoUnit[[#This Row],[Código do Posto]])</f>
        <v>112.75409999999999</v>
      </c>
      <c r="Q202" s="21">
        <f>tabCustoUnit[[#This Row],[MODULO 1 - REMUNERAÇÃO ]]*SUMIFS(tabParametros[SESI OU SESC],tabParametros[Código do Posto],tabCustoUnit[[#This Row],[Código do Posto]])</f>
        <v>8.4565574999999988</v>
      </c>
      <c r="R202" s="21">
        <f>tabCustoUnit[[#This Row],[MODULO 1 - REMUNERAÇÃO ]]*SUMIFS(tabParametros[SENAI OU SENAC],tabParametros[Código do Posto],tabCustoUnit[[#This Row],[Código do Posto]])</f>
        <v>5.6377049999999995</v>
      </c>
      <c r="S202" s="21">
        <f>tabCustoUnit[[#This Row],[MODULO 1 - REMUNERAÇÃO ]]*SUMIFS(tabParametros[INCRA],tabParametros[Código do Posto],tabCustoUnit[[#This Row],[Código do Posto]])</f>
        <v>1.1275409999999999</v>
      </c>
      <c r="T202" s="21">
        <f>tabCustoUnit[[#This Row],[MODULO 1 - REMUNERAÇÃO ]]*SUMIFS(tabParametros[Salário Educação],tabParametros[Código do Posto],tabCustoUnit[[#This Row],[Código do Posto]])</f>
        <v>14.094262499999999</v>
      </c>
      <c r="U202" s="21">
        <f>tabCustoUnit[[#This Row],[MODULO 1 - REMUNERAÇÃO ]]*SUMIFS(tabParametros[FGTS],tabParametros[Código do Posto],tabCustoUnit[[#This Row],[Código do Posto]])</f>
        <v>45.101639999999996</v>
      </c>
      <c r="V202" s="21">
        <f>tabCustoUnit[[#This Row],[MODULO 1 - REMUNERAÇÃO ]]*SUMIFS(tabParametros[RAT Ajustado],tabParametros[Código do Posto],tabCustoUnit[[#This Row],[Código do Posto]])</f>
        <v>22.550819999999998</v>
      </c>
      <c r="W202" s="21">
        <f>tabCustoUnit[[#This Row],[MODULO 1 - REMUNERAÇÃO ]]*SUMIFS(tabParametros[SEBRAE],tabParametros[Código do Posto],tabCustoUnit[[#This Row],[Código do Posto]])</f>
        <v>3.3826229999999997</v>
      </c>
      <c r="X202" s="21">
        <f>SUM(tabCustoUnit[[#This Row],[INSS]:[SEBRAE]])</f>
        <v>213.10524899999996</v>
      </c>
      <c r="Y202" s="21">
        <f>tabCustoUnit[[#This Row],[MODULO 1 - REMUNERAÇÃO ]]*SUMIFS(tabParametros[13º salário (titular)],tabParametros[Código do Posto],tabCustoUnit[[#This Row],[Código do Posto]])</f>
        <v>46.980874999999997</v>
      </c>
      <c r="Z202" s="21">
        <f>tabCustoUnit[[#This Row],[MODULO 1 - REMUNERAÇÃO ]]*SUMIFS(tabParametros[Férias e Adicional de Férias (titular)],tabParametros[Código do Posto],tabCustoUnit[[#This Row],[Código do Posto]])</f>
        <v>62.641166666666663</v>
      </c>
      <c r="AA202" s="21">
        <f>IFERROR((tabCustoUnit[[#This Row],[Submódulo 2.1]]/tabCustoUnit[[#This Row],[MODULO 1 - REMUNERAÇÃO ]])*SUM(tabCustoUnit[[#This Row],[13º salário (titular)]:[Férias e Adicional de Férias (titular)]]),0)</f>
        <v>41.437131749999992</v>
      </c>
      <c r="AB202" s="21">
        <f>SUM(tabCustoUnit[[#This Row],[13º salário (titular)]:[Incidência do Submódulo 2.1 sobre 13º Salário, Férias e Adicional de Férias]])</f>
        <v>151.05917341666665</v>
      </c>
      <c r="AC202" s="22">
        <f>_xlfn.LET(_xlpm.VT,SUMIF(tabParametros[Código do Posto],tabCustoUnit[[#This Row],[Código do Posto]],tabParametros[Vale - Transporte])*2*20,
IF((_xlpm.VT-tabCustoUnit[[#This Row],[Salário Base]]*0.06)&gt;=0,(_xlpm.VT-tabCustoUnit[[#This Row],[Salário Base]]*0.06),0)
)</f>
        <v>223.3492</v>
      </c>
      <c r="AD202" s="22">
        <f>IF(SUMIF(tabParametros[Código do Posto],tabCustoUnit[[#This Row],[Código do Posto]],tabParametros[Vale - Alimentação])&lt;=0,0,
SUMIF(tabParametros[Código do Posto],tabCustoUnit[[#This Row],[Código do Posto]],tabParametros[Vale - Alimentação])*20-1)</f>
        <v>582</v>
      </c>
      <c r="AE202" s="22">
        <f>SUMIF(tabParametros[Código do Posto],tabCustoUnit[[#This Row],[Código do Posto]],tabParametros[Cesta Básica])</f>
        <v>0</v>
      </c>
      <c r="AF202" s="22">
        <f>SUMIF(tabParametros[Código do Posto],tabCustoUnit[[#This Row],[Código do Posto]],tabParametros[PAF])</f>
        <v>51.86</v>
      </c>
      <c r="AG202" s="22">
        <f>SUMIF(tabParametros[Código do Posto],tabCustoUnit[[#This Row],[Código do Posto]],tabParametros[PQM])</f>
        <v>0</v>
      </c>
      <c r="AH202" s="22">
        <f>SUMIF(tabParametros[Código do Posto],tabCustoUnit[[#This Row],[Código do Posto]],tabParametros[PAT])</f>
        <v>0</v>
      </c>
      <c r="AI202" s="22">
        <f>SUMIF(tabParametros[Código do Posto],tabCustoUnit[[#This Row],[Código do Posto]],tabParametros[Seguro de Vida])</f>
        <v>3.36</v>
      </c>
      <c r="AJ202" s="22">
        <f>SUMIF(tabParametros[Código do Posto],tabCustoUnit[[#This Row],[Código do Posto]],tabParametros[Despesas de Viagem])</f>
        <v>0</v>
      </c>
      <c r="AK202" s="22">
        <f>SUM(tabCustoUnit[[#This Row],[Vale - Transporte (Descontada parcela do empregado)]:[Despesas de Viagem]])</f>
        <v>860.56920000000002</v>
      </c>
      <c r="AL202" s="22">
        <f>tabCustoUnit[[#This Row],[Submódulo 2.1]]+tabCustoUnit[[#This Row],[Submódulo 2.2]]+tabCustoUnit[[#This Row],[Submódulo 2.3]]</f>
        <v>1224.7336224166665</v>
      </c>
      <c r="AM202" s="22">
        <f>SUMIF(tabParametros[Código do Posto],tabCustoUnit[[#This Row],[Código do Posto]],tabParametros[Aviso Prévio Indenizado (API) e Reflexo do Aviso Prévio Indenizado])*tabCustoUnit[[#This Row],[MODULO 1 - REMUNERAÇÃO ]]</f>
        <v>3.9530273735532404</v>
      </c>
      <c r="AN202" s="22">
        <f>SUMIF(tabParametros[Código do Posto],tabCustoUnit[[#This Row],[Código do Posto]],tabParametros[Incidência do FGTS sobre API e Reflexo do API])*tabCustoUnit[[#This Row],[MODULO 1 - REMUNERAÇÃO ]]</f>
        <v>0.31624218988425928</v>
      </c>
      <c r="AO202" s="22">
        <f>SUMIF(tabParametros[Código do Posto],tabCustoUnit[[#This Row],[Código do Posto]],tabParametros[Multa Rescisória do FGTS sobre o Aviso Prévio Indenizado])*tabCustoUnit[[#This Row],[MODULO 1 - REMUNERAÇÃO ]]</f>
        <v>0.12649687595370371</v>
      </c>
      <c r="AP202" s="22">
        <f>SUMIF(tabParametros[Código do Posto],tabCustoUnit[[#This Row],[Código do Posto]],tabParametros[Aviso Prévio Trabalhado - APT])*tabCustoUnit[[#This Row],[MODULO 1 - REMUNERAÇÃO ]]</f>
        <v>1.9731967500000003</v>
      </c>
      <c r="AQ202" s="22">
        <f>SUMIF(tabParametros[Código do Posto],tabCustoUnit[[#This Row],[Código do Posto]],tabParametros[Incidência dos encargos do submódulo 2.1 sobre Aviso Prévio Trabalhado])*tabCustoUnit[[#This Row],[MODULO 1 - REMUNERAÇÃO ]]</f>
        <v>0.74586837150000018</v>
      </c>
      <c r="AR202" s="22">
        <f>SUMIF(tabParametros[Código do Posto],tabCustoUnit[[#This Row],[Código do Posto]],tabParametros[Multa Rescisória do FGTS])*tabCustoUnit[[#This Row],[MODULO 1 - REMUNERAÇÃO ]]</f>
        <v>17.238849066666663</v>
      </c>
      <c r="AS202" s="22">
        <f>SUMIF(tabParametros[Código do Posto],tabCustoUnit[[#This Row],[Código do Posto]],tabParametros[Indenização Adicional (Art. 9º da Lei nº 7.238/84)])*tabCustoUnit[[#This Row],[MODULO 1 - REMUNERAÇÃO ]]</f>
        <v>0.46980875</v>
      </c>
      <c r="AT202" s="22">
        <f>SUM(tabCustoUnit[[#This Row],[Aviso Prévio Indenizado (API) e Reflexo do Aviso Prévio Indenizado]:[Indenização Adicional (Art. 9º da Lei nº 7.238/84)]])</f>
        <v>24.823489377557866</v>
      </c>
      <c r="AU202" s="22">
        <f>SUMIF(tabParametros[Código do Posto],tabCustoUnit[[#This Row],[Código do Posto]],tabParametros[Ausência por Doença])*tabCustoUnit[[#This Row],[MODULO 1 - REMUNERAÇÃO ]]</f>
        <v>4.7607286666666662</v>
      </c>
      <c r="AV202" s="22">
        <f>SUMIF(tabParametros[Código do Posto],tabCustoUnit[[#This Row],[Código do Posto]],tabParametros[Ausências Legais])*tabCustoUnit[[#This Row],[MODULO 1 - REMUNERAÇÃO ]]</f>
        <v>1.1432012916666665</v>
      </c>
      <c r="AW202" s="22">
        <f>SUMIF(tabParametros[Código do Posto],tabCustoUnit[[#This Row],[Código do Posto]],tabParametros[Licença Paternidade])*tabCustoUnit[[#This Row],[MODULO 1 - REMUNERAÇÃO ]]</f>
        <v>9.6310793749999998E-2</v>
      </c>
      <c r="AX202" s="22">
        <f>SUMIF(tabParametros[Código do Posto],tabCustoUnit[[#This Row],[Código do Posto]],tabParametros[Ausência por Acidente de Trabalho])*tabCustoUnit[[#This Row],[MODULO 1 - REMUNERAÇÃO ]]</f>
        <v>0.1174521875</v>
      </c>
      <c r="AY202" s="22">
        <f>SUMIF(tabParametros[Código do Posto],tabCustoUnit[[#This Row],[Código do Posto]],tabParametros[Férias, Adicional de Férias e 13º  com empregada em gozo de Licença Maternidade])*tabCustoUnit[[#This Row],[MODULO 1 - REMUNERAÇÃO ]]</f>
        <v>0.73081361111111109</v>
      </c>
      <c r="AZ202" s="22">
        <f>SUMIF(tabParametros[Código do Posto],tabCustoUnit[[#This Row],[Código do Posto]],tabParametros[Incidência do Submódulo 2.1 sobre Ausências Legais])*tabCustoUnit[[#This Row],[MODULO 1 - REMUNERAÇÃO ]]</f>
        <v>2.5887354761625003</v>
      </c>
      <c r="BA202" s="22">
        <f>SUM(tabCustoUnit[[#This Row],[Ausência por Doença]:[Incidência do Submódulo 2.1 sobre Ausências Legais]])</f>
        <v>9.4372420268569428</v>
      </c>
      <c r="BB202" s="22">
        <f>SUMIF(tabParametros[Código do Posto],tabCustoUnit[[#This Row],[Código do Posto]],tabParametros[Intervalo para Repouso ou Alimentação])</f>
        <v>0</v>
      </c>
      <c r="BC202" s="22">
        <f>tabCustoUnit[[#This Row],[Intervalo para Repouso ou Alimentação]]</f>
        <v>0</v>
      </c>
      <c r="BD202" s="22">
        <f>IF(VLOOKUP(tabCustoUnit[[#This Row],[Código do Posto]],PARAMETROS!$A$4:$BJ$255,7,0)&lt;=0,0,
IFERROR((tabCustoUnit[[#This Row],[MODULO 1 - REMUNERAÇÃO ]]*VLOOKUP(tabCustoUnit[[#This Row],[Código do Posto]],PARAMETROS!$A$4:$BJ$255,49,0))/(VLOOKUP(tabCustoUnit[[#This Row],[Código do Posto]],PARAMETROS!$A$4:$BJ$255,7,0)*VLOOKUP(tabCustoUnit[[#This Row],[Código do Posto]],PARAMETROS!$A$4:$BJ$255,8,0)),0)
)</f>
        <v>0</v>
      </c>
      <c r="BE202" s="22">
        <f>tabCustoUnit[[#This Row],[Suspensão Temporária do Contrato de Trabalho]]</f>
        <v>0</v>
      </c>
      <c r="BF202" s="22">
        <f>tabCustoUnit[[#This Row],[Submódulo 4.1]]+tabCustoUnit[[#This Row],[Submódulo 4.2]]+tabCustoUnit[[#This Row],[Submódulo 4.3]]</f>
        <v>9.4372420268569428</v>
      </c>
      <c r="BG202" s="22">
        <f>VLOOKUP(tabCustoUnit[[#This Row],[Código do Posto]],tabParametros[],MATCH(tabCustoUnit[[#Headers],[Uniformes e EPIs]],tabParametros[#Headers],0),0)</f>
        <v>62.806666666666665</v>
      </c>
      <c r="BH202" s="22">
        <f>VLOOKUP(tabCustoUnit[[#This Row],[Código do Posto]],tabParametros[],MATCH(tabCustoUnit[[#Headers],[Materiais de Consumo]],tabParametros[#Headers],0),0)</f>
        <v>12.108481690426325</v>
      </c>
      <c r="BI202" s="22">
        <f>VLOOKUP(tabCustoUnit[[#This Row],[Código do Posto]],tabParametros[],MATCH(tabCustoUnit[[#Headers],[Máquinas e Equipamentos (depreciação)]],tabParametros[#Headers],0),0)</f>
        <v>21.998657016417809</v>
      </c>
      <c r="BJ202" s="22">
        <f>VLOOKUP(tabCustoUnit[[#This Row],[Código do Posto]],tabParametros[],MATCH(tabCustoUnit[[#Headers],[Produtos de Limpeza e Materiais de Higiene Pessoal]],tabParametros[#Headers],0),0)</f>
        <v>235.31984072022155</v>
      </c>
      <c r="BK202" s="22">
        <f>VLOOKUP(tabCustoUnit[[#This Row],[Código do Posto]],tabParametros[],MATCH(tabCustoUnit[[#Headers],[Outros (especificar)]],tabParametros[#Headers],0),0)</f>
        <v>0</v>
      </c>
      <c r="BL202" s="22">
        <f>SUM(tabCustoUnit[[#This Row],[Uniformes e EPIs]:[Outros (especificar)]])</f>
        <v>332.23364609373232</v>
      </c>
      <c r="BM202" s="22">
        <f>tabCustoUnit[[#This Row],[MODULO 1 - REMUNERAÇÃO ]]+tabCustoUnit[[#This Row],[MÓDULO 2 - Total Encargos e Benefícios mensais e diários]]+tabCustoUnit[[#This Row],[MÓDULO 3 – PROVISÃO PARA RESCISÃO]]+tabCustoUnit[[#This Row],[MÓDULO 4 – CUSTO DE REPOSIÇÃO DO PROFISSIONAL AUSENTE]]+tabCustoUnit[[#This Row],[MÓDULO 5 – INSUMOS DIVERSOS]]</f>
        <v>2154.9984999148137</v>
      </c>
      <c r="BN202" s="22">
        <f>VLOOKUP(tabCustoUnit[[#This Row],[Código do Posto]],tabParametros[],MATCH(tabCustoUnit[[#Headers],[Custos Indiretos]],tabParametros[#Headers],0),0)</f>
        <v>189.64880140242613</v>
      </c>
      <c r="BO202" s="22">
        <f>VLOOKUP(tabCustoUnit[[#This Row],[Código do Posto]],tabParametros[],MATCH(tabCustoUnit[[#Headers],[Lucro]],tabParametros[#Headers],0),0)</f>
        <v>159.30499317803796</v>
      </c>
      <c r="BP202" s="26">
        <f>((100/((1-tabCustoUnit[[#This Row],[Resumo de Alíquotas (PIS+CONFINS+ISS)]]))-100)*VLOOKUP(tabCustoUnit[[#This Row],[Código do Posto]],tabParametros[],MATCH(tabCustoUnit[[#Headers],[COFINS]],tabParametros[#Headers],0),0))/(tabCustoUnit[[#This Row],[Resumo de Alíquotas (PIS+CONFINS+ISS)]]*100)</f>
        <v>8.6609686609686695E-2</v>
      </c>
      <c r="BQ202" s="26">
        <f>((100/((100-(tabCustoUnit[[#This Row],[Resumo de Alíquotas (PIS+CONFINS+ISS)]]*100))%)-100)*VLOOKUP(tabCustoUnit[[#This Row],[Código do Posto]],tabParametros[],MATCH(tabCustoUnit[[#Headers],[PIS]],tabParametros[#Headers],0),0))/(tabCustoUnit[[#This Row],[Resumo de Alíquotas (PIS+CONFINS+ISS)]]*100)</f>
        <v>1.880341880341882E-2</v>
      </c>
      <c r="BR202" s="28">
        <f>VLOOKUP(tabCustoUnit[[#This Row],[Código do Posto]],tabParametros[],MATCH(tabCustoUnit[[#Headers],[ISS]],tabParametros[#Headers],0),0)</f>
        <v>0.03</v>
      </c>
      <c r="BS202" s="26">
        <f>(((100/((100-(tabCustoUnit[[#This Row],[Resumo de Alíquotas (PIS+CONFINS+ISS)]]*100))%)-100)*tabCustoUnit[[#This Row],[ISS]])/tabCustoUnit[[#This Row],[Resumo de Alíquotas (PIS+CONFINS+ISS)]])/100</f>
        <v>3.4188034188034219E-2</v>
      </c>
      <c r="BT202" s="26">
        <f>(VLOOKUP(tabCustoUnit[[#This Row],[Código do Posto]],tabParametros[],MATCH(tabCustoUnit[[#Headers],[COFINS]],tabParametros[#Headers],0),0)+
VLOOKUP(tabCustoUnit[[#This Row],[Código do Posto]],tabParametros[],MATCH(tabCustoUnit[[#Headers],[PIS]],tabParametros[#Headers],0),0)+
VLOOKUP(tabCustoUnit[[#This Row],[Código do Posto]],tabParametros[],MATCH(tabCustoUnit[[#Headers],[ISS]],tabParametros[#Headers],0),0))</f>
        <v>0.1225</v>
      </c>
      <c r="BU202" s="138">
        <f>tabCustoUnit[[#This Row],[COFINS]]+tabCustoUnit[[#This Row],[PIS]]+tabCustoUnit[[#This Row],[ISS (Conversão Alíquota s/ fatura)]]</f>
        <v>0.13960113960113973</v>
      </c>
      <c r="BV202" s="22">
        <f>(tabCustoUnit[[#This Row],[TOTAL MÓDULOS 1+2+3+4+5]]+tabCustoUnit[[#This Row],[Custos Indiretos]]+tabCustoUnit[[#This Row],[Lucro]])*tabCustoUnit[[#This Row],[PIS + COFINS + ISS (Total Conversão  Alíquota s/ Fatura)]]</f>
        <v>349.55459381842945</v>
      </c>
      <c r="BW202" s="22">
        <f>tabCustoUnit[[#This Row],[Custos Indiretos]]+tabCustoUnit[[#This Row],[Lucro]]+tabCustoUnit[[#This Row],[Valor dos Tributos (ISS, PIS, CONFINS)]]</f>
        <v>698.50838839889354</v>
      </c>
      <c r="BX202" s="22">
        <f>tabCustoUnit[[#This Row],[TOTAL MÓDULOS 1+2+3+4+5]]+tabCustoUnit[[#This Row],[MÓDULO 6 – CUSTOS INDIRETOS, TRIBUTOS E LUCRO]]</f>
        <v>2853.5068883137073</v>
      </c>
      <c r="BY202" s="22">
        <f>tabCustoUnit[[#This Row],[CUSTO TOTAL MENSAL]]*12</f>
        <v>34242.082659764492</v>
      </c>
      <c r="BZ202" s="24">
        <f>VLOOKUP(tabCustoUnit[[#This Row],[Código do Posto]],tabParametros[],MATCH(tabCustoUnit[[#Headers],[ANO DA CCT]],tabParametros[#Headers],0),0)</f>
        <v>45658</v>
      </c>
      <c r="CA202" s="25" t="str">
        <f>VLOOKUP(tabCustoUnit[[#This Row],[Código do Posto]],tabParametros[],MATCH(tabCustoUnit[[#Headers],[Nº DE PEDIDO DA CCT]],tabParametros[#Headers],0),0)</f>
        <v>-</v>
      </c>
      <c r="CB202" s="25" t="str">
        <f>VLOOKUP(tabCustoUnit[[#This Row],[Código do Posto]],tabParametros[],MATCH(tabCustoUnit[[#Headers],[TERMO ADITIVO ALTERAÇÃO DA CCT]],tabParametros[#Headers],0),0)</f>
        <v>-</v>
      </c>
    </row>
    <row r="203" spans="1:80" x14ac:dyDescent="0.25">
      <c r="A203" s="20" t="s">
        <v>1538</v>
      </c>
      <c r="B203" t="s">
        <v>184</v>
      </c>
      <c r="C203" t="s">
        <v>1247</v>
      </c>
      <c r="D203" t="s">
        <v>1000</v>
      </c>
      <c r="E203" s="20" t="s">
        <v>9</v>
      </c>
      <c r="F203" s="20" t="s">
        <v>10</v>
      </c>
      <c r="G203" s="21">
        <v>544.17999999999995</v>
      </c>
      <c r="H203" s="21">
        <v>0</v>
      </c>
      <c r="I203" s="21">
        <v>0</v>
      </c>
      <c r="J203" s="21">
        <v>0</v>
      </c>
      <c r="K203" s="21">
        <v>0</v>
      </c>
      <c r="L203" s="21">
        <v>0</v>
      </c>
      <c r="M203" s="21">
        <v>0</v>
      </c>
      <c r="N203" s="21">
        <v>19.590499999999999</v>
      </c>
      <c r="O203" s="21">
        <f>SUM(tabCustoUnit[[#This Row],[Salário Base]:[Adicional de Acúmulo de função]])</f>
        <v>563.77049999999997</v>
      </c>
      <c r="P203" s="21">
        <f>tabCustoUnit[[#This Row],[MODULO 1 - REMUNERAÇÃO ]]*SUMIFS(tabParametros[INSS],tabParametros[Código do Posto],tabCustoUnit[[#This Row],[Código do Posto]])</f>
        <v>112.75409999999999</v>
      </c>
      <c r="Q203" s="21">
        <f>tabCustoUnit[[#This Row],[MODULO 1 - REMUNERAÇÃO ]]*SUMIFS(tabParametros[SESI OU SESC],tabParametros[Código do Posto],tabCustoUnit[[#This Row],[Código do Posto]])</f>
        <v>8.4565574999999988</v>
      </c>
      <c r="R203" s="21">
        <f>tabCustoUnit[[#This Row],[MODULO 1 - REMUNERAÇÃO ]]*SUMIFS(tabParametros[SENAI OU SENAC],tabParametros[Código do Posto],tabCustoUnit[[#This Row],[Código do Posto]])</f>
        <v>5.6377049999999995</v>
      </c>
      <c r="S203" s="21">
        <f>tabCustoUnit[[#This Row],[MODULO 1 - REMUNERAÇÃO ]]*SUMIFS(tabParametros[INCRA],tabParametros[Código do Posto],tabCustoUnit[[#This Row],[Código do Posto]])</f>
        <v>1.1275409999999999</v>
      </c>
      <c r="T203" s="21">
        <f>tabCustoUnit[[#This Row],[MODULO 1 - REMUNERAÇÃO ]]*SUMIFS(tabParametros[Salário Educação],tabParametros[Código do Posto],tabCustoUnit[[#This Row],[Código do Posto]])</f>
        <v>14.094262499999999</v>
      </c>
      <c r="U203" s="21">
        <f>tabCustoUnit[[#This Row],[MODULO 1 - REMUNERAÇÃO ]]*SUMIFS(tabParametros[FGTS],tabParametros[Código do Posto],tabCustoUnit[[#This Row],[Código do Posto]])</f>
        <v>45.101639999999996</v>
      </c>
      <c r="V203" s="21">
        <f>tabCustoUnit[[#This Row],[MODULO 1 - REMUNERAÇÃO ]]*SUMIFS(tabParametros[RAT Ajustado],tabParametros[Código do Posto],tabCustoUnit[[#This Row],[Código do Posto]])</f>
        <v>22.550819999999998</v>
      </c>
      <c r="W203" s="21">
        <f>tabCustoUnit[[#This Row],[MODULO 1 - REMUNERAÇÃO ]]*SUMIFS(tabParametros[SEBRAE],tabParametros[Código do Posto],tabCustoUnit[[#This Row],[Código do Posto]])</f>
        <v>3.3826229999999997</v>
      </c>
      <c r="X203" s="21">
        <f>SUM(tabCustoUnit[[#This Row],[INSS]:[SEBRAE]])</f>
        <v>213.10524899999996</v>
      </c>
      <c r="Y203" s="21">
        <f>tabCustoUnit[[#This Row],[MODULO 1 - REMUNERAÇÃO ]]*SUMIFS(tabParametros[13º salário (titular)],tabParametros[Código do Posto],tabCustoUnit[[#This Row],[Código do Posto]])</f>
        <v>46.980874999999997</v>
      </c>
      <c r="Z203" s="21">
        <f>tabCustoUnit[[#This Row],[MODULO 1 - REMUNERAÇÃO ]]*SUMIFS(tabParametros[Férias e Adicional de Férias (titular)],tabParametros[Código do Posto],tabCustoUnit[[#This Row],[Código do Posto]])</f>
        <v>62.641166666666663</v>
      </c>
      <c r="AA203" s="21">
        <f>IFERROR((tabCustoUnit[[#This Row],[Submódulo 2.1]]/tabCustoUnit[[#This Row],[MODULO 1 - REMUNERAÇÃO ]])*SUM(tabCustoUnit[[#This Row],[13º salário (titular)]:[Férias e Adicional de Férias (titular)]]),0)</f>
        <v>41.437131749999992</v>
      </c>
      <c r="AB203" s="21">
        <f>SUM(tabCustoUnit[[#This Row],[13º salário (titular)]:[Incidência do Submódulo 2.1 sobre 13º Salário, Férias e Adicional de Férias]])</f>
        <v>151.05917341666665</v>
      </c>
      <c r="AC203" s="22">
        <f>_xlfn.LET(_xlpm.VT,SUMIF(tabParametros[Código do Posto],tabCustoUnit[[#This Row],[Código do Posto]],tabParametros[Vale - Transporte])*2*20,
IF((_xlpm.VT-tabCustoUnit[[#This Row],[Salário Base]]*0.06)&gt;=0,(_xlpm.VT-tabCustoUnit[[#This Row],[Salário Base]]*0.06),0)
)</f>
        <v>223.3492</v>
      </c>
      <c r="AD203" s="22">
        <f>IF(SUMIF(tabParametros[Código do Posto],tabCustoUnit[[#This Row],[Código do Posto]],tabParametros[Vale - Alimentação])&lt;=0,0,
SUMIF(tabParametros[Código do Posto],tabCustoUnit[[#This Row],[Código do Posto]],tabParametros[Vale - Alimentação])*20-1)</f>
        <v>582</v>
      </c>
      <c r="AE203" s="22">
        <f>SUMIF(tabParametros[Código do Posto],tabCustoUnit[[#This Row],[Código do Posto]],tabParametros[Cesta Básica])</f>
        <v>0</v>
      </c>
      <c r="AF203" s="22">
        <f>SUMIF(tabParametros[Código do Posto],tabCustoUnit[[#This Row],[Código do Posto]],tabParametros[PAF])</f>
        <v>0</v>
      </c>
      <c r="AG203" s="22">
        <f>SUMIF(tabParametros[Código do Posto],tabCustoUnit[[#This Row],[Código do Posto]],tabParametros[PQM])</f>
        <v>15.07</v>
      </c>
      <c r="AH203" s="22">
        <f>SUMIF(tabParametros[Código do Posto],tabCustoUnit[[#This Row],[Código do Posto]],tabParametros[PAT])</f>
        <v>0</v>
      </c>
      <c r="AI203" s="22">
        <f>SUMIF(tabParametros[Código do Posto],tabCustoUnit[[#This Row],[Código do Posto]],tabParametros[Seguro de Vida])</f>
        <v>3.36</v>
      </c>
      <c r="AJ203" s="22">
        <f>SUMIF(tabParametros[Código do Posto],tabCustoUnit[[#This Row],[Código do Posto]],tabParametros[Despesas de Viagem])</f>
        <v>0</v>
      </c>
      <c r="AK203" s="22">
        <f>SUM(tabCustoUnit[[#This Row],[Vale - Transporte (Descontada parcela do empregado)]:[Despesas de Viagem]])</f>
        <v>823.77920000000006</v>
      </c>
      <c r="AL203" s="22">
        <f>tabCustoUnit[[#This Row],[Submódulo 2.1]]+tabCustoUnit[[#This Row],[Submódulo 2.2]]+tabCustoUnit[[#This Row],[Submódulo 2.3]]</f>
        <v>1187.9436224166666</v>
      </c>
      <c r="AM203" s="22">
        <f>SUMIF(tabParametros[Código do Posto],tabCustoUnit[[#This Row],[Código do Posto]],tabParametros[Aviso Prévio Indenizado (API) e Reflexo do Aviso Prévio Indenizado])*tabCustoUnit[[#This Row],[MODULO 1 - REMUNERAÇÃO ]]</f>
        <v>3.9530273735532404</v>
      </c>
      <c r="AN203" s="22">
        <f>SUMIF(tabParametros[Código do Posto],tabCustoUnit[[#This Row],[Código do Posto]],tabParametros[Incidência do FGTS sobre API e Reflexo do API])*tabCustoUnit[[#This Row],[MODULO 1 - REMUNERAÇÃO ]]</f>
        <v>0.31624218988425928</v>
      </c>
      <c r="AO203" s="22">
        <f>SUMIF(tabParametros[Código do Posto],tabCustoUnit[[#This Row],[Código do Posto]],tabParametros[Multa Rescisória do FGTS sobre o Aviso Prévio Indenizado])*tabCustoUnit[[#This Row],[MODULO 1 - REMUNERAÇÃO ]]</f>
        <v>0.12649687595370371</v>
      </c>
      <c r="AP203" s="22">
        <f>SUMIF(tabParametros[Código do Posto],tabCustoUnit[[#This Row],[Código do Posto]],tabParametros[Aviso Prévio Trabalhado - APT])*tabCustoUnit[[#This Row],[MODULO 1 - REMUNERAÇÃO ]]</f>
        <v>1.9731967500000003</v>
      </c>
      <c r="AQ203" s="22">
        <f>SUMIF(tabParametros[Código do Posto],tabCustoUnit[[#This Row],[Código do Posto]],tabParametros[Incidência dos encargos do submódulo 2.1 sobre Aviso Prévio Trabalhado])*tabCustoUnit[[#This Row],[MODULO 1 - REMUNERAÇÃO ]]</f>
        <v>0.74586837150000018</v>
      </c>
      <c r="AR203" s="22">
        <f>SUMIF(tabParametros[Código do Posto],tabCustoUnit[[#This Row],[Código do Posto]],tabParametros[Multa Rescisória do FGTS])*tabCustoUnit[[#This Row],[MODULO 1 - REMUNERAÇÃO ]]</f>
        <v>17.238849066666663</v>
      </c>
      <c r="AS203" s="22">
        <f>SUMIF(tabParametros[Código do Posto],tabCustoUnit[[#This Row],[Código do Posto]],tabParametros[Indenização Adicional (Art. 9º da Lei nº 7.238/84)])*tabCustoUnit[[#This Row],[MODULO 1 - REMUNERAÇÃO ]]</f>
        <v>0.46980875</v>
      </c>
      <c r="AT203" s="22">
        <f>SUM(tabCustoUnit[[#This Row],[Aviso Prévio Indenizado (API) e Reflexo do Aviso Prévio Indenizado]:[Indenização Adicional (Art. 9º da Lei nº 7.238/84)]])</f>
        <v>24.823489377557866</v>
      </c>
      <c r="AU203" s="22">
        <f>SUMIF(tabParametros[Código do Posto],tabCustoUnit[[#This Row],[Código do Posto]],tabParametros[Ausência por Doença])*tabCustoUnit[[#This Row],[MODULO 1 - REMUNERAÇÃO ]]</f>
        <v>4.7607286666666662</v>
      </c>
      <c r="AV203" s="22">
        <f>SUMIF(tabParametros[Código do Posto],tabCustoUnit[[#This Row],[Código do Posto]],tabParametros[Ausências Legais])*tabCustoUnit[[#This Row],[MODULO 1 - REMUNERAÇÃO ]]</f>
        <v>1.1432012916666665</v>
      </c>
      <c r="AW203" s="22">
        <f>SUMIF(tabParametros[Código do Posto],tabCustoUnit[[#This Row],[Código do Posto]],tabParametros[Licença Paternidade])*tabCustoUnit[[#This Row],[MODULO 1 - REMUNERAÇÃO ]]</f>
        <v>9.6310793749999998E-2</v>
      </c>
      <c r="AX203" s="22">
        <f>SUMIF(tabParametros[Código do Posto],tabCustoUnit[[#This Row],[Código do Posto]],tabParametros[Ausência por Acidente de Trabalho])*tabCustoUnit[[#This Row],[MODULO 1 - REMUNERAÇÃO ]]</f>
        <v>0.1174521875</v>
      </c>
      <c r="AY203" s="22">
        <f>SUMIF(tabParametros[Código do Posto],tabCustoUnit[[#This Row],[Código do Posto]],tabParametros[Férias, Adicional de Férias e 13º  com empregada em gozo de Licença Maternidade])*tabCustoUnit[[#This Row],[MODULO 1 - REMUNERAÇÃO ]]</f>
        <v>0.73081361111111109</v>
      </c>
      <c r="AZ203" s="22">
        <f>SUMIF(tabParametros[Código do Posto],tabCustoUnit[[#This Row],[Código do Posto]],tabParametros[Incidência do Submódulo 2.1 sobre Ausências Legais])*tabCustoUnit[[#This Row],[MODULO 1 - REMUNERAÇÃO ]]</f>
        <v>2.5887354761625003</v>
      </c>
      <c r="BA203" s="22">
        <f>SUM(tabCustoUnit[[#This Row],[Ausência por Doença]:[Incidência do Submódulo 2.1 sobre Ausências Legais]])</f>
        <v>9.4372420268569428</v>
      </c>
      <c r="BB203" s="22">
        <f>SUMIF(tabParametros[Código do Posto],tabCustoUnit[[#This Row],[Código do Posto]],tabParametros[Intervalo para Repouso ou Alimentação])</f>
        <v>0</v>
      </c>
      <c r="BC203" s="22">
        <f>tabCustoUnit[[#This Row],[Intervalo para Repouso ou Alimentação]]</f>
        <v>0</v>
      </c>
      <c r="BD203" s="22">
        <f>IF(VLOOKUP(tabCustoUnit[[#This Row],[Código do Posto]],PARAMETROS!$A$4:$BJ$255,7,0)&lt;=0,0,
IFERROR((tabCustoUnit[[#This Row],[MODULO 1 - REMUNERAÇÃO ]]*VLOOKUP(tabCustoUnit[[#This Row],[Código do Posto]],PARAMETROS!$A$4:$BJ$255,49,0))/(VLOOKUP(tabCustoUnit[[#This Row],[Código do Posto]],PARAMETROS!$A$4:$BJ$255,7,0)*VLOOKUP(tabCustoUnit[[#This Row],[Código do Posto]],PARAMETROS!$A$4:$BJ$255,8,0)),0)
)</f>
        <v>0</v>
      </c>
      <c r="BE203" s="22">
        <f>tabCustoUnit[[#This Row],[Suspensão Temporária do Contrato de Trabalho]]</f>
        <v>0</v>
      </c>
      <c r="BF203" s="22">
        <f>tabCustoUnit[[#This Row],[Submódulo 4.1]]+tabCustoUnit[[#This Row],[Submódulo 4.2]]+tabCustoUnit[[#This Row],[Submódulo 4.3]]</f>
        <v>9.4372420268569428</v>
      </c>
      <c r="BG203" s="22">
        <f>VLOOKUP(tabCustoUnit[[#This Row],[Código do Posto]],tabParametros[],MATCH(tabCustoUnit[[#Headers],[Uniformes e EPIs]],tabParametros[#Headers],0),0)</f>
        <v>62.806666666666665</v>
      </c>
      <c r="BH203" s="22">
        <f>VLOOKUP(tabCustoUnit[[#This Row],[Código do Posto]],tabParametros[],MATCH(tabCustoUnit[[#Headers],[Materiais de Consumo]],tabParametros[#Headers],0),0)</f>
        <v>12.108481690426325</v>
      </c>
      <c r="BI203" s="22">
        <f>VLOOKUP(tabCustoUnit[[#This Row],[Código do Posto]],tabParametros[],MATCH(tabCustoUnit[[#Headers],[Máquinas e Equipamentos (depreciação)]],tabParametros[#Headers],0),0)</f>
        <v>21.998657016417809</v>
      </c>
      <c r="BJ203" s="22">
        <f>VLOOKUP(tabCustoUnit[[#This Row],[Código do Posto]],tabParametros[],MATCH(tabCustoUnit[[#Headers],[Produtos de Limpeza e Materiais de Higiene Pessoal]],tabParametros[#Headers],0),0)</f>
        <v>235.31984072022155</v>
      </c>
      <c r="BK203" s="22">
        <f>VLOOKUP(tabCustoUnit[[#This Row],[Código do Posto]],tabParametros[],MATCH(tabCustoUnit[[#Headers],[Outros (especificar)]],tabParametros[#Headers],0),0)</f>
        <v>0</v>
      </c>
      <c r="BL203" s="22">
        <f>SUM(tabCustoUnit[[#This Row],[Uniformes e EPIs]:[Outros (especificar)]])</f>
        <v>332.23364609373232</v>
      </c>
      <c r="BM203" s="22">
        <f>tabCustoUnit[[#This Row],[MODULO 1 - REMUNERAÇÃO ]]+tabCustoUnit[[#This Row],[MÓDULO 2 - Total Encargos e Benefícios mensais e diários]]+tabCustoUnit[[#This Row],[MÓDULO 3 – PROVISÃO PARA RESCISÃO]]+tabCustoUnit[[#This Row],[MÓDULO 4 – CUSTO DE REPOSIÇÃO DO PROFISSIONAL AUSENTE]]+tabCustoUnit[[#This Row],[MÓDULO 5 – INSUMOS DIVERSOS]]</f>
        <v>2118.2084999148137</v>
      </c>
      <c r="BN203" s="22">
        <f>VLOOKUP(tabCustoUnit[[#This Row],[Código do Posto]],tabParametros[],MATCH(tabCustoUnit[[#Headers],[Custos Indiretos]],tabParametros[#Headers],0),0)</f>
        <v>189.64880140242613</v>
      </c>
      <c r="BO203" s="22">
        <f>VLOOKUP(tabCustoUnit[[#This Row],[Código do Posto]],tabParametros[],MATCH(tabCustoUnit[[#Headers],[Lucro]],tabParametros[#Headers],0),0)</f>
        <v>159.30499317803796</v>
      </c>
      <c r="BP203" s="26">
        <f>((100/((1-tabCustoUnit[[#This Row],[Resumo de Alíquotas (PIS+CONFINS+ISS)]]))-100)*VLOOKUP(tabCustoUnit[[#This Row],[Código do Posto]],tabParametros[],MATCH(tabCustoUnit[[#Headers],[COFINS]],tabParametros[#Headers],0),0))/(tabCustoUnit[[#This Row],[Resumo de Alíquotas (PIS+CONFINS+ISS)]]*100)</f>
        <v>8.8629737609329504E-2</v>
      </c>
      <c r="BQ203" s="26">
        <f>((100/((100-(tabCustoUnit[[#This Row],[Resumo de Alíquotas (PIS+CONFINS+ISS)]]*100))%)-100)*VLOOKUP(tabCustoUnit[[#This Row],[Código do Posto]],tabParametros[],MATCH(tabCustoUnit[[#Headers],[PIS]],tabParametros[#Headers],0),0))/(tabCustoUnit[[#This Row],[Resumo de Alíquotas (PIS+CONFINS+ISS)]]*100)</f>
        <v>1.9241982507288629E-2</v>
      </c>
      <c r="BR203" s="28">
        <f>VLOOKUP(tabCustoUnit[[#This Row],[Código do Posto]],tabParametros[],MATCH(tabCustoUnit[[#Headers],[ISS]],tabParametros[#Headers],0),0)</f>
        <v>0.05</v>
      </c>
      <c r="BS203" s="26">
        <f>(((100/((100-(tabCustoUnit[[#This Row],[Resumo de Alíquotas (PIS+CONFINS+ISS)]]*100))%)-100)*tabCustoUnit[[#This Row],[ISS]])/tabCustoUnit[[#This Row],[Resumo de Alíquotas (PIS+CONFINS+ISS)]])/100</f>
        <v>5.8309037900874633E-2</v>
      </c>
      <c r="BT203" s="26">
        <f>(VLOOKUP(tabCustoUnit[[#This Row],[Código do Posto]],tabParametros[],MATCH(tabCustoUnit[[#Headers],[COFINS]],tabParametros[#Headers],0),0)+
VLOOKUP(tabCustoUnit[[#This Row],[Código do Posto]],tabParametros[],MATCH(tabCustoUnit[[#Headers],[PIS]],tabParametros[#Headers],0),0)+
VLOOKUP(tabCustoUnit[[#This Row],[Código do Posto]],tabParametros[],MATCH(tabCustoUnit[[#Headers],[ISS]],tabParametros[#Headers],0),0))</f>
        <v>0.14250000000000002</v>
      </c>
      <c r="BU203" s="138">
        <f>tabCustoUnit[[#This Row],[COFINS]]+tabCustoUnit[[#This Row],[PIS]]+tabCustoUnit[[#This Row],[ISS (Conversão Alíquota s/ fatura)]]</f>
        <v>0.16618075801749277</v>
      </c>
      <c r="BV203" s="22">
        <f>(tabCustoUnit[[#This Row],[TOTAL MÓDULOS 1+2+3+4+5]]+tabCustoUnit[[#This Row],[Custos Indiretos]]+tabCustoUnit[[#This Row],[Lucro]])*tabCustoUnit[[#This Row],[PIS + COFINS + ISS (Total Conversão  Alíquota s/ Fatura)]]</f>
        <v>409.99490025140199</v>
      </c>
      <c r="BW203" s="22">
        <f>tabCustoUnit[[#This Row],[Custos Indiretos]]+tabCustoUnit[[#This Row],[Lucro]]+tabCustoUnit[[#This Row],[Valor dos Tributos (ISS, PIS, CONFINS)]]</f>
        <v>758.94869483186608</v>
      </c>
      <c r="BX203" s="22">
        <f>tabCustoUnit[[#This Row],[TOTAL MÓDULOS 1+2+3+4+5]]+tabCustoUnit[[#This Row],[MÓDULO 6 – CUSTOS INDIRETOS, TRIBUTOS E LUCRO]]</f>
        <v>2877.15719474668</v>
      </c>
      <c r="BY203" s="22">
        <f>tabCustoUnit[[#This Row],[CUSTO TOTAL MENSAL]]*12</f>
        <v>34525.88633696016</v>
      </c>
      <c r="BZ203" s="24">
        <f>VLOOKUP(tabCustoUnit[[#This Row],[Código do Posto]],tabParametros[],MATCH(tabCustoUnit[[#Headers],[ANO DA CCT]],tabParametros[#Headers],0),0)</f>
        <v>45658</v>
      </c>
      <c r="CA203" s="25" t="str">
        <f>VLOOKUP(tabCustoUnit[[#This Row],[Código do Posto]],tabParametros[],MATCH(tabCustoUnit[[#Headers],[Nº DE PEDIDO DA CCT]],tabParametros[#Headers],0),0)</f>
        <v>-</v>
      </c>
      <c r="CB203" s="25" t="str">
        <f>VLOOKUP(tabCustoUnit[[#This Row],[Código do Posto]],tabParametros[],MATCH(tabCustoUnit[[#Headers],[TERMO ADITIVO ALTERAÇÃO DA CCT]],tabParametros[#Headers],0),0)</f>
        <v>-</v>
      </c>
    </row>
    <row r="204" spans="1:80" x14ac:dyDescent="0.25">
      <c r="A204" s="20" t="s">
        <v>1539</v>
      </c>
      <c r="B204" t="s">
        <v>185</v>
      </c>
      <c r="C204" t="s">
        <v>1244</v>
      </c>
      <c r="D204" t="s">
        <v>1045</v>
      </c>
      <c r="E204" s="20" t="s">
        <v>9</v>
      </c>
      <c r="F204" s="20" t="s">
        <v>10</v>
      </c>
      <c r="G204" s="21">
        <v>824.56</v>
      </c>
      <c r="H204" s="21">
        <v>0</v>
      </c>
      <c r="I204" s="21">
        <v>0</v>
      </c>
      <c r="J204" s="21">
        <v>0</v>
      </c>
      <c r="K204" s="21">
        <v>0</v>
      </c>
      <c r="L204" s="21">
        <v>0</v>
      </c>
      <c r="M204" s="21">
        <v>0</v>
      </c>
      <c r="N204" s="21">
        <v>26.985600000000002</v>
      </c>
      <c r="O204" s="21">
        <f>SUM(tabCustoUnit[[#This Row],[Salário Base]:[Adicional de Acúmulo de função]])</f>
        <v>851.54559999999992</v>
      </c>
      <c r="P204" s="21">
        <f>tabCustoUnit[[#This Row],[MODULO 1 - REMUNERAÇÃO ]]*SUMIFS(tabParametros[INSS],tabParametros[Código do Posto],tabCustoUnit[[#This Row],[Código do Posto]])</f>
        <v>170.30912000000001</v>
      </c>
      <c r="Q204" s="21">
        <f>tabCustoUnit[[#This Row],[MODULO 1 - REMUNERAÇÃO ]]*SUMIFS(tabParametros[SESI OU SESC],tabParametros[Código do Posto],tabCustoUnit[[#This Row],[Código do Posto]])</f>
        <v>12.773183999999999</v>
      </c>
      <c r="R204" s="21">
        <f>tabCustoUnit[[#This Row],[MODULO 1 - REMUNERAÇÃO ]]*SUMIFS(tabParametros[SENAI OU SENAC],tabParametros[Código do Posto],tabCustoUnit[[#This Row],[Código do Posto]])</f>
        <v>8.5154559999999986</v>
      </c>
      <c r="S204" s="21">
        <f>tabCustoUnit[[#This Row],[MODULO 1 - REMUNERAÇÃO ]]*SUMIFS(tabParametros[INCRA],tabParametros[Código do Posto],tabCustoUnit[[#This Row],[Código do Posto]])</f>
        <v>1.7030911999999998</v>
      </c>
      <c r="T204" s="21">
        <f>tabCustoUnit[[#This Row],[MODULO 1 - REMUNERAÇÃO ]]*SUMIFS(tabParametros[Salário Educação],tabParametros[Código do Posto],tabCustoUnit[[#This Row],[Código do Posto]])</f>
        <v>21.288640000000001</v>
      </c>
      <c r="U204" s="21">
        <f>tabCustoUnit[[#This Row],[MODULO 1 - REMUNERAÇÃO ]]*SUMIFS(tabParametros[FGTS],tabParametros[Código do Posto],tabCustoUnit[[#This Row],[Código do Posto]])</f>
        <v>68.123647999999989</v>
      </c>
      <c r="V204" s="21">
        <f>tabCustoUnit[[#This Row],[MODULO 1 - REMUNERAÇÃO ]]*SUMIFS(tabParametros[RAT Ajustado],tabParametros[Código do Posto],tabCustoUnit[[#This Row],[Código do Posto]])</f>
        <v>34.061823999999994</v>
      </c>
      <c r="W204" s="21">
        <f>tabCustoUnit[[#This Row],[MODULO 1 - REMUNERAÇÃO ]]*SUMIFS(tabParametros[SEBRAE],tabParametros[Código do Posto],tabCustoUnit[[#This Row],[Código do Posto]])</f>
        <v>5.1092735999999999</v>
      </c>
      <c r="X204" s="21">
        <f>SUM(tabCustoUnit[[#This Row],[INSS]:[SEBRAE]])</f>
        <v>321.8842368</v>
      </c>
      <c r="Y204" s="21">
        <f>tabCustoUnit[[#This Row],[MODULO 1 - REMUNERAÇÃO ]]*SUMIFS(tabParametros[13º salário (titular)],tabParametros[Código do Posto],tabCustoUnit[[#This Row],[Código do Posto]])</f>
        <v>70.962133333333327</v>
      </c>
      <c r="Z204" s="21">
        <f>tabCustoUnit[[#This Row],[MODULO 1 - REMUNERAÇÃO ]]*SUMIFS(tabParametros[Férias e Adicional de Férias (titular)],tabParametros[Código do Posto],tabCustoUnit[[#This Row],[Código do Posto]])</f>
        <v>94.616177777777764</v>
      </c>
      <c r="AA204" s="21">
        <f>IFERROR((tabCustoUnit[[#This Row],[Submódulo 2.1]]/tabCustoUnit[[#This Row],[MODULO 1 - REMUNERAÇÃO ]])*SUM(tabCustoUnit[[#This Row],[13º salário (titular)]:[Férias e Adicional de Férias (titular)]]),0)</f>
        <v>62.588601599999997</v>
      </c>
      <c r="AB204" s="21">
        <f>SUM(tabCustoUnit[[#This Row],[13º salário (titular)]:[Incidência do Submódulo 2.1 sobre 13º Salário, Férias e Adicional de Férias]])</f>
        <v>228.16691271111108</v>
      </c>
      <c r="AC204" s="22">
        <f>_xlfn.LET(_xlpm.VT,SUMIF(tabParametros[Código do Posto],tabCustoUnit[[#This Row],[Código do Posto]],tabParametros[Vale - Transporte])*2*20,
IF((_xlpm.VT-tabCustoUnit[[#This Row],[Salário Base]]*0.06)&gt;=0,(_xlpm.VT-tabCustoUnit[[#This Row],[Salário Base]]*0.06),0)
)</f>
        <v>206.5264</v>
      </c>
      <c r="AD204" s="22">
        <f>IF(SUMIF(tabParametros[Código do Posto],tabCustoUnit[[#This Row],[Código do Posto]],tabParametros[Vale - Alimentação])&lt;=0,0,
SUMIF(tabParametros[Código do Posto],tabCustoUnit[[#This Row],[Código do Posto]],tabParametros[Vale - Alimentação])*20-1)</f>
        <v>582</v>
      </c>
      <c r="AE204" s="22">
        <f>SUMIF(tabParametros[Código do Posto],tabCustoUnit[[#This Row],[Código do Posto]],tabParametros[Cesta Básica])</f>
        <v>0</v>
      </c>
      <c r="AF204" s="22">
        <f>SUMIF(tabParametros[Código do Posto],tabCustoUnit[[#This Row],[Código do Posto]],tabParametros[PAF])</f>
        <v>77.25</v>
      </c>
      <c r="AG204" s="22">
        <f>SUMIF(tabParametros[Código do Posto],tabCustoUnit[[#This Row],[Código do Posto]],tabParametros[PQM])</f>
        <v>0</v>
      </c>
      <c r="AH204" s="22">
        <f>SUMIF(tabParametros[Código do Posto],tabCustoUnit[[#This Row],[Código do Posto]],tabParametros[PAT])</f>
        <v>0</v>
      </c>
      <c r="AI204" s="22">
        <f>SUMIF(tabParametros[Código do Posto],tabCustoUnit[[#This Row],[Código do Posto]],tabParametros[Seguro de Vida])</f>
        <v>3.36</v>
      </c>
      <c r="AJ204" s="22">
        <f>SUMIF(tabParametros[Código do Posto],tabCustoUnit[[#This Row],[Código do Posto]],tabParametros[Despesas de Viagem])</f>
        <v>0</v>
      </c>
      <c r="AK204" s="22">
        <f>SUM(tabCustoUnit[[#This Row],[Vale - Transporte (Descontada parcela do empregado)]:[Despesas de Viagem]])</f>
        <v>869.13639999999998</v>
      </c>
      <c r="AL204" s="22">
        <f>tabCustoUnit[[#This Row],[Submódulo 2.1]]+tabCustoUnit[[#This Row],[Submódulo 2.2]]+tabCustoUnit[[#This Row],[Submódulo 2.3]]</f>
        <v>1419.1875495111112</v>
      </c>
      <c r="AM204" s="22">
        <f>SUMIF(tabParametros[Código do Posto],tabCustoUnit[[#This Row],[Código do Posto]],tabParametros[Aviso Prévio Indenizado (API) e Reflexo do Aviso Prévio Indenizado])*tabCustoUnit[[#This Row],[MODULO 1 - REMUNERAÇÃO ]]</f>
        <v>5.970839316049382</v>
      </c>
      <c r="AN204" s="22">
        <f>SUMIF(tabParametros[Código do Posto],tabCustoUnit[[#This Row],[Código do Posto]],tabParametros[Incidência do FGTS sobre API e Reflexo do API])*tabCustoUnit[[#This Row],[MODULO 1 - REMUNERAÇÃO ]]</f>
        <v>0.4776671452839506</v>
      </c>
      <c r="AO204" s="22">
        <f>SUMIF(tabParametros[Código do Posto],tabCustoUnit[[#This Row],[Código do Posto]],tabParametros[Multa Rescisória do FGTS sobre o Aviso Prévio Indenizado])*tabCustoUnit[[#This Row],[MODULO 1 - REMUNERAÇÃO ]]</f>
        <v>0.19106685811358026</v>
      </c>
      <c r="AP204" s="22">
        <f>SUMIF(tabParametros[Código do Posto],tabCustoUnit[[#This Row],[Código do Posto]],tabParametros[Aviso Prévio Trabalhado - APT])*tabCustoUnit[[#This Row],[MODULO 1 - REMUNERAÇÃO ]]</f>
        <v>2.9804096000000002</v>
      </c>
      <c r="AQ204" s="22">
        <f>SUMIF(tabParametros[Código do Posto],tabCustoUnit[[#This Row],[Código do Posto]],tabParametros[Incidência dos encargos do submódulo 2.1 sobre Aviso Prévio Trabalhado])*tabCustoUnit[[#This Row],[MODULO 1 - REMUNERAÇÃO ]]</f>
        <v>1.1265948288000003</v>
      </c>
      <c r="AR204" s="22">
        <f>SUMIF(tabParametros[Código do Posto],tabCustoUnit[[#This Row],[Código do Posto]],tabParametros[Multa Rescisória do FGTS])*tabCustoUnit[[#This Row],[MODULO 1 - REMUNERAÇÃO ]]</f>
        <v>26.038372124444439</v>
      </c>
      <c r="AS204" s="22">
        <f>SUMIF(tabParametros[Código do Posto],tabCustoUnit[[#This Row],[Código do Posto]],tabParametros[Indenização Adicional (Art. 9º da Lei nº 7.238/84)])*tabCustoUnit[[#This Row],[MODULO 1 - REMUNERAÇÃO ]]</f>
        <v>0.70962133333333333</v>
      </c>
      <c r="AT204" s="22">
        <f>SUM(tabCustoUnit[[#This Row],[Aviso Prévio Indenizado (API) e Reflexo do Aviso Prévio Indenizado]:[Indenização Adicional (Art. 9º da Lei nº 7.238/84)]])</f>
        <v>37.494571206024688</v>
      </c>
      <c r="AU204" s="22">
        <f>SUMIF(tabParametros[Código do Posto],tabCustoUnit[[#This Row],[Código do Posto]],tabParametros[Ausência por Doença])*tabCustoUnit[[#This Row],[MODULO 1 - REMUNERAÇÃO ]]</f>
        <v>7.1908295111111098</v>
      </c>
      <c r="AV204" s="22">
        <f>SUMIF(tabParametros[Código do Posto],tabCustoUnit[[#This Row],[Código do Posto]],tabParametros[Ausências Legais])*tabCustoUnit[[#This Row],[MODULO 1 - REMUNERAÇÃO ]]</f>
        <v>1.7267452444444442</v>
      </c>
      <c r="AW204" s="22">
        <f>SUMIF(tabParametros[Código do Posto],tabCustoUnit[[#This Row],[Código do Posto]],tabParametros[Licença Paternidade])*tabCustoUnit[[#This Row],[MODULO 1 - REMUNERAÇÃO ]]</f>
        <v>0.14547237333333332</v>
      </c>
      <c r="AX204" s="22">
        <f>SUMIF(tabParametros[Código do Posto],tabCustoUnit[[#This Row],[Código do Posto]],tabParametros[Ausência por Acidente de Trabalho])*tabCustoUnit[[#This Row],[MODULO 1 - REMUNERAÇÃO ]]</f>
        <v>0.17740533333333333</v>
      </c>
      <c r="AY204" s="22">
        <f>SUMIF(tabParametros[Código do Posto],tabCustoUnit[[#This Row],[Código do Posto]],tabParametros[Férias, Adicional de Férias e 13º  com empregada em gozo de Licença Maternidade])*tabCustoUnit[[#This Row],[MODULO 1 - REMUNERAÇÃO ]]</f>
        <v>1.1038554074074072</v>
      </c>
      <c r="AZ204" s="22">
        <f>SUMIF(tabParametros[Código do Posto],tabCustoUnit[[#This Row],[Código do Posto]],tabParametros[Incidência do Submódulo 2.1 sobre Ausências Legais])*tabCustoUnit[[#This Row],[MODULO 1 - REMUNERAÇÃO ]]</f>
        <v>3.9101483747200003</v>
      </c>
      <c r="BA204" s="22">
        <f>SUM(tabCustoUnit[[#This Row],[Ausência por Doença]:[Incidência do Submódulo 2.1 sobre Ausências Legais]])</f>
        <v>14.254456244349628</v>
      </c>
      <c r="BB204" s="22">
        <f>SUMIF(tabParametros[Código do Posto],tabCustoUnit[[#This Row],[Código do Posto]],tabParametros[Intervalo para Repouso ou Alimentação])</f>
        <v>0</v>
      </c>
      <c r="BC204" s="22">
        <f>tabCustoUnit[[#This Row],[Intervalo para Repouso ou Alimentação]]</f>
        <v>0</v>
      </c>
      <c r="BD204" s="22">
        <f>IF(VLOOKUP(tabCustoUnit[[#This Row],[Código do Posto]],PARAMETROS!$A$4:$BJ$255,7,0)&lt;=0,0,
IFERROR((tabCustoUnit[[#This Row],[MODULO 1 - REMUNERAÇÃO ]]*VLOOKUP(tabCustoUnit[[#This Row],[Código do Posto]],PARAMETROS!$A$4:$BJ$255,49,0))/(VLOOKUP(tabCustoUnit[[#This Row],[Código do Posto]],PARAMETROS!$A$4:$BJ$255,7,0)*VLOOKUP(tabCustoUnit[[#This Row],[Código do Posto]],PARAMETROS!$A$4:$BJ$255,8,0)),0)
)</f>
        <v>0</v>
      </c>
      <c r="BE204" s="22">
        <f>tabCustoUnit[[#This Row],[Suspensão Temporária do Contrato de Trabalho]]</f>
        <v>0</v>
      </c>
      <c r="BF204" s="22">
        <f>tabCustoUnit[[#This Row],[Submódulo 4.1]]+tabCustoUnit[[#This Row],[Submódulo 4.2]]+tabCustoUnit[[#This Row],[Submódulo 4.3]]</f>
        <v>14.254456244349628</v>
      </c>
      <c r="BG204" s="22">
        <f>VLOOKUP(tabCustoUnit[[#This Row],[Código do Posto]],tabParametros[],MATCH(tabCustoUnit[[#Headers],[Uniformes e EPIs]],tabParametros[#Headers],0),0)</f>
        <v>62.806666666666665</v>
      </c>
      <c r="BH204" s="22">
        <f>VLOOKUP(tabCustoUnit[[#This Row],[Código do Posto]],tabParametros[],MATCH(tabCustoUnit[[#Headers],[Materiais de Consumo]],tabParametros[#Headers],0),0)</f>
        <v>17.759106479291944</v>
      </c>
      <c r="BI204" s="22">
        <f>VLOOKUP(tabCustoUnit[[#This Row],[Código do Posto]],tabParametros[],MATCH(tabCustoUnit[[#Headers],[Máquinas e Equipamentos (depreciação)]],tabParametros[#Headers],0),0)</f>
        <v>32.264696957412788</v>
      </c>
      <c r="BJ204" s="22">
        <f>VLOOKUP(tabCustoUnit[[#This Row],[Código do Posto]],tabParametros[],MATCH(tabCustoUnit[[#Headers],[Produtos de Limpeza e Materiais de Higiene Pessoal]],tabParametros[#Headers],0),0)</f>
        <v>345.13576638965827</v>
      </c>
      <c r="BK204" s="22">
        <f>VLOOKUP(tabCustoUnit[[#This Row],[Código do Posto]],tabParametros[],MATCH(tabCustoUnit[[#Headers],[Outros (especificar)]],tabParametros[#Headers],0),0)</f>
        <v>0</v>
      </c>
      <c r="BL204" s="22">
        <f>SUM(tabCustoUnit[[#This Row],[Uniformes e EPIs]:[Outros (especificar)]])</f>
        <v>457.96623649302967</v>
      </c>
      <c r="BM204" s="22">
        <f>tabCustoUnit[[#This Row],[MODULO 1 - REMUNERAÇÃO ]]+tabCustoUnit[[#This Row],[MÓDULO 2 - Total Encargos e Benefícios mensais e diários]]+tabCustoUnit[[#This Row],[MÓDULO 3 – PROVISÃO PARA RESCISÃO]]+tabCustoUnit[[#This Row],[MÓDULO 4 – CUSTO DE REPOSIÇÃO DO PROFISSIONAL AUSENTE]]+tabCustoUnit[[#This Row],[MÓDULO 5 – INSUMOS DIVERSOS]]</f>
        <v>2780.448413454515</v>
      </c>
      <c r="BN204" s="22">
        <f>VLOOKUP(tabCustoUnit[[#This Row],[Código do Posto]],tabParametros[],MATCH(tabCustoUnit[[#Headers],[Custos Indiretos]],tabParametros[#Headers],0),0)</f>
        <v>189.64880140242613</v>
      </c>
      <c r="BO204" s="22">
        <f>VLOOKUP(tabCustoUnit[[#This Row],[Código do Posto]],tabParametros[],MATCH(tabCustoUnit[[#Headers],[Lucro]],tabParametros[#Headers],0),0)</f>
        <v>159.30499317803796</v>
      </c>
      <c r="BP204" s="26">
        <f>((100/((1-tabCustoUnit[[#This Row],[Resumo de Alíquotas (PIS+CONFINS+ISS)]]))-100)*VLOOKUP(tabCustoUnit[[#This Row],[Código do Posto]],tabParametros[],MATCH(tabCustoUnit[[#Headers],[COFINS]],tabParametros[#Headers],0),0))/(tabCustoUnit[[#This Row],[Resumo de Alíquotas (PIS+CONFINS+ISS)]]*100)</f>
        <v>8.8629737609329504E-2</v>
      </c>
      <c r="BQ204" s="26">
        <f>((100/((100-(tabCustoUnit[[#This Row],[Resumo de Alíquotas (PIS+CONFINS+ISS)]]*100))%)-100)*VLOOKUP(tabCustoUnit[[#This Row],[Código do Posto]],tabParametros[],MATCH(tabCustoUnit[[#Headers],[PIS]],tabParametros[#Headers],0),0))/(tabCustoUnit[[#This Row],[Resumo de Alíquotas (PIS+CONFINS+ISS)]]*100)</f>
        <v>1.9241982507288629E-2</v>
      </c>
      <c r="BR204" s="28">
        <f>VLOOKUP(tabCustoUnit[[#This Row],[Código do Posto]],tabParametros[],MATCH(tabCustoUnit[[#Headers],[ISS]],tabParametros[#Headers],0),0)</f>
        <v>0.05</v>
      </c>
      <c r="BS204" s="26">
        <f>(((100/((100-(tabCustoUnit[[#This Row],[Resumo de Alíquotas (PIS+CONFINS+ISS)]]*100))%)-100)*tabCustoUnit[[#This Row],[ISS]])/tabCustoUnit[[#This Row],[Resumo de Alíquotas (PIS+CONFINS+ISS)]])/100</f>
        <v>5.8309037900874633E-2</v>
      </c>
      <c r="BT204" s="26">
        <f>(VLOOKUP(tabCustoUnit[[#This Row],[Código do Posto]],tabParametros[],MATCH(tabCustoUnit[[#Headers],[COFINS]],tabParametros[#Headers],0),0)+
VLOOKUP(tabCustoUnit[[#This Row],[Código do Posto]],tabParametros[],MATCH(tabCustoUnit[[#Headers],[PIS]],tabParametros[#Headers],0),0)+
VLOOKUP(tabCustoUnit[[#This Row],[Código do Posto]],tabParametros[],MATCH(tabCustoUnit[[#Headers],[ISS]],tabParametros[#Headers],0),0))</f>
        <v>0.14250000000000002</v>
      </c>
      <c r="BU204" s="138">
        <f>tabCustoUnit[[#This Row],[COFINS]]+tabCustoUnit[[#This Row],[PIS]]+tabCustoUnit[[#This Row],[ISS (Conversão Alíquota s/ fatura)]]</f>
        <v>0.16618075801749277</v>
      </c>
      <c r="BV204" s="22">
        <f>(tabCustoUnit[[#This Row],[TOTAL MÓDULOS 1+2+3+4+5]]+tabCustoUnit[[#This Row],[Custos Indiretos]]+tabCustoUnit[[#This Row],[Lucro]])*tabCustoUnit[[#This Row],[PIS + COFINS + ISS (Total Conversão  Alíquota s/ Fatura)]]</f>
        <v>520.04643107286847</v>
      </c>
      <c r="BW204" s="22">
        <f>tabCustoUnit[[#This Row],[Custos Indiretos]]+tabCustoUnit[[#This Row],[Lucro]]+tabCustoUnit[[#This Row],[Valor dos Tributos (ISS, PIS, CONFINS)]]</f>
        <v>869.00022565333256</v>
      </c>
      <c r="BX204" s="22">
        <f>tabCustoUnit[[#This Row],[TOTAL MÓDULOS 1+2+3+4+5]]+tabCustoUnit[[#This Row],[MÓDULO 6 – CUSTOS INDIRETOS, TRIBUTOS E LUCRO]]</f>
        <v>3649.4486391078476</v>
      </c>
      <c r="BY204" s="22">
        <f>tabCustoUnit[[#This Row],[CUSTO TOTAL MENSAL]]*12</f>
        <v>43793.38366929417</v>
      </c>
      <c r="BZ204" s="24">
        <f>VLOOKUP(tabCustoUnit[[#This Row],[Código do Posto]],tabParametros[],MATCH(tabCustoUnit[[#Headers],[ANO DA CCT]],tabParametros[#Headers],0),0)</f>
        <v>45658</v>
      </c>
      <c r="CA204" s="25" t="str">
        <f>VLOOKUP(tabCustoUnit[[#This Row],[Código do Posto]],tabParametros[],MATCH(tabCustoUnit[[#Headers],[Nº DE PEDIDO DA CCT]],tabParametros[#Headers],0),0)</f>
        <v>-</v>
      </c>
      <c r="CB204" s="25" t="str">
        <f>VLOOKUP(tabCustoUnit[[#This Row],[Código do Posto]],tabParametros[],MATCH(tabCustoUnit[[#Headers],[TERMO ADITIVO ALTERAÇÃO DA CCT]],tabParametros[#Headers],0),0)</f>
        <v>-</v>
      </c>
    </row>
    <row r="205" spans="1:80" x14ac:dyDescent="0.25">
      <c r="A205" s="20" t="s">
        <v>1540</v>
      </c>
      <c r="B205" t="s">
        <v>185</v>
      </c>
      <c r="C205" t="s">
        <v>1245</v>
      </c>
      <c r="D205" t="s">
        <v>1045</v>
      </c>
      <c r="E205" s="20" t="s">
        <v>9</v>
      </c>
      <c r="F205" s="20" t="s">
        <v>10</v>
      </c>
      <c r="G205" s="21">
        <v>1649.12</v>
      </c>
      <c r="H205" s="21">
        <v>0</v>
      </c>
      <c r="I205" s="21">
        <v>0</v>
      </c>
      <c r="J205" s="21">
        <v>0</v>
      </c>
      <c r="K205" s="21">
        <v>0</v>
      </c>
      <c r="L205" s="21">
        <v>0</v>
      </c>
      <c r="M205" s="21">
        <v>0</v>
      </c>
      <c r="N205" s="21">
        <v>53.971200000000003</v>
      </c>
      <c r="O205" s="21">
        <f>SUM(tabCustoUnit[[#This Row],[Salário Base]:[Adicional de Acúmulo de função]])</f>
        <v>1703.0911999999998</v>
      </c>
      <c r="P205" s="21">
        <f>tabCustoUnit[[#This Row],[MODULO 1 - REMUNERAÇÃO ]]*SUMIFS(tabParametros[INSS],tabParametros[Código do Posto],tabCustoUnit[[#This Row],[Código do Posto]])</f>
        <v>340.61824000000001</v>
      </c>
      <c r="Q205" s="21">
        <f>tabCustoUnit[[#This Row],[MODULO 1 - REMUNERAÇÃO ]]*SUMIFS(tabParametros[SESI OU SESC],tabParametros[Código do Posto],tabCustoUnit[[#This Row],[Código do Posto]])</f>
        <v>25.546367999999998</v>
      </c>
      <c r="R205" s="21">
        <f>tabCustoUnit[[#This Row],[MODULO 1 - REMUNERAÇÃO ]]*SUMIFS(tabParametros[SENAI OU SENAC],tabParametros[Código do Posto],tabCustoUnit[[#This Row],[Código do Posto]])</f>
        <v>17.030911999999997</v>
      </c>
      <c r="S205" s="21">
        <f>tabCustoUnit[[#This Row],[MODULO 1 - REMUNERAÇÃO ]]*SUMIFS(tabParametros[INCRA],tabParametros[Código do Posto],tabCustoUnit[[#This Row],[Código do Posto]])</f>
        <v>3.4061823999999996</v>
      </c>
      <c r="T205" s="21">
        <f>tabCustoUnit[[#This Row],[MODULO 1 - REMUNERAÇÃO ]]*SUMIFS(tabParametros[Salário Educação],tabParametros[Código do Posto],tabCustoUnit[[#This Row],[Código do Posto]])</f>
        <v>42.577280000000002</v>
      </c>
      <c r="U205" s="21">
        <f>tabCustoUnit[[#This Row],[MODULO 1 - REMUNERAÇÃO ]]*SUMIFS(tabParametros[FGTS],tabParametros[Código do Posto],tabCustoUnit[[#This Row],[Código do Posto]])</f>
        <v>136.24729599999998</v>
      </c>
      <c r="V205" s="21">
        <f>tabCustoUnit[[#This Row],[MODULO 1 - REMUNERAÇÃO ]]*SUMIFS(tabParametros[RAT Ajustado],tabParametros[Código do Posto],tabCustoUnit[[#This Row],[Código do Posto]])</f>
        <v>68.123647999999989</v>
      </c>
      <c r="W205" s="21">
        <f>tabCustoUnit[[#This Row],[MODULO 1 - REMUNERAÇÃO ]]*SUMIFS(tabParametros[SEBRAE],tabParametros[Código do Posto],tabCustoUnit[[#This Row],[Código do Posto]])</f>
        <v>10.2185472</v>
      </c>
      <c r="X205" s="21">
        <f>SUM(tabCustoUnit[[#This Row],[INSS]:[SEBRAE]])</f>
        <v>643.76847359999999</v>
      </c>
      <c r="Y205" s="21">
        <f>tabCustoUnit[[#This Row],[MODULO 1 - REMUNERAÇÃO ]]*SUMIFS(tabParametros[13º salário (titular)],tabParametros[Código do Posto],tabCustoUnit[[#This Row],[Código do Posto]])</f>
        <v>141.92426666666665</v>
      </c>
      <c r="Z205" s="21">
        <f>tabCustoUnit[[#This Row],[MODULO 1 - REMUNERAÇÃO ]]*SUMIFS(tabParametros[Férias e Adicional de Férias (titular)],tabParametros[Código do Posto],tabCustoUnit[[#This Row],[Código do Posto]])</f>
        <v>189.23235555555553</v>
      </c>
      <c r="AA205" s="21">
        <f>IFERROR((tabCustoUnit[[#This Row],[Submódulo 2.1]]/tabCustoUnit[[#This Row],[MODULO 1 - REMUNERAÇÃO ]])*SUM(tabCustoUnit[[#This Row],[13º salário (titular)]:[Férias e Adicional de Férias (titular)]]),0)</f>
        <v>125.17720319999999</v>
      </c>
      <c r="AB205" s="21">
        <f>SUM(tabCustoUnit[[#This Row],[13º salário (titular)]:[Incidência do Submódulo 2.1 sobre 13º Salário, Férias e Adicional de Férias]])</f>
        <v>456.33382542222216</v>
      </c>
      <c r="AC205" s="22">
        <f>_xlfn.LET(_xlpm.VT,SUMIF(tabParametros[Código do Posto],tabCustoUnit[[#This Row],[Código do Posto]],tabParametros[Vale - Transporte])*2*20,
IF((_xlpm.VT-tabCustoUnit[[#This Row],[Salário Base]]*0.06)&gt;=0,(_xlpm.VT-tabCustoUnit[[#This Row],[Salário Base]]*0.06),0)
)</f>
        <v>157.05279999999999</v>
      </c>
      <c r="AD205" s="22">
        <f>IF(SUMIF(tabParametros[Código do Posto],tabCustoUnit[[#This Row],[Código do Posto]],tabParametros[Vale - Alimentação])&lt;=0,0,
SUMIF(tabParametros[Código do Posto],tabCustoUnit[[#This Row],[Código do Posto]],tabParametros[Vale - Alimentação])*20-1)</f>
        <v>582</v>
      </c>
      <c r="AE205" s="22">
        <f>SUMIF(tabParametros[Código do Posto],tabCustoUnit[[#This Row],[Código do Posto]],tabParametros[Cesta Básica])</f>
        <v>0</v>
      </c>
      <c r="AF205" s="22">
        <f>SUMIF(tabParametros[Código do Posto],tabCustoUnit[[#This Row],[Código do Posto]],tabParametros[PAF])</f>
        <v>77.25</v>
      </c>
      <c r="AG205" s="22">
        <f>SUMIF(tabParametros[Código do Posto],tabCustoUnit[[#This Row],[Código do Posto]],tabParametros[PQM])</f>
        <v>0</v>
      </c>
      <c r="AH205" s="22">
        <f>SUMIF(tabParametros[Código do Posto],tabCustoUnit[[#This Row],[Código do Posto]],tabParametros[PAT])</f>
        <v>0</v>
      </c>
      <c r="AI205" s="22">
        <f>SUMIF(tabParametros[Código do Posto],tabCustoUnit[[#This Row],[Código do Posto]],tabParametros[Seguro de Vida])</f>
        <v>3.36</v>
      </c>
      <c r="AJ205" s="22">
        <f>SUMIF(tabParametros[Código do Posto],tabCustoUnit[[#This Row],[Código do Posto]],tabParametros[Despesas de Viagem])</f>
        <v>0</v>
      </c>
      <c r="AK205" s="22">
        <f>SUM(tabCustoUnit[[#This Row],[Vale - Transporte (Descontada parcela do empregado)]:[Despesas de Viagem]])</f>
        <v>819.66279999999995</v>
      </c>
      <c r="AL205" s="22">
        <f>tabCustoUnit[[#This Row],[Submódulo 2.1]]+tabCustoUnit[[#This Row],[Submódulo 2.2]]+tabCustoUnit[[#This Row],[Submódulo 2.3]]</f>
        <v>1919.7650990222223</v>
      </c>
      <c r="AM205" s="22">
        <f>SUMIF(tabParametros[Código do Posto],tabCustoUnit[[#This Row],[Código do Posto]],tabParametros[Aviso Prévio Indenizado (API) e Reflexo do Aviso Prévio Indenizado])*tabCustoUnit[[#This Row],[MODULO 1 - REMUNERAÇÃO ]]</f>
        <v>11.941678632098764</v>
      </c>
      <c r="AN205" s="22">
        <f>SUMIF(tabParametros[Código do Posto],tabCustoUnit[[#This Row],[Código do Posto]],tabParametros[Incidência do FGTS sobre API e Reflexo do API])*tabCustoUnit[[#This Row],[MODULO 1 - REMUNERAÇÃO ]]</f>
        <v>0.9553342905679012</v>
      </c>
      <c r="AO205" s="22">
        <f>SUMIF(tabParametros[Código do Posto],tabCustoUnit[[#This Row],[Código do Posto]],tabParametros[Multa Rescisória do FGTS sobre o Aviso Prévio Indenizado])*tabCustoUnit[[#This Row],[MODULO 1 - REMUNERAÇÃO ]]</f>
        <v>0.38213371622716052</v>
      </c>
      <c r="AP205" s="22">
        <f>SUMIF(tabParametros[Código do Posto],tabCustoUnit[[#This Row],[Código do Posto]],tabParametros[Aviso Prévio Trabalhado - APT])*tabCustoUnit[[#This Row],[MODULO 1 - REMUNERAÇÃO ]]</f>
        <v>5.9608192000000004</v>
      </c>
      <c r="AQ205" s="22">
        <f>SUMIF(tabParametros[Código do Posto],tabCustoUnit[[#This Row],[Código do Posto]],tabParametros[Incidência dos encargos do submódulo 2.1 sobre Aviso Prévio Trabalhado])*tabCustoUnit[[#This Row],[MODULO 1 - REMUNERAÇÃO ]]</f>
        <v>2.2531896576000006</v>
      </c>
      <c r="AR205" s="22">
        <f>SUMIF(tabParametros[Código do Posto],tabCustoUnit[[#This Row],[Código do Posto]],tabParametros[Multa Rescisória do FGTS])*tabCustoUnit[[#This Row],[MODULO 1 - REMUNERAÇÃO ]]</f>
        <v>52.076744248888879</v>
      </c>
      <c r="AS205" s="22">
        <f>SUMIF(tabParametros[Código do Posto],tabCustoUnit[[#This Row],[Código do Posto]],tabParametros[Indenização Adicional (Art. 9º da Lei nº 7.238/84)])*tabCustoUnit[[#This Row],[MODULO 1 - REMUNERAÇÃO ]]</f>
        <v>1.4192426666666667</v>
      </c>
      <c r="AT205" s="22">
        <f>SUM(tabCustoUnit[[#This Row],[Aviso Prévio Indenizado (API) e Reflexo do Aviso Prévio Indenizado]:[Indenização Adicional (Art. 9º da Lei nº 7.238/84)]])</f>
        <v>74.989142412049375</v>
      </c>
      <c r="AU205" s="22">
        <f>SUMIF(tabParametros[Código do Posto],tabCustoUnit[[#This Row],[Código do Posto]],tabParametros[Ausência por Doença])*tabCustoUnit[[#This Row],[MODULO 1 - REMUNERAÇÃO ]]</f>
        <v>14.38165902222222</v>
      </c>
      <c r="AV205" s="22">
        <f>SUMIF(tabParametros[Código do Posto],tabCustoUnit[[#This Row],[Código do Posto]],tabParametros[Ausências Legais])*tabCustoUnit[[#This Row],[MODULO 1 - REMUNERAÇÃO ]]</f>
        <v>3.4534904888888884</v>
      </c>
      <c r="AW205" s="22">
        <f>SUMIF(tabParametros[Código do Posto],tabCustoUnit[[#This Row],[Código do Posto]],tabParametros[Licença Paternidade])*tabCustoUnit[[#This Row],[MODULO 1 - REMUNERAÇÃO ]]</f>
        <v>0.29094474666666664</v>
      </c>
      <c r="AX205" s="22">
        <f>SUMIF(tabParametros[Código do Posto],tabCustoUnit[[#This Row],[Código do Posto]],tabParametros[Ausência por Acidente de Trabalho])*tabCustoUnit[[#This Row],[MODULO 1 - REMUNERAÇÃO ]]</f>
        <v>0.35481066666666666</v>
      </c>
      <c r="AY205" s="22">
        <f>SUMIF(tabParametros[Código do Posto],tabCustoUnit[[#This Row],[Código do Posto]],tabParametros[Férias, Adicional de Férias e 13º  com empregada em gozo de Licença Maternidade])*tabCustoUnit[[#This Row],[MODULO 1 - REMUNERAÇÃO ]]</f>
        <v>2.2077108148148143</v>
      </c>
      <c r="AZ205" s="22">
        <f>SUMIF(tabParametros[Código do Posto],tabCustoUnit[[#This Row],[Código do Posto]],tabParametros[Incidência do Submódulo 2.1 sobre Ausências Legais])*tabCustoUnit[[#This Row],[MODULO 1 - REMUNERAÇÃO ]]</f>
        <v>7.8202967494400006</v>
      </c>
      <c r="BA205" s="22">
        <f>SUM(tabCustoUnit[[#This Row],[Ausência por Doença]:[Incidência do Submódulo 2.1 sobre Ausências Legais]])</f>
        <v>28.508912488699256</v>
      </c>
      <c r="BB205" s="22">
        <f>SUMIF(tabParametros[Código do Posto],tabCustoUnit[[#This Row],[Código do Posto]],tabParametros[Intervalo para Repouso ou Alimentação])</f>
        <v>0</v>
      </c>
      <c r="BC205" s="22">
        <f>tabCustoUnit[[#This Row],[Intervalo para Repouso ou Alimentação]]</f>
        <v>0</v>
      </c>
      <c r="BD205" s="22">
        <f>IF(VLOOKUP(tabCustoUnit[[#This Row],[Código do Posto]],PARAMETROS!$A$4:$BJ$255,7,0)&lt;=0,0,
IFERROR((tabCustoUnit[[#This Row],[MODULO 1 - REMUNERAÇÃO ]]*VLOOKUP(tabCustoUnit[[#This Row],[Código do Posto]],PARAMETROS!$A$4:$BJ$255,49,0))/(VLOOKUP(tabCustoUnit[[#This Row],[Código do Posto]],PARAMETROS!$A$4:$BJ$255,7,0)*VLOOKUP(tabCustoUnit[[#This Row],[Código do Posto]],PARAMETROS!$A$4:$BJ$255,8,0)),0)
)</f>
        <v>0</v>
      </c>
      <c r="BE205" s="22">
        <f>tabCustoUnit[[#This Row],[Suspensão Temporária do Contrato de Trabalho]]</f>
        <v>0</v>
      </c>
      <c r="BF205" s="22">
        <f>tabCustoUnit[[#This Row],[Submódulo 4.1]]+tabCustoUnit[[#This Row],[Submódulo 4.2]]+tabCustoUnit[[#This Row],[Submódulo 4.3]]</f>
        <v>28.508912488699256</v>
      </c>
      <c r="BG205" s="22">
        <f>VLOOKUP(tabCustoUnit[[#This Row],[Código do Posto]],tabParametros[],MATCH(tabCustoUnit[[#Headers],[Uniformes e EPIs]],tabParametros[#Headers],0),0)</f>
        <v>100.80916666666666</v>
      </c>
      <c r="BH205" s="22">
        <f>VLOOKUP(tabCustoUnit[[#This Row],[Código do Posto]],tabParametros[],MATCH(tabCustoUnit[[#Headers],[Materiais de Consumo]],tabParametros[#Headers],0),0)</f>
        <v>35.518212958583888</v>
      </c>
      <c r="BI205" s="22">
        <f>VLOOKUP(tabCustoUnit[[#This Row],[Código do Posto]],tabParametros[],MATCH(tabCustoUnit[[#Headers],[Máquinas e Equipamentos (depreciação)]],tabParametros[#Headers],0),0)</f>
        <v>64.529393914825576</v>
      </c>
      <c r="BJ205" s="22">
        <f>VLOOKUP(tabCustoUnit[[#This Row],[Código do Posto]],tabParametros[],MATCH(tabCustoUnit[[#Headers],[Produtos de Limpeza e Materiais de Higiene Pessoal]],tabParametros[#Headers],0),0)</f>
        <v>690.27153277931654</v>
      </c>
      <c r="BK205" s="22">
        <f>VLOOKUP(tabCustoUnit[[#This Row],[Código do Posto]],tabParametros[],MATCH(tabCustoUnit[[#Headers],[Outros (especificar)]],tabParametros[#Headers],0),0)</f>
        <v>0</v>
      </c>
      <c r="BL205" s="22">
        <f>SUM(tabCustoUnit[[#This Row],[Uniformes e EPIs]:[Outros (especificar)]])</f>
        <v>891.12830631939266</v>
      </c>
      <c r="BM205" s="22">
        <f>tabCustoUnit[[#This Row],[MODULO 1 - REMUNERAÇÃO ]]+tabCustoUnit[[#This Row],[MÓDULO 2 - Total Encargos e Benefícios mensais e diários]]+tabCustoUnit[[#This Row],[MÓDULO 3 – PROVISÃO PARA RESCISÃO]]+tabCustoUnit[[#This Row],[MÓDULO 4 – CUSTO DE REPOSIÇÃO DO PROFISSIONAL AUSENTE]]+tabCustoUnit[[#This Row],[MÓDULO 5 – INSUMOS DIVERSOS]]</f>
        <v>4617.4826602423636</v>
      </c>
      <c r="BN205" s="22">
        <f>VLOOKUP(tabCustoUnit[[#This Row],[Código do Posto]],tabParametros[],MATCH(tabCustoUnit[[#Headers],[Custos Indiretos]],tabParametros[#Headers],0),0)</f>
        <v>189.64880140242613</v>
      </c>
      <c r="BO205" s="22">
        <f>VLOOKUP(tabCustoUnit[[#This Row],[Código do Posto]],tabParametros[],MATCH(tabCustoUnit[[#Headers],[Lucro]],tabParametros[#Headers],0),0)</f>
        <v>159.30499317803796</v>
      </c>
      <c r="BP205" s="26">
        <f>((100/((1-tabCustoUnit[[#This Row],[Resumo de Alíquotas (PIS+CONFINS+ISS)]]))-100)*VLOOKUP(tabCustoUnit[[#This Row],[Código do Posto]],tabParametros[],MATCH(tabCustoUnit[[#Headers],[COFINS]],tabParametros[#Headers],0),0))/(tabCustoUnit[[#This Row],[Resumo de Alíquotas (PIS+CONFINS+ISS)]]*100)</f>
        <v>8.8629737609329504E-2</v>
      </c>
      <c r="BQ205" s="26">
        <f>((100/((100-(tabCustoUnit[[#This Row],[Resumo de Alíquotas (PIS+CONFINS+ISS)]]*100))%)-100)*VLOOKUP(tabCustoUnit[[#This Row],[Código do Posto]],tabParametros[],MATCH(tabCustoUnit[[#Headers],[PIS]],tabParametros[#Headers],0),0))/(tabCustoUnit[[#This Row],[Resumo de Alíquotas (PIS+CONFINS+ISS)]]*100)</f>
        <v>1.9241982507288629E-2</v>
      </c>
      <c r="BR205" s="28">
        <f>VLOOKUP(tabCustoUnit[[#This Row],[Código do Posto]],tabParametros[],MATCH(tabCustoUnit[[#Headers],[ISS]],tabParametros[#Headers],0),0)</f>
        <v>0.05</v>
      </c>
      <c r="BS205" s="26">
        <f>(((100/((100-(tabCustoUnit[[#This Row],[Resumo de Alíquotas (PIS+CONFINS+ISS)]]*100))%)-100)*tabCustoUnit[[#This Row],[ISS]])/tabCustoUnit[[#This Row],[Resumo de Alíquotas (PIS+CONFINS+ISS)]])/100</f>
        <v>5.8309037900874633E-2</v>
      </c>
      <c r="BT205" s="26">
        <f>(VLOOKUP(tabCustoUnit[[#This Row],[Código do Posto]],tabParametros[],MATCH(tabCustoUnit[[#Headers],[COFINS]],tabParametros[#Headers],0),0)+
VLOOKUP(tabCustoUnit[[#This Row],[Código do Posto]],tabParametros[],MATCH(tabCustoUnit[[#Headers],[PIS]],tabParametros[#Headers],0),0)+
VLOOKUP(tabCustoUnit[[#This Row],[Código do Posto]],tabParametros[],MATCH(tabCustoUnit[[#Headers],[ISS]],tabParametros[#Headers],0),0))</f>
        <v>0.14250000000000002</v>
      </c>
      <c r="BU205" s="138">
        <f>tabCustoUnit[[#This Row],[COFINS]]+tabCustoUnit[[#This Row],[PIS]]+tabCustoUnit[[#This Row],[ISS (Conversão Alíquota s/ fatura)]]</f>
        <v>0.16618075801749277</v>
      </c>
      <c r="BV205" s="22">
        <f>(tabCustoUnit[[#This Row],[TOTAL MÓDULOS 1+2+3+4+5]]+tabCustoUnit[[#This Row],[Custos Indiretos]]+tabCustoUnit[[#This Row],[Lucro]])*tabCustoUnit[[#This Row],[PIS + COFINS + ISS (Total Conversão  Alíquota s/ Fatura)]]</f>
        <v>825.32617470816695</v>
      </c>
      <c r="BW205" s="22">
        <f>tabCustoUnit[[#This Row],[Custos Indiretos]]+tabCustoUnit[[#This Row],[Lucro]]+tabCustoUnit[[#This Row],[Valor dos Tributos (ISS, PIS, CONFINS)]]</f>
        <v>1174.279969288631</v>
      </c>
      <c r="BX205" s="22">
        <f>tabCustoUnit[[#This Row],[TOTAL MÓDULOS 1+2+3+4+5]]+tabCustoUnit[[#This Row],[MÓDULO 6 – CUSTOS INDIRETOS, TRIBUTOS E LUCRO]]</f>
        <v>5791.7626295309947</v>
      </c>
      <c r="BY205" s="22">
        <f>tabCustoUnit[[#This Row],[CUSTO TOTAL MENSAL]]*12</f>
        <v>69501.151554371929</v>
      </c>
      <c r="BZ205" s="24">
        <f>VLOOKUP(tabCustoUnit[[#This Row],[Código do Posto]],tabParametros[],MATCH(tabCustoUnit[[#Headers],[ANO DA CCT]],tabParametros[#Headers],0),0)</f>
        <v>45658</v>
      </c>
      <c r="CA205" s="25" t="str">
        <f>VLOOKUP(tabCustoUnit[[#This Row],[Código do Posto]],tabParametros[],MATCH(tabCustoUnit[[#Headers],[Nº DE PEDIDO DA CCT]],tabParametros[#Headers],0),0)</f>
        <v>-</v>
      </c>
      <c r="CB205" s="25" t="str">
        <f>VLOOKUP(tabCustoUnit[[#This Row],[Código do Posto]],tabParametros[],MATCH(tabCustoUnit[[#Headers],[TERMO ADITIVO ALTERAÇÃO DA CCT]],tabParametros[#Headers],0),0)</f>
        <v>-</v>
      </c>
    </row>
    <row r="206" spans="1:80" x14ac:dyDescent="0.25">
      <c r="A206" s="20" t="s">
        <v>1541</v>
      </c>
      <c r="B206" t="s">
        <v>186</v>
      </c>
      <c r="C206" t="s">
        <v>1247</v>
      </c>
      <c r="D206" t="s">
        <v>1020</v>
      </c>
      <c r="E206" s="20" t="s">
        <v>9</v>
      </c>
      <c r="F206" s="20" t="s">
        <v>10</v>
      </c>
      <c r="G206" s="21">
        <v>544.17999999999995</v>
      </c>
      <c r="H206" s="21">
        <v>0</v>
      </c>
      <c r="I206" s="21">
        <v>0</v>
      </c>
      <c r="J206" s="21">
        <v>0</v>
      </c>
      <c r="K206" s="21">
        <v>0</v>
      </c>
      <c r="L206" s="21">
        <v>0</v>
      </c>
      <c r="M206" s="21">
        <v>0</v>
      </c>
      <c r="N206" s="21">
        <v>19.590499999999999</v>
      </c>
      <c r="O206" s="21">
        <f>SUM(tabCustoUnit[[#This Row],[Salário Base]:[Adicional de Acúmulo de função]])</f>
        <v>563.77049999999997</v>
      </c>
      <c r="P206" s="21">
        <f>tabCustoUnit[[#This Row],[MODULO 1 - REMUNERAÇÃO ]]*SUMIFS(tabParametros[INSS],tabParametros[Código do Posto],tabCustoUnit[[#This Row],[Código do Posto]])</f>
        <v>112.75409999999999</v>
      </c>
      <c r="Q206" s="21">
        <f>tabCustoUnit[[#This Row],[MODULO 1 - REMUNERAÇÃO ]]*SUMIFS(tabParametros[SESI OU SESC],tabParametros[Código do Posto],tabCustoUnit[[#This Row],[Código do Posto]])</f>
        <v>8.4565574999999988</v>
      </c>
      <c r="R206" s="21">
        <f>tabCustoUnit[[#This Row],[MODULO 1 - REMUNERAÇÃO ]]*SUMIFS(tabParametros[SENAI OU SENAC],tabParametros[Código do Posto],tabCustoUnit[[#This Row],[Código do Posto]])</f>
        <v>5.6377049999999995</v>
      </c>
      <c r="S206" s="21">
        <f>tabCustoUnit[[#This Row],[MODULO 1 - REMUNERAÇÃO ]]*SUMIFS(tabParametros[INCRA],tabParametros[Código do Posto],tabCustoUnit[[#This Row],[Código do Posto]])</f>
        <v>1.1275409999999999</v>
      </c>
      <c r="T206" s="21">
        <f>tabCustoUnit[[#This Row],[MODULO 1 - REMUNERAÇÃO ]]*SUMIFS(tabParametros[Salário Educação],tabParametros[Código do Posto],tabCustoUnit[[#This Row],[Código do Posto]])</f>
        <v>14.094262499999999</v>
      </c>
      <c r="U206" s="21">
        <f>tabCustoUnit[[#This Row],[MODULO 1 - REMUNERAÇÃO ]]*SUMIFS(tabParametros[FGTS],tabParametros[Código do Posto],tabCustoUnit[[#This Row],[Código do Posto]])</f>
        <v>45.101639999999996</v>
      </c>
      <c r="V206" s="21">
        <f>tabCustoUnit[[#This Row],[MODULO 1 - REMUNERAÇÃO ]]*SUMIFS(tabParametros[RAT Ajustado],tabParametros[Código do Posto],tabCustoUnit[[#This Row],[Código do Posto]])</f>
        <v>22.550819999999998</v>
      </c>
      <c r="W206" s="21">
        <f>tabCustoUnit[[#This Row],[MODULO 1 - REMUNERAÇÃO ]]*SUMIFS(tabParametros[SEBRAE],tabParametros[Código do Posto],tabCustoUnit[[#This Row],[Código do Posto]])</f>
        <v>3.3826229999999997</v>
      </c>
      <c r="X206" s="21">
        <f>SUM(tabCustoUnit[[#This Row],[INSS]:[SEBRAE]])</f>
        <v>213.10524899999996</v>
      </c>
      <c r="Y206" s="21">
        <f>tabCustoUnit[[#This Row],[MODULO 1 - REMUNERAÇÃO ]]*SUMIFS(tabParametros[13º salário (titular)],tabParametros[Código do Posto],tabCustoUnit[[#This Row],[Código do Posto]])</f>
        <v>46.980874999999997</v>
      </c>
      <c r="Z206" s="21">
        <f>tabCustoUnit[[#This Row],[MODULO 1 - REMUNERAÇÃO ]]*SUMIFS(tabParametros[Férias e Adicional de Férias (titular)],tabParametros[Código do Posto],tabCustoUnit[[#This Row],[Código do Posto]])</f>
        <v>62.641166666666663</v>
      </c>
      <c r="AA206" s="21">
        <f>IFERROR((tabCustoUnit[[#This Row],[Submódulo 2.1]]/tabCustoUnit[[#This Row],[MODULO 1 - REMUNERAÇÃO ]])*SUM(tabCustoUnit[[#This Row],[13º salário (titular)]:[Férias e Adicional de Férias (titular)]]),0)</f>
        <v>41.437131749999992</v>
      </c>
      <c r="AB206" s="21">
        <f>SUM(tabCustoUnit[[#This Row],[13º salário (titular)]:[Incidência do Submódulo 2.1 sobre 13º Salário, Férias e Adicional de Férias]])</f>
        <v>151.05917341666665</v>
      </c>
      <c r="AC206" s="22">
        <f>_xlfn.LET(_xlpm.VT,SUMIF(tabParametros[Código do Posto],tabCustoUnit[[#This Row],[Código do Posto]],tabParametros[Vale - Transporte])*2*20,
IF((_xlpm.VT-tabCustoUnit[[#This Row],[Salário Base]]*0.06)&gt;=0,(_xlpm.VT-tabCustoUnit[[#This Row],[Salário Base]]*0.06),0)
)</f>
        <v>223.3492</v>
      </c>
      <c r="AD206" s="22">
        <f>IF(SUMIF(tabParametros[Código do Posto],tabCustoUnit[[#This Row],[Código do Posto]],tabParametros[Vale - Alimentação])&lt;=0,0,
SUMIF(tabParametros[Código do Posto],tabCustoUnit[[#This Row],[Código do Posto]],tabParametros[Vale - Alimentação])*20-1)</f>
        <v>582</v>
      </c>
      <c r="AE206" s="22">
        <f>SUMIF(tabParametros[Código do Posto],tabCustoUnit[[#This Row],[Código do Posto]],tabParametros[Cesta Básica])</f>
        <v>0</v>
      </c>
      <c r="AF206" s="22">
        <f>SUMIF(tabParametros[Código do Posto],tabCustoUnit[[#This Row],[Código do Posto]],tabParametros[PAF])</f>
        <v>0</v>
      </c>
      <c r="AG206" s="22">
        <f>SUMIF(tabParametros[Código do Posto],tabCustoUnit[[#This Row],[Código do Posto]],tabParametros[PQM])</f>
        <v>0</v>
      </c>
      <c r="AH206" s="22">
        <f>SUMIF(tabParametros[Código do Posto],tabCustoUnit[[#This Row],[Código do Posto]],tabParametros[PAT])</f>
        <v>0</v>
      </c>
      <c r="AI206" s="22">
        <f>SUMIF(tabParametros[Código do Posto],tabCustoUnit[[#This Row],[Código do Posto]],tabParametros[Seguro de Vida])</f>
        <v>3.36</v>
      </c>
      <c r="AJ206" s="22">
        <f>SUMIF(tabParametros[Código do Posto],tabCustoUnit[[#This Row],[Código do Posto]],tabParametros[Despesas de Viagem])</f>
        <v>0</v>
      </c>
      <c r="AK206" s="22">
        <f>SUM(tabCustoUnit[[#This Row],[Vale - Transporte (Descontada parcela do empregado)]:[Despesas de Viagem]])</f>
        <v>808.70920000000001</v>
      </c>
      <c r="AL206" s="22">
        <f>tabCustoUnit[[#This Row],[Submódulo 2.1]]+tabCustoUnit[[#This Row],[Submódulo 2.2]]+tabCustoUnit[[#This Row],[Submódulo 2.3]]</f>
        <v>1172.8736224166666</v>
      </c>
      <c r="AM206" s="22">
        <f>SUMIF(tabParametros[Código do Posto],tabCustoUnit[[#This Row],[Código do Posto]],tabParametros[Aviso Prévio Indenizado (API) e Reflexo do Aviso Prévio Indenizado])*tabCustoUnit[[#This Row],[MODULO 1 - REMUNERAÇÃO ]]</f>
        <v>3.9530273735532404</v>
      </c>
      <c r="AN206" s="22">
        <f>SUMIF(tabParametros[Código do Posto],tabCustoUnit[[#This Row],[Código do Posto]],tabParametros[Incidência do FGTS sobre API e Reflexo do API])*tabCustoUnit[[#This Row],[MODULO 1 - REMUNERAÇÃO ]]</f>
        <v>0.31624218988425928</v>
      </c>
      <c r="AO206" s="22">
        <f>SUMIF(tabParametros[Código do Posto],tabCustoUnit[[#This Row],[Código do Posto]],tabParametros[Multa Rescisória do FGTS sobre o Aviso Prévio Indenizado])*tabCustoUnit[[#This Row],[MODULO 1 - REMUNERAÇÃO ]]</f>
        <v>0.12649687595370371</v>
      </c>
      <c r="AP206" s="22">
        <f>SUMIF(tabParametros[Código do Posto],tabCustoUnit[[#This Row],[Código do Posto]],tabParametros[Aviso Prévio Trabalhado - APT])*tabCustoUnit[[#This Row],[MODULO 1 - REMUNERAÇÃO ]]</f>
        <v>1.9731967500000003</v>
      </c>
      <c r="AQ206" s="22">
        <f>SUMIF(tabParametros[Código do Posto],tabCustoUnit[[#This Row],[Código do Posto]],tabParametros[Incidência dos encargos do submódulo 2.1 sobre Aviso Prévio Trabalhado])*tabCustoUnit[[#This Row],[MODULO 1 - REMUNERAÇÃO ]]</f>
        <v>0.74586837150000018</v>
      </c>
      <c r="AR206" s="22">
        <f>SUMIF(tabParametros[Código do Posto],tabCustoUnit[[#This Row],[Código do Posto]],tabParametros[Multa Rescisória do FGTS])*tabCustoUnit[[#This Row],[MODULO 1 - REMUNERAÇÃO ]]</f>
        <v>17.238849066666663</v>
      </c>
      <c r="AS206" s="22">
        <f>SUMIF(tabParametros[Código do Posto],tabCustoUnit[[#This Row],[Código do Posto]],tabParametros[Indenização Adicional (Art. 9º da Lei nº 7.238/84)])*tabCustoUnit[[#This Row],[MODULO 1 - REMUNERAÇÃO ]]</f>
        <v>0.46980875</v>
      </c>
      <c r="AT206" s="22">
        <f>SUM(tabCustoUnit[[#This Row],[Aviso Prévio Indenizado (API) e Reflexo do Aviso Prévio Indenizado]:[Indenização Adicional (Art. 9º da Lei nº 7.238/84)]])</f>
        <v>24.823489377557866</v>
      </c>
      <c r="AU206" s="22">
        <f>SUMIF(tabParametros[Código do Posto],tabCustoUnit[[#This Row],[Código do Posto]],tabParametros[Ausência por Doença])*tabCustoUnit[[#This Row],[MODULO 1 - REMUNERAÇÃO ]]</f>
        <v>4.7607286666666662</v>
      </c>
      <c r="AV206" s="22">
        <f>SUMIF(tabParametros[Código do Posto],tabCustoUnit[[#This Row],[Código do Posto]],tabParametros[Ausências Legais])*tabCustoUnit[[#This Row],[MODULO 1 - REMUNERAÇÃO ]]</f>
        <v>1.1432012916666665</v>
      </c>
      <c r="AW206" s="22">
        <f>SUMIF(tabParametros[Código do Posto],tabCustoUnit[[#This Row],[Código do Posto]],tabParametros[Licença Paternidade])*tabCustoUnit[[#This Row],[MODULO 1 - REMUNERAÇÃO ]]</f>
        <v>9.6310793749999998E-2</v>
      </c>
      <c r="AX206" s="22">
        <f>SUMIF(tabParametros[Código do Posto],tabCustoUnit[[#This Row],[Código do Posto]],tabParametros[Ausência por Acidente de Trabalho])*tabCustoUnit[[#This Row],[MODULO 1 - REMUNERAÇÃO ]]</f>
        <v>0.1174521875</v>
      </c>
      <c r="AY206" s="22">
        <f>SUMIF(tabParametros[Código do Posto],tabCustoUnit[[#This Row],[Código do Posto]],tabParametros[Férias, Adicional de Férias e 13º  com empregada em gozo de Licença Maternidade])*tabCustoUnit[[#This Row],[MODULO 1 - REMUNERAÇÃO ]]</f>
        <v>0.73081361111111109</v>
      </c>
      <c r="AZ206" s="22">
        <f>SUMIF(tabParametros[Código do Posto],tabCustoUnit[[#This Row],[Código do Posto]],tabParametros[Incidência do Submódulo 2.1 sobre Ausências Legais])*tabCustoUnit[[#This Row],[MODULO 1 - REMUNERAÇÃO ]]</f>
        <v>2.5887354761625003</v>
      </c>
      <c r="BA206" s="22">
        <f>SUM(tabCustoUnit[[#This Row],[Ausência por Doença]:[Incidência do Submódulo 2.1 sobre Ausências Legais]])</f>
        <v>9.4372420268569428</v>
      </c>
      <c r="BB206" s="22">
        <f>SUMIF(tabParametros[Código do Posto],tabCustoUnit[[#This Row],[Código do Posto]],tabParametros[Intervalo para Repouso ou Alimentação])</f>
        <v>0</v>
      </c>
      <c r="BC206" s="22">
        <f>tabCustoUnit[[#This Row],[Intervalo para Repouso ou Alimentação]]</f>
        <v>0</v>
      </c>
      <c r="BD206" s="22">
        <f>IF(VLOOKUP(tabCustoUnit[[#This Row],[Código do Posto]],PARAMETROS!$A$4:$BJ$255,7,0)&lt;=0,0,
IFERROR((tabCustoUnit[[#This Row],[MODULO 1 - REMUNERAÇÃO ]]*VLOOKUP(tabCustoUnit[[#This Row],[Código do Posto]],PARAMETROS!$A$4:$BJ$255,49,0))/(VLOOKUP(tabCustoUnit[[#This Row],[Código do Posto]],PARAMETROS!$A$4:$BJ$255,7,0)*VLOOKUP(tabCustoUnit[[#This Row],[Código do Posto]],PARAMETROS!$A$4:$BJ$255,8,0)),0)
)</f>
        <v>0</v>
      </c>
      <c r="BE206" s="22">
        <f>tabCustoUnit[[#This Row],[Suspensão Temporária do Contrato de Trabalho]]</f>
        <v>0</v>
      </c>
      <c r="BF206" s="22">
        <f>tabCustoUnit[[#This Row],[Submódulo 4.1]]+tabCustoUnit[[#This Row],[Submódulo 4.2]]+tabCustoUnit[[#This Row],[Submódulo 4.3]]</f>
        <v>9.4372420268569428</v>
      </c>
      <c r="BG206" s="22">
        <f>VLOOKUP(tabCustoUnit[[#This Row],[Código do Posto]],tabParametros[],MATCH(tabCustoUnit[[#Headers],[Uniformes e EPIs]],tabParametros[#Headers],0),0)</f>
        <v>62.806666666666665</v>
      </c>
      <c r="BH206" s="22">
        <f>VLOOKUP(tabCustoUnit[[#This Row],[Código do Posto]],tabParametros[],MATCH(tabCustoUnit[[#Headers],[Materiais de Consumo]],tabParametros[#Headers],0),0)</f>
        <v>12.108481690426325</v>
      </c>
      <c r="BI206" s="22">
        <f>VLOOKUP(tabCustoUnit[[#This Row],[Código do Posto]],tabParametros[],MATCH(tabCustoUnit[[#Headers],[Máquinas e Equipamentos (depreciação)]],tabParametros[#Headers],0),0)</f>
        <v>21.998657016417809</v>
      </c>
      <c r="BJ206" s="22">
        <f>VLOOKUP(tabCustoUnit[[#This Row],[Código do Posto]],tabParametros[],MATCH(tabCustoUnit[[#Headers],[Produtos de Limpeza e Materiais de Higiene Pessoal]],tabParametros[#Headers],0),0)</f>
        <v>235.31984072022155</v>
      </c>
      <c r="BK206" s="22">
        <f>VLOOKUP(tabCustoUnit[[#This Row],[Código do Posto]],tabParametros[],MATCH(tabCustoUnit[[#Headers],[Outros (especificar)]],tabParametros[#Headers],0),0)</f>
        <v>0</v>
      </c>
      <c r="BL206" s="22">
        <f>SUM(tabCustoUnit[[#This Row],[Uniformes e EPIs]:[Outros (especificar)]])</f>
        <v>332.23364609373232</v>
      </c>
      <c r="BM206" s="22">
        <f>tabCustoUnit[[#This Row],[MODULO 1 - REMUNERAÇÃO ]]+tabCustoUnit[[#This Row],[MÓDULO 2 - Total Encargos e Benefícios mensais e diários]]+tabCustoUnit[[#This Row],[MÓDULO 3 – PROVISÃO PARA RESCISÃO]]+tabCustoUnit[[#This Row],[MÓDULO 4 – CUSTO DE REPOSIÇÃO DO PROFISSIONAL AUSENTE]]+tabCustoUnit[[#This Row],[MÓDULO 5 – INSUMOS DIVERSOS]]</f>
        <v>2103.1384999148136</v>
      </c>
      <c r="BN206" s="22">
        <f>VLOOKUP(tabCustoUnit[[#This Row],[Código do Posto]],tabParametros[],MATCH(tabCustoUnit[[#Headers],[Custos Indiretos]],tabParametros[#Headers],0),0)</f>
        <v>189.64880140242613</v>
      </c>
      <c r="BO206" s="22">
        <f>VLOOKUP(tabCustoUnit[[#This Row],[Código do Posto]],tabParametros[],MATCH(tabCustoUnit[[#Headers],[Lucro]],tabParametros[#Headers],0),0)</f>
        <v>159.30499317803796</v>
      </c>
      <c r="BP206" s="26">
        <f>((100/((1-tabCustoUnit[[#This Row],[Resumo de Alíquotas (PIS+CONFINS+ISS)]]))-100)*VLOOKUP(tabCustoUnit[[#This Row],[Código do Posto]],tabParametros[],MATCH(tabCustoUnit[[#Headers],[COFINS]],tabParametros[#Headers],0),0))/(tabCustoUnit[[#This Row],[Resumo de Alíquotas (PIS+CONFINS+ISS)]]*100)</f>
        <v>8.8629737609329504E-2</v>
      </c>
      <c r="BQ206" s="26">
        <f>((100/((100-(tabCustoUnit[[#This Row],[Resumo de Alíquotas (PIS+CONFINS+ISS)]]*100))%)-100)*VLOOKUP(tabCustoUnit[[#This Row],[Código do Posto]],tabParametros[],MATCH(tabCustoUnit[[#Headers],[PIS]],tabParametros[#Headers],0),0))/(tabCustoUnit[[#This Row],[Resumo de Alíquotas (PIS+CONFINS+ISS)]]*100)</f>
        <v>1.9241982507288629E-2</v>
      </c>
      <c r="BR206" s="28">
        <f>VLOOKUP(tabCustoUnit[[#This Row],[Código do Posto]],tabParametros[],MATCH(tabCustoUnit[[#Headers],[ISS]],tabParametros[#Headers],0),0)</f>
        <v>0.05</v>
      </c>
      <c r="BS206" s="26">
        <f>(((100/((100-(tabCustoUnit[[#This Row],[Resumo de Alíquotas (PIS+CONFINS+ISS)]]*100))%)-100)*tabCustoUnit[[#This Row],[ISS]])/tabCustoUnit[[#This Row],[Resumo de Alíquotas (PIS+CONFINS+ISS)]])/100</f>
        <v>5.8309037900874633E-2</v>
      </c>
      <c r="BT206" s="26">
        <f>(VLOOKUP(tabCustoUnit[[#This Row],[Código do Posto]],tabParametros[],MATCH(tabCustoUnit[[#Headers],[COFINS]],tabParametros[#Headers],0),0)+
VLOOKUP(tabCustoUnit[[#This Row],[Código do Posto]],tabParametros[],MATCH(tabCustoUnit[[#Headers],[PIS]],tabParametros[#Headers],0),0)+
VLOOKUP(tabCustoUnit[[#This Row],[Código do Posto]],tabParametros[],MATCH(tabCustoUnit[[#Headers],[ISS]],tabParametros[#Headers],0),0))</f>
        <v>0.14250000000000002</v>
      </c>
      <c r="BU206" s="138">
        <f>tabCustoUnit[[#This Row],[COFINS]]+tabCustoUnit[[#This Row],[PIS]]+tabCustoUnit[[#This Row],[ISS (Conversão Alíquota s/ fatura)]]</f>
        <v>0.16618075801749277</v>
      </c>
      <c r="BV206" s="22">
        <f>(tabCustoUnit[[#This Row],[TOTAL MÓDULOS 1+2+3+4+5]]+tabCustoUnit[[#This Row],[Custos Indiretos]]+tabCustoUnit[[#This Row],[Lucro]])*tabCustoUnit[[#This Row],[PIS + COFINS + ISS (Total Conversão  Alíquota s/ Fatura)]]</f>
        <v>407.49055622807833</v>
      </c>
      <c r="BW206" s="22">
        <f>tabCustoUnit[[#This Row],[Custos Indiretos]]+tabCustoUnit[[#This Row],[Lucro]]+tabCustoUnit[[#This Row],[Valor dos Tributos (ISS, PIS, CONFINS)]]</f>
        <v>756.44435080854237</v>
      </c>
      <c r="BX206" s="22">
        <f>tabCustoUnit[[#This Row],[TOTAL MÓDULOS 1+2+3+4+5]]+tabCustoUnit[[#This Row],[MÓDULO 6 – CUSTOS INDIRETOS, TRIBUTOS E LUCRO]]</f>
        <v>2859.5828507233559</v>
      </c>
      <c r="BY206" s="22">
        <f>tabCustoUnit[[#This Row],[CUSTO TOTAL MENSAL]]*12</f>
        <v>34314.994208680269</v>
      </c>
      <c r="BZ206" s="24">
        <f>VLOOKUP(tabCustoUnit[[#This Row],[Código do Posto]],tabParametros[],MATCH(tabCustoUnit[[#Headers],[ANO DA CCT]],tabParametros[#Headers],0),0)</f>
        <v>45658</v>
      </c>
      <c r="CA206" s="25" t="str">
        <f>VLOOKUP(tabCustoUnit[[#This Row],[Código do Posto]],tabParametros[],MATCH(tabCustoUnit[[#Headers],[Nº DE PEDIDO DA CCT]],tabParametros[#Headers],0),0)</f>
        <v>-</v>
      </c>
      <c r="CB206" s="25" t="str">
        <f>VLOOKUP(tabCustoUnit[[#This Row],[Código do Posto]],tabParametros[],MATCH(tabCustoUnit[[#Headers],[TERMO ADITIVO ALTERAÇÃO DA CCT]],tabParametros[#Headers],0),0)</f>
        <v>-</v>
      </c>
    </row>
    <row r="207" spans="1:80" x14ac:dyDescent="0.25">
      <c r="A207" s="20" t="s">
        <v>1542</v>
      </c>
      <c r="B207" t="s">
        <v>187</v>
      </c>
      <c r="C207" t="s">
        <v>1244</v>
      </c>
      <c r="D207" t="s">
        <v>992</v>
      </c>
      <c r="E207" s="20" t="s">
        <v>9</v>
      </c>
      <c r="F207" s="20" t="s">
        <v>10</v>
      </c>
      <c r="G207" s="21">
        <v>798.14</v>
      </c>
      <c r="H207" s="21">
        <v>0</v>
      </c>
      <c r="I207" s="21">
        <v>0</v>
      </c>
      <c r="J207" s="21">
        <v>0</v>
      </c>
      <c r="K207" s="21">
        <v>0</v>
      </c>
      <c r="L207" s="21">
        <v>0</v>
      </c>
      <c r="M207" s="21">
        <v>0</v>
      </c>
      <c r="N207" s="21">
        <v>26.120899999999999</v>
      </c>
      <c r="O207" s="21">
        <f>SUM(tabCustoUnit[[#This Row],[Salário Base]:[Adicional de Acúmulo de função]])</f>
        <v>824.26089999999999</v>
      </c>
      <c r="P207" s="21">
        <f>tabCustoUnit[[#This Row],[MODULO 1 - REMUNERAÇÃO ]]*SUMIFS(tabParametros[INSS],tabParametros[Código do Posto],tabCustoUnit[[#This Row],[Código do Posto]])</f>
        <v>164.85218</v>
      </c>
      <c r="Q207" s="21">
        <f>tabCustoUnit[[#This Row],[MODULO 1 - REMUNERAÇÃO ]]*SUMIFS(tabParametros[SESI OU SESC],tabParametros[Código do Posto],tabCustoUnit[[#This Row],[Código do Posto]])</f>
        <v>12.363913499999999</v>
      </c>
      <c r="R207" s="21">
        <f>tabCustoUnit[[#This Row],[MODULO 1 - REMUNERAÇÃO ]]*SUMIFS(tabParametros[SENAI OU SENAC],tabParametros[Código do Posto],tabCustoUnit[[#This Row],[Código do Posto]])</f>
        <v>8.2426089999999999</v>
      </c>
      <c r="S207" s="21">
        <f>tabCustoUnit[[#This Row],[MODULO 1 - REMUNERAÇÃO ]]*SUMIFS(tabParametros[INCRA],tabParametros[Código do Posto],tabCustoUnit[[#This Row],[Código do Posto]])</f>
        <v>1.6485217999999999</v>
      </c>
      <c r="T207" s="21">
        <f>tabCustoUnit[[#This Row],[MODULO 1 - REMUNERAÇÃO ]]*SUMIFS(tabParametros[Salário Educação],tabParametros[Código do Posto],tabCustoUnit[[#This Row],[Código do Posto]])</f>
        <v>20.606522500000001</v>
      </c>
      <c r="U207" s="21">
        <f>tabCustoUnit[[#This Row],[MODULO 1 - REMUNERAÇÃO ]]*SUMIFS(tabParametros[FGTS],tabParametros[Código do Posto],tabCustoUnit[[#This Row],[Código do Posto]])</f>
        <v>65.940871999999999</v>
      </c>
      <c r="V207" s="21">
        <f>tabCustoUnit[[#This Row],[MODULO 1 - REMUNERAÇÃO ]]*SUMIFS(tabParametros[RAT Ajustado],tabParametros[Código do Posto],tabCustoUnit[[#This Row],[Código do Posto]])</f>
        <v>32.970435999999999</v>
      </c>
      <c r="W207" s="21">
        <f>tabCustoUnit[[#This Row],[MODULO 1 - REMUNERAÇÃO ]]*SUMIFS(tabParametros[SEBRAE],tabParametros[Código do Posto],tabCustoUnit[[#This Row],[Código do Posto]])</f>
        <v>4.9455654000000004</v>
      </c>
      <c r="X207" s="21">
        <f>SUM(tabCustoUnit[[#This Row],[INSS]:[SEBRAE]])</f>
        <v>311.57062020000001</v>
      </c>
      <c r="Y207" s="21">
        <f>tabCustoUnit[[#This Row],[MODULO 1 - REMUNERAÇÃO ]]*SUMIFS(tabParametros[13º salário (titular)],tabParametros[Código do Posto],tabCustoUnit[[#This Row],[Código do Posto]])</f>
        <v>68.688408333333328</v>
      </c>
      <c r="Z207" s="21">
        <f>tabCustoUnit[[#This Row],[MODULO 1 - REMUNERAÇÃO ]]*SUMIFS(tabParametros[Férias e Adicional de Férias (titular)],tabParametros[Código do Posto],tabCustoUnit[[#This Row],[Código do Posto]])</f>
        <v>91.584544444444433</v>
      </c>
      <c r="AA207" s="21">
        <f>IFERROR((tabCustoUnit[[#This Row],[Submódulo 2.1]]/tabCustoUnit[[#This Row],[MODULO 1 - REMUNERAÇÃO ]])*SUM(tabCustoUnit[[#This Row],[13º salário (titular)]:[Férias e Adicional de Férias (titular)]]),0)</f>
        <v>60.583176149999993</v>
      </c>
      <c r="AB207" s="21">
        <f>SUM(tabCustoUnit[[#This Row],[13º salário (titular)]:[Incidência do Submódulo 2.1 sobre 13º Salário, Férias e Adicional de Férias]])</f>
        <v>220.85612892777775</v>
      </c>
      <c r="AC207" s="22">
        <f>_xlfn.LET(_xlpm.VT,SUMIF(tabParametros[Código do Posto],tabCustoUnit[[#This Row],[Código do Posto]],tabParametros[Vale - Transporte])*2*20,
IF((_xlpm.VT-tabCustoUnit[[#This Row],[Salário Base]]*0.06)&gt;=0,(_xlpm.VT-tabCustoUnit[[#This Row],[Salário Base]]*0.06),0)
)</f>
        <v>208.11160000000001</v>
      </c>
      <c r="AD207" s="22">
        <f>IF(SUMIF(tabParametros[Código do Posto],tabCustoUnit[[#This Row],[Código do Posto]],tabParametros[Vale - Alimentação])&lt;=0,0,
SUMIF(tabParametros[Código do Posto],tabCustoUnit[[#This Row],[Código do Posto]],tabParametros[Vale - Alimentação])*20-1)</f>
        <v>0</v>
      </c>
      <c r="AE207" s="22">
        <f>SUMIF(tabParametros[Código do Posto],tabCustoUnit[[#This Row],[Código do Posto]],tabParametros[Cesta Básica])</f>
        <v>387.79</v>
      </c>
      <c r="AF207" s="22">
        <f>SUMIF(tabParametros[Código do Posto],tabCustoUnit[[#This Row],[Código do Posto]],tabParametros[PAF])</f>
        <v>42.97</v>
      </c>
      <c r="AG207" s="22">
        <f>SUMIF(tabParametros[Código do Posto],tabCustoUnit[[#This Row],[Código do Posto]],tabParametros[PQM])</f>
        <v>0</v>
      </c>
      <c r="AH207" s="22">
        <f>SUMIF(tabParametros[Código do Posto],tabCustoUnit[[#This Row],[Código do Posto]],tabParametros[PAT])</f>
        <v>0</v>
      </c>
      <c r="AI207" s="22">
        <f>SUMIF(tabParametros[Código do Posto],tabCustoUnit[[#This Row],[Código do Posto]],tabParametros[Seguro de Vida])</f>
        <v>3.36</v>
      </c>
      <c r="AJ207" s="22">
        <f>SUMIF(tabParametros[Código do Posto],tabCustoUnit[[#This Row],[Código do Posto]],tabParametros[Despesas de Viagem])</f>
        <v>0</v>
      </c>
      <c r="AK207" s="22">
        <f>SUM(tabCustoUnit[[#This Row],[Vale - Transporte (Descontada parcela do empregado)]:[Despesas de Viagem]])</f>
        <v>642.23160000000007</v>
      </c>
      <c r="AL207" s="22">
        <f>tabCustoUnit[[#This Row],[Submódulo 2.1]]+tabCustoUnit[[#This Row],[Submódulo 2.2]]+tabCustoUnit[[#This Row],[Submódulo 2.3]]</f>
        <v>1174.6583491277779</v>
      </c>
      <c r="AM207" s="22">
        <f>SUMIF(tabParametros[Código do Posto],tabCustoUnit[[#This Row],[Código do Posto]],tabParametros[Aviso Prévio Indenizado (API) e Reflexo do Aviso Prévio Indenizado])*tabCustoUnit[[#This Row],[MODULO 1 - REMUNERAÇÃO ]]</f>
        <v>5.7795253576581791</v>
      </c>
      <c r="AN207" s="22">
        <f>SUMIF(tabParametros[Código do Posto],tabCustoUnit[[#This Row],[Código do Posto]],tabParametros[Incidência do FGTS sobre API e Reflexo do API])*tabCustoUnit[[#This Row],[MODULO 1 - REMUNERAÇÃO ]]</f>
        <v>0.46236202861265435</v>
      </c>
      <c r="AO207" s="22">
        <f>SUMIF(tabParametros[Código do Posto],tabCustoUnit[[#This Row],[Código do Posto]],tabParametros[Multa Rescisória do FGTS sobre o Aviso Prévio Indenizado])*tabCustoUnit[[#This Row],[MODULO 1 - REMUNERAÇÃO ]]</f>
        <v>0.18494481144506175</v>
      </c>
      <c r="AP207" s="22">
        <f>SUMIF(tabParametros[Código do Posto],tabCustoUnit[[#This Row],[Código do Posto]],tabParametros[Aviso Prévio Trabalhado - APT])*tabCustoUnit[[#This Row],[MODULO 1 - REMUNERAÇÃO ]]</f>
        <v>2.8849131500000005</v>
      </c>
      <c r="AQ207" s="22">
        <f>SUMIF(tabParametros[Código do Posto],tabCustoUnit[[#This Row],[Código do Posto]],tabParametros[Incidência dos encargos do submódulo 2.1 sobre Aviso Prévio Trabalhado])*tabCustoUnit[[#This Row],[MODULO 1 - REMUNERAÇÃO ]]</f>
        <v>1.0904971707000004</v>
      </c>
      <c r="AR207" s="22">
        <f>SUMIF(tabParametros[Código do Posto],tabCustoUnit[[#This Row],[Código do Posto]],tabParametros[Multa Rescisória do FGTS])*tabCustoUnit[[#This Row],[MODULO 1 - REMUNERAÇÃO ]]</f>
        <v>25.204066631111107</v>
      </c>
      <c r="AS207" s="22">
        <f>SUMIF(tabParametros[Código do Posto],tabCustoUnit[[#This Row],[Código do Posto]],tabParametros[Indenização Adicional (Art. 9º da Lei nº 7.238/84)])*tabCustoUnit[[#This Row],[MODULO 1 - REMUNERAÇÃO ]]</f>
        <v>0.6868840833333334</v>
      </c>
      <c r="AT207" s="22">
        <f>SUM(tabCustoUnit[[#This Row],[Aviso Prévio Indenizado (API) e Reflexo do Aviso Prévio Indenizado]:[Indenização Adicional (Art. 9º da Lei nº 7.238/84)]])</f>
        <v>36.293193232860339</v>
      </c>
      <c r="AU207" s="22">
        <f>SUMIF(tabParametros[Código do Posto],tabCustoUnit[[#This Row],[Código do Posto]],tabParametros[Ausência por Doença])*tabCustoUnit[[#This Row],[MODULO 1 - REMUNERAÇÃO ]]</f>
        <v>6.9604253777777769</v>
      </c>
      <c r="AV207" s="22">
        <f>SUMIF(tabParametros[Código do Posto],tabCustoUnit[[#This Row],[Código do Posto]],tabParametros[Ausências Legais])*tabCustoUnit[[#This Row],[MODULO 1 - REMUNERAÇÃO ]]</f>
        <v>1.671417936111111</v>
      </c>
      <c r="AW207" s="22">
        <f>SUMIF(tabParametros[Código do Posto],tabCustoUnit[[#This Row],[Código do Posto]],tabParametros[Licença Paternidade])*tabCustoUnit[[#This Row],[MODULO 1 - REMUNERAÇÃO ]]</f>
        <v>0.14081123708333332</v>
      </c>
      <c r="AX207" s="22">
        <f>SUMIF(tabParametros[Código do Posto],tabCustoUnit[[#This Row],[Código do Posto]],tabParametros[Ausência por Acidente de Trabalho])*tabCustoUnit[[#This Row],[MODULO 1 - REMUNERAÇÃO ]]</f>
        <v>0.17172102083333335</v>
      </c>
      <c r="AY207" s="22">
        <f>SUMIF(tabParametros[Código do Posto],tabCustoUnit[[#This Row],[Código do Posto]],tabParametros[Férias, Adicional de Férias e 13º  com empregada em gozo de Licença Maternidade])*tabCustoUnit[[#This Row],[MODULO 1 - REMUNERAÇÃO ]]</f>
        <v>1.0684863518518517</v>
      </c>
      <c r="AZ207" s="22">
        <f>SUMIF(tabParametros[Código do Posto],tabCustoUnit[[#This Row],[Código do Posto]],tabParametros[Incidência do Submódulo 2.1 sobre Ausências Legais])*tabCustoUnit[[#This Row],[MODULO 1 - REMUNERAÇÃO ]]</f>
        <v>3.7848618071425006</v>
      </c>
      <c r="BA207" s="22">
        <f>SUM(tabCustoUnit[[#This Row],[Ausência por Doença]:[Incidência do Submódulo 2.1 sobre Ausências Legais]])</f>
        <v>13.797723730799909</v>
      </c>
      <c r="BB207" s="22">
        <f>SUMIF(tabParametros[Código do Posto],tabCustoUnit[[#This Row],[Código do Posto]],tabParametros[Intervalo para Repouso ou Alimentação])</f>
        <v>0</v>
      </c>
      <c r="BC207" s="22">
        <f>tabCustoUnit[[#This Row],[Intervalo para Repouso ou Alimentação]]</f>
        <v>0</v>
      </c>
      <c r="BD207" s="22">
        <f>IF(VLOOKUP(tabCustoUnit[[#This Row],[Código do Posto]],PARAMETROS!$A$4:$BJ$255,7,0)&lt;=0,0,
IFERROR((tabCustoUnit[[#This Row],[MODULO 1 - REMUNERAÇÃO ]]*VLOOKUP(tabCustoUnit[[#This Row],[Código do Posto]],PARAMETROS!$A$4:$BJ$255,49,0))/(VLOOKUP(tabCustoUnit[[#This Row],[Código do Posto]],PARAMETROS!$A$4:$BJ$255,7,0)*VLOOKUP(tabCustoUnit[[#This Row],[Código do Posto]],PARAMETROS!$A$4:$BJ$255,8,0)),0)
)</f>
        <v>0</v>
      </c>
      <c r="BE207" s="22">
        <f>tabCustoUnit[[#This Row],[Suspensão Temporária do Contrato de Trabalho]]</f>
        <v>0</v>
      </c>
      <c r="BF207" s="22">
        <f>tabCustoUnit[[#This Row],[Submódulo 4.1]]+tabCustoUnit[[#This Row],[Submódulo 4.2]]+tabCustoUnit[[#This Row],[Submódulo 4.3]]</f>
        <v>13.797723730799909</v>
      </c>
      <c r="BG207" s="22">
        <f>VLOOKUP(tabCustoUnit[[#This Row],[Código do Posto]],tabParametros[],MATCH(tabCustoUnit[[#Headers],[Uniformes e EPIs]],tabParametros[#Headers],0),0)</f>
        <v>62.806666666666665</v>
      </c>
      <c r="BH207" s="22">
        <f>VLOOKUP(tabCustoUnit[[#This Row],[Código do Posto]],tabParametros[],MATCH(tabCustoUnit[[#Headers],[Materiais de Consumo]],tabParametros[#Headers],0),0)</f>
        <v>17.759106479291944</v>
      </c>
      <c r="BI207" s="22">
        <f>VLOOKUP(tabCustoUnit[[#This Row],[Código do Posto]],tabParametros[],MATCH(tabCustoUnit[[#Headers],[Máquinas e Equipamentos (depreciação)]],tabParametros[#Headers],0),0)</f>
        <v>32.264696957412788</v>
      </c>
      <c r="BJ207" s="22">
        <f>VLOOKUP(tabCustoUnit[[#This Row],[Código do Posto]],tabParametros[],MATCH(tabCustoUnit[[#Headers],[Produtos de Limpeza e Materiais de Higiene Pessoal]],tabParametros[#Headers],0),0)</f>
        <v>345.13576638965827</v>
      </c>
      <c r="BK207" s="22">
        <f>VLOOKUP(tabCustoUnit[[#This Row],[Código do Posto]],tabParametros[],MATCH(tabCustoUnit[[#Headers],[Outros (especificar)]],tabParametros[#Headers],0),0)</f>
        <v>0</v>
      </c>
      <c r="BL207" s="22">
        <f>SUM(tabCustoUnit[[#This Row],[Uniformes e EPIs]:[Outros (especificar)]])</f>
        <v>457.96623649302967</v>
      </c>
      <c r="BM207" s="22">
        <f>tabCustoUnit[[#This Row],[MODULO 1 - REMUNERAÇÃO ]]+tabCustoUnit[[#This Row],[MÓDULO 2 - Total Encargos e Benefícios mensais e diários]]+tabCustoUnit[[#This Row],[MÓDULO 3 – PROVISÃO PARA RESCISÃO]]+tabCustoUnit[[#This Row],[MÓDULO 4 – CUSTO DE REPOSIÇÃO DO PROFISSIONAL AUSENTE]]+tabCustoUnit[[#This Row],[MÓDULO 5 – INSUMOS DIVERSOS]]</f>
        <v>2506.9764025844679</v>
      </c>
      <c r="BN207" s="22">
        <f>VLOOKUP(tabCustoUnit[[#This Row],[Código do Posto]],tabParametros[],MATCH(tabCustoUnit[[#Headers],[Custos Indiretos]],tabParametros[#Headers],0),0)</f>
        <v>189.64880140242613</v>
      </c>
      <c r="BO207" s="22">
        <f>VLOOKUP(tabCustoUnit[[#This Row],[Código do Posto]],tabParametros[],MATCH(tabCustoUnit[[#Headers],[Lucro]],tabParametros[#Headers],0),0)</f>
        <v>159.30499317803796</v>
      </c>
      <c r="BP207" s="26">
        <f>((100/((1-tabCustoUnit[[#This Row],[Resumo de Alíquotas (PIS+CONFINS+ISS)]]))-100)*VLOOKUP(tabCustoUnit[[#This Row],[Código do Posto]],tabParametros[],MATCH(tabCustoUnit[[#Headers],[COFINS]],tabParametros[#Headers],0),0))/(tabCustoUnit[[#This Row],[Resumo de Alíquotas (PIS+CONFINS+ISS)]]*100)</f>
        <v>8.6609686609686695E-2</v>
      </c>
      <c r="BQ207" s="26">
        <f>((100/((100-(tabCustoUnit[[#This Row],[Resumo de Alíquotas (PIS+CONFINS+ISS)]]*100))%)-100)*VLOOKUP(tabCustoUnit[[#This Row],[Código do Posto]],tabParametros[],MATCH(tabCustoUnit[[#Headers],[PIS]],tabParametros[#Headers],0),0))/(tabCustoUnit[[#This Row],[Resumo de Alíquotas (PIS+CONFINS+ISS)]]*100)</f>
        <v>1.880341880341882E-2</v>
      </c>
      <c r="BR207" s="28">
        <f>VLOOKUP(tabCustoUnit[[#This Row],[Código do Posto]],tabParametros[],MATCH(tabCustoUnit[[#Headers],[ISS]],tabParametros[#Headers],0),0)</f>
        <v>0.03</v>
      </c>
      <c r="BS207" s="26">
        <f>(((100/((100-(tabCustoUnit[[#This Row],[Resumo de Alíquotas (PIS+CONFINS+ISS)]]*100))%)-100)*tabCustoUnit[[#This Row],[ISS]])/tabCustoUnit[[#This Row],[Resumo de Alíquotas (PIS+CONFINS+ISS)]])/100</f>
        <v>3.4188034188034219E-2</v>
      </c>
      <c r="BT207" s="26">
        <f>(VLOOKUP(tabCustoUnit[[#This Row],[Código do Posto]],tabParametros[],MATCH(tabCustoUnit[[#Headers],[COFINS]],tabParametros[#Headers],0),0)+
VLOOKUP(tabCustoUnit[[#This Row],[Código do Posto]],tabParametros[],MATCH(tabCustoUnit[[#Headers],[PIS]],tabParametros[#Headers],0),0)+
VLOOKUP(tabCustoUnit[[#This Row],[Código do Posto]],tabParametros[],MATCH(tabCustoUnit[[#Headers],[ISS]],tabParametros[#Headers],0),0))</f>
        <v>0.1225</v>
      </c>
      <c r="BU207" s="138">
        <f>tabCustoUnit[[#This Row],[COFINS]]+tabCustoUnit[[#This Row],[PIS]]+tabCustoUnit[[#This Row],[ISS (Conversão Alíquota s/ fatura)]]</f>
        <v>0.13960113960113973</v>
      </c>
      <c r="BV207" s="22">
        <f>(tabCustoUnit[[#This Row],[TOTAL MÓDULOS 1+2+3+4+5]]+tabCustoUnit[[#This Row],[Custos Indiretos]]+tabCustoUnit[[#This Row],[Lucro]])*tabCustoUnit[[#This Row],[PIS + COFINS + ISS (Total Conversão  Alíquota s/ Fatura)]]</f>
        <v>398.69111014553221</v>
      </c>
      <c r="BW207" s="22">
        <f>tabCustoUnit[[#This Row],[Custos Indiretos]]+tabCustoUnit[[#This Row],[Lucro]]+tabCustoUnit[[#This Row],[Valor dos Tributos (ISS, PIS, CONFINS)]]</f>
        <v>747.6449047259963</v>
      </c>
      <c r="BX207" s="22">
        <f>tabCustoUnit[[#This Row],[TOTAL MÓDULOS 1+2+3+4+5]]+tabCustoUnit[[#This Row],[MÓDULO 6 – CUSTOS INDIRETOS, TRIBUTOS E LUCRO]]</f>
        <v>3254.6213073104641</v>
      </c>
      <c r="BY207" s="22">
        <f>tabCustoUnit[[#This Row],[CUSTO TOTAL MENSAL]]*12</f>
        <v>39055.455687725567</v>
      </c>
      <c r="BZ207" s="24">
        <f>VLOOKUP(tabCustoUnit[[#This Row],[Código do Posto]],tabParametros[],MATCH(tabCustoUnit[[#Headers],[ANO DA CCT]],tabParametros[#Headers],0),0)</f>
        <v>45658</v>
      </c>
      <c r="CA207" s="25" t="str">
        <f>VLOOKUP(tabCustoUnit[[#This Row],[Código do Posto]],tabParametros[],MATCH(tabCustoUnit[[#Headers],[Nº DE PEDIDO DA CCT]],tabParametros[#Headers],0),0)</f>
        <v>-</v>
      </c>
      <c r="CB207" s="25" t="str">
        <f>VLOOKUP(tabCustoUnit[[#This Row],[Código do Posto]],tabParametros[],MATCH(tabCustoUnit[[#Headers],[TERMO ADITIVO ALTERAÇÃO DA CCT]],tabParametros[#Headers],0),0)</f>
        <v>-</v>
      </c>
    </row>
    <row r="208" spans="1:80" x14ac:dyDescent="0.25">
      <c r="A208" s="20" t="s">
        <v>1543</v>
      </c>
      <c r="B208" t="s">
        <v>188</v>
      </c>
      <c r="C208" t="s">
        <v>1247</v>
      </c>
      <c r="D208" t="s">
        <v>1018</v>
      </c>
      <c r="E208" s="20" t="s">
        <v>9</v>
      </c>
      <c r="F208" s="20" t="s">
        <v>10</v>
      </c>
      <c r="G208" s="21">
        <v>544.17999999999995</v>
      </c>
      <c r="H208" s="21">
        <v>0</v>
      </c>
      <c r="I208" s="21">
        <v>0</v>
      </c>
      <c r="J208" s="21">
        <v>0</v>
      </c>
      <c r="K208" s="21">
        <v>0</v>
      </c>
      <c r="L208" s="21">
        <v>0</v>
      </c>
      <c r="M208" s="21">
        <v>0</v>
      </c>
      <c r="N208" s="21">
        <v>19.590499999999999</v>
      </c>
      <c r="O208" s="21">
        <f>SUM(tabCustoUnit[[#This Row],[Salário Base]:[Adicional de Acúmulo de função]])</f>
        <v>563.77049999999997</v>
      </c>
      <c r="P208" s="21">
        <f>tabCustoUnit[[#This Row],[MODULO 1 - REMUNERAÇÃO ]]*SUMIFS(tabParametros[INSS],tabParametros[Código do Posto],tabCustoUnit[[#This Row],[Código do Posto]])</f>
        <v>112.75409999999999</v>
      </c>
      <c r="Q208" s="21">
        <f>tabCustoUnit[[#This Row],[MODULO 1 - REMUNERAÇÃO ]]*SUMIFS(tabParametros[SESI OU SESC],tabParametros[Código do Posto],tabCustoUnit[[#This Row],[Código do Posto]])</f>
        <v>8.4565574999999988</v>
      </c>
      <c r="R208" s="21">
        <f>tabCustoUnit[[#This Row],[MODULO 1 - REMUNERAÇÃO ]]*SUMIFS(tabParametros[SENAI OU SENAC],tabParametros[Código do Posto],tabCustoUnit[[#This Row],[Código do Posto]])</f>
        <v>5.6377049999999995</v>
      </c>
      <c r="S208" s="21">
        <f>tabCustoUnit[[#This Row],[MODULO 1 - REMUNERAÇÃO ]]*SUMIFS(tabParametros[INCRA],tabParametros[Código do Posto],tabCustoUnit[[#This Row],[Código do Posto]])</f>
        <v>1.1275409999999999</v>
      </c>
      <c r="T208" s="21">
        <f>tabCustoUnit[[#This Row],[MODULO 1 - REMUNERAÇÃO ]]*SUMIFS(tabParametros[Salário Educação],tabParametros[Código do Posto],tabCustoUnit[[#This Row],[Código do Posto]])</f>
        <v>14.094262499999999</v>
      </c>
      <c r="U208" s="21">
        <f>tabCustoUnit[[#This Row],[MODULO 1 - REMUNERAÇÃO ]]*SUMIFS(tabParametros[FGTS],tabParametros[Código do Posto],tabCustoUnit[[#This Row],[Código do Posto]])</f>
        <v>45.101639999999996</v>
      </c>
      <c r="V208" s="21">
        <f>tabCustoUnit[[#This Row],[MODULO 1 - REMUNERAÇÃO ]]*SUMIFS(tabParametros[RAT Ajustado],tabParametros[Código do Posto],tabCustoUnit[[#This Row],[Código do Posto]])</f>
        <v>22.550819999999998</v>
      </c>
      <c r="W208" s="21">
        <f>tabCustoUnit[[#This Row],[MODULO 1 - REMUNERAÇÃO ]]*SUMIFS(tabParametros[SEBRAE],tabParametros[Código do Posto],tabCustoUnit[[#This Row],[Código do Posto]])</f>
        <v>3.3826229999999997</v>
      </c>
      <c r="X208" s="21">
        <f>SUM(tabCustoUnit[[#This Row],[INSS]:[SEBRAE]])</f>
        <v>213.10524899999996</v>
      </c>
      <c r="Y208" s="21">
        <f>tabCustoUnit[[#This Row],[MODULO 1 - REMUNERAÇÃO ]]*SUMIFS(tabParametros[13º salário (titular)],tabParametros[Código do Posto],tabCustoUnit[[#This Row],[Código do Posto]])</f>
        <v>46.980874999999997</v>
      </c>
      <c r="Z208" s="21">
        <f>tabCustoUnit[[#This Row],[MODULO 1 - REMUNERAÇÃO ]]*SUMIFS(tabParametros[Férias e Adicional de Férias (titular)],tabParametros[Código do Posto],tabCustoUnit[[#This Row],[Código do Posto]])</f>
        <v>62.641166666666663</v>
      </c>
      <c r="AA208" s="21">
        <f>IFERROR((tabCustoUnit[[#This Row],[Submódulo 2.1]]/tabCustoUnit[[#This Row],[MODULO 1 - REMUNERAÇÃO ]])*SUM(tabCustoUnit[[#This Row],[13º salário (titular)]:[Férias e Adicional de Férias (titular)]]),0)</f>
        <v>41.437131749999992</v>
      </c>
      <c r="AB208" s="21">
        <f>SUM(tabCustoUnit[[#This Row],[13º salário (titular)]:[Incidência do Submódulo 2.1 sobre 13º Salário, Férias e Adicional de Férias]])</f>
        <v>151.05917341666665</v>
      </c>
      <c r="AC208" s="22">
        <f>_xlfn.LET(_xlpm.VT,SUMIF(tabParametros[Código do Posto],tabCustoUnit[[#This Row],[Código do Posto]],tabParametros[Vale - Transporte])*2*20,
IF((_xlpm.VT-tabCustoUnit[[#This Row],[Salário Base]]*0.06)&gt;=0,(_xlpm.VT-tabCustoUnit[[#This Row],[Salário Base]]*0.06),0)
)</f>
        <v>223.3492</v>
      </c>
      <c r="AD208" s="22">
        <f>IF(SUMIF(tabParametros[Código do Posto],tabCustoUnit[[#This Row],[Código do Posto]],tabParametros[Vale - Alimentação])&lt;=0,0,
SUMIF(tabParametros[Código do Posto],tabCustoUnit[[#This Row],[Código do Posto]],tabParametros[Vale - Alimentação])*20-1)</f>
        <v>582</v>
      </c>
      <c r="AE208" s="22">
        <f>SUMIF(tabParametros[Código do Posto],tabCustoUnit[[#This Row],[Código do Posto]],tabParametros[Cesta Básica])</f>
        <v>0</v>
      </c>
      <c r="AF208" s="22">
        <f>SUMIF(tabParametros[Código do Posto],tabCustoUnit[[#This Row],[Código do Posto]],tabParametros[PAF])</f>
        <v>51.88</v>
      </c>
      <c r="AG208" s="22">
        <f>SUMIF(tabParametros[Código do Posto],tabCustoUnit[[#This Row],[Código do Posto]],tabParametros[PQM])</f>
        <v>0</v>
      </c>
      <c r="AH208" s="22">
        <f>SUMIF(tabParametros[Código do Posto],tabCustoUnit[[#This Row],[Código do Posto]],tabParametros[PAT])</f>
        <v>0</v>
      </c>
      <c r="AI208" s="22">
        <f>SUMIF(tabParametros[Código do Posto],tabCustoUnit[[#This Row],[Código do Posto]],tabParametros[Seguro de Vida])</f>
        <v>3.36</v>
      </c>
      <c r="AJ208" s="22">
        <f>SUMIF(tabParametros[Código do Posto],tabCustoUnit[[#This Row],[Código do Posto]],tabParametros[Despesas de Viagem])</f>
        <v>0</v>
      </c>
      <c r="AK208" s="22">
        <f>SUM(tabCustoUnit[[#This Row],[Vale - Transporte (Descontada parcela do empregado)]:[Despesas de Viagem]])</f>
        <v>860.58920000000001</v>
      </c>
      <c r="AL208" s="22">
        <f>tabCustoUnit[[#This Row],[Submódulo 2.1]]+tabCustoUnit[[#This Row],[Submódulo 2.2]]+tabCustoUnit[[#This Row],[Submódulo 2.3]]</f>
        <v>1224.7536224166665</v>
      </c>
      <c r="AM208" s="22">
        <f>SUMIF(tabParametros[Código do Posto],tabCustoUnit[[#This Row],[Código do Posto]],tabParametros[Aviso Prévio Indenizado (API) e Reflexo do Aviso Prévio Indenizado])*tabCustoUnit[[#This Row],[MODULO 1 - REMUNERAÇÃO ]]</f>
        <v>3.9530273735532404</v>
      </c>
      <c r="AN208" s="22">
        <f>SUMIF(tabParametros[Código do Posto],tabCustoUnit[[#This Row],[Código do Posto]],tabParametros[Incidência do FGTS sobre API e Reflexo do API])*tabCustoUnit[[#This Row],[MODULO 1 - REMUNERAÇÃO ]]</f>
        <v>0.31624218988425928</v>
      </c>
      <c r="AO208" s="22">
        <f>SUMIF(tabParametros[Código do Posto],tabCustoUnit[[#This Row],[Código do Posto]],tabParametros[Multa Rescisória do FGTS sobre o Aviso Prévio Indenizado])*tabCustoUnit[[#This Row],[MODULO 1 - REMUNERAÇÃO ]]</f>
        <v>0.12649687595370371</v>
      </c>
      <c r="AP208" s="22">
        <f>SUMIF(tabParametros[Código do Posto],tabCustoUnit[[#This Row],[Código do Posto]],tabParametros[Aviso Prévio Trabalhado - APT])*tabCustoUnit[[#This Row],[MODULO 1 - REMUNERAÇÃO ]]</f>
        <v>1.9731967500000003</v>
      </c>
      <c r="AQ208" s="22">
        <f>SUMIF(tabParametros[Código do Posto],tabCustoUnit[[#This Row],[Código do Posto]],tabParametros[Incidência dos encargos do submódulo 2.1 sobre Aviso Prévio Trabalhado])*tabCustoUnit[[#This Row],[MODULO 1 - REMUNERAÇÃO ]]</f>
        <v>0.74586837150000018</v>
      </c>
      <c r="AR208" s="22">
        <f>SUMIF(tabParametros[Código do Posto],tabCustoUnit[[#This Row],[Código do Posto]],tabParametros[Multa Rescisória do FGTS])*tabCustoUnit[[#This Row],[MODULO 1 - REMUNERAÇÃO ]]</f>
        <v>17.238849066666663</v>
      </c>
      <c r="AS208" s="22">
        <f>SUMIF(tabParametros[Código do Posto],tabCustoUnit[[#This Row],[Código do Posto]],tabParametros[Indenização Adicional (Art. 9º da Lei nº 7.238/84)])*tabCustoUnit[[#This Row],[MODULO 1 - REMUNERAÇÃO ]]</f>
        <v>0.46980875</v>
      </c>
      <c r="AT208" s="22">
        <f>SUM(tabCustoUnit[[#This Row],[Aviso Prévio Indenizado (API) e Reflexo do Aviso Prévio Indenizado]:[Indenização Adicional (Art. 9º da Lei nº 7.238/84)]])</f>
        <v>24.823489377557866</v>
      </c>
      <c r="AU208" s="22">
        <f>SUMIF(tabParametros[Código do Posto],tabCustoUnit[[#This Row],[Código do Posto]],tabParametros[Ausência por Doença])*tabCustoUnit[[#This Row],[MODULO 1 - REMUNERAÇÃO ]]</f>
        <v>4.7607286666666662</v>
      </c>
      <c r="AV208" s="22">
        <f>SUMIF(tabParametros[Código do Posto],tabCustoUnit[[#This Row],[Código do Posto]],tabParametros[Ausências Legais])*tabCustoUnit[[#This Row],[MODULO 1 - REMUNERAÇÃO ]]</f>
        <v>1.1432012916666665</v>
      </c>
      <c r="AW208" s="22">
        <f>SUMIF(tabParametros[Código do Posto],tabCustoUnit[[#This Row],[Código do Posto]],tabParametros[Licença Paternidade])*tabCustoUnit[[#This Row],[MODULO 1 - REMUNERAÇÃO ]]</f>
        <v>9.6310793749999998E-2</v>
      </c>
      <c r="AX208" s="22">
        <f>SUMIF(tabParametros[Código do Posto],tabCustoUnit[[#This Row],[Código do Posto]],tabParametros[Ausência por Acidente de Trabalho])*tabCustoUnit[[#This Row],[MODULO 1 - REMUNERAÇÃO ]]</f>
        <v>0.1174521875</v>
      </c>
      <c r="AY208" s="22">
        <f>SUMIF(tabParametros[Código do Posto],tabCustoUnit[[#This Row],[Código do Posto]],tabParametros[Férias, Adicional de Férias e 13º  com empregada em gozo de Licença Maternidade])*tabCustoUnit[[#This Row],[MODULO 1 - REMUNERAÇÃO ]]</f>
        <v>0.73081361111111109</v>
      </c>
      <c r="AZ208" s="22">
        <f>SUMIF(tabParametros[Código do Posto],tabCustoUnit[[#This Row],[Código do Posto]],tabParametros[Incidência do Submódulo 2.1 sobre Ausências Legais])*tabCustoUnit[[#This Row],[MODULO 1 - REMUNERAÇÃO ]]</f>
        <v>2.5887354761625003</v>
      </c>
      <c r="BA208" s="22">
        <f>SUM(tabCustoUnit[[#This Row],[Ausência por Doença]:[Incidência do Submódulo 2.1 sobre Ausências Legais]])</f>
        <v>9.4372420268569428</v>
      </c>
      <c r="BB208" s="22">
        <f>SUMIF(tabParametros[Código do Posto],tabCustoUnit[[#This Row],[Código do Posto]],tabParametros[Intervalo para Repouso ou Alimentação])</f>
        <v>0</v>
      </c>
      <c r="BC208" s="22">
        <f>tabCustoUnit[[#This Row],[Intervalo para Repouso ou Alimentação]]</f>
        <v>0</v>
      </c>
      <c r="BD208" s="22">
        <f>IF(VLOOKUP(tabCustoUnit[[#This Row],[Código do Posto]],PARAMETROS!$A$4:$BJ$255,7,0)&lt;=0,0,
IFERROR((tabCustoUnit[[#This Row],[MODULO 1 - REMUNERAÇÃO ]]*VLOOKUP(tabCustoUnit[[#This Row],[Código do Posto]],PARAMETROS!$A$4:$BJ$255,49,0))/(VLOOKUP(tabCustoUnit[[#This Row],[Código do Posto]],PARAMETROS!$A$4:$BJ$255,7,0)*VLOOKUP(tabCustoUnit[[#This Row],[Código do Posto]],PARAMETROS!$A$4:$BJ$255,8,0)),0)
)</f>
        <v>0</v>
      </c>
      <c r="BE208" s="22">
        <f>tabCustoUnit[[#This Row],[Suspensão Temporária do Contrato de Trabalho]]</f>
        <v>0</v>
      </c>
      <c r="BF208" s="22">
        <f>tabCustoUnit[[#This Row],[Submódulo 4.1]]+tabCustoUnit[[#This Row],[Submódulo 4.2]]+tabCustoUnit[[#This Row],[Submódulo 4.3]]</f>
        <v>9.4372420268569428</v>
      </c>
      <c r="BG208" s="22">
        <f>VLOOKUP(tabCustoUnit[[#This Row],[Código do Posto]],tabParametros[],MATCH(tabCustoUnit[[#Headers],[Uniformes e EPIs]],tabParametros[#Headers],0),0)</f>
        <v>62.806666666666665</v>
      </c>
      <c r="BH208" s="22">
        <f>VLOOKUP(tabCustoUnit[[#This Row],[Código do Posto]],tabParametros[],MATCH(tabCustoUnit[[#Headers],[Materiais de Consumo]],tabParametros[#Headers],0),0)</f>
        <v>12.108481690426325</v>
      </c>
      <c r="BI208" s="22">
        <f>VLOOKUP(tabCustoUnit[[#This Row],[Código do Posto]],tabParametros[],MATCH(tabCustoUnit[[#Headers],[Máquinas e Equipamentos (depreciação)]],tabParametros[#Headers],0),0)</f>
        <v>21.998657016417809</v>
      </c>
      <c r="BJ208" s="22">
        <f>VLOOKUP(tabCustoUnit[[#This Row],[Código do Posto]],tabParametros[],MATCH(tabCustoUnit[[#Headers],[Produtos de Limpeza e Materiais de Higiene Pessoal]],tabParametros[#Headers],0),0)</f>
        <v>235.31984072022155</v>
      </c>
      <c r="BK208" s="22">
        <f>VLOOKUP(tabCustoUnit[[#This Row],[Código do Posto]],tabParametros[],MATCH(tabCustoUnit[[#Headers],[Outros (especificar)]],tabParametros[#Headers],0),0)</f>
        <v>0</v>
      </c>
      <c r="BL208" s="22">
        <f>SUM(tabCustoUnit[[#This Row],[Uniformes e EPIs]:[Outros (especificar)]])</f>
        <v>332.23364609373232</v>
      </c>
      <c r="BM208" s="22">
        <f>tabCustoUnit[[#This Row],[MODULO 1 - REMUNERAÇÃO ]]+tabCustoUnit[[#This Row],[MÓDULO 2 - Total Encargos e Benefícios mensais e diários]]+tabCustoUnit[[#This Row],[MÓDULO 3 – PROVISÃO PARA RESCISÃO]]+tabCustoUnit[[#This Row],[MÓDULO 4 – CUSTO DE REPOSIÇÃO DO PROFISSIONAL AUSENTE]]+tabCustoUnit[[#This Row],[MÓDULO 5 – INSUMOS DIVERSOS]]</f>
        <v>2155.0184999148137</v>
      </c>
      <c r="BN208" s="22">
        <f>VLOOKUP(tabCustoUnit[[#This Row],[Código do Posto]],tabParametros[],MATCH(tabCustoUnit[[#Headers],[Custos Indiretos]],tabParametros[#Headers],0),0)</f>
        <v>189.64880140242613</v>
      </c>
      <c r="BO208" s="22">
        <f>VLOOKUP(tabCustoUnit[[#This Row],[Código do Posto]],tabParametros[],MATCH(tabCustoUnit[[#Headers],[Lucro]],tabParametros[#Headers],0),0)</f>
        <v>159.30499317803796</v>
      </c>
      <c r="BP208" s="26">
        <f>((100/((1-tabCustoUnit[[#This Row],[Resumo de Alíquotas (PIS+CONFINS+ISS)]]))-100)*VLOOKUP(tabCustoUnit[[#This Row],[Código do Posto]],tabParametros[],MATCH(tabCustoUnit[[#Headers],[COFINS]],tabParametros[#Headers],0),0))/(tabCustoUnit[[#This Row],[Resumo de Alíquotas (PIS+CONFINS+ISS)]]*100)</f>
        <v>8.6609686609686695E-2</v>
      </c>
      <c r="BQ208" s="26">
        <f>((100/((100-(tabCustoUnit[[#This Row],[Resumo de Alíquotas (PIS+CONFINS+ISS)]]*100))%)-100)*VLOOKUP(tabCustoUnit[[#This Row],[Código do Posto]],tabParametros[],MATCH(tabCustoUnit[[#Headers],[PIS]],tabParametros[#Headers],0),0))/(tabCustoUnit[[#This Row],[Resumo de Alíquotas (PIS+CONFINS+ISS)]]*100)</f>
        <v>1.880341880341882E-2</v>
      </c>
      <c r="BR208" s="28">
        <f>VLOOKUP(tabCustoUnit[[#This Row],[Código do Posto]],tabParametros[],MATCH(tabCustoUnit[[#Headers],[ISS]],tabParametros[#Headers],0),0)</f>
        <v>0.03</v>
      </c>
      <c r="BS208" s="26">
        <f>(((100/((100-(tabCustoUnit[[#This Row],[Resumo de Alíquotas (PIS+CONFINS+ISS)]]*100))%)-100)*tabCustoUnit[[#This Row],[ISS]])/tabCustoUnit[[#This Row],[Resumo de Alíquotas (PIS+CONFINS+ISS)]])/100</f>
        <v>3.4188034188034219E-2</v>
      </c>
      <c r="BT208" s="26">
        <f>(VLOOKUP(tabCustoUnit[[#This Row],[Código do Posto]],tabParametros[],MATCH(tabCustoUnit[[#Headers],[COFINS]],tabParametros[#Headers],0),0)+
VLOOKUP(tabCustoUnit[[#This Row],[Código do Posto]],tabParametros[],MATCH(tabCustoUnit[[#Headers],[PIS]],tabParametros[#Headers],0),0)+
VLOOKUP(tabCustoUnit[[#This Row],[Código do Posto]],tabParametros[],MATCH(tabCustoUnit[[#Headers],[ISS]],tabParametros[#Headers],0),0))</f>
        <v>0.1225</v>
      </c>
      <c r="BU208" s="138">
        <f>tabCustoUnit[[#This Row],[COFINS]]+tabCustoUnit[[#This Row],[PIS]]+tabCustoUnit[[#This Row],[ISS (Conversão Alíquota s/ fatura)]]</f>
        <v>0.13960113960113973</v>
      </c>
      <c r="BV208" s="22">
        <f>(tabCustoUnit[[#This Row],[TOTAL MÓDULOS 1+2+3+4+5]]+tabCustoUnit[[#This Row],[Custos Indiretos]]+tabCustoUnit[[#This Row],[Lucro]])*tabCustoUnit[[#This Row],[PIS + COFINS + ISS (Total Conversão  Alíquota s/ Fatura)]]</f>
        <v>349.55738584122145</v>
      </c>
      <c r="BW208" s="22">
        <f>tabCustoUnit[[#This Row],[Custos Indiretos]]+tabCustoUnit[[#This Row],[Lucro]]+tabCustoUnit[[#This Row],[Valor dos Tributos (ISS, PIS, CONFINS)]]</f>
        <v>698.51118042168559</v>
      </c>
      <c r="BX208" s="22">
        <f>tabCustoUnit[[#This Row],[TOTAL MÓDULOS 1+2+3+4+5]]+tabCustoUnit[[#This Row],[MÓDULO 6 – CUSTOS INDIRETOS, TRIBUTOS E LUCRO]]</f>
        <v>2853.529680336499</v>
      </c>
      <c r="BY208" s="22">
        <f>tabCustoUnit[[#This Row],[CUSTO TOTAL MENSAL]]*12</f>
        <v>34242.356164037992</v>
      </c>
      <c r="BZ208" s="24">
        <f>VLOOKUP(tabCustoUnit[[#This Row],[Código do Posto]],tabParametros[],MATCH(tabCustoUnit[[#Headers],[ANO DA CCT]],tabParametros[#Headers],0),0)</f>
        <v>45658</v>
      </c>
      <c r="CA208" s="25" t="str">
        <f>VLOOKUP(tabCustoUnit[[#This Row],[Código do Posto]],tabParametros[],MATCH(tabCustoUnit[[#Headers],[Nº DE PEDIDO DA CCT]],tabParametros[#Headers],0),0)</f>
        <v>-</v>
      </c>
      <c r="CB208" s="25" t="str">
        <f>VLOOKUP(tabCustoUnit[[#This Row],[Código do Posto]],tabParametros[],MATCH(tabCustoUnit[[#Headers],[TERMO ADITIVO ALTERAÇÃO DA CCT]],tabParametros[#Headers],0),0)</f>
        <v>-</v>
      </c>
    </row>
    <row r="209" spans="1:80" x14ac:dyDescent="0.25">
      <c r="A209" s="20" t="s">
        <v>1544</v>
      </c>
      <c r="B209" t="s">
        <v>189</v>
      </c>
      <c r="C209" t="s">
        <v>1244</v>
      </c>
      <c r="D209" t="s">
        <v>1000</v>
      </c>
      <c r="E209" s="20" t="s">
        <v>9</v>
      </c>
      <c r="F209" s="20" t="s">
        <v>10</v>
      </c>
      <c r="G209" s="21">
        <v>798.14</v>
      </c>
      <c r="H209" s="21">
        <v>0</v>
      </c>
      <c r="I209" s="21">
        <v>0</v>
      </c>
      <c r="J209" s="21">
        <v>0</v>
      </c>
      <c r="K209" s="21">
        <v>0</v>
      </c>
      <c r="L209" s="21">
        <v>0</v>
      </c>
      <c r="M209" s="21">
        <v>0</v>
      </c>
      <c r="N209" s="21">
        <v>26.120899999999999</v>
      </c>
      <c r="O209" s="21">
        <f>SUM(tabCustoUnit[[#This Row],[Salário Base]:[Adicional de Acúmulo de função]])</f>
        <v>824.26089999999999</v>
      </c>
      <c r="P209" s="21">
        <f>tabCustoUnit[[#This Row],[MODULO 1 - REMUNERAÇÃO ]]*SUMIFS(tabParametros[INSS],tabParametros[Código do Posto],tabCustoUnit[[#This Row],[Código do Posto]])</f>
        <v>164.85218</v>
      </c>
      <c r="Q209" s="21">
        <f>tabCustoUnit[[#This Row],[MODULO 1 - REMUNERAÇÃO ]]*SUMIFS(tabParametros[SESI OU SESC],tabParametros[Código do Posto],tabCustoUnit[[#This Row],[Código do Posto]])</f>
        <v>12.363913499999999</v>
      </c>
      <c r="R209" s="21">
        <f>tabCustoUnit[[#This Row],[MODULO 1 - REMUNERAÇÃO ]]*SUMIFS(tabParametros[SENAI OU SENAC],tabParametros[Código do Posto],tabCustoUnit[[#This Row],[Código do Posto]])</f>
        <v>8.2426089999999999</v>
      </c>
      <c r="S209" s="21">
        <f>tabCustoUnit[[#This Row],[MODULO 1 - REMUNERAÇÃO ]]*SUMIFS(tabParametros[INCRA],tabParametros[Código do Posto],tabCustoUnit[[#This Row],[Código do Posto]])</f>
        <v>1.6485217999999999</v>
      </c>
      <c r="T209" s="21">
        <f>tabCustoUnit[[#This Row],[MODULO 1 - REMUNERAÇÃO ]]*SUMIFS(tabParametros[Salário Educação],tabParametros[Código do Posto],tabCustoUnit[[#This Row],[Código do Posto]])</f>
        <v>20.606522500000001</v>
      </c>
      <c r="U209" s="21">
        <f>tabCustoUnit[[#This Row],[MODULO 1 - REMUNERAÇÃO ]]*SUMIFS(tabParametros[FGTS],tabParametros[Código do Posto],tabCustoUnit[[#This Row],[Código do Posto]])</f>
        <v>65.940871999999999</v>
      </c>
      <c r="V209" s="21">
        <f>tabCustoUnit[[#This Row],[MODULO 1 - REMUNERAÇÃO ]]*SUMIFS(tabParametros[RAT Ajustado],tabParametros[Código do Posto],tabCustoUnit[[#This Row],[Código do Posto]])</f>
        <v>32.970435999999999</v>
      </c>
      <c r="W209" s="21">
        <f>tabCustoUnit[[#This Row],[MODULO 1 - REMUNERAÇÃO ]]*SUMIFS(tabParametros[SEBRAE],tabParametros[Código do Posto],tabCustoUnit[[#This Row],[Código do Posto]])</f>
        <v>4.9455654000000004</v>
      </c>
      <c r="X209" s="21">
        <f>SUM(tabCustoUnit[[#This Row],[INSS]:[SEBRAE]])</f>
        <v>311.57062020000001</v>
      </c>
      <c r="Y209" s="21">
        <f>tabCustoUnit[[#This Row],[MODULO 1 - REMUNERAÇÃO ]]*SUMIFS(tabParametros[13º salário (titular)],tabParametros[Código do Posto],tabCustoUnit[[#This Row],[Código do Posto]])</f>
        <v>68.688408333333328</v>
      </c>
      <c r="Z209" s="21">
        <f>tabCustoUnit[[#This Row],[MODULO 1 - REMUNERAÇÃO ]]*SUMIFS(tabParametros[Férias e Adicional de Férias (titular)],tabParametros[Código do Posto],tabCustoUnit[[#This Row],[Código do Posto]])</f>
        <v>91.584544444444433</v>
      </c>
      <c r="AA209" s="21">
        <f>IFERROR((tabCustoUnit[[#This Row],[Submódulo 2.1]]/tabCustoUnit[[#This Row],[MODULO 1 - REMUNERAÇÃO ]])*SUM(tabCustoUnit[[#This Row],[13º salário (titular)]:[Férias e Adicional de Férias (titular)]]),0)</f>
        <v>60.583176149999993</v>
      </c>
      <c r="AB209" s="21">
        <f>SUM(tabCustoUnit[[#This Row],[13º salário (titular)]:[Incidência do Submódulo 2.1 sobre 13º Salário, Férias e Adicional de Férias]])</f>
        <v>220.85612892777775</v>
      </c>
      <c r="AC209" s="22">
        <f>_xlfn.LET(_xlpm.VT,SUMIF(tabParametros[Código do Posto],tabCustoUnit[[#This Row],[Código do Posto]],tabParametros[Vale - Transporte])*2*20,
IF((_xlpm.VT-tabCustoUnit[[#This Row],[Salário Base]]*0.06)&gt;=0,(_xlpm.VT-tabCustoUnit[[#This Row],[Salário Base]]*0.06),0)
)</f>
        <v>208.11160000000001</v>
      </c>
      <c r="AD209" s="22">
        <f>IF(SUMIF(tabParametros[Código do Posto],tabCustoUnit[[#This Row],[Código do Posto]],tabParametros[Vale - Alimentação])&lt;=0,0,
SUMIF(tabParametros[Código do Posto],tabCustoUnit[[#This Row],[Código do Posto]],tabParametros[Vale - Alimentação])*20-1)</f>
        <v>582</v>
      </c>
      <c r="AE209" s="22">
        <f>SUMIF(tabParametros[Código do Posto],tabCustoUnit[[#This Row],[Código do Posto]],tabParametros[Cesta Básica])</f>
        <v>0</v>
      </c>
      <c r="AF209" s="22">
        <f>SUMIF(tabParametros[Código do Posto],tabCustoUnit[[#This Row],[Código do Posto]],tabParametros[PAF])</f>
        <v>0</v>
      </c>
      <c r="AG209" s="22">
        <f>SUMIF(tabParametros[Código do Posto],tabCustoUnit[[#This Row],[Código do Posto]],tabParametros[PQM])</f>
        <v>15.07</v>
      </c>
      <c r="AH209" s="22">
        <f>SUMIF(tabParametros[Código do Posto],tabCustoUnit[[#This Row],[Código do Posto]],tabParametros[PAT])</f>
        <v>0</v>
      </c>
      <c r="AI209" s="22">
        <f>SUMIF(tabParametros[Código do Posto],tabCustoUnit[[#This Row],[Código do Posto]],tabParametros[Seguro de Vida])</f>
        <v>3.36</v>
      </c>
      <c r="AJ209" s="22">
        <f>SUMIF(tabParametros[Código do Posto],tabCustoUnit[[#This Row],[Código do Posto]],tabParametros[Despesas de Viagem])</f>
        <v>0</v>
      </c>
      <c r="AK209" s="22">
        <f>SUM(tabCustoUnit[[#This Row],[Vale - Transporte (Descontada parcela do empregado)]:[Despesas de Viagem]])</f>
        <v>808.54160000000002</v>
      </c>
      <c r="AL209" s="22">
        <f>tabCustoUnit[[#This Row],[Submódulo 2.1]]+tabCustoUnit[[#This Row],[Submódulo 2.2]]+tabCustoUnit[[#This Row],[Submódulo 2.3]]</f>
        <v>1340.9683491277779</v>
      </c>
      <c r="AM209" s="22">
        <f>SUMIF(tabParametros[Código do Posto],tabCustoUnit[[#This Row],[Código do Posto]],tabParametros[Aviso Prévio Indenizado (API) e Reflexo do Aviso Prévio Indenizado])*tabCustoUnit[[#This Row],[MODULO 1 - REMUNERAÇÃO ]]</f>
        <v>5.7795253576581791</v>
      </c>
      <c r="AN209" s="22">
        <f>SUMIF(tabParametros[Código do Posto],tabCustoUnit[[#This Row],[Código do Posto]],tabParametros[Incidência do FGTS sobre API e Reflexo do API])*tabCustoUnit[[#This Row],[MODULO 1 - REMUNERAÇÃO ]]</f>
        <v>0.46236202861265435</v>
      </c>
      <c r="AO209" s="22">
        <f>SUMIF(tabParametros[Código do Posto],tabCustoUnit[[#This Row],[Código do Posto]],tabParametros[Multa Rescisória do FGTS sobre o Aviso Prévio Indenizado])*tabCustoUnit[[#This Row],[MODULO 1 - REMUNERAÇÃO ]]</f>
        <v>0.18494481144506175</v>
      </c>
      <c r="AP209" s="22">
        <f>SUMIF(tabParametros[Código do Posto],tabCustoUnit[[#This Row],[Código do Posto]],tabParametros[Aviso Prévio Trabalhado - APT])*tabCustoUnit[[#This Row],[MODULO 1 - REMUNERAÇÃO ]]</f>
        <v>2.8849131500000005</v>
      </c>
      <c r="AQ209" s="22">
        <f>SUMIF(tabParametros[Código do Posto],tabCustoUnit[[#This Row],[Código do Posto]],tabParametros[Incidência dos encargos do submódulo 2.1 sobre Aviso Prévio Trabalhado])*tabCustoUnit[[#This Row],[MODULO 1 - REMUNERAÇÃO ]]</f>
        <v>1.0904971707000004</v>
      </c>
      <c r="AR209" s="22">
        <f>SUMIF(tabParametros[Código do Posto],tabCustoUnit[[#This Row],[Código do Posto]],tabParametros[Multa Rescisória do FGTS])*tabCustoUnit[[#This Row],[MODULO 1 - REMUNERAÇÃO ]]</f>
        <v>25.204066631111107</v>
      </c>
      <c r="AS209" s="22">
        <f>SUMIF(tabParametros[Código do Posto],tabCustoUnit[[#This Row],[Código do Posto]],tabParametros[Indenização Adicional (Art. 9º da Lei nº 7.238/84)])*tabCustoUnit[[#This Row],[MODULO 1 - REMUNERAÇÃO ]]</f>
        <v>0.6868840833333334</v>
      </c>
      <c r="AT209" s="22">
        <f>SUM(tabCustoUnit[[#This Row],[Aviso Prévio Indenizado (API) e Reflexo do Aviso Prévio Indenizado]:[Indenização Adicional (Art. 9º da Lei nº 7.238/84)]])</f>
        <v>36.293193232860339</v>
      </c>
      <c r="AU209" s="22">
        <f>SUMIF(tabParametros[Código do Posto],tabCustoUnit[[#This Row],[Código do Posto]],tabParametros[Ausência por Doença])*tabCustoUnit[[#This Row],[MODULO 1 - REMUNERAÇÃO ]]</f>
        <v>6.9604253777777769</v>
      </c>
      <c r="AV209" s="22">
        <f>SUMIF(tabParametros[Código do Posto],tabCustoUnit[[#This Row],[Código do Posto]],tabParametros[Ausências Legais])*tabCustoUnit[[#This Row],[MODULO 1 - REMUNERAÇÃO ]]</f>
        <v>1.671417936111111</v>
      </c>
      <c r="AW209" s="22">
        <f>SUMIF(tabParametros[Código do Posto],tabCustoUnit[[#This Row],[Código do Posto]],tabParametros[Licença Paternidade])*tabCustoUnit[[#This Row],[MODULO 1 - REMUNERAÇÃO ]]</f>
        <v>0.14081123708333332</v>
      </c>
      <c r="AX209" s="22">
        <f>SUMIF(tabParametros[Código do Posto],tabCustoUnit[[#This Row],[Código do Posto]],tabParametros[Ausência por Acidente de Trabalho])*tabCustoUnit[[#This Row],[MODULO 1 - REMUNERAÇÃO ]]</f>
        <v>0.17172102083333335</v>
      </c>
      <c r="AY209" s="22">
        <f>SUMIF(tabParametros[Código do Posto],tabCustoUnit[[#This Row],[Código do Posto]],tabParametros[Férias, Adicional de Férias e 13º  com empregada em gozo de Licença Maternidade])*tabCustoUnit[[#This Row],[MODULO 1 - REMUNERAÇÃO ]]</f>
        <v>1.0684863518518517</v>
      </c>
      <c r="AZ209" s="22">
        <f>SUMIF(tabParametros[Código do Posto],tabCustoUnit[[#This Row],[Código do Posto]],tabParametros[Incidência do Submódulo 2.1 sobre Ausências Legais])*tabCustoUnit[[#This Row],[MODULO 1 - REMUNERAÇÃO ]]</f>
        <v>3.7848618071425006</v>
      </c>
      <c r="BA209" s="22">
        <f>SUM(tabCustoUnit[[#This Row],[Ausência por Doença]:[Incidência do Submódulo 2.1 sobre Ausências Legais]])</f>
        <v>13.797723730799909</v>
      </c>
      <c r="BB209" s="22">
        <f>SUMIF(tabParametros[Código do Posto],tabCustoUnit[[#This Row],[Código do Posto]],tabParametros[Intervalo para Repouso ou Alimentação])</f>
        <v>0</v>
      </c>
      <c r="BC209" s="22">
        <f>tabCustoUnit[[#This Row],[Intervalo para Repouso ou Alimentação]]</f>
        <v>0</v>
      </c>
      <c r="BD209" s="22">
        <f>IF(VLOOKUP(tabCustoUnit[[#This Row],[Código do Posto]],PARAMETROS!$A$4:$BJ$255,7,0)&lt;=0,0,
IFERROR((tabCustoUnit[[#This Row],[MODULO 1 - REMUNERAÇÃO ]]*VLOOKUP(tabCustoUnit[[#This Row],[Código do Posto]],PARAMETROS!$A$4:$BJ$255,49,0))/(VLOOKUP(tabCustoUnit[[#This Row],[Código do Posto]],PARAMETROS!$A$4:$BJ$255,7,0)*VLOOKUP(tabCustoUnit[[#This Row],[Código do Posto]],PARAMETROS!$A$4:$BJ$255,8,0)),0)
)</f>
        <v>0</v>
      </c>
      <c r="BE209" s="22">
        <f>tabCustoUnit[[#This Row],[Suspensão Temporária do Contrato de Trabalho]]</f>
        <v>0</v>
      </c>
      <c r="BF209" s="22">
        <f>tabCustoUnit[[#This Row],[Submódulo 4.1]]+tabCustoUnit[[#This Row],[Submódulo 4.2]]+tabCustoUnit[[#This Row],[Submódulo 4.3]]</f>
        <v>13.797723730799909</v>
      </c>
      <c r="BG209" s="22">
        <f>VLOOKUP(tabCustoUnit[[#This Row],[Código do Posto]],tabParametros[],MATCH(tabCustoUnit[[#Headers],[Uniformes e EPIs]],tabParametros[#Headers],0),0)</f>
        <v>62.806666666666665</v>
      </c>
      <c r="BH209" s="22">
        <f>VLOOKUP(tabCustoUnit[[#This Row],[Código do Posto]],tabParametros[],MATCH(tabCustoUnit[[#Headers],[Materiais de Consumo]],tabParametros[#Headers],0),0)</f>
        <v>17.759106479291944</v>
      </c>
      <c r="BI209" s="22">
        <f>VLOOKUP(tabCustoUnit[[#This Row],[Código do Posto]],tabParametros[],MATCH(tabCustoUnit[[#Headers],[Máquinas e Equipamentos (depreciação)]],tabParametros[#Headers],0),0)</f>
        <v>32.264696957412788</v>
      </c>
      <c r="BJ209" s="22">
        <f>VLOOKUP(tabCustoUnit[[#This Row],[Código do Posto]],tabParametros[],MATCH(tabCustoUnit[[#Headers],[Produtos de Limpeza e Materiais de Higiene Pessoal]],tabParametros[#Headers],0),0)</f>
        <v>345.13576638965827</v>
      </c>
      <c r="BK209" s="22">
        <f>VLOOKUP(tabCustoUnit[[#This Row],[Código do Posto]],tabParametros[],MATCH(tabCustoUnit[[#Headers],[Outros (especificar)]],tabParametros[#Headers],0),0)</f>
        <v>0</v>
      </c>
      <c r="BL209" s="22">
        <f>SUM(tabCustoUnit[[#This Row],[Uniformes e EPIs]:[Outros (especificar)]])</f>
        <v>457.96623649302967</v>
      </c>
      <c r="BM209" s="22">
        <f>tabCustoUnit[[#This Row],[MODULO 1 - REMUNERAÇÃO ]]+tabCustoUnit[[#This Row],[MÓDULO 2 - Total Encargos e Benefícios mensais e diários]]+tabCustoUnit[[#This Row],[MÓDULO 3 – PROVISÃO PARA RESCISÃO]]+tabCustoUnit[[#This Row],[MÓDULO 4 – CUSTO DE REPOSIÇÃO DO PROFISSIONAL AUSENTE]]+tabCustoUnit[[#This Row],[MÓDULO 5 – INSUMOS DIVERSOS]]</f>
        <v>2673.2864025844674</v>
      </c>
      <c r="BN209" s="22">
        <f>VLOOKUP(tabCustoUnit[[#This Row],[Código do Posto]],tabParametros[],MATCH(tabCustoUnit[[#Headers],[Custos Indiretos]],tabParametros[#Headers],0),0)</f>
        <v>189.64880140242613</v>
      </c>
      <c r="BO209" s="22">
        <f>VLOOKUP(tabCustoUnit[[#This Row],[Código do Posto]],tabParametros[],MATCH(tabCustoUnit[[#Headers],[Lucro]],tabParametros[#Headers],0),0)</f>
        <v>159.30499317803796</v>
      </c>
      <c r="BP209" s="26">
        <f>((100/((1-tabCustoUnit[[#This Row],[Resumo de Alíquotas (PIS+CONFINS+ISS)]]))-100)*VLOOKUP(tabCustoUnit[[#This Row],[Código do Posto]],tabParametros[],MATCH(tabCustoUnit[[#Headers],[COFINS]],tabParametros[#Headers],0),0))/(tabCustoUnit[[#This Row],[Resumo de Alíquotas (PIS+CONFINS+ISS)]]*100)</f>
        <v>8.8629737609329504E-2</v>
      </c>
      <c r="BQ209" s="26">
        <f>((100/((100-(tabCustoUnit[[#This Row],[Resumo de Alíquotas (PIS+CONFINS+ISS)]]*100))%)-100)*VLOOKUP(tabCustoUnit[[#This Row],[Código do Posto]],tabParametros[],MATCH(tabCustoUnit[[#Headers],[PIS]],tabParametros[#Headers],0),0))/(tabCustoUnit[[#This Row],[Resumo de Alíquotas (PIS+CONFINS+ISS)]]*100)</f>
        <v>1.9241982507288629E-2</v>
      </c>
      <c r="BR209" s="28">
        <f>VLOOKUP(tabCustoUnit[[#This Row],[Código do Posto]],tabParametros[],MATCH(tabCustoUnit[[#Headers],[ISS]],tabParametros[#Headers],0),0)</f>
        <v>0.05</v>
      </c>
      <c r="BS209" s="26">
        <f>(((100/((100-(tabCustoUnit[[#This Row],[Resumo de Alíquotas (PIS+CONFINS+ISS)]]*100))%)-100)*tabCustoUnit[[#This Row],[ISS]])/tabCustoUnit[[#This Row],[Resumo de Alíquotas (PIS+CONFINS+ISS)]])/100</f>
        <v>5.8309037900874633E-2</v>
      </c>
      <c r="BT209" s="26">
        <f>(VLOOKUP(tabCustoUnit[[#This Row],[Código do Posto]],tabParametros[],MATCH(tabCustoUnit[[#Headers],[COFINS]],tabParametros[#Headers],0),0)+
VLOOKUP(tabCustoUnit[[#This Row],[Código do Posto]],tabParametros[],MATCH(tabCustoUnit[[#Headers],[PIS]],tabParametros[#Headers],0),0)+
VLOOKUP(tabCustoUnit[[#This Row],[Código do Posto]],tabParametros[],MATCH(tabCustoUnit[[#Headers],[ISS]],tabParametros[#Headers],0),0))</f>
        <v>0.14250000000000002</v>
      </c>
      <c r="BU209" s="138">
        <f>tabCustoUnit[[#This Row],[COFINS]]+tabCustoUnit[[#This Row],[PIS]]+tabCustoUnit[[#This Row],[ISS (Conversão Alíquota s/ fatura)]]</f>
        <v>0.16618075801749277</v>
      </c>
      <c r="BV209" s="22">
        <f>(tabCustoUnit[[#This Row],[TOTAL MÓDULOS 1+2+3+4+5]]+tabCustoUnit[[#This Row],[Custos Indiretos]]+tabCustoUnit[[#This Row],[Lucro]])*tabCustoUnit[[#This Row],[PIS + COFINS + ISS (Total Conversão  Alíquota s/ Fatura)]]</f>
        <v>502.23816687580512</v>
      </c>
      <c r="BW209" s="22">
        <f>tabCustoUnit[[#This Row],[Custos Indiretos]]+tabCustoUnit[[#This Row],[Lucro]]+tabCustoUnit[[#This Row],[Valor dos Tributos (ISS, PIS, CONFINS)]]</f>
        <v>851.19196145626915</v>
      </c>
      <c r="BX209" s="22">
        <f>tabCustoUnit[[#This Row],[TOTAL MÓDULOS 1+2+3+4+5]]+tabCustoUnit[[#This Row],[MÓDULO 6 – CUSTOS INDIRETOS, TRIBUTOS E LUCRO]]</f>
        <v>3524.4783640407368</v>
      </c>
      <c r="BY209" s="22">
        <f>tabCustoUnit[[#This Row],[CUSTO TOTAL MENSAL]]*12</f>
        <v>42293.740368488841</v>
      </c>
      <c r="BZ209" s="24">
        <f>VLOOKUP(tabCustoUnit[[#This Row],[Código do Posto]],tabParametros[],MATCH(tabCustoUnit[[#Headers],[ANO DA CCT]],tabParametros[#Headers],0),0)</f>
        <v>45658</v>
      </c>
      <c r="CA209" s="25" t="str">
        <f>VLOOKUP(tabCustoUnit[[#This Row],[Código do Posto]],tabParametros[],MATCH(tabCustoUnit[[#Headers],[Nº DE PEDIDO DA CCT]],tabParametros[#Headers],0),0)</f>
        <v>-</v>
      </c>
      <c r="CB209" s="25" t="str">
        <f>VLOOKUP(tabCustoUnit[[#This Row],[Código do Posto]],tabParametros[],MATCH(tabCustoUnit[[#Headers],[TERMO ADITIVO ALTERAÇÃO DA CCT]],tabParametros[#Headers],0),0)</f>
        <v>-</v>
      </c>
    </row>
    <row r="210" spans="1:80" x14ac:dyDescent="0.25">
      <c r="A210" s="20" t="s">
        <v>1545</v>
      </c>
      <c r="B210" t="s">
        <v>190</v>
      </c>
      <c r="C210" t="s">
        <v>1246</v>
      </c>
      <c r="D210" t="s">
        <v>1045</v>
      </c>
      <c r="E210" s="20" t="s">
        <v>9</v>
      </c>
      <c r="F210" s="20" t="s">
        <v>10</v>
      </c>
      <c r="G210" s="21">
        <v>1124.3900000000001</v>
      </c>
      <c r="H210" s="21">
        <v>0</v>
      </c>
      <c r="I210" s="21">
        <v>0</v>
      </c>
      <c r="J210" s="21">
        <v>0</v>
      </c>
      <c r="K210" s="21">
        <v>0</v>
      </c>
      <c r="L210" s="21">
        <v>0</v>
      </c>
      <c r="M210" s="21">
        <v>0</v>
      </c>
      <c r="N210" s="21">
        <v>40.478000000000002</v>
      </c>
      <c r="O210" s="21">
        <f>SUM(tabCustoUnit[[#This Row],[Salário Base]:[Adicional de Acúmulo de função]])</f>
        <v>1164.8680000000002</v>
      </c>
      <c r="P210" s="21">
        <f>tabCustoUnit[[#This Row],[MODULO 1 - REMUNERAÇÃO ]]*SUMIFS(tabParametros[INSS],tabParametros[Código do Posto],tabCustoUnit[[#This Row],[Código do Posto]])</f>
        <v>232.97360000000003</v>
      </c>
      <c r="Q210" s="21">
        <f>tabCustoUnit[[#This Row],[MODULO 1 - REMUNERAÇÃO ]]*SUMIFS(tabParametros[SESI OU SESC],tabParametros[Código do Posto],tabCustoUnit[[#This Row],[Código do Posto]])</f>
        <v>17.473020000000002</v>
      </c>
      <c r="R210" s="21">
        <f>tabCustoUnit[[#This Row],[MODULO 1 - REMUNERAÇÃO ]]*SUMIFS(tabParametros[SENAI OU SENAC],tabParametros[Código do Posto],tabCustoUnit[[#This Row],[Código do Posto]])</f>
        <v>11.648680000000002</v>
      </c>
      <c r="S210" s="21">
        <f>tabCustoUnit[[#This Row],[MODULO 1 - REMUNERAÇÃO ]]*SUMIFS(tabParametros[INCRA],tabParametros[Código do Posto],tabCustoUnit[[#This Row],[Código do Posto]])</f>
        <v>2.3297360000000005</v>
      </c>
      <c r="T210" s="21">
        <f>tabCustoUnit[[#This Row],[MODULO 1 - REMUNERAÇÃO ]]*SUMIFS(tabParametros[Salário Educação],tabParametros[Código do Posto],tabCustoUnit[[#This Row],[Código do Posto]])</f>
        <v>29.121700000000004</v>
      </c>
      <c r="U210" s="21">
        <f>tabCustoUnit[[#This Row],[MODULO 1 - REMUNERAÇÃO ]]*SUMIFS(tabParametros[FGTS],tabParametros[Código do Posto],tabCustoUnit[[#This Row],[Código do Posto]])</f>
        <v>93.189440000000019</v>
      </c>
      <c r="V210" s="21">
        <f>tabCustoUnit[[#This Row],[MODULO 1 - REMUNERAÇÃO ]]*SUMIFS(tabParametros[RAT Ajustado],tabParametros[Código do Posto],tabCustoUnit[[#This Row],[Código do Posto]])</f>
        <v>46.594720000000009</v>
      </c>
      <c r="W210" s="21">
        <f>tabCustoUnit[[#This Row],[MODULO 1 - REMUNERAÇÃO ]]*SUMIFS(tabParametros[SEBRAE],tabParametros[Código do Posto],tabCustoUnit[[#This Row],[Código do Posto]])</f>
        <v>6.9892080000000014</v>
      </c>
      <c r="X210" s="21">
        <f>SUM(tabCustoUnit[[#This Row],[INSS]:[SEBRAE]])</f>
        <v>440.32010400000001</v>
      </c>
      <c r="Y210" s="21">
        <f>tabCustoUnit[[#This Row],[MODULO 1 - REMUNERAÇÃO ]]*SUMIFS(tabParametros[13º salário (titular)],tabParametros[Código do Posto],tabCustoUnit[[#This Row],[Código do Posto]])</f>
        <v>97.072333333333347</v>
      </c>
      <c r="Z210" s="21">
        <f>tabCustoUnit[[#This Row],[MODULO 1 - REMUNERAÇÃO ]]*SUMIFS(tabParametros[Férias e Adicional de Férias (titular)],tabParametros[Código do Posto],tabCustoUnit[[#This Row],[Código do Posto]])</f>
        <v>129.42977777777779</v>
      </c>
      <c r="AA210" s="21">
        <f>IFERROR((tabCustoUnit[[#This Row],[Submódulo 2.1]]/tabCustoUnit[[#This Row],[MODULO 1 - REMUNERAÇÃO ]])*SUM(tabCustoUnit[[#This Row],[13º salário (titular)]:[Férias e Adicional de Férias (titular)]]),0)</f>
        <v>85.617797999999993</v>
      </c>
      <c r="AB210" s="21">
        <f>SUM(tabCustoUnit[[#This Row],[13º salário (titular)]:[Incidência do Submódulo 2.1 sobre 13º Salário, Férias e Adicional de Férias]])</f>
        <v>312.11990911111116</v>
      </c>
      <c r="AC210" s="22">
        <f>_xlfn.LET(_xlpm.VT,SUMIF(tabParametros[Código do Posto],tabCustoUnit[[#This Row],[Código do Posto]],tabParametros[Vale - Transporte])*2*20,
IF((_xlpm.VT-tabCustoUnit[[#This Row],[Salário Base]]*0.06)&gt;=0,(_xlpm.VT-tabCustoUnit[[#This Row],[Salário Base]]*0.06),0)
)</f>
        <v>188.53659999999999</v>
      </c>
      <c r="AD210" s="22">
        <f>IF(SUMIF(tabParametros[Código do Posto],tabCustoUnit[[#This Row],[Código do Posto]],tabParametros[Vale - Alimentação])&lt;=0,0,
SUMIF(tabParametros[Código do Posto],tabCustoUnit[[#This Row],[Código do Posto]],tabParametros[Vale - Alimentação])*20-1)</f>
        <v>582</v>
      </c>
      <c r="AE210" s="22">
        <f>SUMIF(tabParametros[Código do Posto],tabCustoUnit[[#This Row],[Código do Posto]],tabParametros[Cesta Básica])</f>
        <v>0</v>
      </c>
      <c r="AF210" s="22">
        <f>SUMIF(tabParametros[Código do Posto],tabCustoUnit[[#This Row],[Código do Posto]],tabParametros[PAF])</f>
        <v>77.25</v>
      </c>
      <c r="AG210" s="22">
        <f>SUMIF(tabParametros[Código do Posto],tabCustoUnit[[#This Row],[Código do Posto]],tabParametros[PQM])</f>
        <v>0</v>
      </c>
      <c r="AH210" s="22">
        <f>SUMIF(tabParametros[Código do Posto],tabCustoUnit[[#This Row],[Código do Posto]],tabParametros[PAT])</f>
        <v>0</v>
      </c>
      <c r="AI210" s="22">
        <f>SUMIF(tabParametros[Código do Posto],tabCustoUnit[[#This Row],[Código do Posto]],tabParametros[Seguro de Vida])</f>
        <v>3.36</v>
      </c>
      <c r="AJ210" s="22">
        <f>SUMIF(tabParametros[Código do Posto],tabCustoUnit[[#This Row],[Código do Posto]],tabParametros[Despesas de Viagem])</f>
        <v>0</v>
      </c>
      <c r="AK210" s="22">
        <f>SUM(tabCustoUnit[[#This Row],[Vale - Transporte (Descontada parcela do empregado)]:[Despesas de Viagem]])</f>
        <v>851.14660000000003</v>
      </c>
      <c r="AL210" s="22">
        <f>tabCustoUnit[[#This Row],[Submódulo 2.1]]+tabCustoUnit[[#This Row],[Submódulo 2.2]]+tabCustoUnit[[#This Row],[Submódulo 2.3]]</f>
        <v>1603.5866131111111</v>
      </c>
      <c r="AM210" s="22">
        <f>SUMIF(tabParametros[Código do Posto],tabCustoUnit[[#This Row],[Código do Posto]],tabParametros[Aviso Prévio Indenizado (API) e Reflexo do Aviso Prévio Indenizado])*tabCustoUnit[[#This Row],[MODULO 1 - REMUNERAÇÃO ]]</f>
        <v>8.1677829729938285</v>
      </c>
      <c r="AN210" s="22">
        <f>SUMIF(tabParametros[Código do Posto],tabCustoUnit[[#This Row],[Código do Posto]],tabParametros[Incidência do FGTS sobre API e Reflexo do API])*tabCustoUnit[[#This Row],[MODULO 1 - REMUNERAÇÃO ]]</f>
        <v>0.65342263783950627</v>
      </c>
      <c r="AO210" s="22">
        <f>SUMIF(tabParametros[Código do Posto],tabCustoUnit[[#This Row],[Código do Posto]],tabParametros[Multa Rescisória do FGTS sobre o Aviso Prévio Indenizado])*tabCustoUnit[[#This Row],[MODULO 1 - REMUNERAÇÃO ]]</f>
        <v>0.26136905513580255</v>
      </c>
      <c r="AP210" s="22">
        <f>SUMIF(tabParametros[Código do Posto],tabCustoUnit[[#This Row],[Código do Posto]],tabParametros[Aviso Prévio Trabalhado - APT])*tabCustoUnit[[#This Row],[MODULO 1 - REMUNERAÇÃO ]]</f>
        <v>4.0770380000000008</v>
      </c>
      <c r="AQ210" s="22">
        <f>SUMIF(tabParametros[Código do Posto],tabCustoUnit[[#This Row],[Código do Posto]],tabParametros[Incidência dos encargos do submódulo 2.1 sobre Aviso Prévio Trabalhado])*tabCustoUnit[[#This Row],[MODULO 1 - REMUNERAÇÃO ]]</f>
        <v>1.5411203640000006</v>
      </c>
      <c r="AR210" s="22">
        <f>SUMIF(tabParametros[Código do Posto],tabCustoUnit[[#This Row],[Código do Posto]],tabParametros[Multa Rescisória do FGTS])*tabCustoUnit[[#This Row],[MODULO 1 - REMUNERAÇÃO ]]</f>
        <v>35.619074844444441</v>
      </c>
      <c r="AS210" s="22">
        <f>SUMIF(tabParametros[Código do Posto],tabCustoUnit[[#This Row],[Código do Posto]],tabParametros[Indenização Adicional (Art. 9º da Lei nº 7.238/84)])*tabCustoUnit[[#This Row],[MODULO 1 - REMUNERAÇÃO ]]</f>
        <v>0.97072333333333349</v>
      </c>
      <c r="AT210" s="22">
        <f>SUM(tabCustoUnit[[#This Row],[Aviso Prévio Indenizado (API) e Reflexo do Aviso Prévio Indenizado]:[Indenização Adicional (Art. 9º da Lei nº 7.238/84)]])</f>
        <v>51.290531207746916</v>
      </c>
      <c r="AU210" s="22">
        <f>SUMIF(tabParametros[Código do Posto],tabCustoUnit[[#This Row],[Código do Posto]],tabParametros[Ausência por Doença])*tabCustoUnit[[#This Row],[MODULO 1 - REMUNERAÇÃO ]]</f>
        <v>9.8366631111111111</v>
      </c>
      <c r="AV210" s="22">
        <f>SUMIF(tabParametros[Código do Posto],tabCustoUnit[[#This Row],[Código do Posto]],tabParametros[Ausências Legais])*tabCustoUnit[[#This Row],[MODULO 1 - REMUNERAÇÃO ]]</f>
        <v>2.3620934444444446</v>
      </c>
      <c r="AW210" s="22">
        <f>SUMIF(tabParametros[Código do Posto],tabCustoUnit[[#This Row],[Código do Posto]],tabParametros[Licença Paternidade])*tabCustoUnit[[#This Row],[MODULO 1 - REMUNERAÇÃO ]]</f>
        <v>0.19899828333333336</v>
      </c>
      <c r="AX210" s="22">
        <f>SUMIF(tabParametros[Código do Posto],tabCustoUnit[[#This Row],[Código do Posto]],tabParametros[Ausência por Acidente de Trabalho])*tabCustoUnit[[#This Row],[MODULO 1 - REMUNERAÇÃO ]]</f>
        <v>0.24268083333333337</v>
      </c>
      <c r="AY210" s="22">
        <f>SUMIF(tabParametros[Código do Posto],tabCustoUnit[[#This Row],[Código do Posto]],tabParametros[Férias, Adicional de Férias e 13º  com empregada em gozo de Licença Maternidade])*tabCustoUnit[[#This Row],[MODULO 1 - REMUNERAÇÃO ]]</f>
        <v>1.5100140740740742</v>
      </c>
      <c r="AZ210" s="22">
        <f>SUMIF(tabParametros[Código do Posto],tabCustoUnit[[#This Row],[Código do Posto]],tabParametros[Incidência do Submódulo 2.1 sobre Ausências Legais])*tabCustoUnit[[#This Row],[MODULO 1 - REMUNERAÇÃO ]]</f>
        <v>5.3488700041000019</v>
      </c>
      <c r="BA210" s="22">
        <f>SUM(tabCustoUnit[[#This Row],[Ausência por Doença]:[Incidência do Submódulo 2.1 sobre Ausências Legais]])</f>
        <v>19.499319750396296</v>
      </c>
      <c r="BB210" s="22">
        <f>SUMIF(tabParametros[Código do Posto],tabCustoUnit[[#This Row],[Código do Posto]],tabParametros[Intervalo para Repouso ou Alimentação])</f>
        <v>0</v>
      </c>
      <c r="BC210" s="22">
        <f>tabCustoUnit[[#This Row],[Intervalo para Repouso ou Alimentação]]</f>
        <v>0</v>
      </c>
      <c r="BD210" s="22">
        <f>IF(VLOOKUP(tabCustoUnit[[#This Row],[Código do Posto]],PARAMETROS!$A$4:$BJ$255,7,0)&lt;=0,0,
IFERROR((tabCustoUnit[[#This Row],[MODULO 1 - REMUNERAÇÃO ]]*VLOOKUP(tabCustoUnit[[#This Row],[Código do Posto]],PARAMETROS!$A$4:$BJ$255,49,0))/(VLOOKUP(tabCustoUnit[[#This Row],[Código do Posto]],PARAMETROS!$A$4:$BJ$255,7,0)*VLOOKUP(tabCustoUnit[[#This Row],[Código do Posto]],PARAMETROS!$A$4:$BJ$255,8,0)),0)
)</f>
        <v>0</v>
      </c>
      <c r="BE210" s="22">
        <f>tabCustoUnit[[#This Row],[Suspensão Temporária do Contrato de Trabalho]]</f>
        <v>0</v>
      </c>
      <c r="BF210" s="22">
        <f>tabCustoUnit[[#This Row],[Submódulo 4.1]]+tabCustoUnit[[#This Row],[Submódulo 4.2]]+tabCustoUnit[[#This Row],[Submódulo 4.3]]</f>
        <v>19.499319750396296</v>
      </c>
      <c r="BG210" s="22">
        <f>VLOOKUP(tabCustoUnit[[#This Row],[Código do Posto]],tabParametros[],MATCH(tabCustoUnit[[#Headers],[Uniformes e EPIs]],tabParametros[#Headers],0),0)</f>
        <v>100.80916666666666</v>
      </c>
      <c r="BH210" s="22">
        <f>VLOOKUP(tabCustoUnit[[#This Row],[Código do Posto]],tabParametros[],MATCH(tabCustoUnit[[#Headers],[Materiais de Consumo]],tabParametros[#Headers],0),0)</f>
        <v>24.216963380852651</v>
      </c>
      <c r="BI210" s="22">
        <f>VLOOKUP(tabCustoUnit[[#This Row],[Código do Posto]],tabParametros[],MATCH(tabCustoUnit[[#Headers],[Máquinas e Equipamentos (depreciação)]],tabParametros[#Headers],0),0)</f>
        <v>43.997314032835618</v>
      </c>
      <c r="BJ210" s="22">
        <f>VLOOKUP(tabCustoUnit[[#This Row],[Código do Posto]],tabParametros[],MATCH(tabCustoUnit[[#Headers],[Produtos de Limpeza e Materiais de Higiene Pessoal]],tabParametros[#Headers],0),0)</f>
        <v>470.6396814404431</v>
      </c>
      <c r="BK210" s="22">
        <f>VLOOKUP(tabCustoUnit[[#This Row],[Código do Posto]],tabParametros[],MATCH(tabCustoUnit[[#Headers],[Outros (especificar)]],tabParametros[#Headers],0),0)</f>
        <v>0</v>
      </c>
      <c r="BL210" s="22">
        <f>SUM(tabCustoUnit[[#This Row],[Uniformes e EPIs]:[Outros (especificar)]])</f>
        <v>639.66312552079808</v>
      </c>
      <c r="BM210" s="22">
        <f>tabCustoUnit[[#This Row],[MODULO 1 - REMUNERAÇÃO ]]+tabCustoUnit[[#This Row],[MÓDULO 2 - Total Encargos e Benefícios mensais e diários]]+tabCustoUnit[[#This Row],[MÓDULO 3 – PROVISÃO PARA RESCISÃO]]+tabCustoUnit[[#This Row],[MÓDULO 4 – CUSTO DE REPOSIÇÃO DO PROFISSIONAL AUSENTE]]+tabCustoUnit[[#This Row],[MÓDULO 5 – INSUMOS DIVERSOS]]</f>
        <v>3478.9075895900523</v>
      </c>
      <c r="BN210" s="22">
        <f>VLOOKUP(tabCustoUnit[[#This Row],[Código do Posto]],tabParametros[],MATCH(tabCustoUnit[[#Headers],[Custos Indiretos]],tabParametros[#Headers],0),0)</f>
        <v>189.64880140242613</v>
      </c>
      <c r="BO210" s="22">
        <f>VLOOKUP(tabCustoUnit[[#This Row],[Código do Posto]],tabParametros[],MATCH(tabCustoUnit[[#Headers],[Lucro]],tabParametros[#Headers],0),0)</f>
        <v>159.30499317803796</v>
      </c>
      <c r="BP210" s="26">
        <f>((100/((1-tabCustoUnit[[#This Row],[Resumo de Alíquotas (PIS+CONFINS+ISS)]]))-100)*VLOOKUP(tabCustoUnit[[#This Row],[Código do Posto]],tabParametros[],MATCH(tabCustoUnit[[#Headers],[COFINS]],tabParametros[#Headers],0),0))/(tabCustoUnit[[#This Row],[Resumo de Alíquotas (PIS+CONFINS+ISS)]]*100)</f>
        <v>8.5633802816901458E-2</v>
      </c>
      <c r="BQ210" s="26">
        <f>((100/((100-(tabCustoUnit[[#This Row],[Resumo de Alíquotas (PIS+CONFINS+ISS)]]*100))%)-100)*VLOOKUP(tabCustoUnit[[#This Row],[Código do Posto]],tabParametros[],MATCH(tabCustoUnit[[#Headers],[PIS]],tabParametros[#Headers],0),0))/(tabCustoUnit[[#This Row],[Resumo de Alíquotas (PIS+CONFINS+ISS)]]*100)</f>
        <v>1.8591549295774657E-2</v>
      </c>
      <c r="BR210" s="28">
        <f>VLOOKUP(tabCustoUnit[[#This Row],[Código do Posto]],tabParametros[],MATCH(tabCustoUnit[[#Headers],[ISS]],tabParametros[#Headers],0),0)</f>
        <v>0.02</v>
      </c>
      <c r="BS210" s="26">
        <f>(((100/((100-(tabCustoUnit[[#This Row],[Resumo de Alíquotas (PIS+CONFINS+ISS)]]*100))%)-100)*tabCustoUnit[[#This Row],[ISS]])/tabCustoUnit[[#This Row],[Resumo de Alíquotas (PIS+CONFINS+ISS)]])/100</f>
        <v>2.2535211267605645E-2</v>
      </c>
      <c r="BT210" s="26">
        <f>(VLOOKUP(tabCustoUnit[[#This Row],[Código do Posto]],tabParametros[],MATCH(tabCustoUnit[[#Headers],[COFINS]],tabParametros[#Headers],0),0)+
VLOOKUP(tabCustoUnit[[#This Row],[Código do Posto]],tabParametros[],MATCH(tabCustoUnit[[#Headers],[PIS]],tabParametros[#Headers],0),0)+
VLOOKUP(tabCustoUnit[[#This Row],[Código do Posto]],tabParametros[],MATCH(tabCustoUnit[[#Headers],[ISS]],tabParametros[#Headers],0),0))</f>
        <v>0.1125</v>
      </c>
      <c r="BU210" s="138">
        <f>tabCustoUnit[[#This Row],[COFINS]]+tabCustoUnit[[#This Row],[PIS]]+tabCustoUnit[[#This Row],[ISS (Conversão Alíquota s/ fatura)]]</f>
        <v>0.12676056338028174</v>
      </c>
      <c r="BV210" s="22">
        <f>(tabCustoUnit[[#This Row],[TOTAL MÓDULOS 1+2+3+4+5]]+tabCustoUnit[[#This Row],[Custos Indiretos]]+tabCustoUnit[[#This Row],[Lucro]])*tabCustoUnit[[#This Row],[PIS + COFINS + ISS (Total Conversão  Alíquota s/ Fatura)]]</f>
        <v>485.22186559907976</v>
      </c>
      <c r="BW210" s="22">
        <f>tabCustoUnit[[#This Row],[Custos Indiretos]]+tabCustoUnit[[#This Row],[Lucro]]+tabCustoUnit[[#This Row],[Valor dos Tributos (ISS, PIS, CONFINS)]]</f>
        <v>834.17566017954391</v>
      </c>
      <c r="BX210" s="22">
        <f>tabCustoUnit[[#This Row],[TOTAL MÓDULOS 1+2+3+4+5]]+tabCustoUnit[[#This Row],[MÓDULO 6 – CUSTOS INDIRETOS, TRIBUTOS E LUCRO]]</f>
        <v>4313.0832497695965</v>
      </c>
      <c r="BY210" s="22">
        <f>tabCustoUnit[[#This Row],[CUSTO TOTAL MENSAL]]*12</f>
        <v>51756.998997235161</v>
      </c>
      <c r="BZ210" s="24">
        <f>VLOOKUP(tabCustoUnit[[#This Row],[Código do Posto]],tabParametros[],MATCH(tabCustoUnit[[#Headers],[ANO DA CCT]],tabParametros[#Headers],0),0)</f>
        <v>45658</v>
      </c>
      <c r="CA210" s="25" t="str">
        <f>VLOOKUP(tabCustoUnit[[#This Row],[Código do Posto]],tabParametros[],MATCH(tabCustoUnit[[#Headers],[Nº DE PEDIDO DA CCT]],tabParametros[#Headers],0),0)</f>
        <v>-</v>
      </c>
      <c r="CB210" s="25" t="str">
        <f>VLOOKUP(tabCustoUnit[[#This Row],[Código do Posto]],tabParametros[],MATCH(tabCustoUnit[[#Headers],[TERMO ADITIVO ALTERAÇÃO DA CCT]],tabParametros[#Headers],0),0)</f>
        <v>-</v>
      </c>
    </row>
    <row r="211" spans="1:80" x14ac:dyDescent="0.25">
      <c r="A211" s="20" t="s">
        <v>1546</v>
      </c>
      <c r="B211" t="s">
        <v>191</v>
      </c>
      <c r="C211" t="s">
        <v>1247</v>
      </c>
      <c r="D211" t="s">
        <v>1000</v>
      </c>
      <c r="E211" s="20" t="s">
        <v>9</v>
      </c>
      <c r="F211" s="20" t="s">
        <v>10</v>
      </c>
      <c r="G211" s="21">
        <v>544.17999999999995</v>
      </c>
      <c r="H211" s="21">
        <v>0</v>
      </c>
      <c r="I211" s="21">
        <v>0</v>
      </c>
      <c r="J211" s="21">
        <v>0</v>
      </c>
      <c r="K211" s="21">
        <v>0</v>
      </c>
      <c r="L211" s="21">
        <v>0</v>
      </c>
      <c r="M211" s="21">
        <v>0</v>
      </c>
      <c r="N211" s="21">
        <v>19.590499999999999</v>
      </c>
      <c r="O211" s="21">
        <f>SUM(tabCustoUnit[[#This Row],[Salário Base]:[Adicional de Acúmulo de função]])</f>
        <v>563.77049999999997</v>
      </c>
      <c r="P211" s="21">
        <f>tabCustoUnit[[#This Row],[MODULO 1 - REMUNERAÇÃO ]]*SUMIFS(tabParametros[INSS],tabParametros[Código do Posto],tabCustoUnit[[#This Row],[Código do Posto]])</f>
        <v>112.75409999999999</v>
      </c>
      <c r="Q211" s="21">
        <f>tabCustoUnit[[#This Row],[MODULO 1 - REMUNERAÇÃO ]]*SUMIFS(tabParametros[SESI OU SESC],tabParametros[Código do Posto],tabCustoUnit[[#This Row],[Código do Posto]])</f>
        <v>8.4565574999999988</v>
      </c>
      <c r="R211" s="21">
        <f>tabCustoUnit[[#This Row],[MODULO 1 - REMUNERAÇÃO ]]*SUMIFS(tabParametros[SENAI OU SENAC],tabParametros[Código do Posto],tabCustoUnit[[#This Row],[Código do Posto]])</f>
        <v>5.6377049999999995</v>
      </c>
      <c r="S211" s="21">
        <f>tabCustoUnit[[#This Row],[MODULO 1 - REMUNERAÇÃO ]]*SUMIFS(tabParametros[INCRA],tabParametros[Código do Posto],tabCustoUnit[[#This Row],[Código do Posto]])</f>
        <v>1.1275409999999999</v>
      </c>
      <c r="T211" s="21">
        <f>tabCustoUnit[[#This Row],[MODULO 1 - REMUNERAÇÃO ]]*SUMIFS(tabParametros[Salário Educação],tabParametros[Código do Posto],tabCustoUnit[[#This Row],[Código do Posto]])</f>
        <v>14.094262499999999</v>
      </c>
      <c r="U211" s="21">
        <f>tabCustoUnit[[#This Row],[MODULO 1 - REMUNERAÇÃO ]]*SUMIFS(tabParametros[FGTS],tabParametros[Código do Posto],tabCustoUnit[[#This Row],[Código do Posto]])</f>
        <v>45.101639999999996</v>
      </c>
      <c r="V211" s="21">
        <f>tabCustoUnit[[#This Row],[MODULO 1 - REMUNERAÇÃO ]]*SUMIFS(tabParametros[RAT Ajustado],tabParametros[Código do Posto],tabCustoUnit[[#This Row],[Código do Posto]])</f>
        <v>22.550819999999998</v>
      </c>
      <c r="W211" s="21">
        <f>tabCustoUnit[[#This Row],[MODULO 1 - REMUNERAÇÃO ]]*SUMIFS(tabParametros[SEBRAE],tabParametros[Código do Posto],tabCustoUnit[[#This Row],[Código do Posto]])</f>
        <v>3.3826229999999997</v>
      </c>
      <c r="X211" s="21">
        <f>SUM(tabCustoUnit[[#This Row],[INSS]:[SEBRAE]])</f>
        <v>213.10524899999996</v>
      </c>
      <c r="Y211" s="21">
        <f>tabCustoUnit[[#This Row],[MODULO 1 - REMUNERAÇÃO ]]*SUMIFS(tabParametros[13º salário (titular)],tabParametros[Código do Posto],tabCustoUnit[[#This Row],[Código do Posto]])</f>
        <v>46.980874999999997</v>
      </c>
      <c r="Z211" s="21">
        <f>tabCustoUnit[[#This Row],[MODULO 1 - REMUNERAÇÃO ]]*SUMIFS(tabParametros[Férias e Adicional de Férias (titular)],tabParametros[Código do Posto],tabCustoUnit[[#This Row],[Código do Posto]])</f>
        <v>62.641166666666663</v>
      </c>
      <c r="AA211" s="21">
        <f>IFERROR((tabCustoUnit[[#This Row],[Submódulo 2.1]]/tabCustoUnit[[#This Row],[MODULO 1 - REMUNERAÇÃO ]])*SUM(tabCustoUnit[[#This Row],[13º salário (titular)]:[Férias e Adicional de Férias (titular)]]),0)</f>
        <v>41.437131749999992</v>
      </c>
      <c r="AB211" s="21">
        <f>SUM(tabCustoUnit[[#This Row],[13º salário (titular)]:[Incidência do Submódulo 2.1 sobre 13º Salário, Férias e Adicional de Férias]])</f>
        <v>151.05917341666665</v>
      </c>
      <c r="AC211" s="22">
        <f>_xlfn.LET(_xlpm.VT,SUMIF(tabParametros[Código do Posto],tabCustoUnit[[#This Row],[Código do Posto]],tabParametros[Vale - Transporte])*2*20,
IF((_xlpm.VT-tabCustoUnit[[#This Row],[Salário Base]]*0.06)&gt;=0,(_xlpm.VT-tabCustoUnit[[#This Row],[Salário Base]]*0.06),0)
)</f>
        <v>223.3492</v>
      </c>
      <c r="AD211" s="22">
        <f>IF(SUMIF(tabParametros[Código do Posto],tabCustoUnit[[#This Row],[Código do Posto]],tabParametros[Vale - Alimentação])&lt;=0,0,
SUMIF(tabParametros[Código do Posto],tabCustoUnit[[#This Row],[Código do Posto]],tabParametros[Vale - Alimentação])*20-1)</f>
        <v>582</v>
      </c>
      <c r="AE211" s="22">
        <f>SUMIF(tabParametros[Código do Posto],tabCustoUnit[[#This Row],[Código do Posto]],tabParametros[Cesta Básica])</f>
        <v>0</v>
      </c>
      <c r="AF211" s="22">
        <f>SUMIF(tabParametros[Código do Posto],tabCustoUnit[[#This Row],[Código do Posto]],tabParametros[PAF])</f>
        <v>0</v>
      </c>
      <c r="AG211" s="22">
        <f>SUMIF(tabParametros[Código do Posto],tabCustoUnit[[#This Row],[Código do Posto]],tabParametros[PQM])</f>
        <v>15.07</v>
      </c>
      <c r="AH211" s="22">
        <f>SUMIF(tabParametros[Código do Posto],tabCustoUnit[[#This Row],[Código do Posto]],tabParametros[PAT])</f>
        <v>0</v>
      </c>
      <c r="AI211" s="22">
        <f>SUMIF(tabParametros[Código do Posto],tabCustoUnit[[#This Row],[Código do Posto]],tabParametros[Seguro de Vida])</f>
        <v>3.36</v>
      </c>
      <c r="AJ211" s="22">
        <f>SUMIF(tabParametros[Código do Posto],tabCustoUnit[[#This Row],[Código do Posto]],tabParametros[Despesas de Viagem])</f>
        <v>0</v>
      </c>
      <c r="AK211" s="22">
        <f>SUM(tabCustoUnit[[#This Row],[Vale - Transporte (Descontada parcela do empregado)]:[Despesas de Viagem]])</f>
        <v>823.77920000000006</v>
      </c>
      <c r="AL211" s="22">
        <f>tabCustoUnit[[#This Row],[Submódulo 2.1]]+tabCustoUnit[[#This Row],[Submódulo 2.2]]+tabCustoUnit[[#This Row],[Submódulo 2.3]]</f>
        <v>1187.9436224166666</v>
      </c>
      <c r="AM211" s="22">
        <f>SUMIF(tabParametros[Código do Posto],tabCustoUnit[[#This Row],[Código do Posto]],tabParametros[Aviso Prévio Indenizado (API) e Reflexo do Aviso Prévio Indenizado])*tabCustoUnit[[#This Row],[MODULO 1 - REMUNERAÇÃO ]]</f>
        <v>3.9530273735532404</v>
      </c>
      <c r="AN211" s="22">
        <f>SUMIF(tabParametros[Código do Posto],tabCustoUnit[[#This Row],[Código do Posto]],tabParametros[Incidência do FGTS sobre API e Reflexo do API])*tabCustoUnit[[#This Row],[MODULO 1 - REMUNERAÇÃO ]]</f>
        <v>0.31624218988425928</v>
      </c>
      <c r="AO211" s="22">
        <f>SUMIF(tabParametros[Código do Posto],tabCustoUnit[[#This Row],[Código do Posto]],tabParametros[Multa Rescisória do FGTS sobre o Aviso Prévio Indenizado])*tabCustoUnit[[#This Row],[MODULO 1 - REMUNERAÇÃO ]]</f>
        <v>0.12649687595370371</v>
      </c>
      <c r="AP211" s="22">
        <f>SUMIF(tabParametros[Código do Posto],tabCustoUnit[[#This Row],[Código do Posto]],tabParametros[Aviso Prévio Trabalhado - APT])*tabCustoUnit[[#This Row],[MODULO 1 - REMUNERAÇÃO ]]</f>
        <v>1.9731967500000003</v>
      </c>
      <c r="AQ211" s="22">
        <f>SUMIF(tabParametros[Código do Posto],tabCustoUnit[[#This Row],[Código do Posto]],tabParametros[Incidência dos encargos do submódulo 2.1 sobre Aviso Prévio Trabalhado])*tabCustoUnit[[#This Row],[MODULO 1 - REMUNERAÇÃO ]]</f>
        <v>0.74586837150000018</v>
      </c>
      <c r="AR211" s="22">
        <f>SUMIF(tabParametros[Código do Posto],tabCustoUnit[[#This Row],[Código do Posto]],tabParametros[Multa Rescisória do FGTS])*tabCustoUnit[[#This Row],[MODULO 1 - REMUNERAÇÃO ]]</f>
        <v>17.238849066666663</v>
      </c>
      <c r="AS211" s="22">
        <f>SUMIF(tabParametros[Código do Posto],tabCustoUnit[[#This Row],[Código do Posto]],tabParametros[Indenização Adicional (Art. 9º da Lei nº 7.238/84)])*tabCustoUnit[[#This Row],[MODULO 1 - REMUNERAÇÃO ]]</f>
        <v>0.46980875</v>
      </c>
      <c r="AT211" s="22">
        <f>SUM(tabCustoUnit[[#This Row],[Aviso Prévio Indenizado (API) e Reflexo do Aviso Prévio Indenizado]:[Indenização Adicional (Art. 9º da Lei nº 7.238/84)]])</f>
        <v>24.823489377557866</v>
      </c>
      <c r="AU211" s="22">
        <f>SUMIF(tabParametros[Código do Posto],tabCustoUnit[[#This Row],[Código do Posto]],tabParametros[Ausência por Doença])*tabCustoUnit[[#This Row],[MODULO 1 - REMUNERAÇÃO ]]</f>
        <v>4.7607286666666662</v>
      </c>
      <c r="AV211" s="22">
        <f>SUMIF(tabParametros[Código do Posto],tabCustoUnit[[#This Row],[Código do Posto]],tabParametros[Ausências Legais])*tabCustoUnit[[#This Row],[MODULO 1 - REMUNERAÇÃO ]]</f>
        <v>1.1432012916666665</v>
      </c>
      <c r="AW211" s="22">
        <f>SUMIF(tabParametros[Código do Posto],tabCustoUnit[[#This Row],[Código do Posto]],tabParametros[Licença Paternidade])*tabCustoUnit[[#This Row],[MODULO 1 - REMUNERAÇÃO ]]</f>
        <v>9.6310793749999998E-2</v>
      </c>
      <c r="AX211" s="22">
        <f>SUMIF(tabParametros[Código do Posto],tabCustoUnit[[#This Row],[Código do Posto]],tabParametros[Ausência por Acidente de Trabalho])*tabCustoUnit[[#This Row],[MODULO 1 - REMUNERAÇÃO ]]</f>
        <v>0.1174521875</v>
      </c>
      <c r="AY211" s="22">
        <f>SUMIF(tabParametros[Código do Posto],tabCustoUnit[[#This Row],[Código do Posto]],tabParametros[Férias, Adicional de Férias e 13º  com empregada em gozo de Licença Maternidade])*tabCustoUnit[[#This Row],[MODULO 1 - REMUNERAÇÃO ]]</f>
        <v>0.73081361111111109</v>
      </c>
      <c r="AZ211" s="22">
        <f>SUMIF(tabParametros[Código do Posto],tabCustoUnit[[#This Row],[Código do Posto]],tabParametros[Incidência do Submódulo 2.1 sobre Ausências Legais])*tabCustoUnit[[#This Row],[MODULO 1 - REMUNERAÇÃO ]]</f>
        <v>2.5887354761625003</v>
      </c>
      <c r="BA211" s="22">
        <f>SUM(tabCustoUnit[[#This Row],[Ausência por Doença]:[Incidência do Submódulo 2.1 sobre Ausências Legais]])</f>
        <v>9.4372420268569428</v>
      </c>
      <c r="BB211" s="22">
        <f>SUMIF(tabParametros[Código do Posto],tabCustoUnit[[#This Row],[Código do Posto]],tabParametros[Intervalo para Repouso ou Alimentação])</f>
        <v>0</v>
      </c>
      <c r="BC211" s="22">
        <f>tabCustoUnit[[#This Row],[Intervalo para Repouso ou Alimentação]]</f>
        <v>0</v>
      </c>
      <c r="BD211" s="22">
        <f>IF(VLOOKUP(tabCustoUnit[[#This Row],[Código do Posto]],PARAMETROS!$A$4:$BJ$255,7,0)&lt;=0,0,
IFERROR((tabCustoUnit[[#This Row],[MODULO 1 - REMUNERAÇÃO ]]*VLOOKUP(tabCustoUnit[[#This Row],[Código do Posto]],PARAMETROS!$A$4:$BJ$255,49,0))/(VLOOKUP(tabCustoUnit[[#This Row],[Código do Posto]],PARAMETROS!$A$4:$BJ$255,7,0)*VLOOKUP(tabCustoUnit[[#This Row],[Código do Posto]],PARAMETROS!$A$4:$BJ$255,8,0)),0)
)</f>
        <v>0</v>
      </c>
      <c r="BE211" s="22">
        <f>tabCustoUnit[[#This Row],[Suspensão Temporária do Contrato de Trabalho]]</f>
        <v>0</v>
      </c>
      <c r="BF211" s="22">
        <f>tabCustoUnit[[#This Row],[Submódulo 4.1]]+tabCustoUnit[[#This Row],[Submódulo 4.2]]+tabCustoUnit[[#This Row],[Submódulo 4.3]]</f>
        <v>9.4372420268569428</v>
      </c>
      <c r="BG211" s="22">
        <f>VLOOKUP(tabCustoUnit[[#This Row],[Código do Posto]],tabParametros[],MATCH(tabCustoUnit[[#Headers],[Uniformes e EPIs]],tabParametros[#Headers],0),0)</f>
        <v>62.806666666666665</v>
      </c>
      <c r="BH211" s="22">
        <f>VLOOKUP(tabCustoUnit[[#This Row],[Código do Posto]],tabParametros[],MATCH(tabCustoUnit[[#Headers],[Materiais de Consumo]],tabParametros[#Headers],0),0)</f>
        <v>12.108481690426325</v>
      </c>
      <c r="BI211" s="22">
        <f>VLOOKUP(tabCustoUnit[[#This Row],[Código do Posto]],tabParametros[],MATCH(tabCustoUnit[[#Headers],[Máquinas e Equipamentos (depreciação)]],tabParametros[#Headers],0),0)</f>
        <v>21.998657016417809</v>
      </c>
      <c r="BJ211" s="22">
        <f>VLOOKUP(tabCustoUnit[[#This Row],[Código do Posto]],tabParametros[],MATCH(tabCustoUnit[[#Headers],[Produtos de Limpeza e Materiais de Higiene Pessoal]],tabParametros[#Headers],0),0)</f>
        <v>235.31984072022155</v>
      </c>
      <c r="BK211" s="22">
        <f>VLOOKUP(tabCustoUnit[[#This Row],[Código do Posto]],tabParametros[],MATCH(tabCustoUnit[[#Headers],[Outros (especificar)]],tabParametros[#Headers],0),0)</f>
        <v>0</v>
      </c>
      <c r="BL211" s="22">
        <f>SUM(tabCustoUnit[[#This Row],[Uniformes e EPIs]:[Outros (especificar)]])</f>
        <v>332.23364609373232</v>
      </c>
      <c r="BM211" s="22">
        <f>tabCustoUnit[[#This Row],[MODULO 1 - REMUNERAÇÃO ]]+tabCustoUnit[[#This Row],[MÓDULO 2 - Total Encargos e Benefícios mensais e diários]]+tabCustoUnit[[#This Row],[MÓDULO 3 – PROVISÃO PARA RESCISÃO]]+tabCustoUnit[[#This Row],[MÓDULO 4 – CUSTO DE REPOSIÇÃO DO PROFISSIONAL AUSENTE]]+tabCustoUnit[[#This Row],[MÓDULO 5 – INSUMOS DIVERSOS]]</f>
        <v>2118.2084999148137</v>
      </c>
      <c r="BN211" s="22">
        <f>VLOOKUP(tabCustoUnit[[#This Row],[Código do Posto]],tabParametros[],MATCH(tabCustoUnit[[#Headers],[Custos Indiretos]],tabParametros[#Headers],0),0)</f>
        <v>189.64880140242613</v>
      </c>
      <c r="BO211" s="22">
        <f>VLOOKUP(tabCustoUnit[[#This Row],[Código do Posto]],tabParametros[],MATCH(tabCustoUnit[[#Headers],[Lucro]],tabParametros[#Headers],0),0)</f>
        <v>159.30499317803796</v>
      </c>
      <c r="BP211" s="26">
        <f>((100/((1-tabCustoUnit[[#This Row],[Resumo de Alíquotas (PIS+CONFINS+ISS)]]))-100)*VLOOKUP(tabCustoUnit[[#This Row],[Código do Posto]],tabParametros[],MATCH(tabCustoUnit[[#Headers],[COFINS]],tabParametros[#Headers],0),0))/(tabCustoUnit[[#This Row],[Resumo de Alíquotas (PIS+CONFINS+ISS)]]*100)</f>
        <v>8.8629737609329504E-2</v>
      </c>
      <c r="BQ211" s="26">
        <f>((100/((100-(tabCustoUnit[[#This Row],[Resumo de Alíquotas (PIS+CONFINS+ISS)]]*100))%)-100)*VLOOKUP(tabCustoUnit[[#This Row],[Código do Posto]],tabParametros[],MATCH(tabCustoUnit[[#Headers],[PIS]],tabParametros[#Headers],0),0))/(tabCustoUnit[[#This Row],[Resumo de Alíquotas (PIS+CONFINS+ISS)]]*100)</f>
        <v>1.9241982507288629E-2</v>
      </c>
      <c r="BR211" s="28">
        <f>VLOOKUP(tabCustoUnit[[#This Row],[Código do Posto]],tabParametros[],MATCH(tabCustoUnit[[#Headers],[ISS]],tabParametros[#Headers],0),0)</f>
        <v>0.05</v>
      </c>
      <c r="BS211" s="26">
        <f>(((100/((100-(tabCustoUnit[[#This Row],[Resumo de Alíquotas (PIS+CONFINS+ISS)]]*100))%)-100)*tabCustoUnit[[#This Row],[ISS]])/tabCustoUnit[[#This Row],[Resumo de Alíquotas (PIS+CONFINS+ISS)]])/100</f>
        <v>5.8309037900874633E-2</v>
      </c>
      <c r="BT211" s="26">
        <f>(VLOOKUP(tabCustoUnit[[#This Row],[Código do Posto]],tabParametros[],MATCH(tabCustoUnit[[#Headers],[COFINS]],tabParametros[#Headers],0),0)+
VLOOKUP(tabCustoUnit[[#This Row],[Código do Posto]],tabParametros[],MATCH(tabCustoUnit[[#Headers],[PIS]],tabParametros[#Headers],0),0)+
VLOOKUP(tabCustoUnit[[#This Row],[Código do Posto]],tabParametros[],MATCH(tabCustoUnit[[#Headers],[ISS]],tabParametros[#Headers],0),0))</f>
        <v>0.14250000000000002</v>
      </c>
      <c r="BU211" s="138">
        <f>tabCustoUnit[[#This Row],[COFINS]]+tabCustoUnit[[#This Row],[PIS]]+tabCustoUnit[[#This Row],[ISS (Conversão Alíquota s/ fatura)]]</f>
        <v>0.16618075801749277</v>
      </c>
      <c r="BV211" s="22">
        <f>(tabCustoUnit[[#This Row],[TOTAL MÓDULOS 1+2+3+4+5]]+tabCustoUnit[[#This Row],[Custos Indiretos]]+tabCustoUnit[[#This Row],[Lucro]])*tabCustoUnit[[#This Row],[PIS + COFINS + ISS (Total Conversão  Alíquota s/ Fatura)]]</f>
        <v>409.99490025140199</v>
      </c>
      <c r="BW211" s="22">
        <f>tabCustoUnit[[#This Row],[Custos Indiretos]]+tabCustoUnit[[#This Row],[Lucro]]+tabCustoUnit[[#This Row],[Valor dos Tributos (ISS, PIS, CONFINS)]]</f>
        <v>758.94869483186608</v>
      </c>
      <c r="BX211" s="22">
        <f>tabCustoUnit[[#This Row],[TOTAL MÓDULOS 1+2+3+4+5]]+tabCustoUnit[[#This Row],[MÓDULO 6 – CUSTOS INDIRETOS, TRIBUTOS E LUCRO]]</f>
        <v>2877.15719474668</v>
      </c>
      <c r="BY211" s="22">
        <f>tabCustoUnit[[#This Row],[CUSTO TOTAL MENSAL]]*12</f>
        <v>34525.88633696016</v>
      </c>
      <c r="BZ211" s="24">
        <f>VLOOKUP(tabCustoUnit[[#This Row],[Código do Posto]],tabParametros[],MATCH(tabCustoUnit[[#Headers],[ANO DA CCT]],tabParametros[#Headers],0),0)</f>
        <v>45658</v>
      </c>
      <c r="CA211" s="25" t="str">
        <f>VLOOKUP(tabCustoUnit[[#This Row],[Código do Posto]],tabParametros[],MATCH(tabCustoUnit[[#Headers],[Nº DE PEDIDO DA CCT]],tabParametros[#Headers],0),0)</f>
        <v>-</v>
      </c>
      <c r="CB211" s="25" t="str">
        <f>VLOOKUP(tabCustoUnit[[#This Row],[Código do Posto]],tabParametros[],MATCH(tabCustoUnit[[#Headers],[TERMO ADITIVO ALTERAÇÃO DA CCT]],tabParametros[#Headers],0),0)</f>
        <v>-</v>
      </c>
    </row>
    <row r="212" spans="1:80" x14ac:dyDescent="0.25">
      <c r="A212" s="20" t="s">
        <v>1547</v>
      </c>
      <c r="B212" t="s">
        <v>192</v>
      </c>
      <c r="C212" t="s">
        <v>1244</v>
      </c>
      <c r="D212" t="s">
        <v>1028</v>
      </c>
      <c r="E212" s="20" t="s">
        <v>9</v>
      </c>
      <c r="F212" s="20" t="s">
        <v>10</v>
      </c>
      <c r="G212" s="21">
        <v>798.14</v>
      </c>
      <c r="H212" s="21">
        <v>0</v>
      </c>
      <c r="I212" s="21">
        <v>0</v>
      </c>
      <c r="J212" s="21">
        <v>0</v>
      </c>
      <c r="K212" s="21">
        <v>0</v>
      </c>
      <c r="L212" s="21">
        <v>0</v>
      </c>
      <c r="M212" s="21">
        <v>0</v>
      </c>
      <c r="N212" s="21">
        <v>26.120899999999999</v>
      </c>
      <c r="O212" s="21">
        <f>SUM(tabCustoUnit[[#This Row],[Salário Base]:[Adicional de Acúmulo de função]])</f>
        <v>824.26089999999999</v>
      </c>
      <c r="P212" s="21">
        <f>tabCustoUnit[[#This Row],[MODULO 1 - REMUNERAÇÃO ]]*SUMIFS(tabParametros[INSS],tabParametros[Código do Posto],tabCustoUnit[[#This Row],[Código do Posto]])</f>
        <v>164.85218</v>
      </c>
      <c r="Q212" s="21">
        <f>tabCustoUnit[[#This Row],[MODULO 1 - REMUNERAÇÃO ]]*SUMIFS(tabParametros[SESI OU SESC],tabParametros[Código do Posto],tabCustoUnit[[#This Row],[Código do Posto]])</f>
        <v>12.363913499999999</v>
      </c>
      <c r="R212" s="21">
        <f>tabCustoUnit[[#This Row],[MODULO 1 - REMUNERAÇÃO ]]*SUMIFS(tabParametros[SENAI OU SENAC],tabParametros[Código do Posto],tabCustoUnit[[#This Row],[Código do Posto]])</f>
        <v>8.2426089999999999</v>
      </c>
      <c r="S212" s="21">
        <f>tabCustoUnit[[#This Row],[MODULO 1 - REMUNERAÇÃO ]]*SUMIFS(tabParametros[INCRA],tabParametros[Código do Posto],tabCustoUnit[[#This Row],[Código do Posto]])</f>
        <v>1.6485217999999999</v>
      </c>
      <c r="T212" s="21">
        <f>tabCustoUnit[[#This Row],[MODULO 1 - REMUNERAÇÃO ]]*SUMIFS(tabParametros[Salário Educação],tabParametros[Código do Posto],tabCustoUnit[[#This Row],[Código do Posto]])</f>
        <v>20.606522500000001</v>
      </c>
      <c r="U212" s="21">
        <f>tabCustoUnit[[#This Row],[MODULO 1 - REMUNERAÇÃO ]]*SUMIFS(tabParametros[FGTS],tabParametros[Código do Posto],tabCustoUnit[[#This Row],[Código do Posto]])</f>
        <v>65.940871999999999</v>
      </c>
      <c r="V212" s="21">
        <f>tabCustoUnit[[#This Row],[MODULO 1 - REMUNERAÇÃO ]]*SUMIFS(tabParametros[RAT Ajustado],tabParametros[Código do Posto],tabCustoUnit[[#This Row],[Código do Posto]])</f>
        <v>32.970435999999999</v>
      </c>
      <c r="W212" s="21">
        <f>tabCustoUnit[[#This Row],[MODULO 1 - REMUNERAÇÃO ]]*SUMIFS(tabParametros[SEBRAE],tabParametros[Código do Posto],tabCustoUnit[[#This Row],[Código do Posto]])</f>
        <v>4.9455654000000004</v>
      </c>
      <c r="X212" s="21">
        <f>SUM(tabCustoUnit[[#This Row],[INSS]:[SEBRAE]])</f>
        <v>311.57062020000001</v>
      </c>
      <c r="Y212" s="21">
        <f>tabCustoUnit[[#This Row],[MODULO 1 - REMUNERAÇÃO ]]*SUMIFS(tabParametros[13º salário (titular)],tabParametros[Código do Posto],tabCustoUnit[[#This Row],[Código do Posto]])</f>
        <v>68.688408333333328</v>
      </c>
      <c r="Z212" s="21">
        <f>tabCustoUnit[[#This Row],[MODULO 1 - REMUNERAÇÃO ]]*SUMIFS(tabParametros[Férias e Adicional de Férias (titular)],tabParametros[Código do Posto],tabCustoUnit[[#This Row],[Código do Posto]])</f>
        <v>91.584544444444433</v>
      </c>
      <c r="AA212" s="21">
        <f>IFERROR((tabCustoUnit[[#This Row],[Submódulo 2.1]]/tabCustoUnit[[#This Row],[MODULO 1 - REMUNERAÇÃO ]])*SUM(tabCustoUnit[[#This Row],[13º salário (titular)]:[Férias e Adicional de Férias (titular)]]),0)</f>
        <v>60.583176149999993</v>
      </c>
      <c r="AB212" s="21">
        <f>SUM(tabCustoUnit[[#This Row],[13º salário (titular)]:[Incidência do Submódulo 2.1 sobre 13º Salário, Férias e Adicional de Férias]])</f>
        <v>220.85612892777775</v>
      </c>
      <c r="AC212" s="22">
        <f>_xlfn.LET(_xlpm.VT,SUMIF(tabParametros[Código do Posto],tabCustoUnit[[#This Row],[Código do Posto]],tabParametros[Vale - Transporte])*2*20,
IF((_xlpm.VT-tabCustoUnit[[#This Row],[Salário Base]]*0.06)&gt;=0,(_xlpm.VT-tabCustoUnit[[#This Row],[Salário Base]]*0.06),0)
)</f>
        <v>208.11160000000001</v>
      </c>
      <c r="AD212" s="22">
        <f>IF(SUMIF(tabParametros[Código do Posto],tabCustoUnit[[#This Row],[Código do Posto]],tabParametros[Vale - Alimentação])&lt;=0,0,
SUMIF(tabParametros[Código do Posto],tabCustoUnit[[#This Row],[Código do Posto]],tabParametros[Vale - Alimentação])*20-1)</f>
        <v>582</v>
      </c>
      <c r="AE212" s="22">
        <f>SUMIF(tabParametros[Código do Posto],tabCustoUnit[[#This Row],[Código do Posto]],tabParametros[Cesta Básica])</f>
        <v>0</v>
      </c>
      <c r="AF212" s="22">
        <f>SUMIF(tabParametros[Código do Posto],tabCustoUnit[[#This Row],[Código do Posto]],tabParametros[PAF])</f>
        <v>0</v>
      </c>
      <c r="AG212" s="22">
        <f>SUMIF(tabParametros[Código do Posto],tabCustoUnit[[#This Row],[Código do Posto]],tabParametros[PQM])</f>
        <v>0</v>
      </c>
      <c r="AH212" s="22">
        <f>SUMIF(tabParametros[Código do Posto],tabCustoUnit[[#This Row],[Código do Posto]],tabParametros[PAT])</f>
        <v>0</v>
      </c>
      <c r="AI212" s="22">
        <f>SUMIF(tabParametros[Código do Posto],tabCustoUnit[[#This Row],[Código do Posto]],tabParametros[Seguro de Vida])</f>
        <v>3.36</v>
      </c>
      <c r="AJ212" s="22">
        <f>SUMIF(tabParametros[Código do Posto],tabCustoUnit[[#This Row],[Código do Posto]],tabParametros[Despesas de Viagem])</f>
        <v>0</v>
      </c>
      <c r="AK212" s="22">
        <f>SUM(tabCustoUnit[[#This Row],[Vale - Transporte (Descontada parcela do empregado)]:[Despesas de Viagem]])</f>
        <v>793.47159999999997</v>
      </c>
      <c r="AL212" s="22">
        <f>tabCustoUnit[[#This Row],[Submódulo 2.1]]+tabCustoUnit[[#This Row],[Submódulo 2.2]]+tabCustoUnit[[#This Row],[Submódulo 2.3]]</f>
        <v>1325.8983491277777</v>
      </c>
      <c r="AM212" s="22">
        <f>SUMIF(tabParametros[Código do Posto],tabCustoUnit[[#This Row],[Código do Posto]],tabParametros[Aviso Prévio Indenizado (API) e Reflexo do Aviso Prévio Indenizado])*tabCustoUnit[[#This Row],[MODULO 1 - REMUNERAÇÃO ]]</f>
        <v>5.7795253576581791</v>
      </c>
      <c r="AN212" s="22">
        <f>SUMIF(tabParametros[Código do Posto],tabCustoUnit[[#This Row],[Código do Posto]],tabParametros[Incidência do FGTS sobre API e Reflexo do API])*tabCustoUnit[[#This Row],[MODULO 1 - REMUNERAÇÃO ]]</f>
        <v>0.46236202861265435</v>
      </c>
      <c r="AO212" s="22">
        <f>SUMIF(tabParametros[Código do Posto],tabCustoUnit[[#This Row],[Código do Posto]],tabParametros[Multa Rescisória do FGTS sobre o Aviso Prévio Indenizado])*tabCustoUnit[[#This Row],[MODULO 1 - REMUNERAÇÃO ]]</f>
        <v>0.18494481144506175</v>
      </c>
      <c r="AP212" s="22">
        <f>SUMIF(tabParametros[Código do Posto],tabCustoUnit[[#This Row],[Código do Posto]],tabParametros[Aviso Prévio Trabalhado - APT])*tabCustoUnit[[#This Row],[MODULO 1 - REMUNERAÇÃO ]]</f>
        <v>2.8849131500000005</v>
      </c>
      <c r="AQ212" s="22">
        <f>SUMIF(tabParametros[Código do Posto],tabCustoUnit[[#This Row],[Código do Posto]],tabParametros[Incidência dos encargos do submódulo 2.1 sobre Aviso Prévio Trabalhado])*tabCustoUnit[[#This Row],[MODULO 1 - REMUNERAÇÃO ]]</f>
        <v>1.0904971707000004</v>
      </c>
      <c r="AR212" s="22">
        <f>SUMIF(tabParametros[Código do Posto],tabCustoUnit[[#This Row],[Código do Posto]],tabParametros[Multa Rescisória do FGTS])*tabCustoUnit[[#This Row],[MODULO 1 - REMUNERAÇÃO ]]</f>
        <v>25.204066631111107</v>
      </c>
      <c r="AS212" s="22">
        <f>SUMIF(tabParametros[Código do Posto],tabCustoUnit[[#This Row],[Código do Posto]],tabParametros[Indenização Adicional (Art. 9º da Lei nº 7.238/84)])*tabCustoUnit[[#This Row],[MODULO 1 - REMUNERAÇÃO ]]</f>
        <v>0.6868840833333334</v>
      </c>
      <c r="AT212" s="22">
        <f>SUM(tabCustoUnit[[#This Row],[Aviso Prévio Indenizado (API) e Reflexo do Aviso Prévio Indenizado]:[Indenização Adicional (Art. 9º da Lei nº 7.238/84)]])</f>
        <v>36.293193232860339</v>
      </c>
      <c r="AU212" s="22">
        <f>SUMIF(tabParametros[Código do Posto],tabCustoUnit[[#This Row],[Código do Posto]],tabParametros[Ausência por Doença])*tabCustoUnit[[#This Row],[MODULO 1 - REMUNERAÇÃO ]]</f>
        <v>6.9604253777777769</v>
      </c>
      <c r="AV212" s="22">
        <f>SUMIF(tabParametros[Código do Posto],tabCustoUnit[[#This Row],[Código do Posto]],tabParametros[Ausências Legais])*tabCustoUnit[[#This Row],[MODULO 1 - REMUNERAÇÃO ]]</f>
        <v>1.671417936111111</v>
      </c>
      <c r="AW212" s="22">
        <f>SUMIF(tabParametros[Código do Posto],tabCustoUnit[[#This Row],[Código do Posto]],tabParametros[Licença Paternidade])*tabCustoUnit[[#This Row],[MODULO 1 - REMUNERAÇÃO ]]</f>
        <v>0.14081123708333332</v>
      </c>
      <c r="AX212" s="22">
        <f>SUMIF(tabParametros[Código do Posto],tabCustoUnit[[#This Row],[Código do Posto]],tabParametros[Ausência por Acidente de Trabalho])*tabCustoUnit[[#This Row],[MODULO 1 - REMUNERAÇÃO ]]</f>
        <v>0.17172102083333335</v>
      </c>
      <c r="AY212" s="22">
        <f>SUMIF(tabParametros[Código do Posto],tabCustoUnit[[#This Row],[Código do Posto]],tabParametros[Férias, Adicional de Férias e 13º  com empregada em gozo de Licença Maternidade])*tabCustoUnit[[#This Row],[MODULO 1 - REMUNERAÇÃO ]]</f>
        <v>1.0684863518518517</v>
      </c>
      <c r="AZ212" s="22">
        <f>SUMIF(tabParametros[Código do Posto],tabCustoUnit[[#This Row],[Código do Posto]],tabParametros[Incidência do Submódulo 2.1 sobre Ausências Legais])*tabCustoUnit[[#This Row],[MODULO 1 - REMUNERAÇÃO ]]</f>
        <v>3.7848618071425006</v>
      </c>
      <c r="BA212" s="22">
        <f>SUM(tabCustoUnit[[#This Row],[Ausência por Doença]:[Incidência do Submódulo 2.1 sobre Ausências Legais]])</f>
        <v>13.797723730799909</v>
      </c>
      <c r="BB212" s="22">
        <f>SUMIF(tabParametros[Código do Posto],tabCustoUnit[[#This Row],[Código do Posto]],tabParametros[Intervalo para Repouso ou Alimentação])</f>
        <v>0</v>
      </c>
      <c r="BC212" s="22">
        <f>tabCustoUnit[[#This Row],[Intervalo para Repouso ou Alimentação]]</f>
        <v>0</v>
      </c>
      <c r="BD212" s="22">
        <f>IF(VLOOKUP(tabCustoUnit[[#This Row],[Código do Posto]],PARAMETROS!$A$4:$BJ$255,7,0)&lt;=0,0,
IFERROR((tabCustoUnit[[#This Row],[MODULO 1 - REMUNERAÇÃO ]]*VLOOKUP(tabCustoUnit[[#This Row],[Código do Posto]],PARAMETROS!$A$4:$BJ$255,49,0))/(VLOOKUP(tabCustoUnit[[#This Row],[Código do Posto]],PARAMETROS!$A$4:$BJ$255,7,0)*VLOOKUP(tabCustoUnit[[#This Row],[Código do Posto]],PARAMETROS!$A$4:$BJ$255,8,0)),0)
)</f>
        <v>0</v>
      </c>
      <c r="BE212" s="22">
        <f>tabCustoUnit[[#This Row],[Suspensão Temporária do Contrato de Trabalho]]</f>
        <v>0</v>
      </c>
      <c r="BF212" s="22">
        <f>tabCustoUnit[[#This Row],[Submódulo 4.1]]+tabCustoUnit[[#This Row],[Submódulo 4.2]]+tabCustoUnit[[#This Row],[Submódulo 4.3]]</f>
        <v>13.797723730799909</v>
      </c>
      <c r="BG212" s="22">
        <f>VLOOKUP(tabCustoUnit[[#This Row],[Código do Posto]],tabParametros[],MATCH(tabCustoUnit[[#Headers],[Uniformes e EPIs]],tabParametros[#Headers],0),0)</f>
        <v>62.806666666666665</v>
      </c>
      <c r="BH212" s="22">
        <f>VLOOKUP(tabCustoUnit[[#This Row],[Código do Posto]],tabParametros[],MATCH(tabCustoUnit[[#Headers],[Materiais de Consumo]],tabParametros[#Headers],0),0)</f>
        <v>17.759106479291944</v>
      </c>
      <c r="BI212" s="22">
        <f>VLOOKUP(tabCustoUnit[[#This Row],[Código do Posto]],tabParametros[],MATCH(tabCustoUnit[[#Headers],[Máquinas e Equipamentos (depreciação)]],tabParametros[#Headers],0),0)</f>
        <v>32.264696957412788</v>
      </c>
      <c r="BJ212" s="22">
        <f>VLOOKUP(tabCustoUnit[[#This Row],[Código do Posto]],tabParametros[],MATCH(tabCustoUnit[[#Headers],[Produtos de Limpeza e Materiais de Higiene Pessoal]],tabParametros[#Headers],0),0)</f>
        <v>345.13576638965827</v>
      </c>
      <c r="BK212" s="22">
        <f>VLOOKUP(tabCustoUnit[[#This Row],[Código do Posto]],tabParametros[],MATCH(tabCustoUnit[[#Headers],[Outros (especificar)]],tabParametros[#Headers],0),0)</f>
        <v>0</v>
      </c>
      <c r="BL212" s="22">
        <f>SUM(tabCustoUnit[[#This Row],[Uniformes e EPIs]:[Outros (especificar)]])</f>
        <v>457.96623649302967</v>
      </c>
      <c r="BM212" s="22">
        <f>tabCustoUnit[[#This Row],[MODULO 1 - REMUNERAÇÃO ]]+tabCustoUnit[[#This Row],[MÓDULO 2 - Total Encargos e Benefícios mensais e diários]]+tabCustoUnit[[#This Row],[MÓDULO 3 – PROVISÃO PARA RESCISÃO]]+tabCustoUnit[[#This Row],[MÓDULO 4 – CUSTO DE REPOSIÇÃO DO PROFISSIONAL AUSENTE]]+tabCustoUnit[[#This Row],[MÓDULO 5 – INSUMOS DIVERSOS]]</f>
        <v>2658.2164025844677</v>
      </c>
      <c r="BN212" s="22">
        <f>VLOOKUP(tabCustoUnit[[#This Row],[Código do Posto]],tabParametros[],MATCH(tabCustoUnit[[#Headers],[Custos Indiretos]],tabParametros[#Headers],0),0)</f>
        <v>189.64880140242613</v>
      </c>
      <c r="BO212" s="22">
        <f>VLOOKUP(tabCustoUnit[[#This Row],[Código do Posto]],tabParametros[],MATCH(tabCustoUnit[[#Headers],[Lucro]],tabParametros[#Headers],0),0)</f>
        <v>159.30499317803796</v>
      </c>
      <c r="BP212" s="26">
        <f>((100/((1-tabCustoUnit[[#This Row],[Resumo de Alíquotas (PIS+CONFINS+ISS)]]))-100)*VLOOKUP(tabCustoUnit[[#This Row],[Código do Posto]],tabParametros[],MATCH(tabCustoUnit[[#Headers],[COFINS]],tabParametros[#Headers],0),0))/(tabCustoUnit[[#This Row],[Resumo de Alíquotas (PIS+CONFINS+ISS)]]*100)</f>
        <v>8.6609686609686695E-2</v>
      </c>
      <c r="BQ212" s="26">
        <f>((100/((100-(tabCustoUnit[[#This Row],[Resumo de Alíquotas (PIS+CONFINS+ISS)]]*100))%)-100)*VLOOKUP(tabCustoUnit[[#This Row],[Código do Posto]],tabParametros[],MATCH(tabCustoUnit[[#Headers],[PIS]],tabParametros[#Headers],0),0))/(tabCustoUnit[[#This Row],[Resumo de Alíquotas (PIS+CONFINS+ISS)]]*100)</f>
        <v>1.880341880341882E-2</v>
      </c>
      <c r="BR212" s="28">
        <f>VLOOKUP(tabCustoUnit[[#This Row],[Código do Posto]],tabParametros[],MATCH(tabCustoUnit[[#Headers],[ISS]],tabParametros[#Headers],0),0)</f>
        <v>0.03</v>
      </c>
      <c r="BS212" s="26">
        <f>(((100/((100-(tabCustoUnit[[#This Row],[Resumo de Alíquotas (PIS+CONFINS+ISS)]]*100))%)-100)*tabCustoUnit[[#This Row],[ISS]])/tabCustoUnit[[#This Row],[Resumo de Alíquotas (PIS+CONFINS+ISS)]])/100</f>
        <v>3.4188034188034219E-2</v>
      </c>
      <c r="BT212" s="26">
        <f>(VLOOKUP(tabCustoUnit[[#This Row],[Código do Posto]],tabParametros[],MATCH(tabCustoUnit[[#Headers],[COFINS]],tabParametros[#Headers],0),0)+
VLOOKUP(tabCustoUnit[[#This Row],[Código do Posto]],tabParametros[],MATCH(tabCustoUnit[[#Headers],[PIS]],tabParametros[#Headers],0),0)+
VLOOKUP(tabCustoUnit[[#This Row],[Código do Posto]],tabParametros[],MATCH(tabCustoUnit[[#Headers],[ISS]],tabParametros[#Headers],0),0))</f>
        <v>0.1225</v>
      </c>
      <c r="BU212" s="138">
        <f>tabCustoUnit[[#This Row],[COFINS]]+tabCustoUnit[[#This Row],[PIS]]+tabCustoUnit[[#This Row],[ISS (Conversão Alíquota s/ fatura)]]</f>
        <v>0.13960113960113973</v>
      </c>
      <c r="BV212" s="22">
        <f>(tabCustoUnit[[#This Row],[TOTAL MÓDULOS 1+2+3+4+5]]+tabCustoUnit[[#This Row],[Custos Indiretos]]+tabCustoUnit[[#This Row],[Lucro]])*tabCustoUnit[[#This Row],[PIS + COFINS + ISS (Total Conversão  Alíquota s/ Fatura)]]</f>
        <v>419.80438649880853</v>
      </c>
      <c r="BW212" s="22">
        <f>tabCustoUnit[[#This Row],[Custos Indiretos]]+tabCustoUnit[[#This Row],[Lucro]]+tabCustoUnit[[#This Row],[Valor dos Tributos (ISS, PIS, CONFINS)]]</f>
        <v>768.75818107927262</v>
      </c>
      <c r="BX212" s="22">
        <f>tabCustoUnit[[#This Row],[TOTAL MÓDULOS 1+2+3+4+5]]+tabCustoUnit[[#This Row],[MÓDULO 6 – CUSTOS INDIRETOS, TRIBUTOS E LUCRO]]</f>
        <v>3426.9745836637403</v>
      </c>
      <c r="BY212" s="22">
        <f>tabCustoUnit[[#This Row],[CUSTO TOTAL MENSAL]]*12</f>
        <v>41123.69500396488</v>
      </c>
      <c r="BZ212" s="24">
        <f>VLOOKUP(tabCustoUnit[[#This Row],[Código do Posto]],tabParametros[],MATCH(tabCustoUnit[[#Headers],[ANO DA CCT]],tabParametros[#Headers],0),0)</f>
        <v>45658</v>
      </c>
      <c r="CA212" s="25" t="str">
        <f>VLOOKUP(tabCustoUnit[[#This Row],[Código do Posto]],tabParametros[],MATCH(tabCustoUnit[[#Headers],[Nº DE PEDIDO DA CCT]],tabParametros[#Headers],0),0)</f>
        <v>-</v>
      </c>
      <c r="CB212" s="25" t="str">
        <f>VLOOKUP(tabCustoUnit[[#This Row],[Código do Posto]],tabParametros[],MATCH(tabCustoUnit[[#Headers],[TERMO ADITIVO ALTERAÇÃO DA CCT]],tabParametros[#Headers],0),0)</f>
        <v>-</v>
      </c>
    </row>
    <row r="213" spans="1:80" x14ac:dyDescent="0.25">
      <c r="A213" s="20" t="s">
        <v>1548</v>
      </c>
      <c r="B213" t="s">
        <v>193</v>
      </c>
      <c r="C213" t="s">
        <v>1247</v>
      </c>
      <c r="D213" t="s">
        <v>1041</v>
      </c>
      <c r="E213" s="20" t="s">
        <v>9</v>
      </c>
      <c r="F213" s="20" t="s">
        <v>10</v>
      </c>
      <c r="G213" s="21">
        <v>544.17999999999995</v>
      </c>
      <c r="H213" s="21">
        <v>0</v>
      </c>
      <c r="I213" s="21">
        <v>0</v>
      </c>
      <c r="J213" s="21">
        <v>0</v>
      </c>
      <c r="K213" s="21">
        <v>0</v>
      </c>
      <c r="L213" s="21">
        <v>0</v>
      </c>
      <c r="M213" s="21">
        <v>0</v>
      </c>
      <c r="N213" s="21">
        <v>19.590499999999999</v>
      </c>
      <c r="O213" s="21">
        <f>SUM(tabCustoUnit[[#This Row],[Salário Base]:[Adicional de Acúmulo de função]])</f>
        <v>563.77049999999997</v>
      </c>
      <c r="P213" s="21">
        <f>tabCustoUnit[[#This Row],[MODULO 1 - REMUNERAÇÃO ]]*SUMIFS(tabParametros[INSS],tabParametros[Código do Posto],tabCustoUnit[[#This Row],[Código do Posto]])</f>
        <v>112.75409999999999</v>
      </c>
      <c r="Q213" s="21">
        <f>tabCustoUnit[[#This Row],[MODULO 1 - REMUNERAÇÃO ]]*SUMIFS(tabParametros[SESI OU SESC],tabParametros[Código do Posto],tabCustoUnit[[#This Row],[Código do Posto]])</f>
        <v>8.4565574999999988</v>
      </c>
      <c r="R213" s="21">
        <f>tabCustoUnit[[#This Row],[MODULO 1 - REMUNERAÇÃO ]]*SUMIFS(tabParametros[SENAI OU SENAC],tabParametros[Código do Posto],tabCustoUnit[[#This Row],[Código do Posto]])</f>
        <v>5.6377049999999995</v>
      </c>
      <c r="S213" s="21">
        <f>tabCustoUnit[[#This Row],[MODULO 1 - REMUNERAÇÃO ]]*SUMIFS(tabParametros[INCRA],tabParametros[Código do Posto],tabCustoUnit[[#This Row],[Código do Posto]])</f>
        <v>1.1275409999999999</v>
      </c>
      <c r="T213" s="21">
        <f>tabCustoUnit[[#This Row],[MODULO 1 - REMUNERAÇÃO ]]*SUMIFS(tabParametros[Salário Educação],tabParametros[Código do Posto],tabCustoUnit[[#This Row],[Código do Posto]])</f>
        <v>14.094262499999999</v>
      </c>
      <c r="U213" s="21">
        <f>tabCustoUnit[[#This Row],[MODULO 1 - REMUNERAÇÃO ]]*SUMIFS(tabParametros[FGTS],tabParametros[Código do Posto],tabCustoUnit[[#This Row],[Código do Posto]])</f>
        <v>45.101639999999996</v>
      </c>
      <c r="V213" s="21">
        <f>tabCustoUnit[[#This Row],[MODULO 1 - REMUNERAÇÃO ]]*SUMIFS(tabParametros[RAT Ajustado],tabParametros[Código do Posto],tabCustoUnit[[#This Row],[Código do Posto]])</f>
        <v>22.550819999999998</v>
      </c>
      <c r="W213" s="21">
        <f>tabCustoUnit[[#This Row],[MODULO 1 - REMUNERAÇÃO ]]*SUMIFS(tabParametros[SEBRAE],tabParametros[Código do Posto],tabCustoUnit[[#This Row],[Código do Posto]])</f>
        <v>3.3826229999999997</v>
      </c>
      <c r="X213" s="21">
        <f>SUM(tabCustoUnit[[#This Row],[INSS]:[SEBRAE]])</f>
        <v>213.10524899999996</v>
      </c>
      <c r="Y213" s="21">
        <f>tabCustoUnit[[#This Row],[MODULO 1 - REMUNERAÇÃO ]]*SUMIFS(tabParametros[13º salário (titular)],tabParametros[Código do Posto],tabCustoUnit[[#This Row],[Código do Posto]])</f>
        <v>46.980874999999997</v>
      </c>
      <c r="Z213" s="21">
        <f>tabCustoUnit[[#This Row],[MODULO 1 - REMUNERAÇÃO ]]*SUMIFS(tabParametros[Férias e Adicional de Férias (titular)],tabParametros[Código do Posto],tabCustoUnit[[#This Row],[Código do Posto]])</f>
        <v>62.641166666666663</v>
      </c>
      <c r="AA213" s="21">
        <f>IFERROR((tabCustoUnit[[#This Row],[Submódulo 2.1]]/tabCustoUnit[[#This Row],[MODULO 1 - REMUNERAÇÃO ]])*SUM(tabCustoUnit[[#This Row],[13º salário (titular)]:[Férias e Adicional de Férias (titular)]]),0)</f>
        <v>41.437131749999992</v>
      </c>
      <c r="AB213" s="21">
        <f>SUM(tabCustoUnit[[#This Row],[13º salário (titular)]:[Incidência do Submódulo 2.1 sobre 13º Salário, Férias e Adicional de Férias]])</f>
        <v>151.05917341666665</v>
      </c>
      <c r="AC213" s="22">
        <f>_xlfn.LET(_xlpm.VT,SUMIF(tabParametros[Código do Posto],tabCustoUnit[[#This Row],[Código do Posto]],tabParametros[Vale - Transporte])*2*20,
IF((_xlpm.VT-tabCustoUnit[[#This Row],[Salário Base]]*0.06)&gt;=0,(_xlpm.VT-tabCustoUnit[[#This Row],[Salário Base]]*0.06),0)
)</f>
        <v>223.3492</v>
      </c>
      <c r="AD213" s="22">
        <f>IF(SUMIF(tabParametros[Código do Posto],tabCustoUnit[[#This Row],[Código do Posto]],tabParametros[Vale - Alimentação])&lt;=0,0,
SUMIF(tabParametros[Código do Posto],tabCustoUnit[[#This Row],[Código do Posto]],tabParametros[Vale - Alimentação])*20-1)</f>
        <v>582</v>
      </c>
      <c r="AE213" s="22">
        <f>SUMIF(tabParametros[Código do Posto],tabCustoUnit[[#This Row],[Código do Posto]],tabParametros[Cesta Básica])</f>
        <v>0</v>
      </c>
      <c r="AF213" s="22">
        <f>SUMIF(tabParametros[Código do Posto],tabCustoUnit[[#This Row],[Código do Posto]],tabParametros[PAF])</f>
        <v>51.86</v>
      </c>
      <c r="AG213" s="22">
        <f>SUMIF(tabParametros[Código do Posto],tabCustoUnit[[#This Row],[Código do Posto]],tabParametros[PQM])</f>
        <v>0</v>
      </c>
      <c r="AH213" s="22">
        <f>SUMIF(tabParametros[Código do Posto],tabCustoUnit[[#This Row],[Código do Posto]],tabParametros[PAT])</f>
        <v>0</v>
      </c>
      <c r="AI213" s="22">
        <f>SUMIF(tabParametros[Código do Posto],tabCustoUnit[[#This Row],[Código do Posto]],tabParametros[Seguro de Vida])</f>
        <v>3.36</v>
      </c>
      <c r="AJ213" s="22">
        <f>SUMIF(tabParametros[Código do Posto],tabCustoUnit[[#This Row],[Código do Posto]],tabParametros[Despesas de Viagem])</f>
        <v>0</v>
      </c>
      <c r="AK213" s="22">
        <f>SUM(tabCustoUnit[[#This Row],[Vale - Transporte (Descontada parcela do empregado)]:[Despesas de Viagem]])</f>
        <v>860.56920000000002</v>
      </c>
      <c r="AL213" s="22">
        <f>tabCustoUnit[[#This Row],[Submódulo 2.1]]+tabCustoUnit[[#This Row],[Submódulo 2.2]]+tabCustoUnit[[#This Row],[Submódulo 2.3]]</f>
        <v>1224.7336224166665</v>
      </c>
      <c r="AM213" s="22">
        <f>SUMIF(tabParametros[Código do Posto],tabCustoUnit[[#This Row],[Código do Posto]],tabParametros[Aviso Prévio Indenizado (API) e Reflexo do Aviso Prévio Indenizado])*tabCustoUnit[[#This Row],[MODULO 1 - REMUNERAÇÃO ]]</f>
        <v>3.9530273735532404</v>
      </c>
      <c r="AN213" s="22">
        <f>SUMIF(tabParametros[Código do Posto],tabCustoUnit[[#This Row],[Código do Posto]],tabParametros[Incidência do FGTS sobre API e Reflexo do API])*tabCustoUnit[[#This Row],[MODULO 1 - REMUNERAÇÃO ]]</f>
        <v>0.31624218988425928</v>
      </c>
      <c r="AO213" s="22">
        <f>SUMIF(tabParametros[Código do Posto],tabCustoUnit[[#This Row],[Código do Posto]],tabParametros[Multa Rescisória do FGTS sobre o Aviso Prévio Indenizado])*tabCustoUnit[[#This Row],[MODULO 1 - REMUNERAÇÃO ]]</f>
        <v>0.12649687595370371</v>
      </c>
      <c r="AP213" s="22">
        <f>SUMIF(tabParametros[Código do Posto],tabCustoUnit[[#This Row],[Código do Posto]],tabParametros[Aviso Prévio Trabalhado - APT])*tabCustoUnit[[#This Row],[MODULO 1 - REMUNERAÇÃO ]]</f>
        <v>1.9731967500000003</v>
      </c>
      <c r="AQ213" s="22">
        <f>SUMIF(tabParametros[Código do Posto],tabCustoUnit[[#This Row],[Código do Posto]],tabParametros[Incidência dos encargos do submódulo 2.1 sobre Aviso Prévio Trabalhado])*tabCustoUnit[[#This Row],[MODULO 1 - REMUNERAÇÃO ]]</f>
        <v>0.74586837150000018</v>
      </c>
      <c r="AR213" s="22">
        <f>SUMIF(tabParametros[Código do Posto],tabCustoUnit[[#This Row],[Código do Posto]],tabParametros[Multa Rescisória do FGTS])*tabCustoUnit[[#This Row],[MODULO 1 - REMUNERAÇÃO ]]</f>
        <v>17.238849066666663</v>
      </c>
      <c r="AS213" s="22">
        <f>SUMIF(tabParametros[Código do Posto],tabCustoUnit[[#This Row],[Código do Posto]],tabParametros[Indenização Adicional (Art. 9º da Lei nº 7.238/84)])*tabCustoUnit[[#This Row],[MODULO 1 - REMUNERAÇÃO ]]</f>
        <v>0.46980875</v>
      </c>
      <c r="AT213" s="22">
        <f>SUM(tabCustoUnit[[#This Row],[Aviso Prévio Indenizado (API) e Reflexo do Aviso Prévio Indenizado]:[Indenização Adicional (Art. 9º da Lei nº 7.238/84)]])</f>
        <v>24.823489377557866</v>
      </c>
      <c r="AU213" s="22">
        <f>SUMIF(tabParametros[Código do Posto],tabCustoUnit[[#This Row],[Código do Posto]],tabParametros[Ausência por Doença])*tabCustoUnit[[#This Row],[MODULO 1 - REMUNERAÇÃO ]]</f>
        <v>4.7607286666666662</v>
      </c>
      <c r="AV213" s="22">
        <f>SUMIF(tabParametros[Código do Posto],tabCustoUnit[[#This Row],[Código do Posto]],tabParametros[Ausências Legais])*tabCustoUnit[[#This Row],[MODULO 1 - REMUNERAÇÃO ]]</f>
        <v>1.1432012916666665</v>
      </c>
      <c r="AW213" s="22">
        <f>SUMIF(tabParametros[Código do Posto],tabCustoUnit[[#This Row],[Código do Posto]],tabParametros[Licença Paternidade])*tabCustoUnit[[#This Row],[MODULO 1 - REMUNERAÇÃO ]]</f>
        <v>9.6310793749999998E-2</v>
      </c>
      <c r="AX213" s="22">
        <f>SUMIF(tabParametros[Código do Posto],tabCustoUnit[[#This Row],[Código do Posto]],tabParametros[Ausência por Acidente de Trabalho])*tabCustoUnit[[#This Row],[MODULO 1 - REMUNERAÇÃO ]]</f>
        <v>0.1174521875</v>
      </c>
      <c r="AY213" s="22">
        <f>SUMIF(tabParametros[Código do Posto],tabCustoUnit[[#This Row],[Código do Posto]],tabParametros[Férias, Adicional de Férias e 13º  com empregada em gozo de Licença Maternidade])*tabCustoUnit[[#This Row],[MODULO 1 - REMUNERAÇÃO ]]</f>
        <v>0.73081361111111109</v>
      </c>
      <c r="AZ213" s="22">
        <f>SUMIF(tabParametros[Código do Posto],tabCustoUnit[[#This Row],[Código do Posto]],tabParametros[Incidência do Submódulo 2.1 sobre Ausências Legais])*tabCustoUnit[[#This Row],[MODULO 1 - REMUNERAÇÃO ]]</f>
        <v>2.5887354761625003</v>
      </c>
      <c r="BA213" s="22">
        <f>SUM(tabCustoUnit[[#This Row],[Ausência por Doença]:[Incidência do Submódulo 2.1 sobre Ausências Legais]])</f>
        <v>9.4372420268569428</v>
      </c>
      <c r="BB213" s="22">
        <f>SUMIF(tabParametros[Código do Posto],tabCustoUnit[[#This Row],[Código do Posto]],tabParametros[Intervalo para Repouso ou Alimentação])</f>
        <v>0</v>
      </c>
      <c r="BC213" s="22">
        <f>tabCustoUnit[[#This Row],[Intervalo para Repouso ou Alimentação]]</f>
        <v>0</v>
      </c>
      <c r="BD213" s="22">
        <f>IF(VLOOKUP(tabCustoUnit[[#This Row],[Código do Posto]],PARAMETROS!$A$4:$BJ$255,7,0)&lt;=0,0,
IFERROR((tabCustoUnit[[#This Row],[MODULO 1 - REMUNERAÇÃO ]]*VLOOKUP(tabCustoUnit[[#This Row],[Código do Posto]],PARAMETROS!$A$4:$BJ$255,49,0))/(VLOOKUP(tabCustoUnit[[#This Row],[Código do Posto]],PARAMETROS!$A$4:$BJ$255,7,0)*VLOOKUP(tabCustoUnit[[#This Row],[Código do Posto]],PARAMETROS!$A$4:$BJ$255,8,0)),0)
)</f>
        <v>0</v>
      </c>
      <c r="BE213" s="22">
        <f>tabCustoUnit[[#This Row],[Suspensão Temporária do Contrato de Trabalho]]</f>
        <v>0</v>
      </c>
      <c r="BF213" s="22">
        <f>tabCustoUnit[[#This Row],[Submódulo 4.1]]+tabCustoUnit[[#This Row],[Submódulo 4.2]]+tabCustoUnit[[#This Row],[Submódulo 4.3]]</f>
        <v>9.4372420268569428</v>
      </c>
      <c r="BG213" s="22">
        <f>VLOOKUP(tabCustoUnit[[#This Row],[Código do Posto]],tabParametros[],MATCH(tabCustoUnit[[#Headers],[Uniformes e EPIs]],tabParametros[#Headers],0),0)</f>
        <v>62.806666666666665</v>
      </c>
      <c r="BH213" s="22">
        <f>VLOOKUP(tabCustoUnit[[#This Row],[Código do Posto]],tabParametros[],MATCH(tabCustoUnit[[#Headers],[Materiais de Consumo]],tabParametros[#Headers],0),0)</f>
        <v>12.108481690426325</v>
      </c>
      <c r="BI213" s="22">
        <f>VLOOKUP(tabCustoUnit[[#This Row],[Código do Posto]],tabParametros[],MATCH(tabCustoUnit[[#Headers],[Máquinas e Equipamentos (depreciação)]],tabParametros[#Headers],0),0)</f>
        <v>21.998657016417809</v>
      </c>
      <c r="BJ213" s="22">
        <f>VLOOKUP(tabCustoUnit[[#This Row],[Código do Posto]],tabParametros[],MATCH(tabCustoUnit[[#Headers],[Produtos de Limpeza e Materiais de Higiene Pessoal]],tabParametros[#Headers],0),0)</f>
        <v>235.31984072022155</v>
      </c>
      <c r="BK213" s="22">
        <f>VLOOKUP(tabCustoUnit[[#This Row],[Código do Posto]],tabParametros[],MATCH(tabCustoUnit[[#Headers],[Outros (especificar)]],tabParametros[#Headers],0),0)</f>
        <v>0</v>
      </c>
      <c r="BL213" s="22">
        <f>SUM(tabCustoUnit[[#This Row],[Uniformes e EPIs]:[Outros (especificar)]])</f>
        <v>332.23364609373232</v>
      </c>
      <c r="BM213" s="22">
        <f>tabCustoUnit[[#This Row],[MODULO 1 - REMUNERAÇÃO ]]+tabCustoUnit[[#This Row],[MÓDULO 2 - Total Encargos e Benefícios mensais e diários]]+tabCustoUnit[[#This Row],[MÓDULO 3 – PROVISÃO PARA RESCISÃO]]+tabCustoUnit[[#This Row],[MÓDULO 4 – CUSTO DE REPOSIÇÃO DO PROFISSIONAL AUSENTE]]+tabCustoUnit[[#This Row],[MÓDULO 5 – INSUMOS DIVERSOS]]</f>
        <v>2154.9984999148137</v>
      </c>
      <c r="BN213" s="22">
        <f>VLOOKUP(tabCustoUnit[[#This Row],[Código do Posto]],tabParametros[],MATCH(tabCustoUnit[[#Headers],[Custos Indiretos]],tabParametros[#Headers],0),0)</f>
        <v>189.64880140242613</v>
      </c>
      <c r="BO213" s="22">
        <f>VLOOKUP(tabCustoUnit[[#This Row],[Código do Posto]],tabParametros[],MATCH(tabCustoUnit[[#Headers],[Lucro]],tabParametros[#Headers],0),0)</f>
        <v>159.30499317803796</v>
      </c>
      <c r="BP213" s="26">
        <f>((100/((1-tabCustoUnit[[#This Row],[Resumo de Alíquotas (PIS+CONFINS+ISS)]]))-100)*VLOOKUP(tabCustoUnit[[#This Row],[Código do Posto]],tabParametros[],MATCH(tabCustoUnit[[#Headers],[COFINS]],tabParametros[#Headers],0),0))/(tabCustoUnit[[#This Row],[Resumo de Alíquotas (PIS+CONFINS+ISS)]]*100)</f>
        <v>8.6609686609686695E-2</v>
      </c>
      <c r="BQ213" s="26">
        <f>((100/((100-(tabCustoUnit[[#This Row],[Resumo de Alíquotas (PIS+CONFINS+ISS)]]*100))%)-100)*VLOOKUP(tabCustoUnit[[#This Row],[Código do Posto]],tabParametros[],MATCH(tabCustoUnit[[#Headers],[PIS]],tabParametros[#Headers],0),0))/(tabCustoUnit[[#This Row],[Resumo de Alíquotas (PIS+CONFINS+ISS)]]*100)</f>
        <v>1.880341880341882E-2</v>
      </c>
      <c r="BR213" s="28">
        <f>VLOOKUP(tabCustoUnit[[#This Row],[Código do Posto]],tabParametros[],MATCH(tabCustoUnit[[#Headers],[ISS]],tabParametros[#Headers],0),0)</f>
        <v>0.03</v>
      </c>
      <c r="BS213" s="26">
        <f>(((100/((100-(tabCustoUnit[[#This Row],[Resumo de Alíquotas (PIS+CONFINS+ISS)]]*100))%)-100)*tabCustoUnit[[#This Row],[ISS]])/tabCustoUnit[[#This Row],[Resumo de Alíquotas (PIS+CONFINS+ISS)]])/100</f>
        <v>3.4188034188034219E-2</v>
      </c>
      <c r="BT213" s="26">
        <f>(VLOOKUP(tabCustoUnit[[#This Row],[Código do Posto]],tabParametros[],MATCH(tabCustoUnit[[#Headers],[COFINS]],tabParametros[#Headers],0),0)+
VLOOKUP(tabCustoUnit[[#This Row],[Código do Posto]],tabParametros[],MATCH(tabCustoUnit[[#Headers],[PIS]],tabParametros[#Headers],0),0)+
VLOOKUP(tabCustoUnit[[#This Row],[Código do Posto]],tabParametros[],MATCH(tabCustoUnit[[#Headers],[ISS]],tabParametros[#Headers],0),0))</f>
        <v>0.1225</v>
      </c>
      <c r="BU213" s="138">
        <f>tabCustoUnit[[#This Row],[COFINS]]+tabCustoUnit[[#This Row],[PIS]]+tabCustoUnit[[#This Row],[ISS (Conversão Alíquota s/ fatura)]]</f>
        <v>0.13960113960113973</v>
      </c>
      <c r="BV213" s="22">
        <f>(tabCustoUnit[[#This Row],[TOTAL MÓDULOS 1+2+3+4+5]]+tabCustoUnit[[#This Row],[Custos Indiretos]]+tabCustoUnit[[#This Row],[Lucro]])*tabCustoUnit[[#This Row],[PIS + COFINS + ISS (Total Conversão  Alíquota s/ Fatura)]]</f>
        <v>349.55459381842945</v>
      </c>
      <c r="BW213" s="22">
        <f>tabCustoUnit[[#This Row],[Custos Indiretos]]+tabCustoUnit[[#This Row],[Lucro]]+tabCustoUnit[[#This Row],[Valor dos Tributos (ISS, PIS, CONFINS)]]</f>
        <v>698.50838839889354</v>
      </c>
      <c r="BX213" s="22">
        <f>tabCustoUnit[[#This Row],[TOTAL MÓDULOS 1+2+3+4+5]]+tabCustoUnit[[#This Row],[MÓDULO 6 – CUSTOS INDIRETOS, TRIBUTOS E LUCRO]]</f>
        <v>2853.5068883137073</v>
      </c>
      <c r="BY213" s="22">
        <f>tabCustoUnit[[#This Row],[CUSTO TOTAL MENSAL]]*12</f>
        <v>34242.082659764492</v>
      </c>
      <c r="BZ213" s="24">
        <f>VLOOKUP(tabCustoUnit[[#This Row],[Código do Posto]],tabParametros[],MATCH(tabCustoUnit[[#Headers],[ANO DA CCT]],tabParametros[#Headers],0),0)</f>
        <v>45658</v>
      </c>
      <c r="CA213" s="25" t="str">
        <f>VLOOKUP(tabCustoUnit[[#This Row],[Código do Posto]],tabParametros[],MATCH(tabCustoUnit[[#Headers],[Nº DE PEDIDO DA CCT]],tabParametros[#Headers],0),0)</f>
        <v>-</v>
      </c>
      <c r="CB213" s="25" t="str">
        <f>VLOOKUP(tabCustoUnit[[#This Row],[Código do Posto]],tabParametros[],MATCH(tabCustoUnit[[#Headers],[TERMO ADITIVO ALTERAÇÃO DA CCT]],tabParametros[#Headers],0),0)</f>
        <v>-</v>
      </c>
    </row>
    <row r="214" spans="1:80" x14ac:dyDescent="0.25">
      <c r="A214" s="20" t="s">
        <v>1549</v>
      </c>
      <c r="B214" t="s">
        <v>194</v>
      </c>
      <c r="C214" t="s">
        <v>1244</v>
      </c>
      <c r="D214" t="s">
        <v>1015</v>
      </c>
      <c r="E214" s="20" t="s">
        <v>9</v>
      </c>
      <c r="F214" s="20" t="s">
        <v>10</v>
      </c>
      <c r="G214" s="21">
        <v>798.14</v>
      </c>
      <c r="H214" s="21">
        <v>0</v>
      </c>
      <c r="I214" s="21">
        <v>0</v>
      </c>
      <c r="J214" s="21">
        <v>0</v>
      </c>
      <c r="K214" s="21">
        <v>0</v>
      </c>
      <c r="L214" s="21">
        <v>0</v>
      </c>
      <c r="M214" s="21">
        <v>0</v>
      </c>
      <c r="N214" s="21">
        <v>26.120899999999999</v>
      </c>
      <c r="O214" s="21">
        <f>SUM(tabCustoUnit[[#This Row],[Salário Base]:[Adicional de Acúmulo de função]])</f>
        <v>824.26089999999999</v>
      </c>
      <c r="P214" s="21">
        <f>tabCustoUnit[[#This Row],[MODULO 1 - REMUNERAÇÃO ]]*SUMIFS(tabParametros[INSS],tabParametros[Código do Posto],tabCustoUnit[[#This Row],[Código do Posto]])</f>
        <v>164.85218</v>
      </c>
      <c r="Q214" s="21">
        <f>tabCustoUnit[[#This Row],[MODULO 1 - REMUNERAÇÃO ]]*SUMIFS(tabParametros[SESI OU SESC],tabParametros[Código do Posto],tabCustoUnit[[#This Row],[Código do Posto]])</f>
        <v>12.363913499999999</v>
      </c>
      <c r="R214" s="21">
        <f>tabCustoUnit[[#This Row],[MODULO 1 - REMUNERAÇÃO ]]*SUMIFS(tabParametros[SENAI OU SENAC],tabParametros[Código do Posto],tabCustoUnit[[#This Row],[Código do Posto]])</f>
        <v>8.2426089999999999</v>
      </c>
      <c r="S214" s="21">
        <f>tabCustoUnit[[#This Row],[MODULO 1 - REMUNERAÇÃO ]]*SUMIFS(tabParametros[INCRA],tabParametros[Código do Posto],tabCustoUnit[[#This Row],[Código do Posto]])</f>
        <v>1.6485217999999999</v>
      </c>
      <c r="T214" s="21">
        <f>tabCustoUnit[[#This Row],[MODULO 1 - REMUNERAÇÃO ]]*SUMIFS(tabParametros[Salário Educação],tabParametros[Código do Posto],tabCustoUnit[[#This Row],[Código do Posto]])</f>
        <v>20.606522500000001</v>
      </c>
      <c r="U214" s="21">
        <f>tabCustoUnit[[#This Row],[MODULO 1 - REMUNERAÇÃO ]]*SUMIFS(tabParametros[FGTS],tabParametros[Código do Posto],tabCustoUnit[[#This Row],[Código do Posto]])</f>
        <v>65.940871999999999</v>
      </c>
      <c r="V214" s="21">
        <f>tabCustoUnit[[#This Row],[MODULO 1 - REMUNERAÇÃO ]]*SUMIFS(tabParametros[RAT Ajustado],tabParametros[Código do Posto],tabCustoUnit[[#This Row],[Código do Posto]])</f>
        <v>32.970435999999999</v>
      </c>
      <c r="W214" s="21">
        <f>tabCustoUnit[[#This Row],[MODULO 1 - REMUNERAÇÃO ]]*SUMIFS(tabParametros[SEBRAE],tabParametros[Código do Posto],tabCustoUnit[[#This Row],[Código do Posto]])</f>
        <v>4.9455654000000004</v>
      </c>
      <c r="X214" s="21">
        <f>SUM(tabCustoUnit[[#This Row],[INSS]:[SEBRAE]])</f>
        <v>311.57062020000001</v>
      </c>
      <c r="Y214" s="21">
        <f>tabCustoUnit[[#This Row],[MODULO 1 - REMUNERAÇÃO ]]*SUMIFS(tabParametros[13º salário (titular)],tabParametros[Código do Posto],tabCustoUnit[[#This Row],[Código do Posto]])</f>
        <v>68.688408333333328</v>
      </c>
      <c r="Z214" s="21">
        <f>tabCustoUnit[[#This Row],[MODULO 1 - REMUNERAÇÃO ]]*SUMIFS(tabParametros[Férias e Adicional de Férias (titular)],tabParametros[Código do Posto],tabCustoUnit[[#This Row],[Código do Posto]])</f>
        <v>91.584544444444433</v>
      </c>
      <c r="AA214" s="21">
        <f>IFERROR((tabCustoUnit[[#This Row],[Submódulo 2.1]]/tabCustoUnit[[#This Row],[MODULO 1 - REMUNERAÇÃO ]])*SUM(tabCustoUnit[[#This Row],[13º salário (titular)]:[Férias e Adicional de Férias (titular)]]),0)</f>
        <v>60.583176149999993</v>
      </c>
      <c r="AB214" s="21">
        <f>SUM(tabCustoUnit[[#This Row],[13º salário (titular)]:[Incidência do Submódulo 2.1 sobre 13º Salário, Férias e Adicional de Férias]])</f>
        <v>220.85612892777775</v>
      </c>
      <c r="AC214" s="22">
        <f>_xlfn.LET(_xlpm.VT,SUMIF(tabParametros[Código do Posto],tabCustoUnit[[#This Row],[Código do Posto]],tabParametros[Vale - Transporte])*2*20,
IF((_xlpm.VT-tabCustoUnit[[#This Row],[Salário Base]]*0.06)&gt;=0,(_xlpm.VT-tabCustoUnit[[#This Row],[Salário Base]]*0.06),0)
)</f>
        <v>208.11160000000001</v>
      </c>
      <c r="AD214" s="22">
        <f>IF(SUMIF(tabParametros[Código do Posto],tabCustoUnit[[#This Row],[Código do Posto]],tabParametros[Vale - Alimentação])&lt;=0,0,
SUMIF(tabParametros[Código do Posto],tabCustoUnit[[#This Row],[Código do Posto]],tabParametros[Vale - Alimentação])*20-1)</f>
        <v>582</v>
      </c>
      <c r="AE214" s="22">
        <f>SUMIF(tabParametros[Código do Posto],tabCustoUnit[[#This Row],[Código do Posto]],tabParametros[Cesta Básica])</f>
        <v>0</v>
      </c>
      <c r="AF214" s="22">
        <f>SUMIF(tabParametros[Código do Posto],tabCustoUnit[[#This Row],[Código do Posto]],tabParametros[PAF])</f>
        <v>50.74</v>
      </c>
      <c r="AG214" s="22">
        <f>SUMIF(tabParametros[Código do Posto],tabCustoUnit[[#This Row],[Código do Posto]],tabParametros[PQM])</f>
        <v>0</v>
      </c>
      <c r="AH214" s="22">
        <f>SUMIF(tabParametros[Código do Posto],tabCustoUnit[[#This Row],[Código do Posto]],tabParametros[PAT])</f>
        <v>0</v>
      </c>
      <c r="AI214" s="22">
        <f>SUMIF(tabParametros[Código do Posto],tabCustoUnit[[#This Row],[Código do Posto]],tabParametros[Seguro de Vida])</f>
        <v>3.36</v>
      </c>
      <c r="AJ214" s="22">
        <f>SUMIF(tabParametros[Código do Posto],tabCustoUnit[[#This Row],[Código do Posto]],tabParametros[Despesas de Viagem])</f>
        <v>0</v>
      </c>
      <c r="AK214" s="22">
        <f>SUM(tabCustoUnit[[#This Row],[Vale - Transporte (Descontada parcela do empregado)]:[Despesas de Viagem]])</f>
        <v>844.21159999999998</v>
      </c>
      <c r="AL214" s="22">
        <f>tabCustoUnit[[#This Row],[Submódulo 2.1]]+tabCustoUnit[[#This Row],[Submódulo 2.2]]+tabCustoUnit[[#This Row],[Submódulo 2.3]]</f>
        <v>1376.6383491277777</v>
      </c>
      <c r="AM214" s="22">
        <f>SUMIF(tabParametros[Código do Posto],tabCustoUnit[[#This Row],[Código do Posto]],tabParametros[Aviso Prévio Indenizado (API) e Reflexo do Aviso Prévio Indenizado])*tabCustoUnit[[#This Row],[MODULO 1 - REMUNERAÇÃO ]]</f>
        <v>5.7795253576581791</v>
      </c>
      <c r="AN214" s="22">
        <f>SUMIF(tabParametros[Código do Posto],tabCustoUnit[[#This Row],[Código do Posto]],tabParametros[Incidência do FGTS sobre API e Reflexo do API])*tabCustoUnit[[#This Row],[MODULO 1 - REMUNERAÇÃO ]]</f>
        <v>0.46236202861265435</v>
      </c>
      <c r="AO214" s="22">
        <f>SUMIF(tabParametros[Código do Posto],tabCustoUnit[[#This Row],[Código do Posto]],tabParametros[Multa Rescisória do FGTS sobre o Aviso Prévio Indenizado])*tabCustoUnit[[#This Row],[MODULO 1 - REMUNERAÇÃO ]]</f>
        <v>0.18494481144506175</v>
      </c>
      <c r="AP214" s="22">
        <f>SUMIF(tabParametros[Código do Posto],tabCustoUnit[[#This Row],[Código do Posto]],tabParametros[Aviso Prévio Trabalhado - APT])*tabCustoUnit[[#This Row],[MODULO 1 - REMUNERAÇÃO ]]</f>
        <v>2.8849131500000005</v>
      </c>
      <c r="AQ214" s="22">
        <f>SUMIF(tabParametros[Código do Posto],tabCustoUnit[[#This Row],[Código do Posto]],tabParametros[Incidência dos encargos do submódulo 2.1 sobre Aviso Prévio Trabalhado])*tabCustoUnit[[#This Row],[MODULO 1 - REMUNERAÇÃO ]]</f>
        <v>1.0904971707000004</v>
      </c>
      <c r="AR214" s="22">
        <f>SUMIF(tabParametros[Código do Posto],tabCustoUnit[[#This Row],[Código do Posto]],tabParametros[Multa Rescisória do FGTS])*tabCustoUnit[[#This Row],[MODULO 1 - REMUNERAÇÃO ]]</f>
        <v>25.204066631111107</v>
      </c>
      <c r="AS214" s="22">
        <f>SUMIF(tabParametros[Código do Posto],tabCustoUnit[[#This Row],[Código do Posto]],tabParametros[Indenização Adicional (Art. 9º da Lei nº 7.238/84)])*tabCustoUnit[[#This Row],[MODULO 1 - REMUNERAÇÃO ]]</f>
        <v>0.6868840833333334</v>
      </c>
      <c r="AT214" s="22">
        <f>SUM(tabCustoUnit[[#This Row],[Aviso Prévio Indenizado (API) e Reflexo do Aviso Prévio Indenizado]:[Indenização Adicional (Art. 9º da Lei nº 7.238/84)]])</f>
        <v>36.293193232860339</v>
      </c>
      <c r="AU214" s="22">
        <f>SUMIF(tabParametros[Código do Posto],tabCustoUnit[[#This Row],[Código do Posto]],tabParametros[Ausência por Doença])*tabCustoUnit[[#This Row],[MODULO 1 - REMUNERAÇÃO ]]</f>
        <v>6.9604253777777769</v>
      </c>
      <c r="AV214" s="22">
        <f>SUMIF(tabParametros[Código do Posto],tabCustoUnit[[#This Row],[Código do Posto]],tabParametros[Ausências Legais])*tabCustoUnit[[#This Row],[MODULO 1 - REMUNERAÇÃO ]]</f>
        <v>1.671417936111111</v>
      </c>
      <c r="AW214" s="22">
        <f>SUMIF(tabParametros[Código do Posto],tabCustoUnit[[#This Row],[Código do Posto]],tabParametros[Licença Paternidade])*tabCustoUnit[[#This Row],[MODULO 1 - REMUNERAÇÃO ]]</f>
        <v>0.14081123708333332</v>
      </c>
      <c r="AX214" s="22">
        <f>SUMIF(tabParametros[Código do Posto],tabCustoUnit[[#This Row],[Código do Posto]],tabParametros[Ausência por Acidente de Trabalho])*tabCustoUnit[[#This Row],[MODULO 1 - REMUNERAÇÃO ]]</f>
        <v>0.17172102083333335</v>
      </c>
      <c r="AY214" s="22">
        <f>SUMIF(tabParametros[Código do Posto],tabCustoUnit[[#This Row],[Código do Posto]],tabParametros[Férias, Adicional de Férias e 13º  com empregada em gozo de Licença Maternidade])*tabCustoUnit[[#This Row],[MODULO 1 - REMUNERAÇÃO ]]</f>
        <v>1.0684863518518517</v>
      </c>
      <c r="AZ214" s="22">
        <f>SUMIF(tabParametros[Código do Posto],tabCustoUnit[[#This Row],[Código do Posto]],tabParametros[Incidência do Submódulo 2.1 sobre Ausências Legais])*tabCustoUnit[[#This Row],[MODULO 1 - REMUNERAÇÃO ]]</f>
        <v>3.7848618071425006</v>
      </c>
      <c r="BA214" s="22">
        <f>SUM(tabCustoUnit[[#This Row],[Ausência por Doença]:[Incidência do Submódulo 2.1 sobre Ausências Legais]])</f>
        <v>13.797723730799909</v>
      </c>
      <c r="BB214" s="22">
        <f>SUMIF(tabParametros[Código do Posto],tabCustoUnit[[#This Row],[Código do Posto]],tabParametros[Intervalo para Repouso ou Alimentação])</f>
        <v>0</v>
      </c>
      <c r="BC214" s="22">
        <f>tabCustoUnit[[#This Row],[Intervalo para Repouso ou Alimentação]]</f>
        <v>0</v>
      </c>
      <c r="BD214" s="22">
        <f>IF(VLOOKUP(tabCustoUnit[[#This Row],[Código do Posto]],PARAMETROS!$A$4:$BJ$255,7,0)&lt;=0,0,
IFERROR((tabCustoUnit[[#This Row],[MODULO 1 - REMUNERAÇÃO ]]*VLOOKUP(tabCustoUnit[[#This Row],[Código do Posto]],PARAMETROS!$A$4:$BJ$255,49,0))/(VLOOKUP(tabCustoUnit[[#This Row],[Código do Posto]],PARAMETROS!$A$4:$BJ$255,7,0)*VLOOKUP(tabCustoUnit[[#This Row],[Código do Posto]],PARAMETROS!$A$4:$BJ$255,8,0)),0)
)</f>
        <v>0</v>
      </c>
      <c r="BE214" s="22">
        <f>tabCustoUnit[[#This Row],[Suspensão Temporária do Contrato de Trabalho]]</f>
        <v>0</v>
      </c>
      <c r="BF214" s="22">
        <f>tabCustoUnit[[#This Row],[Submódulo 4.1]]+tabCustoUnit[[#This Row],[Submódulo 4.2]]+tabCustoUnit[[#This Row],[Submódulo 4.3]]</f>
        <v>13.797723730799909</v>
      </c>
      <c r="BG214" s="22">
        <f>VLOOKUP(tabCustoUnit[[#This Row],[Código do Posto]],tabParametros[],MATCH(tabCustoUnit[[#Headers],[Uniformes e EPIs]],tabParametros[#Headers],0),0)</f>
        <v>62.806666666666665</v>
      </c>
      <c r="BH214" s="22">
        <f>VLOOKUP(tabCustoUnit[[#This Row],[Código do Posto]],tabParametros[],MATCH(tabCustoUnit[[#Headers],[Materiais de Consumo]],tabParametros[#Headers],0),0)</f>
        <v>17.759106479291944</v>
      </c>
      <c r="BI214" s="22">
        <f>VLOOKUP(tabCustoUnit[[#This Row],[Código do Posto]],tabParametros[],MATCH(tabCustoUnit[[#Headers],[Máquinas e Equipamentos (depreciação)]],tabParametros[#Headers],0),0)</f>
        <v>32.264696957412788</v>
      </c>
      <c r="BJ214" s="22">
        <f>VLOOKUP(tabCustoUnit[[#This Row],[Código do Posto]],tabParametros[],MATCH(tabCustoUnit[[#Headers],[Produtos de Limpeza e Materiais de Higiene Pessoal]],tabParametros[#Headers],0),0)</f>
        <v>345.13576638965827</v>
      </c>
      <c r="BK214" s="22">
        <f>VLOOKUP(tabCustoUnit[[#This Row],[Código do Posto]],tabParametros[],MATCH(tabCustoUnit[[#Headers],[Outros (especificar)]],tabParametros[#Headers],0),0)</f>
        <v>0</v>
      </c>
      <c r="BL214" s="22">
        <f>SUM(tabCustoUnit[[#This Row],[Uniformes e EPIs]:[Outros (especificar)]])</f>
        <v>457.96623649302967</v>
      </c>
      <c r="BM214" s="22">
        <f>tabCustoUnit[[#This Row],[MODULO 1 - REMUNERAÇÃO ]]+tabCustoUnit[[#This Row],[MÓDULO 2 - Total Encargos e Benefícios mensais e diários]]+tabCustoUnit[[#This Row],[MÓDULO 3 – PROVISÃO PARA RESCISÃO]]+tabCustoUnit[[#This Row],[MÓDULO 4 – CUSTO DE REPOSIÇÃO DO PROFISSIONAL AUSENTE]]+tabCustoUnit[[#This Row],[MÓDULO 5 – INSUMOS DIVERSOS]]</f>
        <v>2708.9564025844675</v>
      </c>
      <c r="BN214" s="22">
        <f>VLOOKUP(tabCustoUnit[[#This Row],[Código do Posto]],tabParametros[],MATCH(tabCustoUnit[[#Headers],[Custos Indiretos]],tabParametros[#Headers],0),0)</f>
        <v>189.64880140242613</v>
      </c>
      <c r="BO214" s="22">
        <f>VLOOKUP(tabCustoUnit[[#This Row],[Código do Posto]],tabParametros[],MATCH(tabCustoUnit[[#Headers],[Lucro]],tabParametros[#Headers],0),0)</f>
        <v>159.30499317803796</v>
      </c>
      <c r="BP214" s="26">
        <f>((100/((1-tabCustoUnit[[#This Row],[Resumo de Alíquotas (PIS+CONFINS+ISS)]]))-100)*VLOOKUP(tabCustoUnit[[#This Row],[Código do Posto]],tabParametros[],MATCH(tabCustoUnit[[#Headers],[COFINS]],tabParametros[#Headers],0),0))/(tabCustoUnit[[#This Row],[Resumo de Alíquotas (PIS+CONFINS+ISS)]]*100)</f>
        <v>8.6609686609686695E-2</v>
      </c>
      <c r="BQ214" s="26">
        <f>((100/((100-(tabCustoUnit[[#This Row],[Resumo de Alíquotas (PIS+CONFINS+ISS)]]*100))%)-100)*VLOOKUP(tabCustoUnit[[#This Row],[Código do Posto]],tabParametros[],MATCH(tabCustoUnit[[#Headers],[PIS]],tabParametros[#Headers],0),0))/(tabCustoUnit[[#This Row],[Resumo de Alíquotas (PIS+CONFINS+ISS)]]*100)</f>
        <v>1.880341880341882E-2</v>
      </c>
      <c r="BR214" s="28">
        <f>VLOOKUP(tabCustoUnit[[#This Row],[Código do Posto]],tabParametros[],MATCH(tabCustoUnit[[#Headers],[ISS]],tabParametros[#Headers],0),0)</f>
        <v>0.03</v>
      </c>
      <c r="BS214" s="26">
        <f>(((100/((100-(tabCustoUnit[[#This Row],[Resumo de Alíquotas (PIS+CONFINS+ISS)]]*100))%)-100)*tabCustoUnit[[#This Row],[ISS]])/tabCustoUnit[[#This Row],[Resumo de Alíquotas (PIS+CONFINS+ISS)]])/100</f>
        <v>3.4188034188034219E-2</v>
      </c>
      <c r="BT214" s="26">
        <f>(VLOOKUP(tabCustoUnit[[#This Row],[Código do Posto]],tabParametros[],MATCH(tabCustoUnit[[#Headers],[COFINS]],tabParametros[#Headers],0),0)+
VLOOKUP(tabCustoUnit[[#This Row],[Código do Posto]],tabParametros[],MATCH(tabCustoUnit[[#Headers],[PIS]],tabParametros[#Headers],0),0)+
VLOOKUP(tabCustoUnit[[#This Row],[Código do Posto]],tabParametros[],MATCH(tabCustoUnit[[#Headers],[ISS]],tabParametros[#Headers],0),0))</f>
        <v>0.1225</v>
      </c>
      <c r="BU214" s="138">
        <f>tabCustoUnit[[#This Row],[COFINS]]+tabCustoUnit[[#This Row],[PIS]]+tabCustoUnit[[#This Row],[ISS (Conversão Alíquota s/ fatura)]]</f>
        <v>0.13960113960113973</v>
      </c>
      <c r="BV214" s="22">
        <f>(tabCustoUnit[[#This Row],[TOTAL MÓDULOS 1+2+3+4+5]]+tabCustoUnit[[#This Row],[Custos Indiretos]]+tabCustoUnit[[#This Row],[Lucro]])*tabCustoUnit[[#This Row],[PIS + COFINS + ISS (Total Conversão  Alíquota s/ Fatura)]]</f>
        <v>426.88774832217035</v>
      </c>
      <c r="BW214" s="22">
        <f>tabCustoUnit[[#This Row],[Custos Indiretos]]+tabCustoUnit[[#This Row],[Lucro]]+tabCustoUnit[[#This Row],[Valor dos Tributos (ISS, PIS, CONFINS)]]</f>
        <v>775.8415429026345</v>
      </c>
      <c r="BX214" s="22">
        <f>tabCustoUnit[[#This Row],[TOTAL MÓDULOS 1+2+3+4+5]]+tabCustoUnit[[#This Row],[MÓDULO 6 – CUSTOS INDIRETOS, TRIBUTOS E LUCRO]]</f>
        <v>3484.797945487102</v>
      </c>
      <c r="BY214" s="22">
        <f>tabCustoUnit[[#This Row],[CUSTO TOTAL MENSAL]]*12</f>
        <v>41817.575345845224</v>
      </c>
      <c r="BZ214" s="24">
        <f>VLOOKUP(tabCustoUnit[[#This Row],[Código do Posto]],tabParametros[],MATCH(tabCustoUnit[[#Headers],[ANO DA CCT]],tabParametros[#Headers],0),0)</f>
        <v>45658</v>
      </c>
      <c r="CA214" s="25" t="str">
        <f>VLOOKUP(tabCustoUnit[[#This Row],[Código do Posto]],tabParametros[],MATCH(tabCustoUnit[[#Headers],[Nº DE PEDIDO DA CCT]],tabParametros[#Headers],0),0)</f>
        <v>-</v>
      </c>
      <c r="CB214" s="25" t="str">
        <f>VLOOKUP(tabCustoUnit[[#This Row],[Código do Posto]],tabParametros[],MATCH(tabCustoUnit[[#Headers],[TERMO ADITIVO ALTERAÇÃO DA CCT]],tabParametros[#Headers],0),0)</f>
        <v>-</v>
      </c>
    </row>
    <row r="215" spans="1:80" x14ac:dyDescent="0.25">
      <c r="A215" s="20" t="s">
        <v>1550</v>
      </c>
      <c r="B215" t="s">
        <v>195</v>
      </c>
      <c r="C215" t="s">
        <v>1245</v>
      </c>
      <c r="D215" t="s">
        <v>1045</v>
      </c>
      <c r="E215" s="20" t="s">
        <v>9</v>
      </c>
      <c r="F215" s="20" t="s">
        <v>10</v>
      </c>
      <c r="G215" s="21">
        <v>1649.12</v>
      </c>
      <c r="H215" s="21">
        <v>0</v>
      </c>
      <c r="I215" s="21">
        <v>0</v>
      </c>
      <c r="J215" s="21">
        <v>0</v>
      </c>
      <c r="K215" s="21">
        <v>0</v>
      </c>
      <c r="L215" s="21">
        <v>0</v>
      </c>
      <c r="M215" s="21">
        <v>0</v>
      </c>
      <c r="N215" s="21">
        <v>53.971200000000003</v>
      </c>
      <c r="O215" s="21">
        <f>SUM(tabCustoUnit[[#This Row],[Salário Base]:[Adicional de Acúmulo de função]])</f>
        <v>1703.0911999999998</v>
      </c>
      <c r="P215" s="21">
        <f>tabCustoUnit[[#This Row],[MODULO 1 - REMUNERAÇÃO ]]*SUMIFS(tabParametros[INSS],tabParametros[Código do Posto],tabCustoUnit[[#This Row],[Código do Posto]])</f>
        <v>340.61824000000001</v>
      </c>
      <c r="Q215" s="21">
        <f>tabCustoUnit[[#This Row],[MODULO 1 - REMUNERAÇÃO ]]*SUMIFS(tabParametros[SESI OU SESC],tabParametros[Código do Posto],tabCustoUnit[[#This Row],[Código do Posto]])</f>
        <v>25.546367999999998</v>
      </c>
      <c r="R215" s="21">
        <f>tabCustoUnit[[#This Row],[MODULO 1 - REMUNERAÇÃO ]]*SUMIFS(tabParametros[SENAI OU SENAC],tabParametros[Código do Posto],tabCustoUnit[[#This Row],[Código do Posto]])</f>
        <v>17.030911999999997</v>
      </c>
      <c r="S215" s="21">
        <f>tabCustoUnit[[#This Row],[MODULO 1 - REMUNERAÇÃO ]]*SUMIFS(tabParametros[INCRA],tabParametros[Código do Posto],tabCustoUnit[[#This Row],[Código do Posto]])</f>
        <v>3.4061823999999996</v>
      </c>
      <c r="T215" s="21">
        <f>tabCustoUnit[[#This Row],[MODULO 1 - REMUNERAÇÃO ]]*SUMIFS(tabParametros[Salário Educação],tabParametros[Código do Posto],tabCustoUnit[[#This Row],[Código do Posto]])</f>
        <v>42.577280000000002</v>
      </c>
      <c r="U215" s="21">
        <f>tabCustoUnit[[#This Row],[MODULO 1 - REMUNERAÇÃO ]]*SUMIFS(tabParametros[FGTS],tabParametros[Código do Posto],tabCustoUnit[[#This Row],[Código do Posto]])</f>
        <v>136.24729599999998</v>
      </c>
      <c r="V215" s="21">
        <f>tabCustoUnit[[#This Row],[MODULO 1 - REMUNERAÇÃO ]]*SUMIFS(tabParametros[RAT Ajustado],tabParametros[Código do Posto],tabCustoUnit[[#This Row],[Código do Posto]])</f>
        <v>68.123647999999989</v>
      </c>
      <c r="W215" s="21">
        <f>tabCustoUnit[[#This Row],[MODULO 1 - REMUNERAÇÃO ]]*SUMIFS(tabParametros[SEBRAE],tabParametros[Código do Posto],tabCustoUnit[[#This Row],[Código do Posto]])</f>
        <v>10.2185472</v>
      </c>
      <c r="X215" s="21">
        <f>SUM(tabCustoUnit[[#This Row],[INSS]:[SEBRAE]])</f>
        <v>643.76847359999999</v>
      </c>
      <c r="Y215" s="21">
        <f>tabCustoUnit[[#This Row],[MODULO 1 - REMUNERAÇÃO ]]*SUMIFS(tabParametros[13º salário (titular)],tabParametros[Código do Posto],tabCustoUnit[[#This Row],[Código do Posto]])</f>
        <v>141.92426666666665</v>
      </c>
      <c r="Z215" s="21">
        <f>tabCustoUnit[[#This Row],[MODULO 1 - REMUNERAÇÃO ]]*SUMIFS(tabParametros[Férias e Adicional de Férias (titular)],tabParametros[Código do Posto],tabCustoUnit[[#This Row],[Código do Posto]])</f>
        <v>189.23235555555553</v>
      </c>
      <c r="AA215" s="21">
        <f>IFERROR((tabCustoUnit[[#This Row],[Submódulo 2.1]]/tabCustoUnit[[#This Row],[MODULO 1 - REMUNERAÇÃO ]])*SUM(tabCustoUnit[[#This Row],[13º salário (titular)]:[Férias e Adicional de Férias (titular)]]),0)</f>
        <v>125.17720319999999</v>
      </c>
      <c r="AB215" s="21">
        <f>SUM(tabCustoUnit[[#This Row],[13º salário (titular)]:[Incidência do Submódulo 2.1 sobre 13º Salário, Férias e Adicional de Férias]])</f>
        <v>456.33382542222216</v>
      </c>
      <c r="AC215" s="22">
        <f>_xlfn.LET(_xlpm.VT,SUMIF(tabParametros[Código do Posto],tabCustoUnit[[#This Row],[Código do Posto]],tabParametros[Vale - Transporte])*2*20,
IF((_xlpm.VT-tabCustoUnit[[#This Row],[Salário Base]]*0.06)&gt;=0,(_xlpm.VT-tabCustoUnit[[#This Row],[Salário Base]]*0.06),0)
)</f>
        <v>157.05279999999999</v>
      </c>
      <c r="AD215" s="22">
        <f>IF(SUMIF(tabParametros[Código do Posto],tabCustoUnit[[#This Row],[Código do Posto]],tabParametros[Vale - Alimentação])&lt;=0,0,
SUMIF(tabParametros[Código do Posto],tabCustoUnit[[#This Row],[Código do Posto]],tabParametros[Vale - Alimentação])*20-1)</f>
        <v>582</v>
      </c>
      <c r="AE215" s="22">
        <f>SUMIF(tabParametros[Código do Posto],tabCustoUnit[[#This Row],[Código do Posto]],tabParametros[Cesta Básica])</f>
        <v>0</v>
      </c>
      <c r="AF215" s="22">
        <f>SUMIF(tabParametros[Código do Posto],tabCustoUnit[[#This Row],[Código do Posto]],tabParametros[PAF])</f>
        <v>77.25</v>
      </c>
      <c r="AG215" s="22">
        <f>SUMIF(tabParametros[Código do Posto],tabCustoUnit[[#This Row],[Código do Posto]],tabParametros[PQM])</f>
        <v>0</v>
      </c>
      <c r="AH215" s="22">
        <f>SUMIF(tabParametros[Código do Posto],tabCustoUnit[[#This Row],[Código do Posto]],tabParametros[PAT])</f>
        <v>0</v>
      </c>
      <c r="AI215" s="22">
        <f>SUMIF(tabParametros[Código do Posto],tabCustoUnit[[#This Row],[Código do Posto]],tabParametros[Seguro de Vida])</f>
        <v>3.36</v>
      </c>
      <c r="AJ215" s="22">
        <f>SUMIF(tabParametros[Código do Posto],tabCustoUnit[[#This Row],[Código do Posto]],tabParametros[Despesas de Viagem])</f>
        <v>0</v>
      </c>
      <c r="AK215" s="22">
        <f>SUM(tabCustoUnit[[#This Row],[Vale - Transporte (Descontada parcela do empregado)]:[Despesas de Viagem]])</f>
        <v>819.66279999999995</v>
      </c>
      <c r="AL215" s="22">
        <f>tabCustoUnit[[#This Row],[Submódulo 2.1]]+tabCustoUnit[[#This Row],[Submódulo 2.2]]+tabCustoUnit[[#This Row],[Submódulo 2.3]]</f>
        <v>1919.7650990222223</v>
      </c>
      <c r="AM215" s="22">
        <f>SUMIF(tabParametros[Código do Posto],tabCustoUnit[[#This Row],[Código do Posto]],tabParametros[Aviso Prévio Indenizado (API) e Reflexo do Aviso Prévio Indenizado])*tabCustoUnit[[#This Row],[MODULO 1 - REMUNERAÇÃO ]]</f>
        <v>11.941678632098764</v>
      </c>
      <c r="AN215" s="22">
        <f>SUMIF(tabParametros[Código do Posto],tabCustoUnit[[#This Row],[Código do Posto]],tabParametros[Incidência do FGTS sobre API e Reflexo do API])*tabCustoUnit[[#This Row],[MODULO 1 - REMUNERAÇÃO ]]</f>
        <v>0.9553342905679012</v>
      </c>
      <c r="AO215" s="22">
        <f>SUMIF(tabParametros[Código do Posto],tabCustoUnit[[#This Row],[Código do Posto]],tabParametros[Multa Rescisória do FGTS sobre o Aviso Prévio Indenizado])*tabCustoUnit[[#This Row],[MODULO 1 - REMUNERAÇÃO ]]</f>
        <v>0.38213371622716052</v>
      </c>
      <c r="AP215" s="22">
        <f>SUMIF(tabParametros[Código do Posto],tabCustoUnit[[#This Row],[Código do Posto]],tabParametros[Aviso Prévio Trabalhado - APT])*tabCustoUnit[[#This Row],[MODULO 1 - REMUNERAÇÃO ]]</f>
        <v>5.9608192000000004</v>
      </c>
      <c r="AQ215" s="22">
        <f>SUMIF(tabParametros[Código do Posto],tabCustoUnit[[#This Row],[Código do Posto]],tabParametros[Incidência dos encargos do submódulo 2.1 sobre Aviso Prévio Trabalhado])*tabCustoUnit[[#This Row],[MODULO 1 - REMUNERAÇÃO ]]</f>
        <v>2.2531896576000006</v>
      </c>
      <c r="AR215" s="22">
        <f>SUMIF(tabParametros[Código do Posto],tabCustoUnit[[#This Row],[Código do Posto]],tabParametros[Multa Rescisória do FGTS])*tabCustoUnit[[#This Row],[MODULO 1 - REMUNERAÇÃO ]]</f>
        <v>52.076744248888879</v>
      </c>
      <c r="AS215" s="22">
        <f>SUMIF(tabParametros[Código do Posto],tabCustoUnit[[#This Row],[Código do Posto]],tabParametros[Indenização Adicional (Art. 9º da Lei nº 7.238/84)])*tabCustoUnit[[#This Row],[MODULO 1 - REMUNERAÇÃO ]]</f>
        <v>1.4192426666666667</v>
      </c>
      <c r="AT215" s="22">
        <f>SUM(tabCustoUnit[[#This Row],[Aviso Prévio Indenizado (API) e Reflexo do Aviso Prévio Indenizado]:[Indenização Adicional (Art. 9º da Lei nº 7.238/84)]])</f>
        <v>74.989142412049375</v>
      </c>
      <c r="AU215" s="22">
        <f>SUMIF(tabParametros[Código do Posto],tabCustoUnit[[#This Row],[Código do Posto]],tabParametros[Ausência por Doença])*tabCustoUnit[[#This Row],[MODULO 1 - REMUNERAÇÃO ]]</f>
        <v>14.38165902222222</v>
      </c>
      <c r="AV215" s="22">
        <f>SUMIF(tabParametros[Código do Posto],tabCustoUnit[[#This Row],[Código do Posto]],tabParametros[Ausências Legais])*tabCustoUnit[[#This Row],[MODULO 1 - REMUNERAÇÃO ]]</f>
        <v>3.4534904888888884</v>
      </c>
      <c r="AW215" s="22">
        <f>SUMIF(tabParametros[Código do Posto],tabCustoUnit[[#This Row],[Código do Posto]],tabParametros[Licença Paternidade])*tabCustoUnit[[#This Row],[MODULO 1 - REMUNERAÇÃO ]]</f>
        <v>0.29094474666666664</v>
      </c>
      <c r="AX215" s="22">
        <f>SUMIF(tabParametros[Código do Posto],tabCustoUnit[[#This Row],[Código do Posto]],tabParametros[Ausência por Acidente de Trabalho])*tabCustoUnit[[#This Row],[MODULO 1 - REMUNERAÇÃO ]]</f>
        <v>0.35481066666666666</v>
      </c>
      <c r="AY215" s="22">
        <f>SUMIF(tabParametros[Código do Posto],tabCustoUnit[[#This Row],[Código do Posto]],tabParametros[Férias, Adicional de Férias e 13º  com empregada em gozo de Licença Maternidade])*tabCustoUnit[[#This Row],[MODULO 1 - REMUNERAÇÃO ]]</f>
        <v>2.2077108148148143</v>
      </c>
      <c r="AZ215" s="22">
        <f>SUMIF(tabParametros[Código do Posto],tabCustoUnit[[#This Row],[Código do Posto]],tabParametros[Incidência do Submódulo 2.1 sobre Ausências Legais])*tabCustoUnit[[#This Row],[MODULO 1 - REMUNERAÇÃO ]]</f>
        <v>7.8202967494400006</v>
      </c>
      <c r="BA215" s="22">
        <f>SUM(tabCustoUnit[[#This Row],[Ausência por Doença]:[Incidência do Submódulo 2.1 sobre Ausências Legais]])</f>
        <v>28.508912488699256</v>
      </c>
      <c r="BB215" s="22">
        <f>SUMIF(tabParametros[Código do Posto],tabCustoUnit[[#This Row],[Código do Posto]],tabParametros[Intervalo para Repouso ou Alimentação])</f>
        <v>0</v>
      </c>
      <c r="BC215" s="22">
        <f>tabCustoUnit[[#This Row],[Intervalo para Repouso ou Alimentação]]</f>
        <v>0</v>
      </c>
      <c r="BD215" s="22">
        <f>IF(VLOOKUP(tabCustoUnit[[#This Row],[Código do Posto]],PARAMETROS!$A$4:$BJ$255,7,0)&lt;=0,0,
IFERROR((tabCustoUnit[[#This Row],[MODULO 1 - REMUNERAÇÃO ]]*VLOOKUP(tabCustoUnit[[#This Row],[Código do Posto]],PARAMETROS!$A$4:$BJ$255,49,0))/(VLOOKUP(tabCustoUnit[[#This Row],[Código do Posto]],PARAMETROS!$A$4:$BJ$255,7,0)*VLOOKUP(tabCustoUnit[[#This Row],[Código do Posto]],PARAMETROS!$A$4:$BJ$255,8,0)),0)
)</f>
        <v>0</v>
      </c>
      <c r="BE215" s="22">
        <f>tabCustoUnit[[#This Row],[Suspensão Temporária do Contrato de Trabalho]]</f>
        <v>0</v>
      </c>
      <c r="BF215" s="22">
        <f>tabCustoUnit[[#This Row],[Submódulo 4.1]]+tabCustoUnit[[#This Row],[Submódulo 4.2]]+tabCustoUnit[[#This Row],[Submódulo 4.3]]</f>
        <v>28.508912488699256</v>
      </c>
      <c r="BG215" s="22">
        <f>VLOOKUP(tabCustoUnit[[#This Row],[Código do Posto]],tabParametros[],MATCH(tabCustoUnit[[#Headers],[Uniformes e EPIs]],tabParametros[#Headers],0),0)</f>
        <v>100.80916666666666</v>
      </c>
      <c r="BH215" s="22">
        <f>VLOOKUP(tabCustoUnit[[#This Row],[Código do Posto]],tabParametros[],MATCH(tabCustoUnit[[#Headers],[Materiais de Consumo]],tabParametros[#Headers],0),0)</f>
        <v>35.518212958583888</v>
      </c>
      <c r="BI215" s="22">
        <f>VLOOKUP(tabCustoUnit[[#This Row],[Código do Posto]],tabParametros[],MATCH(tabCustoUnit[[#Headers],[Máquinas e Equipamentos (depreciação)]],tabParametros[#Headers],0),0)</f>
        <v>64.529393914825576</v>
      </c>
      <c r="BJ215" s="22">
        <f>VLOOKUP(tabCustoUnit[[#This Row],[Código do Posto]],tabParametros[],MATCH(tabCustoUnit[[#Headers],[Produtos de Limpeza e Materiais de Higiene Pessoal]],tabParametros[#Headers],0),0)</f>
        <v>690.27153277931654</v>
      </c>
      <c r="BK215" s="22">
        <f>VLOOKUP(tabCustoUnit[[#This Row],[Código do Posto]],tabParametros[],MATCH(tabCustoUnit[[#Headers],[Outros (especificar)]],tabParametros[#Headers],0),0)</f>
        <v>0</v>
      </c>
      <c r="BL215" s="22">
        <f>SUM(tabCustoUnit[[#This Row],[Uniformes e EPIs]:[Outros (especificar)]])</f>
        <v>891.12830631939266</v>
      </c>
      <c r="BM215" s="22">
        <f>tabCustoUnit[[#This Row],[MODULO 1 - REMUNERAÇÃO ]]+tabCustoUnit[[#This Row],[MÓDULO 2 - Total Encargos e Benefícios mensais e diários]]+tabCustoUnit[[#This Row],[MÓDULO 3 – PROVISÃO PARA RESCISÃO]]+tabCustoUnit[[#This Row],[MÓDULO 4 – CUSTO DE REPOSIÇÃO DO PROFISSIONAL AUSENTE]]+tabCustoUnit[[#This Row],[MÓDULO 5 – INSUMOS DIVERSOS]]</f>
        <v>4617.4826602423636</v>
      </c>
      <c r="BN215" s="22">
        <f>VLOOKUP(tabCustoUnit[[#This Row],[Código do Posto]],tabParametros[],MATCH(tabCustoUnit[[#Headers],[Custos Indiretos]],tabParametros[#Headers],0),0)</f>
        <v>189.64880140242613</v>
      </c>
      <c r="BO215" s="22">
        <f>VLOOKUP(tabCustoUnit[[#This Row],[Código do Posto]],tabParametros[],MATCH(tabCustoUnit[[#Headers],[Lucro]],tabParametros[#Headers],0),0)</f>
        <v>159.30499317803796</v>
      </c>
      <c r="BP215" s="26">
        <f>((100/((1-tabCustoUnit[[#This Row],[Resumo de Alíquotas (PIS+CONFINS+ISS)]]))-100)*VLOOKUP(tabCustoUnit[[#This Row],[Código do Posto]],tabParametros[],MATCH(tabCustoUnit[[#Headers],[COFINS]],tabParametros[#Headers],0),0))/(tabCustoUnit[[#This Row],[Resumo de Alíquotas (PIS+CONFINS+ISS)]]*100)</f>
        <v>8.8629737609329504E-2</v>
      </c>
      <c r="BQ215" s="26">
        <f>((100/((100-(tabCustoUnit[[#This Row],[Resumo de Alíquotas (PIS+CONFINS+ISS)]]*100))%)-100)*VLOOKUP(tabCustoUnit[[#This Row],[Código do Posto]],tabParametros[],MATCH(tabCustoUnit[[#Headers],[PIS]],tabParametros[#Headers],0),0))/(tabCustoUnit[[#This Row],[Resumo de Alíquotas (PIS+CONFINS+ISS)]]*100)</f>
        <v>1.9241982507288629E-2</v>
      </c>
      <c r="BR215" s="28">
        <f>VLOOKUP(tabCustoUnit[[#This Row],[Código do Posto]],tabParametros[],MATCH(tabCustoUnit[[#Headers],[ISS]],tabParametros[#Headers],0),0)</f>
        <v>0.05</v>
      </c>
      <c r="BS215" s="26">
        <f>(((100/((100-(tabCustoUnit[[#This Row],[Resumo de Alíquotas (PIS+CONFINS+ISS)]]*100))%)-100)*tabCustoUnit[[#This Row],[ISS]])/tabCustoUnit[[#This Row],[Resumo de Alíquotas (PIS+CONFINS+ISS)]])/100</f>
        <v>5.8309037900874633E-2</v>
      </c>
      <c r="BT215" s="26">
        <f>(VLOOKUP(tabCustoUnit[[#This Row],[Código do Posto]],tabParametros[],MATCH(tabCustoUnit[[#Headers],[COFINS]],tabParametros[#Headers],0),0)+
VLOOKUP(tabCustoUnit[[#This Row],[Código do Posto]],tabParametros[],MATCH(tabCustoUnit[[#Headers],[PIS]],tabParametros[#Headers],0),0)+
VLOOKUP(tabCustoUnit[[#This Row],[Código do Posto]],tabParametros[],MATCH(tabCustoUnit[[#Headers],[ISS]],tabParametros[#Headers],0),0))</f>
        <v>0.14250000000000002</v>
      </c>
      <c r="BU215" s="138">
        <f>tabCustoUnit[[#This Row],[COFINS]]+tabCustoUnit[[#This Row],[PIS]]+tabCustoUnit[[#This Row],[ISS (Conversão Alíquota s/ fatura)]]</f>
        <v>0.16618075801749277</v>
      </c>
      <c r="BV215" s="22">
        <f>(tabCustoUnit[[#This Row],[TOTAL MÓDULOS 1+2+3+4+5]]+tabCustoUnit[[#This Row],[Custos Indiretos]]+tabCustoUnit[[#This Row],[Lucro]])*tabCustoUnit[[#This Row],[PIS + COFINS + ISS (Total Conversão  Alíquota s/ Fatura)]]</f>
        <v>825.32617470816695</v>
      </c>
      <c r="BW215" s="22">
        <f>tabCustoUnit[[#This Row],[Custos Indiretos]]+tabCustoUnit[[#This Row],[Lucro]]+tabCustoUnit[[#This Row],[Valor dos Tributos (ISS, PIS, CONFINS)]]</f>
        <v>1174.279969288631</v>
      </c>
      <c r="BX215" s="22">
        <f>tabCustoUnit[[#This Row],[TOTAL MÓDULOS 1+2+3+4+5]]+tabCustoUnit[[#This Row],[MÓDULO 6 – CUSTOS INDIRETOS, TRIBUTOS E LUCRO]]</f>
        <v>5791.7626295309947</v>
      </c>
      <c r="BY215" s="22">
        <f>tabCustoUnit[[#This Row],[CUSTO TOTAL MENSAL]]*12</f>
        <v>69501.151554371929</v>
      </c>
      <c r="BZ215" s="24">
        <f>VLOOKUP(tabCustoUnit[[#This Row],[Código do Posto]],tabParametros[],MATCH(tabCustoUnit[[#Headers],[ANO DA CCT]],tabParametros[#Headers],0),0)</f>
        <v>45658</v>
      </c>
      <c r="CA215" s="25" t="str">
        <f>VLOOKUP(tabCustoUnit[[#This Row],[Código do Posto]],tabParametros[],MATCH(tabCustoUnit[[#Headers],[Nº DE PEDIDO DA CCT]],tabParametros[#Headers],0),0)</f>
        <v>-</v>
      </c>
      <c r="CB215" s="25" t="str">
        <f>VLOOKUP(tabCustoUnit[[#This Row],[Código do Posto]],tabParametros[],MATCH(tabCustoUnit[[#Headers],[TERMO ADITIVO ALTERAÇÃO DA CCT]],tabParametros[#Headers],0),0)</f>
        <v>-</v>
      </c>
    </row>
    <row r="216" spans="1:80" x14ac:dyDescent="0.25">
      <c r="A216" s="20" t="s">
        <v>1551</v>
      </c>
      <c r="B216" t="s">
        <v>196</v>
      </c>
      <c r="C216" t="s">
        <v>1244</v>
      </c>
      <c r="D216" t="s">
        <v>1000</v>
      </c>
      <c r="E216" s="20" t="s">
        <v>9</v>
      </c>
      <c r="F216" s="20" t="s">
        <v>10</v>
      </c>
      <c r="G216" s="21">
        <v>798.14</v>
      </c>
      <c r="H216" s="21">
        <v>0</v>
      </c>
      <c r="I216" s="21">
        <v>0</v>
      </c>
      <c r="J216" s="21">
        <v>0</v>
      </c>
      <c r="K216" s="21">
        <v>0</v>
      </c>
      <c r="L216" s="21">
        <v>0</v>
      </c>
      <c r="M216" s="21">
        <v>0</v>
      </c>
      <c r="N216" s="21">
        <v>26.120899999999999</v>
      </c>
      <c r="O216" s="21">
        <f>SUM(tabCustoUnit[[#This Row],[Salário Base]:[Adicional de Acúmulo de função]])</f>
        <v>824.26089999999999</v>
      </c>
      <c r="P216" s="21">
        <f>tabCustoUnit[[#This Row],[MODULO 1 - REMUNERAÇÃO ]]*SUMIFS(tabParametros[INSS],tabParametros[Código do Posto],tabCustoUnit[[#This Row],[Código do Posto]])</f>
        <v>164.85218</v>
      </c>
      <c r="Q216" s="21">
        <f>tabCustoUnit[[#This Row],[MODULO 1 - REMUNERAÇÃO ]]*SUMIFS(tabParametros[SESI OU SESC],tabParametros[Código do Posto],tabCustoUnit[[#This Row],[Código do Posto]])</f>
        <v>12.363913499999999</v>
      </c>
      <c r="R216" s="21">
        <f>tabCustoUnit[[#This Row],[MODULO 1 - REMUNERAÇÃO ]]*SUMIFS(tabParametros[SENAI OU SENAC],tabParametros[Código do Posto],tabCustoUnit[[#This Row],[Código do Posto]])</f>
        <v>8.2426089999999999</v>
      </c>
      <c r="S216" s="21">
        <f>tabCustoUnit[[#This Row],[MODULO 1 - REMUNERAÇÃO ]]*SUMIFS(tabParametros[INCRA],tabParametros[Código do Posto],tabCustoUnit[[#This Row],[Código do Posto]])</f>
        <v>1.6485217999999999</v>
      </c>
      <c r="T216" s="21">
        <f>tabCustoUnit[[#This Row],[MODULO 1 - REMUNERAÇÃO ]]*SUMIFS(tabParametros[Salário Educação],tabParametros[Código do Posto],tabCustoUnit[[#This Row],[Código do Posto]])</f>
        <v>20.606522500000001</v>
      </c>
      <c r="U216" s="21">
        <f>tabCustoUnit[[#This Row],[MODULO 1 - REMUNERAÇÃO ]]*SUMIFS(tabParametros[FGTS],tabParametros[Código do Posto],tabCustoUnit[[#This Row],[Código do Posto]])</f>
        <v>65.940871999999999</v>
      </c>
      <c r="V216" s="21">
        <f>tabCustoUnit[[#This Row],[MODULO 1 - REMUNERAÇÃO ]]*SUMIFS(tabParametros[RAT Ajustado],tabParametros[Código do Posto],tabCustoUnit[[#This Row],[Código do Posto]])</f>
        <v>32.970435999999999</v>
      </c>
      <c r="W216" s="21">
        <f>tabCustoUnit[[#This Row],[MODULO 1 - REMUNERAÇÃO ]]*SUMIFS(tabParametros[SEBRAE],tabParametros[Código do Posto],tabCustoUnit[[#This Row],[Código do Posto]])</f>
        <v>4.9455654000000004</v>
      </c>
      <c r="X216" s="21">
        <f>SUM(tabCustoUnit[[#This Row],[INSS]:[SEBRAE]])</f>
        <v>311.57062020000001</v>
      </c>
      <c r="Y216" s="21">
        <f>tabCustoUnit[[#This Row],[MODULO 1 - REMUNERAÇÃO ]]*SUMIFS(tabParametros[13º salário (titular)],tabParametros[Código do Posto],tabCustoUnit[[#This Row],[Código do Posto]])</f>
        <v>68.688408333333328</v>
      </c>
      <c r="Z216" s="21">
        <f>tabCustoUnit[[#This Row],[MODULO 1 - REMUNERAÇÃO ]]*SUMIFS(tabParametros[Férias e Adicional de Férias (titular)],tabParametros[Código do Posto],tabCustoUnit[[#This Row],[Código do Posto]])</f>
        <v>91.584544444444433</v>
      </c>
      <c r="AA216" s="21">
        <f>IFERROR((tabCustoUnit[[#This Row],[Submódulo 2.1]]/tabCustoUnit[[#This Row],[MODULO 1 - REMUNERAÇÃO ]])*SUM(tabCustoUnit[[#This Row],[13º salário (titular)]:[Férias e Adicional de Férias (titular)]]),0)</f>
        <v>60.583176149999993</v>
      </c>
      <c r="AB216" s="21">
        <f>SUM(tabCustoUnit[[#This Row],[13º salário (titular)]:[Incidência do Submódulo 2.1 sobre 13º Salário, Férias e Adicional de Férias]])</f>
        <v>220.85612892777775</v>
      </c>
      <c r="AC216" s="22">
        <f>_xlfn.LET(_xlpm.VT,SUMIF(tabParametros[Código do Posto],tabCustoUnit[[#This Row],[Código do Posto]],tabParametros[Vale - Transporte])*2*20,
IF((_xlpm.VT-tabCustoUnit[[#This Row],[Salário Base]]*0.06)&gt;=0,(_xlpm.VT-tabCustoUnit[[#This Row],[Salário Base]]*0.06),0)
)</f>
        <v>208.11160000000001</v>
      </c>
      <c r="AD216" s="22">
        <f>IF(SUMIF(tabParametros[Código do Posto],tabCustoUnit[[#This Row],[Código do Posto]],tabParametros[Vale - Alimentação])&lt;=0,0,
SUMIF(tabParametros[Código do Posto],tabCustoUnit[[#This Row],[Código do Posto]],tabParametros[Vale - Alimentação])*20-1)</f>
        <v>582</v>
      </c>
      <c r="AE216" s="22">
        <f>SUMIF(tabParametros[Código do Posto],tabCustoUnit[[#This Row],[Código do Posto]],tabParametros[Cesta Básica])</f>
        <v>0</v>
      </c>
      <c r="AF216" s="22">
        <f>SUMIF(tabParametros[Código do Posto],tabCustoUnit[[#This Row],[Código do Posto]],tabParametros[PAF])</f>
        <v>0</v>
      </c>
      <c r="AG216" s="22">
        <f>SUMIF(tabParametros[Código do Posto],tabCustoUnit[[#This Row],[Código do Posto]],tabParametros[PQM])</f>
        <v>15.07</v>
      </c>
      <c r="AH216" s="22">
        <f>SUMIF(tabParametros[Código do Posto],tabCustoUnit[[#This Row],[Código do Posto]],tabParametros[PAT])</f>
        <v>0</v>
      </c>
      <c r="AI216" s="22">
        <f>SUMIF(tabParametros[Código do Posto],tabCustoUnit[[#This Row],[Código do Posto]],tabParametros[Seguro de Vida])</f>
        <v>3.36</v>
      </c>
      <c r="AJ216" s="22">
        <f>SUMIF(tabParametros[Código do Posto],tabCustoUnit[[#This Row],[Código do Posto]],tabParametros[Despesas de Viagem])</f>
        <v>0</v>
      </c>
      <c r="AK216" s="22">
        <f>SUM(tabCustoUnit[[#This Row],[Vale - Transporte (Descontada parcela do empregado)]:[Despesas de Viagem]])</f>
        <v>808.54160000000002</v>
      </c>
      <c r="AL216" s="22">
        <f>tabCustoUnit[[#This Row],[Submódulo 2.1]]+tabCustoUnit[[#This Row],[Submódulo 2.2]]+tabCustoUnit[[#This Row],[Submódulo 2.3]]</f>
        <v>1340.9683491277779</v>
      </c>
      <c r="AM216" s="22">
        <f>SUMIF(tabParametros[Código do Posto],tabCustoUnit[[#This Row],[Código do Posto]],tabParametros[Aviso Prévio Indenizado (API) e Reflexo do Aviso Prévio Indenizado])*tabCustoUnit[[#This Row],[MODULO 1 - REMUNERAÇÃO ]]</f>
        <v>5.7795253576581791</v>
      </c>
      <c r="AN216" s="22">
        <f>SUMIF(tabParametros[Código do Posto],tabCustoUnit[[#This Row],[Código do Posto]],tabParametros[Incidência do FGTS sobre API e Reflexo do API])*tabCustoUnit[[#This Row],[MODULO 1 - REMUNERAÇÃO ]]</f>
        <v>0.46236202861265435</v>
      </c>
      <c r="AO216" s="22">
        <f>SUMIF(tabParametros[Código do Posto],tabCustoUnit[[#This Row],[Código do Posto]],tabParametros[Multa Rescisória do FGTS sobre o Aviso Prévio Indenizado])*tabCustoUnit[[#This Row],[MODULO 1 - REMUNERAÇÃO ]]</f>
        <v>0.18494481144506175</v>
      </c>
      <c r="AP216" s="22">
        <f>SUMIF(tabParametros[Código do Posto],tabCustoUnit[[#This Row],[Código do Posto]],tabParametros[Aviso Prévio Trabalhado - APT])*tabCustoUnit[[#This Row],[MODULO 1 - REMUNERAÇÃO ]]</f>
        <v>2.8849131500000005</v>
      </c>
      <c r="AQ216" s="22">
        <f>SUMIF(tabParametros[Código do Posto],tabCustoUnit[[#This Row],[Código do Posto]],tabParametros[Incidência dos encargos do submódulo 2.1 sobre Aviso Prévio Trabalhado])*tabCustoUnit[[#This Row],[MODULO 1 - REMUNERAÇÃO ]]</f>
        <v>1.0904971707000004</v>
      </c>
      <c r="AR216" s="22">
        <f>SUMIF(tabParametros[Código do Posto],tabCustoUnit[[#This Row],[Código do Posto]],tabParametros[Multa Rescisória do FGTS])*tabCustoUnit[[#This Row],[MODULO 1 - REMUNERAÇÃO ]]</f>
        <v>25.204066631111107</v>
      </c>
      <c r="AS216" s="22">
        <f>SUMIF(tabParametros[Código do Posto],tabCustoUnit[[#This Row],[Código do Posto]],tabParametros[Indenização Adicional (Art. 9º da Lei nº 7.238/84)])*tabCustoUnit[[#This Row],[MODULO 1 - REMUNERAÇÃO ]]</f>
        <v>0.6868840833333334</v>
      </c>
      <c r="AT216" s="22">
        <f>SUM(tabCustoUnit[[#This Row],[Aviso Prévio Indenizado (API) e Reflexo do Aviso Prévio Indenizado]:[Indenização Adicional (Art. 9º da Lei nº 7.238/84)]])</f>
        <v>36.293193232860339</v>
      </c>
      <c r="AU216" s="22">
        <f>SUMIF(tabParametros[Código do Posto],tabCustoUnit[[#This Row],[Código do Posto]],tabParametros[Ausência por Doença])*tabCustoUnit[[#This Row],[MODULO 1 - REMUNERAÇÃO ]]</f>
        <v>6.9604253777777769</v>
      </c>
      <c r="AV216" s="22">
        <f>SUMIF(tabParametros[Código do Posto],tabCustoUnit[[#This Row],[Código do Posto]],tabParametros[Ausências Legais])*tabCustoUnit[[#This Row],[MODULO 1 - REMUNERAÇÃO ]]</f>
        <v>1.671417936111111</v>
      </c>
      <c r="AW216" s="22">
        <f>SUMIF(tabParametros[Código do Posto],tabCustoUnit[[#This Row],[Código do Posto]],tabParametros[Licença Paternidade])*tabCustoUnit[[#This Row],[MODULO 1 - REMUNERAÇÃO ]]</f>
        <v>0.14081123708333332</v>
      </c>
      <c r="AX216" s="22">
        <f>SUMIF(tabParametros[Código do Posto],tabCustoUnit[[#This Row],[Código do Posto]],tabParametros[Ausência por Acidente de Trabalho])*tabCustoUnit[[#This Row],[MODULO 1 - REMUNERAÇÃO ]]</f>
        <v>0.17172102083333335</v>
      </c>
      <c r="AY216" s="22">
        <f>SUMIF(tabParametros[Código do Posto],tabCustoUnit[[#This Row],[Código do Posto]],tabParametros[Férias, Adicional de Férias e 13º  com empregada em gozo de Licença Maternidade])*tabCustoUnit[[#This Row],[MODULO 1 - REMUNERAÇÃO ]]</f>
        <v>1.0684863518518517</v>
      </c>
      <c r="AZ216" s="22">
        <f>SUMIF(tabParametros[Código do Posto],tabCustoUnit[[#This Row],[Código do Posto]],tabParametros[Incidência do Submódulo 2.1 sobre Ausências Legais])*tabCustoUnit[[#This Row],[MODULO 1 - REMUNERAÇÃO ]]</f>
        <v>3.7848618071425006</v>
      </c>
      <c r="BA216" s="22">
        <f>SUM(tabCustoUnit[[#This Row],[Ausência por Doença]:[Incidência do Submódulo 2.1 sobre Ausências Legais]])</f>
        <v>13.797723730799909</v>
      </c>
      <c r="BB216" s="22">
        <f>SUMIF(tabParametros[Código do Posto],tabCustoUnit[[#This Row],[Código do Posto]],tabParametros[Intervalo para Repouso ou Alimentação])</f>
        <v>0</v>
      </c>
      <c r="BC216" s="22">
        <f>tabCustoUnit[[#This Row],[Intervalo para Repouso ou Alimentação]]</f>
        <v>0</v>
      </c>
      <c r="BD216" s="22">
        <f>IF(VLOOKUP(tabCustoUnit[[#This Row],[Código do Posto]],PARAMETROS!$A$4:$BJ$255,7,0)&lt;=0,0,
IFERROR((tabCustoUnit[[#This Row],[MODULO 1 - REMUNERAÇÃO ]]*VLOOKUP(tabCustoUnit[[#This Row],[Código do Posto]],PARAMETROS!$A$4:$BJ$255,49,0))/(VLOOKUP(tabCustoUnit[[#This Row],[Código do Posto]],PARAMETROS!$A$4:$BJ$255,7,0)*VLOOKUP(tabCustoUnit[[#This Row],[Código do Posto]],PARAMETROS!$A$4:$BJ$255,8,0)),0)
)</f>
        <v>0</v>
      </c>
      <c r="BE216" s="22">
        <f>tabCustoUnit[[#This Row],[Suspensão Temporária do Contrato de Trabalho]]</f>
        <v>0</v>
      </c>
      <c r="BF216" s="22">
        <f>tabCustoUnit[[#This Row],[Submódulo 4.1]]+tabCustoUnit[[#This Row],[Submódulo 4.2]]+tabCustoUnit[[#This Row],[Submódulo 4.3]]</f>
        <v>13.797723730799909</v>
      </c>
      <c r="BG216" s="22">
        <f>VLOOKUP(tabCustoUnit[[#This Row],[Código do Posto]],tabParametros[],MATCH(tabCustoUnit[[#Headers],[Uniformes e EPIs]],tabParametros[#Headers],0),0)</f>
        <v>62.806666666666665</v>
      </c>
      <c r="BH216" s="22">
        <f>VLOOKUP(tabCustoUnit[[#This Row],[Código do Posto]],tabParametros[],MATCH(tabCustoUnit[[#Headers],[Materiais de Consumo]],tabParametros[#Headers],0),0)</f>
        <v>17.759106479291944</v>
      </c>
      <c r="BI216" s="22">
        <f>VLOOKUP(tabCustoUnit[[#This Row],[Código do Posto]],tabParametros[],MATCH(tabCustoUnit[[#Headers],[Máquinas e Equipamentos (depreciação)]],tabParametros[#Headers],0),0)</f>
        <v>32.264696957412788</v>
      </c>
      <c r="BJ216" s="22">
        <f>VLOOKUP(tabCustoUnit[[#This Row],[Código do Posto]],tabParametros[],MATCH(tabCustoUnit[[#Headers],[Produtos de Limpeza e Materiais de Higiene Pessoal]],tabParametros[#Headers],0),0)</f>
        <v>345.13576638965827</v>
      </c>
      <c r="BK216" s="22">
        <f>VLOOKUP(tabCustoUnit[[#This Row],[Código do Posto]],tabParametros[],MATCH(tabCustoUnit[[#Headers],[Outros (especificar)]],tabParametros[#Headers],0),0)</f>
        <v>0</v>
      </c>
      <c r="BL216" s="22">
        <f>SUM(tabCustoUnit[[#This Row],[Uniformes e EPIs]:[Outros (especificar)]])</f>
        <v>457.96623649302967</v>
      </c>
      <c r="BM216" s="22">
        <f>tabCustoUnit[[#This Row],[MODULO 1 - REMUNERAÇÃO ]]+tabCustoUnit[[#This Row],[MÓDULO 2 - Total Encargos e Benefícios mensais e diários]]+tabCustoUnit[[#This Row],[MÓDULO 3 – PROVISÃO PARA RESCISÃO]]+tabCustoUnit[[#This Row],[MÓDULO 4 – CUSTO DE REPOSIÇÃO DO PROFISSIONAL AUSENTE]]+tabCustoUnit[[#This Row],[MÓDULO 5 – INSUMOS DIVERSOS]]</f>
        <v>2673.2864025844674</v>
      </c>
      <c r="BN216" s="22">
        <f>VLOOKUP(tabCustoUnit[[#This Row],[Código do Posto]],tabParametros[],MATCH(tabCustoUnit[[#Headers],[Custos Indiretos]],tabParametros[#Headers],0),0)</f>
        <v>189.64880140242613</v>
      </c>
      <c r="BO216" s="22">
        <f>VLOOKUP(tabCustoUnit[[#This Row],[Código do Posto]],tabParametros[],MATCH(tabCustoUnit[[#Headers],[Lucro]],tabParametros[#Headers],0),0)</f>
        <v>159.30499317803796</v>
      </c>
      <c r="BP216" s="26">
        <f>((100/((1-tabCustoUnit[[#This Row],[Resumo de Alíquotas (PIS+CONFINS+ISS)]]))-100)*VLOOKUP(tabCustoUnit[[#This Row],[Código do Posto]],tabParametros[],MATCH(tabCustoUnit[[#Headers],[COFINS]],tabParametros[#Headers],0),0))/(tabCustoUnit[[#This Row],[Resumo de Alíquotas (PIS+CONFINS+ISS)]]*100)</f>
        <v>8.8629737609329504E-2</v>
      </c>
      <c r="BQ216" s="26">
        <f>((100/((100-(tabCustoUnit[[#This Row],[Resumo de Alíquotas (PIS+CONFINS+ISS)]]*100))%)-100)*VLOOKUP(tabCustoUnit[[#This Row],[Código do Posto]],tabParametros[],MATCH(tabCustoUnit[[#Headers],[PIS]],tabParametros[#Headers],0),0))/(tabCustoUnit[[#This Row],[Resumo de Alíquotas (PIS+CONFINS+ISS)]]*100)</f>
        <v>1.9241982507288629E-2</v>
      </c>
      <c r="BR216" s="28">
        <f>VLOOKUP(tabCustoUnit[[#This Row],[Código do Posto]],tabParametros[],MATCH(tabCustoUnit[[#Headers],[ISS]],tabParametros[#Headers],0),0)</f>
        <v>0.05</v>
      </c>
      <c r="BS216" s="26">
        <f>(((100/((100-(tabCustoUnit[[#This Row],[Resumo de Alíquotas (PIS+CONFINS+ISS)]]*100))%)-100)*tabCustoUnit[[#This Row],[ISS]])/tabCustoUnit[[#This Row],[Resumo de Alíquotas (PIS+CONFINS+ISS)]])/100</f>
        <v>5.8309037900874633E-2</v>
      </c>
      <c r="BT216" s="26">
        <f>(VLOOKUP(tabCustoUnit[[#This Row],[Código do Posto]],tabParametros[],MATCH(tabCustoUnit[[#Headers],[COFINS]],tabParametros[#Headers],0),0)+
VLOOKUP(tabCustoUnit[[#This Row],[Código do Posto]],tabParametros[],MATCH(tabCustoUnit[[#Headers],[PIS]],tabParametros[#Headers],0),0)+
VLOOKUP(tabCustoUnit[[#This Row],[Código do Posto]],tabParametros[],MATCH(tabCustoUnit[[#Headers],[ISS]],tabParametros[#Headers],0),0))</f>
        <v>0.14250000000000002</v>
      </c>
      <c r="BU216" s="138">
        <f>tabCustoUnit[[#This Row],[COFINS]]+tabCustoUnit[[#This Row],[PIS]]+tabCustoUnit[[#This Row],[ISS (Conversão Alíquota s/ fatura)]]</f>
        <v>0.16618075801749277</v>
      </c>
      <c r="BV216" s="22">
        <f>(tabCustoUnit[[#This Row],[TOTAL MÓDULOS 1+2+3+4+5]]+tabCustoUnit[[#This Row],[Custos Indiretos]]+tabCustoUnit[[#This Row],[Lucro]])*tabCustoUnit[[#This Row],[PIS + COFINS + ISS (Total Conversão  Alíquota s/ Fatura)]]</f>
        <v>502.23816687580512</v>
      </c>
      <c r="BW216" s="22">
        <f>tabCustoUnit[[#This Row],[Custos Indiretos]]+tabCustoUnit[[#This Row],[Lucro]]+tabCustoUnit[[#This Row],[Valor dos Tributos (ISS, PIS, CONFINS)]]</f>
        <v>851.19196145626915</v>
      </c>
      <c r="BX216" s="22">
        <f>tabCustoUnit[[#This Row],[TOTAL MÓDULOS 1+2+3+4+5]]+tabCustoUnit[[#This Row],[MÓDULO 6 – CUSTOS INDIRETOS, TRIBUTOS E LUCRO]]</f>
        <v>3524.4783640407368</v>
      </c>
      <c r="BY216" s="22">
        <f>tabCustoUnit[[#This Row],[CUSTO TOTAL MENSAL]]*12</f>
        <v>42293.740368488841</v>
      </c>
      <c r="BZ216" s="24">
        <f>VLOOKUP(tabCustoUnit[[#This Row],[Código do Posto]],tabParametros[],MATCH(tabCustoUnit[[#Headers],[ANO DA CCT]],tabParametros[#Headers],0),0)</f>
        <v>45658</v>
      </c>
      <c r="CA216" s="25" t="str">
        <f>VLOOKUP(tabCustoUnit[[#This Row],[Código do Posto]],tabParametros[],MATCH(tabCustoUnit[[#Headers],[Nº DE PEDIDO DA CCT]],tabParametros[#Headers],0),0)</f>
        <v>-</v>
      </c>
      <c r="CB216" s="25" t="str">
        <f>VLOOKUP(tabCustoUnit[[#This Row],[Código do Posto]],tabParametros[],MATCH(tabCustoUnit[[#Headers],[TERMO ADITIVO ALTERAÇÃO DA CCT]],tabParametros[#Headers],0),0)</f>
        <v>-</v>
      </c>
    </row>
    <row r="217" spans="1:80" x14ac:dyDescent="0.25">
      <c r="A217" s="20" t="s">
        <v>1552</v>
      </c>
      <c r="B217" t="s">
        <v>197</v>
      </c>
      <c r="C217" t="s">
        <v>1246</v>
      </c>
      <c r="D217" t="s">
        <v>1023</v>
      </c>
      <c r="E217" s="20" t="s">
        <v>9</v>
      </c>
      <c r="F217" s="20" t="s">
        <v>10</v>
      </c>
      <c r="G217" s="21">
        <v>1088.3699999999999</v>
      </c>
      <c r="H217" s="21">
        <v>0</v>
      </c>
      <c r="I217" s="21">
        <v>0</v>
      </c>
      <c r="J217" s="21">
        <v>0</v>
      </c>
      <c r="K217" s="21">
        <v>0</v>
      </c>
      <c r="L217" s="21">
        <v>0</v>
      </c>
      <c r="M217" s="21">
        <v>0</v>
      </c>
      <c r="N217" s="21">
        <v>39.1813</v>
      </c>
      <c r="O217" s="21">
        <f>SUM(tabCustoUnit[[#This Row],[Salário Base]:[Adicional de Acúmulo de função]])</f>
        <v>1127.5512999999999</v>
      </c>
      <c r="P217" s="21">
        <f>tabCustoUnit[[#This Row],[MODULO 1 - REMUNERAÇÃO ]]*SUMIFS(tabParametros[INSS],tabParametros[Código do Posto],tabCustoUnit[[#This Row],[Código do Posto]])</f>
        <v>225.51025999999999</v>
      </c>
      <c r="Q217" s="21">
        <f>tabCustoUnit[[#This Row],[MODULO 1 - REMUNERAÇÃO ]]*SUMIFS(tabParametros[SESI OU SESC],tabParametros[Código do Posto],tabCustoUnit[[#This Row],[Código do Posto]])</f>
        <v>16.913269499999998</v>
      </c>
      <c r="R217" s="21">
        <f>tabCustoUnit[[#This Row],[MODULO 1 - REMUNERAÇÃO ]]*SUMIFS(tabParametros[SENAI OU SENAC],tabParametros[Código do Posto],tabCustoUnit[[#This Row],[Código do Posto]])</f>
        <v>11.275512999999998</v>
      </c>
      <c r="S217" s="21">
        <f>tabCustoUnit[[#This Row],[MODULO 1 - REMUNERAÇÃO ]]*SUMIFS(tabParametros[INCRA],tabParametros[Código do Posto],tabCustoUnit[[#This Row],[Código do Posto]])</f>
        <v>2.2551025999999998</v>
      </c>
      <c r="T217" s="21">
        <f>tabCustoUnit[[#This Row],[MODULO 1 - REMUNERAÇÃO ]]*SUMIFS(tabParametros[Salário Educação],tabParametros[Código do Posto],tabCustoUnit[[#This Row],[Código do Posto]])</f>
        <v>28.188782499999999</v>
      </c>
      <c r="U217" s="21">
        <f>tabCustoUnit[[#This Row],[MODULO 1 - REMUNERAÇÃO ]]*SUMIFS(tabParametros[FGTS],tabParametros[Código do Posto],tabCustoUnit[[#This Row],[Código do Posto]])</f>
        <v>90.204103999999987</v>
      </c>
      <c r="V217" s="21">
        <f>tabCustoUnit[[#This Row],[MODULO 1 - REMUNERAÇÃO ]]*SUMIFS(tabParametros[RAT Ajustado],tabParametros[Código do Posto],tabCustoUnit[[#This Row],[Código do Posto]])</f>
        <v>45.102051999999993</v>
      </c>
      <c r="W217" s="21">
        <f>tabCustoUnit[[#This Row],[MODULO 1 - REMUNERAÇÃO ]]*SUMIFS(tabParametros[SEBRAE],tabParametros[Código do Posto],tabCustoUnit[[#This Row],[Código do Posto]])</f>
        <v>6.7653077999999995</v>
      </c>
      <c r="X217" s="21">
        <f>SUM(tabCustoUnit[[#This Row],[INSS]:[SEBRAE]])</f>
        <v>426.21439139999995</v>
      </c>
      <c r="Y217" s="21">
        <f>tabCustoUnit[[#This Row],[MODULO 1 - REMUNERAÇÃO ]]*SUMIFS(tabParametros[13º salário (titular)],tabParametros[Código do Posto],tabCustoUnit[[#This Row],[Código do Posto]])</f>
        <v>93.962608333333321</v>
      </c>
      <c r="Z217" s="21">
        <f>tabCustoUnit[[#This Row],[MODULO 1 - REMUNERAÇÃO ]]*SUMIFS(tabParametros[Férias e Adicional de Férias (titular)],tabParametros[Código do Posto],tabCustoUnit[[#This Row],[Código do Posto]])</f>
        <v>125.28347777777776</v>
      </c>
      <c r="AA217" s="21">
        <f>IFERROR((tabCustoUnit[[#This Row],[Submódulo 2.1]]/tabCustoUnit[[#This Row],[MODULO 1 - REMUNERAÇÃO ]])*SUM(tabCustoUnit[[#This Row],[13º salário (titular)]:[Férias e Adicional de Férias (titular)]]),0)</f>
        <v>82.875020549999988</v>
      </c>
      <c r="AB217" s="21">
        <f>SUM(tabCustoUnit[[#This Row],[13º salário (titular)]:[Incidência do Submódulo 2.1 sobre 13º Salário, Férias e Adicional de Férias]])</f>
        <v>302.12110666111107</v>
      </c>
      <c r="AC217" s="22">
        <f>_xlfn.LET(_xlpm.VT,SUMIF(tabParametros[Código do Posto],tabCustoUnit[[#This Row],[Código do Posto]],tabParametros[Vale - Transporte])*2*20,
IF((_xlpm.VT-tabCustoUnit[[#This Row],[Salário Base]]*0.06)&gt;=0,(_xlpm.VT-tabCustoUnit[[#This Row],[Salário Base]]*0.06),0)
)</f>
        <v>190.69780000000003</v>
      </c>
      <c r="AD217" s="22">
        <f>IF(SUMIF(tabParametros[Código do Posto],tabCustoUnit[[#This Row],[Código do Posto]],tabParametros[Vale - Alimentação])&lt;=0,0,
SUMIF(tabParametros[Código do Posto],tabCustoUnit[[#This Row],[Código do Posto]],tabParametros[Vale - Alimentação])*20-1)</f>
        <v>582</v>
      </c>
      <c r="AE217" s="22">
        <f>SUMIF(tabParametros[Código do Posto],tabCustoUnit[[#This Row],[Código do Posto]],tabParametros[Cesta Básica])</f>
        <v>0</v>
      </c>
      <c r="AF217" s="22">
        <f>SUMIF(tabParametros[Código do Posto],tabCustoUnit[[#This Row],[Código do Posto]],tabParametros[PAF])</f>
        <v>0</v>
      </c>
      <c r="AG217" s="22">
        <f>SUMIF(tabParametros[Código do Posto],tabCustoUnit[[#This Row],[Código do Posto]],tabParametros[PQM])</f>
        <v>0</v>
      </c>
      <c r="AH217" s="22">
        <f>SUMIF(tabParametros[Código do Posto],tabCustoUnit[[#This Row],[Código do Posto]],tabParametros[PAT])</f>
        <v>0</v>
      </c>
      <c r="AI217" s="22">
        <f>SUMIF(tabParametros[Código do Posto],tabCustoUnit[[#This Row],[Código do Posto]],tabParametros[Seguro de Vida])</f>
        <v>3.36</v>
      </c>
      <c r="AJ217" s="22">
        <f>SUMIF(tabParametros[Código do Posto],tabCustoUnit[[#This Row],[Código do Posto]],tabParametros[Despesas de Viagem])</f>
        <v>0</v>
      </c>
      <c r="AK217" s="22">
        <f>SUM(tabCustoUnit[[#This Row],[Vale - Transporte (Descontada parcela do empregado)]:[Despesas de Viagem]])</f>
        <v>776.05780000000004</v>
      </c>
      <c r="AL217" s="22">
        <f>tabCustoUnit[[#This Row],[Submódulo 2.1]]+tabCustoUnit[[#This Row],[Submódulo 2.2]]+tabCustoUnit[[#This Row],[Submódulo 2.3]]</f>
        <v>1504.3932980611112</v>
      </c>
      <c r="AM217" s="22">
        <f>SUMIF(tabParametros[Código do Posto],tabCustoUnit[[#This Row],[Código do Posto]],tabParametros[Aviso Prévio Indenizado (API) e Reflexo do Aviso Prévio Indenizado])*tabCustoUnit[[#This Row],[MODULO 1 - REMUNERAÇÃO ]]</f>
        <v>7.9061269683063262</v>
      </c>
      <c r="AN217" s="22">
        <f>SUMIF(tabParametros[Código do Posto],tabCustoUnit[[#This Row],[Código do Posto]],tabParametros[Incidência do FGTS sobre API e Reflexo do API])*tabCustoUnit[[#This Row],[MODULO 1 - REMUNERAÇÃO ]]</f>
        <v>0.6324901574645061</v>
      </c>
      <c r="AO217" s="22">
        <f>SUMIF(tabParametros[Código do Posto],tabCustoUnit[[#This Row],[Código do Posto]],tabParametros[Multa Rescisória do FGTS sobre o Aviso Prévio Indenizado])*tabCustoUnit[[#This Row],[MODULO 1 - REMUNERAÇÃO ]]</f>
        <v>0.25299606298580246</v>
      </c>
      <c r="AP217" s="22">
        <f>SUMIF(tabParametros[Código do Posto],tabCustoUnit[[#This Row],[Código do Posto]],tabParametros[Aviso Prévio Trabalhado - APT])*tabCustoUnit[[#This Row],[MODULO 1 - REMUNERAÇÃO ]]</f>
        <v>3.94642955</v>
      </c>
      <c r="AQ217" s="22">
        <f>SUMIF(tabParametros[Código do Posto],tabCustoUnit[[#This Row],[Código do Posto]],tabParametros[Incidência dos encargos do submódulo 2.1 sobre Aviso Prévio Trabalhado])*tabCustoUnit[[#This Row],[MODULO 1 - REMUNERAÇÃO ]]</f>
        <v>1.4917503699000003</v>
      </c>
      <c r="AR217" s="22">
        <f>SUMIF(tabParametros[Código do Posto],tabCustoUnit[[#This Row],[Código do Posto]],tabParametros[Multa Rescisória do FGTS])*tabCustoUnit[[#This Row],[MODULO 1 - REMUNERAÇÃO ]]</f>
        <v>34.478013084444434</v>
      </c>
      <c r="AS217" s="22">
        <f>SUMIF(tabParametros[Código do Posto],tabCustoUnit[[#This Row],[Código do Posto]],tabParametros[Indenização Adicional (Art. 9º da Lei nº 7.238/84)])*tabCustoUnit[[#This Row],[MODULO 1 - REMUNERAÇÃO ]]</f>
        <v>0.93962608333333331</v>
      </c>
      <c r="AT217" s="22">
        <f>SUM(tabCustoUnit[[#This Row],[Aviso Prévio Indenizado (API) e Reflexo do Aviso Prévio Indenizado]:[Indenização Adicional (Art. 9º da Lei nº 7.238/84)]])</f>
        <v>49.647432276434401</v>
      </c>
      <c r="AU217" s="22">
        <f>SUMIF(tabParametros[Código do Posto],tabCustoUnit[[#This Row],[Código do Posto]],tabParametros[Ausência por Doença])*tabCustoUnit[[#This Row],[MODULO 1 - REMUNERAÇÃO ]]</f>
        <v>9.5215443111111089</v>
      </c>
      <c r="AV217" s="22">
        <f>SUMIF(tabParametros[Código do Posto],tabCustoUnit[[#This Row],[Código do Posto]],tabParametros[Ausências Legais])*tabCustoUnit[[#This Row],[MODULO 1 - REMUNERAÇÃO ]]</f>
        <v>2.2864234694444439</v>
      </c>
      <c r="AW217" s="22">
        <f>SUMIF(tabParametros[Código do Posto],tabCustoUnit[[#This Row],[Código do Posto]],tabParametros[Licença Paternidade])*tabCustoUnit[[#This Row],[MODULO 1 - REMUNERAÇÃO ]]</f>
        <v>0.19262334708333331</v>
      </c>
      <c r="AX217" s="22">
        <f>SUMIF(tabParametros[Código do Posto],tabCustoUnit[[#This Row],[Código do Posto]],tabParametros[Ausência por Acidente de Trabalho])*tabCustoUnit[[#This Row],[MODULO 1 - REMUNERAÇÃO ]]</f>
        <v>0.23490652083333333</v>
      </c>
      <c r="AY217" s="22">
        <f>SUMIF(tabParametros[Código do Posto],tabCustoUnit[[#This Row],[Código do Posto]],tabParametros[Férias, Adicional de Férias e 13º  com empregada em gozo de Licença Maternidade])*tabCustoUnit[[#This Row],[MODULO 1 - REMUNERAÇÃO ]]</f>
        <v>1.4616405740740739</v>
      </c>
      <c r="AZ217" s="22">
        <f>SUMIF(tabParametros[Código do Posto],tabCustoUnit[[#This Row],[Código do Posto]],tabParametros[Incidência do Submódulo 2.1 sobre Ausências Legais])*tabCustoUnit[[#This Row],[MODULO 1 - REMUNERAÇÃO ]]</f>
        <v>5.1775182481225004</v>
      </c>
      <c r="BA217" s="22">
        <f>SUM(tabCustoUnit[[#This Row],[Ausência por Doença]:[Incidência do Submódulo 2.1 sobre Ausências Legais]])</f>
        <v>18.874656470668793</v>
      </c>
      <c r="BB217" s="22">
        <f>SUMIF(tabParametros[Código do Posto],tabCustoUnit[[#This Row],[Código do Posto]],tabParametros[Intervalo para Repouso ou Alimentação])</f>
        <v>0</v>
      </c>
      <c r="BC217" s="22">
        <f>tabCustoUnit[[#This Row],[Intervalo para Repouso ou Alimentação]]</f>
        <v>0</v>
      </c>
      <c r="BD217" s="22">
        <f>IF(VLOOKUP(tabCustoUnit[[#This Row],[Código do Posto]],PARAMETROS!$A$4:$BJ$255,7,0)&lt;=0,0,
IFERROR((tabCustoUnit[[#This Row],[MODULO 1 - REMUNERAÇÃO ]]*VLOOKUP(tabCustoUnit[[#This Row],[Código do Posto]],PARAMETROS!$A$4:$BJ$255,49,0))/(VLOOKUP(tabCustoUnit[[#This Row],[Código do Posto]],PARAMETROS!$A$4:$BJ$255,7,0)*VLOOKUP(tabCustoUnit[[#This Row],[Código do Posto]],PARAMETROS!$A$4:$BJ$255,8,0)),0)
)</f>
        <v>0</v>
      </c>
      <c r="BE217" s="22">
        <f>tabCustoUnit[[#This Row],[Suspensão Temporária do Contrato de Trabalho]]</f>
        <v>0</v>
      </c>
      <c r="BF217" s="22">
        <f>tabCustoUnit[[#This Row],[Submódulo 4.1]]+tabCustoUnit[[#This Row],[Submódulo 4.2]]+tabCustoUnit[[#This Row],[Submódulo 4.3]]</f>
        <v>18.874656470668793</v>
      </c>
      <c r="BG217" s="22">
        <f>VLOOKUP(tabCustoUnit[[#This Row],[Código do Posto]],tabParametros[],MATCH(tabCustoUnit[[#Headers],[Uniformes e EPIs]],tabParametros[#Headers],0),0)</f>
        <v>100.80916666666666</v>
      </c>
      <c r="BH217" s="22">
        <f>VLOOKUP(tabCustoUnit[[#This Row],[Código do Posto]],tabParametros[],MATCH(tabCustoUnit[[#Headers],[Materiais de Consumo]],tabParametros[#Headers],0),0)</f>
        <v>24.216963380852651</v>
      </c>
      <c r="BI217" s="22">
        <f>VLOOKUP(tabCustoUnit[[#This Row],[Código do Posto]],tabParametros[],MATCH(tabCustoUnit[[#Headers],[Máquinas e Equipamentos (depreciação)]],tabParametros[#Headers],0),0)</f>
        <v>43.997314032835618</v>
      </c>
      <c r="BJ217" s="22">
        <f>VLOOKUP(tabCustoUnit[[#This Row],[Código do Posto]],tabParametros[],MATCH(tabCustoUnit[[#Headers],[Produtos de Limpeza e Materiais de Higiene Pessoal]],tabParametros[#Headers],0),0)</f>
        <v>470.6396814404431</v>
      </c>
      <c r="BK217" s="22">
        <f>VLOOKUP(tabCustoUnit[[#This Row],[Código do Posto]],tabParametros[],MATCH(tabCustoUnit[[#Headers],[Outros (especificar)]],tabParametros[#Headers],0),0)</f>
        <v>0</v>
      </c>
      <c r="BL217" s="22">
        <f>SUM(tabCustoUnit[[#This Row],[Uniformes e EPIs]:[Outros (especificar)]])</f>
        <v>639.66312552079808</v>
      </c>
      <c r="BM217" s="22">
        <f>tabCustoUnit[[#This Row],[MODULO 1 - REMUNERAÇÃO ]]+tabCustoUnit[[#This Row],[MÓDULO 2 - Total Encargos e Benefícios mensais e diários]]+tabCustoUnit[[#This Row],[MÓDULO 3 – PROVISÃO PARA RESCISÃO]]+tabCustoUnit[[#This Row],[MÓDULO 4 – CUSTO DE REPOSIÇÃO DO PROFISSIONAL AUSENTE]]+tabCustoUnit[[#This Row],[MÓDULO 5 – INSUMOS DIVERSOS]]</f>
        <v>3340.1298123290121</v>
      </c>
      <c r="BN217" s="22">
        <f>VLOOKUP(tabCustoUnit[[#This Row],[Código do Posto]],tabParametros[],MATCH(tabCustoUnit[[#Headers],[Custos Indiretos]],tabParametros[#Headers],0),0)</f>
        <v>189.64880140242613</v>
      </c>
      <c r="BO217" s="22">
        <f>VLOOKUP(tabCustoUnit[[#This Row],[Código do Posto]],tabParametros[],MATCH(tabCustoUnit[[#Headers],[Lucro]],tabParametros[#Headers],0),0)</f>
        <v>159.30499317803796</v>
      </c>
      <c r="BP217" s="26">
        <f>((100/((1-tabCustoUnit[[#This Row],[Resumo de Alíquotas (PIS+CONFINS+ISS)]]))-100)*VLOOKUP(tabCustoUnit[[#This Row],[Código do Posto]],tabParametros[],MATCH(tabCustoUnit[[#Headers],[COFINS]],tabParametros[#Headers],0),0))/(tabCustoUnit[[#This Row],[Resumo de Alíquotas (PIS+CONFINS+ISS)]]*100)</f>
        <v>8.6609686609686695E-2</v>
      </c>
      <c r="BQ217" s="26">
        <f>((100/((100-(tabCustoUnit[[#This Row],[Resumo de Alíquotas (PIS+CONFINS+ISS)]]*100))%)-100)*VLOOKUP(tabCustoUnit[[#This Row],[Código do Posto]],tabParametros[],MATCH(tabCustoUnit[[#Headers],[PIS]],tabParametros[#Headers],0),0))/(tabCustoUnit[[#This Row],[Resumo de Alíquotas (PIS+CONFINS+ISS)]]*100)</f>
        <v>1.880341880341882E-2</v>
      </c>
      <c r="BR217" s="28">
        <f>VLOOKUP(tabCustoUnit[[#This Row],[Código do Posto]],tabParametros[],MATCH(tabCustoUnit[[#Headers],[ISS]],tabParametros[#Headers],0),0)</f>
        <v>0.03</v>
      </c>
      <c r="BS217" s="26">
        <f>(((100/((100-(tabCustoUnit[[#This Row],[Resumo de Alíquotas (PIS+CONFINS+ISS)]]*100))%)-100)*tabCustoUnit[[#This Row],[ISS]])/tabCustoUnit[[#This Row],[Resumo de Alíquotas (PIS+CONFINS+ISS)]])/100</f>
        <v>3.4188034188034219E-2</v>
      </c>
      <c r="BT217" s="26">
        <f>(VLOOKUP(tabCustoUnit[[#This Row],[Código do Posto]],tabParametros[],MATCH(tabCustoUnit[[#Headers],[COFINS]],tabParametros[#Headers],0),0)+
VLOOKUP(tabCustoUnit[[#This Row],[Código do Posto]],tabParametros[],MATCH(tabCustoUnit[[#Headers],[PIS]],tabParametros[#Headers],0),0)+
VLOOKUP(tabCustoUnit[[#This Row],[Código do Posto]],tabParametros[],MATCH(tabCustoUnit[[#Headers],[ISS]],tabParametros[#Headers],0),0))</f>
        <v>0.1225</v>
      </c>
      <c r="BU217" s="138">
        <f>tabCustoUnit[[#This Row],[COFINS]]+tabCustoUnit[[#This Row],[PIS]]+tabCustoUnit[[#This Row],[ISS (Conversão Alíquota s/ fatura)]]</f>
        <v>0.13960113960113973</v>
      </c>
      <c r="BV217" s="22">
        <f>(tabCustoUnit[[#This Row],[TOTAL MÓDULOS 1+2+3+4+5]]+tabCustoUnit[[#This Row],[Custos Indiretos]]+tabCustoUnit[[#This Row],[Lucro]])*tabCustoUnit[[#This Row],[PIS + COFINS + ISS (Total Conversão  Alíquota s/ Fatura)]]</f>
        <v>515.00027560844592</v>
      </c>
      <c r="BW217" s="22">
        <f>tabCustoUnit[[#This Row],[Custos Indiretos]]+tabCustoUnit[[#This Row],[Lucro]]+tabCustoUnit[[#This Row],[Valor dos Tributos (ISS, PIS, CONFINS)]]</f>
        <v>863.95407018891001</v>
      </c>
      <c r="BX217" s="22">
        <f>tabCustoUnit[[#This Row],[TOTAL MÓDULOS 1+2+3+4+5]]+tabCustoUnit[[#This Row],[MÓDULO 6 – CUSTOS INDIRETOS, TRIBUTOS E LUCRO]]</f>
        <v>4204.0838825179217</v>
      </c>
      <c r="BY217" s="22">
        <f>tabCustoUnit[[#This Row],[CUSTO TOTAL MENSAL]]*12</f>
        <v>50449.00659021506</v>
      </c>
      <c r="BZ217" s="24">
        <f>VLOOKUP(tabCustoUnit[[#This Row],[Código do Posto]],tabParametros[],MATCH(tabCustoUnit[[#Headers],[ANO DA CCT]],tabParametros[#Headers],0),0)</f>
        <v>45658</v>
      </c>
      <c r="CA217" s="25" t="str">
        <f>VLOOKUP(tabCustoUnit[[#This Row],[Código do Posto]],tabParametros[],MATCH(tabCustoUnit[[#Headers],[Nº DE PEDIDO DA CCT]],tabParametros[#Headers],0),0)</f>
        <v>-</v>
      </c>
      <c r="CB217" s="25" t="str">
        <f>VLOOKUP(tabCustoUnit[[#This Row],[Código do Posto]],tabParametros[],MATCH(tabCustoUnit[[#Headers],[TERMO ADITIVO ALTERAÇÃO DA CCT]],tabParametros[#Headers],0),0)</f>
        <v>-</v>
      </c>
    </row>
    <row r="218" spans="1:80" x14ac:dyDescent="0.25">
      <c r="A218" s="20" t="s">
        <v>1553</v>
      </c>
      <c r="B218" t="s">
        <v>198</v>
      </c>
      <c r="C218" t="s">
        <v>1244</v>
      </c>
      <c r="D218" t="s">
        <v>1023</v>
      </c>
      <c r="E218" s="20" t="s">
        <v>9</v>
      </c>
      <c r="F218" s="20" t="s">
        <v>10</v>
      </c>
      <c r="G218" s="21">
        <v>824.56</v>
      </c>
      <c r="H218" s="21">
        <v>0</v>
      </c>
      <c r="I218" s="21">
        <v>0</v>
      </c>
      <c r="J218" s="21">
        <v>0</v>
      </c>
      <c r="K218" s="21">
        <v>0</v>
      </c>
      <c r="L218" s="21">
        <v>0</v>
      </c>
      <c r="M218" s="21">
        <v>0</v>
      </c>
      <c r="N218" s="21">
        <v>26.985600000000002</v>
      </c>
      <c r="O218" s="21">
        <f>SUM(tabCustoUnit[[#This Row],[Salário Base]:[Adicional de Acúmulo de função]])</f>
        <v>851.54559999999992</v>
      </c>
      <c r="P218" s="21">
        <f>tabCustoUnit[[#This Row],[MODULO 1 - REMUNERAÇÃO ]]*SUMIFS(tabParametros[INSS],tabParametros[Código do Posto],tabCustoUnit[[#This Row],[Código do Posto]])</f>
        <v>170.30912000000001</v>
      </c>
      <c r="Q218" s="21">
        <f>tabCustoUnit[[#This Row],[MODULO 1 - REMUNERAÇÃO ]]*SUMIFS(tabParametros[SESI OU SESC],tabParametros[Código do Posto],tabCustoUnit[[#This Row],[Código do Posto]])</f>
        <v>12.773183999999999</v>
      </c>
      <c r="R218" s="21">
        <f>tabCustoUnit[[#This Row],[MODULO 1 - REMUNERAÇÃO ]]*SUMIFS(tabParametros[SENAI OU SENAC],tabParametros[Código do Posto],tabCustoUnit[[#This Row],[Código do Posto]])</f>
        <v>8.5154559999999986</v>
      </c>
      <c r="S218" s="21">
        <f>tabCustoUnit[[#This Row],[MODULO 1 - REMUNERAÇÃO ]]*SUMIFS(tabParametros[INCRA],tabParametros[Código do Posto],tabCustoUnit[[#This Row],[Código do Posto]])</f>
        <v>1.7030911999999998</v>
      </c>
      <c r="T218" s="21">
        <f>tabCustoUnit[[#This Row],[MODULO 1 - REMUNERAÇÃO ]]*SUMIFS(tabParametros[Salário Educação],tabParametros[Código do Posto],tabCustoUnit[[#This Row],[Código do Posto]])</f>
        <v>21.288640000000001</v>
      </c>
      <c r="U218" s="21">
        <f>tabCustoUnit[[#This Row],[MODULO 1 - REMUNERAÇÃO ]]*SUMIFS(tabParametros[FGTS],tabParametros[Código do Posto],tabCustoUnit[[#This Row],[Código do Posto]])</f>
        <v>68.123647999999989</v>
      </c>
      <c r="V218" s="21">
        <f>tabCustoUnit[[#This Row],[MODULO 1 - REMUNERAÇÃO ]]*SUMIFS(tabParametros[RAT Ajustado],tabParametros[Código do Posto],tabCustoUnit[[#This Row],[Código do Posto]])</f>
        <v>34.061823999999994</v>
      </c>
      <c r="W218" s="21">
        <f>tabCustoUnit[[#This Row],[MODULO 1 - REMUNERAÇÃO ]]*SUMIFS(tabParametros[SEBRAE],tabParametros[Código do Posto],tabCustoUnit[[#This Row],[Código do Posto]])</f>
        <v>5.1092735999999999</v>
      </c>
      <c r="X218" s="21">
        <f>SUM(tabCustoUnit[[#This Row],[INSS]:[SEBRAE]])</f>
        <v>321.8842368</v>
      </c>
      <c r="Y218" s="21">
        <f>tabCustoUnit[[#This Row],[MODULO 1 - REMUNERAÇÃO ]]*SUMIFS(tabParametros[13º salário (titular)],tabParametros[Código do Posto],tabCustoUnit[[#This Row],[Código do Posto]])</f>
        <v>70.962133333333327</v>
      </c>
      <c r="Z218" s="21">
        <f>tabCustoUnit[[#This Row],[MODULO 1 - REMUNERAÇÃO ]]*SUMIFS(tabParametros[Férias e Adicional de Férias (titular)],tabParametros[Código do Posto],tabCustoUnit[[#This Row],[Código do Posto]])</f>
        <v>94.616177777777764</v>
      </c>
      <c r="AA218" s="21">
        <f>IFERROR((tabCustoUnit[[#This Row],[Submódulo 2.1]]/tabCustoUnit[[#This Row],[MODULO 1 - REMUNERAÇÃO ]])*SUM(tabCustoUnit[[#This Row],[13º salário (titular)]:[Férias e Adicional de Férias (titular)]]),0)</f>
        <v>62.588601599999997</v>
      </c>
      <c r="AB218" s="21">
        <f>SUM(tabCustoUnit[[#This Row],[13º salário (titular)]:[Incidência do Submódulo 2.1 sobre 13º Salário, Férias e Adicional de Férias]])</f>
        <v>228.16691271111108</v>
      </c>
      <c r="AC218" s="22">
        <f>_xlfn.LET(_xlpm.VT,SUMIF(tabParametros[Código do Posto],tabCustoUnit[[#This Row],[Código do Posto]],tabParametros[Vale - Transporte])*2*20,
IF((_xlpm.VT-tabCustoUnit[[#This Row],[Salário Base]]*0.06)&gt;=0,(_xlpm.VT-tabCustoUnit[[#This Row],[Salário Base]]*0.06),0)
)</f>
        <v>206.5264</v>
      </c>
      <c r="AD218" s="22">
        <f>IF(SUMIF(tabParametros[Código do Posto],tabCustoUnit[[#This Row],[Código do Posto]],tabParametros[Vale - Alimentação])&lt;=0,0,
SUMIF(tabParametros[Código do Posto],tabCustoUnit[[#This Row],[Código do Posto]],tabParametros[Vale - Alimentação])*20-1)</f>
        <v>582</v>
      </c>
      <c r="AE218" s="22">
        <f>SUMIF(tabParametros[Código do Posto],tabCustoUnit[[#This Row],[Código do Posto]],tabParametros[Cesta Básica])</f>
        <v>0</v>
      </c>
      <c r="AF218" s="22">
        <f>SUMIF(tabParametros[Código do Posto],tabCustoUnit[[#This Row],[Código do Posto]],tabParametros[PAF])</f>
        <v>0</v>
      </c>
      <c r="AG218" s="22">
        <f>SUMIF(tabParametros[Código do Posto],tabCustoUnit[[#This Row],[Código do Posto]],tabParametros[PQM])</f>
        <v>0</v>
      </c>
      <c r="AH218" s="22">
        <f>SUMIF(tabParametros[Código do Posto],tabCustoUnit[[#This Row],[Código do Posto]],tabParametros[PAT])</f>
        <v>0</v>
      </c>
      <c r="AI218" s="22">
        <f>SUMIF(tabParametros[Código do Posto],tabCustoUnit[[#This Row],[Código do Posto]],tabParametros[Seguro de Vida])</f>
        <v>3.36</v>
      </c>
      <c r="AJ218" s="22">
        <f>SUMIF(tabParametros[Código do Posto],tabCustoUnit[[#This Row],[Código do Posto]],tabParametros[Despesas de Viagem])</f>
        <v>0</v>
      </c>
      <c r="AK218" s="22">
        <f>SUM(tabCustoUnit[[#This Row],[Vale - Transporte (Descontada parcela do empregado)]:[Despesas de Viagem]])</f>
        <v>791.88639999999998</v>
      </c>
      <c r="AL218" s="22">
        <f>tabCustoUnit[[#This Row],[Submódulo 2.1]]+tabCustoUnit[[#This Row],[Submódulo 2.2]]+tabCustoUnit[[#This Row],[Submódulo 2.3]]</f>
        <v>1341.9375495111112</v>
      </c>
      <c r="AM218" s="22">
        <f>SUMIF(tabParametros[Código do Posto],tabCustoUnit[[#This Row],[Código do Posto]],tabParametros[Aviso Prévio Indenizado (API) e Reflexo do Aviso Prévio Indenizado])*tabCustoUnit[[#This Row],[MODULO 1 - REMUNERAÇÃO ]]</f>
        <v>5.970839316049382</v>
      </c>
      <c r="AN218" s="22">
        <f>SUMIF(tabParametros[Código do Posto],tabCustoUnit[[#This Row],[Código do Posto]],tabParametros[Incidência do FGTS sobre API e Reflexo do API])*tabCustoUnit[[#This Row],[MODULO 1 - REMUNERAÇÃO ]]</f>
        <v>0.4776671452839506</v>
      </c>
      <c r="AO218" s="22">
        <f>SUMIF(tabParametros[Código do Posto],tabCustoUnit[[#This Row],[Código do Posto]],tabParametros[Multa Rescisória do FGTS sobre o Aviso Prévio Indenizado])*tabCustoUnit[[#This Row],[MODULO 1 - REMUNERAÇÃO ]]</f>
        <v>0.19106685811358026</v>
      </c>
      <c r="AP218" s="22">
        <f>SUMIF(tabParametros[Código do Posto],tabCustoUnit[[#This Row],[Código do Posto]],tabParametros[Aviso Prévio Trabalhado - APT])*tabCustoUnit[[#This Row],[MODULO 1 - REMUNERAÇÃO ]]</f>
        <v>2.9804096000000002</v>
      </c>
      <c r="AQ218" s="22">
        <f>SUMIF(tabParametros[Código do Posto],tabCustoUnit[[#This Row],[Código do Posto]],tabParametros[Incidência dos encargos do submódulo 2.1 sobre Aviso Prévio Trabalhado])*tabCustoUnit[[#This Row],[MODULO 1 - REMUNERAÇÃO ]]</f>
        <v>1.1265948288000003</v>
      </c>
      <c r="AR218" s="22">
        <f>SUMIF(tabParametros[Código do Posto],tabCustoUnit[[#This Row],[Código do Posto]],tabParametros[Multa Rescisória do FGTS])*tabCustoUnit[[#This Row],[MODULO 1 - REMUNERAÇÃO ]]</f>
        <v>26.038372124444439</v>
      </c>
      <c r="AS218" s="22">
        <f>SUMIF(tabParametros[Código do Posto],tabCustoUnit[[#This Row],[Código do Posto]],tabParametros[Indenização Adicional (Art. 9º da Lei nº 7.238/84)])*tabCustoUnit[[#This Row],[MODULO 1 - REMUNERAÇÃO ]]</f>
        <v>0.70962133333333333</v>
      </c>
      <c r="AT218" s="22">
        <f>SUM(tabCustoUnit[[#This Row],[Aviso Prévio Indenizado (API) e Reflexo do Aviso Prévio Indenizado]:[Indenização Adicional (Art. 9º da Lei nº 7.238/84)]])</f>
        <v>37.494571206024688</v>
      </c>
      <c r="AU218" s="22">
        <f>SUMIF(tabParametros[Código do Posto],tabCustoUnit[[#This Row],[Código do Posto]],tabParametros[Ausência por Doença])*tabCustoUnit[[#This Row],[MODULO 1 - REMUNERAÇÃO ]]</f>
        <v>7.1908295111111098</v>
      </c>
      <c r="AV218" s="22">
        <f>SUMIF(tabParametros[Código do Posto],tabCustoUnit[[#This Row],[Código do Posto]],tabParametros[Ausências Legais])*tabCustoUnit[[#This Row],[MODULO 1 - REMUNERAÇÃO ]]</f>
        <v>1.7267452444444442</v>
      </c>
      <c r="AW218" s="22">
        <f>SUMIF(tabParametros[Código do Posto],tabCustoUnit[[#This Row],[Código do Posto]],tabParametros[Licença Paternidade])*tabCustoUnit[[#This Row],[MODULO 1 - REMUNERAÇÃO ]]</f>
        <v>0.14547237333333332</v>
      </c>
      <c r="AX218" s="22">
        <f>SUMIF(tabParametros[Código do Posto],tabCustoUnit[[#This Row],[Código do Posto]],tabParametros[Ausência por Acidente de Trabalho])*tabCustoUnit[[#This Row],[MODULO 1 - REMUNERAÇÃO ]]</f>
        <v>0.17740533333333333</v>
      </c>
      <c r="AY218" s="22">
        <f>SUMIF(tabParametros[Código do Posto],tabCustoUnit[[#This Row],[Código do Posto]],tabParametros[Férias, Adicional de Férias e 13º  com empregada em gozo de Licença Maternidade])*tabCustoUnit[[#This Row],[MODULO 1 - REMUNERAÇÃO ]]</f>
        <v>1.1038554074074072</v>
      </c>
      <c r="AZ218" s="22">
        <f>SUMIF(tabParametros[Código do Posto],tabCustoUnit[[#This Row],[Código do Posto]],tabParametros[Incidência do Submódulo 2.1 sobre Ausências Legais])*tabCustoUnit[[#This Row],[MODULO 1 - REMUNERAÇÃO ]]</f>
        <v>3.9101483747200003</v>
      </c>
      <c r="BA218" s="22">
        <f>SUM(tabCustoUnit[[#This Row],[Ausência por Doença]:[Incidência do Submódulo 2.1 sobre Ausências Legais]])</f>
        <v>14.254456244349628</v>
      </c>
      <c r="BB218" s="22">
        <f>SUMIF(tabParametros[Código do Posto],tabCustoUnit[[#This Row],[Código do Posto]],tabParametros[Intervalo para Repouso ou Alimentação])</f>
        <v>0</v>
      </c>
      <c r="BC218" s="22">
        <f>tabCustoUnit[[#This Row],[Intervalo para Repouso ou Alimentação]]</f>
        <v>0</v>
      </c>
      <c r="BD218" s="22">
        <f>IF(VLOOKUP(tabCustoUnit[[#This Row],[Código do Posto]],PARAMETROS!$A$4:$BJ$255,7,0)&lt;=0,0,
IFERROR((tabCustoUnit[[#This Row],[MODULO 1 - REMUNERAÇÃO ]]*VLOOKUP(tabCustoUnit[[#This Row],[Código do Posto]],PARAMETROS!$A$4:$BJ$255,49,0))/(VLOOKUP(tabCustoUnit[[#This Row],[Código do Posto]],PARAMETROS!$A$4:$BJ$255,7,0)*VLOOKUP(tabCustoUnit[[#This Row],[Código do Posto]],PARAMETROS!$A$4:$BJ$255,8,0)),0)
)</f>
        <v>0</v>
      </c>
      <c r="BE218" s="22">
        <f>tabCustoUnit[[#This Row],[Suspensão Temporária do Contrato de Trabalho]]</f>
        <v>0</v>
      </c>
      <c r="BF218" s="22">
        <f>tabCustoUnit[[#This Row],[Submódulo 4.1]]+tabCustoUnit[[#This Row],[Submódulo 4.2]]+tabCustoUnit[[#This Row],[Submódulo 4.3]]</f>
        <v>14.254456244349628</v>
      </c>
      <c r="BG218" s="22">
        <f>VLOOKUP(tabCustoUnit[[#This Row],[Código do Posto]],tabParametros[],MATCH(tabCustoUnit[[#Headers],[Uniformes e EPIs]],tabParametros[#Headers],0),0)</f>
        <v>62.806666666666665</v>
      </c>
      <c r="BH218" s="22">
        <f>VLOOKUP(tabCustoUnit[[#This Row],[Código do Posto]],tabParametros[],MATCH(tabCustoUnit[[#Headers],[Materiais de Consumo]],tabParametros[#Headers],0),0)</f>
        <v>17.759106479291944</v>
      </c>
      <c r="BI218" s="22">
        <f>VLOOKUP(tabCustoUnit[[#This Row],[Código do Posto]],tabParametros[],MATCH(tabCustoUnit[[#Headers],[Máquinas e Equipamentos (depreciação)]],tabParametros[#Headers],0),0)</f>
        <v>32.264696957412788</v>
      </c>
      <c r="BJ218" s="22">
        <f>VLOOKUP(tabCustoUnit[[#This Row],[Código do Posto]],tabParametros[],MATCH(tabCustoUnit[[#Headers],[Produtos de Limpeza e Materiais de Higiene Pessoal]],tabParametros[#Headers],0),0)</f>
        <v>345.13576638965827</v>
      </c>
      <c r="BK218" s="22">
        <f>VLOOKUP(tabCustoUnit[[#This Row],[Código do Posto]],tabParametros[],MATCH(tabCustoUnit[[#Headers],[Outros (especificar)]],tabParametros[#Headers],0),0)</f>
        <v>0</v>
      </c>
      <c r="BL218" s="22">
        <f>SUM(tabCustoUnit[[#This Row],[Uniformes e EPIs]:[Outros (especificar)]])</f>
        <v>457.96623649302967</v>
      </c>
      <c r="BM218" s="22">
        <f>tabCustoUnit[[#This Row],[MODULO 1 - REMUNERAÇÃO ]]+tabCustoUnit[[#This Row],[MÓDULO 2 - Total Encargos e Benefícios mensais e diários]]+tabCustoUnit[[#This Row],[MÓDULO 3 – PROVISÃO PARA RESCISÃO]]+tabCustoUnit[[#This Row],[MÓDULO 4 – CUSTO DE REPOSIÇÃO DO PROFISSIONAL AUSENTE]]+tabCustoUnit[[#This Row],[MÓDULO 5 – INSUMOS DIVERSOS]]</f>
        <v>2703.198413454515</v>
      </c>
      <c r="BN218" s="22">
        <f>VLOOKUP(tabCustoUnit[[#This Row],[Código do Posto]],tabParametros[],MATCH(tabCustoUnit[[#Headers],[Custos Indiretos]],tabParametros[#Headers],0),0)</f>
        <v>189.64880140242613</v>
      </c>
      <c r="BO218" s="22">
        <f>VLOOKUP(tabCustoUnit[[#This Row],[Código do Posto]],tabParametros[],MATCH(tabCustoUnit[[#Headers],[Lucro]],tabParametros[#Headers],0),0)</f>
        <v>159.30499317803796</v>
      </c>
      <c r="BP218" s="26">
        <f>((100/((1-tabCustoUnit[[#This Row],[Resumo de Alíquotas (PIS+CONFINS+ISS)]]))-100)*VLOOKUP(tabCustoUnit[[#This Row],[Código do Posto]],tabParametros[],MATCH(tabCustoUnit[[#Headers],[COFINS]],tabParametros[#Headers],0),0))/(tabCustoUnit[[#This Row],[Resumo de Alíquotas (PIS+CONFINS+ISS)]]*100)</f>
        <v>8.6609686609686695E-2</v>
      </c>
      <c r="BQ218" s="26">
        <f>((100/((100-(tabCustoUnit[[#This Row],[Resumo de Alíquotas (PIS+CONFINS+ISS)]]*100))%)-100)*VLOOKUP(tabCustoUnit[[#This Row],[Código do Posto]],tabParametros[],MATCH(tabCustoUnit[[#Headers],[PIS]],tabParametros[#Headers],0),0))/(tabCustoUnit[[#This Row],[Resumo de Alíquotas (PIS+CONFINS+ISS)]]*100)</f>
        <v>1.880341880341882E-2</v>
      </c>
      <c r="BR218" s="28">
        <f>VLOOKUP(tabCustoUnit[[#This Row],[Código do Posto]],tabParametros[],MATCH(tabCustoUnit[[#Headers],[ISS]],tabParametros[#Headers],0),0)</f>
        <v>0.03</v>
      </c>
      <c r="BS218" s="26">
        <f>(((100/((100-(tabCustoUnit[[#This Row],[Resumo de Alíquotas (PIS+CONFINS+ISS)]]*100))%)-100)*tabCustoUnit[[#This Row],[ISS]])/tabCustoUnit[[#This Row],[Resumo de Alíquotas (PIS+CONFINS+ISS)]])/100</f>
        <v>3.4188034188034219E-2</v>
      </c>
      <c r="BT218" s="26">
        <f>(VLOOKUP(tabCustoUnit[[#This Row],[Código do Posto]],tabParametros[],MATCH(tabCustoUnit[[#Headers],[COFINS]],tabParametros[#Headers],0),0)+
VLOOKUP(tabCustoUnit[[#This Row],[Código do Posto]],tabParametros[],MATCH(tabCustoUnit[[#Headers],[PIS]],tabParametros[#Headers],0),0)+
VLOOKUP(tabCustoUnit[[#This Row],[Código do Posto]],tabParametros[],MATCH(tabCustoUnit[[#Headers],[ISS]],tabParametros[#Headers],0),0))</f>
        <v>0.1225</v>
      </c>
      <c r="BU218" s="138">
        <f>tabCustoUnit[[#This Row],[COFINS]]+tabCustoUnit[[#This Row],[PIS]]+tabCustoUnit[[#This Row],[ISS (Conversão Alíquota s/ fatura)]]</f>
        <v>0.13960113960113973</v>
      </c>
      <c r="BV218" s="22">
        <f>(tabCustoUnit[[#This Row],[TOTAL MÓDULOS 1+2+3+4+5]]+tabCustoUnit[[#This Row],[Custos Indiretos]]+tabCustoUnit[[#This Row],[Lucro]])*tabCustoUnit[[#This Row],[PIS + COFINS + ISS (Total Conversão  Alíquota s/ Fatura)]]</f>
        <v>426.08392647781801</v>
      </c>
      <c r="BW218" s="22">
        <f>tabCustoUnit[[#This Row],[Custos Indiretos]]+tabCustoUnit[[#This Row],[Lucro]]+tabCustoUnit[[#This Row],[Valor dos Tributos (ISS, PIS, CONFINS)]]</f>
        <v>775.03772105828216</v>
      </c>
      <c r="BX218" s="22">
        <f>tabCustoUnit[[#This Row],[TOTAL MÓDULOS 1+2+3+4+5]]+tabCustoUnit[[#This Row],[MÓDULO 6 – CUSTOS INDIRETOS, TRIBUTOS E LUCRO]]</f>
        <v>3478.2361345127974</v>
      </c>
      <c r="BY218" s="22">
        <f>tabCustoUnit[[#This Row],[CUSTO TOTAL MENSAL]]*12</f>
        <v>41738.833614153569</v>
      </c>
      <c r="BZ218" s="24">
        <f>VLOOKUP(tabCustoUnit[[#This Row],[Código do Posto]],tabParametros[],MATCH(tabCustoUnit[[#Headers],[ANO DA CCT]],tabParametros[#Headers],0),0)</f>
        <v>45658</v>
      </c>
      <c r="CA218" s="25" t="str">
        <f>VLOOKUP(tabCustoUnit[[#This Row],[Código do Posto]],tabParametros[],MATCH(tabCustoUnit[[#Headers],[Nº DE PEDIDO DA CCT]],tabParametros[#Headers],0),0)</f>
        <v>-</v>
      </c>
      <c r="CB218" s="25" t="str">
        <f>VLOOKUP(tabCustoUnit[[#This Row],[Código do Posto]],tabParametros[],MATCH(tabCustoUnit[[#Headers],[TERMO ADITIVO ALTERAÇÃO DA CCT]],tabParametros[#Headers],0),0)</f>
        <v>-</v>
      </c>
    </row>
    <row r="219" spans="1:80" x14ac:dyDescent="0.25">
      <c r="A219" s="20" t="s">
        <v>1554</v>
      </c>
      <c r="B219" t="s">
        <v>199</v>
      </c>
      <c r="C219" t="s">
        <v>1247</v>
      </c>
      <c r="D219" t="s">
        <v>992</v>
      </c>
      <c r="E219" s="20" t="s">
        <v>9</v>
      </c>
      <c r="F219" s="20" t="s">
        <v>10</v>
      </c>
      <c r="G219" s="21">
        <v>544.17999999999995</v>
      </c>
      <c r="H219" s="21">
        <v>0</v>
      </c>
      <c r="I219" s="21">
        <v>0</v>
      </c>
      <c r="J219" s="21">
        <v>0</v>
      </c>
      <c r="K219" s="21">
        <v>0</v>
      </c>
      <c r="L219" s="21">
        <v>0</v>
      </c>
      <c r="M219" s="21">
        <v>0</v>
      </c>
      <c r="N219" s="21">
        <v>19.590499999999999</v>
      </c>
      <c r="O219" s="21">
        <f>SUM(tabCustoUnit[[#This Row],[Salário Base]:[Adicional de Acúmulo de função]])</f>
        <v>563.77049999999997</v>
      </c>
      <c r="P219" s="21">
        <f>tabCustoUnit[[#This Row],[MODULO 1 - REMUNERAÇÃO ]]*SUMIFS(tabParametros[INSS],tabParametros[Código do Posto],tabCustoUnit[[#This Row],[Código do Posto]])</f>
        <v>112.75409999999999</v>
      </c>
      <c r="Q219" s="21">
        <f>tabCustoUnit[[#This Row],[MODULO 1 - REMUNERAÇÃO ]]*SUMIFS(tabParametros[SESI OU SESC],tabParametros[Código do Posto],tabCustoUnit[[#This Row],[Código do Posto]])</f>
        <v>8.4565574999999988</v>
      </c>
      <c r="R219" s="21">
        <f>tabCustoUnit[[#This Row],[MODULO 1 - REMUNERAÇÃO ]]*SUMIFS(tabParametros[SENAI OU SENAC],tabParametros[Código do Posto],tabCustoUnit[[#This Row],[Código do Posto]])</f>
        <v>5.6377049999999995</v>
      </c>
      <c r="S219" s="21">
        <f>tabCustoUnit[[#This Row],[MODULO 1 - REMUNERAÇÃO ]]*SUMIFS(tabParametros[INCRA],tabParametros[Código do Posto],tabCustoUnit[[#This Row],[Código do Posto]])</f>
        <v>1.1275409999999999</v>
      </c>
      <c r="T219" s="21">
        <f>tabCustoUnit[[#This Row],[MODULO 1 - REMUNERAÇÃO ]]*SUMIFS(tabParametros[Salário Educação],tabParametros[Código do Posto],tabCustoUnit[[#This Row],[Código do Posto]])</f>
        <v>14.094262499999999</v>
      </c>
      <c r="U219" s="21">
        <f>tabCustoUnit[[#This Row],[MODULO 1 - REMUNERAÇÃO ]]*SUMIFS(tabParametros[FGTS],tabParametros[Código do Posto],tabCustoUnit[[#This Row],[Código do Posto]])</f>
        <v>45.101639999999996</v>
      </c>
      <c r="V219" s="21">
        <f>tabCustoUnit[[#This Row],[MODULO 1 - REMUNERAÇÃO ]]*SUMIFS(tabParametros[RAT Ajustado],tabParametros[Código do Posto],tabCustoUnit[[#This Row],[Código do Posto]])</f>
        <v>22.550819999999998</v>
      </c>
      <c r="W219" s="21">
        <f>tabCustoUnit[[#This Row],[MODULO 1 - REMUNERAÇÃO ]]*SUMIFS(tabParametros[SEBRAE],tabParametros[Código do Posto],tabCustoUnit[[#This Row],[Código do Posto]])</f>
        <v>3.3826229999999997</v>
      </c>
      <c r="X219" s="21">
        <f>SUM(tabCustoUnit[[#This Row],[INSS]:[SEBRAE]])</f>
        <v>213.10524899999996</v>
      </c>
      <c r="Y219" s="21">
        <f>tabCustoUnit[[#This Row],[MODULO 1 - REMUNERAÇÃO ]]*SUMIFS(tabParametros[13º salário (titular)],tabParametros[Código do Posto],tabCustoUnit[[#This Row],[Código do Posto]])</f>
        <v>46.980874999999997</v>
      </c>
      <c r="Z219" s="21">
        <f>tabCustoUnit[[#This Row],[MODULO 1 - REMUNERAÇÃO ]]*SUMIFS(tabParametros[Férias e Adicional de Férias (titular)],tabParametros[Código do Posto],tabCustoUnit[[#This Row],[Código do Posto]])</f>
        <v>62.641166666666663</v>
      </c>
      <c r="AA219" s="21">
        <f>IFERROR((tabCustoUnit[[#This Row],[Submódulo 2.1]]/tabCustoUnit[[#This Row],[MODULO 1 - REMUNERAÇÃO ]])*SUM(tabCustoUnit[[#This Row],[13º salário (titular)]:[Férias e Adicional de Férias (titular)]]),0)</f>
        <v>41.437131749999992</v>
      </c>
      <c r="AB219" s="21">
        <f>SUM(tabCustoUnit[[#This Row],[13º salário (titular)]:[Incidência do Submódulo 2.1 sobre 13º Salário, Férias e Adicional de Férias]])</f>
        <v>151.05917341666665</v>
      </c>
      <c r="AC219" s="22">
        <f>_xlfn.LET(_xlpm.VT,SUMIF(tabParametros[Código do Posto],tabCustoUnit[[#This Row],[Código do Posto]],tabParametros[Vale - Transporte])*2*20,
IF((_xlpm.VT-tabCustoUnit[[#This Row],[Salário Base]]*0.06)&gt;=0,(_xlpm.VT-tabCustoUnit[[#This Row],[Salário Base]]*0.06),0)
)</f>
        <v>223.3492</v>
      </c>
      <c r="AD219" s="22">
        <f>IF(SUMIF(tabParametros[Código do Posto],tabCustoUnit[[#This Row],[Código do Posto]],tabParametros[Vale - Alimentação])&lt;=0,0,
SUMIF(tabParametros[Código do Posto],tabCustoUnit[[#This Row],[Código do Posto]],tabParametros[Vale - Alimentação])*20-1)</f>
        <v>0</v>
      </c>
      <c r="AE219" s="22">
        <f>SUMIF(tabParametros[Código do Posto],tabCustoUnit[[#This Row],[Código do Posto]],tabParametros[Cesta Básica])</f>
        <v>387.79</v>
      </c>
      <c r="AF219" s="22">
        <f>SUMIF(tabParametros[Código do Posto],tabCustoUnit[[#This Row],[Código do Posto]],tabParametros[PAF])</f>
        <v>42.97</v>
      </c>
      <c r="AG219" s="22">
        <f>SUMIF(tabParametros[Código do Posto],tabCustoUnit[[#This Row],[Código do Posto]],tabParametros[PQM])</f>
        <v>0</v>
      </c>
      <c r="AH219" s="22">
        <f>SUMIF(tabParametros[Código do Posto],tabCustoUnit[[#This Row],[Código do Posto]],tabParametros[PAT])</f>
        <v>0</v>
      </c>
      <c r="AI219" s="22">
        <f>SUMIF(tabParametros[Código do Posto],tabCustoUnit[[#This Row],[Código do Posto]],tabParametros[Seguro de Vida])</f>
        <v>3.36</v>
      </c>
      <c r="AJ219" s="22">
        <f>SUMIF(tabParametros[Código do Posto],tabCustoUnit[[#This Row],[Código do Posto]],tabParametros[Despesas de Viagem])</f>
        <v>0</v>
      </c>
      <c r="AK219" s="22">
        <f>SUM(tabCustoUnit[[#This Row],[Vale - Transporte (Descontada parcela do empregado)]:[Despesas de Viagem]])</f>
        <v>657.46920000000011</v>
      </c>
      <c r="AL219" s="22">
        <f>tabCustoUnit[[#This Row],[Submódulo 2.1]]+tabCustoUnit[[#This Row],[Submódulo 2.2]]+tabCustoUnit[[#This Row],[Submódulo 2.3]]</f>
        <v>1021.6336224166668</v>
      </c>
      <c r="AM219" s="22">
        <f>SUMIF(tabParametros[Código do Posto],tabCustoUnit[[#This Row],[Código do Posto]],tabParametros[Aviso Prévio Indenizado (API) e Reflexo do Aviso Prévio Indenizado])*tabCustoUnit[[#This Row],[MODULO 1 - REMUNERAÇÃO ]]</f>
        <v>3.9530273735532404</v>
      </c>
      <c r="AN219" s="22">
        <f>SUMIF(tabParametros[Código do Posto],tabCustoUnit[[#This Row],[Código do Posto]],tabParametros[Incidência do FGTS sobre API e Reflexo do API])*tabCustoUnit[[#This Row],[MODULO 1 - REMUNERAÇÃO ]]</f>
        <v>0.31624218988425928</v>
      </c>
      <c r="AO219" s="22">
        <f>SUMIF(tabParametros[Código do Posto],tabCustoUnit[[#This Row],[Código do Posto]],tabParametros[Multa Rescisória do FGTS sobre o Aviso Prévio Indenizado])*tabCustoUnit[[#This Row],[MODULO 1 - REMUNERAÇÃO ]]</f>
        <v>0.12649687595370371</v>
      </c>
      <c r="AP219" s="22">
        <f>SUMIF(tabParametros[Código do Posto],tabCustoUnit[[#This Row],[Código do Posto]],tabParametros[Aviso Prévio Trabalhado - APT])*tabCustoUnit[[#This Row],[MODULO 1 - REMUNERAÇÃO ]]</f>
        <v>1.9731967500000003</v>
      </c>
      <c r="AQ219" s="22">
        <f>SUMIF(tabParametros[Código do Posto],tabCustoUnit[[#This Row],[Código do Posto]],tabParametros[Incidência dos encargos do submódulo 2.1 sobre Aviso Prévio Trabalhado])*tabCustoUnit[[#This Row],[MODULO 1 - REMUNERAÇÃO ]]</f>
        <v>0.74586837150000018</v>
      </c>
      <c r="AR219" s="22">
        <f>SUMIF(tabParametros[Código do Posto],tabCustoUnit[[#This Row],[Código do Posto]],tabParametros[Multa Rescisória do FGTS])*tabCustoUnit[[#This Row],[MODULO 1 - REMUNERAÇÃO ]]</f>
        <v>17.238849066666663</v>
      </c>
      <c r="AS219" s="22">
        <f>SUMIF(tabParametros[Código do Posto],tabCustoUnit[[#This Row],[Código do Posto]],tabParametros[Indenização Adicional (Art. 9º da Lei nº 7.238/84)])*tabCustoUnit[[#This Row],[MODULO 1 - REMUNERAÇÃO ]]</f>
        <v>0.46980875</v>
      </c>
      <c r="AT219" s="22">
        <f>SUM(tabCustoUnit[[#This Row],[Aviso Prévio Indenizado (API) e Reflexo do Aviso Prévio Indenizado]:[Indenização Adicional (Art. 9º da Lei nº 7.238/84)]])</f>
        <v>24.823489377557866</v>
      </c>
      <c r="AU219" s="22">
        <f>SUMIF(tabParametros[Código do Posto],tabCustoUnit[[#This Row],[Código do Posto]],tabParametros[Ausência por Doença])*tabCustoUnit[[#This Row],[MODULO 1 - REMUNERAÇÃO ]]</f>
        <v>4.7607286666666662</v>
      </c>
      <c r="AV219" s="22">
        <f>SUMIF(tabParametros[Código do Posto],tabCustoUnit[[#This Row],[Código do Posto]],tabParametros[Ausências Legais])*tabCustoUnit[[#This Row],[MODULO 1 - REMUNERAÇÃO ]]</f>
        <v>1.1432012916666665</v>
      </c>
      <c r="AW219" s="22">
        <f>SUMIF(tabParametros[Código do Posto],tabCustoUnit[[#This Row],[Código do Posto]],tabParametros[Licença Paternidade])*tabCustoUnit[[#This Row],[MODULO 1 - REMUNERAÇÃO ]]</f>
        <v>9.6310793749999998E-2</v>
      </c>
      <c r="AX219" s="22">
        <f>SUMIF(tabParametros[Código do Posto],tabCustoUnit[[#This Row],[Código do Posto]],tabParametros[Ausência por Acidente de Trabalho])*tabCustoUnit[[#This Row],[MODULO 1 - REMUNERAÇÃO ]]</f>
        <v>0.1174521875</v>
      </c>
      <c r="AY219" s="22">
        <f>SUMIF(tabParametros[Código do Posto],tabCustoUnit[[#This Row],[Código do Posto]],tabParametros[Férias, Adicional de Férias e 13º  com empregada em gozo de Licença Maternidade])*tabCustoUnit[[#This Row],[MODULO 1 - REMUNERAÇÃO ]]</f>
        <v>0.73081361111111109</v>
      </c>
      <c r="AZ219" s="22">
        <f>SUMIF(tabParametros[Código do Posto],tabCustoUnit[[#This Row],[Código do Posto]],tabParametros[Incidência do Submódulo 2.1 sobre Ausências Legais])*tabCustoUnit[[#This Row],[MODULO 1 - REMUNERAÇÃO ]]</f>
        <v>2.5887354761625003</v>
      </c>
      <c r="BA219" s="22">
        <f>SUM(tabCustoUnit[[#This Row],[Ausência por Doença]:[Incidência do Submódulo 2.1 sobre Ausências Legais]])</f>
        <v>9.4372420268569428</v>
      </c>
      <c r="BB219" s="22">
        <f>SUMIF(tabParametros[Código do Posto],tabCustoUnit[[#This Row],[Código do Posto]],tabParametros[Intervalo para Repouso ou Alimentação])</f>
        <v>0</v>
      </c>
      <c r="BC219" s="22">
        <f>tabCustoUnit[[#This Row],[Intervalo para Repouso ou Alimentação]]</f>
        <v>0</v>
      </c>
      <c r="BD219" s="22">
        <f>IF(VLOOKUP(tabCustoUnit[[#This Row],[Código do Posto]],PARAMETROS!$A$4:$BJ$255,7,0)&lt;=0,0,
IFERROR((tabCustoUnit[[#This Row],[MODULO 1 - REMUNERAÇÃO ]]*VLOOKUP(tabCustoUnit[[#This Row],[Código do Posto]],PARAMETROS!$A$4:$BJ$255,49,0))/(VLOOKUP(tabCustoUnit[[#This Row],[Código do Posto]],PARAMETROS!$A$4:$BJ$255,7,0)*VLOOKUP(tabCustoUnit[[#This Row],[Código do Posto]],PARAMETROS!$A$4:$BJ$255,8,0)),0)
)</f>
        <v>0</v>
      </c>
      <c r="BE219" s="22">
        <f>tabCustoUnit[[#This Row],[Suspensão Temporária do Contrato de Trabalho]]</f>
        <v>0</v>
      </c>
      <c r="BF219" s="22">
        <f>tabCustoUnit[[#This Row],[Submódulo 4.1]]+tabCustoUnit[[#This Row],[Submódulo 4.2]]+tabCustoUnit[[#This Row],[Submódulo 4.3]]</f>
        <v>9.4372420268569428</v>
      </c>
      <c r="BG219" s="22">
        <f>VLOOKUP(tabCustoUnit[[#This Row],[Código do Posto]],tabParametros[],MATCH(tabCustoUnit[[#Headers],[Uniformes e EPIs]],tabParametros[#Headers],0),0)</f>
        <v>62.806666666666665</v>
      </c>
      <c r="BH219" s="22">
        <f>VLOOKUP(tabCustoUnit[[#This Row],[Código do Posto]],tabParametros[],MATCH(tabCustoUnit[[#Headers],[Materiais de Consumo]],tabParametros[#Headers],0),0)</f>
        <v>12.108481690426325</v>
      </c>
      <c r="BI219" s="22">
        <f>VLOOKUP(tabCustoUnit[[#This Row],[Código do Posto]],tabParametros[],MATCH(tabCustoUnit[[#Headers],[Máquinas e Equipamentos (depreciação)]],tabParametros[#Headers],0),0)</f>
        <v>21.998657016417809</v>
      </c>
      <c r="BJ219" s="22">
        <f>VLOOKUP(tabCustoUnit[[#This Row],[Código do Posto]],tabParametros[],MATCH(tabCustoUnit[[#Headers],[Produtos de Limpeza e Materiais de Higiene Pessoal]],tabParametros[#Headers],0),0)</f>
        <v>235.31984072022155</v>
      </c>
      <c r="BK219" s="22">
        <f>VLOOKUP(tabCustoUnit[[#This Row],[Código do Posto]],tabParametros[],MATCH(tabCustoUnit[[#Headers],[Outros (especificar)]],tabParametros[#Headers],0),0)</f>
        <v>0</v>
      </c>
      <c r="BL219" s="22">
        <f>SUM(tabCustoUnit[[#This Row],[Uniformes e EPIs]:[Outros (especificar)]])</f>
        <v>332.23364609373232</v>
      </c>
      <c r="BM219" s="22">
        <f>tabCustoUnit[[#This Row],[MODULO 1 - REMUNERAÇÃO ]]+tabCustoUnit[[#This Row],[MÓDULO 2 - Total Encargos e Benefícios mensais e diários]]+tabCustoUnit[[#This Row],[MÓDULO 3 – PROVISÃO PARA RESCISÃO]]+tabCustoUnit[[#This Row],[MÓDULO 4 – CUSTO DE REPOSIÇÃO DO PROFISSIONAL AUSENTE]]+tabCustoUnit[[#This Row],[MÓDULO 5 – INSUMOS DIVERSOS]]</f>
        <v>1951.8984999148138</v>
      </c>
      <c r="BN219" s="22">
        <f>VLOOKUP(tabCustoUnit[[#This Row],[Código do Posto]],tabParametros[],MATCH(tabCustoUnit[[#Headers],[Custos Indiretos]],tabParametros[#Headers],0),0)</f>
        <v>189.64880140242613</v>
      </c>
      <c r="BO219" s="22">
        <f>VLOOKUP(tabCustoUnit[[#This Row],[Código do Posto]],tabParametros[],MATCH(tabCustoUnit[[#Headers],[Lucro]],tabParametros[#Headers],0),0)</f>
        <v>159.30499317803796</v>
      </c>
      <c r="BP219" s="26">
        <f>((100/((1-tabCustoUnit[[#This Row],[Resumo de Alíquotas (PIS+CONFINS+ISS)]]))-100)*VLOOKUP(tabCustoUnit[[#This Row],[Código do Posto]],tabParametros[],MATCH(tabCustoUnit[[#Headers],[COFINS]],tabParametros[#Headers],0),0))/(tabCustoUnit[[#This Row],[Resumo de Alíquotas (PIS+CONFINS+ISS)]]*100)</f>
        <v>8.6609686609686695E-2</v>
      </c>
      <c r="BQ219" s="26">
        <f>((100/((100-(tabCustoUnit[[#This Row],[Resumo de Alíquotas (PIS+CONFINS+ISS)]]*100))%)-100)*VLOOKUP(tabCustoUnit[[#This Row],[Código do Posto]],tabParametros[],MATCH(tabCustoUnit[[#Headers],[PIS]],tabParametros[#Headers],0),0))/(tabCustoUnit[[#This Row],[Resumo de Alíquotas (PIS+CONFINS+ISS)]]*100)</f>
        <v>1.880341880341882E-2</v>
      </c>
      <c r="BR219" s="28">
        <f>VLOOKUP(tabCustoUnit[[#This Row],[Código do Posto]],tabParametros[],MATCH(tabCustoUnit[[#Headers],[ISS]],tabParametros[#Headers],0),0)</f>
        <v>0.03</v>
      </c>
      <c r="BS219" s="26">
        <f>(((100/((100-(tabCustoUnit[[#This Row],[Resumo de Alíquotas (PIS+CONFINS+ISS)]]*100))%)-100)*tabCustoUnit[[#This Row],[ISS]])/tabCustoUnit[[#This Row],[Resumo de Alíquotas (PIS+CONFINS+ISS)]])/100</f>
        <v>3.4188034188034219E-2</v>
      </c>
      <c r="BT219" s="26">
        <f>(VLOOKUP(tabCustoUnit[[#This Row],[Código do Posto]],tabParametros[],MATCH(tabCustoUnit[[#Headers],[COFINS]],tabParametros[#Headers],0),0)+
VLOOKUP(tabCustoUnit[[#This Row],[Código do Posto]],tabParametros[],MATCH(tabCustoUnit[[#Headers],[PIS]],tabParametros[#Headers],0),0)+
VLOOKUP(tabCustoUnit[[#This Row],[Código do Posto]],tabParametros[],MATCH(tabCustoUnit[[#Headers],[ISS]],tabParametros[#Headers],0),0))</f>
        <v>0.1225</v>
      </c>
      <c r="BU219" s="138">
        <f>tabCustoUnit[[#This Row],[COFINS]]+tabCustoUnit[[#This Row],[PIS]]+tabCustoUnit[[#This Row],[ISS (Conversão Alíquota s/ fatura)]]</f>
        <v>0.13960113960113973</v>
      </c>
      <c r="BV219" s="22">
        <f>(tabCustoUnit[[#This Row],[TOTAL MÓDULOS 1+2+3+4+5]]+tabCustoUnit[[#This Row],[Custos Indiretos]]+tabCustoUnit[[#This Row],[Lucro]])*tabCustoUnit[[#This Row],[PIS + COFINS + ISS (Total Conversão  Alíquota s/ Fatura)]]</f>
        <v>321.20160236543796</v>
      </c>
      <c r="BW219" s="22">
        <f>tabCustoUnit[[#This Row],[Custos Indiretos]]+tabCustoUnit[[#This Row],[Lucro]]+tabCustoUnit[[#This Row],[Valor dos Tributos (ISS, PIS, CONFINS)]]</f>
        <v>670.15539694590211</v>
      </c>
      <c r="BX219" s="22">
        <f>tabCustoUnit[[#This Row],[TOTAL MÓDULOS 1+2+3+4+5]]+tabCustoUnit[[#This Row],[MÓDULO 6 – CUSTOS INDIRETOS, TRIBUTOS E LUCRO]]</f>
        <v>2622.0538968607161</v>
      </c>
      <c r="BY219" s="22">
        <f>tabCustoUnit[[#This Row],[CUSTO TOTAL MENSAL]]*12</f>
        <v>31464.646762328593</v>
      </c>
      <c r="BZ219" s="24">
        <f>VLOOKUP(tabCustoUnit[[#This Row],[Código do Posto]],tabParametros[],MATCH(tabCustoUnit[[#Headers],[ANO DA CCT]],tabParametros[#Headers],0),0)</f>
        <v>45658</v>
      </c>
      <c r="CA219" s="25" t="str">
        <f>VLOOKUP(tabCustoUnit[[#This Row],[Código do Posto]],tabParametros[],MATCH(tabCustoUnit[[#Headers],[Nº DE PEDIDO DA CCT]],tabParametros[#Headers],0),0)</f>
        <v>-</v>
      </c>
      <c r="CB219" s="25" t="str">
        <f>VLOOKUP(tabCustoUnit[[#This Row],[Código do Posto]],tabParametros[],MATCH(tabCustoUnit[[#Headers],[TERMO ADITIVO ALTERAÇÃO DA CCT]],tabParametros[#Headers],0),0)</f>
        <v>-</v>
      </c>
    </row>
    <row r="220" spans="1:80" x14ac:dyDescent="0.25">
      <c r="A220" s="20" t="s">
        <v>1555</v>
      </c>
      <c r="B220" t="s">
        <v>200</v>
      </c>
      <c r="C220" t="s">
        <v>1245</v>
      </c>
      <c r="D220" t="s">
        <v>1010</v>
      </c>
      <c r="E220" s="20" t="s">
        <v>9</v>
      </c>
      <c r="F220" s="20" t="s">
        <v>10</v>
      </c>
      <c r="G220" s="21">
        <v>1596.28</v>
      </c>
      <c r="H220" s="21">
        <v>0</v>
      </c>
      <c r="I220" s="21">
        <v>0</v>
      </c>
      <c r="J220" s="21">
        <v>0</v>
      </c>
      <c r="K220" s="21">
        <v>0</v>
      </c>
      <c r="L220" s="21">
        <v>0</v>
      </c>
      <c r="M220" s="21">
        <v>0</v>
      </c>
      <c r="N220" s="21">
        <v>52.241900000000001</v>
      </c>
      <c r="O220" s="21">
        <f>SUM(tabCustoUnit[[#This Row],[Salário Base]:[Adicional de Acúmulo de função]])</f>
        <v>1648.5219</v>
      </c>
      <c r="P220" s="21">
        <f>tabCustoUnit[[#This Row],[MODULO 1 - REMUNERAÇÃO ]]*SUMIFS(tabParametros[INSS],tabParametros[Código do Posto],tabCustoUnit[[#This Row],[Código do Posto]])</f>
        <v>329.70438000000001</v>
      </c>
      <c r="Q220" s="21">
        <f>tabCustoUnit[[#This Row],[MODULO 1 - REMUNERAÇÃO ]]*SUMIFS(tabParametros[SESI OU SESC],tabParametros[Código do Posto],tabCustoUnit[[#This Row],[Código do Posto]])</f>
        <v>24.727828499999998</v>
      </c>
      <c r="R220" s="21">
        <f>tabCustoUnit[[#This Row],[MODULO 1 - REMUNERAÇÃO ]]*SUMIFS(tabParametros[SENAI OU SENAC],tabParametros[Código do Posto],tabCustoUnit[[#This Row],[Código do Posto]])</f>
        <v>16.485219000000001</v>
      </c>
      <c r="S220" s="21">
        <f>tabCustoUnit[[#This Row],[MODULO 1 - REMUNERAÇÃO ]]*SUMIFS(tabParametros[INCRA],tabParametros[Código do Posto],tabCustoUnit[[#This Row],[Código do Posto]])</f>
        <v>3.2970438</v>
      </c>
      <c r="T220" s="21">
        <f>tabCustoUnit[[#This Row],[MODULO 1 - REMUNERAÇÃO ]]*SUMIFS(tabParametros[Salário Educação],tabParametros[Código do Posto],tabCustoUnit[[#This Row],[Código do Posto]])</f>
        <v>41.213047500000002</v>
      </c>
      <c r="U220" s="21">
        <f>tabCustoUnit[[#This Row],[MODULO 1 - REMUNERAÇÃO ]]*SUMIFS(tabParametros[FGTS],tabParametros[Código do Posto],tabCustoUnit[[#This Row],[Código do Posto]])</f>
        <v>131.88175200000001</v>
      </c>
      <c r="V220" s="21">
        <f>tabCustoUnit[[#This Row],[MODULO 1 - REMUNERAÇÃO ]]*SUMIFS(tabParametros[RAT Ajustado],tabParametros[Código do Posto],tabCustoUnit[[#This Row],[Código do Posto]])</f>
        <v>65.940876000000003</v>
      </c>
      <c r="W220" s="21">
        <f>tabCustoUnit[[#This Row],[MODULO 1 - REMUNERAÇÃO ]]*SUMIFS(tabParametros[SEBRAE],tabParametros[Código do Posto],tabCustoUnit[[#This Row],[Código do Posto]])</f>
        <v>9.8911314000000008</v>
      </c>
      <c r="X220" s="21">
        <f>SUM(tabCustoUnit[[#This Row],[INSS]:[SEBRAE]])</f>
        <v>623.14127819999999</v>
      </c>
      <c r="Y220" s="21">
        <f>tabCustoUnit[[#This Row],[MODULO 1 - REMUNERAÇÃO ]]*SUMIFS(tabParametros[13º salário (titular)],tabParametros[Código do Posto],tabCustoUnit[[#This Row],[Código do Posto]])</f>
        <v>137.376825</v>
      </c>
      <c r="Z220" s="21">
        <f>tabCustoUnit[[#This Row],[MODULO 1 - REMUNERAÇÃO ]]*SUMIFS(tabParametros[Férias e Adicional de Férias (titular)],tabParametros[Código do Posto],tabCustoUnit[[#This Row],[Código do Posto]])</f>
        <v>183.16909999999999</v>
      </c>
      <c r="AA220" s="21">
        <f>IFERROR((tabCustoUnit[[#This Row],[Submódulo 2.1]]/tabCustoUnit[[#This Row],[MODULO 1 - REMUNERAÇÃO ]])*SUM(tabCustoUnit[[#This Row],[13º salário (titular)]:[Férias e Adicional de Férias (titular)]]),0)</f>
        <v>121.16635965</v>
      </c>
      <c r="AB220" s="21">
        <f>SUM(tabCustoUnit[[#This Row],[13º salário (titular)]:[Incidência do Submódulo 2.1 sobre 13º Salário, Férias e Adicional de Férias]])</f>
        <v>441.71228465000002</v>
      </c>
      <c r="AC220" s="22">
        <f>_xlfn.LET(_xlpm.VT,SUMIF(tabParametros[Código do Posto],tabCustoUnit[[#This Row],[Código do Posto]],tabParametros[Vale - Transporte])*2*20,
IF((_xlpm.VT-tabCustoUnit[[#This Row],[Salário Base]]*0.06)&gt;=0,(_xlpm.VT-tabCustoUnit[[#This Row],[Salário Base]]*0.06),0)
)</f>
        <v>160.22320000000002</v>
      </c>
      <c r="AD220" s="22">
        <f>IF(SUMIF(tabParametros[Código do Posto],tabCustoUnit[[#This Row],[Código do Posto]],tabParametros[Vale - Alimentação])&lt;=0,0,
SUMIF(tabParametros[Código do Posto],tabCustoUnit[[#This Row],[Código do Posto]],tabParametros[Vale - Alimentação])*20-1)</f>
        <v>582</v>
      </c>
      <c r="AE220" s="22">
        <f>SUMIF(tabParametros[Código do Posto],tabCustoUnit[[#This Row],[Código do Posto]],tabParametros[Cesta Básica])</f>
        <v>0</v>
      </c>
      <c r="AF220" s="22">
        <f>SUMIF(tabParametros[Código do Posto],tabCustoUnit[[#This Row],[Código do Posto]],tabParametros[PAF])</f>
        <v>51.88</v>
      </c>
      <c r="AG220" s="22">
        <f>SUMIF(tabParametros[Código do Posto],tabCustoUnit[[#This Row],[Código do Posto]],tabParametros[PQM])</f>
        <v>0</v>
      </c>
      <c r="AH220" s="22">
        <f>SUMIF(tabParametros[Código do Posto],tabCustoUnit[[#This Row],[Código do Posto]],tabParametros[PAT])</f>
        <v>0</v>
      </c>
      <c r="AI220" s="22">
        <f>SUMIF(tabParametros[Código do Posto],tabCustoUnit[[#This Row],[Código do Posto]],tabParametros[Seguro de Vida])</f>
        <v>3.36</v>
      </c>
      <c r="AJ220" s="22">
        <f>SUMIF(tabParametros[Código do Posto],tabCustoUnit[[#This Row],[Código do Posto]],tabParametros[Despesas de Viagem])</f>
        <v>0</v>
      </c>
      <c r="AK220" s="22">
        <f>SUM(tabCustoUnit[[#This Row],[Vale - Transporte (Descontada parcela do empregado)]:[Despesas de Viagem]])</f>
        <v>797.46320000000003</v>
      </c>
      <c r="AL220" s="22">
        <f>tabCustoUnit[[#This Row],[Submódulo 2.1]]+tabCustoUnit[[#This Row],[Submódulo 2.2]]+tabCustoUnit[[#This Row],[Submódulo 2.3]]</f>
        <v>1862.31676285</v>
      </c>
      <c r="AM220" s="22">
        <f>SUMIF(tabParametros[Código do Posto],tabCustoUnit[[#This Row],[Código do Posto]],tabParametros[Aviso Prévio Indenizado (API) e Reflexo do Aviso Prévio Indenizado])*tabCustoUnit[[#This Row],[MODULO 1 - REMUNERAÇÃO ]]</f>
        <v>11.559051416493055</v>
      </c>
      <c r="AN220" s="22">
        <f>SUMIF(tabParametros[Código do Posto],tabCustoUnit[[#This Row],[Código do Posto]],tabParametros[Incidência do FGTS sobre API e Reflexo do API])*tabCustoUnit[[#This Row],[MODULO 1 - REMUNERAÇÃO ]]</f>
        <v>0.92472411331944449</v>
      </c>
      <c r="AO220" s="22">
        <f>SUMIF(tabParametros[Código do Posto],tabCustoUnit[[#This Row],[Código do Posto]],tabParametros[Multa Rescisória do FGTS sobre o Aviso Prévio Indenizado])*tabCustoUnit[[#This Row],[MODULO 1 - REMUNERAÇÃO ]]</f>
        <v>0.36988964532777785</v>
      </c>
      <c r="AP220" s="22">
        <f>SUMIF(tabParametros[Código do Posto],tabCustoUnit[[#This Row],[Código do Posto]],tabParametros[Aviso Prévio Trabalhado - APT])*tabCustoUnit[[#This Row],[MODULO 1 - REMUNERAÇÃO ]]</f>
        <v>5.7698266500000006</v>
      </c>
      <c r="AQ220" s="22">
        <f>SUMIF(tabParametros[Código do Posto],tabCustoUnit[[#This Row],[Código do Posto]],tabParametros[Incidência dos encargos do submódulo 2.1 sobre Aviso Prévio Trabalhado])*tabCustoUnit[[#This Row],[MODULO 1 - REMUNERAÇÃO ]]</f>
        <v>2.1809944737000007</v>
      </c>
      <c r="AR220" s="22">
        <f>SUMIF(tabParametros[Código do Posto],tabCustoUnit[[#This Row],[Código do Posto]],tabParametros[Multa Rescisória do FGTS])*tabCustoUnit[[#This Row],[MODULO 1 - REMUNERAÇÃO ]]</f>
        <v>50.40813631999999</v>
      </c>
      <c r="AS220" s="22">
        <f>SUMIF(tabParametros[Código do Posto],tabCustoUnit[[#This Row],[Código do Posto]],tabParametros[Indenização Adicional (Art. 9º da Lei nº 7.238/84)])*tabCustoUnit[[#This Row],[MODULO 1 - REMUNERAÇÃO ]]</f>
        <v>1.3737682500000001</v>
      </c>
      <c r="AT220" s="22">
        <f>SUM(tabCustoUnit[[#This Row],[Aviso Prévio Indenizado (API) e Reflexo do Aviso Prévio Indenizado]:[Indenização Adicional (Art. 9º da Lei nº 7.238/84)]])</f>
        <v>72.586390868840269</v>
      </c>
      <c r="AU220" s="22">
        <f>SUMIF(tabParametros[Código do Posto],tabCustoUnit[[#This Row],[Código do Posto]],tabParametros[Ausência por Doença])*tabCustoUnit[[#This Row],[MODULO 1 - REMUNERAÇÃO ]]</f>
        <v>13.920851599999999</v>
      </c>
      <c r="AV220" s="22">
        <f>SUMIF(tabParametros[Código do Posto],tabCustoUnit[[#This Row],[Código do Posto]],tabParametros[Ausências Legais])*tabCustoUnit[[#This Row],[MODULO 1 - REMUNERAÇÃO ]]</f>
        <v>3.3428360749999997</v>
      </c>
      <c r="AW220" s="22">
        <f>SUMIF(tabParametros[Código do Posto],tabCustoUnit[[#This Row],[Código do Posto]],tabParametros[Licença Paternidade])*tabCustoUnit[[#This Row],[MODULO 1 - REMUNERAÇÃO ]]</f>
        <v>0.28162249125</v>
      </c>
      <c r="AX220" s="22">
        <f>SUMIF(tabParametros[Código do Posto],tabCustoUnit[[#This Row],[Código do Posto]],tabParametros[Ausência por Acidente de Trabalho])*tabCustoUnit[[#This Row],[MODULO 1 - REMUNERAÇÃO ]]</f>
        <v>0.34344206250000003</v>
      </c>
      <c r="AY220" s="22">
        <f>SUMIF(tabParametros[Código do Posto],tabCustoUnit[[#This Row],[Código do Posto]],tabParametros[Férias, Adicional de Férias e 13º  com empregada em gozo de Licença Maternidade])*tabCustoUnit[[#This Row],[MODULO 1 - REMUNERAÇÃO ]]</f>
        <v>2.1369728333333331</v>
      </c>
      <c r="AZ220" s="22">
        <f>SUMIF(tabParametros[Código do Posto],tabCustoUnit[[#This Row],[Código do Posto]],tabParametros[Incidência do Submódulo 2.1 sobre Ausências Legais])*tabCustoUnit[[#This Row],[MODULO 1 - REMUNERAÇÃO ]]</f>
        <v>7.5697240734675013</v>
      </c>
      <c r="BA220" s="22">
        <f>SUM(tabCustoUnit[[#This Row],[Ausência por Doença]:[Incidência do Submódulo 2.1 sobre Ausências Legais]])</f>
        <v>27.595449135550833</v>
      </c>
      <c r="BB220" s="22">
        <f>SUMIF(tabParametros[Código do Posto],tabCustoUnit[[#This Row],[Código do Posto]],tabParametros[Intervalo para Repouso ou Alimentação])</f>
        <v>0</v>
      </c>
      <c r="BC220" s="22">
        <f>tabCustoUnit[[#This Row],[Intervalo para Repouso ou Alimentação]]</f>
        <v>0</v>
      </c>
      <c r="BD220" s="22">
        <f>IF(VLOOKUP(tabCustoUnit[[#This Row],[Código do Posto]],PARAMETROS!$A$4:$BJ$255,7,0)&lt;=0,0,
IFERROR((tabCustoUnit[[#This Row],[MODULO 1 - REMUNERAÇÃO ]]*VLOOKUP(tabCustoUnit[[#This Row],[Código do Posto]],PARAMETROS!$A$4:$BJ$255,49,0))/(VLOOKUP(tabCustoUnit[[#This Row],[Código do Posto]],PARAMETROS!$A$4:$BJ$255,7,0)*VLOOKUP(tabCustoUnit[[#This Row],[Código do Posto]],PARAMETROS!$A$4:$BJ$255,8,0)),0)
)</f>
        <v>0</v>
      </c>
      <c r="BE220" s="22">
        <f>tabCustoUnit[[#This Row],[Suspensão Temporária do Contrato de Trabalho]]</f>
        <v>0</v>
      </c>
      <c r="BF220" s="22">
        <f>tabCustoUnit[[#This Row],[Submódulo 4.1]]+tabCustoUnit[[#This Row],[Submódulo 4.2]]+tabCustoUnit[[#This Row],[Submódulo 4.3]]</f>
        <v>27.595449135550833</v>
      </c>
      <c r="BG220" s="22">
        <f>VLOOKUP(tabCustoUnit[[#This Row],[Código do Posto]],tabParametros[],MATCH(tabCustoUnit[[#Headers],[Uniformes e EPIs]],tabParametros[#Headers],0),0)</f>
        <v>100.80916666666666</v>
      </c>
      <c r="BH220" s="22">
        <f>VLOOKUP(tabCustoUnit[[#This Row],[Código do Posto]],tabParametros[],MATCH(tabCustoUnit[[#Headers],[Materiais de Consumo]],tabParametros[#Headers],0),0)</f>
        <v>35.518212958583888</v>
      </c>
      <c r="BI220" s="22">
        <f>VLOOKUP(tabCustoUnit[[#This Row],[Código do Posto]],tabParametros[],MATCH(tabCustoUnit[[#Headers],[Máquinas e Equipamentos (depreciação)]],tabParametros[#Headers],0),0)</f>
        <v>64.529393914825576</v>
      </c>
      <c r="BJ220" s="22">
        <f>VLOOKUP(tabCustoUnit[[#This Row],[Código do Posto]],tabParametros[],MATCH(tabCustoUnit[[#Headers],[Produtos de Limpeza e Materiais de Higiene Pessoal]],tabParametros[#Headers],0),0)</f>
        <v>690.27153277931654</v>
      </c>
      <c r="BK220" s="22">
        <f>VLOOKUP(tabCustoUnit[[#This Row],[Código do Posto]],tabParametros[],MATCH(tabCustoUnit[[#Headers],[Outros (especificar)]],tabParametros[#Headers],0),0)</f>
        <v>0</v>
      </c>
      <c r="BL220" s="22">
        <f>SUM(tabCustoUnit[[#This Row],[Uniformes e EPIs]:[Outros (especificar)]])</f>
        <v>891.12830631939266</v>
      </c>
      <c r="BM220" s="22">
        <f>tabCustoUnit[[#This Row],[MODULO 1 - REMUNERAÇÃO ]]+tabCustoUnit[[#This Row],[MÓDULO 2 - Total Encargos e Benefícios mensais e diários]]+tabCustoUnit[[#This Row],[MÓDULO 3 – PROVISÃO PARA RESCISÃO]]+tabCustoUnit[[#This Row],[MÓDULO 4 – CUSTO DE REPOSIÇÃO DO PROFISSIONAL AUSENTE]]+tabCustoUnit[[#This Row],[MÓDULO 5 – INSUMOS DIVERSOS]]</f>
        <v>4502.1488091737838</v>
      </c>
      <c r="BN220" s="22">
        <f>VLOOKUP(tabCustoUnit[[#This Row],[Código do Posto]],tabParametros[],MATCH(tabCustoUnit[[#Headers],[Custos Indiretos]],tabParametros[#Headers],0),0)</f>
        <v>189.64880140242613</v>
      </c>
      <c r="BO220" s="22">
        <f>VLOOKUP(tabCustoUnit[[#This Row],[Código do Posto]],tabParametros[],MATCH(tabCustoUnit[[#Headers],[Lucro]],tabParametros[#Headers],0),0)</f>
        <v>159.30499317803796</v>
      </c>
      <c r="BP220" s="26">
        <f>((100/((1-tabCustoUnit[[#This Row],[Resumo de Alíquotas (PIS+CONFINS+ISS)]]))-100)*VLOOKUP(tabCustoUnit[[#This Row],[Código do Posto]],tabParametros[],MATCH(tabCustoUnit[[#Headers],[COFINS]],tabParametros[#Headers],0),0))/(tabCustoUnit[[#This Row],[Resumo de Alíquotas (PIS+CONFINS+ISS)]]*100)</f>
        <v>8.6609686609686695E-2</v>
      </c>
      <c r="BQ220" s="26">
        <f>((100/((100-(tabCustoUnit[[#This Row],[Resumo de Alíquotas (PIS+CONFINS+ISS)]]*100))%)-100)*VLOOKUP(tabCustoUnit[[#This Row],[Código do Posto]],tabParametros[],MATCH(tabCustoUnit[[#Headers],[PIS]],tabParametros[#Headers],0),0))/(tabCustoUnit[[#This Row],[Resumo de Alíquotas (PIS+CONFINS+ISS)]]*100)</f>
        <v>1.880341880341882E-2</v>
      </c>
      <c r="BR220" s="28">
        <f>VLOOKUP(tabCustoUnit[[#This Row],[Código do Posto]],tabParametros[],MATCH(tabCustoUnit[[#Headers],[ISS]],tabParametros[#Headers],0),0)</f>
        <v>0.03</v>
      </c>
      <c r="BS220" s="26">
        <f>(((100/((100-(tabCustoUnit[[#This Row],[Resumo de Alíquotas (PIS+CONFINS+ISS)]]*100))%)-100)*tabCustoUnit[[#This Row],[ISS]])/tabCustoUnit[[#This Row],[Resumo de Alíquotas (PIS+CONFINS+ISS)]])/100</f>
        <v>3.4188034188034219E-2</v>
      </c>
      <c r="BT220" s="26">
        <f>(VLOOKUP(tabCustoUnit[[#This Row],[Código do Posto]],tabParametros[],MATCH(tabCustoUnit[[#Headers],[COFINS]],tabParametros[#Headers],0),0)+
VLOOKUP(tabCustoUnit[[#This Row],[Código do Posto]],tabParametros[],MATCH(tabCustoUnit[[#Headers],[PIS]],tabParametros[#Headers],0),0)+
VLOOKUP(tabCustoUnit[[#This Row],[Código do Posto]],tabParametros[],MATCH(tabCustoUnit[[#Headers],[ISS]],tabParametros[#Headers],0),0))</f>
        <v>0.1225</v>
      </c>
      <c r="BU220" s="138">
        <f>tabCustoUnit[[#This Row],[COFINS]]+tabCustoUnit[[#This Row],[PIS]]+tabCustoUnit[[#This Row],[ISS (Conversão Alíquota s/ fatura)]]</f>
        <v>0.13960113960113973</v>
      </c>
      <c r="BV220" s="22">
        <f>(tabCustoUnit[[#This Row],[TOTAL MÓDULOS 1+2+3+4+5]]+tabCustoUnit[[#This Row],[Custos Indiretos]]+tabCustoUnit[[#This Row],[Lucro]])*tabCustoUnit[[#This Row],[PIS + COFINS + ISS (Total Conversão  Alíquota s/ Fatura)]]</f>
        <v>677.21945180614921</v>
      </c>
      <c r="BW220" s="22">
        <f>tabCustoUnit[[#This Row],[Custos Indiretos]]+tabCustoUnit[[#This Row],[Lucro]]+tabCustoUnit[[#This Row],[Valor dos Tributos (ISS, PIS, CONFINS)]]</f>
        <v>1026.1732463866133</v>
      </c>
      <c r="BX220" s="22">
        <f>tabCustoUnit[[#This Row],[TOTAL MÓDULOS 1+2+3+4+5]]+tabCustoUnit[[#This Row],[MÓDULO 6 – CUSTOS INDIRETOS, TRIBUTOS E LUCRO]]</f>
        <v>5528.3220555603966</v>
      </c>
      <c r="BY220" s="22">
        <f>tabCustoUnit[[#This Row],[CUSTO TOTAL MENSAL]]*12</f>
        <v>66339.864666724752</v>
      </c>
      <c r="BZ220" s="24">
        <f>VLOOKUP(tabCustoUnit[[#This Row],[Código do Posto]],tabParametros[],MATCH(tabCustoUnit[[#Headers],[ANO DA CCT]],tabParametros[#Headers],0),0)</f>
        <v>45658</v>
      </c>
      <c r="CA220" s="25" t="str">
        <f>VLOOKUP(tabCustoUnit[[#This Row],[Código do Posto]],tabParametros[],MATCH(tabCustoUnit[[#Headers],[Nº DE PEDIDO DA CCT]],tabParametros[#Headers],0),0)</f>
        <v>-</v>
      </c>
      <c r="CB220" s="25" t="str">
        <f>VLOOKUP(tabCustoUnit[[#This Row],[Código do Posto]],tabParametros[],MATCH(tabCustoUnit[[#Headers],[TERMO ADITIVO ALTERAÇÃO DA CCT]],tabParametros[#Headers],0),0)</f>
        <v>-</v>
      </c>
    </row>
    <row r="221" spans="1:80" x14ac:dyDescent="0.25">
      <c r="A221" s="20" t="s">
        <v>1556</v>
      </c>
      <c r="B221" t="s">
        <v>201</v>
      </c>
      <c r="C221" t="s">
        <v>1245</v>
      </c>
      <c r="D221" t="s">
        <v>1041</v>
      </c>
      <c r="E221" s="20" t="s">
        <v>9</v>
      </c>
      <c r="F221" s="20" t="s">
        <v>10</v>
      </c>
      <c r="G221" s="21">
        <v>1596.28</v>
      </c>
      <c r="H221" s="21">
        <v>0</v>
      </c>
      <c r="I221" s="21">
        <v>0</v>
      </c>
      <c r="J221" s="21">
        <v>0</v>
      </c>
      <c r="K221" s="21">
        <v>0</v>
      </c>
      <c r="L221" s="21">
        <v>0</v>
      </c>
      <c r="M221" s="21">
        <v>0</v>
      </c>
      <c r="N221" s="21">
        <v>52.241900000000001</v>
      </c>
      <c r="O221" s="21">
        <f>SUM(tabCustoUnit[[#This Row],[Salário Base]:[Adicional de Acúmulo de função]])</f>
        <v>1648.5219</v>
      </c>
      <c r="P221" s="21">
        <f>tabCustoUnit[[#This Row],[MODULO 1 - REMUNERAÇÃO ]]*SUMIFS(tabParametros[INSS],tabParametros[Código do Posto],tabCustoUnit[[#This Row],[Código do Posto]])</f>
        <v>329.70438000000001</v>
      </c>
      <c r="Q221" s="21">
        <f>tabCustoUnit[[#This Row],[MODULO 1 - REMUNERAÇÃO ]]*SUMIFS(tabParametros[SESI OU SESC],tabParametros[Código do Posto],tabCustoUnit[[#This Row],[Código do Posto]])</f>
        <v>24.727828499999998</v>
      </c>
      <c r="R221" s="21">
        <f>tabCustoUnit[[#This Row],[MODULO 1 - REMUNERAÇÃO ]]*SUMIFS(tabParametros[SENAI OU SENAC],tabParametros[Código do Posto],tabCustoUnit[[#This Row],[Código do Posto]])</f>
        <v>16.485219000000001</v>
      </c>
      <c r="S221" s="21">
        <f>tabCustoUnit[[#This Row],[MODULO 1 - REMUNERAÇÃO ]]*SUMIFS(tabParametros[INCRA],tabParametros[Código do Posto],tabCustoUnit[[#This Row],[Código do Posto]])</f>
        <v>3.2970438</v>
      </c>
      <c r="T221" s="21">
        <f>tabCustoUnit[[#This Row],[MODULO 1 - REMUNERAÇÃO ]]*SUMIFS(tabParametros[Salário Educação],tabParametros[Código do Posto],tabCustoUnit[[#This Row],[Código do Posto]])</f>
        <v>41.213047500000002</v>
      </c>
      <c r="U221" s="21">
        <f>tabCustoUnit[[#This Row],[MODULO 1 - REMUNERAÇÃO ]]*SUMIFS(tabParametros[FGTS],tabParametros[Código do Posto],tabCustoUnit[[#This Row],[Código do Posto]])</f>
        <v>131.88175200000001</v>
      </c>
      <c r="V221" s="21">
        <f>tabCustoUnit[[#This Row],[MODULO 1 - REMUNERAÇÃO ]]*SUMIFS(tabParametros[RAT Ajustado],tabParametros[Código do Posto],tabCustoUnit[[#This Row],[Código do Posto]])</f>
        <v>65.940876000000003</v>
      </c>
      <c r="W221" s="21">
        <f>tabCustoUnit[[#This Row],[MODULO 1 - REMUNERAÇÃO ]]*SUMIFS(tabParametros[SEBRAE],tabParametros[Código do Posto],tabCustoUnit[[#This Row],[Código do Posto]])</f>
        <v>9.8911314000000008</v>
      </c>
      <c r="X221" s="21">
        <f>SUM(tabCustoUnit[[#This Row],[INSS]:[SEBRAE]])</f>
        <v>623.14127819999999</v>
      </c>
      <c r="Y221" s="21">
        <f>tabCustoUnit[[#This Row],[MODULO 1 - REMUNERAÇÃO ]]*SUMIFS(tabParametros[13º salário (titular)],tabParametros[Código do Posto],tabCustoUnit[[#This Row],[Código do Posto]])</f>
        <v>137.376825</v>
      </c>
      <c r="Z221" s="21">
        <f>tabCustoUnit[[#This Row],[MODULO 1 - REMUNERAÇÃO ]]*SUMIFS(tabParametros[Férias e Adicional de Férias (titular)],tabParametros[Código do Posto],tabCustoUnit[[#This Row],[Código do Posto]])</f>
        <v>183.16909999999999</v>
      </c>
      <c r="AA221" s="21">
        <f>IFERROR((tabCustoUnit[[#This Row],[Submódulo 2.1]]/tabCustoUnit[[#This Row],[MODULO 1 - REMUNERAÇÃO ]])*SUM(tabCustoUnit[[#This Row],[13º salário (titular)]:[Férias e Adicional de Férias (titular)]]),0)</f>
        <v>121.16635965</v>
      </c>
      <c r="AB221" s="21">
        <f>SUM(tabCustoUnit[[#This Row],[13º salário (titular)]:[Incidência do Submódulo 2.1 sobre 13º Salário, Férias e Adicional de Férias]])</f>
        <v>441.71228465000002</v>
      </c>
      <c r="AC221" s="22">
        <f>_xlfn.LET(_xlpm.VT,SUMIF(tabParametros[Código do Posto],tabCustoUnit[[#This Row],[Código do Posto]],tabParametros[Vale - Transporte])*2*20,
IF((_xlpm.VT-tabCustoUnit[[#This Row],[Salário Base]]*0.06)&gt;=0,(_xlpm.VT-tabCustoUnit[[#This Row],[Salário Base]]*0.06),0)
)</f>
        <v>160.22320000000002</v>
      </c>
      <c r="AD221" s="22">
        <f>IF(SUMIF(tabParametros[Código do Posto],tabCustoUnit[[#This Row],[Código do Posto]],tabParametros[Vale - Alimentação])&lt;=0,0,
SUMIF(tabParametros[Código do Posto],tabCustoUnit[[#This Row],[Código do Posto]],tabParametros[Vale - Alimentação])*20-1)</f>
        <v>582</v>
      </c>
      <c r="AE221" s="22">
        <f>SUMIF(tabParametros[Código do Posto],tabCustoUnit[[#This Row],[Código do Posto]],tabParametros[Cesta Básica])</f>
        <v>0</v>
      </c>
      <c r="AF221" s="22">
        <f>SUMIF(tabParametros[Código do Posto],tabCustoUnit[[#This Row],[Código do Posto]],tabParametros[PAF])</f>
        <v>0</v>
      </c>
      <c r="AG221" s="22">
        <f>SUMIF(tabParametros[Código do Posto],tabCustoUnit[[#This Row],[Código do Posto]],tabParametros[PQM])</f>
        <v>0</v>
      </c>
      <c r="AH221" s="22">
        <f>SUMIF(tabParametros[Código do Posto],tabCustoUnit[[#This Row],[Código do Posto]],tabParametros[PAT])</f>
        <v>0</v>
      </c>
      <c r="AI221" s="22">
        <f>SUMIF(tabParametros[Código do Posto],tabCustoUnit[[#This Row],[Código do Posto]],tabParametros[Seguro de Vida])</f>
        <v>3.36</v>
      </c>
      <c r="AJ221" s="22">
        <f>SUMIF(tabParametros[Código do Posto],tabCustoUnit[[#This Row],[Código do Posto]],tabParametros[Despesas de Viagem])</f>
        <v>0</v>
      </c>
      <c r="AK221" s="22">
        <f>SUM(tabCustoUnit[[#This Row],[Vale - Transporte (Descontada parcela do empregado)]:[Despesas de Viagem]])</f>
        <v>745.58320000000003</v>
      </c>
      <c r="AL221" s="22">
        <f>tabCustoUnit[[#This Row],[Submódulo 2.1]]+tabCustoUnit[[#This Row],[Submódulo 2.2]]+tabCustoUnit[[#This Row],[Submódulo 2.3]]</f>
        <v>1810.4367628499999</v>
      </c>
      <c r="AM221" s="22">
        <f>SUMIF(tabParametros[Código do Posto],tabCustoUnit[[#This Row],[Código do Posto]],tabParametros[Aviso Prévio Indenizado (API) e Reflexo do Aviso Prévio Indenizado])*tabCustoUnit[[#This Row],[MODULO 1 - REMUNERAÇÃO ]]</f>
        <v>11.559051416493055</v>
      </c>
      <c r="AN221" s="22">
        <f>SUMIF(tabParametros[Código do Posto],tabCustoUnit[[#This Row],[Código do Posto]],tabParametros[Incidência do FGTS sobre API e Reflexo do API])*tabCustoUnit[[#This Row],[MODULO 1 - REMUNERAÇÃO ]]</f>
        <v>0.92472411331944449</v>
      </c>
      <c r="AO221" s="22">
        <f>SUMIF(tabParametros[Código do Posto],tabCustoUnit[[#This Row],[Código do Posto]],tabParametros[Multa Rescisória do FGTS sobre o Aviso Prévio Indenizado])*tabCustoUnit[[#This Row],[MODULO 1 - REMUNERAÇÃO ]]</f>
        <v>0.36988964532777785</v>
      </c>
      <c r="AP221" s="22">
        <f>SUMIF(tabParametros[Código do Posto],tabCustoUnit[[#This Row],[Código do Posto]],tabParametros[Aviso Prévio Trabalhado - APT])*tabCustoUnit[[#This Row],[MODULO 1 - REMUNERAÇÃO ]]</f>
        <v>5.7698266500000006</v>
      </c>
      <c r="AQ221" s="22">
        <f>SUMIF(tabParametros[Código do Posto],tabCustoUnit[[#This Row],[Código do Posto]],tabParametros[Incidência dos encargos do submódulo 2.1 sobre Aviso Prévio Trabalhado])*tabCustoUnit[[#This Row],[MODULO 1 - REMUNERAÇÃO ]]</f>
        <v>2.1809944737000007</v>
      </c>
      <c r="AR221" s="22">
        <f>SUMIF(tabParametros[Código do Posto],tabCustoUnit[[#This Row],[Código do Posto]],tabParametros[Multa Rescisória do FGTS])*tabCustoUnit[[#This Row],[MODULO 1 - REMUNERAÇÃO ]]</f>
        <v>50.40813631999999</v>
      </c>
      <c r="AS221" s="22">
        <f>SUMIF(tabParametros[Código do Posto],tabCustoUnit[[#This Row],[Código do Posto]],tabParametros[Indenização Adicional (Art. 9º da Lei nº 7.238/84)])*tabCustoUnit[[#This Row],[MODULO 1 - REMUNERAÇÃO ]]</f>
        <v>1.3737682500000001</v>
      </c>
      <c r="AT221" s="22">
        <f>SUM(tabCustoUnit[[#This Row],[Aviso Prévio Indenizado (API) e Reflexo do Aviso Prévio Indenizado]:[Indenização Adicional (Art. 9º da Lei nº 7.238/84)]])</f>
        <v>72.586390868840269</v>
      </c>
      <c r="AU221" s="22">
        <f>SUMIF(tabParametros[Código do Posto],tabCustoUnit[[#This Row],[Código do Posto]],tabParametros[Ausência por Doença])*tabCustoUnit[[#This Row],[MODULO 1 - REMUNERAÇÃO ]]</f>
        <v>13.920851599999999</v>
      </c>
      <c r="AV221" s="22">
        <f>SUMIF(tabParametros[Código do Posto],tabCustoUnit[[#This Row],[Código do Posto]],tabParametros[Ausências Legais])*tabCustoUnit[[#This Row],[MODULO 1 - REMUNERAÇÃO ]]</f>
        <v>3.3428360749999997</v>
      </c>
      <c r="AW221" s="22">
        <f>SUMIF(tabParametros[Código do Posto],tabCustoUnit[[#This Row],[Código do Posto]],tabParametros[Licença Paternidade])*tabCustoUnit[[#This Row],[MODULO 1 - REMUNERAÇÃO ]]</f>
        <v>0.28162249125</v>
      </c>
      <c r="AX221" s="22">
        <f>SUMIF(tabParametros[Código do Posto],tabCustoUnit[[#This Row],[Código do Posto]],tabParametros[Ausência por Acidente de Trabalho])*tabCustoUnit[[#This Row],[MODULO 1 - REMUNERAÇÃO ]]</f>
        <v>0.34344206250000003</v>
      </c>
      <c r="AY221" s="22">
        <f>SUMIF(tabParametros[Código do Posto],tabCustoUnit[[#This Row],[Código do Posto]],tabParametros[Férias, Adicional de Férias e 13º  com empregada em gozo de Licença Maternidade])*tabCustoUnit[[#This Row],[MODULO 1 - REMUNERAÇÃO ]]</f>
        <v>2.1369728333333331</v>
      </c>
      <c r="AZ221" s="22">
        <f>SUMIF(tabParametros[Código do Posto],tabCustoUnit[[#This Row],[Código do Posto]],tabParametros[Incidência do Submódulo 2.1 sobre Ausências Legais])*tabCustoUnit[[#This Row],[MODULO 1 - REMUNERAÇÃO ]]</f>
        <v>7.5697240734675013</v>
      </c>
      <c r="BA221" s="22">
        <f>SUM(tabCustoUnit[[#This Row],[Ausência por Doença]:[Incidência do Submódulo 2.1 sobre Ausências Legais]])</f>
        <v>27.595449135550833</v>
      </c>
      <c r="BB221" s="22">
        <f>SUMIF(tabParametros[Código do Posto],tabCustoUnit[[#This Row],[Código do Posto]],tabParametros[Intervalo para Repouso ou Alimentação])</f>
        <v>0</v>
      </c>
      <c r="BC221" s="22">
        <f>tabCustoUnit[[#This Row],[Intervalo para Repouso ou Alimentação]]</f>
        <v>0</v>
      </c>
      <c r="BD221" s="22">
        <f>IF(VLOOKUP(tabCustoUnit[[#This Row],[Código do Posto]],PARAMETROS!$A$4:$BJ$255,7,0)&lt;=0,0,
IFERROR((tabCustoUnit[[#This Row],[MODULO 1 - REMUNERAÇÃO ]]*VLOOKUP(tabCustoUnit[[#This Row],[Código do Posto]],PARAMETROS!$A$4:$BJ$255,49,0))/(VLOOKUP(tabCustoUnit[[#This Row],[Código do Posto]],PARAMETROS!$A$4:$BJ$255,7,0)*VLOOKUP(tabCustoUnit[[#This Row],[Código do Posto]],PARAMETROS!$A$4:$BJ$255,8,0)),0)
)</f>
        <v>0</v>
      </c>
      <c r="BE221" s="22">
        <f>tabCustoUnit[[#This Row],[Suspensão Temporária do Contrato de Trabalho]]</f>
        <v>0</v>
      </c>
      <c r="BF221" s="22">
        <f>tabCustoUnit[[#This Row],[Submódulo 4.1]]+tabCustoUnit[[#This Row],[Submódulo 4.2]]+tabCustoUnit[[#This Row],[Submódulo 4.3]]</f>
        <v>27.595449135550833</v>
      </c>
      <c r="BG221" s="22">
        <f>VLOOKUP(tabCustoUnit[[#This Row],[Código do Posto]],tabParametros[],MATCH(tabCustoUnit[[#Headers],[Uniformes e EPIs]],tabParametros[#Headers],0),0)</f>
        <v>100.80916666666666</v>
      </c>
      <c r="BH221" s="22">
        <f>VLOOKUP(tabCustoUnit[[#This Row],[Código do Posto]],tabParametros[],MATCH(tabCustoUnit[[#Headers],[Materiais de Consumo]],tabParametros[#Headers],0),0)</f>
        <v>35.518212958583888</v>
      </c>
      <c r="BI221" s="22">
        <f>VLOOKUP(tabCustoUnit[[#This Row],[Código do Posto]],tabParametros[],MATCH(tabCustoUnit[[#Headers],[Máquinas e Equipamentos (depreciação)]],tabParametros[#Headers],0),0)</f>
        <v>64.529393914825576</v>
      </c>
      <c r="BJ221" s="22">
        <f>VLOOKUP(tabCustoUnit[[#This Row],[Código do Posto]],tabParametros[],MATCH(tabCustoUnit[[#Headers],[Produtos de Limpeza e Materiais de Higiene Pessoal]],tabParametros[#Headers],0),0)</f>
        <v>690.27153277931654</v>
      </c>
      <c r="BK221" s="22">
        <f>VLOOKUP(tabCustoUnit[[#This Row],[Código do Posto]],tabParametros[],MATCH(tabCustoUnit[[#Headers],[Outros (especificar)]],tabParametros[#Headers],0),0)</f>
        <v>0</v>
      </c>
      <c r="BL221" s="22">
        <f>SUM(tabCustoUnit[[#This Row],[Uniformes e EPIs]:[Outros (especificar)]])</f>
        <v>891.12830631939266</v>
      </c>
      <c r="BM221" s="22">
        <f>tabCustoUnit[[#This Row],[MODULO 1 - REMUNERAÇÃO ]]+tabCustoUnit[[#This Row],[MÓDULO 2 - Total Encargos e Benefícios mensais e diários]]+tabCustoUnit[[#This Row],[MÓDULO 3 – PROVISÃO PARA RESCISÃO]]+tabCustoUnit[[#This Row],[MÓDULO 4 – CUSTO DE REPOSIÇÃO DO PROFISSIONAL AUSENTE]]+tabCustoUnit[[#This Row],[MÓDULO 5 – INSUMOS DIVERSOS]]</f>
        <v>4450.2688091737837</v>
      </c>
      <c r="BN221" s="22">
        <f>VLOOKUP(tabCustoUnit[[#This Row],[Código do Posto]],tabParametros[],MATCH(tabCustoUnit[[#Headers],[Custos Indiretos]],tabParametros[#Headers],0),0)</f>
        <v>189.64880140242613</v>
      </c>
      <c r="BO221" s="22">
        <f>VLOOKUP(tabCustoUnit[[#This Row],[Código do Posto]],tabParametros[],MATCH(tabCustoUnit[[#Headers],[Lucro]],tabParametros[#Headers],0),0)</f>
        <v>159.30499317803796</v>
      </c>
      <c r="BP221" s="26">
        <f>((100/((1-tabCustoUnit[[#This Row],[Resumo de Alíquotas (PIS+CONFINS+ISS)]]))-100)*VLOOKUP(tabCustoUnit[[#This Row],[Código do Posto]],tabParametros[],MATCH(tabCustoUnit[[#Headers],[COFINS]],tabParametros[#Headers],0),0))/(tabCustoUnit[[#This Row],[Resumo de Alíquotas (PIS+CONFINS+ISS)]]*100)</f>
        <v>8.5633802816901458E-2</v>
      </c>
      <c r="BQ221" s="26">
        <f>((100/((100-(tabCustoUnit[[#This Row],[Resumo de Alíquotas (PIS+CONFINS+ISS)]]*100))%)-100)*VLOOKUP(tabCustoUnit[[#This Row],[Código do Posto]],tabParametros[],MATCH(tabCustoUnit[[#Headers],[PIS]],tabParametros[#Headers],0),0))/(tabCustoUnit[[#This Row],[Resumo de Alíquotas (PIS+CONFINS+ISS)]]*100)</f>
        <v>1.8591549295774657E-2</v>
      </c>
      <c r="BR221" s="28">
        <f>VLOOKUP(tabCustoUnit[[#This Row],[Código do Posto]],tabParametros[],MATCH(tabCustoUnit[[#Headers],[ISS]],tabParametros[#Headers],0),0)</f>
        <v>0.02</v>
      </c>
      <c r="BS221" s="26">
        <f>(((100/((100-(tabCustoUnit[[#This Row],[Resumo de Alíquotas (PIS+CONFINS+ISS)]]*100))%)-100)*tabCustoUnit[[#This Row],[ISS]])/tabCustoUnit[[#This Row],[Resumo de Alíquotas (PIS+CONFINS+ISS)]])/100</f>
        <v>2.2535211267605645E-2</v>
      </c>
      <c r="BT221" s="26">
        <f>(VLOOKUP(tabCustoUnit[[#This Row],[Código do Posto]],tabParametros[],MATCH(tabCustoUnit[[#Headers],[COFINS]],tabParametros[#Headers],0),0)+
VLOOKUP(tabCustoUnit[[#This Row],[Código do Posto]],tabParametros[],MATCH(tabCustoUnit[[#Headers],[PIS]],tabParametros[#Headers],0),0)+
VLOOKUP(tabCustoUnit[[#This Row],[Código do Posto]],tabParametros[],MATCH(tabCustoUnit[[#Headers],[ISS]],tabParametros[#Headers],0),0))</f>
        <v>0.1125</v>
      </c>
      <c r="BU221" s="138">
        <f>tabCustoUnit[[#This Row],[COFINS]]+tabCustoUnit[[#This Row],[PIS]]+tabCustoUnit[[#This Row],[ISS (Conversão Alíquota s/ fatura)]]</f>
        <v>0.12676056338028174</v>
      </c>
      <c r="BV221" s="22">
        <f>(tabCustoUnit[[#This Row],[TOTAL MÓDULOS 1+2+3+4+5]]+tabCustoUnit[[#This Row],[Custos Indiretos]]+tabCustoUnit[[#This Row],[Lucro]])*tabCustoUnit[[#This Row],[PIS + COFINS + ISS (Total Conversão  Alíquota s/ Fatura)]]</f>
        <v>608.3521610392711</v>
      </c>
      <c r="BW221" s="22">
        <f>tabCustoUnit[[#This Row],[Custos Indiretos]]+tabCustoUnit[[#This Row],[Lucro]]+tabCustoUnit[[#This Row],[Valor dos Tributos (ISS, PIS, CONFINS)]]</f>
        <v>957.30595561973519</v>
      </c>
      <c r="BX221" s="22">
        <f>tabCustoUnit[[#This Row],[TOTAL MÓDULOS 1+2+3+4+5]]+tabCustoUnit[[#This Row],[MÓDULO 6 – CUSTOS INDIRETOS, TRIBUTOS E LUCRO]]</f>
        <v>5407.5747647935186</v>
      </c>
      <c r="BY221" s="22">
        <f>tabCustoUnit[[#This Row],[CUSTO TOTAL MENSAL]]*12</f>
        <v>64890.897177522224</v>
      </c>
      <c r="BZ221" s="24">
        <f>VLOOKUP(tabCustoUnit[[#This Row],[Código do Posto]],tabParametros[],MATCH(tabCustoUnit[[#Headers],[ANO DA CCT]],tabParametros[#Headers],0),0)</f>
        <v>45658</v>
      </c>
      <c r="CA221" s="25" t="str">
        <f>VLOOKUP(tabCustoUnit[[#This Row],[Código do Posto]],tabParametros[],MATCH(tabCustoUnit[[#Headers],[Nº DE PEDIDO DA CCT]],tabParametros[#Headers],0),0)</f>
        <v>-</v>
      </c>
      <c r="CB221" s="25" t="str">
        <f>VLOOKUP(tabCustoUnit[[#This Row],[Código do Posto]],tabParametros[],MATCH(tabCustoUnit[[#Headers],[TERMO ADITIVO ALTERAÇÃO DA CCT]],tabParametros[#Headers],0),0)</f>
        <v>-</v>
      </c>
    </row>
    <row r="222" spans="1:80" x14ac:dyDescent="0.25">
      <c r="A222" s="20" t="s">
        <v>1557</v>
      </c>
      <c r="B222" t="s">
        <v>202</v>
      </c>
      <c r="C222" t="s">
        <v>1247</v>
      </c>
      <c r="D222" t="s">
        <v>1023</v>
      </c>
      <c r="E222" s="20" t="s">
        <v>9</v>
      </c>
      <c r="F222" s="20" t="s">
        <v>10</v>
      </c>
      <c r="G222" s="21">
        <v>544.17999999999995</v>
      </c>
      <c r="H222" s="21">
        <v>0</v>
      </c>
      <c r="I222" s="21">
        <v>0</v>
      </c>
      <c r="J222" s="21">
        <v>0</v>
      </c>
      <c r="K222" s="21">
        <v>0</v>
      </c>
      <c r="L222" s="21">
        <v>0</v>
      </c>
      <c r="M222" s="21">
        <v>0</v>
      </c>
      <c r="N222" s="21">
        <v>19.590499999999999</v>
      </c>
      <c r="O222" s="21">
        <f>SUM(tabCustoUnit[[#This Row],[Salário Base]:[Adicional de Acúmulo de função]])</f>
        <v>563.77049999999997</v>
      </c>
      <c r="P222" s="21">
        <f>tabCustoUnit[[#This Row],[MODULO 1 - REMUNERAÇÃO ]]*SUMIFS(tabParametros[INSS],tabParametros[Código do Posto],tabCustoUnit[[#This Row],[Código do Posto]])</f>
        <v>112.75409999999999</v>
      </c>
      <c r="Q222" s="21">
        <f>tabCustoUnit[[#This Row],[MODULO 1 - REMUNERAÇÃO ]]*SUMIFS(tabParametros[SESI OU SESC],tabParametros[Código do Posto],tabCustoUnit[[#This Row],[Código do Posto]])</f>
        <v>8.4565574999999988</v>
      </c>
      <c r="R222" s="21">
        <f>tabCustoUnit[[#This Row],[MODULO 1 - REMUNERAÇÃO ]]*SUMIFS(tabParametros[SENAI OU SENAC],tabParametros[Código do Posto],tabCustoUnit[[#This Row],[Código do Posto]])</f>
        <v>5.6377049999999995</v>
      </c>
      <c r="S222" s="21">
        <f>tabCustoUnit[[#This Row],[MODULO 1 - REMUNERAÇÃO ]]*SUMIFS(tabParametros[INCRA],tabParametros[Código do Posto],tabCustoUnit[[#This Row],[Código do Posto]])</f>
        <v>1.1275409999999999</v>
      </c>
      <c r="T222" s="21">
        <f>tabCustoUnit[[#This Row],[MODULO 1 - REMUNERAÇÃO ]]*SUMIFS(tabParametros[Salário Educação],tabParametros[Código do Posto],tabCustoUnit[[#This Row],[Código do Posto]])</f>
        <v>14.094262499999999</v>
      </c>
      <c r="U222" s="21">
        <f>tabCustoUnit[[#This Row],[MODULO 1 - REMUNERAÇÃO ]]*SUMIFS(tabParametros[FGTS],tabParametros[Código do Posto],tabCustoUnit[[#This Row],[Código do Posto]])</f>
        <v>45.101639999999996</v>
      </c>
      <c r="V222" s="21">
        <f>tabCustoUnit[[#This Row],[MODULO 1 - REMUNERAÇÃO ]]*SUMIFS(tabParametros[RAT Ajustado],tabParametros[Código do Posto],tabCustoUnit[[#This Row],[Código do Posto]])</f>
        <v>22.550819999999998</v>
      </c>
      <c r="W222" s="21">
        <f>tabCustoUnit[[#This Row],[MODULO 1 - REMUNERAÇÃO ]]*SUMIFS(tabParametros[SEBRAE],tabParametros[Código do Posto],tabCustoUnit[[#This Row],[Código do Posto]])</f>
        <v>3.3826229999999997</v>
      </c>
      <c r="X222" s="21">
        <f>SUM(tabCustoUnit[[#This Row],[INSS]:[SEBRAE]])</f>
        <v>213.10524899999996</v>
      </c>
      <c r="Y222" s="21">
        <f>tabCustoUnit[[#This Row],[MODULO 1 - REMUNERAÇÃO ]]*SUMIFS(tabParametros[13º salário (titular)],tabParametros[Código do Posto],tabCustoUnit[[#This Row],[Código do Posto]])</f>
        <v>46.980874999999997</v>
      </c>
      <c r="Z222" s="21">
        <f>tabCustoUnit[[#This Row],[MODULO 1 - REMUNERAÇÃO ]]*SUMIFS(tabParametros[Férias e Adicional de Férias (titular)],tabParametros[Código do Posto],tabCustoUnit[[#This Row],[Código do Posto]])</f>
        <v>62.641166666666663</v>
      </c>
      <c r="AA222" s="21">
        <f>IFERROR((tabCustoUnit[[#This Row],[Submódulo 2.1]]/tabCustoUnit[[#This Row],[MODULO 1 - REMUNERAÇÃO ]])*SUM(tabCustoUnit[[#This Row],[13º salário (titular)]:[Férias e Adicional de Férias (titular)]]),0)</f>
        <v>41.437131749999992</v>
      </c>
      <c r="AB222" s="21">
        <f>SUM(tabCustoUnit[[#This Row],[13º salário (titular)]:[Incidência do Submódulo 2.1 sobre 13º Salário, Férias e Adicional de Férias]])</f>
        <v>151.05917341666665</v>
      </c>
      <c r="AC222" s="22">
        <f>_xlfn.LET(_xlpm.VT,SUMIF(tabParametros[Código do Posto],tabCustoUnit[[#This Row],[Código do Posto]],tabParametros[Vale - Transporte])*2*20,
IF((_xlpm.VT-tabCustoUnit[[#This Row],[Salário Base]]*0.06)&gt;=0,(_xlpm.VT-tabCustoUnit[[#This Row],[Salário Base]]*0.06),0)
)</f>
        <v>223.3492</v>
      </c>
      <c r="AD222" s="22">
        <f>IF(SUMIF(tabParametros[Código do Posto],tabCustoUnit[[#This Row],[Código do Posto]],tabParametros[Vale - Alimentação])&lt;=0,0,
SUMIF(tabParametros[Código do Posto],tabCustoUnit[[#This Row],[Código do Posto]],tabParametros[Vale - Alimentação])*20-1)</f>
        <v>582</v>
      </c>
      <c r="AE222" s="22">
        <f>SUMIF(tabParametros[Código do Posto],tabCustoUnit[[#This Row],[Código do Posto]],tabParametros[Cesta Básica])</f>
        <v>0</v>
      </c>
      <c r="AF222" s="22">
        <f>SUMIF(tabParametros[Código do Posto],tabCustoUnit[[#This Row],[Código do Posto]],tabParametros[PAF])</f>
        <v>0</v>
      </c>
      <c r="AG222" s="22">
        <f>SUMIF(tabParametros[Código do Posto],tabCustoUnit[[#This Row],[Código do Posto]],tabParametros[PQM])</f>
        <v>0</v>
      </c>
      <c r="AH222" s="22">
        <f>SUMIF(tabParametros[Código do Posto],tabCustoUnit[[#This Row],[Código do Posto]],tabParametros[PAT])</f>
        <v>0</v>
      </c>
      <c r="AI222" s="22">
        <f>SUMIF(tabParametros[Código do Posto],tabCustoUnit[[#This Row],[Código do Posto]],tabParametros[Seguro de Vida])</f>
        <v>3.36</v>
      </c>
      <c r="AJ222" s="22">
        <f>SUMIF(tabParametros[Código do Posto],tabCustoUnit[[#This Row],[Código do Posto]],tabParametros[Despesas de Viagem])</f>
        <v>0</v>
      </c>
      <c r="AK222" s="22">
        <f>SUM(tabCustoUnit[[#This Row],[Vale - Transporte (Descontada parcela do empregado)]:[Despesas de Viagem]])</f>
        <v>808.70920000000001</v>
      </c>
      <c r="AL222" s="22">
        <f>tabCustoUnit[[#This Row],[Submódulo 2.1]]+tabCustoUnit[[#This Row],[Submódulo 2.2]]+tabCustoUnit[[#This Row],[Submódulo 2.3]]</f>
        <v>1172.8736224166666</v>
      </c>
      <c r="AM222" s="22">
        <f>SUMIF(tabParametros[Código do Posto],tabCustoUnit[[#This Row],[Código do Posto]],tabParametros[Aviso Prévio Indenizado (API) e Reflexo do Aviso Prévio Indenizado])*tabCustoUnit[[#This Row],[MODULO 1 - REMUNERAÇÃO ]]</f>
        <v>3.9530273735532404</v>
      </c>
      <c r="AN222" s="22">
        <f>SUMIF(tabParametros[Código do Posto],tabCustoUnit[[#This Row],[Código do Posto]],tabParametros[Incidência do FGTS sobre API e Reflexo do API])*tabCustoUnit[[#This Row],[MODULO 1 - REMUNERAÇÃO ]]</f>
        <v>0.31624218988425928</v>
      </c>
      <c r="AO222" s="22">
        <f>SUMIF(tabParametros[Código do Posto],tabCustoUnit[[#This Row],[Código do Posto]],tabParametros[Multa Rescisória do FGTS sobre o Aviso Prévio Indenizado])*tabCustoUnit[[#This Row],[MODULO 1 - REMUNERAÇÃO ]]</f>
        <v>0.12649687595370371</v>
      </c>
      <c r="AP222" s="22">
        <f>SUMIF(tabParametros[Código do Posto],tabCustoUnit[[#This Row],[Código do Posto]],tabParametros[Aviso Prévio Trabalhado - APT])*tabCustoUnit[[#This Row],[MODULO 1 - REMUNERAÇÃO ]]</f>
        <v>1.9731967500000003</v>
      </c>
      <c r="AQ222" s="22">
        <f>SUMIF(tabParametros[Código do Posto],tabCustoUnit[[#This Row],[Código do Posto]],tabParametros[Incidência dos encargos do submódulo 2.1 sobre Aviso Prévio Trabalhado])*tabCustoUnit[[#This Row],[MODULO 1 - REMUNERAÇÃO ]]</f>
        <v>0.74586837150000018</v>
      </c>
      <c r="AR222" s="22">
        <f>SUMIF(tabParametros[Código do Posto],tabCustoUnit[[#This Row],[Código do Posto]],tabParametros[Multa Rescisória do FGTS])*tabCustoUnit[[#This Row],[MODULO 1 - REMUNERAÇÃO ]]</f>
        <v>17.238849066666663</v>
      </c>
      <c r="AS222" s="22">
        <f>SUMIF(tabParametros[Código do Posto],tabCustoUnit[[#This Row],[Código do Posto]],tabParametros[Indenização Adicional (Art. 9º da Lei nº 7.238/84)])*tabCustoUnit[[#This Row],[MODULO 1 - REMUNERAÇÃO ]]</f>
        <v>0.46980875</v>
      </c>
      <c r="AT222" s="22">
        <f>SUM(tabCustoUnit[[#This Row],[Aviso Prévio Indenizado (API) e Reflexo do Aviso Prévio Indenizado]:[Indenização Adicional (Art. 9º da Lei nº 7.238/84)]])</f>
        <v>24.823489377557866</v>
      </c>
      <c r="AU222" s="22">
        <f>SUMIF(tabParametros[Código do Posto],tabCustoUnit[[#This Row],[Código do Posto]],tabParametros[Ausência por Doença])*tabCustoUnit[[#This Row],[MODULO 1 - REMUNERAÇÃO ]]</f>
        <v>4.7607286666666662</v>
      </c>
      <c r="AV222" s="22">
        <f>SUMIF(tabParametros[Código do Posto],tabCustoUnit[[#This Row],[Código do Posto]],tabParametros[Ausências Legais])*tabCustoUnit[[#This Row],[MODULO 1 - REMUNERAÇÃO ]]</f>
        <v>1.1432012916666665</v>
      </c>
      <c r="AW222" s="22">
        <f>SUMIF(tabParametros[Código do Posto],tabCustoUnit[[#This Row],[Código do Posto]],tabParametros[Licença Paternidade])*tabCustoUnit[[#This Row],[MODULO 1 - REMUNERAÇÃO ]]</f>
        <v>9.6310793749999998E-2</v>
      </c>
      <c r="AX222" s="22">
        <f>SUMIF(tabParametros[Código do Posto],tabCustoUnit[[#This Row],[Código do Posto]],tabParametros[Ausência por Acidente de Trabalho])*tabCustoUnit[[#This Row],[MODULO 1 - REMUNERAÇÃO ]]</f>
        <v>0.1174521875</v>
      </c>
      <c r="AY222" s="22">
        <f>SUMIF(tabParametros[Código do Posto],tabCustoUnit[[#This Row],[Código do Posto]],tabParametros[Férias, Adicional de Férias e 13º  com empregada em gozo de Licença Maternidade])*tabCustoUnit[[#This Row],[MODULO 1 - REMUNERAÇÃO ]]</f>
        <v>0.73081361111111109</v>
      </c>
      <c r="AZ222" s="22">
        <f>SUMIF(tabParametros[Código do Posto],tabCustoUnit[[#This Row],[Código do Posto]],tabParametros[Incidência do Submódulo 2.1 sobre Ausências Legais])*tabCustoUnit[[#This Row],[MODULO 1 - REMUNERAÇÃO ]]</f>
        <v>2.5887354761625003</v>
      </c>
      <c r="BA222" s="22">
        <f>SUM(tabCustoUnit[[#This Row],[Ausência por Doença]:[Incidência do Submódulo 2.1 sobre Ausências Legais]])</f>
        <v>9.4372420268569428</v>
      </c>
      <c r="BB222" s="22">
        <f>SUMIF(tabParametros[Código do Posto],tabCustoUnit[[#This Row],[Código do Posto]],tabParametros[Intervalo para Repouso ou Alimentação])</f>
        <v>0</v>
      </c>
      <c r="BC222" s="22">
        <f>tabCustoUnit[[#This Row],[Intervalo para Repouso ou Alimentação]]</f>
        <v>0</v>
      </c>
      <c r="BD222" s="22">
        <f>IF(VLOOKUP(tabCustoUnit[[#This Row],[Código do Posto]],PARAMETROS!$A$4:$BJ$255,7,0)&lt;=0,0,
IFERROR((tabCustoUnit[[#This Row],[MODULO 1 - REMUNERAÇÃO ]]*VLOOKUP(tabCustoUnit[[#This Row],[Código do Posto]],PARAMETROS!$A$4:$BJ$255,49,0))/(VLOOKUP(tabCustoUnit[[#This Row],[Código do Posto]],PARAMETROS!$A$4:$BJ$255,7,0)*VLOOKUP(tabCustoUnit[[#This Row],[Código do Posto]],PARAMETROS!$A$4:$BJ$255,8,0)),0)
)</f>
        <v>0</v>
      </c>
      <c r="BE222" s="22">
        <f>tabCustoUnit[[#This Row],[Suspensão Temporária do Contrato de Trabalho]]</f>
        <v>0</v>
      </c>
      <c r="BF222" s="22">
        <f>tabCustoUnit[[#This Row],[Submódulo 4.1]]+tabCustoUnit[[#This Row],[Submódulo 4.2]]+tabCustoUnit[[#This Row],[Submódulo 4.3]]</f>
        <v>9.4372420268569428</v>
      </c>
      <c r="BG222" s="22">
        <f>VLOOKUP(tabCustoUnit[[#This Row],[Código do Posto]],tabParametros[],MATCH(tabCustoUnit[[#Headers],[Uniformes e EPIs]],tabParametros[#Headers],0),0)</f>
        <v>62.806666666666665</v>
      </c>
      <c r="BH222" s="22">
        <f>VLOOKUP(tabCustoUnit[[#This Row],[Código do Posto]],tabParametros[],MATCH(tabCustoUnit[[#Headers],[Materiais de Consumo]],tabParametros[#Headers],0),0)</f>
        <v>12.108481690426325</v>
      </c>
      <c r="BI222" s="22">
        <f>VLOOKUP(tabCustoUnit[[#This Row],[Código do Posto]],tabParametros[],MATCH(tabCustoUnit[[#Headers],[Máquinas e Equipamentos (depreciação)]],tabParametros[#Headers],0),0)</f>
        <v>21.998657016417809</v>
      </c>
      <c r="BJ222" s="22">
        <f>VLOOKUP(tabCustoUnit[[#This Row],[Código do Posto]],tabParametros[],MATCH(tabCustoUnit[[#Headers],[Produtos de Limpeza e Materiais de Higiene Pessoal]],tabParametros[#Headers],0),0)</f>
        <v>235.31984072022155</v>
      </c>
      <c r="BK222" s="22">
        <f>VLOOKUP(tabCustoUnit[[#This Row],[Código do Posto]],tabParametros[],MATCH(tabCustoUnit[[#Headers],[Outros (especificar)]],tabParametros[#Headers],0),0)</f>
        <v>0</v>
      </c>
      <c r="BL222" s="22">
        <f>SUM(tabCustoUnit[[#This Row],[Uniformes e EPIs]:[Outros (especificar)]])</f>
        <v>332.23364609373232</v>
      </c>
      <c r="BM222" s="22">
        <f>tabCustoUnit[[#This Row],[MODULO 1 - REMUNERAÇÃO ]]+tabCustoUnit[[#This Row],[MÓDULO 2 - Total Encargos e Benefícios mensais e diários]]+tabCustoUnit[[#This Row],[MÓDULO 3 – PROVISÃO PARA RESCISÃO]]+tabCustoUnit[[#This Row],[MÓDULO 4 – CUSTO DE REPOSIÇÃO DO PROFISSIONAL AUSENTE]]+tabCustoUnit[[#This Row],[MÓDULO 5 – INSUMOS DIVERSOS]]</f>
        <v>2103.1384999148136</v>
      </c>
      <c r="BN222" s="22">
        <f>VLOOKUP(tabCustoUnit[[#This Row],[Código do Posto]],tabParametros[],MATCH(tabCustoUnit[[#Headers],[Custos Indiretos]],tabParametros[#Headers],0),0)</f>
        <v>189.64880140242613</v>
      </c>
      <c r="BO222" s="22">
        <f>VLOOKUP(tabCustoUnit[[#This Row],[Código do Posto]],tabParametros[],MATCH(tabCustoUnit[[#Headers],[Lucro]],tabParametros[#Headers],0),0)</f>
        <v>159.30499317803796</v>
      </c>
      <c r="BP222" s="26">
        <f>((100/((1-tabCustoUnit[[#This Row],[Resumo de Alíquotas (PIS+CONFINS+ISS)]]))-100)*VLOOKUP(tabCustoUnit[[#This Row],[Código do Posto]],tabParametros[],MATCH(tabCustoUnit[[#Headers],[COFINS]],tabParametros[#Headers],0),0))/(tabCustoUnit[[#This Row],[Resumo de Alíquotas (PIS+CONFINS+ISS)]]*100)</f>
        <v>8.5633802816901458E-2</v>
      </c>
      <c r="BQ222" s="26">
        <f>((100/((100-(tabCustoUnit[[#This Row],[Resumo de Alíquotas (PIS+CONFINS+ISS)]]*100))%)-100)*VLOOKUP(tabCustoUnit[[#This Row],[Código do Posto]],tabParametros[],MATCH(tabCustoUnit[[#Headers],[PIS]],tabParametros[#Headers],0),0))/(tabCustoUnit[[#This Row],[Resumo de Alíquotas (PIS+CONFINS+ISS)]]*100)</f>
        <v>1.8591549295774657E-2</v>
      </c>
      <c r="BR222" s="28">
        <f>VLOOKUP(tabCustoUnit[[#This Row],[Código do Posto]],tabParametros[],MATCH(tabCustoUnit[[#Headers],[ISS]],tabParametros[#Headers],0),0)</f>
        <v>0.02</v>
      </c>
      <c r="BS222" s="26">
        <f>(((100/((100-(tabCustoUnit[[#This Row],[Resumo de Alíquotas (PIS+CONFINS+ISS)]]*100))%)-100)*tabCustoUnit[[#This Row],[ISS]])/tabCustoUnit[[#This Row],[Resumo de Alíquotas (PIS+CONFINS+ISS)]])/100</f>
        <v>2.2535211267605645E-2</v>
      </c>
      <c r="BT222" s="26">
        <f>(VLOOKUP(tabCustoUnit[[#This Row],[Código do Posto]],tabParametros[],MATCH(tabCustoUnit[[#Headers],[COFINS]],tabParametros[#Headers],0),0)+
VLOOKUP(tabCustoUnit[[#This Row],[Código do Posto]],tabParametros[],MATCH(tabCustoUnit[[#Headers],[PIS]],tabParametros[#Headers],0),0)+
VLOOKUP(tabCustoUnit[[#This Row],[Código do Posto]],tabParametros[],MATCH(tabCustoUnit[[#Headers],[ISS]],tabParametros[#Headers],0),0))</f>
        <v>0.1125</v>
      </c>
      <c r="BU222" s="138">
        <f>tabCustoUnit[[#This Row],[COFINS]]+tabCustoUnit[[#This Row],[PIS]]+tabCustoUnit[[#This Row],[ISS (Conversão Alíquota s/ fatura)]]</f>
        <v>0.12676056338028174</v>
      </c>
      <c r="BV222" s="22">
        <f>(tabCustoUnit[[#This Row],[TOTAL MÓDULOS 1+2+3+4+5]]+tabCustoUnit[[#This Row],[Custos Indiretos]]+tabCustoUnit[[#This Row],[Lucro]])*tabCustoUnit[[#This Row],[PIS + COFINS + ISS (Total Conversão  Alíquota s/ Fatura)]]</f>
        <v>310.82860071066915</v>
      </c>
      <c r="BW222" s="22">
        <f>tabCustoUnit[[#This Row],[Custos Indiretos]]+tabCustoUnit[[#This Row],[Lucro]]+tabCustoUnit[[#This Row],[Valor dos Tributos (ISS, PIS, CONFINS)]]</f>
        <v>659.7823952911333</v>
      </c>
      <c r="BX222" s="22">
        <f>tabCustoUnit[[#This Row],[TOTAL MÓDULOS 1+2+3+4+5]]+tabCustoUnit[[#This Row],[MÓDULO 6 – CUSTOS INDIRETOS, TRIBUTOS E LUCRO]]</f>
        <v>2762.9208952059471</v>
      </c>
      <c r="BY222" s="22">
        <f>tabCustoUnit[[#This Row],[CUSTO TOTAL MENSAL]]*12</f>
        <v>33155.050742471365</v>
      </c>
      <c r="BZ222" s="24">
        <f>VLOOKUP(tabCustoUnit[[#This Row],[Código do Posto]],tabParametros[],MATCH(tabCustoUnit[[#Headers],[ANO DA CCT]],tabParametros[#Headers],0),0)</f>
        <v>45658</v>
      </c>
      <c r="CA222" s="25" t="str">
        <f>VLOOKUP(tabCustoUnit[[#This Row],[Código do Posto]],tabParametros[],MATCH(tabCustoUnit[[#Headers],[Nº DE PEDIDO DA CCT]],tabParametros[#Headers],0),0)</f>
        <v>-</v>
      </c>
      <c r="CB222" s="25" t="str">
        <f>VLOOKUP(tabCustoUnit[[#This Row],[Código do Posto]],tabParametros[],MATCH(tabCustoUnit[[#Headers],[TERMO ADITIVO ALTERAÇÃO DA CCT]],tabParametros[#Headers],0),0)</f>
        <v>-</v>
      </c>
    </row>
    <row r="223" spans="1:80" x14ac:dyDescent="0.25">
      <c r="A223" s="20" t="s">
        <v>1558</v>
      </c>
      <c r="B223" t="s">
        <v>203</v>
      </c>
      <c r="C223" t="s">
        <v>1246</v>
      </c>
      <c r="D223" t="s">
        <v>992</v>
      </c>
      <c r="E223" s="20" t="s">
        <v>9</v>
      </c>
      <c r="F223" s="20" t="s">
        <v>10</v>
      </c>
      <c r="G223" s="21">
        <v>1088.3699999999999</v>
      </c>
      <c r="H223" s="21">
        <v>0</v>
      </c>
      <c r="I223" s="21">
        <v>0</v>
      </c>
      <c r="J223" s="21">
        <v>0</v>
      </c>
      <c r="K223" s="21">
        <v>0</v>
      </c>
      <c r="L223" s="21">
        <v>0</v>
      </c>
      <c r="M223" s="21">
        <v>0</v>
      </c>
      <c r="N223" s="21">
        <v>39.1813</v>
      </c>
      <c r="O223" s="21">
        <f>SUM(tabCustoUnit[[#This Row],[Salário Base]:[Adicional de Acúmulo de função]])</f>
        <v>1127.5512999999999</v>
      </c>
      <c r="P223" s="21">
        <f>tabCustoUnit[[#This Row],[MODULO 1 - REMUNERAÇÃO ]]*SUMIFS(tabParametros[INSS],tabParametros[Código do Posto],tabCustoUnit[[#This Row],[Código do Posto]])</f>
        <v>225.51025999999999</v>
      </c>
      <c r="Q223" s="21">
        <f>tabCustoUnit[[#This Row],[MODULO 1 - REMUNERAÇÃO ]]*SUMIFS(tabParametros[SESI OU SESC],tabParametros[Código do Posto],tabCustoUnit[[#This Row],[Código do Posto]])</f>
        <v>16.913269499999998</v>
      </c>
      <c r="R223" s="21">
        <f>tabCustoUnit[[#This Row],[MODULO 1 - REMUNERAÇÃO ]]*SUMIFS(tabParametros[SENAI OU SENAC],tabParametros[Código do Posto],tabCustoUnit[[#This Row],[Código do Posto]])</f>
        <v>11.275512999999998</v>
      </c>
      <c r="S223" s="21">
        <f>tabCustoUnit[[#This Row],[MODULO 1 - REMUNERAÇÃO ]]*SUMIFS(tabParametros[INCRA],tabParametros[Código do Posto],tabCustoUnit[[#This Row],[Código do Posto]])</f>
        <v>2.2551025999999998</v>
      </c>
      <c r="T223" s="21">
        <f>tabCustoUnit[[#This Row],[MODULO 1 - REMUNERAÇÃO ]]*SUMIFS(tabParametros[Salário Educação],tabParametros[Código do Posto],tabCustoUnit[[#This Row],[Código do Posto]])</f>
        <v>28.188782499999999</v>
      </c>
      <c r="U223" s="21">
        <f>tabCustoUnit[[#This Row],[MODULO 1 - REMUNERAÇÃO ]]*SUMIFS(tabParametros[FGTS],tabParametros[Código do Posto],tabCustoUnit[[#This Row],[Código do Posto]])</f>
        <v>90.204103999999987</v>
      </c>
      <c r="V223" s="21">
        <f>tabCustoUnit[[#This Row],[MODULO 1 - REMUNERAÇÃO ]]*SUMIFS(tabParametros[RAT Ajustado],tabParametros[Código do Posto],tabCustoUnit[[#This Row],[Código do Posto]])</f>
        <v>45.102051999999993</v>
      </c>
      <c r="W223" s="21">
        <f>tabCustoUnit[[#This Row],[MODULO 1 - REMUNERAÇÃO ]]*SUMIFS(tabParametros[SEBRAE],tabParametros[Código do Posto],tabCustoUnit[[#This Row],[Código do Posto]])</f>
        <v>6.7653077999999995</v>
      </c>
      <c r="X223" s="21">
        <f>SUM(tabCustoUnit[[#This Row],[INSS]:[SEBRAE]])</f>
        <v>426.21439139999995</v>
      </c>
      <c r="Y223" s="21">
        <f>tabCustoUnit[[#This Row],[MODULO 1 - REMUNERAÇÃO ]]*SUMIFS(tabParametros[13º salário (titular)],tabParametros[Código do Posto],tabCustoUnit[[#This Row],[Código do Posto]])</f>
        <v>93.962608333333321</v>
      </c>
      <c r="Z223" s="21">
        <f>tabCustoUnit[[#This Row],[MODULO 1 - REMUNERAÇÃO ]]*SUMIFS(tabParametros[Férias e Adicional de Férias (titular)],tabParametros[Código do Posto],tabCustoUnit[[#This Row],[Código do Posto]])</f>
        <v>125.28347777777776</v>
      </c>
      <c r="AA223" s="21">
        <f>IFERROR((tabCustoUnit[[#This Row],[Submódulo 2.1]]/tabCustoUnit[[#This Row],[MODULO 1 - REMUNERAÇÃO ]])*SUM(tabCustoUnit[[#This Row],[13º salário (titular)]:[Férias e Adicional de Férias (titular)]]),0)</f>
        <v>82.875020549999988</v>
      </c>
      <c r="AB223" s="21">
        <f>SUM(tabCustoUnit[[#This Row],[13º salário (titular)]:[Incidência do Submódulo 2.1 sobre 13º Salário, Férias e Adicional de Férias]])</f>
        <v>302.12110666111107</v>
      </c>
      <c r="AC223" s="22">
        <f>_xlfn.LET(_xlpm.VT,SUMIF(tabParametros[Código do Posto],tabCustoUnit[[#This Row],[Código do Posto]],tabParametros[Vale - Transporte])*2*20,
IF((_xlpm.VT-tabCustoUnit[[#This Row],[Salário Base]]*0.06)&gt;=0,(_xlpm.VT-tabCustoUnit[[#This Row],[Salário Base]]*0.06),0)
)</f>
        <v>190.69780000000003</v>
      </c>
      <c r="AD223" s="22">
        <f>IF(SUMIF(tabParametros[Código do Posto],tabCustoUnit[[#This Row],[Código do Posto]],tabParametros[Vale - Alimentação])&lt;=0,0,
SUMIF(tabParametros[Código do Posto],tabCustoUnit[[#This Row],[Código do Posto]],tabParametros[Vale - Alimentação])*20-1)</f>
        <v>0</v>
      </c>
      <c r="AE223" s="22">
        <f>SUMIF(tabParametros[Código do Posto],tabCustoUnit[[#This Row],[Código do Posto]],tabParametros[Cesta Básica])</f>
        <v>387.79</v>
      </c>
      <c r="AF223" s="22">
        <f>SUMIF(tabParametros[Código do Posto],tabCustoUnit[[#This Row],[Código do Posto]],tabParametros[PAF])</f>
        <v>42.97</v>
      </c>
      <c r="AG223" s="22">
        <f>SUMIF(tabParametros[Código do Posto],tabCustoUnit[[#This Row],[Código do Posto]],tabParametros[PQM])</f>
        <v>0</v>
      </c>
      <c r="AH223" s="22">
        <f>SUMIF(tabParametros[Código do Posto],tabCustoUnit[[#This Row],[Código do Posto]],tabParametros[PAT])</f>
        <v>0</v>
      </c>
      <c r="AI223" s="22">
        <f>SUMIF(tabParametros[Código do Posto],tabCustoUnit[[#This Row],[Código do Posto]],tabParametros[Seguro de Vida])</f>
        <v>3.36</v>
      </c>
      <c r="AJ223" s="22">
        <f>SUMIF(tabParametros[Código do Posto],tabCustoUnit[[#This Row],[Código do Posto]],tabParametros[Despesas de Viagem])</f>
        <v>0</v>
      </c>
      <c r="AK223" s="22">
        <f>SUM(tabCustoUnit[[#This Row],[Vale - Transporte (Descontada parcela do empregado)]:[Despesas de Viagem]])</f>
        <v>624.81780000000015</v>
      </c>
      <c r="AL223" s="22">
        <f>tabCustoUnit[[#This Row],[Submódulo 2.1]]+tabCustoUnit[[#This Row],[Submódulo 2.2]]+tabCustoUnit[[#This Row],[Submódulo 2.3]]</f>
        <v>1353.1532980611112</v>
      </c>
      <c r="AM223" s="22">
        <f>SUMIF(tabParametros[Código do Posto],tabCustoUnit[[#This Row],[Código do Posto]],tabParametros[Aviso Prévio Indenizado (API) e Reflexo do Aviso Prévio Indenizado])*tabCustoUnit[[#This Row],[MODULO 1 - REMUNERAÇÃO ]]</f>
        <v>7.9061269683063262</v>
      </c>
      <c r="AN223" s="22">
        <f>SUMIF(tabParametros[Código do Posto],tabCustoUnit[[#This Row],[Código do Posto]],tabParametros[Incidência do FGTS sobre API e Reflexo do API])*tabCustoUnit[[#This Row],[MODULO 1 - REMUNERAÇÃO ]]</f>
        <v>0.6324901574645061</v>
      </c>
      <c r="AO223" s="22">
        <f>SUMIF(tabParametros[Código do Posto],tabCustoUnit[[#This Row],[Código do Posto]],tabParametros[Multa Rescisória do FGTS sobre o Aviso Prévio Indenizado])*tabCustoUnit[[#This Row],[MODULO 1 - REMUNERAÇÃO ]]</f>
        <v>0.25299606298580246</v>
      </c>
      <c r="AP223" s="22">
        <f>SUMIF(tabParametros[Código do Posto],tabCustoUnit[[#This Row],[Código do Posto]],tabParametros[Aviso Prévio Trabalhado - APT])*tabCustoUnit[[#This Row],[MODULO 1 - REMUNERAÇÃO ]]</f>
        <v>3.94642955</v>
      </c>
      <c r="AQ223" s="22">
        <f>SUMIF(tabParametros[Código do Posto],tabCustoUnit[[#This Row],[Código do Posto]],tabParametros[Incidência dos encargos do submódulo 2.1 sobre Aviso Prévio Trabalhado])*tabCustoUnit[[#This Row],[MODULO 1 - REMUNERAÇÃO ]]</f>
        <v>1.4917503699000003</v>
      </c>
      <c r="AR223" s="22">
        <f>SUMIF(tabParametros[Código do Posto],tabCustoUnit[[#This Row],[Código do Posto]],tabParametros[Multa Rescisória do FGTS])*tabCustoUnit[[#This Row],[MODULO 1 - REMUNERAÇÃO ]]</f>
        <v>34.478013084444434</v>
      </c>
      <c r="AS223" s="22">
        <f>SUMIF(tabParametros[Código do Posto],tabCustoUnit[[#This Row],[Código do Posto]],tabParametros[Indenização Adicional (Art. 9º da Lei nº 7.238/84)])*tabCustoUnit[[#This Row],[MODULO 1 - REMUNERAÇÃO ]]</f>
        <v>0.93962608333333331</v>
      </c>
      <c r="AT223" s="22">
        <f>SUM(tabCustoUnit[[#This Row],[Aviso Prévio Indenizado (API) e Reflexo do Aviso Prévio Indenizado]:[Indenização Adicional (Art. 9º da Lei nº 7.238/84)]])</f>
        <v>49.647432276434401</v>
      </c>
      <c r="AU223" s="22">
        <f>SUMIF(tabParametros[Código do Posto],tabCustoUnit[[#This Row],[Código do Posto]],tabParametros[Ausência por Doença])*tabCustoUnit[[#This Row],[MODULO 1 - REMUNERAÇÃO ]]</f>
        <v>9.5215443111111089</v>
      </c>
      <c r="AV223" s="22">
        <f>SUMIF(tabParametros[Código do Posto],tabCustoUnit[[#This Row],[Código do Posto]],tabParametros[Ausências Legais])*tabCustoUnit[[#This Row],[MODULO 1 - REMUNERAÇÃO ]]</f>
        <v>2.2864234694444439</v>
      </c>
      <c r="AW223" s="22">
        <f>SUMIF(tabParametros[Código do Posto],tabCustoUnit[[#This Row],[Código do Posto]],tabParametros[Licença Paternidade])*tabCustoUnit[[#This Row],[MODULO 1 - REMUNERAÇÃO ]]</f>
        <v>0.19262334708333331</v>
      </c>
      <c r="AX223" s="22">
        <f>SUMIF(tabParametros[Código do Posto],tabCustoUnit[[#This Row],[Código do Posto]],tabParametros[Ausência por Acidente de Trabalho])*tabCustoUnit[[#This Row],[MODULO 1 - REMUNERAÇÃO ]]</f>
        <v>0.23490652083333333</v>
      </c>
      <c r="AY223" s="22">
        <f>SUMIF(tabParametros[Código do Posto],tabCustoUnit[[#This Row],[Código do Posto]],tabParametros[Férias, Adicional de Férias e 13º  com empregada em gozo de Licença Maternidade])*tabCustoUnit[[#This Row],[MODULO 1 - REMUNERAÇÃO ]]</f>
        <v>1.4616405740740739</v>
      </c>
      <c r="AZ223" s="22">
        <f>SUMIF(tabParametros[Código do Posto],tabCustoUnit[[#This Row],[Código do Posto]],tabParametros[Incidência do Submódulo 2.1 sobre Ausências Legais])*tabCustoUnit[[#This Row],[MODULO 1 - REMUNERAÇÃO ]]</f>
        <v>5.1775182481225004</v>
      </c>
      <c r="BA223" s="22">
        <f>SUM(tabCustoUnit[[#This Row],[Ausência por Doença]:[Incidência do Submódulo 2.1 sobre Ausências Legais]])</f>
        <v>18.874656470668793</v>
      </c>
      <c r="BB223" s="22">
        <f>SUMIF(tabParametros[Código do Posto],tabCustoUnit[[#This Row],[Código do Posto]],tabParametros[Intervalo para Repouso ou Alimentação])</f>
        <v>0</v>
      </c>
      <c r="BC223" s="22">
        <f>tabCustoUnit[[#This Row],[Intervalo para Repouso ou Alimentação]]</f>
        <v>0</v>
      </c>
      <c r="BD223" s="22">
        <f>IF(VLOOKUP(tabCustoUnit[[#This Row],[Código do Posto]],PARAMETROS!$A$4:$BJ$255,7,0)&lt;=0,0,
IFERROR((tabCustoUnit[[#This Row],[MODULO 1 - REMUNERAÇÃO ]]*VLOOKUP(tabCustoUnit[[#This Row],[Código do Posto]],PARAMETROS!$A$4:$BJ$255,49,0))/(VLOOKUP(tabCustoUnit[[#This Row],[Código do Posto]],PARAMETROS!$A$4:$BJ$255,7,0)*VLOOKUP(tabCustoUnit[[#This Row],[Código do Posto]],PARAMETROS!$A$4:$BJ$255,8,0)),0)
)</f>
        <v>0</v>
      </c>
      <c r="BE223" s="22">
        <f>tabCustoUnit[[#This Row],[Suspensão Temporária do Contrato de Trabalho]]</f>
        <v>0</v>
      </c>
      <c r="BF223" s="22">
        <f>tabCustoUnit[[#This Row],[Submódulo 4.1]]+tabCustoUnit[[#This Row],[Submódulo 4.2]]+tabCustoUnit[[#This Row],[Submódulo 4.3]]</f>
        <v>18.874656470668793</v>
      </c>
      <c r="BG223" s="22">
        <f>VLOOKUP(tabCustoUnit[[#This Row],[Código do Posto]],tabParametros[],MATCH(tabCustoUnit[[#Headers],[Uniformes e EPIs]],tabParametros[#Headers],0),0)</f>
        <v>100.80916666666666</v>
      </c>
      <c r="BH223" s="22">
        <f>VLOOKUP(tabCustoUnit[[#This Row],[Código do Posto]],tabParametros[],MATCH(tabCustoUnit[[#Headers],[Materiais de Consumo]],tabParametros[#Headers],0),0)</f>
        <v>24.216963380852651</v>
      </c>
      <c r="BI223" s="22">
        <f>VLOOKUP(tabCustoUnit[[#This Row],[Código do Posto]],tabParametros[],MATCH(tabCustoUnit[[#Headers],[Máquinas e Equipamentos (depreciação)]],tabParametros[#Headers],0),0)</f>
        <v>43.997314032835618</v>
      </c>
      <c r="BJ223" s="22">
        <f>VLOOKUP(tabCustoUnit[[#This Row],[Código do Posto]],tabParametros[],MATCH(tabCustoUnit[[#Headers],[Produtos de Limpeza e Materiais de Higiene Pessoal]],tabParametros[#Headers],0),0)</f>
        <v>470.6396814404431</v>
      </c>
      <c r="BK223" s="22">
        <f>VLOOKUP(tabCustoUnit[[#This Row],[Código do Posto]],tabParametros[],MATCH(tabCustoUnit[[#Headers],[Outros (especificar)]],tabParametros[#Headers],0),0)</f>
        <v>0</v>
      </c>
      <c r="BL223" s="22">
        <f>SUM(tabCustoUnit[[#This Row],[Uniformes e EPIs]:[Outros (especificar)]])</f>
        <v>639.66312552079808</v>
      </c>
      <c r="BM223" s="22">
        <f>tabCustoUnit[[#This Row],[MODULO 1 - REMUNERAÇÃO ]]+tabCustoUnit[[#This Row],[MÓDULO 2 - Total Encargos e Benefícios mensais e diários]]+tabCustoUnit[[#This Row],[MÓDULO 3 – PROVISÃO PARA RESCISÃO]]+tabCustoUnit[[#This Row],[MÓDULO 4 – CUSTO DE REPOSIÇÃO DO PROFISSIONAL AUSENTE]]+tabCustoUnit[[#This Row],[MÓDULO 5 – INSUMOS DIVERSOS]]</f>
        <v>3188.8898123290123</v>
      </c>
      <c r="BN223" s="22">
        <f>VLOOKUP(tabCustoUnit[[#This Row],[Código do Posto]],tabParametros[],MATCH(tabCustoUnit[[#Headers],[Custos Indiretos]],tabParametros[#Headers],0),0)</f>
        <v>189.64880140242613</v>
      </c>
      <c r="BO223" s="22">
        <f>VLOOKUP(tabCustoUnit[[#This Row],[Código do Posto]],tabParametros[],MATCH(tabCustoUnit[[#Headers],[Lucro]],tabParametros[#Headers],0),0)</f>
        <v>159.30499317803796</v>
      </c>
      <c r="BP223" s="26">
        <f>((100/((1-tabCustoUnit[[#This Row],[Resumo de Alíquotas (PIS+CONFINS+ISS)]]))-100)*VLOOKUP(tabCustoUnit[[#This Row],[Código do Posto]],tabParametros[],MATCH(tabCustoUnit[[#Headers],[COFINS]],tabParametros[#Headers],0),0))/(tabCustoUnit[[#This Row],[Resumo de Alíquotas (PIS+CONFINS+ISS)]]*100)</f>
        <v>8.5633802816901458E-2</v>
      </c>
      <c r="BQ223" s="26">
        <f>((100/((100-(tabCustoUnit[[#This Row],[Resumo de Alíquotas (PIS+CONFINS+ISS)]]*100))%)-100)*VLOOKUP(tabCustoUnit[[#This Row],[Código do Posto]],tabParametros[],MATCH(tabCustoUnit[[#Headers],[PIS]],tabParametros[#Headers],0),0))/(tabCustoUnit[[#This Row],[Resumo de Alíquotas (PIS+CONFINS+ISS)]]*100)</f>
        <v>1.8591549295774657E-2</v>
      </c>
      <c r="BR223" s="28">
        <f>VLOOKUP(tabCustoUnit[[#This Row],[Código do Posto]],tabParametros[],MATCH(tabCustoUnit[[#Headers],[ISS]],tabParametros[#Headers],0),0)</f>
        <v>0.02</v>
      </c>
      <c r="BS223" s="26">
        <f>(((100/((100-(tabCustoUnit[[#This Row],[Resumo de Alíquotas (PIS+CONFINS+ISS)]]*100))%)-100)*tabCustoUnit[[#This Row],[ISS]])/tabCustoUnit[[#This Row],[Resumo de Alíquotas (PIS+CONFINS+ISS)]])/100</f>
        <v>2.2535211267605645E-2</v>
      </c>
      <c r="BT223" s="26">
        <f>(VLOOKUP(tabCustoUnit[[#This Row],[Código do Posto]],tabParametros[],MATCH(tabCustoUnit[[#Headers],[COFINS]],tabParametros[#Headers],0),0)+
VLOOKUP(tabCustoUnit[[#This Row],[Código do Posto]],tabParametros[],MATCH(tabCustoUnit[[#Headers],[PIS]],tabParametros[#Headers],0),0)+
VLOOKUP(tabCustoUnit[[#This Row],[Código do Posto]],tabParametros[],MATCH(tabCustoUnit[[#Headers],[ISS]],tabParametros[#Headers],0),0))</f>
        <v>0.1125</v>
      </c>
      <c r="BU223" s="138">
        <f>tabCustoUnit[[#This Row],[COFINS]]+tabCustoUnit[[#This Row],[PIS]]+tabCustoUnit[[#This Row],[ISS (Conversão Alíquota s/ fatura)]]</f>
        <v>0.12676056338028174</v>
      </c>
      <c r="BV223" s="22">
        <f>(tabCustoUnit[[#This Row],[TOTAL MÓDULOS 1+2+3+4+5]]+tabCustoUnit[[#This Row],[Custos Indiretos]]+tabCustoUnit[[#This Row],[Lucro]])*tabCustoUnit[[#This Row],[PIS + COFINS + ISS (Total Conversão  Alíquota s/ Fatura)]]</f>
        <v>448.45904876317326</v>
      </c>
      <c r="BW223" s="22">
        <f>tabCustoUnit[[#This Row],[Custos Indiretos]]+tabCustoUnit[[#This Row],[Lucro]]+tabCustoUnit[[#This Row],[Valor dos Tributos (ISS, PIS, CONFINS)]]</f>
        <v>797.41284334363741</v>
      </c>
      <c r="BX223" s="22">
        <f>tabCustoUnit[[#This Row],[TOTAL MÓDULOS 1+2+3+4+5]]+tabCustoUnit[[#This Row],[MÓDULO 6 – CUSTOS INDIRETOS, TRIBUTOS E LUCRO]]</f>
        <v>3986.30265567265</v>
      </c>
      <c r="BY223" s="22">
        <f>tabCustoUnit[[#This Row],[CUSTO TOTAL MENSAL]]*12</f>
        <v>47835.631868071796</v>
      </c>
      <c r="BZ223" s="24">
        <f>VLOOKUP(tabCustoUnit[[#This Row],[Código do Posto]],tabParametros[],MATCH(tabCustoUnit[[#Headers],[ANO DA CCT]],tabParametros[#Headers],0),0)</f>
        <v>45658</v>
      </c>
      <c r="CA223" s="25" t="str">
        <f>VLOOKUP(tabCustoUnit[[#This Row],[Código do Posto]],tabParametros[],MATCH(tabCustoUnit[[#Headers],[Nº DE PEDIDO DA CCT]],tabParametros[#Headers],0),0)</f>
        <v>-</v>
      </c>
      <c r="CB223" s="25" t="str">
        <f>VLOOKUP(tabCustoUnit[[#This Row],[Código do Posto]],tabParametros[],MATCH(tabCustoUnit[[#Headers],[TERMO ADITIVO ALTERAÇÃO DA CCT]],tabParametros[#Headers],0),0)</f>
        <v>-</v>
      </c>
    </row>
    <row r="224" spans="1:80" x14ac:dyDescent="0.25">
      <c r="A224" s="20" t="s">
        <v>1559</v>
      </c>
      <c r="B224" t="s">
        <v>204</v>
      </c>
      <c r="C224" t="s">
        <v>1247</v>
      </c>
      <c r="D224" t="s">
        <v>1041</v>
      </c>
      <c r="E224" s="20" t="s">
        <v>9</v>
      </c>
      <c r="F224" s="20" t="s">
        <v>10</v>
      </c>
      <c r="G224" s="21">
        <v>544.17999999999995</v>
      </c>
      <c r="H224" s="21">
        <v>0</v>
      </c>
      <c r="I224" s="21">
        <v>0</v>
      </c>
      <c r="J224" s="21">
        <v>0</v>
      </c>
      <c r="K224" s="21">
        <v>0</v>
      </c>
      <c r="L224" s="21">
        <v>0</v>
      </c>
      <c r="M224" s="21">
        <v>0</v>
      </c>
      <c r="N224" s="21">
        <v>19.590499999999999</v>
      </c>
      <c r="O224" s="21">
        <f>SUM(tabCustoUnit[[#This Row],[Salário Base]:[Adicional de Acúmulo de função]])</f>
        <v>563.77049999999997</v>
      </c>
      <c r="P224" s="21">
        <f>tabCustoUnit[[#This Row],[MODULO 1 - REMUNERAÇÃO ]]*SUMIFS(tabParametros[INSS],tabParametros[Código do Posto],tabCustoUnit[[#This Row],[Código do Posto]])</f>
        <v>112.75409999999999</v>
      </c>
      <c r="Q224" s="21">
        <f>tabCustoUnit[[#This Row],[MODULO 1 - REMUNERAÇÃO ]]*SUMIFS(tabParametros[SESI OU SESC],tabParametros[Código do Posto],tabCustoUnit[[#This Row],[Código do Posto]])</f>
        <v>8.4565574999999988</v>
      </c>
      <c r="R224" s="21">
        <f>tabCustoUnit[[#This Row],[MODULO 1 - REMUNERAÇÃO ]]*SUMIFS(tabParametros[SENAI OU SENAC],tabParametros[Código do Posto],tabCustoUnit[[#This Row],[Código do Posto]])</f>
        <v>5.6377049999999995</v>
      </c>
      <c r="S224" s="21">
        <f>tabCustoUnit[[#This Row],[MODULO 1 - REMUNERAÇÃO ]]*SUMIFS(tabParametros[INCRA],tabParametros[Código do Posto],tabCustoUnit[[#This Row],[Código do Posto]])</f>
        <v>1.1275409999999999</v>
      </c>
      <c r="T224" s="21">
        <f>tabCustoUnit[[#This Row],[MODULO 1 - REMUNERAÇÃO ]]*SUMIFS(tabParametros[Salário Educação],tabParametros[Código do Posto],tabCustoUnit[[#This Row],[Código do Posto]])</f>
        <v>14.094262499999999</v>
      </c>
      <c r="U224" s="21">
        <f>tabCustoUnit[[#This Row],[MODULO 1 - REMUNERAÇÃO ]]*SUMIFS(tabParametros[FGTS],tabParametros[Código do Posto],tabCustoUnit[[#This Row],[Código do Posto]])</f>
        <v>45.101639999999996</v>
      </c>
      <c r="V224" s="21">
        <f>tabCustoUnit[[#This Row],[MODULO 1 - REMUNERAÇÃO ]]*SUMIFS(tabParametros[RAT Ajustado],tabParametros[Código do Posto],tabCustoUnit[[#This Row],[Código do Posto]])</f>
        <v>22.550819999999998</v>
      </c>
      <c r="W224" s="21">
        <f>tabCustoUnit[[#This Row],[MODULO 1 - REMUNERAÇÃO ]]*SUMIFS(tabParametros[SEBRAE],tabParametros[Código do Posto],tabCustoUnit[[#This Row],[Código do Posto]])</f>
        <v>3.3826229999999997</v>
      </c>
      <c r="X224" s="21">
        <f>SUM(tabCustoUnit[[#This Row],[INSS]:[SEBRAE]])</f>
        <v>213.10524899999996</v>
      </c>
      <c r="Y224" s="21">
        <f>tabCustoUnit[[#This Row],[MODULO 1 - REMUNERAÇÃO ]]*SUMIFS(tabParametros[13º salário (titular)],tabParametros[Código do Posto],tabCustoUnit[[#This Row],[Código do Posto]])</f>
        <v>46.980874999999997</v>
      </c>
      <c r="Z224" s="21">
        <f>tabCustoUnit[[#This Row],[MODULO 1 - REMUNERAÇÃO ]]*SUMIFS(tabParametros[Férias e Adicional de Férias (titular)],tabParametros[Código do Posto],tabCustoUnit[[#This Row],[Código do Posto]])</f>
        <v>62.641166666666663</v>
      </c>
      <c r="AA224" s="21">
        <f>IFERROR((tabCustoUnit[[#This Row],[Submódulo 2.1]]/tabCustoUnit[[#This Row],[MODULO 1 - REMUNERAÇÃO ]])*SUM(tabCustoUnit[[#This Row],[13º salário (titular)]:[Férias e Adicional de Férias (titular)]]),0)</f>
        <v>41.437131749999992</v>
      </c>
      <c r="AB224" s="21">
        <f>SUM(tabCustoUnit[[#This Row],[13º salário (titular)]:[Incidência do Submódulo 2.1 sobre 13º Salário, Férias e Adicional de Férias]])</f>
        <v>151.05917341666665</v>
      </c>
      <c r="AC224" s="22">
        <f>_xlfn.LET(_xlpm.VT,SUMIF(tabParametros[Código do Posto],tabCustoUnit[[#This Row],[Código do Posto]],tabParametros[Vale - Transporte])*2*20,
IF((_xlpm.VT-tabCustoUnit[[#This Row],[Salário Base]]*0.06)&gt;=0,(_xlpm.VT-tabCustoUnit[[#This Row],[Salário Base]]*0.06),0)
)</f>
        <v>223.3492</v>
      </c>
      <c r="AD224" s="22">
        <f>IF(SUMIF(tabParametros[Código do Posto],tabCustoUnit[[#This Row],[Código do Posto]],tabParametros[Vale - Alimentação])&lt;=0,0,
SUMIF(tabParametros[Código do Posto],tabCustoUnit[[#This Row],[Código do Posto]],tabParametros[Vale - Alimentação])*20-1)</f>
        <v>582</v>
      </c>
      <c r="AE224" s="22">
        <f>SUMIF(tabParametros[Código do Posto],tabCustoUnit[[#This Row],[Código do Posto]],tabParametros[Cesta Básica])</f>
        <v>0</v>
      </c>
      <c r="AF224" s="22">
        <f>SUMIF(tabParametros[Código do Posto],tabCustoUnit[[#This Row],[Código do Posto]],tabParametros[PAF])</f>
        <v>0</v>
      </c>
      <c r="AG224" s="22">
        <f>SUMIF(tabParametros[Código do Posto],tabCustoUnit[[#This Row],[Código do Posto]],tabParametros[PQM])</f>
        <v>0</v>
      </c>
      <c r="AH224" s="22">
        <f>SUMIF(tabParametros[Código do Posto],tabCustoUnit[[#This Row],[Código do Posto]],tabParametros[PAT])</f>
        <v>0</v>
      </c>
      <c r="AI224" s="22">
        <f>SUMIF(tabParametros[Código do Posto],tabCustoUnit[[#This Row],[Código do Posto]],tabParametros[Seguro de Vida])</f>
        <v>3.36</v>
      </c>
      <c r="AJ224" s="22">
        <f>SUMIF(tabParametros[Código do Posto],tabCustoUnit[[#This Row],[Código do Posto]],tabParametros[Despesas de Viagem])</f>
        <v>0</v>
      </c>
      <c r="AK224" s="22">
        <f>SUM(tabCustoUnit[[#This Row],[Vale - Transporte (Descontada parcela do empregado)]:[Despesas de Viagem]])</f>
        <v>808.70920000000001</v>
      </c>
      <c r="AL224" s="22">
        <f>tabCustoUnit[[#This Row],[Submódulo 2.1]]+tabCustoUnit[[#This Row],[Submódulo 2.2]]+tabCustoUnit[[#This Row],[Submódulo 2.3]]</f>
        <v>1172.8736224166666</v>
      </c>
      <c r="AM224" s="22">
        <f>SUMIF(tabParametros[Código do Posto],tabCustoUnit[[#This Row],[Código do Posto]],tabParametros[Aviso Prévio Indenizado (API) e Reflexo do Aviso Prévio Indenizado])*tabCustoUnit[[#This Row],[MODULO 1 - REMUNERAÇÃO ]]</f>
        <v>3.9530273735532404</v>
      </c>
      <c r="AN224" s="22">
        <f>SUMIF(tabParametros[Código do Posto],tabCustoUnit[[#This Row],[Código do Posto]],tabParametros[Incidência do FGTS sobre API e Reflexo do API])*tabCustoUnit[[#This Row],[MODULO 1 - REMUNERAÇÃO ]]</f>
        <v>0.31624218988425928</v>
      </c>
      <c r="AO224" s="22">
        <f>SUMIF(tabParametros[Código do Posto],tabCustoUnit[[#This Row],[Código do Posto]],tabParametros[Multa Rescisória do FGTS sobre o Aviso Prévio Indenizado])*tabCustoUnit[[#This Row],[MODULO 1 - REMUNERAÇÃO ]]</f>
        <v>0.12649687595370371</v>
      </c>
      <c r="AP224" s="22">
        <f>SUMIF(tabParametros[Código do Posto],tabCustoUnit[[#This Row],[Código do Posto]],tabParametros[Aviso Prévio Trabalhado - APT])*tabCustoUnit[[#This Row],[MODULO 1 - REMUNERAÇÃO ]]</f>
        <v>1.9731967500000003</v>
      </c>
      <c r="AQ224" s="22">
        <f>SUMIF(tabParametros[Código do Posto],tabCustoUnit[[#This Row],[Código do Posto]],tabParametros[Incidência dos encargos do submódulo 2.1 sobre Aviso Prévio Trabalhado])*tabCustoUnit[[#This Row],[MODULO 1 - REMUNERAÇÃO ]]</f>
        <v>0.74586837150000018</v>
      </c>
      <c r="AR224" s="22">
        <f>SUMIF(tabParametros[Código do Posto],tabCustoUnit[[#This Row],[Código do Posto]],tabParametros[Multa Rescisória do FGTS])*tabCustoUnit[[#This Row],[MODULO 1 - REMUNERAÇÃO ]]</f>
        <v>17.238849066666663</v>
      </c>
      <c r="AS224" s="22">
        <f>SUMIF(tabParametros[Código do Posto],tabCustoUnit[[#This Row],[Código do Posto]],tabParametros[Indenização Adicional (Art. 9º da Lei nº 7.238/84)])*tabCustoUnit[[#This Row],[MODULO 1 - REMUNERAÇÃO ]]</f>
        <v>0.46980875</v>
      </c>
      <c r="AT224" s="22">
        <f>SUM(tabCustoUnit[[#This Row],[Aviso Prévio Indenizado (API) e Reflexo do Aviso Prévio Indenizado]:[Indenização Adicional (Art. 9º da Lei nº 7.238/84)]])</f>
        <v>24.823489377557866</v>
      </c>
      <c r="AU224" s="22">
        <f>SUMIF(tabParametros[Código do Posto],tabCustoUnit[[#This Row],[Código do Posto]],tabParametros[Ausência por Doença])*tabCustoUnit[[#This Row],[MODULO 1 - REMUNERAÇÃO ]]</f>
        <v>4.7607286666666662</v>
      </c>
      <c r="AV224" s="22">
        <f>SUMIF(tabParametros[Código do Posto],tabCustoUnit[[#This Row],[Código do Posto]],tabParametros[Ausências Legais])*tabCustoUnit[[#This Row],[MODULO 1 - REMUNERAÇÃO ]]</f>
        <v>1.1432012916666665</v>
      </c>
      <c r="AW224" s="22">
        <f>SUMIF(tabParametros[Código do Posto],tabCustoUnit[[#This Row],[Código do Posto]],tabParametros[Licença Paternidade])*tabCustoUnit[[#This Row],[MODULO 1 - REMUNERAÇÃO ]]</f>
        <v>9.6310793749999998E-2</v>
      </c>
      <c r="AX224" s="22">
        <f>SUMIF(tabParametros[Código do Posto],tabCustoUnit[[#This Row],[Código do Posto]],tabParametros[Ausência por Acidente de Trabalho])*tabCustoUnit[[#This Row],[MODULO 1 - REMUNERAÇÃO ]]</f>
        <v>0.1174521875</v>
      </c>
      <c r="AY224" s="22">
        <f>SUMIF(tabParametros[Código do Posto],tabCustoUnit[[#This Row],[Código do Posto]],tabParametros[Férias, Adicional de Férias e 13º  com empregada em gozo de Licença Maternidade])*tabCustoUnit[[#This Row],[MODULO 1 - REMUNERAÇÃO ]]</f>
        <v>0.73081361111111109</v>
      </c>
      <c r="AZ224" s="22">
        <f>SUMIF(tabParametros[Código do Posto],tabCustoUnit[[#This Row],[Código do Posto]],tabParametros[Incidência do Submódulo 2.1 sobre Ausências Legais])*tabCustoUnit[[#This Row],[MODULO 1 - REMUNERAÇÃO ]]</f>
        <v>2.5887354761625003</v>
      </c>
      <c r="BA224" s="22">
        <f>SUM(tabCustoUnit[[#This Row],[Ausência por Doença]:[Incidência do Submódulo 2.1 sobre Ausências Legais]])</f>
        <v>9.4372420268569428</v>
      </c>
      <c r="BB224" s="22">
        <f>SUMIF(tabParametros[Código do Posto],tabCustoUnit[[#This Row],[Código do Posto]],tabParametros[Intervalo para Repouso ou Alimentação])</f>
        <v>0</v>
      </c>
      <c r="BC224" s="22">
        <f>tabCustoUnit[[#This Row],[Intervalo para Repouso ou Alimentação]]</f>
        <v>0</v>
      </c>
      <c r="BD224" s="22">
        <f>IF(VLOOKUP(tabCustoUnit[[#This Row],[Código do Posto]],PARAMETROS!$A$4:$BJ$255,7,0)&lt;=0,0,
IFERROR((tabCustoUnit[[#This Row],[MODULO 1 - REMUNERAÇÃO ]]*VLOOKUP(tabCustoUnit[[#This Row],[Código do Posto]],PARAMETROS!$A$4:$BJ$255,49,0))/(VLOOKUP(tabCustoUnit[[#This Row],[Código do Posto]],PARAMETROS!$A$4:$BJ$255,7,0)*VLOOKUP(tabCustoUnit[[#This Row],[Código do Posto]],PARAMETROS!$A$4:$BJ$255,8,0)),0)
)</f>
        <v>0</v>
      </c>
      <c r="BE224" s="22">
        <f>tabCustoUnit[[#This Row],[Suspensão Temporária do Contrato de Trabalho]]</f>
        <v>0</v>
      </c>
      <c r="BF224" s="22">
        <f>tabCustoUnit[[#This Row],[Submódulo 4.1]]+tabCustoUnit[[#This Row],[Submódulo 4.2]]+tabCustoUnit[[#This Row],[Submódulo 4.3]]</f>
        <v>9.4372420268569428</v>
      </c>
      <c r="BG224" s="22">
        <f>VLOOKUP(tabCustoUnit[[#This Row],[Código do Posto]],tabParametros[],MATCH(tabCustoUnit[[#Headers],[Uniformes e EPIs]],tabParametros[#Headers],0),0)</f>
        <v>62.806666666666665</v>
      </c>
      <c r="BH224" s="22">
        <f>VLOOKUP(tabCustoUnit[[#This Row],[Código do Posto]],tabParametros[],MATCH(tabCustoUnit[[#Headers],[Materiais de Consumo]],tabParametros[#Headers],0),0)</f>
        <v>12.108481690426325</v>
      </c>
      <c r="BI224" s="22">
        <f>VLOOKUP(tabCustoUnit[[#This Row],[Código do Posto]],tabParametros[],MATCH(tabCustoUnit[[#Headers],[Máquinas e Equipamentos (depreciação)]],tabParametros[#Headers],0),0)</f>
        <v>21.998657016417809</v>
      </c>
      <c r="BJ224" s="22">
        <f>VLOOKUP(tabCustoUnit[[#This Row],[Código do Posto]],tabParametros[],MATCH(tabCustoUnit[[#Headers],[Produtos de Limpeza e Materiais de Higiene Pessoal]],tabParametros[#Headers],0),0)</f>
        <v>235.31984072022155</v>
      </c>
      <c r="BK224" s="22">
        <f>VLOOKUP(tabCustoUnit[[#This Row],[Código do Posto]],tabParametros[],MATCH(tabCustoUnit[[#Headers],[Outros (especificar)]],tabParametros[#Headers],0),0)</f>
        <v>0</v>
      </c>
      <c r="BL224" s="22">
        <f>SUM(tabCustoUnit[[#This Row],[Uniformes e EPIs]:[Outros (especificar)]])</f>
        <v>332.23364609373232</v>
      </c>
      <c r="BM224" s="22">
        <f>tabCustoUnit[[#This Row],[MODULO 1 - REMUNERAÇÃO ]]+tabCustoUnit[[#This Row],[MÓDULO 2 - Total Encargos e Benefícios mensais e diários]]+tabCustoUnit[[#This Row],[MÓDULO 3 – PROVISÃO PARA RESCISÃO]]+tabCustoUnit[[#This Row],[MÓDULO 4 – CUSTO DE REPOSIÇÃO DO PROFISSIONAL AUSENTE]]+tabCustoUnit[[#This Row],[MÓDULO 5 – INSUMOS DIVERSOS]]</f>
        <v>2103.1384999148136</v>
      </c>
      <c r="BN224" s="22">
        <f>VLOOKUP(tabCustoUnit[[#This Row],[Código do Posto]],tabParametros[],MATCH(tabCustoUnit[[#Headers],[Custos Indiretos]],tabParametros[#Headers],0),0)</f>
        <v>189.64880140242613</v>
      </c>
      <c r="BO224" s="22">
        <f>VLOOKUP(tabCustoUnit[[#This Row],[Código do Posto]],tabParametros[],MATCH(tabCustoUnit[[#Headers],[Lucro]],tabParametros[#Headers],0),0)</f>
        <v>159.30499317803796</v>
      </c>
      <c r="BP224" s="26">
        <f>((100/((1-tabCustoUnit[[#This Row],[Resumo de Alíquotas (PIS+CONFINS+ISS)]]))-100)*VLOOKUP(tabCustoUnit[[#This Row],[Código do Posto]],tabParametros[],MATCH(tabCustoUnit[[#Headers],[COFINS]],tabParametros[#Headers],0),0))/(tabCustoUnit[[#This Row],[Resumo de Alíquotas (PIS+CONFINS+ISS)]]*100)</f>
        <v>8.8629737609329504E-2</v>
      </c>
      <c r="BQ224" s="26">
        <f>((100/((100-(tabCustoUnit[[#This Row],[Resumo de Alíquotas (PIS+CONFINS+ISS)]]*100))%)-100)*VLOOKUP(tabCustoUnit[[#This Row],[Código do Posto]],tabParametros[],MATCH(tabCustoUnit[[#Headers],[PIS]],tabParametros[#Headers],0),0))/(tabCustoUnit[[#This Row],[Resumo de Alíquotas (PIS+CONFINS+ISS)]]*100)</f>
        <v>1.9241982507288629E-2</v>
      </c>
      <c r="BR224" s="28">
        <f>VLOOKUP(tabCustoUnit[[#This Row],[Código do Posto]],tabParametros[],MATCH(tabCustoUnit[[#Headers],[ISS]],tabParametros[#Headers],0),0)</f>
        <v>0.05</v>
      </c>
      <c r="BS224" s="26">
        <f>(((100/((100-(tabCustoUnit[[#This Row],[Resumo de Alíquotas (PIS+CONFINS+ISS)]]*100))%)-100)*tabCustoUnit[[#This Row],[ISS]])/tabCustoUnit[[#This Row],[Resumo de Alíquotas (PIS+CONFINS+ISS)]])/100</f>
        <v>5.8309037900874633E-2</v>
      </c>
      <c r="BT224" s="26">
        <f>(VLOOKUP(tabCustoUnit[[#This Row],[Código do Posto]],tabParametros[],MATCH(tabCustoUnit[[#Headers],[COFINS]],tabParametros[#Headers],0),0)+
VLOOKUP(tabCustoUnit[[#This Row],[Código do Posto]],tabParametros[],MATCH(tabCustoUnit[[#Headers],[PIS]],tabParametros[#Headers],0),0)+
VLOOKUP(tabCustoUnit[[#This Row],[Código do Posto]],tabParametros[],MATCH(tabCustoUnit[[#Headers],[ISS]],tabParametros[#Headers],0),0))</f>
        <v>0.14250000000000002</v>
      </c>
      <c r="BU224" s="138">
        <f>tabCustoUnit[[#This Row],[COFINS]]+tabCustoUnit[[#This Row],[PIS]]+tabCustoUnit[[#This Row],[ISS (Conversão Alíquota s/ fatura)]]</f>
        <v>0.16618075801749277</v>
      </c>
      <c r="BV224" s="22">
        <f>(tabCustoUnit[[#This Row],[TOTAL MÓDULOS 1+2+3+4+5]]+tabCustoUnit[[#This Row],[Custos Indiretos]]+tabCustoUnit[[#This Row],[Lucro]])*tabCustoUnit[[#This Row],[PIS + COFINS + ISS (Total Conversão  Alíquota s/ Fatura)]]</f>
        <v>407.49055622807833</v>
      </c>
      <c r="BW224" s="22">
        <f>tabCustoUnit[[#This Row],[Custos Indiretos]]+tabCustoUnit[[#This Row],[Lucro]]+tabCustoUnit[[#This Row],[Valor dos Tributos (ISS, PIS, CONFINS)]]</f>
        <v>756.44435080854237</v>
      </c>
      <c r="BX224" s="22">
        <f>tabCustoUnit[[#This Row],[TOTAL MÓDULOS 1+2+3+4+5]]+tabCustoUnit[[#This Row],[MÓDULO 6 – CUSTOS INDIRETOS, TRIBUTOS E LUCRO]]</f>
        <v>2859.5828507233559</v>
      </c>
      <c r="BY224" s="22">
        <f>tabCustoUnit[[#This Row],[CUSTO TOTAL MENSAL]]*12</f>
        <v>34314.994208680269</v>
      </c>
      <c r="BZ224" s="24">
        <f>VLOOKUP(tabCustoUnit[[#This Row],[Código do Posto]],tabParametros[],MATCH(tabCustoUnit[[#Headers],[ANO DA CCT]],tabParametros[#Headers],0),0)</f>
        <v>45658</v>
      </c>
      <c r="CA224" s="25" t="str">
        <f>VLOOKUP(tabCustoUnit[[#This Row],[Código do Posto]],tabParametros[],MATCH(tabCustoUnit[[#Headers],[Nº DE PEDIDO DA CCT]],tabParametros[#Headers],0),0)</f>
        <v>-</v>
      </c>
      <c r="CB224" s="25" t="str">
        <f>VLOOKUP(tabCustoUnit[[#This Row],[Código do Posto]],tabParametros[],MATCH(tabCustoUnit[[#Headers],[TERMO ADITIVO ALTERAÇÃO DA CCT]],tabParametros[#Headers],0),0)</f>
        <v>-</v>
      </c>
    </row>
    <row r="225" spans="1:80" x14ac:dyDescent="0.25">
      <c r="A225" s="20" t="s">
        <v>1560</v>
      </c>
      <c r="B225" t="s">
        <v>205</v>
      </c>
      <c r="C225" t="s">
        <v>1245</v>
      </c>
      <c r="D225" t="s">
        <v>1018</v>
      </c>
      <c r="E225" s="20" t="s">
        <v>9</v>
      </c>
      <c r="F225" s="20" t="s">
        <v>10</v>
      </c>
      <c r="G225" s="21">
        <v>1596.28</v>
      </c>
      <c r="H225" s="21">
        <v>0</v>
      </c>
      <c r="I225" s="21">
        <v>0</v>
      </c>
      <c r="J225" s="21">
        <v>0</v>
      </c>
      <c r="K225" s="21">
        <v>0</v>
      </c>
      <c r="L225" s="21">
        <v>0</v>
      </c>
      <c r="M225" s="21">
        <v>0</v>
      </c>
      <c r="N225" s="21">
        <v>52.241900000000001</v>
      </c>
      <c r="O225" s="21">
        <f>SUM(tabCustoUnit[[#This Row],[Salário Base]:[Adicional de Acúmulo de função]])</f>
        <v>1648.5219</v>
      </c>
      <c r="P225" s="21">
        <f>tabCustoUnit[[#This Row],[MODULO 1 - REMUNERAÇÃO ]]*SUMIFS(tabParametros[INSS],tabParametros[Código do Posto],tabCustoUnit[[#This Row],[Código do Posto]])</f>
        <v>329.70438000000001</v>
      </c>
      <c r="Q225" s="21">
        <f>tabCustoUnit[[#This Row],[MODULO 1 - REMUNERAÇÃO ]]*SUMIFS(tabParametros[SESI OU SESC],tabParametros[Código do Posto],tabCustoUnit[[#This Row],[Código do Posto]])</f>
        <v>24.727828499999998</v>
      </c>
      <c r="R225" s="21">
        <f>tabCustoUnit[[#This Row],[MODULO 1 - REMUNERAÇÃO ]]*SUMIFS(tabParametros[SENAI OU SENAC],tabParametros[Código do Posto],tabCustoUnit[[#This Row],[Código do Posto]])</f>
        <v>16.485219000000001</v>
      </c>
      <c r="S225" s="21">
        <f>tabCustoUnit[[#This Row],[MODULO 1 - REMUNERAÇÃO ]]*SUMIFS(tabParametros[INCRA],tabParametros[Código do Posto],tabCustoUnit[[#This Row],[Código do Posto]])</f>
        <v>3.2970438</v>
      </c>
      <c r="T225" s="21">
        <f>tabCustoUnit[[#This Row],[MODULO 1 - REMUNERAÇÃO ]]*SUMIFS(tabParametros[Salário Educação],tabParametros[Código do Posto],tabCustoUnit[[#This Row],[Código do Posto]])</f>
        <v>41.213047500000002</v>
      </c>
      <c r="U225" s="21">
        <f>tabCustoUnit[[#This Row],[MODULO 1 - REMUNERAÇÃO ]]*SUMIFS(tabParametros[FGTS],tabParametros[Código do Posto],tabCustoUnit[[#This Row],[Código do Posto]])</f>
        <v>131.88175200000001</v>
      </c>
      <c r="V225" s="21">
        <f>tabCustoUnit[[#This Row],[MODULO 1 - REMUNERAÇÃO ]]*SUMIFS(tabParametros[RAT Ajustado],tabParametros[Código do Posto],tabCustoUnit[[#This Row],[Código do Posto]])</f>
        <v>65.940876000000003</v>
      </c>
      <c r="W225" s="21">
        <f>tabCustoUnit[[#This Row],[MODULO 1 - REMUNERAÇÃO ]]*SUMIFS(tabParametros[SEBRAE],tabParametros[Código do Posto],tabCustoUnit[[#This Row],[Código do Posto]])</f>
        <v>9.8911314000000008</v>
      </c>
      <c r="X225" s="21">
        <f>SUM(tabCustoUnit[[#This Row],[INSS]:[SEBRAE]])</f>
        <v>623.14127819999999</v>
      </c>
      <c r="Y225" s="21">
        <f>tabCustoUnit[[#This Row],[MODULO 1 - REMUNERAÇÃO ]]*SUMIFS(tabParametros[13º salário (titular)],tabParametros[Código do Posto],tabCustoUnit[[#This Row],[Código do Posto]])</f>
        <v>137.376825</v>
      </c>
      <c r="Z225" s="21">
        <f>tabCustoUnit[[#This Row],[MODULO 1 - REMUNERAÇÃO ]]*SUMIFS(tabParametros[Férias e Adicional de Férias (titular)],tabParametros[Código do Posto],tabCustoUnit[[#This Row],[Código do Posto]])</f>
        <v>183.16909999999999</v>
      </c>
      <c r="AA225" s="21">
        <f>IFERROR((tabCustoUnit[[#This Row],[Submódulo 2.1]]/tabCustoUnit[[#This Row],[MODULO 1 - REMUNERAÇÃO ]])*SUM(tabCustoUnit[[#This Row],[13º salário (titular)]:[Férias e Adicional de Férias (titular)]]),0)</f>
        <v>121.16635965</v>
      </c>
      <c r="AB225" s="21">
        <f>SUM(tabCustoUnit[[#This Row],[13º salário (titular)]:[Incidência do Submódulo 2.1 sobre 13º Salário, Férias e Adicional de Férias]])</f>
        <v>441.71228465000002</v>
      </c>
      <c r="AC225" s="22">
        <f>_xlfn.LET(_xlpm.VT,SUMIF(tabParametros[Código do Posto],tabCustoUnit[[#This Row],[Código do Posto]],tabParametros[Vale - Transporte])*2*20,
IF((_xlpm.VT-tabCustoUnit[[#This Row],[Salário Base]]*0.06)&gt;=0,(_xlpm.VT-tabCustoUnit[[#This Row],[Salário Base]]*0.06),0)
)</f>
        <v>160.22320000000002</v>
      </c>
      <c r="AD225" s="22">
        <f>IF(SUMIF(tabParametros[Código do Posto],tabCustoUnit[[#This Row],[Código do Posto]],tabParametros[Vale - Alimentação])&lt;=0,0,
SUMIF(tabParametros[Código do Posto],tabCustoUnit[[#This Row],[Código do Posto]],tabParametros[Vale - Alimentação])*20-1)</f>
        <v>582</v>
      </c>
      <c r="AE225" s="22">
        <f>SUMIF(tabParametros[Código do Posto],tabCustoUnit[[#This Row],[Código do Posto]],tabParametros[Cesta Básica])</f>
        <v>0</v>
      </c>
      <c r="AF225" s="22">
        <f>SUMIF(tabParametros[Código do Posto],tabCustoUnit[[#This Row],[Código do Posto]],tabParametros[PAF])</f>
        <v>51.88</v>
      </c>
      <c r="AG225" s="22">
        <f>SUMIF(tabParametros[Código do Posto],tabCustoUnit[[#This Row],[Código do Posto]],tabParametros[PQM])</f>
        <v>0</v>
      </c>
      <c r="AH225" s="22">
        <f>SUMIF(tabParametros[Código do Posto],tabCustoUnit[[#This Row],[Código do Posto]],tabParametros[PAT])</f>
        <v>0</v>
      </c>
      <c r="AI225" s="22">
        <f>SUMIF(tabParametros[Código do Posto],tabCustoUnit[[#This Row],[Código do Posto]],tabParametros[Seguro de Vida])</f>
        <v>3.36</v>
      </c>
      <c r="AJ225" s="22">
        <f>SUMIF(tabParametros[Código do Posto],tabCustoUnit[[#This Row],[Código do Posto]],tabParametros[Despesas de Viagem])</f>
        <v>0</v>
      </c>
      <c r="AK225" s="22">
        <f>SUM(tabCustoUnit[[#This Row],[Vale - Transporte (Descontada parcela do empregado)]:[Despesas de Viagem]])</f>
        <v>797.46320000000003</v>
      </c>
      <c r="AL225" s="22">
        <f>tabCustoUnit[[#This Row],[Submódulo 2.1]]+tabCustoUnit[[#This Row],[Submódulo 2.2]]+tabCustoUnit[[#This Row],[Submódulo 2.3]]</f>
        <v>1862.31676285</v>
      </c>
      <c r="AM225" s="22">
        <f>SUMIF(tabParametros[Código do Posto],tabCustoUnit[[#This Row],[Código do Posto]],tabParametros[Aviso Prévio Indenizado (API) e Reflexo do Aviso Prévio Indenizado])*tabCustoUnit[[#This Row],[MODULO 1 - REMUNERAÇÃO ]]</f>
        <v>11.559051416493055</v>
      </c>
      <c r="AN225" s="22">
        <f>SUMIF(tabParametros[Código do Posto],tabCustoUnit[[#This Row],[Código do Posto]],tabParametros[Incidência do FGTS sobre API e Reflexo do API])*tabCustoUnit[[#This Row],[MODULO 1 - REMUNERAÇÃO ]]</f>
        <v>0.92472411331944449</v>
      </c>
      <c r="AO225" s="22">
        <f>SUMIF(tabParametros[Código do Posto],tabCustoUnit[[#This Row],[Código do Posto]],tabParametros[Multa Rescisória do FGTS sobre o Aviso Prévio Indenizado])*tabCustoUnit[[#This Row],[MODULO 1 - REMUNERAÇÃO ]]</f>
        <v>0.36988964532777785</v>
      </c>
      <c r="AP225" s="22">
        <f>SUMIF(tabParametros[Código do Posto],tabCustoUnit[[#This Row],[Código do Posto]],tabParametros[Aviso Prévio Trabalhado - APT])*tabCustoUnit[[#This Row],[MODULO 1 - REMUNERAÇÃO ]]</f>
        <v>5.7698266500000006</v>
      </c>
      <c r="AQ225" s="22">
        <f>SUMIF(tabParametros[Código do Posto],tabCustoUnit[[#This Row],[Código do Posto]],tabParametros[Incidência dos encargos do submódulo 2.1 sobre Aviso Prévio Trabalhado])*tabCustoUnit[[#This Row],[MODULO 1 - REMUNERAÇÃO ]]</f>
        <v>2.1809944737000007</v>
      </c>
      <c r="AR225" s="22">
        <f>SUMIF(tabParametros[Código do Posto],tabCustoUnit[[#This Row],[Código do Posto]],tabParametros[Multa Rescisória do FGTS])*tabCustoUnit[[#This Row],[MODULO 1 - REMUNERAÇÃO ]]</f>
        <v>50.40813631999999</v>
      </c>
      <c r="AS225" s="22">
        <f>SUMIF(tabParametros[Código do Posto],tabCustoUnit[[#This Row],[Código do Posto]],tabParametros[Indenização Adicional (Art. 9º da Lei nº 7.238/84)])*tabCustoUnit[[#This Row],[MODULO 1 - REMUNERAÇÃO ]]</f>
        <v>1.3737682500000001</v>
      </c>
      <c r="AT225" s="22">
        <f>SUM(tabCustoUnit[[#This Row],[Aviso Prévio Indenizado (API) e Reflexo do Aviso Prévio Indenizado]:[Indenização Adicional (Art. 9º da Lei nº 7.238/84)]])</f>
        <v>72.586390868840269</v>
      </c>
      <c r="AU225" s="22">
        <f>SUMIF(tabParametros[Código do Posto],tabCustoUnit[[#This Row],[Código do Posto]],tabParametros[Ausência por Doença])*tabCustoUnit[[#This Row],[MODULO 1 - REMUNERAÇÃO ]]</f>
        <v>13.920851599999999</v>
      </c>
      <c r="AV225" s="22">
        <f>SUMIF(tabParametros[Código do Posto],tabCustoUnit[[#This Row],[Código do Posto]],tabParametros[Ausências Legais])*tabCustoUnit[[#This Row],[MODULO 1 - REMUNERAÇÃO ]]</f>
        <v>3.3428360749999997</v>
      </c>
      <c r="AW225" s="22">
        <f>SUMIF(tabParametros[Código do Posto],tabCustoUnit[[#This Row],[Código do Posto]],tabParametros[Licença Paternidade])*tabCustoUnit[[#This Row],[MODULO 1 - REMUNERAÇÃO ]]</f>
        <v>0.28162249125</v>
      </c>
      <c r="AX225" s="22">
        <f>SUMIF(tabParametros[Código do Posto],tabCustoUnit[[#This Row],[Código do Posto]],tabParametros[Ausência por Acidente de Trabalho])*tabCustoUnit[[#This Row],[MODULO 1 - REMUNERAÇÃO ]]</f>
        <v>0.34344206250000003</v>
      </c>
      <c r="AY225" s="22">
        <f>SUMIF(tabParametros[Código do Posto],tabCustoUnit[[#This Row],[Código do Posto]],tabParametros[Férias, Adicional de Férias e 13º  com empregada em gozo de Licença Maternidade])*tabCustoUnit[[#This Row],[MODULO 1 - REMUNERAÇÃO ]]</f>
        <v>2.1369728333333331</v>
      </c>
      <c r="AZ225" s="22">
        <f>SUMIF(tabParametros[Código do Posto],tabCustoUnit[[#This Row],[Código do Posto]],tabParametros[Incidência do Submódulo 2.1 sobre Ausências Legais])*tabCustoUnit[[#This Row],[MODULO 1 - REMUNERAÇÃO ]]</f>
        <v>7.5697240734675013</v>
      </c>
      <c r="BA225" s="22">
        <f>SUM(tabCustoUnit[[#This Row],[Ausência por Doença]:[Incidência do Submódulo 2.1 sobre Ausências Legais]])</f>
        <v>27.595449135550833</v>
      </c>
      <c r="BB225" s="22">
        <f>SUMIF(tabParametros[Código do Posto],tabCustoUnit[[#This Row],[Código do Posto]],tabParametros[Intervalo para Repouso ou Alimentação])</f>
        <v>0</v>
      </c>
      <c r="BC225" s="22">
        <f>tabCustoUnit[[#This Row],[Intervalo para Repouso ou Alimentação]]</f>
        <v>0</v>
      </c>
      <c r="BD225" s="22">
        <f>IF(VLOOKUP(tabCustoUnit[[#This Row],[Código do Posto]],PARAMETROS!$A$4:$BJ$255,7,0)&lt;=0,0,
IFERROR((tabCustoUnit[[#This Row],[MODULO 1 - REMUNERAÇÃO ]]*VLOOKUP(tabCustoUnit[[#This Row],[Código do Posto]],PARAMETROS!$A$4:$BJ$255,49,0))/(VLOOKUP(tabCustoUnit[[#This Row],[Código do Posto]],PARAMETROS!$A$4:$BJ$255,7,0)*VLOOKUP(tabCustoUnit[[#This Row],[Código do Posto]],PARAMETROS!$A$4:$BJ$255,8,0)),0)
)</f>
        <v>0</v>
      </c>
      <c r="BE225" s="22">
        <f>tabCustoUnit[[#This Row],[Suspensão Temporária do Contrato de Trabalho]]</f>
        <v>0</v>
      </c>
      <c r="BF225" s="22">
        <f>tabCustoUnit[[#This Row],[Submódulo 4.1]]+tabCustoUnit[[#This Row],[Submódulo 4.2]]+tabCustoUnit[[#This Row],[Submódulo 4.3]]</f>
        <v>27.595449135550833</v>
      </c>
      <c r="BG225" s="22">
        <f>VLOOKUP(tabCustoUnit[[#This Row],[Código do Posto]],tabParametros[],MATCH(tabCustoUnit[[#Headers],[Uniformes e EPIs]],tabParametros[#Headers],0),0)</f>
        <v>100.80916666666666</v>
      </c>
      <c r="BH225" s="22">
        <f>VLOOKUP(tabCustoUnit[[#This Row],[Código do Posto]],tabParametros[],MATCH(tabCustoUnit[[#Headers],[Materiais de Consumo]],tabParametros[#Headers],0),0)</f>
        <v>35.518212958583888</v>
      </c>
      <c r="BI225" s="22">
        <f>VLOOKUP(tabCustoUnit[[#This Row],[Código do Posto]],tabParametros[],MATCH(tabCustoUnit[[#Headers],[Máquinas e Equipamentos (depreciação)]],tabParametros[#Headers],0),0)</f>
        <v>64.529393914825576</v>
      </c>
      <c r="BJ225" s="22">
        <f>VLOOKUP(tabCustoUnit[[#This Row],[Código do Posto]],tabParametros[],MATCH(tabCustoUnit[[#Headers],[Produtos de Limpeza e Materiais de Higiene Pessoal]],tabParametros[#Headers],0),0)</f>
        <v>690.27153277931654</v>
      </c>
      <c r="BK225" s="22">
        <f>VLOOKUP(tabCustoUnit[[#This Row],[Código do Posto]],tabParametros[],MATCH(tabCustoUnit[[#Headers],[Outros (especificar)]],tabParametros[#Headers],0),0)</f>
        <v>0</v>
      </c>
      <c r="BL225" s="22">
        <f>SUM(tabCustoUnit[[#This Row],[Uniformes e EPIs]:[Outros (especificar)]])</f>
        <v>891.12830631939266</v>
      </c>
      <c r="BM225" s="22">
        <f>tabCustoUnit[[#This Row],[MODULO 1 - REMUNERAÇÃO ]]+tabCustoUnit[[#This Row],[MÓDULO 2 - Total Encargos e Benefícios mensais e diários]]+tabCustoUnit[[#This Row],[MÓDULO 3 – PROVISÃO PARA RESCISÃO]]+tabCustoUnit[[#This Row],[MÓDULO 4 – CUSTO DE REPOSIÇÃO DO PROFISSIONAL AUSENTE]]+tabCustoUnit[[#This Row],[MÓDULO 5 – INSUMOS DIVERSOS]]</f>
        <v>4502.1488091737838</v>
      </c>
      <c r="BN225" s="22">
        <f>VLOOKUP(tabCustoUnit[[#This Row],[Código do Posto]],tabParametros[],MATCH(tabCustoUnit[[#Headers],[Custos Indiretos]],tabParametros[#Headers],0),0)</f>
        <v>189.64880140242613</v>
      </c>
      <c r="BO225" s="22">
        <f>VLOOKUP(tabCustoUnit[[#This Row],[Código do Posto]],tabParametros[],MATCH(tabCustoUnit[[#Headers],[Lucro]],tabParametros[#Headers],0),0)</f>
        <v>159.30499317803796</v>
      </c>
      <c r="BP225" s="26">
        <f>((100/((1-tabCustoUnit[[#This Row],[Resumo de Alíquotas (PIS+CONFINS+ISS)]]))-100)*VLOOKUP(tabCustoUnit[[#This Row],[Código do Posto]],tabParametros[],MATCH(tabCustoUnit[[#Headers],[COFINS]],tabParametros[#Headers],0),0))/(tabCustoUnit[[#This Row],[Resumo de Alíquotas (PIS+CONFINS+ISS)]]*100)</f>
        <v>8.8629737609329504E-2</v>
      </c>
      <c r="BQ225" s="26">
        <f>((100/((100-(tabCustoUnit[[#This Row],[Resumo de Alíquotas (PIS+CONFINS+ISS)]]*100))%)-100)*VLOOKUP(tabCustoUnit[[#This Row],[Código do Posto]],tabParametros[],MATCH(tabCustoUnit[[#Headers],[PIS]],tabParametros[#Headers],0),0))/(tabCustoUnit[[#This Row],[Resumo de Alíquotas (PIS+CONFINS+ISS)]]*100)</f>
        <v>1.9241982507288629E-2</v>
      </c>
      <c r="BR225" s="28">
        <f>VLOOKUP(tabCustoUnit[[#This Row],[Código do Posto]],tabParametros[],MATCH(tabCustoUnit[[#Headers],[ISS]],tabParametros[#Headers],0),0)</f>
        <v>0.05</v>
      </c>
      <c r="BS225" s="26">
        <f>(((100/((100-(tabCustoUnit[[#This Row],[Resumo de Alíquotas (PIS+CONFINS+ISS)]]*100))%)-100)*tabCustoUnit[[#This Row],[ISS]])/tabCustoUnit[[#This Row],[Resumo de Alíquotas (PIS+CONFINS+ISS)]])/100</f>
        <v>5.8309037900874633E-2</v>
      </c>
      <c r="BT225" s="26">
        <f>(VLOOKUP(tabCustoUnit[[#This Row],[Código do Posto]],tabParametros[],MATCH(tabCustoUnit[[#Headers],[COFINS]],tabParametros[#Headers],0),0)+
VLOOKUP(tabCustoUnit[[#This Row],[Código do Posto]],tabParametros[],MATCH(tabCustoUnit[[#Headers],[PIS]],tabParametros[#Headers],0),0)+
VLOOKUP(tabCustoUnit[[#This Row],[Código do Posto]],tabParametros[],MATCH(tabCustoUnit[[#Headers],[ISS]],tabParametros[#Headers],0),0))</f>
        <v>0.14250000000000002</v>
      </c>
      <c r="BU225" s="138">
        <f>tabCustoUnit[[#This Row],[COFINS]]+tabCustoUnit[[#This Row],[PIS]]+tabCustoUnit[[#This Row],[ISS (Conversão Alíquota s/ fatura)]]</f>
        <v>0.16618075801749277</v>
      </c>
      <c r="BV225" s="22">
        <f>(tabCustoUnit[[#This Row],[TOTAL MÓDULOS 1+2+3+4+5]]+tabCustoUnit[[#This Row],[Custos Indiretos]]+tabCustoUnit[[#This Row],[Lucro]])*tabCustoUnit[[#This Row],[PIS + COFINS + ISS (Total Conversão  Alíquota s/ Fatura)]]</f>
        <v>806.15990791251375</v>
      </c>
      <c r="BW225" s="22">
        <f>tabCustoUnit[[#This Row],[Custos Indiretos]]+tabCustoUnit[[#This Row],[Lucro]]+tabCustoUnit[[#This Row],[Valor dos Tributos (ISS, PIS, CONFINS)]]</f>
        <v>1155.1137024929778</v>
      </c>
      <c r="BX225" s="22">
        <f>tabCustoUnit[[#This Row],[TOTAL MÓDULOS 1+2+3+4+5]]+tabCustoUnit[[#This Row],[MÓDULO 6 – CUSTOS INDIRETOS, TRIBUTOS E LUCRO]]</f>
        <v>5657.2625116667614</v>
      </c>
      <c r="BY225" s="22">
        <f>tabCustoUnit[[#This Row],[CUSTO TOTAL MENSAL]]*12</f>
        <v>67887.150140001133</v>
      </c>
      <c r="BZ225" s="24">
        <f>VLOOKUP(tabCustoUnit[[#This Row],[Código do Posto]],tabParametros[],MATCH(tabCustoUnit[[#Headers],[ANO DA CCT]],tabParametros[#Headers],0),0)</f>
        <v>45658</v>
      </c>
      <c r="CA225" s="25" t="str">
        <f>VLOOKUP(tabCustoUnit[[#This Row],[Código do Posto]],tabParametros[],MATCH(tabCustoUnit[[#Headers],[Nº DE PEDIDO DA CCT]],tabParametros[#Headers],0),0)</f>
        <v>-</v>
      </c>
      <c r="CB225" s="25" t="str">
        <f>VLOOKUP(tabCustoUnit[[#This Row],[Código do Posto]],tabParametros[],MATCH(tabCustoUnit[[#Headers],[TERMO ADITIVO ALTERAÇÃO DA CCT]],tabParametros[#Headers],0),0)</f>
        <v>-</v>
      </c>
    </row>
    <row r="226" spans="1:80" x14ac:dyDescent="0.25">
      <c r="A226" s="20" t="s">
        <v>1561</v>
      </c>
      <c r="B226" t="s">
        <v>206</v>
      </c>
      <c r="C226" t="s">
        <v>1247</v>
      </c>
      <c r="D226" t="s">
        <v>1018</v>
      </c>
      <c r="E226" s="20" t="s">
        <v>9</v>
      </c>
      <c r="F226" s="20" t="s">
        <v>10</v>
      </c>
      <c r="G226" s="21">
        <v>544.17999999999995</v>
      </c>
      <c r="H226" s="21">
        <v>0</v>
      </c>
      <c r="I226" s="21">
        <v>0</v>
      </c>
      <c r="J226" s="21">
        <v>0</v>
      </c>
      <c r="K226" s="21">
        <v>0</v>
      </c>
      <c r="L226" s="21">
        <v>0</v>
      </c>
      <c r="M226" s="21">
        <v>0</v>
      </c>
      <c r="N226" s="21">
        <v>19.590499999999999</v>
      </c>
      <c r="O226" s="21">
        <f>SUM(tabCustoUnit[[#This Row],[Salário Base]:[Adicional de Acúmulo de função]])</f>
        <v>563.77049999999997</v>
      </c>
      <c r="P226" s="21">
        <f>tabCustoUnit[[#This Row],[MODULO 1 - REMUNERAÇÃO ]]*SUMIFS(tabParametros[INSS],tabParametros[Código do Posto],tabCustoUnit[[#This Row],[Código do Posto]])</f>
        <v>112.75409999999999</v>
      </c>
      <c r="Q226" s="21">
        <f>tabCustoUnit[[#This Row],[MODULO 1 - REMUNERAÇÃO ]]*SUMIFS(tabParametros[SESI OU SESC],tabParametros[Código do Posto],tabCustoUnit[[#This Row],[Código do Posto]])</f>
        <v>8.4565574999999988</v>
      </c>
      <c r="R226" s="21">
        <f>tabCustoUnit[[#This Row],[MODULO 1 - REMUNERAÇÃO ]]*SUMIFS(tabParametros[SENAI OU SENAC],tabParametros[Código do Posto],tabCustoUnit[[#This Row],[Código do Posto]])</f>
        <v>5.6377049999999995</v>
      </c>
      <c r="S226" s="21">
        <f>tabCustoUnit[[#This Row],[MODULO 1 - REMUNERAÇÃO ]]*SUMIFS(tabParametros[INCRA],tabParametros[Código do Posto],tabCustoUnit[[#This Row],[Código do Posto]])</f>
        <v>1.1275409999999999</v>
      </c>
      <c r="T226" s="21">
        <f>tabCustoUnit[[#This Row],[MODULO 1 - REMUNERAÇÃO ]]*SUMIFS(tabParametros[Salário Educação],tabParametros[Código do Posto],tabCustoUnit[[#This Row],[Código do Posto]])</f>
        <v>14.094262499999999</v>
      </c>
      <c r="U226" s="21">
        <f>tabCustoUnit[[#This Row],[MODULO 1 - REMUNERAÇÃO ]]*SUMIFS(tabParametros[FGTS],tabParametros[Código do Posto],tabCustoUnit[[#This Row],[Código do Posto]])</f>
        <v>45.101639999999996</v>
      </c>
      <c r="V226" s="21">
        <f>tabCustoUnit[[#This Row],[MODULO 1 - REMUNERAÇÃO ]]*SUMIFS(tabParametros[RAT Ajustado],tabParametros[Código do Posto],tabCustoUnit[[#This Row],[Código do Posto]])</f>
        <v>22.550819999999998</v>
      </c>
      <c r="W226" s="21">
        <f>tabCustoUnit[[#This Row],[MODULO 1 - REMUNERAÇÃO ]]*SUMIFS(tabParametros[SEBRAE],tabParametros[Código do Posto],tabCustoUnit[[#This Row],[Código do Posto]])</f>
        <v>3.3826229999999997</v>
      </c>
      <c r="X226" s="21">
        <f>SUM(tabCustoUnit[[#This Row],[INSS]:[SEBRAE]])</f>
        <v>213.10524899999996</v>
      </c>
      <c r="Y226" s="21">
        <f>tabCustoUnit[[#This Row],[MODULO 1 - REMUNERAÇÃO ]]*SUMIFS(tabParametros[13º salário (titular)],tabParametros[Código do Posto],tabCustoUnit[[#This Row],[Código do Posto]])</f>
        <v>46.980874999999997</v>
      </c>
      <c r="Z226" s="21">
        <f>tabCustoUnit[[#This Row],[MODULO 1 - REMUNERAÇÃO ]]*SUMIFS(tabParametros[Férias e Adicional de Férias (titular)],tabParametros[Código do Posto],tabCustoUnit[[#This Row],[Código do Posto]])</f>
        <v>62.641166666666663</v>
      </c>
      <c r="AA226" s="21">
        <f>IFERROR((tabCustoUnit[[#This Row],[Submódulo 2.1]]/tabCustoUnit[[#This Row],[MODULO 1 - REMUNERAÇÃO ]])*SUM(tabCustoUnit[[#This Row],[13º salário (titular)]:[Férias e Adicional de Férias (titular)]]),0)</f>
        <v>41.437131749999992</v>
      </c>
      <c r="AB226" s="21">
        <f>SUM(tabCustoUnit[[#This Row],[13º salário (titular)]:[Incidência do Submódulo 2.1 sobre 13º Salário, Férias e Adicional de Férias]])</f>
        <v>151.05917341666665</v>
      </c>
      <c r="AC226" s="22">
        <f>_xlfn.LET(_xlpm.VT,SUMIF(tabParametros[Código do Posto],tabCustoUnit[[#This Row],[Código do Posto]],tabParametros[Vale - Transporte])*2*20,
IF((_xlpm.VT-tabCustoUnit[[#This Row],[Salário Base]]*0.06)&gt;=0,(_xlpm.VT-tabCustoUnit[[#This Row],[Salário Base]]*0.06),0)
)</f>
        <v>223.3492</v>
      </c>
      <c r="AD226" s="22">
        <f>IF(SUMIF(tabParametros[Código do Posto],tabCustoUnit[[#This Row],[Código do Posto]],tabParametros[Vale - Alimentação])&lt;=0,0,
SUMIF(tabParametros[Código do Posto],tabCustoUnit[[#This Row],[Código do Posto]],tabParametros[Vale - Alimentação])*20-1)</f>
        <v>582</v>
      </c>
      <c r="AE226" s="22">
        <f>SUMIF(tabParametros[Código do Posto],tabCustoUnit[[#This Row],[Código do Posto]],tabParametros[Cesta Básica])</f>
        <v>0</v>
      </c>
      <c r="AF226" s="22">
        <f>SUMIF(tabParametros[Código do Posto],tabCustoUnit[[#This Row],[Código do Posto]],tabParametros[PAF])</f>
        <v>51.88</v>
      </c>
      <c r="AG226" s="22">
        <f>SUMIF(tabParametros[Código do Posto],tabCustoUnit[[#This Row],[Código do Posto]],tabParametros[PQM])</f>
        <v>0</v>
      </c>
      <c r="AH226" s="22">
        <f>SUMIF(tabParametros[Código do Posto],tabCustoUnit[[#This Row],[Código do Posto]],tabParametros[PAT])</f>
        <v>0</v>
      </c>
      <c r="AI226" s="22">
        <f>SUMIF(tabParametros[Código do Posto],tabCustoUnit[[#This Row],[Código do Posto]],tabParametros[Seguro de Vida])</f>
        <v>3.36</v>
      </c>
      <c r="AJ226" s="22">
        <f>SUMIF(tabParametros[Código do Posto],tabCustoUnit[[#This Row],[Código do Posto]],tabParametros[Despesas de Viagem])</f>
        <v>0</v>
      </c>
      <c r="AK226" s="22">
        <f>SUM(tabCustoUnit[[#This Row],[Vale - Transporte (Descontada parcela do empregado)]:[Despesas de Viagem]])</f>
        <v>860.58920000000001</v>
      </c>
      <c r="AL226" s="22">
        <f>tabCustoUnit[[#This Row],[Submódulo 2.1]]+tabCustoUnit[[#This Row],[Submódulo 2.2]]+tabCustoUnit[[#This Row],[Submódulo 2.3]]</f>
        <v>1224.7536224166665</v>
      </c>
      <c r="AM226" s="22">
        <f>SUMIF(tabParametros[Código do Posto],tabCustoUnit[[#This Row],[Código do Posto]],tabParametros[Aviso Prévio Indenizado (API) e Reflexo do Aviso Prévio Indenizado])*tabCustoUnit[[#This Row],[MODULO 1 - REMUNERAÇÃO ]]</f>
        <v>3.9530273735532404</v>
      </c>
      <c r="AN226" s="22">
        <f>SUMIF(tabParametros[Código do Posto],tabCustoUnit[[#This Row],[Código do Posto]],tabParametros[Incidência do FGTS sobre API e Reflexo do API])*tabCustoUnit[[#This Row],[MODULO 1 - REMUNERAÇÃO ]]</f>
        <v>0.31624218988425928</v>
      </c>
      <c r="AO226" s="22">
        <f>SUMIF(tabParametros[Código do Posto],tabCustoUnit[[#This Row],[Código do Posto]],tabParametros[Multa Rescisória do FGTS sobre o Aviso Prévio Indenizado])*tabCustoUnit[[#This Row],[MODULO 1 - REMUNERAÇÃO ]]</f>
        <v>0.12649687595370371</v>
      </c>
      <c r="AP226" s="22">
        <f>SUMIF(tabParametros[Código do Posto],tabCustoUnit[[#This Row],[Código do Posto]],tabParametros[Aviso Prévio Trabalhado - APT])*tabCustoUnit[[#This Row],[MODULO 1 - REMUNERAÇÃO ]]</f>
        <v>1.9731967500000003</v>
      </c>
      <c r="AQ226" s="22">
        <f>SUMIF(tabParametros[Código do Posto],tabCustoUnit[[#This Row],[Código do Posto]],tabParametros[Incidência dos encargos do submódulo 2.1 sobre Aviso Prévio Trabalhado])*tabCustoUnit[[#This Row],[MODULO 1 - REMUNERAÇÃO ]]</f>
        <v>0.74586837150000018</v>
      </c>
      <c r="AR226" s="22">
        <f>SUMIF(tabParametros[Código do Posto],tabCustoUnit[[#This Row],[Código do Posto]],tabParametros[Multa Rescisória do FGTS])*tabCustoUnit[[#This Row],[MODULO 1 - REMUNERAÇÃO ]]</f>
        <v>17.238849066666663</v>
      </c>
      <c r="AS226" s="22">
        <f>SUMIF(tabParametros[Código do Posto],tabCustoUnit[[#This Row],[Código do Posto]],tabParametros[Indenização Adicional (Art. 9º da Lei nº 7.238/84)])*tabCustoUnit[[#This Row],[MODULO 1 - REMUNERAÇÃO ]]</f>
        <v>0.46980875</v>
      </c>
      <c r="AT226" s="22">
        <f>SUM(tabCustoUnit[[#This Row],[Aviso Prévio Indenizado (API) e Reflexo do Aviso Prévio Indenizado]:[Indenização Adicional (Art. 9º da Lei nº 7.238/84)]])</f>
        <v>24.823489377557866</v>
      </c>
      <c r="AU226" s="22">
        <f>SUMIF(tabParametros[Código do Posto],tabCustoUnit[[#This Row],[Código do Posto]],tabParametros[Ausência por Doença])*tabCustoUnit[[#This Row],[MODULO 1 - REMUNERAÇÃO ]]</f>
        <v>4.7607286666666662</v>
      </c>
      <c r="AV226" s="22">
        <f>SUMIF(tabParametros[Código do Posto],tabCustoUnit[[#This Row],[Código do Posto]],tabParametros[Ausências Legais])*tabCustoUnit[[#This Row],[MODULO 1 - REMUNERAÇÃO ]]</f>
        <v>1.1432012916666665</v>
      </c>
      <c r="AW226" s="22">
        <f>SUMIF(tabParametros[Código do Posto],tabCustoUnit[[#This Row],[Código do Posto]],tabParametros[Licença Paternidade])*tabCustoUnit[[#This Row],[MODULO 1 - REMUNERAÇÃO ]]</f>
        <v>9.6310793749999998E-2</v>
      </c>
      <c r="AX226" s="22">
        <f>SUMIF(tabParametros[Código do Posto],tabCustoUnit[[#This Row],[Código do Posto]],tabParametros[Ausência por Acidente de Trabalho])*tabCustoUnit[[#This Row],[MODULO 1 - REMUNERAÇÃO ]]</f>
        <v>0.1174521875</v>
      </c>
      <c r="AY226" s="22">
        <f>SUMIF(tabParametros[Código do Posto],tabCustoUnit[[#This Row],[Código do Posto]],tabParametros[Férias, Adicional de Férias e 13º  com empregada em gozo de Licença Maternidade])*tabCustoUnit[[#This Row],[MODULO 1 - REMUNERAÇÃO ]]</f>
        <v>0.73081361111111109</v>
      </c>
      <c r="AZ226" s="22">
        <f>SUMIF(tabParametros[Código do Posto],tabCustoUnit[[#This Row],[Código do Posto]],tabParametros[Incidência do Submódulo 2.1 sobre Ausências Legais])*tabCustoUnit[[#This Row],[MODULO 1 - REMUNERAÇÃO ]]</f>
        <v>2.5887354761625003</v>
      </c>
      <c r="BA226" s="22">
        <f>SUM(tabCustoUnit[[#This Row],[Ausência por Doença]:[Incidência do Submódulo 2.1 sobre Ausências Legais]])</f>
        <v>9.4372420268569428</v>
      </c>
      <c r="BB226" s="22">
        <f>SUMIF(tabParametros[Código do Posto],tabCustoUnit[[#This Row],[Código do Posto]],tabParametros[Intervalo para Repouso ou Alimentação])</f>
        <v>0</v>
      </c>
      <c r="BC226" s="22">
        <f>tabCustoUnit[[#This Row],[Intervalo para Repouso ou Alimentação]]</f>
        <v>0</v>
      </c>
      <c r="BD226" s="22">
        <f>IF(VLOOKUP(tabCustoUnit[[#This Row],[Código do Posto]],PARAMETROS!$A$4:$BJ$255,7,0)&lt;=0,0,
IFERROR((tabCustoUnit[[#This Row],[MODULO 1 - REMUNERAÇÃO ]]*VLOOKUP(tabCustoUnit[[#This Row],[Código do Posto]],PARAMETROS!$A$4:$BJ$255,49,0))/(VLOOKUP(tabCustoUnit[[#This Row],[Código do Posto]],PARAMETROS!$A$4:$BJ$255,7,0)*VLOOKUP(tabCustoUnit[[#This Row],[Código do Posto]],PARAMETROS!$A$4:$BJ$255,8,0)),0)
)</f>
        <v>0</v>
      </c>
      <c r="BE226" s="22">
        <f>tabCustoUnit[[#This Row],[Suspensão Temporária do Contrato de Trabalho]]</f>
        <v>0</v>
      </c>
      <c r="BF226" s="22">
        <f>tabCustoUnit[[#This Row],[Submódulo 4.1]]+tabCustoUnit[[#This Row],[Submódulo 4.2]]+tabCustoUnit[[#This Row],[Submódulo 4.3]]</f>
        <v>9.4372420268569428</v>
      </c>
      <c r="BG226" s="22">
        <f>VLOOKUP(tabCustoUnit[[#This Row],[Código do Posto]],tabParametros[],MATCH(tabCustoUnit[[#Headers],[Uniformes e EPIs]],tabParametros[#Headers],0),0)</f>
        <v>62.806666666666665</v>
      </c>
      <c r="BH226" s="22">
        <f>VLOOKUP(tabCustoUnit[[#This Row],[Código do Posto]],tabParametros[],MATCH(tabCustoUnit[[#Headers],[Materiais de Consumo]],tabParametros[#Headers],0),0)</f>
        <v>12.108481690426325</v>
      </c>
      <c r="BI226" s="22">
        <f>VLOOKUP(tabCustoUnit[[#This Row],[Código do Posto]],tabParametros[],MATCH(tabCustoUnit[[#Headers],[Máquinas e Equipamentos (depreciação)]],tabParametros[#Headers],0),0)</f>
        <v>21.998657016417809</v>
      </c>
      <c r="BJ226" s="22">
        <f>VLOOKUP(tabCustoUnit[[#This Row],[Código do Posto]],tabParametros[],MATCH(tabCustoUnit[[#Headers],[Produtos de Limpeza e Materiais de Higiene Pessoal]],tabParametros[#Headers],0),0)</f>
        <v>235.31984072022155</v>
      </c>
      <c r="BK226" s="22">
        <f>VLOOKUP(tabCustoUnit[[#This Row],[Código do Posto]],tabParametros[],MATCH(tabCustoUnit[[#Headers],[Outros (especificar)]],tabParametros[#Headers],0),0)</f>
        <v>0</v>
      </c>
      <c r="BL226" s="22">
        <f>SUM(tabCustoUnit[[#This Row],[Uniformes e EPIs]:[Outros (especificar)]])</f>
        <v>332.23364609373232</v>
      </c>
      <c r="BM226" s="22">
        <f>tabCustoUnit[[#This Row],[MODULO 1 - REMUNERAÇÃO ]]+tabCustoUnit[[#This Row],[MÓDULO 2 - Total Encargos e Benefícios mensais e diários]]+tabCustoUnit[[#This Row],[MÓDULO 3 – PROVISÃO PARA RESCISÃO]]+tabCustoUnit[[#This Row],[MÓDULO 4 – CUSTO DE REPOSIÇÃO DO PROFISSIONAL AUSENTE]]+tabCustoUnit[[#This Row],[MÓDULO 5 – INSUMOS DIVERSOS]]</f>
        <v>2155.0184999148137</v>
      </c>
      <c r="BN226" s="22">
        <f>VLOOKUP(tabCustoUnit[[#This Row],[Código do Posto]],tabParametros[],MATCH(tabCustoUnit[[#Headers],[Custos Indiretos]],tabParametros[#Headers],0),0)</f>
        <v>189.64880140242613</v>
      </c>
      <c r="BO226" s="22">
        <f>VLOOKUP(tabCustoUnit[[#This Row],[Código do Posto]],tabParametros[],MATCH(tabCustoUnit[[#Headers],[Lucro]],tabParametros[#Headers],0),0)</f>
        <v>159.30499317803796</v>
      </c>
      <c r="BP226" s="26">
        <f>((100/((1-tabCustoUnit[[#This Row],[Resumo de Alíquotas (PIS+CONFINS+ISS)]]))-100)*VLOOKUP(tabCustoUnit[[#This Row],[Código do Posto]],tabParametros[],MATCH(tabCustoUnit[[#Headers],[COFINS]],tabParametros[#Headers],0),0))/(tabCustoUnit[[#This Row],[Resumo de Alíquotas (PIS+CONFINS+ISS)]]*100)</f>
        <v>8.6609686609686695E-2</v>
      </c>
      <c r="BQ226" s="26">
        <f>((100/((100-(tabCustoUnit[[#This Row],[Resumo de Alíquotas (PIS+CONFINS+ISS)]]*100))%)-100)*VLOOKUP(tabCustoUnit[[#This Row],[Código do Posto]],tabParametros[],MATCH(tabCustoUnit[[#Headers],[PIS]],tabParametros[#Headers],0),0))/(tabCustoUnit[[#This Row],[Resumo de Alíquotas (PIS+CONFINS+ISS)]]*100)</f>
        <v>1.880341880341882E-2</v>
      </c>
      <c r="BR226" s="28">
        <f>VLOOKUP(tabCustoUnit[[#This Row],[Código do Posto]],tabParametros[],MATCH(tabCustoUnit[[#Headers],[ISS]],tabParametros[#Headers],0),0)</f>
        <v>0.03</v>
      </c>
      <c r="BS226" s="26">
        <f>(((100/((100-(tabCustoUnit[[#This Row],[Resumo de Alíquotas (PIS+CONFINS+ISS)]]*100))%)-100)*tabCustoUnit[[#This Row],[ISS]])/tabCustoUnit[[#This Row],[Resumo de Alíquotas (PIS+CONFINS+ISS)]])/100</f>
        <v>3.4188034188034219E-2</v>
      </c>
      <c r="BT226" s="26">
        <f>(VLOOKUP(tabCustoUnit[[#This Row],[Código do Posto]],tabParametros[],MATCH(tabCustoUnit[[#Headers],[COFINS]],tabParametros[#Headers],0),0)+
VLOOKUP(tabCustoUnit[[#This Row],[Código do Posto]],tabParametros[],MATCH(tabCustoUnit[[#Headers],[PIS]],tabParametros[#Headers],0),0)+
VLOOKUP(tabCustoUnit[[#This Row],[Código do Posto]],tabParametros[],MATCH(tabCustoUnit[[#Headers],[ISS]],tabParametros[#Headers],0),0))</f>
        <v>0.1225</v>
      </c>
      <c r="BU226" s="138">
        <f>tabCustoUnit[[#This Row],[COFINS]]+tabCustoUnit[[#This Row],[PIS]]+tabCustoUnit[[#This Row],[ISS (Conversão Alíquota s/ fatura)]]</f>
        <v>0.13960113960113973</v>
      </c>
      <c r="BV226" s="22">
        <f>(tabCustoUnit[[#This Row],[TOTAL MÓDULOS 1+2+3+4+5]]+tabCustoUnit[[#This Row],[Custos Indiretos]]+tabCustoUnit[[#This Row],[Lucro]])*tabCustoUnit[[#This Row],[PIS + COFINS + ISS (Total Conversão  Alíquota s/ Fatura)]]</f>
        <v>349.55738584122145</v>
      </c>
      <c r="BW226" s="22">
        <f>tabCustoUnit[[#This Row],[Custos Indiretos]]+tabCustoUnit[[#This Row],[Lucro]]+tabCustoUnit[[#This Row],[Valor dos Tributos (ISS, PIS, CONFINS)]]</f>
        <v>698.51118042168559</v>
      </c>
      <c r="BX226" s="22">
        <f>tabCustoUnit[[#This Row],[TOTAL MÓDULOS 1+2+3+4+5]]+tabCustoUnit[[#This Row],[MÓDULO 6 – CUSTOS INDIRETOS, TRIBUTOS E LUCRO]]</f>
        <v>2853.529680336499</v>
      </c>
      <c r="BY226" s="22">
        <f>tabCustoUnit[[#This Row],[CUSTO TOTAL MENSAL]]*12</f>
        <v>34242.356164037992</v>
      </c>
      <c r="BZ226" s="24">
        <f>VLOOKUP(tabCustoUnit[[#This Row],[Código do Posto]],tabParametros[],MATCH(tabCustoUnit[[#Headers],[ANO DA CCT]],tabParametros[#Headers],0),0)</f>
        <v>45658</v>
      </c>
      <c r="CA226" s="25" t="str">
        <f>VLOOKUP(tabCustoUnit[[#This Row],[Código do Posto]],tabParametros[],MATCH(tabCustoUnit[[#Headers],[Nº DE PEDIDO DA CCT]],tabParametros[#Headers],0),0)</f>
        <v>-</v>
      </c>
      <c r="CB226" s="25" t="str">
        <f>VLOOKUP(tabCustoUnit[[#This Row],[Código do Posto]],tabParametros[],MATCH(tabCustoUnit[[#Headers],[TERMO ADITIVO ALTERAÇÃO DA CCT]],tabParametros[#Headers],0),0)</f>
        <v>-</v>
      </c>
    </row>
    <row r="227" spans="1:80" x14ac:dyDescent="0.25">
      <c r="A227" s="20" t="s">
        <v>1562</v>
      </c>
      <c r="B227" t="s">
        <v>207</v>
      </c>
      <c r="C227" t="s">
        <v>1245</v>
      </c>
      <c r="D227" t="s">
        <v>207</v>
      </c>
      <c r="E227" s="20" t="s">
        <v>9</v>
      </c>
      <c r="F227" s="20" t="s">
        <v>10</v>
      </c>
      <c r="G227" s="21">
        <v>1649.12</v>
      </c>
      <c r="H227" s="21">
        <v>0</v>
      </c>
      <c r="I227" s="21">
        <v>0</v>
      </c>
      <c r="J227" s="21">
        <v>0</v>
      </c>
      <c r="K227" s="21">
        <v>0</v>
      </c>
      <c r="L227" s="21">
        <v>0</v>
      </c>
      <c r="M227" s="21">
        <v>0</v>
      </c>
      <c r="N227" s="21">
        <v>53.971200000000003</v>
      </c>
      <c r="O227" s="21">
        <f>SUM(tabCustoUnit[[#This Row],[Salário Base]:[Adicional de Acúmulo de função]])</f>
        <v>1703.0911999999998</v>
      </c>
      <c r="P227" s="21">
        <f>tabCustoUnit[[#This Row],[MODULO 1 - REMUNERAÇÃO ]]*SUMIFS(tabParametros[INSS],tabParametros[Código do Posto],tabCustoUnit[[#This Row],[Código do Posto]])</f>
        <v>340.61824000000001</v>
      </c>
      <c r="Q227" s="21">
        <f>tabCustoUnit[[#This Row],[MODULO 1 - REMUNERAÇÃO ]]*SUMIFS(tabParametros[SESI OU SESC],tabParametros[Código do Posto],tabCustoUnit[[#This Row],[Código do Posto]])</f>
        <v>25.546367999999998</v>
      </c>
      <c r="R227" s="21">
        <f>tabCustoUnit[[#This Row],[MODULO 1 - REMUNERAÇÃO ]]*SUMIFS(tabParametros[SENAI OU SENAC],tabParametros[Código do Posto],tabCustoUnit[[#This Row],[Código do Posto]])</f>
        <v>17.030911999999997</v>
      </c>
      <c r="S227" s="21">
        <f>tabCustoUnit[[#This Row],[MODULO 1 - REMUNERAÇÃO ]]*SUMIFS(tabParametros[INCRA],tabParametros[Código do Posto],tabCustoUnit[[#This Row],[Código do Posto]])</f>
        <v>3.4061823999999996</v>
      </c>
      <c r="T227" s="21">
        <f>tabCustoUnit[[#This Row],[MODULO 1 - REMUNERAÇÃO ]]*SUMIFS(tabParametros[Salário Educação],tabParametros[Código do Posto],tabCustoUnit[[#This Row],[Código do Posto]])</f>
        <v>42.577280000000002</v>
      </c>
      <c r="U227" s="21">
        <f>tabCustoUnit[[#This Row],[MODULO 1 - REMUNERAÇÃO ]]*SUMIFS(tabParametros[FGTS],tabParametros[Código do Posto],tabCustoUnit[[#This Row],[Código do Posto]])</f>
        <v>136.24729599999998</v>
      </c>
      <c r="V227" s="21">
        <f>tabCustoUnit[[#This Row],[MODULO 1 - REMUNERAÇÃO ]]*SUMIFS(tabParametros[RAT Ajustado],tabParametros[Código do Posto],tabCustoUnit[[#This Row],[Código do Posto]])</f>
        <v>68.123647999999989</v>
      </c>
      <c r="W227" s="21">
        <f>tabCustoUnit[[#This Row],[MODULO 1 - REMUNERAÇÃO ]]*SUMIFS(tabParametros[SEBRAE],tabParametros[Código do Posto],tabCustoUnit[[#This Row],[Código do Posto]])</f>
        <v>10.2185472</v>
      </c>
      <c r="X227" s="21">
        <f>SUM(tabCustoUnit[[#This Row],[INSS]:[SEBRAE]])</f>
        <v>643.76847359999999</v>
      </c>
      <c r="Y227" s="21">
        <f>tabCustoUnit[[#This Row],[MODULO 1 - REMUNERAÇÃO ]]*SUMIFS(tabParametros[13º salário (titular)],tabParametros[Código do Posto],tabCustoUnit[[#This Row],[Código do Posto]])</f>
        <v>141.92426666666665</v>
      </c>
      <c r="Z227" s="21">
        <f>tabCustoUnit[[#This Row],[MODULO 1 - REMUNERAÇÃO ]]*SUMIFS(tabParametros[Férias e Adicional de Férias (titular)],tabParametros[Código do Posto],tabCustoUnit[[#This Row],[Código do Posto]])</f>
        <v>189.23235555555553</v>
      </c>
      <c r="AA227" s="21">
        <f>IFERROR((tabCustoUnit[[#This Row],[Submódulo 2.1]]/tabCustoUnit[[#This Row],[MODULO 1 - REMUNERAÇÃO ]])*SUM(tabCustoUnit[[#This Row],[13º salário (titular)]:[Férias e Adicional de Férias (titular)]]),0)</f>
        <v>125.17720319999999</v>
      </c>
      <c r="AB227" s="21">
        <f>SUM(tabCustoUnit[[#This Row],[13º salário (titular)]:[Incidência do Submódulo 2.1 sobre 13º Salário, Férias e Adicional de Férias]])</f>
        <v>456.33382542222216</v>
      </c>
      <c r="AC227" s="22">
        <f>_xlfn.LET(_xlpm.VT,SUMIF(tabParametros[Código do Posto],tabCustoUnit[[#This Row],[Código do Posto]],tabParametros[Vale - Transporte])*2*20,
IF((_xlpm.VT-tabCustoUnit[[#This Row],[Salário Base]]*0.06)&gt;=0,(_xlpm.VT-tabCustoUnit[[#This Row],[Salário Base]]*0.06),0)
)</f>
        <v>157.05279999999999</v>
      </c>
      <c r="AD227" s="22">
        <f>IF(SUMIF(tabParametros[Código do Posto],tabCustoUnit[[#This Row],[Código do Posto]],tabParametros[Vale - Alimentação])&lt;=0,0,
SUMIF(tabParametros[Código do Posto],tabCustoUnit[[#This Row],[Código do Posto]],tabParametros[Vale - Alimentação])*20-1)</f>
        <v>582</v>
      </c>
      <c r="AE227" s="22">
        <f>SUMIF(tabParametros[Código do Posto],tabCustoUnit[[#This Row],[Código do Posto]],tabParametros[Cesta Básica])</f>
        <v>0</v>
      </c>
      <c r="AF227" s="22">
        <f>SUMIF(tabParametros[Código do Posto],tabCustoUnit[[#This Row],[Código do Posto]],tabParametros[PAF])</f>
        <v>53.27</v>
      </c>
      <c r="AG227" s="22">
        <f>SUMIF(tabParametros[Código do Posto],tabCustoUnit[[#This Row],[Código do Posto]],tabParametros[PQM])</f>
        <v>0</v>
      </c>
      <c r="AH227" s="22">
        <f>SUMIF(tabParametros[Código do Posto],tabCustoUnit[[#This Row],[Código do Posto]],tabParametros[PAT])</f>
        <v>0</v>
      </c>
      <c r="AI227" s="22">
        <f>SUMIF(tabParametros[Código do Posto],tabCustoUnit[[#This Row],[Código do Posto]],tabParametros[Seguro de Vida])</f>
        <v>3.36</v>
      </c>
      <c r="AJ227" s="22">
        <f>SUMIF(tabParametros[Código do Posto],tabCustoUnit[[#This Row],[Código do Posto]],tabParametros[Despesas de Viagem])</f>
        <v>0</v>
      </c>
      <c r="AK227" s="22">
        <f>SUM(tabCustoUnit[[#This Row],[Vale - Transporte (Descontada parcela do empregado)]:[Despesas de Viagem]])</f>
        <v>795.68279999999993</v>
      </c>
      <c r="AL227" s="22">
        <f>tabCustoUnit[[#This Row],[Submódulo 2.1]]+tabCustoUnit[[#This Row],[Submódulo 2.2]]+tabCustoUnit[[#This Row],[Submódulo 2.3]]</f>
        <v>1895.7850990222223</v>
      </c>
      <c r="AM227" s="22">
        <f>SUMIF(tabParametros[Código do Posto],tabCustoUnit[[#This Row],[Código do Posto]],tabParametros[Aviso Prévio Indenizado (API) e Reflexo do Aviso Prévio Indenizado])*tabCustoUnit[[#This Row],[MODULO 1 - REMUNERAÇÃO ]]</f>
        <v>11.941678632098764</v>
      </c>
      <c r="AN227" s="22">
        <f>SUMIF(tabParametros[Código do Posto],tabCustoUnit[[#This Row],[Código do Posto]],tabParametros[Incidência do FGTS sobre API e Reflexo do API])*tabCustoUnit[[#This Row],[MODULO 1 - REMUNERAÇÃO ]]</f>
        <v>0.9553342905679012</v>
      </c>
      <c r="AO227" s="22">
        <f>SUMIF(tabParametros[Código do Posto],tabCustoUnit[[#This Row],[Código do Posto]],tabParametros[Multa Rescisória do FGTS sobre o Aviso Prévio Indenizado])*tabCustoUnit[[#This Row],[MODULO 1 - REMUNERAÇÃO ]]</f>
        <v>0.38213371622716052</v>
      </c>
      <c r="AP227" s="22">
        <f>SUMIF(tabParametros[Código do Posto],tabCustoUnit[[#This Row],[Código do Posto]],tabParametros[Aviso Prévio Trabalhado - APT])*tabCustoUnit[[#This Row],[MODULO 1 - REMUNERAÇÃO ]]</f>
        <v>5.9608192000000004</v>
      </c>
      <c r="AQ227" s="22">
        <f>SUMIF(tabParametros[Código do Posto],tabCustoUnit[[#This Row],[Código do Posto]],tabParametros[Incidência dos encargos do submódulo 2.1 sobre Aviso Prévio Trabalhado])*tabCustoUnit[[#This Row],[MODULO 1 - REMUNERAÇÃO ]]</f>
        <v>2.2531896576000006</v>
      </c>
      <c r="AR227" s="22">
        <f>SUMIF(tabParametros[Código do Posto],tabCustoUnit[[#This Row],[Código do Posto]],tabParametros[Multa Rescisória do FGTS])*tabCustoUnit[[#This Row],[MODULO 1 - REMUNERAÇÃO ]]</f>
        <v>52.076744248888879</v>
      </c>
      <c r="AS227" s="22">
        <f>SUMIF(tabParametros[Código do Posto],tabCustoUnit[[#This Row],[Código do Posto]],tabParametros[Indenização Adicional (Art. 9º da Lei nº 7.238/84)])*tabCustoUnit[[#This Row],[MODULO 1 - REMUNERAÇÃO ]]</f>
        <v>1.4192426666666667</v>
      </c>
      <c r="AT227" s="22">
        <f>SUM(tabCustoUnit[[#This Row],[Aviso Prévio Indenizado (API) e Reflexo do Aviso Prévio Indenizado]:[Indenização Adicional (Art. 9º da Lei nº 7.238/84)]])</f>
        <v>74.989142412049375</v>
      </c>
      <c r="AU227" s="22">
        <f>SUMIF(tabParametros[Código do Posto],tabCustoUnit[[#This Row],[Código do Posto]],tabParametros[Ausência por Doença])*tabCustoUnit[[#This Row],[MODULO 1 - REMUNERAÇÃO ]]</f>
        <v>14.38165902222222</v>
      </c>
      <c r="AV227" s="22">
        <f>SUMIF(tabParametros[Código do Posto],tabCustoUnit[[#This Row],[Código do Posto]],tabParametros[Ausências Legais])*tabCustoUnit[[#This Row],[MODULO 1 - REMUNERAÇÃO ]]</f>
        <v>3.4534904888888884</v>
      </c>
      <c r="AW227" s="22">
        <f>SUMIF(tabParametros[Código do Posto],tabCustoUnit[[#This Row],[Código do Posto]],tabParametros[Licença Paternidade])*tabCustoUnit[[#This Row],[MODULO 1 - REMUNERAÇÃO ]]</f>
        <v>0.29094474666666664</v>
      </c>
      <c r="AX227" s="22">
        <f>SUMIF(tabParametros[Código do Posto],tabCustoUnit[[#This Row],[Código do Posto]],tabParametros[Ausência por Acidente de Trabalho])*tabCustoUnit[[#This Row],[MODULO 1 - REMUNERAÇÃO ]]</f>
        <v>0.35481066666666666</v>
      </c>
      <c r="AY227" s="22">
        <f>SUMIF(tabParametros[Código do Posto],tabCustoUnit[[#This Row],[Código do Posto]],tabParametros[Férias, Adicional de Férias e 13º  com empregada em gozo de Licença Maternidade])*tabCustoUnit[[#This Row],[MODULO 1 - REMUNERAÇÃO ]]</f>
        <v>2.2077108148148143</v>
      </c>
      <c r="AZ227" s="22">
        <f>SUMIF(tabParametros[Código do Posto],tabCustoUnit[[#This Row],[Código do Posto]],tabParametros[Incidência do Submódulo 2.1 sobre Ausências Legais])*tabCustoUnit[[#This Row],[MODULO 1 - REMUNERAÇÃO ]]</f>
        <v>7.8202967494400006</v>
      </c>
      <c r="BA227" s="22">
        <f>SUM(tabCustoUnit[[#This Row],[Ausência por Doença]:[Incidência do Submódulo 2.1 sobre Ausências Legais]])</f>
        <v>28.508912488699256</v>
      </c>
      <c r="BB227" s="22">
        <f>SUMIF(tabParametros[Código do Posto],tabCustoUnit[[#This Row],[Código do Posto]],tabParametros[Intervalo para Repouso ou Alimentação])</f>
        <v>0</v>
      </c>
      <c r="BC227" s="22">
        <f>tabCustoUnit[[#This Row],[Intervalo para Repouso ou Alimentação]]</f>
        <v>0</v>
      </c>
      <c r="BD227" s="22">
        <f>IF(VLOOKUP(tabCustoUnit[[#This Row],[Código do Posto]],PARAMETROS!$A$4:$BJ$255,7,0)&lt;=0,0,
IFERROR((tabCustoUnit[[#This Row],[MODULO 1 - REMUNERAÇÃO ]]*VLOOKUP(tabCustoUnit[[#This Row],[Código do Posto]],PARAMETROS!$A$4:$BJ$255,49,0))/(VLOOKUP(tabCustoUnit[[#This Row],[Código do Posto]],PARAMETROS!$A$4:$BJ$255,7,0)*VLOOKUP(tabCustoUnit[[#This Row],[Código do Posto]],PARAMETROS!$A$4:$BJ$255,8,0)),0)
)</f>
        <v>0</v>
      </c>
      <c r="BE227" s="22">
        <f>tabCustoUnit[[#This Row],[Suspensão Temporária do Contrato de Trabalho]]</f>
        <v>0</v>
      </c>
      <c r="BF227" s="22">
        <f>tabCustoUnit[[#This Row],[Submódulo 4.1]]+tabCustoUnit[[#This Row],[Submódulo 4.2]]+tabCustoUnit[[#This Row],[Submódulo 4.3]]</f>
        <v>28.508912488699256</v>
      </c>
      <c r="BG227" s="22">
        <f>VLOOKUP(tabCustoUnit[[#This Row],[Código do Posto]],tabParametros[],MATCH(tabCustoUnit[[#Headers],[Uniformes e EPIs]],tabParametros[#Headers],0),0)</f>
        <v>100.80916666666666</v>
      </c>
      <c r="BH227" s="22">
        <f>VLOOKUP(tabCustoUnit[[#This Row],[Código do Posto]],tabParametros[],MATCH(tabCustoUnit[[#Headers],[Materiais de Consumo]],tabParametros[#Headers],0),0)</f>
        <v>35.518212958583888</v>
      </c>
      <c r="BI227" s="22">
        <f>VLOOKUP(tabCustoUnit[[#This Row],[Código do Posto]],tabParametros[],MATCH(tabCustoUnit[[#Headers],[Máquinas e Equipamentos (depreciação)]],tabParametros[#Headers],0),0)</f>
        <v>64.529393914825576</v>
      </c>
      <c r="BJ227" s="22">
        <f>VLOOKUP(tabCustoUnit[[#This Row],[Código do Posto]],tabParametros[],MATCH(tabCustoUnit[[#Headers],[Produtos de Limpeza e Materiais de Higiene Pessoal]],tabParametros[#Headers],0),0)</f>
        <v>690.27153277931654</v>
      </c>
      <c r="BK227" s="22">
        <f>VLOOKUP(tabCustoUnit[[#This Row],[Código do Posto]],tabParametros[],MATCH(tabCustoUnit[[#Headers],[Outros (especificar)]],tabParametros[#Headers],0),0)</f>
        <v>0</v>
      </c>
      <c r="BL227" s="22">
        <f>SUM(tabCustoUnit[[#This Row],[Uniformes e EPIs]:[Outros (especificar)]])</f>
        <v>891.12830631939266</v>
      </c>
      <c r="BM227" s="22">
        <f>tabCustoUnit[[#This Row],[MODULO 1 - REMUNERAÇÃO ]]+tabCustoUnit[[#This Row],[MÓDULO 2 - Total Encargos e Benefícios mensais e diários]]+tabCustoUnit[[#This Row],[MÓDULO 3 – PROVISÃO PARA RESCISÃO]]+tabCustoUnit[[#This Row],[MÓDULO 4 – CUSTO DE REPOSIÇÃO DO PROFISSIONAL AUSENTE]]+tabCustoUnit[[#This Row],[MÓDULO 5 – INSUMOS DIVERSOS]]</f>
        <v>4593.5026602423632</v>
      </c>
      <c r="BN227" s="22">
        <f>VLOOKUP(tabCustoUnit[[#This Row],[Código do Posto]],tabParametros[],MATCH(tabCustoUnit[[#Headers],[Custos Indiretos]],tabParametros[#Headers],0),0)</f>
        <v>189.64880140242613</v>
      </c>
      <c r="BO227" s="22">
        <f>VLOOKUP(tabCustoUnit[[#This Row],[Código do Posto]],tabParametros[],MATCH(tabCustoUnit[[#Headers],[Lucro]],tabParametros[#Headers],0),0)</f>
        <v>159.30499317803796</v>
      </c>
      <c r="BP227" s="26">
        <f>((100/((1-tabCustoUnit[[#This Row],[Resumo de Alíquotas (PIS+CONFINS+ISS)]]))-100)*VLOOKUP(tabCustoUnit[[#This Row],[Código do Posto]],tabParametros[],MATCH(tabCustoUnit[[#Headers],[COFINS]],tabParametros[#Headers],0),0))/(tabCustoUnit[[#This Row],[Resumo de Alíquotas (PIS+CONFINS+ISS)]]*100)</f>
        <v>8.6609686609686695E-2</v>
      </c>
      <c r="BQ227" s="26">
        <f>((100/((100-(tabCustoUnit[[#This Row],[Resumo de Alíquotas (PIS+CONFINS+ISS)]]*100))%)-100)*VLOOKUP(tabCustoUnit[[#This Row],[Código do Posto]],tabParametros[],MATCH(tabCustoUnit[[#Headers],[PIS]],tabParametros[#Headers],0),0))/(tabCustoUnit[[#This Row],[Resumo de Alíquotas (PIS+CONFINS+ISS)]]*100)</f>
        <v>1.880341880341882E-2</v>
      </c>
      <c r="BR227" s="28">
        <f>VLOOKUP(tabCustoUnit[[#This Row],[Código do Posto]],tabParametros[],MATCH(tabCustoUnit[[#Headers],[ISS]],tabParametros[#Headers],0),0)</f>
        <v>0.03</v>
      </c>
      <c r="BS227" s="26">
        <f>(((100/((100-(tabCustoUnit[[#This Row],[Resumo de Alíquotas (PIS+CONFINS+ISS)]]*100))%)-100)*tabCustoUnit[[#This Row],[ISS]])/tabCustoUnit[[#This Row],[Resumo de Alíquotas (PIS+CONFINS+ISS)]])/100</f>
        <v>3.4188034188034219E-2</v>
      </c>
      <c r="BT227" s="26">
        <f>(VLOOKUP(tabCustoUnit[[#This Row],[Código do Posto]],tabParametros[],MATCH(tabCustoUnit[[#Headers],[COFINS]],tabParametros[#Headers],0),0)+
VLOOKUP(tabCustoUnit[[#This Row],[Código do Posto]],tabParametros[],MATCH(tabCustoUnit[[#Headers],[PIS]],tabParametros[#Headers],0),0)+
VLOOKUP(tabCustoUnit[[#This Row],[Código do Posto]],tabParametros[],MATCH(tabCustoUnit[[#Headers],[ISS]],tabParametros[#Headers],0),0))</f>
        <v>0.1225</v>
      </c>
      <c r="BU227" s="138">
        <f>tabCustoUnit[[#This Row],[COFINS]]+tabCustoUnit[[#This Row],[PIS]]+tabCustoUnit[[#This Row],[ISS (Conversão Alíquota s/ fatura)]]</f>
        <v>0.13960113960113973</v>
      </c>
      <c r="BV227" s="22">
        <f>(tabCustoUnit[[#This Row],[TOTAL MÓDULOS 1+2+3+4+5]]+tabCustoUnit[[#This Row],[Custos Indiretos]]+tabCustoUnit[[#This Row],[Lucro]])*tabCustoUnit[[#This Row],[PIS + COFINS + ISS (Total Conversão  Alíquota s/ Fatura)]]</f>
        <v>689.97255352227569</v>
      </c>
      <c r="BW227" s="22">
        <f>tabCustoUnit[[#This Row],[Custos Indiretos]]+tabCustoUnit[[#This Row],[Lucro]]+tabCustoUnit[[#This Row],[Valor dos Tributos (ISS, PIS, CONFINS)]]</f>
        <v>1038.9263481027397</v>
      </c>
      <c r="BX227" s="22">
        <f>tabCustoUnit[[#This Row],[TOTAL MÓDULOS 1+2+3+4+5]]+tabCustoUnit[[#This Row],[MÓDULO 6 – CUSTOS INDIRETOS, TRIBUTOS E LUCRO]]</f>
        <v>5632.4290083451033</v>
      </c>
      <c r="BY227" s="22">
        <f>tabCustoUnit[[#This Row],[CUSTO TOTAL MENSAL]]*12</f>
        <v>67589.148100141232</v>
      </c>
      <c r="BZ227" s="24">
        <f>VLOOKUP(tabCustoUnit[[#This Row],[Código do Posto]],tabParametros[],MATCH(tabCustoUnit[[#Headers],[ANO DA CCT]],tabParametros[#Headers],0),0)</f>
        <v>45658</v>
      </c>
      <c r="CA227" s="25" t="str">
        <f>VLOOKUP(tabCustoUnit[[#This Row],[Código do Posto]],tabParametros[],MATCH(tabCustoUnit[[#Headers],[Nº DE PEDIDO DA CCT]],tabParametros[#Headers],0),0)</f>
        <v>-</v>
      </c>
      <c r="CB227" s="25" t="str">
        <f>VLOOKUP(tabCustoUnit[[#This Row],[Código do Posto]],tabParametros[],MATCH(tabCustoUnit[[#Headers],[TERMO ADITIVO ALTERAÇÃO DA CCT]],tabParametros[#Headers],0),0)</f>
        <v>-</v>
      </c>
    </row>
    <row r="228" spans="1:80" x14ac:dyDescent="0.25">
      <c r="A228" s="20" t="s">
        <v>1563</v>
      </c>
      <c r="B228" t="s">
        <v>208</v>
      </c>
      <c r="C228" t="s">
        <v>1244</v>
      </c>
      <c r="D228" t="s">
        <v>1041</v>
      </c>
      <c r="E228" s="20" t="s">
        <v>9</v>
      </c>
      <c r="F228" s="20" t="s">
        <v>10</v>
      </c>
      <c r="G228" s="21">
        <v>798.14</v>
      </c>
      <c r="H228" s="21">
        <v>0</v>
      </c>
      <c r="I228" s="21">
        <v>0</v>
      </c>
      <c r="J228" s="21">
        <v>0</v>
      </c>
      <c r="K228" s="21">
        <v>0</v>
      </c>
      <c r="L228" s="21">
        <v>0</v>
      </c>
      <c r="M228" s="21">
        <v>0</v>
      </c>
      <c r="N228" s="21">
        <v>26.120899999999999</v>
      </c>
      <c r="O228" s="21">
        <f>SUM(tabCustoUnit[[#This Row],[Salário Base]:[Adicional de Acúmulo de função]])</f>
        <v>824.26089999999999</v>
      </c>
      <c r="P228" s="21">
        <f>tabCustoUnit[[#This Row],[MODULO 1 - REMUNERAÇÃO ]]*SUMIFS(tabParametros[INSS],tabParametros[Código do Posto],tabCustoUnit[[#This Row],[Código do Posto]])</f>
        <v>164.85218</v>
      </c>
      <c r="Q228" s="21">
        <f>tabCustoUnit[[#This Row],[MODULO 1 - REMUNERAÇÃO ]]*SUMIFS(tabParametros[SESI OU SESC],tabParametros[Código do Posto],tabCustoUnit[[#This Row],[Código do Posto]])</f>
        <v>12.363913499999999</v>
      </c>
      <c r="R228" s="21">
        <f>tabCustoUnit[[#This Row],[MODULO 1 - REMUNERAÇÃO ]]*SUMIFS(tabParametros[SENAI OU SENAC],tabParametros[Código do Posto],tabCustoUnit[[#This Row],[Código do Posto]])</f>
        <v>8.2426089999999999</v>
      </c>
      <c r="S228" s="21">
        <f>tabCustoUnit[[#This Row],[MODULO 1 - REMUNERAÇÃO ]]*SUMIFS(tabParametros[INCRA],tabParametros[Código do Posto],tabCustoUnit[[#This Row],[Código do Posto]])</f>
        <v>1.6485217999999999</v>
      </c>
      <c r="T228" s="21">
        <f>tabCustoUnit[[#This Row],[MODULO 1 - REMUNERAÇÃO ]]*SUMIFS(tabParametros[Salário Educação],tabParametros[Código do Posto],tabCustoUnit[[#This Row],[Código do Posto]])</f>
        <v>20.606522500000001</v>
      </c>
      <c r="U228" s="21">
        <f>tabCustoUnit[[#This Row],[MODULO 1 - REMUNERAÇÃO ]]*SUMIFS(tabParametros[FGTS],tabParametros[Código do Posto],tabCustoUnit[[#This Row],[Código do Posto]])</f>
        <v>65.940871999999999</v>
      </c>
      <c r="V228" s="21">
        <f>tabCustoUnit[[#This Row],[MODULO 1 - REMUNERAÇÃO ]]*SUMIFS(tabParametros[RAT Ajustado],tabParametros[Código do Posto],tabCustoUnit[[#This Row],[Código do Posto]])</f>
        <v>32.970435999999999</v>
      </c>
      <c r="W228" s="21">
        <f>tabCustoUnit[[#This Row],[MODULO 1 - REMUNERAÇÃO ]]*SUMIFS(tabParametros[SEBRAE],tabParametros[Código do Posto],tabCustoUnit[[#This Row],[Código do Posto]])</f>
        <v>4.9455654000000004</v>
      </c>
      <c r="X228" s="21">
        <f>SUM(tabCustoUnit[[#This Row],[INSS]:[SEBRAE]])</f>
        <v>311.57062020000001</v>
      </c>
      <c r="Y228" s="21">
        <f>tabCustoUnit[[#This Row],[MODULO 1 - REMUNERAÇÃO ]]*SUMIFS(tabParametros[13º salário (titular)],tabParametros[Código do Posto],tabCustoUnit[[#This Row],[Código do Posto]])</f>
        <v>68.688408333333328</v>
      </c>
      <c r="Z228" s="21">
        <f>tabCustoUnit[[#This Row],[MODULO 1 - REMUNERAÇÃO ]]*SUMIFS(tabParametros[Férias e Adicional de Férias (titular)],tabParametros[Código do Posto],tabCustoUnit[[#This Row],[Código do Posto]])</f>
        <v>91.584544444444433</v>
      </c>
      <c r="AA228" s="21">
        <f>IFERROR((tabCustoUnit[[#This Row],[Submódulo 2.1]]/tabCustoUnit[[#This Row],[MODULO 1 - REMUNERAÇÃO ]])*SUM(tabCustoUnit[[#This Row],[13º salário (titular)]:[Férias e Adicional de Férias (titular)]]),0)</f>
        <v>60.583176149999993</v>
      </c>
      <c r="AB228" s="21">
        <f>SUM(tabCustoUnit[[#This Row],[13º salário (titular)]:[Incidência do Submódulo 2.1 sobre 13º Salário, Férias e Adicional de Férias]])</f>
        <v>220.85612892777775</v>
      </c>
      <c r="AC228" s="22">
        <f>_xlfn.LET(_xlpm.VT,SUMIF(tabParametros[Código do Posto],tabCustoUnit[[#This Row],[Código do Posto]],tabParametros[Vale - Transporte])*2*20,
IF((_xlpm.VT-tabCustoUnit[[#This Row],[Salário Base]]*0.06)&gt;=0,(_xlpm.VT-tabCustoUnit[[#This Row],[Salário Base]]*0.06),0)
)</f>
        <v>208.11160000000001</v>
      </c>
      <c r="AD228" s="22">
        <f>IF(SUMIF(tabParametros[Código do Posto],tabCustoUnit[[#This Row],[Código do Posto]],tabParametros[Vale - Alimentação])&lt;=0,0,
SUMIF(tabParametros[Código do Posto],tabCustoUnit[[#This Row],[Código do Posto]],tabParametros[Vale - Alimentação])*20-1)</f>
        <v>582</v>
      </c>
      <c r="AE228" s="22">
        <f>SUMIF(tabParametros[Código do Posto],tabCustoUnit[[#This Row],[Código do Posto]],tabParametros[Cesta Básica])</f>
        <v>0</v>
      </c>
      <c r="AF228" s="22">
        <f>SUMIF(tabParametros[Código do Posto],tabCustoUnit[[#This Row],[Código do Posto]],tabParametros[PAF])</f>
        <v>0</v>
      </c>
      <c r="AG228" s="22">
        <f>SUMIF(tabParametros[Código do Posto],tabCustoUnit[[#This Row],[Código do Posto]],tabParametros[PQM])</f>
        <v>0</v>
      </c>
      <c r="AH228" s="22">
        <f>SUMIF(tabParametros[Código do Posto],tabCustoUnit[[#This Row],[Código do Posto]],tabParametros[PAT])</f>
        <v>0</v>
      </c>
      <c r="AI228" s="22">
        <f>SUMIF(tabParametros[Código do Posto],tabCustoUnit[[#This Row],[Código do Posto]],tabParametros[Seguro de Vida])</f>
        <v>3.36</v>
      </c>
      <c r="AJ228" s="22">
        <f>SUMIF(tabParametros[Código do Posto],tabCustoUnit[[#This Row],[Código do Posto]],tabParametros[Despesas de Viagem])</f>
        <v>0</v>
      </c>
      <c r="AK228" s="22">
        <f>SUM(tabCustoUnit[[#This Row],[Vale - Transporte (Descontada parcela do empregado)]:[Despesas de Viagem]])</f>
        <v>793.47159999999997</v>
      </c>
      <c r="AL228" s="22">
        <f>tabCustoUnit[[#This Row],[Submódulo 2.1]]+tabCustoUnit[[#This Row],[Submódulo 2.2]]+tabCustoUnit[[#This Row],[Submódulo 2.3]]</f>
        <v>1325.8983491277777</v>
      </c>
      <c r="AM228" s="22">
        <f>SUMIF(tabParametros[Código do Posto],tabCustoUnit[[#This Row],[Código do Posto]],tabParametros[Aviso Prévio Indenizado (API) e Reflexo do Aviso Prévio Indenizado])*tabCustoUnit[[#This Row],[MODULO 1 - REMUNERAÇÃO ]]</f>
        <v>5.7795253576581791</v>
      </c>
      <c r="AN228" s="22">
        <f>SUMIF(tabParametros[Código do Posto],tabCustoUnit[[#This Row],[Código do Posto]],tabParametros[Incidência do FGTS sobre API e Reflexo do API])*tabCustoUnit[[#This Row],[MODULO 1 - REMUNERAÇÃO ]]</f>
        <v>0.46236202861265435</v>
      </c>
      <c r="AO228" s="22">
        <f>SUMIF(tabParametros[Código do Posto],tabCustoUnit[[#This Row],[Código do Posto]],tabParametros[Multa Rescisória do FGTS sobre o Aviso Prévio Indenizado])*tabCustoUnit[[#This Row],[MODULO 1 - REMUNERAÇÃO ]]</f>
        <v>0.18494481144506175</v>
      </c>
      <c r="AP228" s="22">
        <f>SUMIF(tabParametros[Código do Posto],tabCustoUnit[[#This Row],[Código do Posto]],tabParametros[Aviso Prévio Trabalhado - APT])*tabCustoUnit[[#This Row],[MODULO 1 - REMUNERAÇÃO ]]</f>
        <v>2.8849131500000005</v>
      </c>
      <c r="AQ228" s="22">
        <f>SUMIF(tabParametros[Código do Posto],tabCustoUnit[[#This Row],[Código do Posto]],tabParametros[Incidência dos encargos do submódulo 2.1 sobre Aviso Prévio Trabalhado])*tabCustoUnit[[#This Row],[MODULO 1 - REMUNERAÇÃO ]]</f>
        <v>1.0904971707000004</v>
      </c>
      <c r="AR228" s="22">
        <f>SUMIF(tabParametros[Código do Posto],tabCustoUnit[[#This Row],[Código do Posto]],tabParametros[Multa Rescisória do FGTS])*tabCustoUnit[[#This Row],[MODULO 1 - REMUNERAÇÃO ]]</f>
        <v>25.204066631111107</v>
      </c>
      <c r="AS228" s="22">
        <f>SUMIF(tabParametros[Código do Posto],tabCustoUnit[[#This Row],[Código do Posto]],tabParametros[Indenização Adicional (Art. 9º da Lei nº 7.238/84)])*tabCustoUnit[[#This Row],[MODULO 1 - REMUNERAÇÃO ]]</f>
        <v>0.6868840833333334</v>
      </c>
      <c r="AT228" s="22">
        <f>SUM(tabCustoUnit[[#This Row],[Aviso Prévio Indenizado (API) e Reflexo do Aviso Prévio Indenizado]:[Indenização Adicional (Art. 9º da Lei nº 7.238/84)]])</f>
        <v>36.293193232860339</v>
      </c>
      <c r="AU228" s="22">
        <f>SUMIF(tabParametros[Código do Posto],tabCustoUnit[[#This Row],[Código do Posto]],tabParametros[Ausência por Doença])*tabCustoUnit[[#This Row],[MODULO 1 - REMUNERAÇÃO ]]</f>
        <v>6.9604253777777769</v>
      </c>
      <c r="AV228" s="22">
        <f>SUMIF(tabParametros[Código do Posto],tabCustoUnit[[#This Row],[Código do Posto]],tabParametros[Ausências Legais])*tabCustoUnit[[#This Row],[MODULO 1 - REMUNERAÇÃO ]]</f>
        <v>1.671417936111111</v>
      </c>
      <c r="AW228" s="22">
        <f>SUMIF(tabParametros[Código do Posto],tabCustoUnit[[#This Row],[Código do Posto]],tabParametros[Licença Paternidade])*tabCustoUnit[[#This Row],[MODULO 1 - REMUNERAÇÃO ]]</f>
        <v>0.14081123708333332</v>
      </c>
      <c r="AX228" s="22">
        <f>SUMIF(tabParametros[Código do Posto],tabCustoUnit[[#This Row],[Código do Posto]],tabParametros[Ausência por Acidente de Trabalho])*tabCustoUnit[[#This Row],[MODULO 1 - REMUNERAÇÃO ]]</f>
        <v>0.17172102083333335</v>
      </c>
      <c r="AY228" s="22">
        <f>SUMIF(tabParametros[Código do Posto],tabCustoUnit[[#This Row],[Código do Posto]],tabParametros[Férias, Adicional de Férias e 13º  com empregada em gozo de Licença Maternidade])*tabCustoUnit[[#This Row],[MODULO 1 - REMUNERAÇÃO ]]</f>
        <v>1.0684863518518517</v>
      </c>
      <c r="AZ228" s="22">
        <f>SUMIF(tabParametros[Código do Posto],tabCustoUnit[[#This Row],[Código do Posto]],tabParametros[Incidência do Submódulo 2.1 sobre Ausências Legais])*tabCustoUnit[[#This Row],[MODULO 1 - REMUNERAÇÃO ]]</f>
        <v>3.7848618071425006</v>
      </c>
      <c r="BA228" s="22">
        <f>SUM(tabCustoUnit[[#This Row],[Ausência por Doença]:[Incidência do Submódulo 2.1 sobre Ausências Legais]])</f>
        <v>13.797723730799909</v>
      </c>
      <c r="BB228" s="22">
        <f>SUMIF(tabParametros[Código do Posto],tabCustoUnit[[#This Row],[Código do Posto]],tabParametros[Intervalo para Repouso ou Alimentação])</f>
        <v>0</v>
      </c>
      <c r="BC228" s="22">
        <f>tabCustoUnit[[#This Row],[Intervalo para Repouso ou Alimentação]]</f>
        <v>0</v>
      </c>
      <c r="BD228" s="22">
        <f>IF(VLOOKUP(tabCustoUnit[[#This Row],[Código do Posto]],PARAMETROS!$A$4:$BJ$255,7,0)&lt;=0,0,
IFERROR((tabCustoUnit[[#This Row],[MODULO 1 - REMUNERAÇÃO ]]*VLOOKUP(tabCustoUnit[[#This Row],[Código do Posto]],PARAMETROS!$A$4:$BJ$255,49,0))/(VLOOKUP(tabCustoUnit[[#This Row],[Código do Posto]],PARAMETROS!$A$4:$BJ$255,7,0)*VLOOKUP(tabCustoUnit[[#This Row],[Código do Posto]],PARAMETROS!$A$4:$BJ$255,8,0)),0)
)</f>
        <v>0</v>
      </c>
      <c r="BE228" s="22">
        <f>tabCustoUnit[[#This Row],[Suspensão Temporária do Contrato de Trabalho]]</f>
        <v>0</v>
      </c>
      <c r="BF228" s="22">
        <f>tabCustoUnit[[#This Row],[Submódulo 4.1]]+tabCustoUnit[[#This Row],[Submódulo 4.2]]+tabCustoUnit[[#This Row],[Submódulo 4.3]]</f>
        <v>13.797723730799909</v>
      </c>
      <c r="BG228" s="22">
        <f>VLOOKUP(tabCustoUnit[[#This Row],[Código do Posto]],tabParametros[],MATCH(tabCustoUnit[[#Headers],[Uniformes e EPIs]],tabParametros[#Headers],0),0)</f>
        <v>62.806666666666665</v>
      </c>
      <c r="BH228" s="22">
        <f>VLOOKUP(tabCustoUnit[[#This Row],[Código do Posto]],tabParametros[],MATCH(tabCustoUnit[[#Headers],[Materiais de Consumo]],tabParametros[#Headers],0),0)</f>
        <v>17.759106479291944</v>
      </c>
      <c r="BI228" s="22">
        <f>VLOOKUP(tabCustoUnit[[#This Row],[Código do Posto]],tabParametros[],MATCH(tabCustoUnit[[#Headers],[Máquinas e Equipamentos (depreciação)]],tabParametros[#Headers],0),0)</f>
        <v>32.264696957412788</v>
      </c>
      <c r="BJ228" s="22">
        <f>VLOOKUP(tabCustoUnit[[#This Row],[Código do Posto]],tabParametros[],MATCH(tabCustoUnit[[#Headers],[Produtos de Limpeza e Materiais de Higiene Pessoal]],tabParametros[#Headers],0),0)</f>
        <v>345.13576638965827</v>
      </c>
      <c r="BK228" s="22">
        <f>VLOOKUP(tabCustoUnit[[#This Row],[Código do Posto]],tabParametros[],MATCH(tabCustoUnit[[#Headers],[Outros (especificar)]],tabParametros[#Headers],0),0)</f>
        <v>0</v>
      </c>
      <c r="BL228" s="22">
        <f>SUM(tabCustoUnit[[#This Row],[Uniformes e EPIs]:[Outros (especificar)]])</f>
        <v>457.96623649302967</v>
      </c>
      <c r="BM228" s="22">
        <f>tabCustoUnit[[#This Row],[MODULO 1 - REMUNERAÇÃO ]]+tabCustoUnit[[#This Row],[MÓDULO 2 - Total Encargos e Benefícios mensais e diários]]+tabCustoUnit[[#This Row],[MÓDULO 3 – PROVISÃO PARA RESCISÃO]]+tabCustoUnit[[#This Row],[MÓDULO 4 – CUSTO DE REPOSIÇÃO DO PROFISSIONAL AUSENTE]]+tabCustoUnit[[#This Row],[MÓDULO 5 – INSUMOS DIVERSOS]]</f>
        <v>2658.2164025844677</v>
      </c>
      <c r="BN228" s="22">
        <f>VLOOKUP(tabCustoUnit[[#This Row],[Código do Posto]],tabParametros[],MATCH(tabCustoUnit[[#Headers],[Custos Indiretos]],tabParametros[#Headers],0),0)</f>
        <v>189.64880140242613</v>
      </c>
      <c r="BO228" s="22">
        <f>VLOOKUP(tabCustoUnit[[#This Row],[Código do Posto]],tabParametros[],MATCH(tabCustoUnit[[#Headers],[Lucro]],tabParametros[#Headers],0),0)</f>
        <v>159.30499317803796</v>
      </c>
      <c r="BP228" s="26">
        <f>((100/((1-tabCustoUnit[[#This Row],[Resumo de Alíquotas (PIS+CONFINS+ISS)]]))-100)*VLOOKUP(tabCustoUnit[[#This Row],[Código do Posto]],tabParametros[],MATCH(tabCustoUnit[[#Headers],[COFINS]],tabParametros[#Headers],0),0))/(tabCustoUnit[[#This Row],[Resumo de Alíquotas (PIS+CONFINS+ISS)]]*100)</f>
        <v>8.6609686609686695E-2</v>
      </c>
      <c r="BQ228" s="26">
        <f>((100/((100-(tabCustoUnit[[#This Row],[Resumo de Alíquotas (PIS+CONFINS+ISS)]]*100))%)-100)*VLOOKUP(tabCustoUnit[[#This Row],[Código do Posto]],tabParametros[],MATCH(tabCustoUnit[[#Headers],[PIS]],tabParametros[#Headers],0),0))/(tabCustoUnit[[#This Row],[Resumo de Alíquotas (PIS+CONFINS+ISS)]]*100)</f>
        <v>1.880341880341882E-2</v>
      </c>
      <c r="BR228" s="28">
        <f>VLOOKUP(tabCustoUnit[[#This Row],[Código do Posto]],tabParametros[],MATCH(tabCustoUnit[[#Headers],[ISS]],tabParametros[#Headers],0),0)</f>
        <v>0.03</v>
      </c>
      <c r="BS228" s="26">
        <f>(((100/((100-(tabCustoUnit[[#This Row],[Resumo de Alíquotas (PIS+CONFINS+ISS)]]*100))%)-100)*tabCustoUnit[[#This Row],[ISS]])/tabCustoUnit[[#This Row],[Resumo de Alíquotas (PIS+CONFINS+ISS)]])/100</f>
        <v>3.4188034188034219E-2</v>
      </c>
      <c r="BT228" s="26">
        <f>(VLOOKUP(tabCustoUnit[[#This Row],[Código do Posto]],tabParametros[],MATCH(tabCustoUnit[[#Headers],[COFINS]],tabParametros[#Headers],0),0)+
VLOOKUP(tabCustoUnit[[#This Row],[Código do Posto]],tabParametros[],MATCH(tabCustoUnit[[#Headers],[PIS]],tabParametros[#Headers],0),0)+
VLOOKUP(tabCustoUnit[[#This Row],[Código do Posto]],tabParametros[],MATCH(tabCustoUnit[[#Headers],[ISS]],tabParametros[#Headers],0),0))</f>
        <v>0.1225</v>
      </c>
      <c r="BU228" s="138">
        <f>tabCustoUnit[[#This Row],[COFINS]]+tabCustoUnit[[#This Row],[PIS]]+tabCustoUnit[[#This Row],[ISS (Conversão Alíquota s/ fatura)]]</f>
        <v>0.13960113960113973</v>
      </c>
      <c r="BV228" s="22">
        <f>(tabCustoUnit[[#This Row],[TOTAL MÓDULOS 1+2+3+4+5]]+tabCustoUnit[[#This Row],[Custos Indiretos]]+tabCustoUnit[[#This Row],[Lucro]])*tabCustoUnit[[#This Row],[PIS + COFINS + ISS (Total Conversão  Alíquota s/ Fatura)]]</f>
        <v>419.80438649880853</v>
      </c>
      <c r="BW228" s="22">
        <f>tabCustoUnit[[#This Row],[Custos Indiretos]]+tabCustoUnit[[#This Row],[Lucro]]+tabCustoUnit[[#This Row],[Valor dos Tributos (ISS, PIS, CONFINS)]]</f>
        <v>768.75818107927262</v>
      </c>
      <c r="BX228" s="22">
        <f>tabCustoUnit[[#This Row],[TOTAL MÓDULOS 1+2+3+4+5]]+tabCustoUnit[[#This Row],[MÓDULO 6 – CUSTOS INDIRETOS, TRIBUTOS E LUCRO]]</f>
        <v>3426.9745836637403</v>
      </c>
      <c r="BY228" s="22">
        <f>tabCustoUnit[[#This Row],[CUSTO TOTAL MENSAL]]*12</f>
        <v>41123.69500396488</v>
      </c>
      <c r="BZ228" s="24">
        <f>VLOOKUP(tabCustoUnit[[#This Row],[Código do Posto]],tabParametros[],MATCH(tabCustoUnit[[#Headers],[ANO DA CCT]],tabParametros[#Headers],0),0)</f>
        <v>45658</v>
      </c>
      <c r="CA228" s="25" t="str">
        <f>VLOOKUP(tabCustoUnit[[#This Row],[Código do Posto]],tabParametros[],MATCH(tabCustoUnit[[#Headers],[Nº DE PEDIDO DA CCT]],tabParametros[#Headers],0),0)</f>
        <v>-</v>
      </c>
      <c r="CB228" s="25" t="str">
        <f>VLOOKUP(tabCustoUnit[[#This Row],[Código do Posto]],tabParametros[],MATCH(tabCustoUnit[[#Headers],[TERMO ADITIVO ALTERAÇÃO DA CCT]],tabParametros[#Headers],0),0)</f>
        <v>-</v>
      </c>
    </row>
    <row r="229" spans="1:80" x14ac:dyDescent="0.25">
      <c r="A229" s="20" t="s">
        <v>1564</v>
      </c>
      <c r="B229" t="s">
        <v>208</v>
      </c>
      <c r="C229" t="s">
        <v>1245</v>
      </c>
      <c r="D229" t="s">
        <v>1041</v>
      </c>
      <c r="E229" s="20" t="s">
        <v>9</v>
      </c>
      <c r="F229" s="20" t="s">
        <v>10</v>
      </c>
      <c r="G229" s="21">
        <v>1596.28</v>
      </c>
      <c r="H229" s="21">
        <v>0</v>
      </c>
      <c r="I229" s="21">
        <v>0</v>
      </c>
      <c r="J229" s="21">
        <v>0</v>
      </c>
      <c r="K229" s="21">
        <v>0</v>
      </c>
      <c r="L229" s="21">
        <v>0</v>
      </c>
      <c r="M229" s="21">
        <v>0</v>
      </c>
      <c r="N229" s="21">
        <v>52.241900000000001</v>
      </c>
      <c r="O229" s="21">
        <f>SUM(tabCustoUnit[[#This Row],[Salário Base]:[Adicional de Acúmulo de função]])</f>
        <v>1648.5219</v>
      </c>
      <c r="P229" s="21">
        <f>tabCustoUnit[[#This Row],[MODULO 1 - REMUNERAÇÃO ]]*SUMIFS(tabParametros[INSS],tabParametros[Código do Posto],tabCustoUnit[[#This Row],[Código do Posto]])</f>
        <v>329.70438000000001</v>
      </c>
      <c r="Q229" s="21">
        <f>tabCustoUnit[[#This Row],[MODULO 1 - REMUNERAÇÃO ]]*SUMIFS(tabParametros[SESI OU SESC],tabParametros[Código do Posto],tabCustoUnit[[#This Row],[Código do Posto]])</f>
        <v>24.727828499999998</v>
      </c>
      <c r="R229" s="21">
        <f>tabCustoUnit[[#This Row],[MODULO 1 - REMUNERAÇÃO ]]*SUMIFS(tabParametros[SENAI OU SENAC],tabParametros[Código do Posto],tabCustoUnit[[#This Row],[Código do Posto]])</f>
        <v>16.485219000000001</v>
      </c>
      <c r="S229" s="21">
        <f>tabCustoUnit[[#This Row],[MODULO 1 - REMUNERAÇÃO ]]*SUMIFS(tabParametros[INCRA],tabParametros[Código do Posto],tabCustoUnit[[#This Row],[Código do Posto]])</f>
        <v>3.2970438</v>
      </c>
      <c r="T229" s="21">
        <f>tabCustoUnit[[#This Row],[MODULO 1 - REMUNERAÇÃO ]]*SUMIFS(tabParametros[Salário Educação],tabParametros[Código do Posto],tabCustoUnit[[#This Row],[Código do Posto]])</f>
        <v>41.213047500000002</v>
      </c>
      <c r="U229" s="21">
        <f>tabCustoUnit[[#This Row],[MODULO 1 - REMUNERAÇÃO ]]*SUMIFS(tabParametros[FGTS],tabParametros[Código do Posto],tabCustoUnit[[#This Row],[Código do Posto]])</f>
        <v>131.88175200000001</v>
      </c>
      <c r="V229" s="21">
        <f>tabCustoUnit[[#This Row],[MODULO 1 - REMUNERAÇÃO ]]*SUMIFS(tabParametros[RAT Ajustado],tabParametros[Código do Posto],tabCustoUnit[[#This Row],[Código do Posto]])</f>
        <v>65.940876000000003</v>
      </c>
      <c r="W229" s="21">
        <f>tabCustoUnit[[#This Row],[MODULO 1 - REMUNERAÇÃO ]]*SUMIFS(tabParametros[SEBRAE],tabParametros[Código do Posto],tabCustoUnit[[#This Row],[Código do Posto]])</f>
        <v>9.8911314000000008</v>
      </c>
      <c r="X229" s="21">
        <f>SUM(tabCustoUnit[[#This Row],[INSS]:[SEBRAE]])</f>
        <v>623.14127819999999</v>
      </c>
      <c r="Y229" s="21">
        <f>tabCustoUnit[[#This Row],[MODULO 1 - REMUNERAÇÃO ]]*SUMIFS(tabParametros[13º salário (titular)],tabParametros[Código do Posto],tabCustoUnit[[#This Row],[Código do Posto]])</f>
        <v>137.376825</v>
      </c>
      <c r="Z229" s="21">
        <f>tabCustoUnit[[#This Row],[MODULO 1 - REMUNERAÇÃO ]]*SUMIFS(tabParametros[Férias e Adicional de Férias (titular)],tabParametros[Código do Posto],tabCustoUnit[[#This Row],[Código do Posto]])</f>
        <v>183.16909999999999</v>
      </c>
      <c r="AA229" s="21">
        <f>IFERROR((tabCustoUnit[[#This Row],[Submódulo 2.1]]/tabCustoUnit[[#This Row],[MODULO 1 - REMUNERAÇÃO ]])*SUM(tabCustoUnit[[#This Row],[13º salário (titular)]:[Férias e Adicional de Férias (titular)]]),0)</f>
        <v>121.16635965</v>
      </c>
      <c r="AB229" s="21">
        <f>SUM(tabCustoUnit[[#This Row],[13º salário (titular)]:[Incidência do Submódulo 2.1 sobre 13º Salário, Férias e Adicional de Férias]])</f>
        <v>441.71228465000002</v>
      </c>
      <c r="AC229" s="22">
        <f>_xlfn.LET(_xlpm.VT,SUMIF(tabParametros[Código do Posto],tabCustoUnit[[#This Row],[Código do Posto]],tabParametros[Vale - Transporte])*2*20,
IF((_xlpm.VT-tabCustoUnit[[#This Row],[Salário Base]]*0.06)&gt;=0,(_xlpm.VT-tabCustoUnit[[#This Row],[Salário Base]]*0.06),0)
)</f>
        <v>160.22320000000002</v>
      </c>
      <c r="AD229" s="22">
        <f>IF(SUMIF(tabParametros[Código do Posto],tabCustoUnit[[#This Row],[Código do Posto]],tabParametros[Vale - Alimentação])&lt;=0,0,
SUMIF(tabParametros[Código do Posto],tabCustoUnit[[#This Row],[Código do Posto]],tabParametros[Vale - Alimentação])*20-1)</f>
        <v>582</v>
      </c>
      <c r="AE229" s="22">
        <f>SUMIF(tabParametros[Código do Posto],tabCustoUnit[[#This Row],[Código do Posto]],tabParametros[Cesta Básica])</f>
        <v>0</v>
      </c>
      <c r="AF229" s="22">
        <f>SUMIF(tabParametros[Código do Posto],tabCustoUnit[[#This Row],[Código do Posto]],tabParametros[PAF])</f>
        <v>0</v>
      </c>
      <c r="AG229" s="22">
        <f>SUMIF(tabParametros[Código do Posto],tabCustoUnit[[#This Row],[Código do Posto]],tabParametros[PQM])</f>
        <v>0</v>
      </c>
      <c r="AH229" s="22">
        <f>SUMIF(tabParametros[Código do Posto],tabCustoUnit[[#This Row],[Código do Posto]],tabParametros[PAT])</f>
        <v>0</v>
      </c>
      <c r="AI229" s="22">
        <f>SUMIF(tabParametros[Código do Posto],tabCustoUnit[[#This Row],[Código do Posto]],tabParametros[Seguro de Vida])</f>
        <v>3.36</v>
      </c>
      <c r="AJ229" s="22">
        <f>SUMIF(tabParametros[Código do Posto],tabCustoUnit[[#This Row],[Código do Posto]],tabParametros[Despesas de Viagem])</f>
        <v>0</v>
      </c>
      <c r="AK229" s="22">
        <f>SUM(tabCustoUnit[[#This Row],[Vale - Transporte (Descontada parcela do empregado)]:[Despesas de Viagem]])</f>
        <v>745.58320000000003</v>
      </c>
      <c r="AL229" s="22">
        <f>tabCustoUnit[[#This Row],[Submódulo 2.1]]+tabCustoUnit[[#This Row],[Submódulo 2.2]]+tabCustoUnit[[#This Row],[Submódulo 2.3]]</f>
        <v>1810.4367628499999</v>
      </c>
      <c r="AM229" s="22">
        <f>SUMIF(tabParametros[Código do Posto],tabCustoUnit[[#This Row],[Código do Posto]],tabParametros[Aviso Prévio Indenizado (API) e Reflexo do Aviso Prévio Indenizado])*tabCustoUnit[[#This Row],[MODULO 1 - REMUNERAÇÃO ]]</f>
        <v>11.559051416493055</v>
      </c>
      <c r="AN229" s="22">
        <f>SUMIF(tabParametros[Código do Posto],tabCustoUnit[[#This Row],[Código do Posto]],tabParametros[Incidência do FGTS sobre API e Reflexo do API])*tabCustoUnit[[#This Row],[MODULO 1 - REMUNERAÇÃO ]]</f>
        <v>0.92472411331944449</v>
      </c>
      <c r="AO229" s="22">
        <f>SUMIF(tabParametros[Código do Posto],tabCustoUnit[[#This Row],[Código do Posto]],tabParametros[Multa Rescisória do FGTS sobre o Aviso Prévio Indenizado])*tabCustoUnit[[#This Row],[MODULO 1 - REMUNERAÇÃO ]]</f>
        <v>0.36988964532777785</v>
      </c>
      <c r="AP229" s="22">
        <f>SUMIF(tabParametros[Código do Posto],tabCustoUnit[[#This Row],[Código do Posto]],tabParametros[Aviso Prévio Trabalhado - APT])*tabCustoUnit[[#This Row],[MODULO 1 - REMUNERAÇÃO ]]</f>
        <v>5.7698266500000006</v>
      </c>
      <c r="AQ229" s="22">
        <f>SUMIF(tabParametros[Código do Posto],tabCustoUnit[[#This Row],[Código do Posto]],tabParametros[Incidência dos encargos do submódulo 2.1 sobre Aviso Prévio Trabalhado])*tabCustoUnit[[#This Row],[MODULO 1 - REMUNERAÇÃO ]]</f>
        <v>2.1809944737000007</v>
      </c>
      <c r="AR229" s="22">
        <f>SUMIF(tabParametros[Código do Posto],tabCustoUnit[[#This Row],[Código do Posto]],tabParametros[Multa Rescisória do FGTS])*tabCustoUnit[[#This Row],[MODULO 1 - REMUNERAÇÃO ]]</f>
        <v>50.40813631999999</v>
      </c>
      <c r="AS229" s="22">
        <f>SUMIF(tabParametros[Código do Posto],tabCustoUnit[[#This Row],[Código do Posto]],tabParametros[Indenização Adicional (Art. 9º da Lei nº 7.238/84)])*tabCustoUnit[[#This Row],[MODULO 1 - REMUNERAÇÃO ]]</f>
        <v>1.3737682500000001</v>
      </c>
      <c r="AT229" s="22">
        <f>SUM(tabCustoUnit[[#This Row],[Aviso Prévio Indenizado (API) e Reflexo do Aviso Prévio Indenizado]:[Indenização Adicional (Art. 9º da Lei nº 7.238/84)]])</f>
        <v>72.586390868840269</v>
      </c>
      <c r="AU229" s="22">
        <f>SUMIF(tabParametros[Código do Posto],tabCustoUnit[[#This Row],[Código do Posto]],tabParametros[Ausência por Doença])*tabCustoUnit[[#This Row],[MODULO 1 - REMUNERAÇÃO ]]</f>
        <v>13.920851599999999</v>
      </c>
      <c r="AV229" s="22">
        <f>SUMIF(tabParametros[Código do Posto],tabCustoUnit[[#This Row],[Código do Posto]],tabParametros[Ausências Legais])*tabCustoUnit[[#This Row],[MODULO 1 - REMUNERAÇÃO ]]</f>
        <v>3.3428360749999997</v>
      </c>
      <c r="AW229" s="22">
        <f>SUMIF(tabParametros[Código do Posto],tabCustoUnit[[#This Row],[Código do Posto]],tabParametros[Licença Paternidade])*tabCustoUnit[[#This Row],[MODULO 1 - REMUNERAÇÃO ]]</f>
        <v>0.28162249125</v>
      </c>
      <c r="AX229" s="22">
        <f>SUMIF(tabParametros[Código do Posto],tabCustoUnit[[#This Row],[Código do Posto]],tabParametros[Ausência por Acidente de Trabalho])*tabCustoUnit[[#This Row],[MODULO 1 - REMUNERAÇÃO ]]</f>
        <v>0.34344206250000003</v>
      </c>
      <c r="AY229" s="22">
        <f>SUMIF(tabParametros[Código do Posto],tabCustoUnit[[#This Row],[Código do Posto]],tabParametros[Férias, Adicional de Férias e 13º  com empregada em gozo de Licença Maternidade])*tabCustoUnit[[#This Row],[MODULO 1 - REMUNERAÇÃO ]]</f>
        <v>2.1369728333333331</v>
      </c>
      <c r="AZ229" s="22">
        <f>SUMIF(tabParametros[Código do Posto],tabCustoUnit[[#This Row],[Código do Posto]],tabParametros[Incidência do Submódulo 2.1 sobre Ausências Legais])*tabCustoUnit[[#This Row],[MODULO 1 - REMUNERAÇÃO ]]</f>
        <v>7.5697240734675013</v>
      </c>
      <c r="BA229" s="22">
        <f>SUM(tabCustoUnit[[#This Row],[Ausência por Doença]:[Incidência do Submódulo 2.1 sobre Ausências Legais]])</f>
        <v>27.595449135550833</v>
      </c>
      <c r="BB229" s="22">
        <f>SUMIF(tabParametros[Código do Posto],tabCustoUnit[[#This Row],[Código do Posto]],tabParametros[Intervalo para Repouso ou Alimentação])</f>
        <v>0</v>
      </c>
      <c r="BC229" s="22">
        <f>tabCustoUnit[[#This Row],[Intervalo para Repouso ou Alimentação]]</f>
        <v>0</v>
      </c>
      <c r="BD229" s="22">
        <f>IF(VLOOKUP(tabCustoUnit[[#This Row],[Código do Posto]],PARAMETROS!$A$4:$BJ$255,7,0)&lt;=0,0,
IFERROR((tabCustoUnit[[#This Row],[MODULO 1 - REMUNERAÇÃO ]]*VLOOKUP(tabCustoUnit[[#This Row],[Código do Posto]],PARAMETROS!$A$4:$BJ$255,49,0))/(VLOOKUP(tabCustoUnit[[#This Row],[Código do Posto]],PARAMETROS!$A$4:$BJ$255,7,0)*VLOOKUP(tabCustoUnit[[#This Row],[Código do Posto]],PARAMETROS!$A$4:$BJ$255,8,0)),0)
)</f>
        <v>0</v>
      </c>
      <c r="BE229" s="22">
        <f>tabCustoUnit[[#This Row],[Suspensão Temporária do Contrato de Trabalho]]</f>
        <v>0</v>
      </c>
      <c r="BF229" s="22">
        <f>tabCustoUnit[[#This Row],[Submódulo 4.1]]+tabCustoUnit[[#This Row],[Submódulo 4.2]]+tabCustoUnit[[#This Row],[Submódulo 4.3]]</f>
        <v>27.595449135550833</v>
      </c>
      <c r="BG229" s="22">
        <f>VLOOKUP(tabCustoUnit[[#This Row],[Código do Posto]],tabParametros[],MATCH(tabCustoUnit[[#Headers],[Uniformes e EPIs]],tabParametros[#Headers],0),0)</f>
        <v>100.80916666666666</v>
      </c>
      <c r="BH229" s="22">
        <f>VLOOKUP(tabCustoUnit[[#This Row],[Código do Posto]],tabParametros[],MATCH(tabCustoUnit[[#Headers],[Materiais de Consumo]],tabParametros[#Headers],0),0)</f>
        <v>35.518212958583888</v>
      </c>
      <c r="BI229" s="22">
        <f>VLOOKUP(tabCustoUnit[[#This Row],[Código do Posto]],tabParametros[],MATCH(tabCustoUnit[[#Headers],[Máquinas e Equipamentos (depreciação)]],tabParametros[#Headers],0),0)</f>
        <v>64.529393914825576</v>
      </c>
      <c r="BJ229" s="22">
        <f>VLOOKUP(tabCustoUnit[[#This Row],[Código do Posto]],tabParametros[],MATCH(tabCustoUnit[[#Headers],[Produtos de Limpeza e Materiais de Higiene Pessoal]],tabParametros[#Headers],0),0)</f>
        <v>690.27153277931654</v>
      </c>
      <c r="BK229" s="22">
        <f>VLOOKUP(tabCustoUnit[[#This Row],[Código do Posto]],tabParametros[],MATCH(tabCustoUnit[[#Headers],[Outros (especificar)]],tabParametros[#Headers],0),0)</f>
        <v>0</v>
      </c>
      <c r="BL229" s="22">
        <f>SUM(tabCustoUnit[[#This Row],[Uniformes e EPIs]:[Outros (especificar)]])</f>
        <v>891.12830631939266</v>
      </c>
      <c r="BM229" s="22">
        <f>tabCustoUnit[[#This Row],[MODULO 1 - REMUNERAÇÃO ]]+tabCustoUnit[[#This Row],[MÓDULO 2 - Total Encargos e Benefícios mensais e diários]]+tabCustoUnit[[#This Row],[MÓDULO 3 – PROVISÃO PARA RESCISÃO]]+tabCustoUnit[[#This Row],[MÓDULO 4 – CUSTO DE REPOSIÇÃO DO PROFISSIONAL AUSENTE]]+tabCustoUnit[[#This Row],[MÓDULO 5 – INSUMOS DIVERSOS]]</f>
        <v>4450.2688091737837</v>
      </c>
      <c r="BN229" s="22">
        <f>VLOOKUP(tabCustoUnit[[#This Row],[Código do Posto]],tabParametros[],MATCH(tabCustoUnit[[#Headers],[Custos Indiretos]],tabParametros[#Headers],0),0)</f>
        <v>189.64880140242613</v>
      </c>
      <c r="BO229" s="22">
        <f>VLOOKUP(tabCustoUnit[[#This Row],[Código do Posto]],tabParametros[],MATCH(tabCustoUnit[[#Headers],[Lucro]],tabParametros[#Headers],0),0)</f>
        <v>159.30499317803796</v>
      </c>
      <c r="BP229" s="26">
        <f>((100/((1-tabCustoUnit[[#This Row],[Resumo de Alíquotas (PIS+CONFINS+ISS)]]))-100)*VLOOKUP(tabCustoUnit[[#This Row],[Código do Posto]],tabParametros[],MATCH(tabCustoUnit[[#Headers],[COFINS]],tabParametros[#Headers],0),0))/(tabCustoUnit[[#This Row],[Resumo de Alíquotas (PIS+CONFINS+ISS)]]*100)</f>
        <v>8.6609686609686695E-2</v>
      </c>
      <c r="BQ229" s="26">
        <f>((100/((100-(tabCustoUnit[[#This Row],[Resumo de Alíquotas (PIS+CONFINS+ISS)]]*100))%)-100)*VLOOKUP(tabCustoUnit[[#This Row],[Código do Posto]],tabParametros[],MATCH(tabCustoUnit[[#Headers],[PIS]],tabParametros[#Headers],0),0))/(tabCustoUnit[[#This Row],[Resumo de Alíquotas (PIS+CONFINS+ISS)]]*100)</f>
        <v>1.880341880341882E-2</v>
      </c>
      <c r="BR229" s="28">
        <f>VLOOKUP(tabCustoUnit[[#This Row],[Código do Posto]],tabParametros[],MATCH(tabCustoUnit[[#Headers],[ISS]],tabParametros[#Headers],0),0)</f>
        <v>0.03</v>
      </c>
      <c r="BS229" s="26">
        <f>(((100/((100-(tabCustoUnit[[#This Row],[Resumo de Alíquotas (PIS+CONFINS+ISS)]]*100))%)-100)*tabCustoUnit[[#This Row],[ISS]])/tabCustoUnit[[#This Row],[Resumo de Alíquotas (PIS+CONFINS+ISS)]])/100</f>
        <v>3.4188034188034219E-2</v>
      </c>
      <c r="BT229" s="26">
        <f>(VLOOKUP(tabCustoUnit[[#This Row],[Código do Posto]],tabParametros[],MATCH(tabCustoUnit[[#Headers],[COFINS]],tabParametros[#Headers],0),0)+
VLOOKUP(tabCustoUnit[[#This Row],[Código do Posto]],tabParametros[],MATCH(tabCustoUnit[[#Headers],[PIS]],tabParametros[#Headers],0),0)+
VLOOKUP(tabCustoUnit[[#This Row],[Código do Posto]],tabParametros[],MATCH(tabCustoUnit[[#Headers],[ISS]],tabParametros[#Headers],0),0))</f>
        <v>0.1225</v>
      </c>
      <c r="BU229" s="138">
        <f>tabCustoUnit[[#This Row],[COFINS]]+tabCustoUnit[[#This Row],[PIS]]+tabCustoUnit[[#This Row],[ISS (Conversão Alíquota s/ fatura)]]</f>
        <v>0.13960113960113973</v>
      </c>
      <c r="BV229" s="22">
        <f>(tabCustoUnit[[#This Row],[TOTAL MÓDULOS 1+2+3+4+5]]+tabCustoUnit[[#This Row],[Custos Indiretos]]+tabCustoUnit[[#This Row],[Lucro]])*tabCustoUnit[[#This Row],[PIS + COFINS + ISS (Total Conversão  Alíquota s/ Fatura)]]</f>
        <v>669.97694468364205</v>
      </c>
      <c r="BW229" s="22">
        <f>tabCustoUnit[[#This Row],[Custos Indiretos]]+tabCustoUnit[[#This Row],[Lucro]]+tabCustoUnit[[#This Row],[Valor dos Tributos (ISS, PIS, CONFINS)]]</f>
        <v>1018.9307392641061</v>
      </c>
      <c r="BX229" s="22">
        <f>tabCustoUnit[[#This Row],[TOTAL MÓDULOS 1+2+3+4+5]]+tabCustoUnit[[#This Row],[MÓDULO 6 – CUSTOS INDIRETOS, TRIBUTOS E LUCRO]]</f>
        <v>5469.1995484378895</v>
      </c>
      <c r="BY229" s="22">
        <f>tabCustoUnit[[#This Row],[CUSTO TOTAL MENSAL]]*12</f>
        <v>65630.394581254674</v>
      </c>
      <c r="BZ229" s="24">
        <f>VLOOKUP(tabCustoUnit[[#This Row],[Código do Posto]],tabParametros[],MATCH(tabCustoUnit[[#Headers],[ANO DA CCT]],tabParametros[#Headers],0),0)</f>
        <v>45658</v>
      </c>
      <c r="CA229" s="25" t="str">
        <f>VLOOKUP(tabCustoUnit[[#This Row],[Código do Posto]],tabParametros[],MATCH(tabCustoUnit[[#Headers],[Nº DE PEDIDO DA CCT]],tabParametros[#Headers],0),0)</f>
        <v>-</v>
      </c>
      <c r="CB229" s="25" t="str">
        <f>VLOOKUP(tabCustoUnit[[#This Row],[Código do Posto]],tabParametros[],MATCH(tabCustoUnit[[#Headers],[TERMO ADITIVO ALTERAÇÃO DA CCT]],tabParametros[#Headers],0),0)</f>
        <v>-</v>
      </c>
    </row>
    <row r="230" spans="1:80" x14ac:dyDescent="0.25">
      <c r="A230" s="20" t="s">
        <v>1565</v>
      </c>
      <c r="B230" t="s">
        <v>209</v>
      </c>
      <c r="C230" t="s">
        <v>1245</v>
      </c>
      <c r="D230" t="s">
        <v>1023</v>
      </c>
      <c r="E230" s="20" t="s">
        <v>9</v>
      </c>
      <c r="F230" s="20" t="s">
        <v>10</v>
      </c>
      <c r="G230" s="21">
        <v>1596.28</v>
      </c>
      <c r="H230" s="21">
        <v>0</v>
      </c>
      <c r="I230" s="21">
        <v>0</v>
      </c>
      <c r="J230" s="21">
        <v>0</v>
      </c>
      <c r="K230" s="21">
        <v>0</v>
      </c>
      <c r="L230" s="21">
        <v>0</v>
      </c>
      <c r="M230" s="21">
        <v>0</v>
      </c>
      <c r="N230" s="21">
        <v>52.241900000000001</v>
      </c>
      <c r="O230" s="21">
        <f>SUM(tabCustoUnit[[#This Row],[Salário Base]:[Adicional de Acúmulo de função]])</f>
        <v>1648.5219</v>
      </c>
      <c r="P230" s="21">
        <f>tabCustoUnit[[#This Row],[MODULO 1 - REMUNERAÇÃO ]]*SUMIFS(tabParametros[INSS],tabParametros[Código do Posto],tabCustoUnit[[#This Row],[Código do Posto]])</f>
        <v>329.70438000000001</v>
      </c>
      <c r="Q230" s="21">
        <f>tabCustoUnit[[#This Row],[MODULO 1 - REMUNERAÇÃO ]]*SUMIFS(tabParametros[SESI OU SESC],tabParametros[Código do Posto],tabCustoUnit[[#This Row],[Código do Posto]])</f>
        <v>24.727828499999998</v>
      </c>
      <c r="R230" s="21">
        <f>tabCustoUnit[[#This Row],[MODULO 1 - REMUNERAÇÃO ]]*SUMIFS(tabParametros[SENAI OU SENAC],tabParametros[Código do Posto],tabCustoUnit[[#This Row],[Código do Posto]])</f>
        <v>16.485219000000001</v>
      </c>
      <c r="S230" s="21">
        <f>tabCustoUnit[[#This Row],[MODULO 1 - REMUNERAÇÃO ]]*SUMIFS(tabParametros[INCRA],tabParametros[Código do Posto],tabCustoUnit[[#This Row],[Código do Posto]])</f>
        <v>3.2970438</v>
      </c>
      <c r="T230" s="21">
        <f>tabCustoUnit[[#This Row],[MODULO 1 - REMUNERAÇÃO ]]*SUMIFS(tabParametros[Salário Educação],tabParametros[Código do Posto],tabCustoUnit[[#This Row],[Código do Posto]])</f>
        <v>41.213047500000002</v>
      </c>
      <c r="U230" s="21">
        <f>tabCustoUnit[[#This Row],[MODULO 1 - REMUNERAÇÃO ]]*SUMIFS(tabParametros[FGTS],tabParametros[Código do Posto],tabCustoUnit[[#This Row],[Código do Posto]])</f>
        <v>131.88175200000001</v>
      </c>
      <c r="V230" s="21">
        <f>tabCustoUnit[[#This Row],[MODULO 1 - REMUNERAÇÃO ]]*SUMIFS(tabParametros[RAT Ajustado],tabParametros[Código do Posto],tabCustoUnit[[#This Row],[Código do Posto]])</f>
        <v>65.940876000000003</v>
      </c>
      <c r="W230" s="21">
        <f>tabCustoUnit[[#This Row],[MODULO 1 - REMUNERAÇÃO ]]*SUMIFS(tabParametros[SEBRAE],tabParametros[Código do Posto],tabCustoUnit[[#This Row],[Código do Posto]])</f>
        <v>9.8911314000000008</v>
      </c>
      <c r="X230" s="21">
        <f>SUM(tabCustoUnit[[#This Row],[INSS]:[SEBRAE]])</f>
        <v>623.14127819999999</v>
      </c>
      <c r="Y230" s="21">
        <f>tabCustoUnit[[#This Row],[MODULO 1 - REMUNERAÇÃO ]]*SUMIFS(tabParametros[13º salário (titular)],tabParametros[Código do Posto],tabCustoUnit[[#This Row],[Código do Posto]])</f>
        <v>137.376825</v>
      </c>
      <c r="Z230" s="21">
        <f>tabCustoUnit[[#This Row],[MODULO 1 - REMUNERAÇÃO ]]*SUMIFS(tabParametros[Férias e Adicional de Férias (titular)],tabParametros[Código do Posto],tabCustoUnit[[#This Row],[Código do Posto]])</f>
        <v>183.16909999999999</v>
      </c>
      <c r="AA230" s="21">
        <f>IFERROR((tabCustoUnit[[#This Row],[Submódulo 2.1]]/tabCustoUnit[[#This Row],[MODULO 1 - REMUNERAÇÃO ]])*SUM(tabCustoUnit[[#This Row],[13º salário (titular)]:[Férias e Adicional de Férias (titular)]]),0)</f>
        <v>121.16635965</v>
      </c>
      <c r="AB230" s="21">
        <f>SUM(tabCustoUnit[[#This Row],[13º salário (titular)]:[Incidência do Submódulo 2.1 sobre 13º Salário, Férias e Adicional de Férias]])</f>
        <v>441.71228465000002</v>
      </c>
      <c r="AC230" s="22">
        <f>_xlfn.LET(_xlpm.VT,SUMIF(tabParametros[Código do Posto],tabCustoUnit[[#This Row],[Código do Posto]],tabParametros[Vale - Transporte])*2*20,
IF((_xlpm.VT-tabCustoUnit[[#This Row],[Salário Base]]*0.06)&gt;=0,(_xlpm.VT-tabCustoUnit[[#This Row],[Salário Base]]*0.06),0)
)</f>
        <v>160.22320000000002</v>
      </c>
      <c r="AD230" s="22">
        <f>IF(SUMIF(tabParametros[Código do Posto],tabCustoUnit[[#This Row],[Código do Posto]],tabParametros[Vale - Alimentação])&lt;=0,0,
SUMIF(tabParametros[Código do Posto],tabCustoUnit[[#This Row],[Código do Posto]],tabParametros[Vale - Alimentação])*20-1)</f>
        <v>582</v>
      </c>
      <c r="AE230" s="22">
        <f>SUMIF(tabParametros[Código do Posto],tabCustoUnit[[#This Row],[Código do Posto]],tabParametros[Cesta Básica])</f>
        <v>0</v>
      </c>
      <c r="AF230" s="22">
        <f>SUMIF(tabParametros[Código do Posto],tabCustoUnit[[#This Row],[Código do Posto]],tabParametros[PAF])</f>
        <v>0</v>
      </c>
      <c r="AG230" s="22">
        <f>SUMIF(tabParametros[Código do Posto],tabCustoUnit[[#This Row],[Código do Posto]],tabParametros[PQM])</f>
        <v>0</v>
      </c>
      <c r="AH230" s="22">
        <f>SUMIF(tabParametros[Código do Posto],tabCustoUnit[[#This Row],[Código do Posto]],tabParametros[PAT])</f>
        <v>0</v>
      </c>
      <c r="AI230" s="22">
        <f>SUMIF(tabParametros[Código do Posto],tabCustoUnit[[#This Row],[Código do Posto]],tabParametros[Seguro de Vida])</f>
        <v>3.36</v>
      </c>
      <c r="AJ230" s="22">
        <f>SUMIF(tabParametros[Código do Posto],tabCustoUnit[[#This Row],[Código do Posto]],tabParametros[Despesas de Viagem])</f>
        <v>0</v>
      </c>
      <c r="AK230" s="22">
        <f>SUM(tabCustoUnit[[#This Row],[Vale - Transporte (Descontada parcela do empregado)]:[Despesas de Viagem]])</f>
        <v>745.58320000000003</v>
      </c>
      <c r="AL230" s="22">
        <f>tabCustoUnit[[#This Row],[Submódulo 2.1]]+tabCustoUnit[[#This Row],[Submódulo 2.2]]+tabCustoUnit[[#This Row],[Submódulo 2.3]]</f>
        <v>1810.4367628499999</v>
      </c>
      <c r="AM230" s="22">
        <f>SUMIF(tabParametros[Código do Posto],tabCustoUnit[[#This Row],[Código do Posto]],tabParametros[Aviso Prévio Indenizado (API) e Reflexo do Aviso Prévio Indenizado])*tabCustoUnit[[#This Row],[MODULO 1 - REMUNERAÇÃO ]]</f>
        <v>11.559051416493055</v>
      </c>
      <c r="AN230" s="22">
        <f>SUMIF(tabParametros[Código do Posto],tabCustoUnit[[#This Row],[Código do Posto]],tabParametros[Incidência do FGTS sobre API e Reflexo do API])*tabCustoUnit[[#This Row],[MODULO 1 - REMUNERAÇÃO ]]</f>
        <v>0.92472411331944449</v>
      </c>
      <c r="AO230" s="22">
        <f>SUMIF(tabParametros[Código do Posto],tabCustoUnit[[#This Row],[Código do Posto]],tabParametros[Multa Rescisória do FGTS sobre o Aviso Prévio Indenizado])*tabCustoUnit[[#This Row],[MODULO 1 - REMUNERAÇÃO ]]</f>
        <v>0.36988964532777785</v>
      </c>
      <c r="AP230" s="22">
        <f>SUMIF(tabParametros[Código do Posto],tabCustoUnit[[#This Row],[Código do Posto]],tabParametros[Aviso Prévio Trabalhado - APT])*tabCustoUnit[[#This Row],[MODULO 1 - REMUNERAÇÃO ]]</f>
        <v>5.7698266500000006</v>
      </c>
      <c r="AQ230" s="22">
        <f>SUMIF(tabParametros[Código do Posto],tabCustoUnit[[#This Row],[Código do Posto]],tabParametros[Incidência dos encargos do submódulo 2.1 sobre Aviso Prévio Trabalhado])*tabCustoUnit[[#This Row],[MODULO 1 - REMUNERAÇÃO ]]</f>
        <v>2.1809944737000007</v>
      </c>
      <c r="AR230" s="22">
        <f>SUMIF(tabParametros[Código do Posto],tabCustoUnit[[#This Row],[Código do Posto]],tabParametros[Multa Rescisória do FGTS])*tabCustoUnit[[#This Row],[MODULO 1 - REMUNERAÇÃO ]]</f>
        <v>50.40813631999999</v>
      </c>
      <c r="AS230" s="22">
        <f>SUMIF(tabParametros[Código do Posto],tabCustoUnit[[#This Row],[Código do Posto]],tabParametros[Indenização Adicional (Art. 9º da Lei nº 7.238/84)])*tabCustoUnit[[#This Row],[MODULO 1 - REMUNERAÇÃO ]]</f>
        <v>1.3737682500000001</v>
      </c>
      <c r="AT230" s="22">
        <f>SUM(tabCustoUnit[[#This Row],[Aviso Prévio Indenizado (API) e Reflexo do Aviso Prévio Indenizado]:[Indenização Adicional (Art. 9º da Lei nº 7.238/84)]])</f>
        <v>72.586390868840269</v>
      </c>
      <c r="AU230" s="22">
        <f>SUMIF(tabParametros[Código do Posto],tabCustoUnit[[#This Row],[Código do Posto]],tabParametros[Ausência por Doença])*tabCustoUnit[[#This Row],[MODULO 1 - REMUNERAÇÃO ]]</f>
        <v>13.920851599999999</v>
      </c>
      <c r="AV230" s="22">
        <f>SUMIF(tabParametros[Código do Posto],tabCustoUnit[[#This Row],[Código do Posto]],tabParametros[Ausências Legais])*tabCustoUnit[[#This Row],[MODULO 1 - REMUNERAÇÃO ]]</f>
        <v>3.3428360749999997</v>
      </c>
      <c r="AW230" s="22">
        <f>SUMIF(tabParametros[Código do Posto],tabCustoUnit[[#This Row],[Código do Posto]],tabParametros[Licença Paternidade])*tabCustoUnit[[#This Row],[MODULO 1 - REMUNERAÇÃO ]]</f>
        <v>0.28162249125</v>
      </c>
      <c r="AX230" s="22">
        <f>SUMIF(tabParametros[Código do Posto],tabCustoUnit[[#This Row],[Código do Posto]],tabParametros[Ausência por Acidente de Trabalho])*tabCustoUnit[[#This Row],[MODULO 1 - REMUNERAÇÃO ]]</f>
        <v>0.34344206250000003</v>
      </c>
      <c r="AY230" s="22">
        <f>SUMIF(tabParametros[Código do Posto],tabCustoUnit[[#This Row],[Código do Posto]],tabParametros[Férias, Adicional de Férias e 13º  com empregada em gozo de Licença Maternidade])*tabCustoUnit[[#This Row],[MODULO 1 - REMUNERAÇÃO ]]</f>
        <v>2.1369728333333331</v>
      </c>
      <c r="AZ230" s="22">
        <f>SUMIF(tabParametros[Código do Posto],tabCustoUnit[[#This Row],[Código do Posto]],tabParametros[Incidência do Submódulo 2.1 sobre Ausências Legais])*tabCustoUnit[[#This Row],[MODULO 1 - REMUNERAÇÃO ]]</f>
        <v>7.5697240734675013</v>
      </c>
      <c r="BA230" s="22">
        <f>SUM(tabCustoUnit[[#This Row],[Ausência por Doença]:[Incidência do Submódulo 2.1 sobre Ausências Legais]])</f>
        <v>27.595449135550833</v>
      </c>
      <c r="BB230" s="22">
        <f>SUMIF(tabParametros[Código do Posto],tabCustoUnit[[#This Row],[Código do Posto]],tabParametros[Intervalo para Repouso ou Alimentação])</f>
        <v>0</v>
      </c>
      <c r="BC230" s="22">
        <f>tabCustoUnit[[#This Row],[Intervalo para Repouso ou Alimentação]]</f>
        <v>0</v>
      </c>
      <c r="BD230" s="22">
        <f>IF(VLOOKUP(tabCustoUnit[[#This Row],[Código do Posto]],PARAMETROS!$A$4:$BJ$255,7,0)&lt;=0,0,
IFERROR((tabCustoUnit[[#This Row],[MODULO 1 - REMUNERAÇÃO ]]*VLOOKUP(tabCustoUnit[[#This Row],[Código do Posto]],PARAMETROS!$A$4:$BJ$255,49,0))/(VLOOKUP(tabCustoUnit[[#This Row],[Código do Posto]],PARAMETROS!$A$4:$BJ$255,7,0)*VLOOKUP(tabCustoUnit[[#This Row],[Código do Posto]],PARAMETROS!$A$4:$BJ$255,8,0)),0)
)</f>
        <v>0</v>
      </c>
      <c r="BE230" s="22">
        <f>tabCustoUnit[[#This Row],[Suspensão Temporária do Contrato de Trabalho]]</f>
        <v>0</v>
      </c>
      <c r="BF230" s="22">
        <f>tabCustoUnit[[#This Row],[Submódulo 4.1]]+tabCustoUnit[[#This Row],[Submódulo 4.2]]+tabCustoUnit[[#This Row],[Submódulo 4.3]]</f>
        <v>27.595449135550833</v>
      </c>
      <c r="BG230" s="22">
        <f>VLOOKUP(tabCustoUnit[[#This Row],[Código do Posto]],tabParametros[],MATCH(tabCustoUnit[[#Headers],[Uniformes e EPIs]],tabParametros[#Headers],0),0)</f>
        <v>100.80916666666666</v>
      </c>
      <c r="BH230" s="22">
        <f>VLOOKUP(tabCustoUnit[[#This Row],[Código do Posto]],tabParametros[],MATCH(tabCustoUnit[[#Headers],[Materiais de Consumo]],tabParametros[#Headers],0),0)</f>
        <v>35.518212958583888</v>
      </c>
      <c r="BI230" s="22">
        <f>VLOOKUP(tabCustoUnit[[#This Row],[Código do Posto]],tabParametros[],MATCH(tabCustoUnit[[#Headers],[Máquinas e Equipamentos (depreciação)]],tabParametros[#Headers],0),0)</f>
        <v>64.529393914825576</v>
      </c>
      <c r="BJ230" s="22">
        <f>VLOOKUP(tabCustoUnit[[#This Row],[Código do Posto]],tabParametros[],MATCH(tabCustoUnit[[#Headers],[Produtos de Limpeza e Materiais de Higiene Pessoal]],tabParametros[#Headers],0),0)</f>
        <v>690.27153277931654</v>
      </c>
      <c r="BK230" s="22">
        <f>VLOOKUP(tabCustoUnit[[#This Row],[Código do Posto]],tabParametros[],MATCH(tabCustoUnit[[#Headers],[Outros (especificar)]],tabParametros[#Headers],0),0)</f>
        <v>0</v>
      </c>
      <c r="BL230" s="22">
        <f>SUM(tabCustoUnit[[#This Row],[Uniformes e EPIs]:[Outros (especificar)]])</f>
        <v>891.12830631939266</v>
      </c>
      <c r="BM230" s="22">
        <f>tabCustoUnit[[#This Row],[MODULO 1 - REMUNERAÇÃO ]]+tabCustoUnit[[#This Row],[MÓDULO 2 - Total Encargos e Benefícios mensais e diários]]+tabCustoUnit[[#This Row],[MÓDULO 3 – PROVISÃO PARA RESCISÃO]]+tabCustoUnit[[#This Row],[MÓDULO 4 – CUSTO DE REPOSIÇÃO DO PROFISSIONAL AUSENTE]]+tabCustoUnit[[#This Row],[MÓDULO 5 – INSUMOS DIVERSOS]]</f>
        <v>4450.2688091737837</v>
      </c>
      <c r="BN230" s="22">
        <f>VLOOKUP(tabCustoUnit[[#This Row],[Código do Posto]],tabParametros[],MATCH(tabCustoUnit[[#Headers],[Custos Indiretos]],tabParametros[#Headers],0),0)</f>
        <v>189.64880140242613</v>
      </c>
      <c r="BO230" s="22">
        <f>VLOOKUP(tabCustoUnit[[#This Row],[Código do Posto]],tabParametros[],MATCH(tabCustoUnit[[#Headers],[Lucro]],tabParametros[#Headers],0),0)</f>
        <v>159.30499317803796</v>
      </c>
      <c r="BP230" s="26">
        <f>((100/((1-tabCustoUnit[[#This Row],[Resumo de Alíquotas (PIS+CONFINS+ISS)]]))-100)*VLOOKUP(tabCustoUnit[[#This Row],[Código do Posto]],tabParametros[],MATCH(tabCustoUnit[[#Headers],[COFINS]],tabParametros[#Headers],0),0))/(tabCustoUnit[[#This Row],[Resumo de Alíquotas (PIS+CONFINS+ISS)]]*100)</f>
        <v>8.6609686609686695E-2</v>
      </c>
      <c r="BQ230" s="26">
        <f>((100/((100-(tabCustoUnit[[#This Row],[Resumo de Alíquotas (PIS+CONFINS+ISS)]]*100))%)-100)*VLOOKUP(tabCustoUnit[[#This Row],[Código do Posto]],tabParametros[],MATCH(tabCustoUnit[[#Headers],[PIS]],tabParametros[#Headers],0),0))/(tabCustoUnit[[#This Row],[Resumo de Alíquotas (PIS+CONFINS+ISS)]]*100)</f>
        <v>1.880341880341882E-2</v>
      </c>
      <c r="BR230" s="28">
        <f>VLOOKUP(tabCustoUnit[[#This Row],[Código do Posto]],tabParametros[],MATCH(tabCustoUnit[[#Headers],[ISS]],tabParametros[#Headers],0),0)</f>
        <v>0.03</v>
      </c>
      <c r="BS230" s="26">
        <f>(((100/((100-(tabCustoUnit[[#This Row],[Resumo de Alíquotas (PIS+CONFINS+ISS)]]*100))%)-100)*tabCustoUnit[[#This Row],[ISS]])/tabCustoUnit[[#This Row],[Resumo de Alíquotas (PIS+CONFINS+ISS)]])/100</f>
        <v>3.4188034188034219E-2</v>
      </c>
      <c r="BT230" s="26">
        <f>(VLOOKUP(tabCustoUnit[[#This Row],[Código do Posto]],tabParametros[],MATCH(tabCustoUnit[[#Headers],[COFINS]],tabParametros[#Headers],0),0)+
VLOOKUP(tabCustoUnit[[#This Row],[Código do Posto]],tabParametros[],MATCH(tabCustoUnit[[#Headers],[PIS]],tabParametros[#Headers],0),0)+
VLOOKUP(tabCustoUnit[[#This Row],[Código do Posto]],tabParametros[],MATCH(tabCustoUnit[[#Headers],[ISS]],tabParametros[#Headers],0),0))</f>
        <v>0.1225</v>
      </c>
      <c r="BU230" s="138">
        <f>tabCustoUnit[[#This Row],[COFINS]]+tabCustoUnit[[#This Row],[PIS]]+tabCustoUnit[[#This Row],[ISS (Conversão Alíquota s/ fatura)]]</f>
        <v>0.13960113960113973</v>
      </c>
      <c r="BV230" s="22">
        <f>(tabCustoUnit[[#This Row],[TOTAL MÓDULOS 1+2+3+4+5]]+tabCustoUnit[[#This Row],[Custos Indiretos]]+tabCustoUnit[[#This Row],[Lucro]])*tabCustoUnit[[#This Row],[PIS + COFINS + ISS (Total Conversão  Alíquota s/ Fatura)]]</f>
        <v>669.97694468364205</v>
      </c>
      <c r="BW230" s="22">
        <f>tabCustoUnit[[#This Row],[Custos Indiretos]]+tabCustoUnit[[#This Row],[Lucro]]+tabCustoUnit[[#This Row],[Valor dos Tributos (ISS, PIS, CONFINS)]]</f>
        <v>1018.9307392641061</v>
      </c>
      <c r="BX230" s="22">
        <f>tabCustoUnit[[#This Row],[TOTAL MÓDULOS 1+2+3+4+5]]+tabCustoUnit[[#This Row],[MÓDULO 6 – CUSTOS INDIRETOS, TRIBUTOS E LUCRO]]</f>
        <v>5469.1995484378895</v>
      </c>
      <c r="BY230" s="22">
        <f>tabCustoUnit[[#This Row],[CUSTO TOTAL MENSAL]]*12</f>
        <v>65630.394581254674</v>
      </c>
      <c r="BZ230" s="24">
        <f>VLOOKUP(tabCustoUnit[[#This Row],[Código do Posto]],tabParametros[],MATCH(tabCustoUnit[[#Headers],[ANO DA CCT]],tabParametros[#Headers],0),0)</f>
        <v>45658</v>
      </c>
      <c r="CA230" s="25" t="str">
        <f>VLOOKUP(tabCustoUnit[[#This Row],[Código do Posto]],tabParametros[],MATCH(tabCustoUnit[[#Headers],[Nº DE PEDIDO DA CCT]],tabParametros[#Headers],0),0)</f>
        <v>-</v>
      </c>
      <c r="CB230" s="25" t="str">
        <f>VLOOKUP(tabCustoUnit[[#This Row],[Código do Posto]],tabParametros[],MATCH(tabCustoUnit[[#Headers],[TERMO ADITIVO ALTERAÇÃO DA CCT]],tabParametros[#Headers],0),0)</f>
        <v>-</v>
      </c>
    </row>
    <row r="231" spans="1:80" x14ac:dyDescent="0.25">
      <c r="A231" s="20" t="s">
        <v>1566</v>
      </c>
      <c r="B231" t="s">
        <v>210</v>
      </c>
      <c r="C231" t="s">
        <v>1244</v>
      </c>
      <c r="D231" t="s">
        <v>81</v>
      </c>
      <c r="E231" s="20" t="s">
        <v>9</v>
      </c>
      <c r="F231" s="20" t="s">
        <v>10</v>
      </c>
      <c r="G231" s="21">
        <v>798.14</v>
      </c>
      <c r="H231" s="21">
        <v>0</v>
      </c>
      <c r="I231" s="21">
        <v>0</v>
      </c>
      <c r="J231" s="21">
        <v>0</v>
      </c>
      <c r="K231" s="21">
        <v>0</v>
      </c>
      <c r="L231" s="21">
        <v>0</v>
      </c>
      <c r="M231" s="21">
        <v>0</v>
      </c>
      <c r="N231" s="21">
        <v>26.120899999999999</v>
      </c>
      <c r="O231" s="21">
        <f>SUM(tabCustoUnit[[#This Row],[Salário Base]:[Adicional de Acúmulo de função]])</f>
        <v>824.26089999999999</v>
      </c>
      <c r="P231" s="21">
        <f>tabCustoUnit[[#This Row],[MODULO 1 - REMUNERAÇÃO ]]*SUMIFS(tabParametros[INSS],tabParametros[Código do Posto],tabCustoUnit[[#This Row],[Código do Posto]])</f>
        <v>164.85218</v>
      </c>
      <c r="Q231" s="21">
        <f>tabCustoUnit[[#This Row],[MODULO 1 - REMUNERAÇÃO ]]*SUMIFS(tabParametros[SESI OU SESC],tabParametros[Código do Posto],tabCustoUnit[[#This Row],[Código do Posto]])</f>
        <v>12.363913499999999</v>
      </c>
      <c r="R231" s="21">
        <f>tabCustoUnit[[#This Row],[MODULO 1 - REMUNERAÇÃO ]]*SUMIFS(tabParametros[SENAI OU SENAC],tabParametros[Código do Posto],tabCustoUnit[[#This Row],[Código do Posto]])</f>
        <v>8.2426089999999999</v>
      </c>
      <c r="S231" s="21">
        <f>tabCustoUnit[[#This Row],[MODULO 1 - REMUNERAÇÃO ]]*SUMIFS(tabParametros[INCRA],tabParametros[Código do Posto],tabCustoUnit[[#This Row],[Código do Posto]])</f>
        <v>1.6485217999999999</v>
      </c>
      <c r="T231" s="21">
        <f>tabCustoUnit[[#This Row],[MODULO 1 - REMUNERAÇÃO ]]*SUMIFS(tabParametros[Salário Educação],tabParametros[Código do Posto],tabCustoUnit[[#This Row],[Código do Posto]])</f>
        <v>20.606522500000001</v>
      </c>
      <c r="U231" s="21">
        <f>tabCustoUnit[[#This Row],[MODULO 1 - REMUNERAÇÃO ]]*SUMIFS(tabParametros[FGTS],tabParametros[Código do Posto],tabCustoUnit[[#This Row],[Código do Posto]])</f>
        <v>65.940871999999999</v>
      </c>
      <c r="V231" s="21">
        <f>tabCustoUnit[[#This Row],[MODULO 1 - REMUNERAÇÃO ]]*SUMIFS(tabParametros[RAT Ajustado],tabParametros[Código do Posto],tabCustoUnit[[#This Row],[Código do Posto]])</f>
        <v>32.970435999999999</v>
      </c>
      <c r="W231" s="21">
        <f>tabCustoUnit[[#This Row],[MODULO 1 - REMUNERAÇÃO ]]*SUMIFS(tabParametros[SEBRAE],tabParametros[Código do Posto],tabCustoUnit[[#This Row],[Código do Posto]])</f>
        <v>4.9455654000000004</v>
      </c>
      <c r="X231" s="21">
        <f>SUM(tabCustoUnit[[#This Row],[INSS]:[SEBRAE]])</f>
        <v>311.57062020000001</v>
      </c>
      <c r="Y231" s="21">
        <f>tabCustoUnit[[#This Row],[MODULO 1 - REMUNERAÇÃO ]]*SUMIFS(tabParametros[13º salário (titular)],tabParametros[Código do Posto],tabCustoUnit[[#This Row],[Código do Posto]])</f>
        <v>68.688408333333328</v>
      </c>
      <c r="Z231" s="21">
        <f>tabCustoUnit[[#This Row],[MODULO 1 - REMUNERAÇÃO ]]*SUMIFS(tabParametros[Férias e Adicional de Férias (titular)],tabParametros[Código do Posto],tabCustoUnit[[#This Row],[Código do Posto]])</f>
        <v>91.584544444444433</v>
      </c>
      <c r="AA231" s="21">
        <f>IFERROR((tabCustoUnit[[#This Row],[Submódulo 2.1]]/tabCustoUnit[[#This Row],[MODULO 1 - REMUNERAÇÃO ]])*SUM(tabCustoUnit[[#This Row],[13º salário (titular)]:[Férias e Adicional de Férias (titular)]]),0)</f>
        <v>60.583176149999993</v>
      </c>
      <c r="AB231" s="21">
        <f>SUM(tabCustoUnit[[#This Row],[13º salário (titular)]:[Incidência do Submódulo 2.1 sobre 13º Salário, Férias e Adicional de Férias]])</f>
        <v>220.85612892777775</v>
      </c>
      <c r="AC231" s="22">
        <f>_xlfn.LET(_xlpm.VT,SUMIF(tabParametros[Código do Posto],tabCustoUnit[[#This Row],[Código do Posto]],tabParametros[Vale - Transporte])*2*20,
IF((_xlpm.VT-tabCustoUnit[[#This Row],[Salário Base]]*0.06)&gt;=0,(_xlpm.VT-tabCustoUnit[[#This Row],[Salário Base]]*0.06),0)
)</f>
        <v>208.11160000000001</v>
      </c>
      <c r="AD231" s="22">
        <f>IF(SUMIF(tabParametros[Código do Posto],tabCustoUnit[[#This Row],[Código do Posto]],tabParametros[Vale - Alimentação])&lt;=0,0,
SUMIF(tabParametros[Código do Posto],tabCustoUnit[[#This Row],[Código do Posto]],tabParametros[Vale - Alimentação])*20-1)</f>
        <v>582</v>
      </c>
      <c r="AE231" s="22">
        <f>SUMIF(tabParametros[Código do Posto],tabCustoUnit[[#This Row],[Código do Posto]],tabParametros[Cesta Básica])</f>
        <v>0</v>
      </c>
      <c r="AF231" s="22">
        <f>SUMIF(tabParametros[Código do Posto],tabCustoUnit[[#This Row],[Código do Posto]],tabParametros[PAF])</f>
        <v>51.74</v>
      </c>
      <c r="AG231" s="22">
        <f>SUMIF(tabParametros[Código do Posto],tabCustoUnit[[#This Row],[Código do Posto]],tabParametros[PQM])</f>
        <v>0</v>
      </c>
      <c r="AH231" s="22">
        <f>SUMIF(tabParametros[Código do Posto],tabCustoUnit[[#This Row],[Código do Posto]],tabParametros[PAT])</f>
        <v>0</v>
      </c>
      <c r="AI231" s="22">
        <f>SUMIF(tabParametros[Código do Posto],tabCustoUnit[[#This Row],[Código do Posto]],tabParametros[Seguro de Vida])</f>
        <v>3.36</v>
      </c>
      <c r="AJ231" s="22">
        <f>SUMIF(tabParametros[Código do Posto],tabCustoUnit[[#This Row],[Código do Posto]],tabParametros[Despesas de Viagem])</f>
        <v>0</v>
      </c>
      <c r="AK231" s="22">
        <f>SUM(tabCustoUnit[[#This Row],[Vale - Transporte (Descontada parcela do empregado)]:[Despesas de Viagem]])</f>
        <v>845.21159999999998</v>
      </c>
      <c r="AL231" s="22">
        <f>tabCustoUnit[[#This Row],[Submódulo 2.1]]+tabCustoUnit[[#This Row],[Submódulo 2.2]]+tabCustoUnit[[#This Row],[Submódulo 2.3]]</f>
        <v>1377.6383491277777</v>
      </c>
      <c r="AM231" s="22">
        <f>SUMIF(tabParametros[Código do Posto],tabCustoUnit[[#This Row],[Código do Posto]],tabParametros[Aviso Prévio Indenizado (API) e Reflexo do Aviso Prévio Indenizado])*tabCustoUnit[[#This Row],[MODULO 1 - REMUNERAÇÃO ]]</f>
        <v>5.7795253576581791</v>
      </c>
      <c r="AN231" s="22">
        <f>SUMIF(tabParametros[Código do Posto],tabCustoUnit[[#This Row],[Código do Posto]],tabParametros[Incidência do FGTS sobre API e Reflexo do API])*tabCustoUnit[[#This Row],[MODULO 1 - REMUNERAÇÃO ]]</f>
        <v>0.46236202861265435</v>
      </c>
      <c r="AO231" s="22">
        <f>SUMIF(tabParametros[Código do Posto],tabCustoUnit[[#This Row],[Código do Posto]],tabParametros[Multa Rescisória do FGTS sobre o Aviso Prévio Indenizado])*tabCustoUnit[[#This Row],[MODULO 1 - REMUNERAÇÃO ]]</f>
        <v>0.18494481144506175</v>
      </c>
      <c r="AP231" s="22">
        <f>SUMIF(tabParametros[Código do Posto],tabCustoUnit[[#This Row],[Código do Posto]],tabParametros[Aviso Prévio Trabalhado - APT])*tabCustoUnit[[#This Row],[MODULO 1 - REMUNERAÇÃO ]]</f>
        <v>2.8849131500000005</v>
      </c>
      <c r="AQ231" s="22">
        <f>SUMIF(tabParametros[Código do Posto],tabCustoUnit[[#This Row],[Código do Posto]],tabParametros[Incidência dos encargos do submódulo 2.1 sobre Aviso Prévio Trabalhado])*tabCustoUnit[[#This Row],[MODULO 1 - REMUNERAÇÃO ]]</f>
        <v>1.0904971707000004</v>
      </c>
      <c r="AR231" s="22">
        <f>SUMIF(tabParametros[Código do Posto],tabCustoUnit[[#This Row],[Código do Posto]],tabParametros[Multa Rescisória do FGTS])*tabCustoUnit[[#This Row],[MODULO 1 - REMUNERAÇÃO ]]</f>
        <v>25.204066631111107</v>
      </c>
      <c r="AS231" s="22">
        <f>SUMIF(tabParametros[Código do Posto],tabCustoUnit[[#This Row],[Código do Posto]],tabParametros[Indenização Adicional (Art. 9º da Lei nº 7.238/84)])*tabCustoUnit[[#This Row],[MODULO 1 - REMUNERAÇÃO ]]</f>
        <v>0.6868840833333334</v>
      </c>
      <c r="AT231" s="22">
        <f>SUM(tabCustoUnit[[#This Row],[Aviso Prévio Indenizado (API) e Reflexo do Aviso Prévio Indenizado]:[Indenização Adicional (Art. 9º da Lei nº 7.238/84)]])</f>
        <v>36.293193232860339</v>
      </c>
      <c r="AU231" s="22">
        <f>SUMIF(tabParametros[Código do Posto],tabCustoUnit[[#This Row],[Código do Posto]],tabParametros[Ausência por Doença])*tabCustoUnit[[#This Row],[MODULO 1 - REMUNERAÇÃO ]]</f>
        <v>6.9604253777777769</v>
      </c>
      <c r="AV231" s="22">
        <f>SUMIF(tabParametros[Código do Posto],tabCustoUnit[[#This Row],[Código do Posto]],tabParametros[Ausências Legais])*tabCustoUnit[[#This Row],[MODULO 1 - REMUNERAÇÃO ]]</f>
        <v>1.671417936111111</v>
      </c>
      <c r="AW231" s="22">
        <f>SUMIF(tabParametros[Código do Posto],tabCustoUnit[[#This Row],[Código do Posto]],tabParametros[Licença Paternidade])*tabCustoUnit[[#This Row],[MODULO 1 - REMUNERAÇÃO ]]</f>
        <v>0.14081123708333332</v>
      </c>
      <c r="AX231" s="22">
        <f>SUMIF(tabParametros[Código do Posto],tabCustoUnit[[#This Row],[Código do Posto]],tabParametros[Ausência por Acidente de Trabalho])*tabCustoUnit[[#This Row],[MODULO 1 - REMUNERAÇÃO ]]</f>
        <v>0.17172102083333335</v>
      </c>
      <c r="AY231" s="22">
        <f>SUMIF(tabParametros[Código do Posto],tabCustoUnit[[#This Row],[Código do Posto]],tabParametros[Férias, Adicional de Férias e 13º  com empregada em gozo de Licença Maternidade])*tabCustoUnit[[#This Row],[MODULO 1 - REMUNERAÇÃO ]]</f>
        <v>1.0684863518518517</v>
      </c>
      <c r="AZ231" s="22">
        <f>SUMIF(tabParametros[Código do Posto],tabCustoUnit[[#This Row],[Código do Posto]],tabParametros[Incidência do Submódulo 2.1 sobre Ausências Legais])*tabCustoUnit[[#This Row],[MODULO 1 - REMUNERAÇÃO ]]</f>
        <v>3.7848618071425006</v>
      </c>
      <c r="BA231" s="22">
        <f>SUM(tabCustoUnit[[#This Row],[Ausência por Doença]:[Incidência do Submódulo 2.1 sobre Ausências Legais]])</f>
        <v>13.797723730799909</v>
      </c>
      <c r="BB231" s="22">
        <f>SUMIF(tabParametros[Código do Posto],tabCustoUnit[[#This Row],[Código do Posto]],tabParametros[Intervalo para Repouso ou Alimentação])</f>
        <v>0</v>
      </c>
      <c r="BC231" s="22">
        <f>tabCustoUnit[[#This Row],[Intervalo para Repouso ou Alimentação]]</f>
        <v>0</v>
      </c>
      <c r="BD231" s="22">
        <f>IF(VLOOKUP(tabCustoUnit[[#This Row],[Código do Posto]],PARAMETROS!$A$4:$BJ$255,7,0)&lt;=0,0,
IFERROR((tabCustoUnit[[#This Row],[MODULO 1 - REMUNERAÇÃO ]]*VLOOKUP(tabCustoUnit[[#This Row],[Código do Posto]],PARAMETROS!$A$4:$BJ$255,49,0))/(VLOOKUP(tabCustoUnit[[#This Row],[Código do Posto]],PARAMETROS!$A$4:$BJ$255,7,0)*VLOOKUP(tabCustoUnit[[#This Row],[Código do Posto]],PARAMETROS!$A$4:$BJ$255,8,0)),0)
)</f>
        <v>0</v>
      </c>
      <c r="BE231" s="22">
        <f>tabCustoUnit[[#This Row],[Suspensão Temporária do Contrato de Trabalho]]</f>
        <v>0</v>
      </c>
      <c r="BF231" s="22">
        <f>tabCustoUnit[[#This Row],[Submódulo 4.1]]+tabCustoUnit[[#This Row],[Submódulo 4.2]]+tabCustoUnit[[#This Row],[Submódulo 4.3]]</f>
        <v>13.797723730799909</v>
      </c>
      <c r="BG231" s="22">
        <f>VLOOKUP(tabCustoUnit[[#This Row],[Código do Posto]],tabParametros[],MATCH(tabCustoUnit[[#Headers],[Uniformes e EPIs]],tabParametros[#Headers],0),0)</f>
        <v>62.806666666666665</v>
      </c>
      <c r="BH231" s="22">
        <f>VLOOKUP(tabCustoUnit[[#This Row],[Código do Posto]],tabParametros[],MATCH(tabCustoUnit[[#Headers],[Materiais de Consumo]],tabParametros[#Headers],0),0)</f>
        <v>17.759106479291944</v>
      </c>
      <c r="BI231" s="22">
        <f>VLOOKUP(tabCustoUnit[[#This Row],[Código do Posto]],tabParametros[],MATCH(tabCustoUnit[[#Headers],[Máquinas e Equipamentos (depreciação)]],tabParametros[#Headers],0),0)</f>
        <v>32.264696957412788</v>
      </c>
      <c r="BJ231" s="22">
        <f>VLOOKUP(tabCustoUnit[[#This Row],[Código do Posto]],tabParametros[],MATCH(tabCustoUnit[[#Headers],[Produtos de Limpeza e Materiais de Higiene Pessoal]],tabParametros[#Headers],0),0)</f>
        <v>345.13576638965827</v>
      </c>
      <c r="BK231" s="22">
        <f>VLOOKUP(tabCustoUnit[[#This Row],[Código do Posto]],tabParametros[],MATCH(tabCustoUnit[[#Headers],[Outros (especificar)]],tabParametros[#Headers],0),0)</f>
        <v>0</v>
      </c>
      <c r="BL231" s="22">
        <f>SUM(tabCustoUnit[[#This Row],[Uniformes e EPIs]:[Outros (especificar)]])</f>
        <v>457.96623649302967</v>
      </c>
      <c r="BM231" s="22">
        <f>tabCustoUnit[[#This Row],[MODULO 1 - REMUNERAÇÃO ]]+tabCustoUnit[[#This Row],[MÓDULO 2 - Total Encargos e Benefícios mensais e diários]]+tabCustoUnit[[#This Row],[MÓDULO 3 – PROVISÃO PARA RESCISÃO]]+tabCustoUnit[[#This Row],[MÓDULO 4 – CUSTO DE REPOSIÇÃO DO PROFISSIONAL AUSENTE]]+tabCustoUnit[[#This Row],[MÓDULO 5 – INSUMOS DIVERSOS]]</f>
        <v>2709.9564025844675</v>
      </c>
      <c r="BN231" s="22">
        <f>VLOOKUP(tabCustoUnit[[#This Row],[Código do Posto]],tabParametros[],MATCH(tabCustoUnit[[#Headers],[Custos Indiretos]],tabParametros[#Headers],0),0)</f>
        <v>189.64880140242613</v>
      </c>
      <c r="BO231" s="22">
        <f>VLOOKUP(tabCustoUnit[[#This Row],[Código do Posto]],tabParametros[],MATCH(tabCustoUnit[[#Headers],[Lucro]],tabParametros[#Headers],0),0)</f>
        <v>159.30499317803796</v>
      </c>
      <c r="BP231" s="26">
        <f>((100/((1-tabCustoUnit[[#This Row],[Resumo de Alíquotas (PIS+CONFINS+ISS)]]))-100)*VLOOKUP(tabCustoUnit[[#This Row],[Código do Posto]],tabParametros[],MATCH(tabCustoUnit[[#Headers],[COFINS]],tabParametros[#Headers],0),0))/(tabCustoUnit[[#This Row],[Resumo de Alíquotas (PIS+CONFINS+ISS)]]*100)</f>
        <v>8.6609686609686695E-2</v>
      </c>
      <c r="BQ231" s="26">
        <f>((100/((100-(tabCustoUnit[[#This Row],[Resumo de Alíquotas (PIS+CONFINS+ISS)]]*100))%)-100)*VLOOKUP(tabCustoUnit[[#This Row],[Código do Posto]],tabParametros[],MATCH(tabCustoUnit[[#Headers],[PIS]],tabParametros[#Headers],0),0))/(tabCustoUnit[[#This Row],[Resumo de Alíquotas (PIS+CONFINS+ISS)]]*100)</f>
        <v>1.880341880341882E-2</v>
      </c>
      <c r="BR231" s="28">
        <f>VLOOKUP(tabCustoUnit[[#This Row],[Código do Posto]],tabParametros[],MATCH(tabCustoUnit[[#Headers],[ISS]],tabParametros[#Headers],0),0)</f>
        <v>0.03</v>
      </c>
      <c r="BS231" s="26">
        <f>(((100/((100-(tabCustoUnit[[#This Row],[Resumo de Alíquotas (PIS+CONFINS+ISS)]]*100))%)-100)*tabCustoUnit[[#This Row],[ISS]])/tabCustoUnit[[#This Row],[Resumo de Alíquotas (PIS+CONFINS+ISS)]])/100</f>
        <v>3.4188034188034219E-2</v>
      </c>
      <c r="BT231" s="26">
        <f>(VLOOKUP(tabCustoUnit[[#This Row],[Código do Posto]],tabParametros[],MATCH(tabCustoUnit[[#Headers],[COFINS]],tabParametros[#Headers],0),0)+
VLOOKUP(tabCustoUnit[[#This Row],[Código do Posto]],tabParametros[],MATCH(tabCustoUnit[[#Headers],[PIS]],tabParametros[#Headers],0),0)+
VLOOKUP(tabCustoUnit[[#This Row],[Código do Posto]],tabParametros[],MATCH(tabCustoUnit[[#Headers],[ISS]],tabParametros[#Headers],0),0))</f>
        <v>0.1225</v>
      </c>
      <c r="BU231" s="138">
        <f>tabCustoUnit[[#This Row],[COFINS]]+tabCustoUnit[[#This Row],[PIS]]+tabCustoUnit[[#This Row],[ISS (Conversão Alíquota s/ fatura)]]</f>
        <v>0.13960113960113973</v>
      </c>
      <c r="BV231" s="22">
        <f>(tabCustoUnit[[#This Row],[TOTAL MÓDULOS 1+2+3+4+5]]+tabCustoUnit[[#This Row],[Custos Indiretos]]+tabCustoUnit[[#This Row],[Lucro]])*tabCustoUnit[[#This Row],[PIS + COFINS + ISS (Total Conversão  Alíquota s/ Fatura)]]</f>
        <v>427.02734946177151</v>
      </c>
      <c r="BW231" s="22">
        <f>tabCustoUnit[[#This Row],[Custos Indiretos]]+tabCustoUnit[[#This Row],[Lucro]]+tabCustoUnit[[#This Row],[Valor dos Tributos (ISS, PIS, CONFINS)]]</f>
        <v>775.98114404223566</v>
      </c>
      <c r="BX231" s="22">
        <f>tabCustoUnit[[#This Row],[TOTAL MÓDULOS 1+2+3+4+5]]+tabCustoUnit[[#This Row],[MÓDULO 6 – CUSTOS INDIRETOS, TRIBUTOS E LUCRO]]</f>
        <v>3485.9375466267029</v>
      </c>
      <c r="BY231" s="22">
        <f>tabCustoUnit[[#This Row],[CUSTO TOTAL MENSAL]]*12</f>
        <v>41831.250559520435</v>
      </c>
      <c r="BZ231" s="24">
        <f>VLOOKUP(tabCustoUnit[[#This Row],[Código do Posto]],tabParametros[],MATCH(tabCustoUnit[[#Headers],[ANO DA CCT]],tabParametros[#Headers],0),0)</f>
        <v>45658</v>
      </c>
      <c r="CA231" s="25" t="str">
        <f>VLOOKUP(tabCustoUnit[[#This Row],[Código do Posto]],tabParametros[],MATCH(tabCustoUnit[[#Headers],[Nº DE PEDIDO DA CCT]],tabParametros[#Headers],0),0)</f>
        <v>-</v>
      </c>
      <c r="CB231" s="25" t="str">
        <f>VLOOKUP(tabCustoUnit[[#This Row],[Código do Posto]],tabParametros[],MATCH(tabCustoUnit[[#Headers],[TERMO ADITIVO ALTERAÇÃO DA CCT]],tabParametros[#Headers],0),0)</f>
        <v>-</v>
      </c>
    </row>
    <row r="232" spans="1:80" x14ac:dyDescent="0.25">
      <c r="A232" s="20" t="s">
        <v>1567</v>
      </c>
      <c r="B232" t="s">
        <v>211</v>
      </c>
      <c r="C232" t="s">
        <v>1245</v>
      </c>
      <c r="D232" t="s">
        <v>211</v>
      </c>
      <c r="E232" s="20" t="s">
        <v>9</v>
      </c>
      <c r="F232" s="20" t="s">
        <v>10</v>
      </c>
      <c r="G232" s="21">
        <v>1649.12</v>
      </c>
      <c r="H232" s="21">
        <v>0</v>
      </c>
      <c r="I232" s="21">
        <v>0</v>
      </c>
      <c r="J232" s="21">
        <v>0</v>
      </c>
      <c r="K232" s="21">
        <v>0</v>
      </c>
      <c r="L232" s="21">
        <v>0</v>
      </c>
      <c r="M232" s="21">
        <v>0</v>
      </c>
      <c r="N232" s="21">
        <v>53.971200000000003</v>
      </c>
      <c r="O232" s="21">
        <f>SUM(tabCustoUnit[[#This Row],[Salário Base]:[Adicional de Acúmulo de função]])</f>
        <v>1703.0911999999998</v>
      </c>
      <c r="P232" s="21">
        <f>tabCustoUnit[[#This Row],[MODULO 1 - REMUNERAÇÃO ]]*SUMIFS(tabParametros[INSS],tabParametros[Código do Posto],tabCustoUnit[[#This Row],[Código do Posto]])</f>
        <v>340.61824000000001</v>
      </c>
      <c r="Q232" s="21">
        <f>tabCustoUnit[[#This Row],[MODULO 1 - REMUNERAÇÃO ]]*SUMIFS(tabParametros[SESI OU SESC],tabParametros[Código do Posto],tabCustoUnit[[#This Row],[Código do Posto]])</f>
        <v>25.546367999999998</v>
      </c>
      <c r="R232" s="21">
        <f>tabCustoUnit[[#This Row],[MODULO 1 - REMUNERAÇÃO ]]*SUMIFS(tabParametros[SENAI OU SENAC],tabParametros[Código do Posto],tabCustoUnit[[#This Row],[Código do Posto]])</f>
        <v>17.030911999999997</v>
      </c>
      <c r="S232" s="21">
        <f>tabCustoUnit[[#This Row],[MODULO 1 - REMUNERAÇÃO ]]*SUMIFS(tabParametros[INCRA],tabParametros[Código do Posto],tabCustoUnit[[#This Row],[Código do Posto]])</f>
        <v>3.4061823999999996</v>
      </c>
      <c r="T232" s="21">
        <f>tabCustoUnit[[#This Row],[MODULO 1 - REMUNERAÇÃO ]]*SUMIFS(tabParametros[Salário Educação],tabParametros[Código do Posto],tabCustoUnit[[#This Row],[Código do Posto]])</f>
        <v>42.577280000000002</v>
      </c>
      <c r="U232" s="21">
        <f>tabCustoUnit[[#This Row],[MODULO 1 - REMUNERAÇÃO ]]*SUMIFS(tabParametros[FGTS],tabParametros[Código do Posto],tabCustoUnit[[#This Row],[Código do Posto]])</f>
        <v>136.24729599999998</v>
      </c>
      <c r="V232" s="21">
        <f>tabCustoUnit[[#This Row],[MODULO 1 - REMUNERAÇÃO ]]*SUMIFS(tabParametros[RAT Ajustado],tabParametros[Código do Posto],tabCustoUnit[[#This Row],[Código do Posto]])</f>
        <v>68.123647999999989</v>
      </c>
      <c r="W232" s="21">
        <f>tabCustoUnit[[#This Row],[MODULO 1 - REMUNERAÇÃO ]]*SUMIFS(tabParametros[SEBRAE],tabParametros[Código do Posto],tabCustoUnit[[#This Row],[Código do Posto]])</f>
        <v>10.2185472</v>
      </c>
      <c r="X232" s="21">
        <f>SUM(tabCustoUnit[[#This Row],[INSS]:[SEBRAE]])</f>
        <v>643.76847359999999</v>
      </c>
      <c r="Y232" s="21">
        <f>tabCustoUnit[[#This Row],[MODULO 1 - REMUNERAÇÃO ]]*SUMIFS(tabParametros[13º salário (titular)],tabParametros[Código do Posto],tabCustoUnit[[#This Row],[Código do Posto]])</f>
        <v>141.92426666666665</v>
      </c>
      <c r="Z232" s="21">
        <f>tabCustoUnit[[#This Row],[MODULO 1 - REMUNERAÇÃO ]]*SUMIFS(tabParametros[Férias e Adicional de Férias (titular)],tabParametros[Código do Posto],tabCustoUnit[[#This Row],[Código do Posto]])</f>
        <v>189.23235555555553</v>
      </c>
      <c r="AA232" s="21">
        <f>IFERROR((tabCustoUnit[[#This Row],[Submódulo 2.1]]/tabCustoUnit[[#This Row],[MODULO 1 - REMUNERAÇÃO ]])*SUM(tabCustoUnit[[#This Row],[13º salário (titular)]:[Férias e Adicional de Férias (titular)]]),0)</f>
        <v>125.17720319999999</v>
      </c>
      <c r="AB232" s="21">
        <f>SUM(tabCustoUnit[[#This Row],[13º salário (titular)]:[Incidência do Submódulo 2.1 sobre 13º Salário, Férias e Adicional de Férias]])</f>
        <v>456.33382542222216</v>
      </c>
      <c r="AC232" s="22">
        <f>_xlfn.LET(_xlpm.VT,SUMIF(tabParametros[Código do Posto],tabCustoUnit[[#This Row],[Código do Posto]],tabParametros[Vale - Transporte])*2*20,
IF((_xlpm.VT-tabCustoUnit[[#This Row],[Salário Base]]*0.06)&gt;=0,(_xlpm.VT-tabCustoUnit[[#This Row],[Salário Base]]*0.06),0)
)</f>
        <v>157.05279999999999</v>
      </c>
      <c r="AD232" s="22">
        <f>IF(SUMIF(tabParametros[Código do Posto],tabCustoUnit[[#This Row],[Código do Posto]],tabParametros[Vale - Alimentação])&lt;=0,0,
SUMIF(tabParametros[Código do Posto],tabCustoUnit[[#This Row],[Código do Posto]],tabParametros[Vale - Alimentação])*20-1)</f>
        <v>582</v>
      </c>
      <c r="AE232" s="22">
        <f>SUMIF(tabParametros[Código do Posto],tabCustoUnit[[#This Row],[Código do Posto]],tabParametros[Cesta Básica])</f>
        <v>0</v>
      </c>
      <c r="AF232" s="22">
        <f>SUMIF(tabParametros[Código do Posto],tabCustoUnit[[#This Row],[Código do Posto]],tabParametros[PAF])</f>
        <v>51.86</v>
      </c>
      <c r="AG232" s="22">
        <f>SUMIF(tabParametros[Código do Posto],tabCustoUnit[[#This Row],[Código do Posto]],tabParametros[PQM])</f>
        <v>0</v>
      </c>
      <c r="AH232" s="22">
        <f>SUMIF(tabParametros[Código do Posto],tabCustoUnit[[#This Row],[Código do Posto]],tabParametros[PAT])</f>
        <v>0</v>
      </c>
      <c r="AI232" s="22">
        <f>SUMIF(tabParametros[Código do Posto],tabCustoUnit[[#This Row],[Código do Posto]],tabParametros[Seguro de Vida])</f>
        <v>3.36</v>
      </c>
      <c r="AJ232" s="22">
        <f>SUMIF(tabParametros[Código do Posto],tabCustoUnit[[#This Row],[Código do Posto]],tabParametros[Despesas de Viagem])</f>
        <v>0</v>
      </c>
      <c r="AK232" s="22">
        <f>SUM(tabCustoUnit[[#This Row],[Vale - Transporte (Descontada parcela do empregado)]:[Despesas de Viagem]])</f>
        <v>794.27279999999996</v>
      </c>
      <c r="AL232" s="22">
        <f>tabCustoUnit[[#This Row],[Submódulo 2.1]]+tabCustoUnit[[#This Row],[Submódulo 2.2]]+tabCustoUnit[[#This Row],[Submódulo 2.3]]</f>
        <v>1894.3750990222222</v>
      </c>
      <c r="AM232" s="22">
        <f>SUMIF(tabParametros[Código do Posto],tabCustoUnit[[#This Row],[Código do Posto]],tabParametros[Aviso Prévio Indenizado (API) e Reflexo do Aviso Prévio Indenizado])*tabCustoUnit[[#This Row],[MODULO 1 - REMUNERAÇÃO ]]</f>
        <v>11.941678632098764</v>
      </c>
      <c r="AN232" s="22">
        <f>SUMIF(tabParametros[Código do Posto],tabCustoUnit[[#This Row],[Código do Posto]],tabParametros[Incidência do FGTS sobre API e Reflexo do API])*tabCustoUnit[[#This Row],[MODULO 1 - REMUNERAÇÃO ]]</f>
        <v>0.9553342905679012</v>
      </c>
      <c r="AO232" s="22">
        <f>SUMIF(tabParametros[Código do Posto],tabCustoUnit[[#This Row],[Código do Posto]],tabParametros[Multa Rescisória do FGTS sobre o Aviso Prévio Indenizado])*tabCustoUnit[[#This Row],[MODULO 1 - REMUNERAÇÃO ]]</f>
        <v>0.38213371622716052</v>
      </c>
      <c r="AP232" s="22">
        <f>SUMIF(tabParametros[Código do Posto],tabCustoUnit[[#This Row],[Código do Posto]],tabParametros[Aviso Prévio Trabalhado - APT])*tabCustoUnit[[#This Row],[MODULO 1 - REMUNERAÇÃO ]]</f>
        <v>5.9608192000000004</v>
      </c>
      <c r="AQ232" s="22">
        <f>SUMIF(tabParametros[Código do Posto],tabCustoUnit[[#This Row],[Código do Posto]],tabParametros[Incidência dos encargos do submódulo 2.1 sobre Aviso Prévio Trabalhado])*tabCustoUnit[[#This Row],[MODULO 1 - REMUNERAÇÃO ]]</f>
        <v>2.2531896576000006</v>
      </c>
      <c r="AR232" s="22">
        <f>SUMIF(tabParametros[Código do Posto],tabCustoUnit[[#This Row],[Código do Posto]],tabParametros[Multa Rescisória do FGTS])*tabCustoUnit[[#This Row],[MODULO 1 - REMUNERAÇÃO ]]</f>
        <v>52.076744248888879</v>
      </c>
      <c r="AS232" s="22">
        <f>SUMIF(tabParametros[Código do Posto],tabCustoUnit[[#This Row],[Código do Posto]],tabParametros[Indenização Adicional (Art. 9º da Lei nº 7.238/84)])*tabCustoUnit[[#This Row],[MODULO 1 - REMUNERAÇÃO ]]</f>
        <v>1.4192426666666667</v>
      </c>
      <c r="AT232" s="22">
        <f>SUM(tabCustoUnit[[#This Row],[Aviso Prévio Indenizado (API) e Reflexo do Aviso Prévio Indenizado]:[Indenização Adicional (Art. 9º da Lei nº 7.238/84)]])</f>
        <v>74.989142412049375</v>
      </c>
      <c r="AU232" s="22">
        <f>SUMIF(tabParametros[Código do Posto],tabCustoUnit[[#This Row],[Código do Posto]],tabParametros[Ausência por Doença])*tabCustoUnit[[#This Row],[MODULO 1 - REMUNERAÇÃO ]]</f>
        <v>14.38165902222222</v>
      </c>
      <c r="AV232" s="22">
        <f>SUMIF(tabParametros[Código do Posto],tabCustoUnit[[#This Row],[Código do Posto]],tabParametros[Ausências Legais])*tabCustoUnit[[#This Row],[MODULO 1 - REMUNERAÇÃO ]]</f>
        <v>3.4534904888888884</v>
      </c>
      <c r="AW232" s="22">
        <f>SUMIF(tabParametros[Código do Posto],tabCustoUnit[[#This Row],[Código do Posto]],tabParametros[Licença Paternidade])*tabCustoUnit[[#This Row],[MODULO 1 - REMUNERAÇÃO ]]</f>
        <v>0.29094474666666664</v>
      </c>
      <c r="AX232" s="22">
        <f>SUMIF(tabParametros[Código do Posto],tabCustoUnit[[#This Row],[Código do Posto]],tabParametros[Ausência por Acidente de Trabalho])*tabCustoUnit[[#This Row],[MODULO 1 - REMUNERAÇÃO ]]</f>
        <v>0.35481066666666666</v>
      </c>
      <c r="AY232" s="22">
        <f>SUMIF(tabParametros[Código do Posto],tabCustoUnit[[#This Row],[Código do Posto]],tabParametros[Férias, Adicional de Férias e 13º  com empregada em gozo de Licença Maternidade])*tabCustoUnit[[#This Row],[MODULO 1 - REMUNERAÇÃO ]]</f>
        <v>2.2077108148148143</v>
      </c>
      <c r="AZ232" s="22">
        <f>SUMIF(tabParametros[Código do Posto],tabCustoUnit[[#This Row],[Código do Posto]],tabParametros[Incidência do Submódulo 2.1 sobre Ausências Legais])*tabCustoUnit[[#This Row],[MODULO 1 - REMUNERAÇÃO ]]</f>
        <v>7.8202967494400006</v>
      </c>
      <c r="BA232" s="22">
        <f>SUM(tabCustoUnit[[#This Row],[Ausência por Doença]:[Incidência do Submódulo 2.1 sobre Ausências Legais]])</f>
        <v>28.508912488699256</v>
      </c>
      <c r="BB232" s="22">
        <f>SUMIF(tabParametros[Código do Posto],tabCustoUnit[[#This Row],[Código do Posto]],tabParametros[Intervalo para Repouso ou Alimentação])</f>
        <v>0</v>
      </c>
      <c r="BC232" s="22">
        <f>tabCustoUnit[[#This Row],[Intervalo para Repouso ou Alimentação]]</f>
        <v>0</v>
      </c>
      <c r="BD232" s="22">
        <f>IF(VLOOKUP(tabCustoUnit[[#This Row],[Código do Posto]],PARAMETROS!$A$4:$BJ$255,7,0)&lt;=0,0,
IFERROR((tabCustoUnit[[#This Row],[MODULO 1 - REMUNERAÇÃO ]]*VLOOKUP(tabCustoUnit[[#This Row],[Código do Posto]],PARAMETROS!$A$4:$BJ$255,49,0))/(VLOOKUP(tabCustoUnit[[#This Row],[Código do Posto]],PARAMETROS!$A$4:$BJ$255,7,0)*VLOOKUP(tabCustoUnit[[#This Row],[Código do Posto]],PARAMETROS!$A$4:$BJ$255,8,0)),0)
)</f>
        <v>0</v>
      </c>
      <c r="BE232" s="22">
        <f>tabCustoUnit[[#This Row],[Suspensão Temporária do Contrato de Trabalho]]</f>
        <v>0</v>
      </c>
      <c r="BF232" s="22">
        <f>tabCustoUnit[[#This Row],[Submódulo 4.1]]+tabCustoUnit[[#This Row],[Submódulo 4.2]]+tabCustoUnit[[#This Row],[Submódulo 4.3]]</f>
        <v>28.508912488699256</v>
      </c>
      <c r="BG232" s="22">
        <f>VLOOKUP(tabCustoUnit[[#This Row],[Código do Posto]],tabParametros[],MATCH(tabCustoUnit[[#Headers],[Uniformes e EPIs]],tabParametros[#Headers],0),0)</f>
        <v>100.80916666666666</v>
      </c>
      <c r="BH232" s="22">
        <f>VLOOKUP(tabCustoUnit[[#This Row],[Código do Posto]],tabParametros[],MATCH(tabCustoUnit[[#Headers],[Materiais de Consumo]],tabParametros[#Headers],0),0)</f>
        <v>35.518212958583888</v>
      </c>
      <c r="BI232" s="22">
        <f>VLOOKUP(tabCustoUnit[[#This Row],[Código do Posto]],tabParametros[],MATCH(tabCustoUnit[[#Headers],[Máquinas e Equipamentos (depreciação)]],tabParametros[#Headers],0),0)</f>
        <v>64.529393914825576</v>
      </c>
      <c r="BJ232" s="22">
        <f>VLOOKUP(tabCustoUnit[[#This Row],[Código do Posto]],tabParametros[],MATCH(tabCustoUnit[[#Headers],[Produtos de Limpeza e Materiais de Higiene Pessoal]],tabParametros[#Headers],0),0)</f>
        <v>690.27153277931654</v>
      </c>
      <c r="BK232" s="22">
        <f>VLOOKUP(tabCustoUnit[[#This Row],[Código do Posto]],tabParametros[],MATCH(tabCustoUnit[[#Headers],[Outros (especificar)]],tabParametros[#Headers],0),0)</f>
        <v>0</v>
      </c>
      <c r="BL232" s="22">
        <f>SUM(tabCustoUnit[[#This Row],[Uniformes e EPIs]:[Outros (especificar)]])</f>
        <v>891.12830631939266</v>
      </c>
      <c r="BM232" s="22">
        <f>tabCustoUnit[[#This Row],[MODULO 1 - REMUNERAÇÃO ]]+tabCustoUnit[[#This Row],[MÓDULO 2 - Total Encargos e Benefícios mensais e diários]]+tabCustoUnit[[#This Row],[MÓDULO 3 – PROVISÃO PARA RESCISÃO]]+tabCustoUnit[[#This Row],[MÓDULO 4 – CUSTO DE REPOSIÇÃO DO PROFISSIONAL AUSENTE]]+tabCustoUnit[[#This Row],[MÓDULO 5 – INSUMOS DIVERSOS]]</f>
        <v>4592.0926602423633</v>
      </c>
      <c r="BN232" s="22">
        <f>VLOOKUP(tabCustoUnit[[#This Row],[Código do Posto]],tabParametros[],MATCH(tabCustoUnit[[#Headers],[Custos Indiretos]],tabParametros[#Headers],0),0)</f>
        <v>189.64880140242613</v>
      </c>
      <c r="BO232" s="22">
        <f>VLOOKUP(tabCustoUnit[[#This Row],[Código do Posto]],tabParametros[],MATCH(tabCustoUnit[[#Headers],[Lucro]],tabParametros[#Headers],0),0)</f>
        <v>159.30499317803796</v>
      </c>
      <c r="BP232" s="26">
        <f>((100/((1-tabCustoUnit[[#This Row],[Resumo de Alíquotas (PIS+CONFINS+ISS)]]))-100)*VLOOKUP(tabCustoUnit[[#This Row],[Código do Posto]],tabParametros[],MATCH(tabCustoUnit[[#Headers],[COFINS]],tabParametros[#Headers],0),0))/(tabCustoUnit[[#This Row],[Resumo de Alíquotas (PIS+CONFINS+ISS)]]*100)</f>
        <v>8.6609686609686695E-2</v>
      </c>
      <c r="BQ232" s="26">
        <f>((100/((100-(tabCustoUnit[[#This Row],[Resumo de Alíquotas (PIS+CONFINS+ISS)]]*100))%)-100)*VLOOKUP(tabCustoUnit[[#This Row],[Código do Posto]],tabParametros[],MATCH(tabCustoUnit[[#Headers],[PIS]],tabParametros[#Headers],0),0))/(tabCustoUnit[[#This Row],[Resumo de Alíquotas (PIS+CONFINS+ISS)]]*100)</f>
        <v>1.880341880341882E-2</v>
      </c>
      <c r="BR232" s="28">
        <f>VLOOKUP(tabCustoUnit[[#This Row],[Código do Posto]],tabParametros[],MATCH(tabCustoUnit[[#Headers],[ISS]],tabParametros[#Headers],0),0)</f>
        <v>0.03</v>
      </c>
      <c r="BS232" s="26">
        <f>(((100/((100-(tabCustoUnit[[#This Row],[Resumo de Alíquotas (PIS+CONFINS+ISS)]]*100))%)-100)*tabCustoUnit[[#This Row],[ISS]])/tabCustoUnit[[#This Row],[Resumo de Alíquotas (PIS+CONFINS+ISS)]])/100</f>
        <v>3.4188034188034219E-2</v>
      </c>
      <c r="BT232" s="26">
        <f>(VLOOKUP(tabCustoUnit[[#This Row],[Código do Posto]],tabParametros[],MATCH(tabCustoUnit[[#Headers],[COFINS]],tabParametros[#Headers],0),0)+
VLOOKUP(tabCustoUnit[[#This Row],[Código do Posto]],tabParametros[],MATCH(tabCustoUnit[[#Headers],[PIS]],tabParametros[#Headers],0),0)+
VLOOKUP(tabCustoUnit[[#This Row],[Código do Posto]],tabParametros[],MATCH(tabCustoUnit[[#Headers],[ISS]],tabParametros[#Headers],0),0))</f>
        <v>0.1225</v>
      </c>
      <c r="BU232" s="138">
        <f>tabCustoUnit[[#This Row],[COFINS]]+tabCustoUnit[[#This Row],[PIS]]+tabCustoUnit[[#This Row],[ISS (Conversão Alíquota s/ fatura)]]</f>
        <v>0.13960113960113973</v>
      </c>
      <c r="BV232" s="22">
        <f>(tabCustoUnit[[#This Row],[TOTAL MÓDULOS 1+2+3+4+5]]+tabCustoUnit[[#This Row],[Custos Indiretos]]+tabCustoUnit[[#This Row],[Lucro]])*tabCustoUnit[[#This Row],[PIS + COFINS + ISS (Total Conversão  Alíquota s/ Fatura)]]</f>
        <v>689.77571591543813</v>
      </c>
      <c r="BW232" s="22">
        <f>tabCustoUnit[[#This Row],[Custos Indiretos]]+tabCustoUnit[[#This Row],[Lucro]]+tabCustoUnit[[#This Row],[Valor dos Tributos (ISS, PIS, CONFINS)]]</f>
        <v>1038.7295104959021</v>
      </c>
      <c r="BX232" s="22">
        <f>tabCustoUnit[[#This Row],[TOTAL MÓDULOS 1+2+3+4+5]]+tabCustoUnit[[#This Row],[MÓDULO 6 – CUSTOS INDIRETOS, TRIBUTOS E LUCRO]]</f>
        <v>5630.8221707382654</v>
      </c>
      <c r="BY232" s="22">
        <f>tabCustoUnit[[#This Row],[CUSTO TOTAL MENSAL]]*12</f>
        <v>67569.866048859185</v>
      </c>
      <c r="BZ232" s="24">
        <f>VLOOKUP(tabCustoUnit[[#This Row],[Código do Posto]],tabParametros[],MATCH(tabCustoUnit[[#Headers],[ANO DA CCT]],tabParametros[#Headers],0),0)</f>
        <v>45658</v>
      </c>
      <c r="CA232" s="25" t="str">
        <f>VLOOKUP(tabCustoUnit[[#This Row],[Código do Posto]],tabParametros[],MATCH(tabCustoUnit[[#Headers],[Nº DE PEDIDO DA CCT]],tabParametros[#Headers],0),0)</f>
        <v>-</v>
      </c>
      <c r="CB232" s="25" t="str">
        <f>VLOOKUP(tabCustoUnit[[#This Row],[Código do Posto]],tabParametros[],MATCH(tabCustoUnit[[#Headers],[TERMO ADITIVO ALTERAÇÃO DA CCT]],tabParametros[#Headers],0),0)</f>
        <v>-</v>
      </c>
    </row>
    <row r="233" spans="1:80" x14ac:dyDescent="0.25">
      <c r="A233" s="20" t="s">
        <v>1568</v>
      </c>
      <c r="B233" t="s">
        <v>212</v>
      </c>
      <c r="C233" t="s">
        <v>1244</v>
      </c>
      <c r="D233" t="s">
        <v>1041</v>
      </c>
      <c r="E233" s="20" t="s">
        <v>9</v>
      </c>
      <c r="F233" s="20" t="s">
        <v>10</v>
      </c>
      <c r="G233" s="21">
        <v>798.14</v>
      </c>
      <c r="H233" s="21">
        <v>0</v>
      </c>
      <c r="I233" s="21">
        <v>0</v>
      </c>
      <c r="J233" s="21">
        <v>0</v>
      </c>
      <c r="K233" s="21">
        <v>0</v>
      </c>
      <c r="L233" s="21">
        <v>0</v>
      </c>
      <c r="M233" s="21">
        <v>0</v>
      </c>
      <c r="N233" s="21">
        <v>26.120899999999999</v>
      </c>
      <c r="O233" s="21">
        <f>SUM(tabCustoUnit[[#This Row],[Salário Base]:[Adicional de Acúmulo de função]])</f>
        <v>824.26089999999999</v>
      </c>
      <c r="P233" s="21">
        <f>tabCustoUnit[[#This Row],[MODULO 1 - REMUNERAÇÃO ]]*SUMIFS(tabParametros[INSS],tabParametros[Código do Posto],tabCustoUnit[[#This Row],[Código do Posto]])</f>
        <v>164.85218</v>
      </c>
      <c r="Q233" s="21">
        <f>tabCustoUnit[[#This Row],[MODULO 1 - REMUNERAÇÃO ]]*SUMIFS(tabParametros[SESI OU SESC],tabParametros[Código do Posto],tabCustoUnit[[#This Row],[Código do Posto]])</f>
        <v>12.363913499999999</v>
      </c>
      <c r="R233" s="21">
        <f>tabCustoUnit[[#This Row],[MODULO 1 - REMUNERAÇÃO ]]*SUMIFS(tabParametros[SENAI OU SENAC],tabParametros[Código do Posto],tabCustoUnit[[#This Row],[Código do Posto]])</f>
        <v>8.2426089999999999</v>
      </c>
      <c r="S233" s="21">
        <f>tabCustoUnit[[#This Row],[MODULO 1 - REMUNERAÇÃO ]]*SUMIFS(tabParametros[INCRA],tabParametros[Código do Posto],tabCustoUnit[[#This Row],[Código do Posto]])</f>
        <v>1.6485217999999999</v>
      </c>
      <c r="T233" s="21">
        <f>tabCustoUnit[[#This Row],[MODULO 1 - REMUNERAÇÃO ]]*SUMIFS(tabParametros[Salário Educação],tabParametros[Código do Posto],tabCustoUnit[[#This Row],[Código do Posto]])</f>
        <v>20.606522500000001</v>
      </c>
      <c r="U233" s="21">
        <f>tabCustoUnit[[#This Row],[MODULO 1 - REMUNERAÇÃO ]]*SUMIFS(tabParametros[FGTS],tabParametros[Código do Posto],tabCustoUnit[[#This Row],[Código do Posto]])</f>
        <v>65.940871999999999</v>
      </c>
      <c r="V233" s="21">
        <f>tabCustoUnit[[#This Row],[MODULO 1 - REMUNERAÇÃO ]]*SUMIFS(tabParametros[RAT Ajustado],tabParametros[Código do Posto],tabCustoUnit[[#This Row],[Código do Posto]])</f>
        <v>32.970435999999999</v>
      </c>
      <c r="W233" s="21">
        <f>tabCustoUnit[[#This Row],[MODULO 1 - REMUNERAÇÃO ]]*SUMIFS(tabParametros[SEBRAE],tabParametros[Código do Posto],tabCustoUnit[[#This Row],[Código do Posto]])</f>
        <v>4.9455654000000004</v>
      </c>
      <c r="X233" s="21">
        <f>SUM(tabCustoUnit[[#This Row],[INSS]:[SEBRAE]])</f>
        <v>311.57062020000001</v>
      </c>
      <c r="Y233" s="21">
        <f>tabCustoUnit[[#This Row],[MODULO 1 - REMUNERAÇÃO ]]*SUMIFS(tabParametros[13º salário (titular)],tabParametros[Código do Posto],tabCustoUnit[[#This Row],[Código do Posto]])</f>
        <v>68.688408333333328</v>
      </c>
      <c r="Z233" s="21">
        <f>tabCustoUnit[[#This Row],[MODULO 1 - REMUNERAÇÃO ]]*SUMIFS(tabParametros[Férias e Adicional de Férias (titular)],tabParametros[Código do Posto],tabCustoUnit[[#This Row],[Código do Posto]])</f>
        <v>91.584544444444433</v>
      </c>
      <c r="AA233" s="21">
        <f>IFERROR((tabCustoUnit[[#This Row],[Submódulo 2.1]]/tabCustoUnit[[#This Row],[MODULO 1 - REMUNERAÇÃO ]])*SUM(tabCustoUnit[[#This Row],[13º salário (titular)]:[Férias e Adicional de Férias (titular)]]),0)</f>
        <v>60.583176149999993</v>
      </c>
      <c r="AB233" s="21">
        <f>SUM(tabCustoUnit[[#This Row],[13º salário (titular)]:[Incidência do Submódulo 2.1 sobre 13º Salário, Férias e Adicional de Férias]])</f>
        <v>220.85612892777775</v>
      </c>
      <c r="AC233" s="22">
        <f>_xlfn.LET(_xlpm.VT,SUMIF(tabParametros[Código do Posto],tabCustoUnit[[#This Row],[Código do Posto]],tabParametros[Vale - Transporte])*2*20,
IF((_xlpm.VT-tabCustoUnit[[#This Row],[Salário Base]]*0.06)&gt;=0,(_xlpm.VT-tabCustoUnit[[#This Row],[Salário Base]]*0.06),0)
)</f>
        <v>208.11160000000001</v>
      </c>
      <c r="AD233" s="22">
        <f>IF(SUMIF(tabParametros[Código do Posto],tabCustoUnit[[#This Row],[Código do Posto]],tabParametros[Vale - Alimentação])&lt;=0,0,
SUMIF(tabParametros[Código do Posto],tabCustoUnit[[#This Row],[Código do Posto]],tabParametros[Vale - Alimentação])*20-1)</f>
        <v>582</v>
      </c>
      <c r="AE233" s="22">
        <f>SUMIF(tabParametros[Código do Posto],tabCustoUnit[[#This Row],[Código do Posto]],tabParametros[Cesta Básica])</f>
        <v>0</v>
      </c>
      <c r="AF233" s="22">
        <f>SUMIF(tabParametros[Código do Posto],tabCustoUnit[[#This Row],[Código do Posto]],tabParametros[PAF])</f>
        <v>0</v>
      </c>
      <c r="AG233" s="22">
        <f>SUMIF(tabParametros[Código do Posto],tabCustoUnit[[#This Row],[Código do Posto]],tabParametros[PQM])</f>
        <v>0</v>
      </c>
      <c r="AH233" s="22">
        <f>SUMIF(tabParametros[Código do Posto],tabCustoUnit[[#This Row],[Código do Posto]],tabParametros[PAT])</f>
        <v>0</v>
      </c>
      <c r="AI233" s="22">
        <f>SUMIF(tabParametros[Código do Posto],tabCustoUnit[[#This Row],[Código do Posto]],tabParametros[Seguro de Vida])</f>
        <v>3.36</v>
      </c>
      <c r="AJ233" s="22">
        <f>SUMIF(tabParametros[Código do Posto],tabCustoUnit[[#This Row],[Código do Posto]],tabParametros[Despesas de Viagem])</f>
        <v>0</v>
      </c>
      <c r="AK233" s="22">
        <f>SUM(tabCustoUnit[[#This Row],[Vale - Transporte (Descontada parcela do empregado)]:[Despesas de Viagem]])</f>
        <v>793.47159999999997</v>
      </c>
      <c r="AL233" s="22">
        <f>tabCustoUnit[[#This Row],[Submódulo 2.1]]+tabCustoUnit[[#This Row],[Submódulo 2.2]]+tabCustoUnit[[#This Row],[Submódulo 2.3]]</f>
        <v>1325.8983491277777</v>
      </c>
      <c r="AM233" s="22">
        <f>SUMIF(tabParametros[Código do Posto],tabCustoUnit[[#This Row],[Código do Posto]],tabParametros[Aviso Prévio Indenizado (API) e Reflexo do Aviso Prévio Indenizado])*tabCustoUnit[[#This Row],[MODULO 1 - REMUNERAÇÃO ]]</f>
        <v>5.7795253576581791</v>
      </c>
      <c r="AN233" s="22">
        <f>SUMIF(tabParametros[Código do Posto],tabCustoUnit[[#This Row],[Código do Posto]],tabParametros[Incidência do FGTS sobre API e Reflexo do API])*tabCustoUnit[[#This Row],[MODULO 1 - REMUNERAÇÃO ]]</f>
        <v>0.46236202861265435</v>
      </c>
      <c r="AO233" s="22">
        <f>SUMIF(tabParametros[Código do Posto],tabCustoUnit[[#This Row],[Código do Posto]],tabParametros[Multa Rescisória do FGTS sobre o Aviso Prévio Indenizado])*tabCustoUnit[[#This Row],[MODULO 1 - REMUNERAÇÃO ]]</f>
        <v>0.18494481144506175</v>
      </c>
      <c r="AP233" s="22">
        <f>SUMIF(tabParametros[Código do Posto],tabCustoUnit[[#This Row],[Código do Posto]],tabParametros[Aviso Prévio Trabalhado - APT])*tabCustoUnit[[#This Row],[MODULO 1 - REMUNERAÇÃO ]]</f>
        <v>2.8849131500000005</v>
      </c>
      <c r="AQ233" s="22">
        <f>SUMIF(tabParametros[Código do Posto],tabCustoUnit[[#This Row],[Código do Posto]],tabParametros[Incidência dos encargos do submódulo 2.1 sobre Aviso Prévio Trabalhado])*tabCustoUnit[[#This Row],[MODULO 1 - REMUNERAÇÃO ]]</f>
        <v>1.0904971707000004</v>
      </c>
      <c r="AR233" s="22">
        <f>SUMIF(tabParametros[Código do Posto],tabCustoUnit[[#This Row],[Código do Posto]],tabParametros[Multa Rescisória do FGTS])*tabCustoUnit[[#This Row],[MODULO 1 - REMUNERAÇÃO ]]</f>
        <v>25.204066631111107</v>
      </c>
      <c r="AS233" s="22">
        <f>SUMIF(tabParametros[Código do Posto],tabCustoUnit[[#This Row],[Código do Posto]],tabParametros[Indenização Adicional (Art. 9º da Lei nº 7.238/84)])*tabCustoUnit[[#This Row],[MODULO 1 - REMUNERAÇÃO ]]</f>
        <v>0.6868840833333334</v>
      </c>
      <c r="AT233" s="22">
        <f>SUM(tabCustoUnit[[#This Row],[Aviso Prévio Indenizado (API) e Reflexo do Aviso Prévio Indenizado]:[Indenização Adicional (Art. 9º da Lei nº 7.238/84)]])</f>
        <v>36.293193232860339</v>
      </c>
      <c r="AU233" s="22">
        <f>SUMIF(tabParametros[Código do Posto],tabCustoUnit[[#This Row],[Código do Posto]],tabParametros[Ausência por Doença])*tabCustoUnit[[#This Row],[MODULO 1 - REMUNERAÇÃO ]]</f>
        <v>6.9604253777777769</v>
      </c>
      <c r="AV233" s="22">
        <f>SUMIF(tabParametros[Código do Posto],tabCustoUnit[[#This Row],[Código do Posto]],tabParametros[Ausências Legais])*tabCustoUnit[[#This Row],[MODULO 1 - REMUNERAÇÃO ]]</f>
        <v>1.671417936111111</v>
      </c>
      <c r="AW233" s="22">
        <f>SUMIF(tabParametros[Código do Posto],tabCustoUnit[[#This Row],[Código do Posto]],tabParametros[Licença Paternidade])*tabCustoUnit[[#This Row],[MODULO 1 - REMUNERAÇÃO ]]</f>
        <v>0.14081123708333332</v>
      </c>
      <c r="AX233" s="22">
        <f>SUMIF(tabParametros[Código do Posto],tabCustoUnit[[#This Row],[Código do Posto]],tabParametros[Ausência por Acidente de Trabalho])*tabCustoUnit[[#This Row],[MODULO 1 - REMUNERAÇÃO ]]</f>
        <v>0.17172102083333335</v>
      </c>
      <c r="AY233" s="22">
        <f>SUMIF(tabParametros[Código do Posto],tabCustoUnit[[#This Row],[Código do Posto]],tabParametros[Férias, Adicional de Férias e 13º  com empregada em gozo de Licença Maternidade])*tabCustoUnit[[#This Row],[MODULO 1 - REMUNERAÇÃO ]]</f>
        <v>1.0684863518518517</v>
      </c>
      <c r="AZ233" s="22">
        <f>SUMIF(tabParametros[Código do Posto],tabCustoUnit[[#This Row],[Código do Posto]],tabParametros[Incidência do Submódulo 2.1 sobre Ausências Legais])*tabCustoUnit[[#This Row],[MODULO 1 - REMUNERAÇÃO ]]</f>
        <v>3.7848618071425006</v>
      </c>
      <c r="BA233" s="22">
        <f>SUM(tabCustoUnit[[#This Row],[Ausência por Doença]:[Incidência do Submódulo 2.1 sobre Ausências Legais]])</f>
        <v>13.797723730799909</v>
      </c>
      <c r="BB233" s="22">
        <f>SUMIF(tabParametros[Código do Posto],tabCustoUnit[[#This Row],[Código do Posto]],tabParametros[Intervalo para Repouso ou Alimentação])</f>
        <v>0</v>
      </c>
      <c r="BC233" s="22">
        <f>tabCustoUnit[[#This Row],[Intervalo para Repouso ou Alimentação]]</f>
        <v>0</v>
      </c>
      <c r="BD233" s="22">
        <f>IF(VLOOKUP(tabCustoUnit[[#This Row],[Código do Posto]],PARAMETROS!$A$4:$BJ$255,7,0)&lt;=0,0,
IFERROR((tabCustoUnit[[#This Row],[MODULO 1 - REMUNERAÇÃO ]]*VLOOKUP(tabCustoUnit[[#This Row],[Código do Posto]],PARAMETROS!$A$4:$BJ$255,49,0))/(VLOOKUP(tabCustoUnit[[#This Row],[Código do Posto]],PARAMETROS!$A$4:$BJ$255,7,0)*VLOOKUP(tabCustoUnit[[#This Row],[Código do Posto]],PARAMETROS!$A$4:$BJ$255,8,0)),0)
)</f>
        <v>0</v>
      </c>
      <c r="BE233" s="22">
        <f>tabCustoUnit[[#This Row],[Suspensão Temporária do Contrato de Trabalho]]</f>
        <v>0</v>
      </c>
      <c r="BF233" s="22">
        <f>tabCustoUnit[[#This Row],[Submódulo 4.1]]+tabCustoUnit[[#This Row],[Submódulo 4.2]]+tabCustoUnit[[#This Row],[Submódulo 4.3]]</f>
        <v>13.797723730799909</v>
      </c>
      <c r="BG233" s="22">
        <f>VLOOKUP(tabCustoUnit[[#This Row],[Código do Posto]],tabParametros[],MATCH(tabCustoUnit[[#Headers],[Uniformes e EPIs]],tabParametros[#Headers],0),0)</f>
        <v>62.806666666666665</v>
      </c>
      <c r="BH233" s="22">
        <f>VLOOKUP(tabCustoUnit[[#This Row],[Código do Posto]],tabParametros[],MATCH(tabCustoUnit[[#Headers],[Materiais de Consumo]],tabParametros[#Headers],0),0)</f>
        <v>17.759106479291944</v>
      </c>
      <c r="BI233" s="22">
        <f>VLOOKUP(tabCustoUnit[[#This Row],[Código do Posto]],tabParametros[],MATCH(tabCustoUnit[[#Headers],[Máquinas e Equipamentos (depreciação)]],tabParametros[#Headers],0),0)</f>
        <v>32.264696957412788</v>
      </c>
      <c r="BJ233" s="22">
        <f>VLOOKUP(tabCustoUnit[[#This Row],[Código do Posto]],tabParametros[],MATCH(tabCustoUnit[[#Headers],[Produtos de Limpeza e Materiais de Higiene Pessoal]],tabParametros[#Headers],0),0)</f>
        <v>345.13576638965827</v>
      </c>
      <c r="BK233" s="22">
        <f>VLOOKUP(tabCustoUnit[[#This Row],[Código do Posto]],tabParametros[],MATCH(tabCustoUnit[[#Headers],[Outros (especificar)]],tabParametros[#Headers],0),0)</f>
        <v>0</v>
      </c>
      <c r="BL233" s="22">
        <f>SUM(tabCustoUnit[[#This Row],[Uniformes e EPIs]:[Outros (especificar)]])</f>
        <v>457.96623649302967</v>
      </c>
      <c r="BM233" s="22">
        <f>tabCustoUnit[[#This Row],[MODULO 1 - REMUNERAÇÃO ]]+tabCustoUnit[[#This Row],[MÓDULO 2 - Total Encargos e Benefícios mensais e diários]]+tabCustoUnit[[#This Row],[MÓDULO 3 – PROVISÃO PARA RESCISÃO]]+tabCustoUnit[[#This Row],[MÓDULO 4 – CUSTO DE REPOSIÇÃO DO PROFISSIONAL AUSENTE]]+tabCustoUnit[[#This Row],[MÓDULO 5 – INSUMOS DIVERSOS]]</f>
        <v>2658.2164025844677</v>
      </c>
      <c r="BN233" s="22">
        <f>VLOOKUP(tabCustoUnit[[#This Row],[Código do Posto]],tabParametros[],MATCH(tabCustoUnit[[#Headers],[Custos Indiretos]],tabParametros[#Headers],0),0)</f>
        <v>189.64880140242613</v>
      </c>
      <c r="BO233" s="22">
        <f>VLOOKUP(tabCustoUnit[[#This Row],[Código do Posto]],tabParametros[],MATCH(tabCustoUnit[[#Headers],[Lucro]],tabParametros[#Headers],0),0)</f>
        <v>159.30499317803796</v>
      </c>
      <c r="BP233" s="26">
        <f>((100/((1-tabCustoUnit[[#This Row],[Resumo de Alíquotas (PIS+CONFINS+ISS)]]))-100)*VLOOKUP(tabCustoUnit[[#This Row],[Código do Posto]],tabParametros[],MATCH(tabCustoUnit[[#Headers],[COFINS]],tabParametros[#Headers],0),0))/(tabCustoUnit[[#This Row],[Resumo de Alíquotas (PIS+CONFINS+ISS)]]*100)</f>
        <v>8.6609686609686695E-2</v>
      </c>
      <c r="BQ233" s="26">
        <f>((100/((100-(tabCustoUnit[[#This Row],[Resumo de Alíquotas (PIS+CONFINS+ISS)]]*100))%)-100)*VLOOKUP(tabCustoUnit[[#This Row],[Código do Posto]],tabParametros[],MATCH(tabCustoUnit[[#Headers],[PIS]],tabParametros[#Headers],0),0))/(tabCustoUnit[[#This Row],[Resumo de Alíquotas (PIS+CONFINS+ISS)]]*100)</f>
        <v>1.880341880341882E-2</v>
      </c>
      <c r="BR233" s="28">
        <f>VLOOKUP(tabCustoUnit[[#This Row],[Código do Posto]],tabParametros[],MATCH(tabCustoUnit[[#Headers],[ISS]],tabParametros[#Headers],0),0)</f>
        <v>0.03</v>
      </c>
      <c r="BS233" s="26">
        <f>(((100/((100-(tabCustoUnit[[#This Row],[Resumo de Alíquotas (PIS+CONFINS+ISS)]]*100))%)-100)*tabCustoUnit[[#This Row],[ISS]])/tabCustoUnit[[#This Row],[Resumo de Alíquotas (PIS+CONFINS+ISS)]])/100</f>
        <v>3.4188034188034219E-2</v>
      </c>
      <c r="BT233" s="26">
        <f>(VLOOKUP(tabCustoUnit[[#This Row],[Código do Posto]],tabParametros[],MATCH(tabCustoUnit[[#Headers],[COFINS]],tabParametros[#Headers],0),0)+
VLOOKUP(tabCustoUnit[[#This Row],[Código do Posto]],tabParametros[],MATCH(tabCustoUnit[[#Headers],[PIS]],tabParametros[#Headers],0),0)+
VLOOKUP(tabCustoUnit[[#This Row],[Código do Posto]],tabParametros[],MATCH(tabCustoUnit[[#Headers],[ISS]],tabParametros[#Headers],0),0))</f>
        <v>0.1225</v>
      </c>
      <c r="BU233" s="138">
        <f>tabCustoUnit[[#This Row],[COFINS]]+tabCustoUnit[[#This Row],[PIS]]+tabCustoUnit[[#This Row],[ISS (Conversão Alíquota s/ fatura)]]</f>
        <v>0.13960113960113973</v>
      </c>
      <c r="BV233" s="22">
        <f>(tabCustoUnit[[#This Row],[TOTAL MÓDULOS 1+2+3+4+5]]+tabCustoUnit[[#This Row],[Custos Indiretos]]+tabCustoUnit[[#This Row],[Lucro]])*tabCustoUnit[[#This Row],[PIS + COFINS + ISS (Total Conversão  Alíquota s/ Fatura)]]</f>
        <v>419.80438649880853</v>
      </c>
      <c r="BW233" s="22">
        <f>tabCustoUnit[[#This Row],[Custos Indiretos]]+tabCustoUnit[[#This Row],[Lucro]]+tabCustoUnit[[#This Row],[Valor dos Tributos (ISS, PIS, CONFINS)]]</f>
        <v>768.75818107927262</v>
      </c>
      <c r="BX233" s="22">
        <f>tabCustoUnit[[#This Row],[TOTAL MÓDULOS 1+2+3+4+5]]+tabCustoUnit[[#This Row],[MÓDULO 6 – CUSTOS INDIRETOS, TRIBUTOS E LUCRO]]</f>
        <v>3426.9745836637403</v>
      </c>
      <c r="BY233" s="22">
        <f>tabCustoUnit[[#This Row],[CUSTO TOTAL MENSAL]]*12</f>
        <v>41123.69500396488</v>
      </c>
      <c r="BZ233" s="24">
        <f>VLOOKUP(tabCustoUnit[[#This Row],[Código do Posto]],tabParametros[],MATCH(tabCustoUnit[[#Headers],[ANO DA CCT]],tabParametros[#Headers],0),0)</f>
        <v>45658</v>
      </c>
      <c r="CA233" s="25" t="str">
        <f>VLOOKUP(tabCustoUnit[[#This Row],[Código do Posto]],tabParametros[],MATCH(tabCustoUnit[[#Headers],[Nº DE PEDIDO DA CCT]],tabParametros[#Headers],0),0)</f>
        <v>-</v>
      </c>
      <c r="CB233" s="25" t="str">
        <f>VLOOKUP(tabCustoUnit[[#This Row],[Código do Posto]],tabParametros[],MATCH(tabCustoUnit[[#Headers],[TERMO ADITIVO ALTERAÇÃO DA CCT]],tabParametros[#Headers],0),0)</f>
        <v>-</v>
      </c>
    </row>
    <row r="234" spans="1:80" x14ac:dyDescent="0.25">
      <c r="A234" s="20" t="s">
        <v>1569</v>
      </c>
      <c r="B234" t="s">
        <v>213</v>
      </c>
      <c r="C234" t="s">
        <v>1245</v>
      </c>
      <c r="D234" t="s">
        <v>213</v>
      </c>
      <c r="E234" s="20" t="s">
        <v>9</v>
      </c>
      <c r="F234" s="20" t="s">
        <v>10</v>
      </c>
      <c r="G234" s="21">
        <v>1649.12</v>
      </c>
      <c r="H234" s="21">
        <v>0</v>
      </c>
      <c r="I234" s="21">
        <v>0</v>
      </c>
      <c r="J234" s="21">
        <v>0</v>
      </c>
      <c r="K234" s="21">
        <v>0</v>
      </c>
      <c r="L234" s="21">
        <v>0</v>
      </c>
      <c r="M234" s="21">
        <v>0</v>
      </c>
      <c r="N234" s="21">
        <v>53.971200000000003</v>
      </c>
      <c r="O234" s="21">
        <f>SUM(tabCustoUnit[[#This Row],[Salário Base]:[Adicional de Acúmulo de função]])</f>
        <v>1703.0911999999998</v>
      </c>
      <c r="P234" s="21">
        <f>tabCustoUnit[[#This Row],[MODULO 1 - REMUNERAÇÃO ]]*SUMIFS(tabParametros[INSS],tabParametros[Código do Posto],tabCustoUnit[[#This Row],[Código do Posto]])</f>
        <v>340.61824000000001</v>
      </c>
      <c r="Q234" s="21">
        <f>tabCustoUnit[[#This Row],[MODULO 1 - REMUNERAÇÃO ]]*SUMIFS(tabParametros[SESI OU SESC],tabParametros[Código do Posto],tabCustoUnit[[#This Row],[Código do Posto]])</f>
        <v>25.546367999999998</v>
      </c>
      <c r="R234" s="21">
        <f>tabCustoUnit[[#This Row],[MODULO 1 - REMUNERAÇÃO ]]*SUMIFS(tabParametros[SENAI OU SENAC],tabParametros[Código do Posto],tabCustoUnit[[#This Row],[Código do Posto]])</f>
        <v>17.030911999999997</v>
      </c>
      <c r="S234" s="21">
        <f>tabCustoUnit[[#This Row],[MODULO 1 - REMUNERAÇÃO ]]*SUMIFS(tabParametros[INCRA],tabParametros[Código do Posto],tabCustoUnit[[#This Row],[Código do Posto]])</f>
        <v>3.4061823999999996</v>
      </c>
      <c r="T234" s="21">
        <f>tabCustoUnit[[#This Row],[MODULO 1 - REMUNERAÇÃO ]]*SUMIFS(tabParametros[Salário Educação],tabParametros[Código do Posto],tabCustoUnit[[#This Row],[Código do Posto]])</f>
        <v>42.577280000000002</v>
      </c>
      <c r="U234" s="21">
        <f>tabCustoUnit[[#This Row],[MODULO 1 - REMUNERAÇÃO ]]*SUMIFS(tabParametros[FGTS],tabParametros[Código do Posto],tabCustoUnit[[#This Row],[Código do Posto]])</f>
        <v>136.24729599999998</v>
      </c>
      <c r="V234" s="21">
        <f>tabCustoUnit[[#This Row],[MODULO 1 - REMUNERAÇÃO ]]*SUMIFS(tabParametros[RAT Ajustado],tabParametros[Código do Posto],tabCustoUnit[[#This Row],[Código do Posto]])</f>
        <v>68.123647999999989</v>
      </c>
      <c r="W234" s="21">
        <f>tabCustoUnit[[#This Row],[MODULO 1 - REMUNERAÇÃO ]]*SUMIFS(tabParametros[SEBRAE],tabParametros[Código do Posto],tabCustoUnit[[#This Row],[Código do Posto]])</f>
        <v>10.2185472</v>
      </c>
      <c r="X234" s="21">
        <f>SUM(tabCustoUnit[[#This Row],[INSS]:[SEBRAE]])</f>
        <v>643.76847359999999</v>
      </c>
      <c r="Y234" s="21">
        <f>tabCustoUnit[[#This Row],[MODULO 1 - REMUNERAÇÃO ]]*SUMIFS(tabParametros[13º salário (titular)],tabParametros[Código do Posto],tabCustoUnit[[#This Row],[Código do Posto]])</f>
        <v>141.92426666666665</v>
      </c>
      <c r="Z234" s="21">
        <f>tabCustoUnit[[#This Row],[MODULO 1 - REMUNERAÇÃO ]]*SUMIFS(tabParametros[Férias e Adicional de Férias (titular)],tabParametros[Código do Posto],tabCustoUnit[[#This Row],[Código do Posto]])</f>
        <v>189.23235555555553</v>
      </c>
      <c r="AA234" s="21">
        <f>IFERROR((tabCustoUnit[[#This Row],[Submódulo 2.1]]/tabCustoUnit[[#This Row],[MODULO 1 - REMUNERAÇÃO ]])*SUM(tabCustoUnit[[#This Row],[13º salário (titular)]:[Férias e Adicional de Férias (titular)]]),0)</f>
        <v>125.17720319999999</v>
      </c>
      <c r="AB234" s="21">
        <f>SUM(tabCustoUnit[[#This Row],[13º salário (titular)]:[Incidência do Submódulo 2.1 sobre 13º Salário, Férias e Adicional de Férias]])</f>
        <v>456.33382542222216</v>
      </c>
      <c r="AC234" s="22">
        <f>_xlfn.LET(_xlpm.VT,SUMIF(tabParametros[Código do Posto],tabCustoUnit[[#This Row],[Código do Posto]],tabParametros[Vale - Transporte])*2*20,
IF((_xlpm.VT-tabCustoUnit[[#This Row],[Salário Base]]*0.06)&gt;=0,(_xlpm.VT-tabCustoUnit[[#This Row],[Salário Base]]*0.06),0)
)</f>
        <v>157.05279999999999</v>
      </c>
      <c r="AD234" s="22">
        <f>IF(SUMIF(tabParametros[Código do Posto],tabCustoUnit[[#This Row],[Código do Posto]],tabParametros[Vale - Alimentação])&lt;=0,0,
SUMIF(tabParametros[Código do Posto],tabCustoUnit[[#This Row],[Código do Posto]],tabParametros[Vale - Alimentação])*20-1)</f>
        <v>582</v>
      </c>
      <c r="AE234" s="22">
        <f>SUMIF(tabParametros[Código do Posto],tabCustoUnit[[#This Row],[Código do Posto]],tabParametros[Cesta Básica])</f>
        <v>0</v>
      </c>
      <c r="AF234" s="22">
        <f>SUMIF(tabParametros[Código do Posto],tabCustoUnit[[#This Row],[Código do Posto]],tabParametros[PAF])</f>
        <v>0</v>
      </c>
      <c r="AG234" s="22">
        <f>SUMIF(tabParametros[Código do Posto],tabCustoUnit[[#This Row],[Código do Posto]],tabParametros[PQM])</f>
        <v>15.07</v>
      </c>
      <c r="AH234" s="22">
        <f>SUMIF(tabParametros[Código do Posto],tabCustoUnit[[#This Row],[Código do Posto]],tabParametros[PAT])</f>
        <v>0</v>
      </c>
      <c r="AI234" s="22">
        <f>SUMIF(tabParametros[Código do Posto],tabCustoUnit[[#This Row],[Código do Posto]],tabParametros[Seguro de Vida])</f>
        <v>3.36</v>
      </c>
      <c r="AJ234" s="22">
        <f>SUMIF(tabParametros[Código do Posto],tabCustoUnit[[#This Row],[Código do Posto]],tabParametros[Despesas de Viagem])</f>
        <v>0</v>
      </c>
      <c r="AK234" s="22">
        <f>SUM(tabCustoUnit[[#This Row],[Vale - Transporte (Descontada parcela do empregado)]:[Despesas de Viagem]])</f>
        <v>757.4828</v>
      </c>
      <c r="AL234" s="22">
        <f>tabCustoUnit[[#This Row],[Submódulo 2.1]]+tabCustoUnit[[#This Row],[Submódulo 2.2]]+tabCustoUnit[[#This Row],[Submódulo 2.3]]</f>
        <v>1857.5850990222223</v>
      </c>
      <c r="AM234" s="22">
        <f>SUMIF(tabParametros[Código do Posto],tabCustoUnit[[#This Row],[Código do Posto]],tabParametros[Aviso Prévio Indenizado (API) e Reflexo do Aviso Prévio Indenizado])*tabCustoUnit[[#This Row],[MODULO 1 - REMUNERAÇÃO ]]</f>
        <v>11.941678632098764</v>
      </c>
      <c r="AN234" s="22">
        <f>SUMIF(tabParametros[Código do Posto],tabCustoUnit[[#This Row],[Código do Posto]],tabParametros[Incidência do FGTS sobre API e Reflexo do API])*tabCustoUnit[[#This Row],[MODULO 1 - REMUNERAÇÃO ]]</f>
        <v>0.9553342905679012</v>
      </c>
      <c r="AO234" s="22">
        <f>SUMIF(tabParametros[Código do Posto],tabCustoUnit[[#This Row],[Código do Posto]],tabParametros[Multa Rescisória do FGTS sobre o Aviso Prévio Indenizado])*tabCustoUnit[[#This Row],[MODULO 1 - REMUNERAÇÃO ]]</f>
        <v>0.38213371622716052</v>
      </c>
      <c r="AP234" s="22">
        <f>SUMIF(tabParametros[Código do Posto],tabCustoUnit[[#This Row],[Código do Posto]],tabParametros[Aviso Prévio Trabalhado - APT])*tabCustoUnit[[#This Row],[MODULO 1 - REMUNERAÇÃO ]]</f>
        <v>5.9608192000000004</v>
      </c>
      <c r="AQ234" s="22">
        <f>SUMIF(tabParametros[Código do Posto],tabCustoUnit[[#This Row],[Código do Posto]],tabParametros[Incidência dos encargos do submódulo 2.1 sobre Aviso Prévio Trabalhado])*tabCustoUnit[[#This Row],[MODULO 1 - REMUNERAÇÃO ]]</f>
        <v>2.2531896576000006</v>
      </c>
      <c r="AR234" s="22">
        <f>SUMIF(tabParametros[Código do Posto],tabCustoUnit[[#This Row],[Código do Posto]],tabParametros[Multa Rescisória do FGTS])*tabCustoUnit[[#This Row],[MODULO 1 - REMUNERAÇÃO ]]</f>
        <v>52.076744248888879</v>
      </c>
      <c r="AS234" s="22">
        <f>SUMIF(tabParametros[Código do Posto],tabCustoUnit[[#This Row],[Código do Posto]],tabParametros[Indenização Adicional (Art. 9º da Lei nº 7.238/84)])*tabCustoUnit[[#This Row],[MODULO 1 - REMUNERAÇÃO ]]</f>
        <v>1.4192426666666667</v>
      </c>
      <c r="AT234" s="22">
        <f>SUM(tabCustoUnit[[#This Row],[Aviso Prévio Indenizado (API) e Reflexo do Aviso Prévio Indenizado]:[Indenização Adicional (Art. 9º da Lei nº 7.238/84)]])</f>
        <v>74.989142412049375</v>
      </c>
      <c r="AU234" s="22">
        <f>SUMIF(tabParametros[Código do Posto],tabCustoUnit[[#This Row],[Código do Posto]],tabParametros[Ausência por Doença])*tabCustoUnit[[#This Row],[MODULO 1 - REMUNERAÇÃO ]]</f>
        <v>14.38165902222222</v>
      </c>
      <c r="AV234" s="22">
        <f>SUMIF(tabParametros[Código do Posto],tabCustoUnit[[#This Row],[Código do Posto]],tabParametros[Ausências Legais])*tabCustoUnit[[#This Row],[MODULO 1 - REMUNERAÇÃO ]]</f>
        <v>3.4534904888888884</v>
      </c>
      <c r="AW234" s="22">
        <f>SUMIF(tabParametros[Código do Posto],tabCustoUnit[[#This Row],[Código do Posto]],tabParametros[Licença Paternidade])*tabCustoUnit[[#This Row],[MODULO 1 - REMUNERAÇÃO ]]</f>
        <v>0.29094474666666664</v>
      </c>
      <c r="AX234" s="22">
        <f>SUMIF(tabParametros[Código do Posto],tabCustoUnit[[#This Row],[Código do Posto]],tabParametros[Ausência por Acidente de Trabalho])*tabCustoUnit[[#This Row],[MODULO 1 - REMUNERAÇÃO ]]</f>
        <v>0.35481066666666666</v>
      </c>
      <c r="AY234" s="22">
        <f>SUMIF(tabParametros[Código do Posto],tabCustoUnit[[#This Row],[Código do Posto]],tabParametros[Férias, Adicional de Férias e 13º  com empregada em gozo de Licença Maternidade])*tabCustoUnit[[#This Row],[MODULO 1 - REMUNERAÇÃO ]]</f>
        <v>2.2077108148148143</v>
      </c>
      <c r="AZ234" s="22">
        <f>SUMIF(tabParametros[Código do Posto],tabCustoUnit[[#This Row],[Código do Posto]],tabParametros[Incidência do Submódulo 2.1 sobre Ausências Legais])*tabCustoUnit[[#This Row],[MODULO 1 - REMUNERAÇÃO ]]</f>
        <v>7.8202967494400006</v>
      </c>
      <c r="BA234" s="22">
        <f>SUM(tabCustoUnit[[#This Row],[Ausência por Doença]:[Incidência do Submódulo 2.1 sobre Ausências Legais]])</f>
        <v>28.508912488699256</v>
      </c>
      <c r="BB234" s="22">
        <f>SUMIF(tabParametros[Código do Posto],tabCustoUnit[[#This Row],[Código do Posto]],tabParametros[Intervalo para Repouso ou Alimentação])</f>
        <v>0</v>
      </c>
      <c r="BC234" s="22">
        <f>tabCustoUnit[[#This Row],[Intervalo para Repouso ou Alimentação]]</f>
        <v>0</v>
      </c>
      <c r="BD234" s="22">
        <f>IF(VLOOKUP(tabCustoUnit[[#This Row],[Código do Posto]],PARAMETROS!$A$4:$BJ$255,7,0)&lt;=0,0,
IFERROR((tabCustoUnit[[#This Row],[MODULO 1 - REMUNERAÇÃO ]]*VLOOKUP(tabCustoUnit[[#This Row],[Código do Posto]],PARAMETROS!$A$4:$BJ$255,49,0))/(VLOOKUP(tabCustoUnit[[#This Row],[Código do Posto]],PARAMETROS!$A$4:$BJ$255,7,0)*VLOOKUP(tabCustoUnit[[#This Row],[Código do Posto]],PARAMETROS!$A$4:$BJ$255,8,0)),0)
)</f>
        <v>0</v>
      </c>
      <c r="BE234" s="22">
        <f>tabCustoUnit[[#This Row],[Suspensão Temporária do Contrato de Trabalho]]</f>
        <v>0</v>
      </c>
      <c r="BF234" s="22">
        <f>tabCustoUnit[[#This Row],[Submódulo 4.1]]+tabCustoUnit[[#This Row],[Submódulo 4.2]]+tabCustoUnit[[#This Row],[Submódulo 4.3]]</f>
        <v>28.508912488699256</v>
      </c>
      <c r="BG234" s="22">
        <f>VLOOKUP(tabCustoUnit[[#This Row],[Código do Posto]],tabParametros[],MATCH(tabCustoUnit[[#Headers],[Uniformes e EPIs]],tabParametros[#Headers],0),0)</f>
        <v>100.80916666666666</v>
      </c>
      <c r="BH234" s="22">
        <f>VLOOKUP(tabCustoUnit[[#This Row],[Código do Posto]],tabParametros[],MATCH(tabCustoUnit[[#Headers],[Materiais de Consumo]],tabParametros[#Headers],0),0)</f>
        <v>35.518212958583888</v>
      </c>
      <c r="BI234" s="22">
        <f>VLOOKUP(tabCustoUnit[[#This Row],[Código do Posto]],tabParametros[],MATCH(tabCustoUnit[[#Headers],[Máquinas e Equipamentos (depreciação)]],tabParametros[#Headers],0),0)</f>
        <v>64.529393914825576</v>
      </c>
      <c r="BJ234" s="22">
        <f>VLOOKUP(tabCustoUnit[[#This Row],[Código do Posto]],tabParametros[],MATCH(tabCustoUnit[[#Headers],[Produtos de Limpeza e Materiais de Higiene Pessoal]],tabParametros[#Headers],0),0)</f>
        <v>690.27153277931654</v>
      </c>
      <c r="BK234" s="22">
        <f>VLOOKUP(tabCustoUnit[[#This Row],[Código do Posto]],tabParametros[],MATCH(tabCustoUnit[[#Headers],[Outros (especificar)]],tabParametros[#Headers],0),0)</f>
        <v>0</v>
      </c>
      <c r="BL234" s="22">
        <f>SUM(tabCustoUnit[[#This Row],[Uniformes e EPIs]:[Outros (especificar)]])</f>
        <v>891.12830631939266</v>
      </c>
      <c r="BM234" s="22">
        <f>tabCustoUnit[[#This Row],[MODULO 1 - REMUNERAÇÃO ]]+tabCustoUnit[[#This Row],[MÓDULO 2 - Total Encargos e Benefícios mensais e diários]]+tabCustoUnit[[#This Row],[MÓDULO 3 – PROVISÃO PARA RESCISÃO]]+tabCustoUnit[[#This Row],[MÓDULO 4 – CUSTO DE REPOSIÇÃO DO PROFISSIONAL AUSENTE]]+tabCustoUnit[[#This Row],[MÓDULO 5 – INSUMOS DIVERSOS]]</f>
        <v>4555.3026602423633</v>
      </c>
      <c r="BN234" s="22">
        <f>VLOOKUP(tabCustoUnit[[#This Row],[Código do Posto]],tabParametros[],MATCH(tabCustoUnit[[#Headers],[Custos Indiretos]],tabParametros[#Headers],0),0)</f>
        <v>189.64880140242613</v>
      </c>
      <c r="BO234" s="22">
        <f>VLOOKUP(tabCustoUnit[[#This Row],[Código do Posto]],tabParametros[],MATCH(tabCustoUnit[[#Headers],[Lucro]],tabParametros[#Headers],0),0)</f>
        <v>159.30499317803796</v>
      </c>
      <c r="BP234" s="26">
        <f>((100/((1-tabCustoUnit[[#This Row],[Resumo de Alíquotas (PIS+CONFINS+ISS)]]))-100)*VLOOKUP(tabCustoUnit[[#This Row],[Código do Posto]],tabParametros[],MATCH(tabCustoUnit[[#Headers],[COFINS]],tabParametros[#Headers],0),0))/(tabCustoUnit[[#This Row],[Resumo de Alíquotas (PIS+CONFINS+ISS)]]*100)</f>
        <v>8.6609686609686695E-2</v>
      </c>
      <c r="BQ234" s="26">
        <f>((100/((100-(tabCustoUnit[[#This Row],[Resumo de Alíquotas (PIS+CONFINS+ISS)]]*100))%)-100)*VLOOKUP(tabCustoUnit[[#This Row],[Código do Posto]],tabParametros[],MATCH(tabCustoUnit[[#Headers],[PIS]],tabParametros[#Headers],0),0))/(tabCustoUnit[[#This Row],[Resumo de Alíquotas (PIS+CONFINS+ISS)]]*100)</f>
        <v>1.880341880341882E-2</v>
      </c>
      <c r="BR234" s="28">
        <f>VLOOKUP(tabCustoUnit[[#This Row],[Código do Posto]],tabParametros[],MATCH(tabCustoUnit[[#Headers],[ISS]],tabParametros[#Headers],0),0)</f>
        <v>0.03</v>
      </c>
      <c r="BS234" s="26">
        <f>(((100/((100-(tabCustoUnit[[#This Row],[Resumo de Alíquotas (PIS+CONFINS+ISS)]]*100))%)-100)*tabCustoUnit[[#This Row],[ISS]])/tabCustoUnit[[#This Row],[Resumo de Alíquotas (PIS+CONFINS+ISS)]])/100</f>
        <v>3.4188034188034219E-2</v>
      </c>
      <c r="BT234" s="26">
        <f>(VLOOKUP(tabCustoUnit[[#This Row],[Código do Posto]],tabParametros[],MATCH(tabCustoUnit[[#Headers],[COFINS]],tabParametros[#Headers],0),0)+
VLOOKUP(tabCustoUnit[[#This Row],[Código do Posto]],tabParametros[],MATCH(tabCustoUnit[[#Headers],[PIS]],tabParametros[#Headers],0),0)+
VLOOKUP(tabCustoUnit[[#This Row],[Código do Posto]],tabParametros[],MATCH(tabCustoUnit[[#Headers],[ISS]],tabParametros[#Headers],0),0))</f>
        <v>0.1225</v>
      </c>
      <c r="BU234" s="138">
        <f>tabCustoUnit[[#This Row],[COFINS]]+tabCustoUnit[[#This Row],[PIS]]+tabCustoUnit[[#This Row],[ISS (Conversão Alíquota s/ fatura)]]</f>
        <v>0.13960113960113973</v>
      </c>
      <c r="BV234" s="22">
        <f>(tabCustoUnit[[#This Row],[TOTAL MÓDULOS 1+2+3+4+5]]+tabCustoUnit[[#This Row],[Custos Indiretos]]+tabCustoUnit[[#This Row],[Lucro]])*tabCustoUnit[[#This Row],[PIS + COFINS + ISS (Total Conversão  Alíquota s/ Fatura)]]</f>
        <v>684.63978998951222</v>
      </c>
      <c r="BW234" s="22">
        <f>tabCustoUnit[[#This Row],[Custos Indiretos]]+tabCustoUnit[[#This Row],[Lucro]]+tabCustoUnit[[#This Row],[Valor dos Tributos (ISS, PIS, CONFINS)]]</f>
        <v>1033.5935845699764</v>
      </c>
      <c r="BX234" s="22">
        <f>tabCustoUnit[[#This Row],[TOTAL MÓDULOS 1+2+3+4+5]]+tabCustoUnit[[#This Row],[MÓDULO 6 – CUSTOS INDIRETOS, TRIBUTOS E LUCRO]]</f>
        <v>5588.8962448123402</v>
      </c>
      <c r="BY234" s="22">
        <f>tabCustoUnit[[#This Row],[CUSTO TOTAL MENSAL]]*12</f>
        <v>67066.754937748075</v>
      </c>
      <c r="BZ234" s="24">
        <f>VLOOKUP(tabCustoUnit[[#This Row],[Código do Posto]],tabParametros[],MATCH(tabCustoUnit[[#Headers],[ANO DA CCT]],tabParametros[#Headers],0),0)</f>
        <v>45658</v>
      </c>
      <c r="CA234" s="25" t="str">
        <f>VLOOKUP(tabCustoUnit[[#This Row],[Código do Posto]],tabParametros[],MATCH(tabCustoUnit[[#Headers],[Nº DE PEDIDO DA CCT]],tabParametros[#Headers],0),0)</f>
        <v>-</v>
      </c>
      <c r="CB234" s="25" t="str">
        <f>VLOOKUP(tabCustoUnit[[#This Row],[Código do Posto]],tabParametros[],MATCH(tabCustoUnit[[#Headers],[TERMO ADITIVO ALTERAÇÃO DA CCT]],tabParametros[#Headers],0),0)</f>
        <v>-</v>
      </c>
    </row>
    <row r="235" spans="1:80" x14ac:dyDescent="0.25">
      <c r="A235" s="20" t="s">
        <v>1570</v>
      </c>
      <c r="B235" t="s">
        <v>214</v>
      </c>
      <c r="C235" t="s">
        <v>1245</v>
      </c>
      <c r="D235" t="s">
        <v>1037</v>
      </c>
      <c r="E235" s="20" t="s">
        <v>9</v>
      </c>
      <c r="F235" s="20" t="s">
        <v>10</v>
      </c>
      <c r="G235" s="21">
        <v>1596.28</v>
      </c>
      <c r="H235" s="21">
        <v>0</v>
      </c>
      <c r="I235" s="21">
        <v>0</v>
      </c>
      <c r="J235" s="21">
        <v>0</v>
      </c>
      <c r="K235" s="21">
        <v>0</v>
      </c>
      <c r="L235" s="21">
        <v>0</v>
      </c>
      <c r="M235" s="21">
        <v>0</v>
      </c>
      <c r="N235" s="21">
        <v>52.241900000000001</v>
      </c>
      <c r="O235" s="21">
        <f>SUM(tabCustoUnit[[#This Row],[Salário Base]:[Adicional de Acúmulo de função]])</f>
        <v>1648.5219</v>
      </c>
      <c r="P235" s="21">
        <f>tabCustoUnit[[#This Row],[MODULO 1 - REMUNERAÇÃO ]]*SUMIFS(tabParametros[INSS],tabParametros[Código do Posto],tabCustoUnit[[#This Row],[Código do Posto]])</f>
        <v>329.70438000000001</v>
      </c>
      <c r="Q235" s="21">
        <f>tabCustoUnit[[#This Row],[MODULO 1 - REMUNERAÇÃO ]]*SUMIFS(tabParametros[SESI OU SESC],tabParametros[Código do Posto],tabCustoUnit[[#This Row],[Código do Posto]])</f>
        <v>24.727828499999998</v>
      </c>
      <c r="R235" s="21">
        <f>tabCustoUnit[[#This Row],[MODULO 1 - REMUNERAÇÃO ]]*SUMIFS(tabParametros[SENAI OU SENAC],tabParametros[Código do Posto],tabCustoUnit[[#This Row],[Código do Posto]])</f>
        <v>16.485219000000001</v>
      </c>
      <c r="S235" s="21">
        <f>tabCustoUnit[[#This Row],[MODULO 1 - REMUNERAÇÃO ]]*SUMIFS(tabParametros[INCRA],tabParametros[Código do Posto],tabCustoUnit[[#This Row],[Código do Posto]])</f>
        <v>3.2970438</v>
      </c>
      <c r="T235" s="21">
        <f>tabCustoUnit[[#This Row],[MODULO 1 - REMUNERAÇÃO ]]*SUMIFS(tabParametros[Salário Educação],tabParametros[Código do Posto],tabCustoUnit[[#This Row],[Código do Posto]])</f>
        <v>41.213047500000002</v>
      </c>
      <c r="U235" s="21">
        <f>tabCustoUnit[[#This Row],[MODULO 1 - REMUNERAÇÃO ]]*SUMIFS(tabParametros[FGTS],tabParametros[Código do Posto],tabCustoUnit[[#This Row],[Código do Posto]])</f>
        <v>131.88175200000001</v>
      </c>
      <c r="V235" s="21">
        <f>tabCustoUnit[[#This Row],[MODULO 1 - REMUNERAÇÃO ]]*SUMIFS(tabParametros[RAT Ajustado],tabParametros[Código do Posto],tabCustoUnit[[#This Row],[Código do Posto]])</f>
        <v>65.940876000000003</v>
      </c>
      <c r="W235" s="21">
        <f>tabCustoUnit[[#This Row],[MODULO 1 - REMUNERAÇÃO ]]*SUMIFS(tabParametros[SEBRAE],tabParametros[Código do Posto],tabCustoUnit[[#This Row],[Código do Posto]])</f>
        <v>9.8911314000000008</v>
      </c>
      <c r="X235" s="21">
        <f>SUM(tabCustoUnit[[#This Row],[INSS]:[SEBRAE]])</f>
        <v>623.14127819999999</v>
      </c>
      <c r="Y235" s="21">
        <f>tabCustoUnit[[#This Row],[MODULO 1 - REMUNERAÇÃO ]]*SUMIFS(tabParametros[13º salário (titular)],tabParametros[Código do Posto],tabCustoUnit[[#This Row],[Código do Posto]])</f>
        <v>137.376825</v>
      </c>
      <c r="Z235" s="21">
        <f>tabCustoUnit[[#This Row],[MODULO 1 - REMUNERAÇÃO ]]*SUMIFS(tabParametros[Férias e Adicional de Férias (titular)],tabParametros[Código do Posto],tabCustoUnit[[#This Row],[Código do Posto]])</f>
        <v>183.16909999999999</v>
      </c>
      <c r="AA235" s="21">
        <f>IFERROR((tabCustoUnit[[#This Row],[Submódulo 2.1]]/tabCustoUnit[[#This Row],[MODULO 1 - REMUNERAÇÃO ]])*SUM(tabCustoUnit[[#This Row],[13º salário (titular)]:[Férias e Adicional de Férias (titular)]]),0)</f>
        <v>121.16635965</v>
      </c>
      <c r="AB235" s="21">
        <f>SUM(tabCustoUnit[[#This Row],[13º salário (titular)]:[Incidência do Submódulo 2.1 sobre 13º Salário, Férias e Adicional de Férias]])</f>
        <v>441.71228465000002</v>
      </c>
      <c r="AC235" s="22">
        <f>_xlfn.LET(_xlpm.VT,SUMIF(tabParametros[Código do Posto],tabCustoUnit[[#This Row],[Código do Posto]],tabParametros[Vale - Transporte])*2*20,
IF((_xlpm.VT-tabCustoUnit[[#This Row],[Salário Base]]*0.06)&gt;=0,(_xlpm.VT-tabCustoUnit[[#This Row],[Salário Base]]*0.06),0)
)</f>
        <v>160.22320000000002</v>
      </c>
      <c r="AD235" s="22">
        <f>IF(SUMIF(tabParametros[Código do Posto],tabCustoUnit[[#This Row],[Código do Posto]],tabParametros[Vale - Alimentação])&lt;=0,0,
SUMIF(tabParametros[Código do Posto],tabCustoUnit[[#This Row],[Código do Posto]],tabParametros[Vale - Alimentação])*20-1)</f>
        <v>582</v>
      </c>
      <c r="AE235" s="22">
        <f>SUMIF(tabParametros[Código do Posto],tabCustoUnit[[#This Row],[Código do Posto]],tabParametros[Cesta Básica])</f>
        <v>0</v>
      </c>
      <c r="AF235" s="22">
        <f>SUMIF(tabParametros[Código do Posto],tabCustoUnit[[#This Row],[Código do Posto]],tabParametros[PAF])</f>
        <v>51.86</v>
      </c>
      <c r="AG235" s="22">
        <f>SUMIF(tabParametros[Código do Posto],tabCustoUnit[[#This Row],[Código do Posto]],tabParametros[PQM])</f>
        <v>0</v>
      </c>
      <c r="AH235" s="22">
        <f>SUMIF(tabParametros[Código do Posto],tabCustoUnit[[#This Row],[Código do Posto]],tabParametros[PAT])</f>
        <v>0</v>
      </c>
      <c r="AI235" s="22">
        <f>SUMIF(tabParametros[Código do Posto],tabCustoUnit[[#This Row],[Código do Posto]],tabParametros[Seguro de Vida])</f>
        <v>3.36</v>
      </c>
      <c r="AJ235" s="22">
        <f>SUMIF(tabParametros[Código do Posto],tabCustoUnit[[#This Row],[Código do Posto]],tabParametros[Despesas de Viagem])</f>
        <v>0</v>
      </c>
      <c r="AK235" s="22">
        <f>SUM(tabCustoUnit[[#This Row],[Vale - Transporte (Descontada parcela do empregado)]:[Despesas de Viagem]])</f>
        <v>797.44320000000005</v>
      </c>
      <c r="AL235" s="22">
        <f>tabCustoUnit[[#This Row],[Submódulo 2.1]]+tabCustoUnit[[#This Row],[Submódulo 2.2]]+tabCustoUnit[[#This Row],[Submódulo 2.3]]</f>
        <v>1862.2967628500001</v>
      </c>
      <c r="AM235" s="22">
        <f>SUMIF(tabParametros[Código do Posto],tabCustoUnit[[#This Row],[Código do Posto]],tabParametros[Aviso Prévio Indenizado (API) e Reflexo do Aviso Prévio Indenizado])*tabCustoUnit[[#This Row],[MODULO 1 - REMUNERAÇÃO ]]</f>
        <v>11.559051416493055</v>
      </c>
      <c r="AN235" s="22">
        <f>SUMIF(tabParametros[Código do Posto],tabCustoUnit[[#This Row],[Código do Posto]],tabParametros[Incidência do FGTS sobre API e Reflexo do API])*tabCustoUnit[[#This Row],[MODULO 1 - REMUNERAÇÃO ]]</f>
        <v>0.92472411331944449</v>
      </c>
      <c r="AO235" s="22">
        <f>SUMIF(tabParametros[Código do Posto],tabCustoUnit[[#This Row],[Código do Posto]],tabParametros[Multa Rescisória do FGTS sobre o Aviso Prévio Indenizado])*tabCustoUnit[[#This Row],[MODULO 1 - REMUNERAÇÃO ]]</f>
        <v>0.36988964532777785</v>
      </c>
      <c r="AP235" s="22">
        <f>SUMIF(tabParametros[Código do Posto],tabCustoUnit[[#This Row],[Código do Posto]],tabParametros[Aviso Prévio Trabalhado - APT])*tabCustoUnit[[#This Row],[MODULO 1 - REMUNERAÇÃO ]]</f>
        <v>5.7698266500000006</v>
      </c>
      <c r="AQ235" s="22">
        <f>SUMIF(tabParametros[Código do Posto],tabCustoUnit[[#This Row],[Código do Posto]],tabParametros[Incidência dos encargos do submódulo 2.1 sobre Aviso Prévio Trabalhado])*tabCustoUnit[[#This Row],[MODULO 1 - REMUNERAÇÃO ]]</f>
        <v>2.1809944737000007</v>
      </c>
      <c r="AR235" s="22">
        <f>SUMIF(tabParametros[Código do Posto],tabCustoUnit[[#This Row],[Código do Posto]],tabParametros[Multa Rescisória do FGTS])*tabCustoUnit[[#This Row],[MODULO 1 - REMUNERAÇÃO ]]</f>
        <v>50.40813631999999</v>
      </c>
      <c r="AS235" s="22">
        <f>SUMIF(tabParametros[Código do Posto],tabCustoUnit[[#This Row],[Código do Posto]],tabParametros[Indenização Adicional (Art. 9º da Lei nº 7.238/84)])*tabCustoUnit[[#This Row],[MODULO 1 - REMUNERAÇÃO ]]</f>
        <v>1.3737682500000001</v>
      </c>
      <c r="AT235" s="22">
        <f>SUM(tabCustoUnit[[#This Row],[Aviso Prévio Indenizado (API) e Reflexo do Aviso Prévio Indenizado]:[Indenização Adicional (Art. 9º da Lei nº 7.238/84)]])</f>
        <v>72.586390868840269</v>
      </c>
      <c r="AU235" s="22">
        <f>SUMIF(tabParametros[Código do Posto],tabCustoUnit[[#This Row],[Código do Posto]],tabParametros[Ausência por Doença])*tabCustoUnit[[#This Row],[MODULO 1 - REMUNERAÇÃO ]]</f>
        <v>13.920851599999999</v>
      </c>
      <c r="AV235" s="22">
        <f>SUMIF(tabParametros[Código do Posto],tabCustoUnit[[#This Row],[Código do Posto]],tabParametros[Ausências Legais])*tabCustoUnit[[#This Row],[MODULO 1 - REMUNERAÇÃO ]]</f>
        <v>3.3428360749999997</v>
      </c>
      <c r="AW235" s="22">
        <f>SUMIF(tabParametros[Código do Posto],tabCustoUnit[[#This Row],[Código do Posto]],tabParametros[Licença Paternidade])*tabCustoUnit[[#This Row],[MODULO 1 - REMUNERAÇÃO ]]</f>
        <v>0.28162249125</v>
      </c>
      <c r="AX235" s="22">
        <f>SUMIF(tabParametros[Código do Posto],tabCustoUnit[[#This Row],[Código do Posto]],tabParametros[Ausência por Acidente de Trabalho])*tabCustoUnit[[#This Row],[MODULO 1 - REMUNERAÇÃO ]]</f>
        <v>0.34344206250000003</v>
      </c>
      <c r="AY235" s="22">
        <f>SUMIF(tabParametros[Código do Posto],tabCustoUnit[[#This Row],[Código do Posto]],tabParametros[Férias, Adicional de Férias e 13º  com empregada em gozo de Licença Maternidade])*tabCustoUnit[[#This Row],[MODULO 1 - REMUNERAÇÃO ]]</f>
        <v>2.1369728333333331</v>
      </c>
      <c r="AZ235" s="22">
        <f>SUMIF(tabParametros[Código do Posto],tabCustoUnit[[#This Row],[Código do Posto]],tabParametros[Incidência do Submódulo 2.1 sobre Ausências Legais])*tabCustoUnit[[#This Row],[MODULO 1 - REMUNERAÇÃO ]]</f>
        <v>7.5697240734675013</v>
      </c>
      <c r="BA235" s="22">
        <f>SUM(tabCustoUnit[[#This Row],[Ausência por Doença]:[Incidência do Submódulo 2.1 sobre Ausências Legais]])</f>
        <v>27.595449135550833</v>
      </c>
      <c r="BB235" s="22">
        <f>SUMIF(tabParametros[Código do Posto],tabCustoUnit[[#This Row],[Código do Posto]],tabParametros[Intervalo para Repouso ou Alimentação])</f>
        <v>0</v>
      </c>
      <c r="BC235" s="22">
        <f>tabCustoUnit[[#This Row],[Intervalo para Repouso ou Alimentação]]</f>
        <v>0</v>
      </c>
      <c r="BD235" s="22">
        <f>IF(VLOOKUP(tabCustoUnit[[#This Row],[Código do Posto]],PARAMETROS!$A$4:$BJ$255,7,0)&lt;=0,0,
IFERROR((tabCustoUnit[[#This Row],[MODULO 1 - REMUNERAÇÃO ]]*VLOOKUP(tabCustoUnit[[#This Row],[Código do Posto]],PARAMETROS!$A$4:$BJ$255,49,0))/(VLOOKUP(tabCustoUnit[[#This Row],[Código do Posto]],PARAMETROS!$A$4:$BJ$255,7,0)*VLOOKUP(tabCustoUnit[[#This Row],[Código do Posto]],PARAMETROS!$A$4:$BJ$255,8,0)),0)
)</f>
        <v>0</v>
      </c>
      <c r="BE235" s="22">
        <f>tabCustoUnit[[#This Row],[Suspensão Temporária do Contrato de Trabalho]]</f>
        <v>0</v>
      </c>
      <c r="BF235" s="22">
        <f>tabCustoUnit[[#This Row],[Submódulo 4.1]]+tabCustoUnit[[#This Row],[Submódulo 4.2]]+tabCustoUnit[[#This Row],[Submódulo 4.3]]</f>
        <v>27.595449135550833</v>
      </c>
      <c r="BG235" s="22">
        <f>VLOOKUP(tabCustoUnit[[#This Row],[Código do Posto]],tabParametros[],MATCH(tabCustoUnit[[#Headers],[Uniformes e EPIs]],tabParametros[#Headers],0),0)</f>
        <v>100.80916666666666</v>
      </c>
      <c r="BH235" s="22">
        <f>VLOOKUP(tabCustoUnit[[#This Row],[Código do Posto]],tabParametros[],MATCH(tabCustoUnit[[#Headers],[Materiais de Consumo]],tabParametros[#Headers],0),0)</f>
        <v>35.518212958583888</v>
      </c>
      <c r="BI235" s="22">
        <f>VLOOKUP(tabCustoUnit[[#This Row],[Código do Posto]],tabParametros[],MATCH(tabCustoUnit[[#Headers],[Máquinas e Equipamentos (depreciação)]],tabParametros[#Headers],0),0)</f>
        <v>64.529393914825576</v>
      </c>
      <c r="BJ235" s="22">
        <f>VLOOKUP(tabCustoUnit[[#This Row],[Código do Posto]],tabParametros[],MATCH(tabCustoUnit[[#Headers],[Produtos de Limpeza e Materiais de Higiene Pessoal]],tabParametros[#Headers],0),0)</f>
        <v>690.27153277931654</v>
      </c>
      <c r="BK235" s="22">
        <f>VLOOKUP(tabCustoUnit[[#This Row],[Código do Posto]],tabParametros[],MATCH(tabCustoUnit[[#Headers],[Outros (especificar)]],tabParametros[#Headers],0),0)</f>
        <v>0</v>
      </c>
      <c r="BL235" s="22">
        <f>SUM(tabCustoUnit[[#This Row],[Uniformes e EPIs]:[Outros (especificar)]])</f>
        <v>891.12830631939266</v>
      </c>
      <c r="BM235" s="22">
        <f>tabCustoUnit[[#This Row],[MODULO 1 - REMUNERAÇÃO ]]+tabCustoUnit[[#This Row],[MÓDULO 2 - Total Encargos e Benefícios mensais e diários]]+tabCustoUnit[[#This Row],[MÓDULO 3 – PROVISÃO PARA RESCISÃO]]+tabCustoUnit[[#This Row],[MÓDULO 4 – CUSTO DE REPOSIÇÃO DO PROFISSIONAL AUSENTE]]+tabCustoUnit[[#This Row],[MÓDULO 5 – INSUMOS DIVERSOS]]</f>
        <v>4502.1288091737833</v>
      </c>
      <c r="BN235" s="22">
        <f>VLOOKUP(tabCustoUnit[[#This Row],[Código do Posto]],tabParametros[],MATCH(tabCustoUnit[[#Headers],[Custos Indiretos]],tabParametros[#Headers],0),0)</f>
        <v>189.64880140242613</v>
      </c>
      <c r="BO235" s="22">
        <f>VLOOKUP(tabCustoUnit[[#This Row],[Código do Posto]],tabParametros[],MATCH(tabCustoUnit[[#Headers],[Lucro]],tabParametros[#Headers],0),0)</f>
        <v>159.30499317803796</v>
      </c>
      <c r="BP235" s="26">
        <f>((100/((1-tabCustoUnit[[#This Row],[Resumo de Alíquotas (PIS+CONFINS+ISS)]]))-100)*VLOOKUP(tabCustoUnit[[#This Row],[Código do Posto]],tabParametros[],MATCH(tabCustoUnit[[#Headers],[COFINS]],tabParametros[#Headers],0),0))/(tabCustoUnit[[#This Row],[Resumo de Alíquotas (PIS+CONFINS+ISS)]]*100)</f>
        <v>8.6609686609686695E-2</v>
      </c>
      <c r="BQ235" s="26">
        <f>((100/((100-(tabCustoUnit[[#This Row],[Resumo de Alíquotas (PIS+CONFINS+ISS)]]*100))%)-100)*VLOOKUP(tabCustoUnit[[#This Row],[Código do Posto]],tabParametros[],MATCH(tabCustoUnit[[#Headers],[PIS]],tabParametros[#Headers],0),0))/(tabCustoUnit[[#This Row],[Resumo de Alíquotas (PIS+CONFINS+ISS)]]*100)</f>
        <v>1.880341880341882E-2</v>
      </c>
      <c r="BR235" s="28">
        <f>VLOOKUP(tabCustoUnit[[#This Row],[Código do Posto]],tabParametros[],MATCH(tabCustoUnit[[#Headers],[ISS]],tabParametros[#Headers],0),0)</f>
        <v>0.03</v>
      </c>
      <c r="BS235" s="26">
        <f>(((100/((100-(tabCustoUnit[[#This Row],[Resumo de Alíquotas (PIS+CONFINS+ISS)]]*100))%)-100)*tabCustoUnit[[#This Row],[ISS]])/tabCustoUnit[[#This Row],[Resumo de Alíquotas (PIS+CONFINS+ISS)]])/100</f>
        <v>3.4188034188034219E-2</v>
      </c>
      <c r="BT235" s="26">
        <f>(VLOOKUP(tabCustoUnit[[#This Row],[Código do Posto]],tabParametros[],MATCH(tabCustoUnit[[#Headers],[COFINS]],tabParametros[#Headers],0),0)+
VLOOKUP(tabCustoUnit[[#This Row],[Código do Posto]],tabParametros[],MATCH(tabCustoUnit[[#Headers],[PIS]],tabParametros[#Headers],0),0)+
VLOOKUP(tabCustoUnit[[#This Row],[Código do Posto]],tabParametros[],MATCH(tabCustoUnit[[#Headers],[ISS]],tabParametros[#Headers],0),0))</f>
        <v>0.1225</v>
      </c>
      <c r="BU235" s="138">
        <f>tabCustoUnit[[#This Row],[COFINS]]+tabCustoUnit[[#This Row],[PIS]]+tabCustoUnit[[#This Row],[ISS (Conversão Alíquota s/ fatura)]]</f>
        <v>0.13960113960113973</v>
      </c>
      <c r="BV235" s="22">
        <f>(tabCustoUnit[[#This Row],[TOTAL MÓDULOS 1+2+3+4+5]]+tabCustoUnit[[#This Row],[Custos Indiretos]]+tabCustoUnit[[#This Row],[Lucro]])*tabCustoUnit[[#This Row],[PIS + COFINS + ISS (Total Conversão  Alíquota s/ Fatura)]]</f>
        <v>677.21665978335716</v>
      </c>
      <c r="BW235" s="22">
        <f>tabCustoUnit[[#This Row],[Custos Indiretos]]+tabCustoUnit[[#This Row],[Lucro]]+tabCustoUnit[[#This Row],[Valor dos Tributos (ISS, PIS, CONFINS)]]</f>
        <v>1026.1704543638211</v>
      </c>
      <c r="BX235" s="22">
        <f>tabCustoUnit[[#This Row],[TOTAL MÓDULOS 1+2+3+4+5]]+tabCustoUnit[[#This Row],[MÓDULO 6 – CUSTOS INDIRETOS, TRIBUTOS E LUCRO]]</f>
        <v>5528.2992635376049</v>
      </c>
      <c r="BY235" s="22">
        <f>tabCustoUnit[[#This Row],[CUSTO TOTAL MENSAL]]*12</f>
        <v>66339.591162451252</v>
      </c>
      <c r="BZ235" s="24">
        <f>VLOOKUP(tabCustoUnit[[#This Row],[Código do Posto]],tabParametros[],MATCH(tabCustoUnit[[#Headers],[ANO DA CCT]],tabParametros[#Headers],0),0)</f>
        <v>45658</v>
      </c>
      <c r="CA235" s="25" t="str">
        <f>VLOOKUP(tabCustoUnit[[#This Row],[Código do Posto]],tabParametros[],MATCH(tabCustoUnit[[#Headers],[Nº DE PEDIDO DA CCT]],tabParametros[#Headers],0),0)</f>
        <v>-</v>
      </c>
      <c r="CB235" s="25" t="str">
        <f>VLOOKUP(tabCustoUnit[[#This Row],[Código do Posto]],tabParametros[],MATCH(tabCustoUnit[[#Headers],[TERMO ADITIVO ALTERAÇÃO DA CCT]],tabParametros[#Headers],0),0)</f>
        <v>-</v>
      </c>
    </row>
    <row r="236" spans="1:80" x14ac:dyDescent="0.25">
      <c r="A236" s="20" t="s">
        <v>1571</v>
      </c>
      <c r="B236" t="s">
        <v>215</v>
      </c>
      <c r="C236" t="s">
        <v>1247</v>
      </c>
      <c r="D236" t="s">
        <v>1018</v>
      </c>
      <c r="E236" s="20" t="s">
        <v>9</v>
      </c>
      <c r="F236" s="20" t="s">
        <v>10</v>
      </c>
      <c r="G236" s="21">
        <v>544.17999999999995</v>
      </c>
      <c r="H236" s="21">
        <v>0</v>
      </c>
      <c r="I236" s="21">
        <v>0</v>
      </c>
      <c r="J236" s="21">
        <v>0</v>
      </c>
      <c r="K236" s="21">
        <v>0</v>
      </c>
      <c r="L236" s="21">
        <v>0</v>
      </c>
      <c r="M236" s="21">
        <v>0</v>
      </c>
      <c r="N236" s="21">
        <v>19.590499999999999</v>
      </c>
      <c r="O236" s="21">
        <f>SUM(tabCustoUnit[[#This Row],[Salário Base]:[Adicional de Acúmulo de função]])</f>
        <v>563.77049999999997</v>
      </c>
      <c r="P236" s="21">
        <f>tabCustoUnit[[#This Row],[MODULO 1 - REMUNERAÇÃO ]]*SUMIFS(tabParametros[INSS],tabParametros[Código do Posto],tabCustoUnit[[#This Row],[Código do Posto]])</f>
        <v>112.75409999999999</v>
      </c>
      <c r="Q236" s="21">
        <f>tabCustoUnit[[#This Row],[MODULO 1 - REMUNERAÇÃO ]]*SUMIFS(tabParametros[SESI OU SESC],tabParametros[Código do Posto],tabCustoUnit[[#This Row],[Código do Posto]])</f>
        <v>8.4565574999999988</v>
      </c>
      <c r="R236" s="21">
        <f>tabCustoUnit[[#This Row],[MODULO 1 - REMUNERAÇÃO ]]*SUMIFS(tabParametros[SENAI OU SENAC],tabParametros[Código do Posto],tabCustoUnit[[#This Row],[Código do Posto]])</f>
        <v>5.6377049999999995</v>
      </c>
      <c r="S236" s="21">
        <f>tabCustoUnit[[#This Row],[MODULO 1 - REMUNERAÇÃO ]]*SUMIFS(tabParametros[INCRA],tabParametros[Código do Posto],tabCustoUnit[[#This Row],[Código do Posto]])</f>
        <v>1.1275409999999999</v>
      </c>
      <c r="T236" s="21">
        <f>tabCustoUnit[[#This Row],[MODULO 1 - REMUNERAÇÃO ]]*SUMIFS(tabParametros[Salário Educação],tabParametros[Código do Posto],tabCustoUnit[[#This Row],[Código do Posto]])</f>
        <v>14.094262499999999</v>
      </c>
      <c r="U236" s="21">
        <f>tabCustoUnit[[#This Row],[MODULO 1 - REMUNERAÇÃO ]]*SUMIFS(tabParametros[FGTS],tabParametros[Código do Posto],tabCustoUnit[[#This Row],[Código do Posto]])</f>
        <v>45.101639999999996</v>
      </c>
      <c r="V236" s="21">
        <f>tabCustoUnit[[#This Row],[MODULO 1 - REMUNERAÇÃO ]]*SUMIFS(tabParametros[RAT Ajustado],tabParametros[Código do Posto],tabCustoUnit[[#This Row],[Código do Posto]])</f>
        <v>22.550819999999998</v>
      </c>
      <c r="W236" s="21">
        <f>tabCustoUnit[[#This Row],[MODULO 1 - REMUNERAÇÃO ]]*SUMIFS(tabParametros[SEBRAE],tabParametros[Código do Posto],tabCustoUnit[[#This Row],[Código do Posto]])</f>
        <v>3.3826229999999997</v>
      </c>
      <c r="X236" s="21">
        <f>SUM(tabCustoUnit[[#This Row],[INSS]:[SEBRAE]])</f>
        <v>213.10524899999996</v>
      </c>
      <c r="Y236" s="21">
        <f>tabCustoUnit[[#This Row],[MODULO 1 - REMUNERAÇÃO ]]*SUMIFS(tabParametros[13º salário (titular)],tabParametros[Código do Posto],tabCustoUnit[[#This Row],[Código do Posto]])</f>
        <v>46.980874999999997</v>
      </c>
      <c r="Z236" s="21">
        <f>tabCustoUnit[[#This Row],[MODULO 1 - REMUNERAÇÃO ]]*SUMIFS(tabParametros[Férias e Adicional de Férias (titular)],tabParametros[Código do Posto],tabCustoUnit[[#This Row],[Código do Posto]])</f>
        <v>62.641166666666663</v>
      </c>
      <c r="AA236" s="21">
        <f>IFERROR((tabCustoUnit[[#This Row],[Submódulo 2.1]]/tabCustoUnit[[#This Row],[MODULO 1 - REMUNERAÇÃO ]])*SUM(tabCustoUnit[[#This Row],[13º salário (titular)]:[Férias e Adicional de Férias (titular)]]),0)</f>
        <v>41.437131749999992</v>
      </c>
      <c r="AB236" s="21">
        <f>SUM(tabCustoUnit[[#This Row],[13º salário (titular)]:[Incidência do Submódulo 2.1 sobre 13º Salário, Férias e Adicional de Férias]])</f>
        <v>151.05917341666665</v>
      </c>
      <c r="AC236" s="22">
        <f>_xlfn.LET(_xlpm.VT,SUMIF(tabParametros[Código do Posto],tabCustoUnit[[#This Row],[Código do Posto]],tabParametros[Vale - Transporte])*2*20,
IF((_xlpm.VT-tabCustoUnit[[#This Row],[Salário Base]]*0.06)&gt;=0,(_xlpm.VT-tabCustoUnit[[#This Row],[Salário Base]]*0.06),0)
)</f>
        <v>223.3492</v>
      </c>
      <c r="AD236" s="22">
        <f>IF(SUMIF(tabParametros[Código do Posto],tabCustoUnit[[#This Row],[Código do Posto]],tabParametros[Vale - Alimentação])&lt;=0,0,
SUMIF(tabParametros[Código do Posto],tabCustoUnit[[#This Row],[Código do Posto]],tabParametros[Vale - Alimentação])*20-1)</f>
        <v>582</v>
      </c>
      <c r="AE236" s="22">
        <f>SUMIF(tabParametros[Código do Posto],tabCustoUnit[[#This Row],[Código do Posto]],tabParametros[Cesta Básica])</f>
        <v>0</v>
      </c>
      <c r="AF236" s="22">
        <f>SUMIF(tabParametros[Código do Posto],tabCustoUnit[[#This Row],[Código do Posto]],tabParametros[PAF])</f>
        <v>51.88</v>
      </c>
      <c r="AG236" s="22">
        <f>SUMIF(tabParametros[Código do Posto],tabCustoUnit[[#This Row],[Código do Posto]],tabParametros[PQM])</f>
        <v>0</v>
      </c>
      <c r="AH236" s="22">
        <f>SUMIF(tabParametros[Código do Posto],tabCustoUnit[[#This Row],[Código do Posto]],tabParametros[PAT])</f>
        <v>0</v>
      </c>
      <c r="AI236" s="22">
        <f>SUMIF(tabParametros[Código do Posto],tabCustoUnit[[#This Row],[Código do Posto]],tabParametros[Seguro de Vida])</f>
        <v>3.36</v>
      </c>
      <c r="AJ236" s="22">
        <f>SUMIF(tabParametros[Código do Posto],tabCustoUnit[[#This Row],[Código do Posto]],tabParametros[Despesas de Viagem])</f>
        <v>0</v>
      </c>
      <c r="AK236" s="22">
        <f>SUM(tabCustoUnit[[#This Row],[Vale - Transporte (Descontada parcela do empregado)]:[Despesas de Viagem]])</f>
        <v>860.58920000000001</v>
      </c>
      <c r="AL236" s="22">
        <f>tabCustoUnit[[#This Row],[Submódulo 2.1]]+tabCustoUnit[[#This Row],[Submódulo 2.2]]+tabCustoUnit[[#This Row],[Submódulo 2.3]]</f>
        <v>1224.7536224166665</v>
      </c>
      <c r="AM236" s="22">
        <f>SUMIF(tabParametros[Código do Posto],tabCustoUnit[[#This Row],[Código do Posto]],tabParametros[Aviso Prévio Indenizado (API) e Reflexo do Aviso Prévio Indenizado])*tabCustoUnit[[#This Row],[MODULO 1 - REMUNERAÇÃO ]]</f>
        <v>3.9530273735532404</v>
      </c>
      <c r="AN236" s="22">
        <f>SUMIF(tabParametros[Código do Posto],tabCustoUnit[[#This Row],[Código do Posto]],tabParametros[Incidência do FGTS sobre API e Reflexo do API])*tabCustoUnit[[#This Row],[MODULO 1 - REMUNERAÇÃO ]]</f>
        <v>0.31624218988425928</v>
      </c>
      <c r="AO236" s="22">
        <f>SUMIF(tabParametros[Código do Posto],tabCustoUnit[[#This Row],[Código do Posto]],tabParametros[Multa Rescisória do FGTS sobre o Aviso Prévio Indenizado])*tabCustoUnit[[#This Row],[MODULO 1 - REMUNERAÇÃO ]]</f>
        <v>0.12649687595370371</v>
      </c>
      <c r="AP236" s="22">
        <f>SUMIF(tabParametros[Código do Posto],tabCustoUnit[[#This Row],[Código do Posto]],tabParametros[Aviso Prévio Trabalhado - APT])*tabCustoUnit[[#This Row],[MODULO 1 - REMUNERAÇÃO ]]</f>
        <v>1.9731967500000003</v>
      </c>
      <c r="AQ236" s="22">
        <f>SUMIF(tabParametros[Código do Posto],tabCustoUnit[[#This Row],[Código do Posto]],tabParametros[Incidência dos encargos do submódulo 2.1 sobre Aviso Prévio Trabalhado])*tabCustoUnit[[#This Row],[MODULO 1 - REMUNERAÇÃO ]]</f>
        <v>0.74586837150000018</v>
      </c>
      <c r="AR236" s="22">
        <f>SUMIF(tabParametros[Código do Posto],tabCustoUnit[[#This Row],[Código do Posto]],tabParametros[Multa Rescisória do FGTS])*tabCustoUnit[[#This Row],[MODULO 1 - REMUNERAÇÃO ]]</f>
        <v>17.238849066666663</v>
      </c>
      <c r="AS236" s="22">
        <f>SUMIF(tabParametros[Código do Posto],tabCustoUnit[[#This Row],[Código do Posto]],tabParametros[Indenização Adicional (Art. 9º da Lei nº 7.238/84)])*tabCustoUnit[[#This Row],[MODULO 1 - REMUNERAÇÃO ]]</f>
        <v>0.46980875</v>
      </c>
      <c r="AT236" s="22">
        <f>SUM(tabCustoUnit[[#This Row],[Aviso Prévio Indenizado (API) e Reflexo do Aviso Prévio Indenizado]:[Indenização Adicional (Art. 9º da Lei nº 7.238/84)]])</f>
        <v>24.823489377557866</v>
      </c>
      <c r="AU236" s="22">
        <f>SUMIF(tabParametros[Código do Posto],tabCustoUnit[[#This Row],[Código do Posto]],tabParametros[Ausência por Doença])*tabCustoUnit[[#This Row],[MODULO 1 - REMUNERAÇÃO ]]</f>
        <v>4.7607286666666662</v>
      </c>
      <c r="AV236" s="22">
        <f>SUMIF(tabParametros[Código do Posto],tabCustoUnit[[#This Row],[Código do Posto]],tabParametros[Ausências Legais])*tabCustoUnit[[#This Row],[MODULO 1 - REMUNERAÇÃO ]]</f>
        <v>1.1432012916666665</v>
      </c>
      <c r="AW236" s="22">
        <f>SUMIF(tabParametros[Código do Posto],tabCustoUnit[[#This Row],[Código do Posto]],tabParametros[Licença Paternidade])*tabCustoUnit[[#This Row],[MODULO 1 - REMUNERAÇÃO ]]</f>
        <v>9.6310793749999998E-2</v>
      </c>
      <c r="AX236" s="22">
        <f>SUMIF(tabParametros[Código do Posto],tabCustoUnit[[#This Row],[Código do Posto]],tabParametros[Ausência por Acidente de Trabalho])*tabCustoUnit[[#This Row],[MODULO 1 - REMUNERAÇÃO ]]</f>
        <v>0.1174521875</v>
      </c>
      <c r="AY236" s="22">
        <f>SUMIF(tabParametros[Código do Posto],tabCustoUnit[[#This Row],[Código do Posto]],tabParametros[Férias, Adicional de Férias e 13º  com empregada em gozo de Licença Maternidade])*tabCustoUnit[[#This Row],[MODULO 1 - REMUNERAÇÃO ]]</f>
        <v>0.73081361111111109</v>
      </c>
      <c r="AZ236" s="22">
        <f>SUMIF(tabParametros[Código do Posto],tabCustoUnit[[#This Row],[Código do Posto]],tabParametros[Incidência do Submódulo 2.1 sobre Ausências Legais])*tabCustoUnit[[#This Row],[MODULO 1 - REMUNERAÇÃO ]]</f>
        <v>2.5887354761625003</v>
      </c>
      <c r="BA236" s="22">
        <f>SUM(tabCustoUnit[[#This Row],[Ausência por Doença]:[Incidência do Submódulo 2.1 sobre Ausências Legais]])</f>
        <v>9.4372420268569428</v>
      </c>
      <c r="BB236" s="22">
        <f>SUMIF(tabParametros[Código do Posto],tabCustoUnit[[#This Row],[Código do Posto]],tabParametros[Intervalo para Repouso ou Alimentação])</f>
        <v>0</v>
      </c>
      <c r="BC236" s="22">
        <f>tabCustoUnit[[#This Row],[Intervalo para Repouso ou Alimentação]]</f>
        <v>0</v>
      </c>
      <c r="BD236" s="22">
        <f>IF(VLOOKUP(tabCustoUnit[[#This Row],[Código do Posto]],PARAMETROS!$A$4:$BJ$255,7,0)&lt;=0,0,
IFERROR((tabCustoUnit[[#This Row],[MODULO 1 - REMUNERAÇÃO ]]*VLOOKUP(tabCustoUnit[[#This Row],[Código do Posto]],PARAMETROS!$A$4:$BJ$255,49,0))/(VLOOKUP(tabCustoUnit[[#This Row],[Código do Posto]],PARAMETROS!$A$4:$BJ$255,7,0)*VLOOKUP(tabCustoUnit[[#This Row],[Código do Posto]],PARAMETROS!$A$4:$BJ$255,8,0)),0)
)</f>
        <v>0</v>
      </c>
      <c r="BE236" s="22">
        <f>tabCustoUnit[[#This Row],[Suspensão Temporária do Contrato de Trabalho]]</f>
        <v>0</v>
      </c>
      <c r="BF236" s="22">
        <f>tabCustoUnit[[#This Row],[Submódulo 4.1]]+tabCustoUnit[[#This Row],[Submódulo 4.2]]+tabCustoUnit[[#This Row],[Submódulo 4.3]]</f>
        <v>9.4372420268569428</v>
      </c>
      <c r="BG236" s="22">
        <f>VLOOKUP(tabCustoUnit[[#This Row],[Código do Posto]],tabParametros[],MATCH(tabCustoUnit[[#Headers],[Uniformes e EPIs]],tabParametros[#Headers],0),0)</f>
        <v>62.806666666666665</v>
      </c>
      <c r="BH236" s="22">
        <f>VLOOKUP(tabCustoUnit[[#This Row],[Código do Posto]],tabParametros[],MATCH(tabCustoUnit[[#Headers],[Materiais de Consumo]],tabParametros[#Headers],0),0)</f>
        <v>12.108481690426325</v>
      </c>
      <c r="BI236" s="22">
        <f>VLOOKUP(tabCustoUnit[[#This Row],[Código do Posto]],tabParametros[],MATCH(tabCustoUnit[[#Headers],[Máquinas e Equipamentos (depreciação)]],tabParametros[#Headers],0),0)</f>
        <v>21.998657016417809</v>
      </c>
      <c r="BJ236" s="22">
        <f>VLOOKUP(tabCustoUnit[[#This Row],[Código do Posto]],tabParametros[],MATCH(tabCustoUnit[[#Headers],[Produtos de Limpeza e Materiais de Higiene Pessoal]],tabParametros[#Headers],0),0)</f>
        <v>235.31984072022155</v>
      </c>
      <c r="BK236" s="22">
        <f>VLOOKUP(tabCustoUnit[[#This Row],[Código do Posto]],tabParametros[],MATCH(tabCustoUnit[[#Headers],[Outros (especificar)]],tabParametros[#Headers],0),0)</f>
        <v>0</v>
      </c>
      <c r="BL236" s="22">
        <f>SUM(tabCustoUnit[[#This Row],[Uniformes e EPIs]:[Outros (especificar)]])</f>
        <v>332.23364609373232</v>
      </c>
      <c r="BM236" s="22">
        <f>tabCustoUnit[[#This Row],[MODULO 1 - REMUNERAÇÃO ]]+tabCustoUnit[[#This Row],[MÓDULO 2 - Total Encargos e Benefícios mensais e diários]]+tabCustoUnit[[#This Row],[MÓDULO 3 – PROVISÃO PARA RESCISÃO]]+tabCustoUnit[[#This Row],[MÓDULO 4 – CUSTO DE REPOSIÇÃO DO PROFISSIONAL AUSENTE]]+tabCustoUnit[[#This Row],[MÓDULO 5 – INSUMOS DIVERSOS]]</f>
        <v>2155.0184999148137</v>
      </c>
      <c r="BN236" s="22">
        <f>VLOOKUP(tabCustoUnit[[#This Row],[Código do Posto]],tabParametros[],MATCH(tabCustoUnit[[#Headers],[Custos Indiretos]],tabParametros[#Headers],0),0)</f>
        <v>189.64880140242613</v>
      </c>
      <c r="BO236" s="22">
        <f>VLOOKUP(tabCustoUnit[[#This Row],[Código do Posto]],tabParametros[],MATCH(tabCustoUnit[[#Headers],[Lucro]],tabParametros[#Headers],0),0)</f>
        <v>159.30499317803796</v>
      </c>
      <c r="BP236" s="26">
        <f>((100/((1-tabCustoUnit[[#This Row],[Resumo de Alíquotas (PIS+CONFINS+ISS)]]))-100)*VLOOKUP(tabCustoUnit[[#This Row],[Código do Posto]],tabParametros[],MATCH(tabCustoUnit[[#Headers],[COFINS]],tabParametros[#Headers],0),0))/(tabCustoUnit[[#This Row],[Resumo de Alíquotas (PIS+CONFINS+ISS)]]*100)</f>
        <v>8.6609686609686695E-2</v>
      </c>
      <c r="BQ236" s="26">
        <f>((100/((100-(tabCustoUnit[[#This Row],[Resumo de Alíquotas (PIS+CONFINS+ISS)]]*100))%)-100)*VLOOKUP(tabCustoUnit[[#This Row],[Código do Posto]],tabParametros[],MATCH(tabCustoUnit[[#Headers],[PIS]],tabParametros[#Headers],0),0))/(tabCustoUnit[[#This Row],[Resumo de Alíquotas (PIS+CONFINS+ISS)]]*100)</f>
        <v>1.880341880341882E-2</v>
      </c>
      <c r="BR236" s="28">
        <f>VLOOKUP(tabCustoUnit[[#This Row],[Código do Posto]],tabParametros[],MATCH(tabCustoUnit[[#Headers],[ISS]],tabParametros[#Headers],0),0)</f>
        <v>0.03</v>
      </c>
      <c r="BS236" s="26">
        <f>(((100/((100-(tabCustoUnit[[#This Row],[Resumo de Alíquotas (PIS+CONFINS+ISS)]]*100))%)-100)*tabCustoUnit[[#This Row],[ISS]])/tabCustoUnit[[#This Row],[Resumo de Alíquotas (PIS+CONFINS+ISS)]])/100</f>
        <v>3.4188034188034219E-2</v>
      </c>
      <c r="BT236" s="26">
        <f>(VLOOKUP(tabCustoUnit[[#This Row],[Código do Posto]],tabParametros[],MATCH(tabCustoUnit[[#Headers],[COFINS]],tabParametros[#Headers],0),0)+
VLOOKUP(tabCustoUnit[[#This Row],[Código do Posto]],tabParametros[],MATCH(tabCustoUnit[[#Headers],[PIS]],tabParametros[#Headers],0),0)+
VLOOKUP(tabCustoUnit[[#This Row],[Código do Posto]],tabParametros[],MATCH(tabCustoUnit[[#Headers],[ISS]],tabParametros[#Headers],0),0))</f>
        <v>0.1225</v>
      </c>
      <c r="BU236" s="138">
        <f>tabCustoUnit[[#This Row],[COFINS]]+tabCustoUnit[[#This Row],[PIS]]+tabCustoUnit[[#This Row],[ISS (Conversão Alíquota s/ fatura)]]</f>
        <v>0.13960113960113973</v>
      </c>
      <c r="BV236" s="22">
        <f>(tabCustoUnit[[#This Row],[TOTAL MÓDULOS 1+2+3+4+5]]+tabCustoUnit[[#This Row],[Custos Indiretos]]+tabCustoUnit[[#This Row],[Lucro]])*tabCustoUnit[[#This Row],[PIS + COFINS + ISS (Total Conversão  Alíquota s/ Fatura)]]</f>
        <v>349.55738584122145</v>
      </c>
      <c r="BW236" s="22">
        <f>tabCustoUnit[[#This Row],[Custos Indiretos]]+tabCustoUnit[[#This Row],[Lucro]]+tabCustoUnit[[#This Row],[Valor dos Tributos (ISS, PIS, CONFINS)]]</f>
        <v>698.51118042168559</v>
      </c>
      <c r="BX236" s="22">
        <f>tabCustoUnit[[#This Row],[TOTAL MÓDULOS 1+2+3+4+5]]+tabCustoUnit[[#This Row],[MÓDULO 6 – CUSTOS INDIRETOS, TRIBUTOS E LUCRO]]</f>
        <v>2853.529680336499</v>
      </c>
      <c r="BY236" s="22">
        <f>tabCustoUnit[[#This Row],[CUSTO TOTAL MENSAL]]*12</f>
        <v>34242.356164037992</v>
      </c>
      <c r="BZ236" s="24">
        <f>VLOOKUP(tabCustoUnit[[#This Row],[Código do Posto]],tabParametros[],MATCH(tabCustoUnit[[#Headers],[ANO DA CCT]],tabParametros[#Headers],0),0)</f>
        <v>45658</v>
      </c>
      <c r="CA236" s="25" t="str">
        <f>VLOOKUP(tabCustoUnit[[#This Row],[Código do Posto]],tabParametros[],MATCH(tabCustoUnit[[#Headers],[Nº DE PEDIDO DA CCT]],tabParametros[#Headers],0),0)</f>
        <v>-</v>
      </c>
      <c r="CB236" s="25" t="str">
        <f>VLOOKUP(tabCustoUnit[[#This Row],[Código do Posto]],tabParametros[],MATCH(tabCustoUnit[[#Headers],[TERMO ADITIVO ALTERAÇÃO DA CCT]],tabParametros[#Headers],0),0)</f>
        <v>-</v>
      </c>
    </row>
    <row r="237" spans="1:80" x14ac:dyDescent="0.25">
      <c r="A237" s="20" t="s">
        <v>1572</v>
      </c>
      <c r="B237" t="s">
        <v>216</v>
      </c>
      <c r="C237" t="s">
        <v>1244</v>
      </c>
      <c r="D237" t="s">
        <v>1023</v>
      </c>
      <c r="E237" s="20" t="s">
        <v>9</v>
      </c>
      <c r="F237" s="20" t="s">
        <v>10</v>
      </c>
      <c r="G237" s="21">
        <v>824.56</v>
      </c>
      <c r="H237" s="21">
        <v>0</v>
      </c>
      <c r="I237" s="21">
        <v>0</v>
      </c>
      <c r="J237" s="21">
        <v>0</v>
      </c>
      <c r="K237" s="21">
        <v>0</v>
      </c>
      <c r="L237" s="21">
        <v>0</v>
      </c>
      <c r="M237" s="21">
        <v>0</v>
      </c>
      <c r="N237" s="21">
        <v>26.985600000000002</v>
      </c>
      <c r="O237" s="21">
        <f>SUM(tabCustoUnit[[#This Row],[Salário Base]:[Adicional de Acúmulo de função]])</f>
        <v>851.54559999999992</v>
      </c>
      <c r="P237" s="21">
        <f>tabCustoUnit[[#This Row],[MODULO 1 - REMUNERAÇÃO ]]*SUMIFS(tabParametros[INSS],tabParametros[Código do Posto],tabCustoUnit[[#This Row],[Código do Posto]])</f>
        <v>170.30912000000001</v>
      </c>
      <c r="Q237" s="21">
        <f>tabCustoUnit[[#This Row],[MODULO 1 - REMUNERAÇÃO ]]*SUMIFS(tabParametros[SESI OU SESC],tabParametros[Código do Posto],tabCustoUnit[[#This Row],[Código do Posto]])</f>
        <v>12.773183999999999</v>
      </c>
      <c r="R237" s="21">
        <f>tabCustoUnit[[#This Row],[MODULO 1 - REMUNERAÇÃO ]]*SUMIFS(tabParametros[SENAI OU SENAC],tabParametros[Código do Posto],tabCustoUnit[[#This Row],[Código do Posto]])</f>
        <v>8.5154559999999986</v>
      </c>
      <c r="S237" s="21">
        <f>tabCustoUnit[[#This Row],[MODULO 1 - REMUNERAÇÃO ]]*SUMIFS(tabParametros[INCRA],tabParametros[Código do Posto],tabCustoUnit[[#This Row],[Código do Posto]])</f>
        <v>1.7030911999999998</v>
      </c>
      <c r="T237" s="21">
        <f>tabCustoUnit[[#This Row],[MODULO 1 - REMUNERAÇÃO ]]*SUMIFS(tabParametros[Salário Educação],tabParametros[Código do Posto],tabCustoUnit[[#This Row],[Código do Posto]])</f>
        <v>21.288640000000001</v>
      </c>
      <c r="U237" s="21">
        <f>tabCustoUnit[[#This Row],[MODULO 1 - REMUNERAÇÃO ]]*SUMIFS(tabParametros[FGTS],tabParametros[Código do Posto],tabCustoUnit[[#This Row],[Código do Posto]])</f>
        <v>68.123647999999989</v>
      </c>
      <c r="V237" s="21">
        <f>tabCustoUnit[[#This Row],[MODULO 1 - REMUNERAÇÃO ]]*SUMIFS(tabParametros[RAT Ajustado],tabParametros[Código do Posto],tabCustoUnit[[#This Row],[Código do Posto]])</f>
        <v>34.061823999999994</v>
      </c>
      <c r="W237" s="21">
        <f>tabCustoUnit[[#This Row],[MODULO 1 - REMUNERAÇÃO ]]*SUMIFS(tabParametros[SEBRAE],tabParametros[Código do Posto],tabCustoUnit[[#This Row],[Código do Posto]])</f>
        <v>5.1092735999999999</v>
      </c>
      <c r="X237" s="21">
        <f>SUM(tabCustoUnit[[#This Row],[INSS]:[SEBRAE]])</f>
        <v>321.8842368</v>
      </c>
      <c r="Y237" s="21">
        <f>tabCustoUnit[[#This Row],[MODULO 1 - REMUNERAÇÃO ]]*SUMIFS(tabParametros[13º salário (titular)],tabParametros[Código do Posto],tabCustoUnit[[#This Row],[Código do Posto]])</f>
        <v>70.962133333333327</v>
      </c>
      <c r="Z237" s="21">
        <f>tabCustoUnit[[#This Row],[MODULO 1 - REMUNERAÇÃO ]]*SUMIFS(tabParametros[Férias e Adicional de Férias (titular)],tabParametros[Código do Posto],tabCustoUnit[[#This Row],[Código do Posto]])</f>
        <v>94.616177777777764</v>
      </c>
      <c r="AA237" s="21">
        <f>IFERROR((tabCustoUnit[[#This Row],[Submódulo 2.1]]/tabCustoUnit[[#This Row],[MODULO 1 - REMUNERAÇÃO ]])*SUM(tabCustoUnit[[#This Row],[13º salário (titular)]:[Férias e Adicional de Férias (titular)]]),0)</f>
        <v>62.588601599999997</v>
      </c>
      <c r="AB237" s="21">
        <f>SUM(tabCustoUnit[[#This Row],[13º salário (titular)]:[Incidência do Submódulo 2.1 sobre 13º Salário, Férias e Adicional de Férias]])</f>
        <v>228.16691271111108</v>
      </c>
      <c r="AC237" s="22">
        <f>_xlfn.LET(_xlpm.VT,SUMIF(tabParametros[Código do Posto],tabCustoUnit[[#This Row],[Código do Posto]],tabParametros[Vale - Transporte])*2*20,
IF((_xlpm.VT-tabCustoUnit[[#This Row],[Salário Base]]*0.06)&gt;=0,(_xlpm.VT-tabCustoUnit[[#This Row],[Salário Base]]*0.06),0)
)</f>
        <v>206.5264</v>
      </c>
      <c r="AD237" s="22">
        <f>IF(SUMIF(tabParametros[Código do Posto],tabCustoUnit[[#This Row],[Código do Posto]],tabParametros[Vale - Alimentação])&lt;=0,0,
SUMIF(tabParametros[Código do Posto],tabCustoUnit[[#This Row],[Código do Posto]],tabParametros[Vale - Alimentação])*20-1)</f>
        <v>582</v>
      </c>
      <c r="AE237" s="22">
        <f>SUMIF(tabParametros[Código do Posto],tabCustoUnit[[#This Row],[Código do Posto]],tabParametros[Cesta Básica])</f>
        <v>0</v>
      </c>
      <c r="AF237" s="22">
        <f>SUMIF(tabParametros[Código do Posto],tabCustoUnit[[#This Row],[Código do Posto]],tabParametros[PAF])</f>
        <v>53.27</v>
      </c>
      <c r="AG237" s="22">
        <f>SUMIF(tabParametros[Código do Posto],tabCustoUnit[[#This Row],[Código do Posto]],tabParametros[PQM])</f>
        <v>0</v>
      </c>
      <c r="AH237" s="22">
        <f>SUMIF(tabParametros[Código do Posto],tabCustoUnit[[#This Row],[Código do Posto]],tabParametros[PAT])</f>
        <v>0</v>
      </c>
      <c r="AI237" s="22">
        <f>SUMIF(tabParametros[Código do Posto],tabCustoUnit[[#This Row],[Código do Posto]],tabParametros[Seguro de Vida])</f>
        <v>3.36</v>
      </c>
      <c r="AJ237" s="22">
        <f>SUMIF(tabParametros[Código do Posto],tabCustoUnit[[#This Row],[Código do Posto]],tabParametros[Despesas de Viagem])</f>
        <v>0</v>
      </c>
      <c r="AK237" s="22">
        <f>SUM(tabCustoUnit[[#This Row],[Vale - Transporte (Descontada parcela do empregado)]:[Despesas de Viagem]])</f>
        <v>845.15639999999996</v>
      </c>
      <c r="AL237" s="22">
        <f>tabCustoUnit[[#This Row],[Submódulo 2.1]]+tabCustoUnit[[#This Row],[Submódulo 2.2]]+tabCustoUnit[[#This Row],[Submódulo 2.3]]</f>
        <v>1395.2075495111112</v>
      </c>
      <c r="AM237" s="22">
        <f>SUMIF(tabParametros[Código do Posto],tabCustoUnit[[#This Row],[Código do Posto]],tabParametros[Aviso Prévio Indenizado (API) e Reflexo do Aviso Prévio Indenizado])*tabCustoUnit[[#This Row],[MODULO 1 - REMUNERAÇÃO ]]</f>
        <v>5.970839316049382</v>
      </c>
      <c r="AN237" s="22">
        <f>SUMIF(tabParametros[Código do Posto],tabCustoUnit[[#This Row],[Código do Posto]],tabParametros[Incidência do FGTS sobre API e Reflexo do API])*tabCustoUnit[[#This Row],[MODULO 1 - REMUNERAÇÃO ]]</f>
        <v>0.4776671452839506</v>
      </c>
      <c r="AO237" s="22">
        <f>SUMIF(tabParametros[Código do Posto],tabCustoUnit[[#This Row],[Código do Posto]],tabParametros[Multa Rescisória do FGTS sobre o Aviso Prévio Indenizado])*tabCustoUnit[[#This Row],[MODULO 1 - REMUNERAÇÃO ]]</f>
        <v>0.19106685811358026</v>
      </c>
      <c r="AP237" s="22">
        <f>SUMIF(tabParametros[Código do Posto],tabCustoUnit[[#This Row],[Código do Posto]],tabParametros[Aviso Prévio Trabalhado - APT])*tabCustoUnit[[#This Row],[MODULO 1 - REMUNERAÇÃO ]]</f>
        <v>2.9804096000000002</v>
      </c>
      <c r="AQ237" s="22">
        <f>SUMIF(tabParametros[Código do Posto],tabCustoUnit[[#This Row],[Código do Posto]],tabParametros[Incidência dos encargos do submódulo 2.1 sobre Aviso Prévio Trabalhado])*tabCustoUnit[[#This Row],[MODULO 1 - REMUNERAÇÃO ]]</f>
        <v>1.1265948288000003</v>
      </c>
      <c r="AR237" s="22">
        <f>SUMIF(tabParametros[Código do Posto],tabCustoUnit[[#This Row],[Código do Posto]],tabParametros[Multa Rescisória do FGTS])*tabCustoUnit[[#This Row],[MODULO 1 - REMUNERAÇÃO ]]</f>
        <v>26.038372124444439</v>
      </c>
      <c r="AS237" s="22">
        <f>SUMIF(tabParametros[Código do Posto],tabCustoUnit[[#This Row],[Código do Posto]],tabParametros[Indenização Adicional (Art. 9º da Lei nº 7.238/84)])*tabCustoUnit[[#This Row],[MODULO 1 - REMUNERAÇÃO ]]</f>
        <v>0.70962133333333333</v>
      </c>
      <c r="AT237" s="22">
        <f>SUM(tabCustoUnit[[#This Row],[Aviso Prévio Indenizado (API) e Reflexo do Aviso Prévio Indenizado]:[Indenização Adicional (Art. 9º da Lei nº 7.238/84)]])</f>
        <v>37.494571206024688</v>
      </c>
      <c r="AU237" s="22">
        <f>SUMIF(tabParametros[Código do Posto],tabCustoUnit[[#This Row],[Código do Posto]],tabParametros[Ausência por Doença])*tabCustoUnit[[#This Row],[MODULO 1 - REMUNERAÇÃO ]]</f>
        <v>7.1908295111111098</v>
      </c>
      <c r="AV237" s="22">
        <f>SUMIF(tabParametros[Código do Posto],tabCustoUnit[[#This Row],[Código do Posto]],tabParametros[Ausências Legais])*tabCustoUnit[[#This Row],[MODULO 1 - REMUNERAÇÃO ]]</f>
        <v>1.7267452444444442</v>
      </c>
      <c r="AW237" s="22">
        <f>SUMIF(tabParametros[Código do Posto],tabCustoUnit[[#This Row],[Código do Posto]],tabParametros[Licença Paternidade])*tabCustoUnit[[#This Row],[MODULO 1 - REMUNERAÇÃO ]]</f>
        <v>0.14547237333333332</v>
      </c>
      <c r="AX237" s="22">
        <f>SUMIF(tabParametros[Código do Posto],tabCustoUnit[[#This Row],[Código do Posto]],tabParametros[Ausência por Acidente de Trabalho])*tabCustoUnit[[#This Row],[MODULO 1 - REMUNERAÇÃO ]]</f>
        <v>0.17740533333333333</v>
      </c>
      <c r="AY237" s="22">
        <f>SUMIF(tabParametros[Código do Posto],tabCustoUnit[[#This Row],[Código do Posto]],tabParametros[Férias, Adicional de Férias e 13º  com empregada em gozo de Licença Maternidade])*tabCustoUnit[[#This Row],[MODULO 1 - REMUNERAÇÃO ]]</f>
        <v>1.1038554074074072</v>
      </c>
      <c r="AZ237" s="22">
        <f>SUMIF(tabParametros[Código do Posto],tabCustoUnit[[#This Row],[Código do Posto]],tabParametros[Incidência do Submódulo 2.1 sobre Ausências Legais])*tabCustoUnit[[#This Row],[MODULO 1 - REMUNERAÇÃO ]]</f>
        <v>3.9101483747200003</v>
      </c>
      <c r="BA237" s="22">
        <f>SUM(tabCustoUnit[[#This Row],[Ausência por Doença]:[Incidência do Submódulo 2.1 sobre Ausências Legais]])</f>
        <v>14.254456244349628</v>
      </c>
      <c r="BB237" s="22">
        <f>SUMIF(tabParametros[Código do Posto],tabCustoUnit[[#This Row],[Código do Posto]],tabParametros[Intervalo para Repouso ou Alimentação])</f>
        <v>0</v>
      </c>
      <c r="BC237" s="22">
        <f>tabCustoUnit[[#This Row],[Intervalo para Repouso ou Alimentação]]</f>
        <v>0</v>
      </c>
      <c r="BD237" s="22">
        <f>IF(VLOOKUP(tabCustoUnit[[#This Row],[Código do Posto]],PARAMETROS!$A$4:$BJ$255,7,0)&lt;=0,0,
IFERROR((tabCustoUnit[[#This Row],[MODULO 1 - REMUNERAÇÃO ]]*VLOOKUP(tabCustoUnit[[#This Row],[Código do Posto]],PARAMETROS!$A$4:$BJ$255,49,0))/(VLOOKUP(tabCustoUnit[[#This Row],[Código do Posto]],PARAMETROS!$A$4:$BJ$255,7,0)*VLOOKUP(tabCustoUnit[[#This Row],[Código do Posto]],PARAMETROS!$A$4:$BJ$255,8,0)),0)
)</f>
        <v>0</v>
      </c>
      <c r="BE237" s="22">
        <f>tabCustoUnit[[#This Row],[Suspensão Temporária do Contrato de Trabalho]]</f>
        <v>0</v>
      </c>
      <c r="BF237" s="22">
        <f>tabCustoUnit[[#This Row],[Submódulo 4.1]]+tabCustoUnit[[#This Row],[Submódulo 4.2]]+tabCustoUnit[[#This Row],[Submódulo 4.3]]</f>
        <v>14.254456244349628</v>
      </c>
      <c r="BG237" s="22">
        <f>VLOOKUP(tabCustoUnit[[#This Row],[Código do Posto]],tabParametros[],MATCH(tabCustoUnit[[#Headers],[Uniformes e EPIs]],tabParametros[#Headers],0),0)</f>
        <v>62.806666666666665</v>
      </c>
      <c r="BH237" s="22">
        <f>VLOOKUP(tabCustoUnit[[#This Row],[Código do Posto]],tabParametros[],MATCH(tabCustoUnit[[#Headers],[Materiais de Consumo]],tabParametros[#Headers],0),0)</f>
        <v>17.759106479291944</v>
      </c>
      <c r="BI237" s="22">
        <f>VLOOKUP(tabCustoUnit[[#This Row],[Código do Posto]],tabParametros[],MATCH(tabCustoUnit[[#Headers],[Máquinas e Equipamentos (depreciação)]],tabParametros[#Headers],0),0)</f>
        <v>32.264696957412788</v>
      </c>
      <c r="BJ237" s="22">
        <f>VLOOKUP(tabCustoUnit[[#This Row],[Código do Posto]],tabParametros[],MATCH(tabCustoUnit[[#Headers],[Produtos de Limpeza e Materiais de Higiene Pessoal]],tabParametros[#Headers],0),0)</f>
        <v>345.13576638965827</v>
      </c>
      <c r="BK237" s="22">
        <f>VLOOKUP(tabCustoUnit[[#This Row],[Código do Posto]],tabParametros[],MATCH(tabCustoUnit[[#Headers],[Outros (especificar)]],tabParametros[#Headers],0),0)</f>
        <v>0</v>
      </c>
      <c r="BL237" s="22">
        <f>SUM(tabCustoUnit[[#This Row],[Uniformes e EPIs]:[Outros (especificar)]])</f>
        <v>457.96623649302967</v>
      </c>
      <c r="BM237" s="22">
        <f>tabCustoUnit[[#This Row],[MODULO 1 - REMUNERAÇÃO ]]+tabCustoUnit[[#This Row],[MÓDULO 2 - Total Encargos e Benefícios mensais e diários]]+tabCustoUnit[[#This Row],[MÓDULO 3 – PROVISÃO PARA RESCISÃO]]+tabCustoUnit[[#This Row],[MÓDULO 4 – CUSTO DE REPOSIÇÃO DO PROFISSIONAL AUSENTE]]+tabCustoUnit[[#This Row],[MÓDULO 5 – INSUMOS DIVERSOS]]</f>
        <v>2756.468413454515</v>
      </c>
      <c r="BN237" s="22">
        <f>VLOOKUP(tabCustoUnit[[#This Row],[Código do Posto]],tabParametros[],MATCH(tabCustoUnit[[#Headers],[Custos Indiretos]],tabParametros[#Headers],0),0)</f>
        <v>189.64880140242613</v>
      </c>
      <c r="BO237" s="22">
        <f>VLOOKUP(tabCustoUnit[[#This Row],[Código do Posto]],tabParametros[],MATCH(tabCustoUnit[[#Headers],[Lucro]],tabParametros[#Headers],0),0)</f>
        <v>159.30499317803796</v>
      </c>
      <c r="BP237" s="26">
        <f>((100/((1-tabCustoUnit[[#This Row],[Resumo de Alíquotas (PIS+CONFINS+ISS)]]))-100)*VLOOKUP(tabCustoUnit[[#This Row],[Código do Posto]],tabParametros[],MATCH(tabCustoUnit[[#Headers],[COFINS]],tabParametros[#Headers],0),0))/(tabCustoUnit[[#This Row],[Resumo de Alíquotas (PIS+CONFINS+ISS)]]*100)</f>
        <v>8.6609686609686695E-2</v>
      </c>
      <c r="BQ237" s="26">
        <f>((100/((100-(tabCustoUnit[[#This Row],[Resumo de Alíquotas (PIS+CONFINS+ISS)]]*100))%)-100)*VLOOKUP(tabCustoUnit[[#This Row],[Código do Posto]],tabParametros[],MATCH(tabCustoUnit[[#Headers],[PIS]],tabParametros[#Headers],0),0))/(tabCustoUnit[[#This Row],[Resumo de Alíquotas (PIS+CONFINS+ISS)]]*100)</f>
        <v>1.880341880341882E-2</v>
      </c>
      <c r="BR237" s="28">
        <f>VLOOKUP(tabCustoUnit[[#This Row],[Código do Posto]],tabParametros[],MATCH(tabCustoUnit[[#Headers],[ISS]],tabParametros[#Headers],0),0)</f>
        <v>0.03</v>
      </c>
      <c r="BS237" s="26">
        <f>(((100/((100-(tabCustoUnit[[#This Row],[Resumo de Alíquotas (PIS+CONFINS+ISS)]]*100))%)-100)*tabCustoUnit[[#This Row],[ISS]])/tabCustoUnit[[#This Row],[Resumo de Alíquotas (PIS+CONFINS+ISS)]])/100</f>
        <v>3.4188034188034219E-2</v>
      </c>
      <c r="BT237" s="26">
        <f>(VLOOKUP(tabCustoUnit[[#This Row],[Código do Posto]],tabParametros[],MATCH(tabCustoUnit[[#Headers],[COFINS]],tabParametros[#Headers],0),0)+
VLOOKUP(tabCustoUnit[[#This Row],[Código do Posto]],tabParametros[],MATCH(tabCustoUnit[[#Headers],[PIS]],tabParametros[#Headers],0),0)+
VLOOKUP(tabCustoUnit[[#This Row],[Código do Posto]],tabParametros[],MATCH(tabCustoUnit[[#Headers],[ISS]],tabParametros[#Headers],0),0))</f>
        <v>0.1225</v>
      </c>
      <c r="BU237" s="138">
        <f>tabCustoUnit[[#This Row],[COFINS]]+tabCustoUnit[[#This Row],[PIS]]+tabCustoUnit[[#This Row],[ISS (Conversão Alíquota s/ fatura)]]</f>
        <v>0.13960113960113973</v>
      </c>
      <c r="BV237" s="22">
        <f>(tabCustoUnit[[#This Row],[TOTAL MÓDULOS 1+2+3+4+5]]+tabCustoUnit[[#This Row],[Custos Indiretos]]+tabCustoUnit[[#This Row],[Lucro]])*tabCustoUnit[[#This Row],[PIS + COFINS + ISS (Total Conversão  Alíquota s/ Fatura)]]</f>
        <v>433.52047918437074</v>
      </c>
      <c r="BW237" s="22">
        <f>tabCustoUnit[[#This Row],[Custos Indiretos]]+tabCustoUnit[[#This Row],[Lucro]]+tabCustoUnit[[#This Row],[Valor dos Tributos (ISS, PIS, CONFINS)]]</f>
        <v>782.47427376483483</v>
      </c>
      <c r="BX237" s="22">
        <f>tabCustoUnit[[#This Row],[TOTAL MÓDULOS 1+2+3+4+5]]+tabCustoUnit[[#This Row],[MÓDULO 6 – CUSTOS INDIRETOS, TRIBUTOS E LUCRO]]</f>
        <v>3538.9426872193499</v>
      </c>
      <c r="BY237" s="22">
        <f>tabCustoUnit[[#This Row],[CUSTO TOTAL MENSAL]]*12</f>
        <v>42467.312246632195</v>
      </c>
      <c r="BZ237" s="24">
        <f>VLOOKUP(tabCustoUnit[[#This Row],[Código do Posto]],tabParametros[],MATCH(tabCustoUnit[[#Headers],[ANO DA CCT]],tabParametros[#Headers],0),0)</f>
        <v>45658</v>
      </c>
      <c r="CA237" s="25" t="str">
        <f>VLOOKUP(tabCustoUnit[[#This Row],[Código do Posto]],tabParametros[],MATCH(tabCustoUnit[[#Headers],[Nº DE PEDIDO DA CCT]],tabParametros[#Headers],0),0)</f>
        <v>-</v>
      </c>
      <c r="CB237" s="25" t="str">
        <f>VLOOKUP(tabCustoUnit[[#This Row],[Código do Posto]],tabParametros[],MATCH(tabCustoUnit[[#Headers],[TERMO ADITIVO ALTERAÇÃO DA CCT]],tabParametros[#Headers],0),0)</f>
        <v>-</v>
      </c>
    </row>
    <row r="238" spans="1:80" x14ac:dyDescent="0.25">
      <c r="A238" s="20" t="s">
        <v>1573</v>
      </c>
      <c r="B238" t="s">
        <v>216</v>
      </c>
      <c r="C238" t="s">
        <v>1245</v>
      </c>
      <c r="D238" t="s">
        <v>1023</v>
      </c>
      <c r="E238" s="20" t="s">
        <v>9</v>
      </c>
      <c r="F238" s="20" t="s">
        <v>10</v>
      </c>
      <c r="G238" s="21">
        <v>1596.28</v>
      </c>
      <c r="H238" s="21">
        <v>0</v>
      </c>
      <c r="I238" s="21">
        <v>0</v>
      </c>
      <c r="J238" s="21">
        <v>0</v>
      </c>
      <c r="K238" s="21">
        <v>0</v>
      </c>
      <c r="L238" s="21">
        <v>0</v>
      </c>
      <c r="M238" s="21">
        <v>0</v>
      </c>
      <c r="N238" s="21">
        <v>52.241900000000001</v>
      </c>
      <c r="O238" s="21">
        <f>SUM(tabCustoUnit[[#This Row],[Salário Base]:[Adicional de Acúmulo de função]])</f>
        <v>1648.5219</v>
      </c>
      <c r="P238" s="21">
        <f>tabCustoUnit[[#This Row],[MODULO 1 - REMUNERAÇÃO ]]*SUMIFS(tabParametros[INSS],tabParametros[Código do Posto],tabCustoUnit[[#This Row],[Código do Posto]])</f>
        <v>329.70438000000001</v>
      </c>
      <c r="Q238" s="21">
        <f>tabCustoUnit[[#This Row],[MODULO 1 - REMUNERAÇÃO ]]*SUMIFS(tabParametros[SESI OU SESC],tabParametros[Código do Posto],tabCustoUnit[[#This Row],[Código do Posto]])</f>
        <v>24.727828499999998</v>
      </c>
      <c r="R238" s="21">
        <f>tabCustoUnit[[#This Row],[MODULO 1 - REMUNERAÇÃO ]]*SUMIFS(tabParametros[SENAI OU SENAC],tabParametros[Código do Posto],tabCustoUnit[[#This Row],[Código do Posto]])</f>
        <v>16.485219000000001</v>
      </c>
      <c r="S238" s="21">
        <f>tabCustoUnit[[#This Row],[MODULO 1 - REMUNERAÇÃO ]]*SUMIFS(tabParametros[INCRA],tabParametros[Código do Posto],tabCustoUnit[[#This Row],[Código do Posto]])</f>
        <v>3.2970438</v>
      </c>
      <c r="T238" s="21">
        <f>tabCustoUnit[[#This Row],[MODULO 1 - REMUNERAÇÃO ]]*SUMIFS(tabParametros[Salário Educação],tabParametros[Código do Posto],tabCustoUnit[[#This Row],[Código do Posto]])</f>
        <v>41.213047500000002</v>
      </c>
      <c r="U238" s="21">
        <f>tabCustoUnit[[#This Row],[MODULO 1 - REMUNERAÇÃO ]]*SUMIFS(tabParametros[FGTS],tabParametros[Código do Posto],tabCustoUnit[[#This Row],[Código do Posto]])</f>
        <v>131.88175200000001</v>
      </c>
      <c r="V238" s="21">
        <f>tabCustoUnit[[#This Row],[MODULO 1 - REMUNERAÇÃO ]]*SUMIFS(tabParametros[RAT Ajustado],tabParametros[Código do Posto],tabCustoUnit[[#This Row],[Código do Posto]])</f>
        <v>65.940876000000003</v>
      </c>
      <c r="W238" s="21">
        <f>tabCustoUnit[[#This Row],[MODULO 1 - REMUNERAÇÃO ]]*SUMIFS(tabParametros[SEBRAE],tabParametros[Código do Posto],tabCustoUnit[[#This Row],[Código do Posto]])</f>
        <v>9.8911314000000008</v>
      </c>
      <c r="X238" s="21">
        <f>SUM(tabCustoUnit[[#This Row],[INSS]:[SEBRAE]])</f>
        <v>623.14127819999999</v>
      </c>
      <c r="Y238" s="21">
        <f>tabCustoUnit[[#This Row],[MODULO 1 - REMUNERAÇÃO ]]*SUMIFS(tabParametros[13º salário (titular)],tabParametros[Código do Posto],tabCustoUnit[[#This Row],[Código do Posto]])</f>
        <v>137.376825</v>
      </c>
      <c r="Z238" s="21">
        <f>tabCustoUnit[[#This Row],[MODULO 1 - REMUNERAÇÃO ]]*SUMIFS(tabParametros[Férias e Adicional de Férias (titular)],tabParametros[Código do Posto],tabCustoUnit[[#This Row],[Código do Posto]])</f>
        <v>183.16909999999999</v>
      </c>
      <c r="AA238" s="21">
        <f>IFERROR((tabCustoUnit[[#This Row],[Submódulo 2.1]]/tabCustoUnit[[#This Row],[MODULO 1 - REMUNERAÇÃO ]])*SUM(tabCustoUnit[[#This Row],[13º salário (titular)]:[Férias e Adicional de Férias (titular)]]),0)</f>
        <v>121.16635965</v>
      </c>
      <c r="AB238" s="21">
        <f>SUM(tabCustoUnit[[#This Row],[13º salário (titular)]:[Incidência do Submódulo 2.1 sobre 13º Salário, Férias e Adicional de Férias]])</f>
        <v>441.71228465000002</v>
      </c>
      <c r="AC238" s="22">
        <f>_xlfn.LET(_xlpm.VT,SUMIF(tabParametros[Código do Posto],tabCustoUnit[[#This Row],[Código do Posto]],tabParametros[Vale - Transporte])*2*20,
IF((_xlpm.VT-tabCustoUnit[[#This Row],[Salário Base]]*0.06)&gt;=0,(_xlpm.VT-tabCustoUnit[[#This Row],[Salário Base]]*0.06),0)
)</f>
        <v>160.22320000000002</v>
      </c>
      <c r="AD238" s="22">
        <f>IF(SUMIF(tabParametros[Código do Posto],tabCustoUnit[[#This Row],[Código do Posto]],tabParametros[Vale - Alimentação])&lt;=0,0,
SUMIF(tabParametros[Código do Posto],tabCustoUnit[[#This Row],[Código do Posto]],tabParametros[Vale - Alimentação])*20-1)</f>
        <v>582</v>
      </c>
      <c r="AE238" s="22">
        <f>SUMIF(tabParametros[Código do Posto],tabCustoUnit[[#This Row],[Código do Posto]],tabParametros[Cesta Básica])</f>
        <v>0</v>
      </c>
      <c r="AF238" s="22">
        <f>SUMIF(tabParametros[Código do Posto],tabCustoUnit[[#This Row],[Código do Posto]],tabParametros[PAF])</f>
        <v>53.27</v>
      </c>
      <c r="AG238" s="22">
        <f>SUMIF(tabParametros[Código do Posto],tabCustoUnit[[#This Row],[Código do Posto]],tabParametros[PQM])</f>
        <v>0</v>
      </c>
      <c r="AH238" s="22">
        <f>SUMIF(tabParametros[Código do Posto],tabCustoUnit[[#This Row],[Código do Posto]],tabParametros[PAT])</f>
        <v>0</v>
      </c>
      <c r="AI238" s="22">
        <f>SUMIF(tabParametros[Código do Posto],tabCustoUnit[[#This Row],[Código do Posto]],tabParametros[Seguro de Vida])</f>
        <v>3.36</v>
      </c>
      <c r="AJ238" s="22">
        <f>SUMIF(tabParametros[Código do Posto],tabCustoUnit[[#This Row],[Código do Posto]],tabParametros[Despesas de Viagem])</f>
        <v>0</v>
      </c>
      <c r="AK238" s="22">
        <f>SUM(tabCustoUnit[[#This Row],[Vale - Transporte (Descontada parcela do empregado)]:[Despesas de Viagem]])</f>
        <v>798.85320000000002</v>
      </c>
      <c r="AL238" s="22">
        <f>tabCustoUnit[[#This Row],[Submódulo 2.1]]+tabCustoUnit[[#This Row],[Submódulo 2.2]]+tabCustoUnit[[#This Row],[Submódulo 2.3]]</f>
        <v>1863.7067628499999</v>
      </c>
      <c r="AM238" s="22">
        <f>SUMIF(tabParametros[Código do Posto],tabCustoUnit[[#This Row],[Código do Posto]],tabParametros[Aviso Prévio Indenizado (API) e Reflexo do Aviso Prévio Indenizado])*tabCustoUnit[[#This Row],[MODULO 1 - REMUNERAÇÃO ]]</f>
        <v>11.559051416493055</v>
      </c>
      <c r="AN238" s="22">
        <f>SUMIF(tabParametros[Código do Posto],tabCustoUnit[[#This Row],[Código do Posto]],tabParametros[Incidência do FGTS sobre API e Reflexo do API])*tabCustoUnit[[#This Row],[MODULO 1 - REMUNERAÇÃO ]]</f>
        <v>0.92472411331944449</v>
      </c>
      <c r="AO238" s="22">
        <f>SUMIF(tabParametros[Código do Posto],tabCustoUnit[[#This Row],[Código do Posto]],tabParametros[Multa Rescisória do FGTS sobre o Aviso Prévio Indenizado])*tabCustoUnit[[#This Row],[MODULO 1 - REMUNERAÇÃO ]]</f>
        <v>0.36988964532777785</v>
      </c>
      <c r="AP238" s="22">
        <f>SUMIF(tabParametros[Código do Posto],tabCustoUnit[[#This Row],[Código do Posto]],tabParametros[Aviso Prévio Trabalhado - APT])*tabCustoUnit[[#This Row],[MODULO 1 - REMUNERAÇÃO ]]</f>
        <v>5.7698266500000006</v>
      </c>
      <c r="AQ238" s="22">
        <f>SUMIF(tabParametros[Código do Posto],tabCustoUnit[[#This Row],[Código do Posto]],tabParametros[Incidência dos encargos do submódulo 2.1 sobre Aviso Prévio Trabalhado])*tabCustoUnit[[#This Row],[MODULO 1 - REMUNERAÇÃO ]]</f>
        <v>2.1809944737000007</v>
      </c>
      <c r="AR238" s="22">
        <f>SUMIF(tabParametros[Código do Posto],tabCustoUnit[[#This Row],[Código do Posto]],tabParametros[Multa Rescisória do FGTS])*tabCustoUnit[[#This Row],[MODULO 1 - REMUNERAÇÃO ]]</f>
        <v>50.40813631999999</v>
      </c>
      <c r="AS238" s="22">
        <f>SUMIF(tabParametros[Código do Posto],tabCustoUnit[[#This Row],[Código do Posto]],tabParametros[Indenização Adicional (Art. 9º da Lei nº 7.238/84)])*tabCustoUnit[[#This Row],[MODULO 1 - REMUNERAÇÃO ]]</f>
        <v>1.3737682500000001</v>
      </c>
      <c r="AT238" s="22">
        <f>SUM(tabCustoUnit[[#This Row],[Aviso Prévio Indenizado (API) e Reflexo do Aviso Prévio Indenizado]:[Indenização Adicional (Art. 9º da Lei nº 7.238/84)]])</f>
        <v>72.586390868840269</v>
      </c>
      <c r="AU238" s="22">
        <f>SUMIF(tabParametros[Código do Posto],tabCustoUnit[[#This Row],[Código do Posto]],tabParametros[Ausência por Doença])*tabCustoUnit[[#This Row],[MODULO 1 - REMUNERAÇÃO ]]</f>
        <v>13.920851599999999</v>
      </c>
      <c r="AV238" s="22">
        <f>SUMIF(tabParametros[Código do Posto],tabCustoUnit[[#This Row],[Código do Posto]],tabParametros[Ausências Legais])*tabCustoUnit[[#This Row],[MODULO 1 - REMUNERAÇÃO ]]</f>
        <v>3.3428360749999997</v>
      </c>
      <c r="AW238" s="22">
        <f>SUMIF(tabParametros[Código do Posto],tabCustoUnit[[#This Row],[Código do Posto]],tabParametros[Licença Paternidade])*tabCustoUnit[[#This Row],[MODULO 1 - REMUNERAÇÃO ]]</f>
        <v>0.28162249125</v>
      </c>
      <c r="AX238" s="22">
        <f>SUMIF(tabParametros[Código do Posto],tabCustoUnit[[#This Row],[Código do Posto]],tabParametros[Ausência por Acidente de Trabalho])*tabCustoUnit[[#This Row],[MODULO 1 - REMUNERAÇÃO ]]</f>
        <v>0.34344206250000003</v>
      </c>
      <c r="AY238" s="22">
        <f>SUMIF(tabParametros[Código do Posto],tabCustoUnit[[#This Row],[Código do Posto]],tabParametros[Férias, Adicional de Férias e 13º  com empregada em gozo de Licença Maternidade])*tabCustoUnit[[#This Row],[MODULO 1 - REMUNERAÇÃO ]]</f>
        <v>2.1369728333333331</v>
      </c>
      <c r="AZ238" s="22">
        <f>SUMIF(tabParametros[Código do Posto],tabCustoUnit[[#This Row],[Código do Posto]],tabParametros[Incidência do Submódulo 2.1 sobre Ausências Legais])*tabCustoUnit[[#This Row],[MODULO 1 - REMUNERAÇÃO ]]</f>
        <v>7.5697240734675013</v>
      </c>
      <c r="BA238" s="22">
        <f>SUM(tabCustoUnit[[#This Row],[Ausência por Doença]:[Incidência do Submódulo 2.1 sobre Ausências Legais]])</f>
        <v>27.595449135550833</v>
      </c>
      <c r="BB238" s="22">
        <f>SUMIF(tabParametros[Código do Posto],tabCustoUnit[[#This Row],[Código do Posto]],tabParametros[Intervalo para Repouso ou Alimentação])</f>
        <v>0</v>
      </c>
      <c r="BC238" s="22">
        <f>tabCustoUnit[[#This Row],[Intervalo para Repouso ou Alimentação]]</f>
        <v>0</v>
      </c>
      <c r="BD238" s="22">
        <f>IF(VLOOKUP(tabCustoUnit[[#This Row],[Código do Posto]],PARAMETROS!$A$4:$BJ$255,7,0)&lt;=0,0,
IFERROR((tabCustoUnit[[#This Row],[MODULO 1 - REMUNERAÇÃO ]]*VLOOKUP(tabCustoUnit[[#This Row],[Código do Posto]],PARAMETROS!$A$4:$BJ$255,49,0))/(VLOOKUP(tabCustoUnit[[#This Row],[Código do Posto]],PARAMETROS!$A$4:$BJ$255,7,0)*VLOOKUP(tabCustoUnit[[#This Row],[Código do Posto]],PARAMETROS!$A$4:$BJ$255,8,0)),0)
)</f>
        <v>0</v>
      </c>
      <c r="BE238" s="22">
        <f>tabCustoUnit[[#This Row],[Suspensão Temporária do Contrato de Trabalho]]</f>
        <v>0</v>
      </c>
      <c r="BF238" s="22">
        <f>tabCustoUnit[[#This Row],[Submódulo 4.1]]+tabCustoUnit[[#This Row],[Submódulo 4.2]]+tabCustoUnit[[#This Row],[Submódulo 4.3]]</f>
        <v>27.595449135550833</v>
      </c>
      <c r="BG238" s="22">
        <f>VLOOKUP(tabCustoUnit[[#This Row],[Código do Posto]],tabParametros[],MATCH(tabCustoUnit[[#Headers],[Uniformes e EPIs]],tabParametros[#Headers],0),0)</f>
        <v>100.80916666666666</v>
      </c>
      <c r="BH238" s="22">
        <f>VLOOKUP(tabCustoUnit[[#This Row],[Código do Posto]],tabParametros[],MATCH(tabCustoUnit[[#Headers],[Materiais de Consumo]],tabParametros[#Headers],0),0)</f>
        <v>35.518212958583888</v>
      </c>
      <c r="BI238" s="22">
        <f>VLOOKUP(tabCustoUnit[[#This Row],[Código do Posto]],tabParametros[],MATCH(tabCustoUnit[[#Headers],[Máquinas e Equipamentos (depreciação)]],tabParametros[#Headers],0),0)</f>
        <v>64.529393914825576</v>
      </c>
      <c r="BJ238" s="22">
        <f>VLOOKUP(tabCustoUnit[[#This Row],[Código do Posto]],tabParametros[],MATCH(tabCustoUnit[[#Headers],[Produtos de Limpeza e Materiais de Higiene Pessoal]],tabParametros[#Headers],0),0)</f>
        <v>690.27153277931654</v>
      </c>
      <c r="BK238" s="22">
        <f>VLOOKUP(tabCustoUnit[[#This Row],[Código do Posto]],tabParametros[],MATCH(tabCustoUnit[[#Headers],[Outros (especificar)]],tabParametros[#Headers],0),0)</f>
        <v>0</v>
      </c>
      <c r="BL238" s="22">
        <f>SUM(tabCustoUnit[[#This Row],[Uniformes e EPIs]:[Outros (especificar)]])</f>
        <v>891.12830631939266</v>
      </c>
      <c r="BM238" s="22">
        <f>tabCustoUnit[[#This Row],[MODULO 1 - REMUNERAÇÃO ]]+tabCustoUnit[[#This Row],[MÓDULO 2 - Total Encargos e Benefícios mensais e diários]]+tabCustoUnit[[#This Row],[MÓDULO 3 – PROVISÃO PARA RESCISÃO]]+tabCustoUnit[[#This Row],[MÓDULO 4 – CUSTO DE REPOSIÇÃO DO PROFISSIONAL AUSENTE]]+tabCustoUnit[[#This Row],[MÓDULO 5 – INSUMOS DIVERSOS]]</f>
        <v>4503.5388091737832</v>
      </c>
      <c r="BN238" s="22">
        <f>VLOOKUP(tabCustoUnit[[#This Row],[Código do Posto]],tabParametros[],MATCH(tabCustoUnit[[#Headers],[Custos Indiretos]],tabParametros[#Headers],0),0)</f>
        <v>189.64880140242613</v>
      </c>
      <c r="BO238" s="22">
        <f>VLOOKUP(tabCustoUnit[[#This Row],[Código do Posto]],tabParametros[],MATCH(tabCustoUnit[[#Headers],[Lucro]],tabParametros[#Headers],0),0)</f>
        <v>159.30499317803796</v>
      </c>
      <c r="BP238" s="26">
        <f>((100/((1-tabCustoUnit[[#This Row],[Resumo de Alíquotas (PIS+CONFINS+ISS)]]))-100)*VLOOKUP(tabCustoUnit[[#This Row],[Código do Posto]],tabParametros[],MATCH(tabCustoUnit[[#Headers],[COFINS]],tabParametros[#Headers],0),0))/(tabCustoUnit[[#This Row],[Resumo de Alíquotas (PIS+CONFINS+ISS)]]*100)</f>
        <v>8.6609686609686695E-2</v>
      </c>
      <c r="BQ238" s="26">
        <f>((100/((100-(tabCustoUnit[[#This Row],[Resumo de Alíquotas (PIS+CONFINS+ISS)]]*100))%)-100)*VLOOKUP(tabCustoUnit[[#This Row],[Código do Posto]],tabParametros[],MATCH(tabCustoUnit[[#Headers],[PIS]],tabParametros[#Headers],0),0))/(tabCustoUnit[[#This Row],[Resumo de Alíquotas (PIS+CONFINS+ISS)]]*100)</f>
        <v>1.880341880341882E-2</v>
      </c>
      <c r="BR238" s="28">
        <f>VLOOKUP(tabCustoUnit[[#This Row],[Código do Posto]],tabParametros[],MATCH(tabCustoUnit[[#Headers],[ISS]],tabParametros[#Headers],0),0)</f>
        <v>0.03</v>
      </c>
      <c r="BS238" s="26">
        <f>(((100/((100-(tabCustoUnit[[#This Row],[Resumo de Alíquotas (PIS+CONFINS+ISS)]]*100))%)-100)*tabCustoUnit[[#This Row],[ISS]])/tabCustoUnit[[#This Row],[Resumo de Alíquotas (PIS+CONFINS+ISS)]])/100</f>
        <v>3.4188034188034219E-2</v>
      </c>
      <c r="BT238" s="26">
        <f>(VLOOKUP(tabCustoUnit[[#This Row],[Código do Posto]],tabParametros[],MATCH(tabCustoUnit[[#Headers],[COFINS]],tabParametros[#Headers],0),0)+
VLOOKUP(tabCustoUnit[[#This Row],[Código do Posto]],tabParametros[],MATCH(tabCustoUnit[[#Headers],[PIS]],tabParametros[#Headers],0),0)+
VLOOKUP(tabCustoUnit[[#This Row],[Código do Posto]],tabParametros[],MATCH(tabCustoUnit[[#Headers],[ISS]],tabParametros[#Headers],0),0))</f>
        <v>0.1225</v>
      </c>
      <c r="BU238" s="138">
        <f>tabCustoUnit[[#This Row],[COFINS]]+tabCustoUnit[[#This Row],[PIS]]+tabCustoUnit[[#This Row],[ISS (Conversão Alíquota s/ fatura)]]</f>
        <v>0.13960113960113973</v>
      </c>
      <c r="BV238" s="22">
        <f>(tabCustoUnit[[#This Row],[TOTAL MÓDULOS 1+2+3+4+5]]+tabCustoUnit[[#This Row],[Custos Indiretos]]+tabCustoUnit[[#This Row],[Lucro]])*tabCustoUnit[[#This Row],[PIS + COFINS + ISS (Total Conversão  Alíquota s/ Fatura)]]</f>
        <v>677.41349739019472</v>
      </c>
      <c r="BW238" s="22">
        <f>tabCustoUnit[[#This Row],[Custos Indiretos]]+tabCustoUnit[[#This Row],[Lucro]]+tabCustoUnit[[#This Row],[Valor dos Tributos (ISS, PIS, CONFINS)]]</f>
        <v>1026.3672919706587</v>
      </c>
      <c r="BX238" s="22">
        <f>tabCustoUnit[[#This Row],[TOTAL MÓDULOS 1+2+3+4+5]]+tabCustoUnit[[#This Row],[MÓDULO 6 – CUSTOS INDIRETOS, TRIBUTOS E LUCRO]]</f>
        <v>5529.9061011444419</v>
      </c>
      <c r="BY238" s="22">
        <f>tabCustoUnit[[#This Row],[CUSTO TOTAL MENSAL]]*12</f>
        <v>66358.873213733299</v>
      </c>
      <c r="BZ238" s="24">
        <f>VLOOKUP(tabCustoUnit[[#This Row],[Código do Posto]],tabParametros[],MATCH(tabCustoUnit[[#Headers],[ANO DA CCT]],tabParametros[#Headers],0),0)</f>
        <v>45658</v>
      </c>
      <c r="CA238" s="25" t="str">
        <f>VLOOKUP(tabCustoUnit[[#This Row],[Código do Posto]],tabParametros[],MATCH(tabCustoUnit[[#Headers],[Nº DE PEDIDO DA CCT]],tabParametros[#Headers],0),0)</f>
        <v>-</v>
      </c>
      <c r="CB238" s="25" t="str">
        <f>VLOOKUP(tabCustoUnit[[#This Row],[Código do Posto]],tabParametros[],MATCH(tabCustoUnit[[#Headers],[TERMO ADITIVO ALTERAÇÃO DA CCT]],tabParametros[#Headers],0),0)</f>
        <v>-</v>
      </c>
    </row>
    <row r="239" spans="1:80" x14ac:dyDescent="0.25">
      <c r="A239" s="20" t="s">
        <v>1574</v>
      </c>
      <c r="B239" t="s">
        <v>217</v>
      </c>
      <c r="C239" t="s">
        <v>1245</v>
      </c>
      <c r="D239" t="s">
        <v>1023</v>
      </c>
      <c r="E239" s="20" t="s">
        <v>9</v>
      </c>
      <c r="F239" s="20" t="s">
        <v>10</v>
      </c>
      <c r="G239" s="21">
        <v>1596.28</v>
      </c>
      <c r="H239" s="21">
        <v>0</v>
      </c>
      <c r="I239" s="21">
        <v>0</v>
      </c>
      <c r="J239" s="21">
        <v>0</v>
      </c>
      <c r="K239" s="21">
        <v>0</v>
      </c>
      <c r="L239" s="21">
        <v>0</v>
      </c>
      <c r="M239" s="21">
        <v>0</v>
      </c>
      <c r="N239" s="21">
        <v>52.241900000000001</v>
      </c>
      <c r="O239" s="21">
        <f>SUM(tabCustoUnit[[#This Row],[Salário Base]:[Adicional de Acúmulo de função]])</f>
        <v>1648.5219</v>
      </c>
      <c r="P239" s="21">
        <f>tabCustoUnit[[#This Row],[MODULO 1 - REMUNERAÇÃO ]]*SUMIFS(tabParametros[INSS],tabParametros[Código do Posto],tabCustoUnit[[#This Row],[Código do Posto]])</f>
        <v>329.70438000000001</v>
      </c>
      <c r="Q239" s="21">
        <f>tabCustoUnit[[#This Row],[MODULO 1 - REMUNERAÇÃO ]]*SUMIFS(tabParametros[SESI OU SESC],tabParametros[Código do Posto],tabCustoUnit[[#This Row],[Código do Posto]])</f>
        <v>24.727828499999998</v>
      </c>
      <c r="R239" s="21">
        <f>tabCustoUnit[[#This Row],[MODULO 1 - REMUNERAÇÃO ]]*SUMIFS(tabParametros[SENAI OU SENAC],tabParametros[Código do Posto],tabCustoUnit[[#This Row],[Código do Posto]])</f>
        <v>16.485219000000001</v>
      </c>
      <c r="S239" s="21">
        <f>tabCustoUnit[[#This Row],[MODULO 1 - REMUNERAÇÃO ]]*SUMIFS(tabParametros[INCRA],tabParametros[Código do Posto],tabCustoUnit[[#This Row],[Código do Posto]])</f>
        <v>3.2970438</v>
      </c>
      <c r="T239" s="21">
        <f>tabCustoUnit[[#This Row],[MODULO 1 - REMUNERAÇÃO ]]*SUMIFS(tabParametros[Salário Educação],tabParametros[Código do Posto],tabCustoUnit[[#This Row],[Código do Posto]])</f>
        <v>41.213047500000002</v>
      </c>
      <c r="U239" s="21">
        <f>tabCustoUnit[[#This Row],[MODULO 1 - REMUNERAÇÃO ]]*SUMIFS(tabParametros[FGTS],tabParametros[Código do Posto],tabCustoUnit[[#This Row],[Código do Posto]])</f>
        <v>131.88175200000001</v>
      </c>
      <c r="V239" s="21">
        <f>tabCustoUnit[[#This Row],[MODULO 1 - REMUNERAÇÃO ]]*SUMIFS(tabParametros[RAT Ajustado],tabParametros[Código do Posto],tabCustoUnit[[#This Row],[Código do Posto]])</f>
        <v>65.940876000000003</v>
      </c>
      <c r="W239" s="21">
        <f>tabCustoUnit[[#This Row],[MODULO 1 - REMUNERAÇÃO ]]*SUMIFS(tabParametros[SEBRAE],tabParametros[Código do Posto],tabCustoUnit[[#This Row],[Código do Posto]])</f>
        <v>9.8911314000000008</v>
      </c>
      <c r="X239" s="21">
        <f>SUM(tabCustoUnit[[#This Row],[INSS]:[SEBRAE]])</f>
        <v>623.14127819999999</v>
      </c>
      <c r="Y239" s="21">
        <f>tabCustoUnit[[#This Row],[MODULO 1 - REMUNERAÇÃO ]]*SUMIFS(tabParametros[13º salário (titular)],tabParametros[Código do Posto],tabCustoUnit[[#This Row],[Código do Posto]])</f>
        <v>137.376825</v>
      </c>
      <c r="Z239" s="21">
        <f>tabCustoUnit[[#This Row],[MODULO 1 - REMUNERAÇÃO ]]*SUMIFS(tabParametros[Férias e Adicional de Férias (titular)],tabParametros[Código do Posto],tabCustoUnit[[#This Row],[Código do Posto]])</f>
        <v>183.16909999999999</v>
      </c>
      <c r="AA239" s="21">
        <f>IFERROR((tabCustoUnit[[#This Row],[Submódulo 2.1]]/tabCustoUnit[[#This Row],[MODULO 1 - REMUNERAÇÃO ]])*SUM(tabCustoUnit[[#This Row],[13º salário (titular)]:[Férias e Adicional de Férias (titular)]]),0)</f>
        <v>121.16635965</v>
      </c>
      <c r="AB239" s="21">
        <f>SUM(tabCustoUnit[[#This Row],[13º salário (titular)]:[Incidência do Submódulo 2.1 sobre 13º Salário, Férias e Adicional de Férias]])</f>
        <v>441.71228465000002</v>
      </c>
      <c r="AC239" s="22">
        <f>_xlfn.LET(_xlpm.VT,SUMIF(tabParametros[Código do Posto],tabCustoUnit[[#This Row],[Código do Posto]],tabParametros[Vale - Transporte])*2*20,
IF((_xlpm.VT-tabCustoUnit[[#This Row],[Salário Base]]*0.06)&gt;=0,(_xlpm.VT-tabCustoUnit[[#This Row],[Salário Base]]*0.06),0)
)</f>
        <v>160.22320000000002</v>
      </c>
      <c r="AD239" s="22">
        <f>IF(SUMIF(tabParametros[Código do Posto],tabCustoUnit[[#This Row],[Código do Posto]],tabParametros[Vale - Alimentação])&lt;=0,0,
SUMIF(tabParametros[Código do Posto],tabCustoUnit[[#This Row],[Código do Posto]],tabParametros[Vale - Alimentação])*20-1)</f>
        <v>582</v>
      </c>
      <c r="AE239" s="22">
        <f>SUMIF(tabParametros[Código do Posto],tabCustoUnit[[#This Row],[Código do Posto]],tabParametros[Cesta Básica])</f>
        <v>0</v>
      </c>
      <c r="AF239" s="22">
        <f>SUMIF(tabParametros[Código do Posto],tabCustoUnit[[#This Row],[Código do Posto]],tabParametros[PAF])</f>
        <v>0</v>
      </c>
      <c r="AG239" s="22">
        <f>SUMIF(tabParametros[Código do Posto],tabCustoUnit[[#This Row],[Código do Posto]],tabParametros[PQM])</f>
        <v>0</v>
      </c>
      <c r="AH239" s="22">
        <f>SUMIF(tabParametros[Código do Posto],tabCustoUnit[[#This Row],[Código do Posto]],tabParametros[PAT])</f>
        <v>0</v>
      </c>
      <c r="AI239" s="22">
        <f>SUMIF(tabParametros[Código do Posto],tabCustoUnit[[#This Row],[Código do Posto]],tabParametros[Seguro de Vida])</f>
        <v>3.36</v>
      </c>
      <c r="AJ239" s="22">
        <f>SUMIF(tabParametros[Código do Posto],tabCustoUnit[[#This Row],[Código do Posto]],tabParametros[Despesas de Viagem])</f>
        <v>0</v>
      </c>
      <c r="AK239" s="22">
        <f>SUM(tabCustoUnit[[#This Row],[Vale - Transporte (Descontada parcela do empregado)]:[Despesas de Viagem]])</f>
        <v>745.58320000000003</v>
      </c>
      <c r="AL239" s="22">
        <f>tabCustoUnit[[#This Row],[Submódulo 2.1]]+tabCustoUnit[[#This Row],[Submódulo 2.2]]+tabCustoUnit[[#This Row],[Submódulo 2.3]]</f>
        <v>1810.4367628499999</v>
      </c>
      <c r="AM239" s="22">
        <f>SUMIF(tabParametros[Código do Posto],tabCustoUnit[[#This Row],[Código do Posto]],tabParametros[Aviso Prévio Indenizado (API) e Reflexo do Aviso Prévio Indenizado])*tabCustoUnit[[#This Row],[MODULO 1 - REMUNERAÇÃO ]]</f>
        <v>11.559051416493055</v>
      </c>
      <c r="AN239" s="22">
        <f>SUMIF(tabParametros[Código do Posto],tabCustoUnit[[#This Row],[Código do Posto]],tabParametros[Incidência do FGTS sobre API e Reflexo do API])*tabCustoUnit[[#This Row],[MODULO 1 - REMUNERAÇÃO ]]</f>
        <v>0.92472411331944449</v>
      </c>
      <c r="AO239" s="22">
        <f>SUMIF(tabParametros[Código do Posto],tabCustoUnit[[#This Row],[Código do Posto]],tabParametros[Multa Rescisória do FGTS sobre o Aviso Prévio Indenizado])*tabCustoUnit[[#This Row],[MODULO 1 - REMUNERAÇÃO ]]</f>
        <v>0.36988964532777785</v>
      </c>
      <c r="AP239" s="22">
        <f>SUMIF(tabParametros[Código do Posto],tabCustoUnit[[#This Row],[Código do Posto]],tabParametros[Aviso Prévio Trabalhado - APT])*tabCustoUnit[[#This Row],[MODULO 1 - REMUNERAÇÃO ]]</f>
        <v>5.7698266500000006</v>
      </c>
      <c r="AQ239" s="22">
        <f>SUMIF(tabParametros[Código do Posto],tabCustoUnit[[#This Row],[Código do Posto]],tabParametros[Incidência dos encargos do submódulo 2.1 sobre Aviso Prévio Trabalhado])*tabCustoUnit[[#This Row],[MODULO 1 - REMUNERAÇÃO ]]</f>
        <v>2.1809944737000007</v>
      </c>
      <c r="AR239" s="22">
        <f>SUMIF(tabParametros[Código do Posto],tabCustoUnit[[#This Row],[Código do Posto]],tabParametros[Multa Rescisória do FGTS])*tabCustoUnit[[#This Row],[MODULO 1 - REMUNERAÇÃO ]]</f>
        <v>50.40813631999999</v>
      </c>
      <c r="AS239" s="22">
        <f>SUMIF(tabParametros[Código do Posto],tabCustoUnit[[#This Row],[Código do Posto]],tabParametros[Indenização Adicional (Art. 9º da Lei nº 7.238/84)])*tabCustoUnit[[#This Row],[MODULO 1 - REMUNERAÇÃO ]]</f>
        <v>1.3737682500000001</v>
      </c>
      <c r="AT239" s="22">
        <f>SUM(tabCustoUnit[[#This Row],[Aviso Prévio Indenizado (API) e Reflexo do Aviso Prévio Indenizado]:[Indenização Adicional (Art. 9º da Lei nº 7.238/84)]])</f>
        <v>72.586390868840269</v>
      </c>
      <c r="AU239" s="22">
        <f>SUMIF(tabParametros[Código do Posto],tabCustoUnit[[#This Row],[Código do Posto]],tabParametros[Ausência por Doença])*tabCustoUnit[[#This Row],[MODULO 1 - REMUNERAÇÃO ]]</f>
        <v>13.920851599999999</v>
      </c>
      <c r="AV239" s="22">
        <f>SUMIF(tabParametros[Código do Posto],tabCustoUnit[[#This Row],[Código do Posto]],tabParametros[Ausências Legais])*tabCustoUnit[[#This Row],[MODULO 1 - REMUNERAÇÃO ]]</f>
        <v>3.3428360749999997</v>
      </c>
      <c r="AW239" s="22">
        <f>SUMIF(tabParametros[Código do Posto],tabCustoUnit[[#This Row],[Código do Posto]],tabParametros[Licença Paternidade])*tabCustoUnit[[#This Row],[MODULO 1 - REMUNERAÇÃO ]]</f>
        <v>0.28162249125</v>
      </c>
      <c r="AX239" s="22">
        <f>SUMIF(tabParametros[Código do Posto],tabCustoUnit[[#This Row],[Código do Posto]],tabParametros[Ausência por Acidente de Trabalho])*tabCustoUnit[[#This Row],[MODULO 1 - REMUNERAÇÃO ]]</f>
        <v>0.34344206250000003</v>
      </c>
      <c r="AY239" s="22">
        <f>SUMIF(tabParametros[Código do Posto],tabCustoUnit[[#This Row],[Código do Posto]],tabParametros[Férias, Adicional de Férias e 13º  com empregada em gozo de Licença Maternidade])*tabCustoUnit[[#This Row],[MODULO 1 - REMUNERAÇÃO ]]</f>
        <v>2.1369728333333331</v>
      </c>
      <c r="AZ239" s="22">
        <f>SUMIF(tabParametros[Código do Posto],tabCustoUnit[[#This Row],[Código do Posto]],tabParametros[Incidência do Submódulo 2.1 sobre Ausências Legais])*tabCustoUnit[[#This Row],[MODULO 1 - REMUNERAÇÃO ]]</f>
        <v>7.5697240734675013</v>
      </c>
      <c r="BA239" s="22">
        <f>SUM(tabCustoUnit[[#This Row],[Ausência por Doença]:[Incidência do Submódulo 2.1 sobre Ausências Legais]])</f>
        <v>27.595449135550833</v>
      </c>
      <c r="BB239" s="22">
        <f>SUMIF(tabParametros[Código do Posto],tabCustoUnit[[#This Row],[Código do Posto]],tabParametros[Intervalo para Repouso ou Alimentação])</f>
        <v>0</v>
      </c>
      <c r="BC239" s="22">
        <f>tabCustoUnit[[#This Row],[Intervalo para Repouso ou Alimentação]]</f>
        <v>0</v>
      </c>
      <c r="BD239" s="22">
        <f>IF(VLOOKUP(tabCustoUnit[[#This Row],[Código do Posto]],PARAMETROS!$A$4:$BJ$255,7,0)&lt;=0,0,
IFERROR((tabCustoUnit[[#This Row],[MODULO 1 - REMUNERAÇÃO ]]*VLOOKUP(tabCustoUnit[[#This Row],[Código do Posto]],PARAMETROS!$A$4:$BJ$255,49,0))/(VLOOKUP(tabCustoUnit[[#This Row],[Código do Posto]],PARAMETROS!$A$4:$BJ$255,7,0)*VLOOKUP(tabCustoUnit[[#This Row],[Código do Posto]],PARAMETROS!$A$4:$BJ$255,8,0)),0)
)</f>
        <v>0</v>
      </c>
      <c r="BE239" s="22">
        <f>tabCustoUnit[[#This Row],[Suspensão Temporária do Contrato de Trabalho]]</f>
        <v>0</v>
      </c>
      <c r="BF239" s="22">
        <f>tabCustoUnit[[#This Row],[Submódulo 4.1]]+tabCustoUnit[[#This Row],[Submódulo 4.2]]+tabCustoUnit[[#This Row],[Submódulo 4.3]]</f>
        <v>27.595449135550833</v>
      </c>
      <c r="BG239" s="22">
        <f>VLOOKUP(tabCustoUnit[[#This Row],[Código do Posto]],tabParametros[],MATCH(tabCustoUnit[[#Headers],[Uniformes e EPIs]],tabParametros[#Headers],0),0)</f>
        <v>100.80916666666666</v>
      </c>
      <c r="BH239" s="22">
        <f>VLOOKUP(tabCustoUnit[[#This Row],[Código do Posto]],tabParametros[],MATCH(tabCustoUnit[[#Headers],[Materiais de Consumo]],tabParametros[#Headers],0),0)</f>
        <v>35.518212958583888</v>
      </c>
      <c r="BI239" s="22">
        <f>VLOOKUP(tabCustoUnit[[#This Row],[Código do Posto]],tabParametros[],MATCH(tabCustoUnit[[#Headers],[Máquinas e Equipamentos (depreciação)]],tabParametros[#Headers],0),0)</f>
        <v>64.529393914825576</v>
      </c>
      <c r="BJ239" s="22">
        <f>VLOOKUP(tabCustoUnit[[#This Row],[Código do Posto]],tabParametros[],MATCH(tabCustoUnit[[#Headers],[Produtos de Limpeza e Materiais de Higiene Pessoal]],tabParametros[#Headers],0),0)</f>
        <v>690.27153277931654</v>
      </c>
      <c r="BK239" s="22">
        <f>VLOOKUP(tabCustoUnit[[#This Row],[Código do Posto]],tabParametros[],MATCH(tabCustoUnit[[#Headers],[Outros (especificar)]],tabParametros[#Headers],0),0)</f>
        <v>0</v>
      </c>
      <c r="BL239" s="22">
        <f>SUM(tabCustoUnit[[#This Row],[Uniformes e EPIs]:[Outros (especificar)]])</f>
        <v>891.12830631939266</v>
      </c>
      <c r="BM239" s="22">
        <f>tabCustoUnit[[#This Row],[MODULO 1 - REMUNERAÇÃO ]]+tabCustoUnit[[#This Row],[MÓDULO 2 - Total Encargos e Benefícios mensais e diários]]+tabCustoUnit[[#This Row],[MÓDULO 3 – PROVISÃO PARA RESCISÃO]]+tabCustoUnit[[#This Row],[MÓDULO 4 – CUSTO DE REPOSIÇÃO DO PROFISSIONAL AUSENTE]]+tabCustoUnit[[#This Row],[MÓDULO 5 – INSUMOS DIVERSOS]]</f>
        <v>4450.2688091737837</v>
      </c>
      <c r="BN239" s="22">
        <f>VLOOKUP(tabCustoUnit[[#This Row],[Código do Posto]],tabParametros[],MATCH(tabCustoUnit[[#Headers],[Custos Indiretos]],tabParametros[#Headers],0),0)</f>
        <v>189.64880140242613</v>
      </c>
      <c r="BO239" s="22">
        <f>VLOOKUP(tabCustoUnit[[#This Row],[Código do Posto]],tabParametros[],MATCH(tabCustoUnit[[#Headers],[Lucro]],tabParametros[#Headers],0),0)</f>
        <v>159.30499317803796</v>
      </c>
      <c r="BP239" s="26">
        <f>((100/((1-tabCustoUnit[[#This Row],[Resumo de Alíquotas (PIS+CONFINS+ISS)]]))-100)*VLOOKUP(tabCustoUnit[[#This Row],[Código do Posto]],tabParametros[],MATCH(tabCustoUnit[[#Headers],[COFINS]],tabParametros[#Headers],0),0))/(tabCustoUnit[[#This Row],[Resumo de Alíquotas (PIS+CONFINS+ISS)]]*100)</f>
        <v>8.6118980169971604E-2</v>
      </c>
      <c r="BQ239" s="26">
        <f>((100/((100-(tabCustoUnit[[#This Row],[Resumo de Alíquotas (PIS+CONFINS+ISS)]]*100))%)-100)*VLOOKUP(tabCustoUnit[[#This Row],[Código do Posto]],tabParametros[],MATCH(tabCustoUnit[[#Headers],[PIS]],tabParametros[#Headers],0),0))/(tabCustoUnit[[#This Row],[Resumo de Alíquotas (PIS+CONFINS+ISS)]]*100)</f>
        <v>1.8696883852691224E-2</v>
      </c>
      <c r="BR239" s="28">
        <f>VLOOKUP(tabCustoUnit[[#This Row],[Código do Posto]],tabParametros[],MATCH(tabCustoUnit[[#Headers],[ISS]],tabParametros[#Headers],0),0)</f>
        <v>2.5000000000000001E-2</v>
      </c>
      <c r="BS239" s="26">
        <f>(((100/((100-(tabCustoUnit[[#This Row],[Resumo de Alíquotas (PIS+CONFINS+ISS)]]*100))%)-100)*tabCustoUnit[[#This Row],[ISS]])/tabCustoUnit[[#This Row],[Resumo de Alíquotas (PIS+CONFINS+ISS)]])/100</f>
        <v>2.8328611898017008E-2</v>
      </c>
      <c r="BT239" s="26">
        <f>(VLOOKUP(tabCustoUnit[[#This Row],[Código do Posto]],tabParametros[],MATCH(tabCustoUnit[[#Headers],[COFINS]],tabParametros[#Headers],0),0)+
VLOOKUP(tabCustoUnit[[#This Row],[Código do Posto]],tabParametros[],MATCH(tabCustoUnit[[#Headers],[PIS]],tabParametros[#Headers],0),0)+
VLOOKUP(tabCustoUnit[[#This Row],[Código do Posto]],tabParametros[],MATCH(tabCustoUnit[[#Headers],[ISS]],tabParametros[#Headers],0),0))</f>
        <v>0.11749999999999999</v>
      </c>
      <c r="BU239" s="138">
        <f>tabCustoUnit[[#This Row],[COFINS]]+tabCustoUnit[[#This Row],[PIS]]+tabCustoUnit[[#This Row],[ISS (Conversão Alíquota s/ fatura)]]</f>
        <v>0.13314447592067982</v>
      </c>
      <c r="BV239" s="22">
        <f>(tabCustoUnit[[#This Row],[TOTAL MÓDULOS 1+2+3+4+5]]+tabCustoUnit[[#This Row],[Custos Indiretos]]+tabCustoUnit[[#This Row],[Lucro]])*tabCustoUnit[[#This Row],[PIS + COFINS + ISS (Total Conversão  Alíquota s/ Fatura)]]</f>
        <v>638.98997840353979</v>
      </c>
      <c r="BW239" s="22">
        <f>tabCustoUnit[[#This Row],[Custos Indiretos]]+tabCustoUnit[[#This Row],[Lucro]]+tabCustoUnit[[#This Row],[Valor dos Tributos (ISS, PIS, CONFINS)]]</f>
        <v>987.94377298400389</v>
      </c>
      <c r="BX239" s="22">
        <f>tabCustoUnit[[#This Row],[TOTAL MÓDULOS 1+2+3+4+5]]+tabCustoUnit[[#This Row],[MÓDULO 6 – CUSTOS INDIRETOS, TRIBUTOS E LUCRO]]</f>
        <v>5438.2125821577874</v>
      </c>
      <c r="BY239" s="22">
        <f>tabCustoUnit[[#This Row],[CUSTO TOTAL MENSAL]]*12</f>
        <v>65258.550985893453</v>
      </c>
      <c r="BZ239" s="24">
        <f>VLOOKUP(tabCustoUnit[[#This Row],[Código do Posto]],tabParametros[],MATCH(tabCustoUnit[[#Headers],[ANO DA CCT]],tabParametros[#Headers],0),0)</f>
        <v>45658</v>
      </c>
      <c r="CA239" s="25" t="str">
        <f>VLOOKUP(tabCustoUnit[[#This Row],[Código do Posto]],tabParametros[],MATCH(tabCustoUnit[[#Headers],[Nº DE PEDIDO DA CCT]],tabParametros[#Headers],0),0)</f>
        <v>-</v>
      </c>
      <c r="CB239" s="25" t="str">
        <f>VLOOKUP(tabCustoUnit[[#This Row],[Código do Posto]],tabParametros[],MATCH(tabCustoUnit[[#Headers],[TERMO ADITIVO ALTERAÇÃO DA CCT]],tabParametros[#Headers],0),0)</f>
        <v>-</v>
      </c>
    </row>
    <row r="240" spans="1:80" x14ac:dyDescent="0.25">
      <c r="A240" s="20" t="s">
        <v>1575</v>
      </c>
      <c r="B240" t="s">
        <v>218</v>
      </c>
      <c r="C240" t="s">
        <v>1244</v>
      </c>
      <c r="D240" t="s">
        <v>992</v>
      </c>
      <c r="E240" s="20" t="s">
        <v>9</v>
      </c>
      <c r="F240" s="20" t="s">
        <v>10</v>
      </c>
      <c r="G240" s="21">
        <v>798.14</v>
      </c>
      <c r="H240" s="21">
        <v>0</v>
      </c>
      <c r="I240" s="21">
        <v>0</v>
      </c>
      <c r="J240" s="21">
        <v>0</v>
      </c>
      <c r="K240" s="21">
        <v>0</v>
      </c>
      <c r="L240" s="21">
        <v>0</v>
      </c>
      <c r="M240" s="21">
        <v>0</v>
      </c>
      <c r="N240" s="21">
        <v>26.120899999999999</v>
      </c>
      <c r="O240" s="21">
        <f>SUM(tabCustoUnit[[#This Row],[Salário Base]:[Adicional de Acúmulo de função]])</f>
        <v>824.26089999999999</v>
      </c>
      <c r="P240" s="21">
        <f>tabCustoUnit[[#This Row],[MODULO 1 - REMUNERAÇÃO ]]*SUMIFS(tabParametros[INSS],tabParametros[Código do Posto],tabCustoUnit[[#This Row],[Código do Posto]])</f>
        <v>164.85218</v>
      </c>
      <c r="Q240" s="21">
        <f>tabCustoUnit[[#This Row],[MODULO 1 - REMUNERAÇÃO ]]*SUMIFS(tabParametros[SESI OU SESC],tabParametros[Código do Posto],tabCustoUnit[[#This Row],[Código do Posto]])</f>
        <v>12.363913499999999</v>
      </c>
      <c r="R240" s="21">
        <f>tabCustoUnit[[#This Row],[MODULO 1 - REMUNERAÇÃO ]]*SUMIFS(tabParametros[SENAI OU SENAC],tabParametros[Código do Posto],tabCustoUnit[[#This Row],[Código do Posto]])</f>
        <v>8.2426089999999999</v>
      </c>
      <c r="S240" s="21">
        <f>tabCustoUnit[[#This Row],[MODULO 1 - REMUNERAÇÃO ]]*SUMIFS(tabParametros[INCRA],tabParametros[Código do Posto],tabCustoUnit[[#This Row],[Código do Posto]])</f>
        <v>1.6485217999999999</v>
      </c>
      <c r="T240" s="21">
        <f>tabCustoUnit[[#This Row],[MODULO 1 - REMUNERAÇÃO ]]*SUMIFS(tabParametros[Salário Educação],tabParametros[Código do Posto],tabCustoUnit[[#This Row],[Código do Posto]])</f>
        <v>20.606522500000001</v>
      </c>
      <c r="U240" s="21">
        <f>tabCustoUnit[[#This Row],[MODULO 1 - REMUNERAÇÃO ]]*SUMIFS(tabParametros[FGTS],tabParametros[Código do Posto],tabCustoUnit[[#This Row],[Código do Posto]])</f>
        <v>65.940871999999999</v>
      </c>
      <c r="V240" s="21">
        <f>tabCustoUnit[[#This Row],[MODULO 1 - REMUNERAÇÃO ]]*SUMIFS(tabParametros[RAT Ajustado],tabParametros[Código do Posto],tabCustoUnit[[#This Row],[Código do Posto]])</f>
        <v>32.970435999999999</v>
      </c>
      <c r="W240" s="21">
        <f>tabCustoUnit[[#This Row],[MODULO 1 - REMUNERAÇÃO ]]*SUMIFS(tabParametros[SEBRAE],tabParametros[Código do Posto],tabCustoUnit[[#This Row],[Código do Posto]])</f>
        <v>4.9455654000000004</v>
      </c>
      <c r="X240" s="21">
        <f>SUM(tabCustoUnit[[#This Row],[INSS]:[SEBRAE]])</f>
        <v>311.57062020000001</v>
      </c>
      <c r="Y240" s="21">
        <f>tabCustoUnit[[#This Row],[MODULO 1 - REMUNERAÇÃO ]]*SUMIFS(tabParametros[13º salário (titular)],tabParametros[Código do Posto],tabCustoUnit[[#This Row],[Código do Posto]])</f>
        <v>68.688408333333328</v>
      </c>
      <c r="Z240" s="21">
        <f>tabCustoUnit[[#This Row],[MODULO 1 - REMUNERAÇÃO ]]*SUMIFS(tabParametros[Férias e Adicional de Férias (titular)],tabParametros[Código do Posto],tabCustoUnit[[#This Row],[Código do Posto]])</f>
        <v>91.584544444444433</v>
      </c>
      <c r="AA240" s="21">
        <f>IFERROR((tabCustoUnit[[#This Row],[Submódulo 2.1]]/tabCustoUnit[[#This Row],[MODULO 1 - REMUNERAÇÃO ]])*SUM(tabCustoUnit[[#This Row],[13º salário (titular)]:[Férias e Adicional de Férias (titular)]]),0)</f>
        <v>60.583176149999993</v>
      </c>
      <c r="AB240" s="21">
        <f>SUM(tabCustoUnit[[#This Row],[13º salário (titular)]:[Incidência do Submódulo 2.1 sobre 13º Salário, Férias e Adicional de Férias]])</f>
        <v>220.85612892777775</v>
      </c>
      <c r="AC240" s="22">
        <f>_xlfn.LET(_xlpm.VT,SUMIF(tabParametros[Código do Posto],tabCustoUnit[[#This Row],[Código do Posto]],tabParametros[Vale - Transporte])*2*20,
IF((_xlpm.VT-tabCustoUnit[[#This Row],[Salário Base]]*0.06)&gt;=0,(_xlpm.VT-tabCustoUnit[[#This Row],[Salário Base]]*0.06),0)
)</f>
        <v>208.11160000000001</v>
      </c>
      <c r="AD240" s="22">
        <f>IF(SUMIF(tabParametros[Código do Posto],tabCustoUnit[[#This Row],[Código do Posto]],tabParametros[Vale - Alimentação])&lt;=0,0,
SUMIF(tabParametros[Código do Posto],tabCustoUnit[[#This Row],[Código do Posto]],tabParametros[Vale - Alimentação])*20-1)</f>
        <v>0</v>
      </c>
      <c r="AE240" s="22">
        <f>SUMIF(tabParametros[Código do Posto],tabCustoUnit[[#This Row],[Código do Posto]],tabParametros[Cesta Básica])</f>
        <v>387.79</v>
      </c>
      <c r="AF240" s="22">
        <f>SUMIF(tabParametros[Código do Posto],tabCustoUnit[[#This Row],[Código do Posto]],tabParametros[PAF])</f>
        <v>42.97</v>
      </c>
      <c r="AG240" s="22">
        <f>SUMIF(tabParametros[Código do Posto],tabCustoUnit[[#This Row],[Código do Posto]],tabParametros[PQM])</f>
        <v>0</v>
      </c>
      <c r="AH240" s="22">
        <f>SUMIF(tabParametros[Código do Posto],tabCustoUnit[[#This Row],[Código do Posto]],tabParametros[PAT])</f>
        <v>0</v>
      </c>
      <c r="AI240" s="22">
        <f>SUMIF(tabParametros[Código do Posto],tabCustoUnit[[#This Row],[Código do Posto]],tabParametros[Seguro de Vida])</f>
        <v>3.36</v>
      </c>
      <c r="AJ240" s="22">
        <f>SUMIF(tabParametros[Código do Posto],tabCustoUnit[[#This Row],[Código do Posto]],tabParametros[Despesas de Viagem])</f>
        <v>0</v>
      </c>
      <c r="AK240" s="22">
        <f>SUM(tabCustoUnit[[#This Row],[Vale - Transporte (Descontada parcela do empregado)]:[Despesas de Viagem]])</f>
        <v>642.23160000000007</v>
      </c>
      <c r="AL240" s="22">
        <f>tabCustoUnit[[#This Row],[Submódulo 2.1]]+tabCustoUnit[[#This Row],[Submódulo 2.2]]+tabCustoUnit[[#This Row],[Submódulo 2.3]]</f>
        <v>1174.6583491277779</v>
      </c>
      <c r="AM240" s="22">
        <f>SUMIF(tabParametros[Código do Posto],tabCustoUnit[[#This Row],[Código do Posto]],tabParametros[Aviso Prévio Indenizado (API) e Reflexo do Aviso Prévio Indenizado])*tabCustoUnit[[#This Row],[MODULO 1 - REMUNERAÇÃO ]]</f>
        <v>5.7795253576581791</v>
      </c>
      <c r="AN240" s="22">
        <f>SUMIF(tabParametros[Código do Posto],tabCustoUnit[[#This Row],[Código do Posto]],tabParametros[Incidência do FGTS sobre API e Reflexo do API])*tabCustoUnit[[#This Row],[MODULO 1 - REMUNERAÇÃO ]]</f>
        <v>0.46236202861265435</v>
      </c>
      <c r="AO240" s="22">
        <f>SUMIF(tabParametros[Código do Posto],tabCustoUnit[[#This Row],[Código do Posto]],tabParametros[Multa Rescisória do FGTS sobre o Aviso Prévio Indenizado])*tabCustoUnit[[#This Row],[MODULO 1 - REMUNERAÇÃO ]]</f>
        <v>0.18494481144506175</v>
      </c>
      <c r="AP240" s="22">
        <f>SUMIF(tabParametros[Código do Posto],tabCustoUnit[[#This Row],[Código do Posto]],tabParametros[Aviso Prévio Trabalhado - APT])*tabCustoUnit[[#This Row],[MODULO 1 - REMUNERAÇÃO ]]</f>
        <v>2.8849131500000005</v>
      </c>
      <c r="AQ240" s="22">
        <f>SUMIF(tabParametros[Código do Posto],tabCustoUnit[[#This Row],[Código do Posto]],tabParametros[Incidência dos encargos do submódulo 2.1 sobre Aviso Prévio Trabalhado])*tabCustoUnit[[#This Row],[MODULO 1 - REMUNERAÇÃO ]]</f>
        <v>1.0904971707000004</v>
      </c>
      <c r="AR240" s="22">
        <f>SUMIF(tabParametros[Código do Posto],tabCustoUnit[[#This Row],[Código do Posto]],tabParametros[Multa Rescisória do FGTS])*tabCustoUnit[[#This Row],[MODULO 1 - REMUNERAÇÃO ]]</f>
        <v>25.204066631111107</v>
      </c>
      <c r="AS240" s="22">
        <f>SUMIF(tabParametros[Código do Posto],tabCustoUnit[[#This Row],[Código do Posto]],tabParametros[Indenização Adicional (Art. 9º da Lei nº 7.238/84)])*tabCustoUnit[[#This Row],[MODULO 1 - REMUNERAÇÃO ]]</f>
        <v>0.6868840833333334</v>
      </c>
      <c r="AT240" s="22">
        <f>SUM(tabCustoUnit[[#This Row],[Aviso Prévio Indenizado (API) e Reflexo do Aviso Prévio Indenizado]:[Indenização Adicional (Art. 9º da Lei nº 7.238/84)]])</f>
        <v>36.293193232860339</v>
      </c>
      <c r="AU240" s="22">
        <f>SUMIF(tabParametros[Código do Posto],tabCustoUnit[[#This Row],[Código do Posto]],tabParametros[Ausência por Doença])*tabCustoUnit[[#This Row],[MODULO 1 - REMUNERAÇÃO ]]</f>
        <v>6.9604253777777769</v>
      </c>
      <c r="AV240" s="22">
        <f>SUMIF(tabParametros[Código do Posto],tabCustoUnit[[#This Row],[Código do Posto]],tabParametros[Ausências Legais])*tabCustoUnit[[#This Row],[MODULO 1 - REMUNERAÇÃO ]]</f>
        <v>1.671417936111111</v>
      </c>
      <c r="AW240" s="22">
        <f>SUMIF(tabParametros[Código do Posto],tabCustoUnit[[#This Row],[Código do Posto]],tabParametros[Licença Paternidade])*tabCustoUnit[[#This Row],[MODULO 1 - REMUNERAÇÃO ]]</f>
        <v>0.14081123708333332</v>
      </c>
      <c r="AX240" s="22">
        <f>SUMIF(tabParametros[Código do Posto],tabCustoUnit[[#This Row],[Código do Posto]],tabParametros[Ausência por Acidente de Trabalho])*tabCustoUnit[[#This Row],[MODULO 1 - REMUNERAÇÃO ]]</f>
        <v>0.17172102083333335</v>
      </c>
      <c r="AY240" s="22">
        <f>SUMIF(tabParametros[Código do Posto],tabCustoUnit[[#This Row],[Código do Posto]],tabParametros[Férias, Adicional de Férias e 13º  com empregada em gozo de Licença Maternidade])*tabCustoUnit[[#This Row],[MODULO 1 - REMUNERAÇÃO ]]</f>
        <v>1.0684863518518517</v>
      </c>
      <c r="AZ240" s="22">
        <f>SUMIF(tabParametros[Código do Posto],tabCustoUnit[[#This Row],[Código do Posto]],tabParametros[Incidência do Submódulo 2.1 sobre Ausências Legais])*tabCustoUnit[[#This Row],[MODULO 1 - REMUNERAÇÃO ]]</f>
        <v>3.7848618071425006</v>
      </c>
      <c r="BA240" s="22">
        <f>SUM(tabCustoUnit[[#This Row],[Ausência por Doença]:[Incidência do Submódulo 2.1 sobre Ausências Legais]])</f>
        <v>13.797723730799909</v>
      </c>
      <c r="BB240" s="22">
        <f>SUMIF(tabParametros[Código do Posto],tabCustoUnit[[#This Row],[Código do Posto]],tabParametros[Intervalo para Repouso ou Alimentação])</f>
        <v>0</v>
      </c>
      <c r="BC240" s="22">
        <f>tabCustoUnit[[#This Row],[Intervalo para Repouso ou Alimentação]]</f>
        <v>0</v>
      </c>
      <c r="BD240" s="22">
        <f>IF(VLOOKUP(tabCustoUnit[[#This Row],[Código do Posto]],PARAMETROS!$A$4:$BJ$255,7,0)&lt;=0,0,
IFERROR((tabCustoUnit[[#This Row],[MODULO 1 - REMUNERAÇÃO ]]*VLOOKUP(tabCustoUnit[[#This Row],[Código do Posto]],PARAMETROS!$A$4:$BJ$255,49,0))/(VLOOKUP(tabCustoUnit[[#This Row],[Código do Posto]],PARAMETROS!$A$4:$BJ$255,7,0)*VLOOKUP(tabCustoUnit[[#This Row],[Código do Posto]],PARAMETROS!$A$4:$BJ$255,8,0)),0)
)</f>
        <v>0</v>
      </c>
      <c r="BE240" s="22">
        <f>tabCustoUnit[[#This Row],[Suspensão Temporária do Contrato de Trabalho]]</f>
        <v>0</v>
      </c>
      <c r="BF240" s="22">
        <f>tabCustoUnit[[#This Row],[Submódulo 4.1]]+tabCustoUnit[[#This Row],[Submódulo 4.2]]+tabCustoUnit[[#This Row],[Submódulo 4.3]]</f>
        <v>13.797723730799909</v>
      </c>
      <c r="BG240" s="22">
        <f>VLOOKUP(tabCustoUnit[[#This Row],[Código do Posto]],tabParametros[],MATCH(tabCustoUnit[[#Headers],[Uniformes e EPIs]],tabParametros[#Headers],0),0)</f>
        <v>62.806666666666665</v>
      </c>
      <c r="BH240" s="22">
        <f>VLOOKUP(tabCustoUnit[[#This Row],[Código do Posto]],tabParametros[],MATCH(tabCustoUnit[[#Headers],[Materiais de Consumo]],tabParametros[#Headers],0),0)</f>
        <v>17.759106479291944</v>
      </c>
      <c r="BI240" s="22">
        <f>VLOOKUP(tabCustoUnit[[#This Row],[Código do Posto]],tabParametros[],MATCH(tabCustoUnit[[#Headers],[Máquinas e Equipamentos (depreciação)]],tabParametros[#Headers],0),0)</f>
        <v>32.264696957412788</v>
      </c>
      <c r="BJ240" s="22">
        <f>VLOOKUP(tabCustoUnit[[#This Row],[Código do Posto]],tabParametros[],MATCH(tabCustoUnit[[#Headers],[Produtos de Limpeza e Materiais de Higiene Pessoal]],tabParametros[#Headers],0),0)</f>
        <v>345.13576638965827</v>
      </c>
      <c r="BK240" s="22">
        <f>VLOOKUP(tabCustoUnit[[#This Row],[Código do Posto]],tabParametros[],MATCH(tabCustoUnit[[#Headers],[Outros (especificar)]],tabParametros[#Headers],0),0)</f>
        <v>0</v>
      </c>
      <c r="BL240" s="22">
        <f>SUM(tabCustoUnit[[#This Row],[Uniformes e EPIs]:[Outros (especificar)]])</f>
        <v>457.96623649302967</v>
      </c>
      <c r="BM240" s="22">
        <f>tabCustoUnit[[#This Row],[MODULO 1 - REMUNERAÇÃO ]]+tabCustoUnit[[#This Row],[MÓDULO 2 - Total Encargos e Benefícios mensais e diários]]+tabCustoUnit[[#This Row],[MÓDULO 3 – PROVISÃO PARA RESCISÃO]]+tabCustoUnit[[#This Row],[MÓDULO 4 – CUSTO DE REPOSIÇÃO DO PROFISSIONAL AUSENTE]]+tabCustoUnit[[#This Row],[MÓDULO 5 – INSUMOS DIVERSOS]]</f>
        <v>2506.9764025844679</v>
      </c>
      <c r="BN240" s="22">
        <f>VLOOKUP(tabCustoUnit[[#This Row],[Código do Posto]],tabParametros[],MATCH(tabCustoUnit[[#Headers],[Custos Indiretos]],tabParametros[#Headers],0),0)</f>
        <v>189.64880140242613</v>
      </c>
      <c r="BO240" s="22">
        <f>VLOOKUP(tabCustoUnit[[#This Row],[Código do Posto]],tabParametros[],MATCH(tabCustoUnit[[#Headers],[Lucro]],tabParametros[#Headers],0),0)</f>
        <v>159.30499317803796</v>
      </c>
      <c r="BP240" s="26">
        <f>((100/((1-tabCustoUnit[[#This Row],[Resumo de Alíquotas (PIS+CONFINS+ISS)]]))-100)*VLOOKUP(tabCustoUnit[[#This Row],[Código do Posto]],tabParametros[],MATCH(tabCustoUnit[[#Headers],[COFINS]],tabParametros[#Headers],0),0))/(tabCustoUnit[[#This Row],[Resumo de Alíquotas (PIS+CONFINS+ISS)]]*100)</f>
        <v>8.5633802816901458E-2</v>
      </c>
      <c r="BQ240" s="26">
        <f>((100/((100-(tabCustoUnit[[#This Row],[Resumo de Alíquotas (PIS+CONFINS+ISS)]]*100))%)-100)*VLOOKUP(tabCustoUnit[[#This Row],[Código do Posto]],tabParametros[],MATCH(tabCustoUnit[[#Headers],[PIS]],tabParametros[#Headers],0),0))/(tabCustoUnit[[#This Row],[Resumo de Alíquotas (PIS+CONFINS+ISS)]]*100)</f>
        <v>1.8591549295774657E-2</v>
      </c>
      <c r="BR240" s="28">
        <f>VLOOKUP(tabCustoUnit[[#This Row],[Código do Posto]],tabParametros[],MATCH(tabCustoUnit[[#Headers],[ISS]],tabParametros[#Headers],0),0)</f>
        <v>0.02</v>
      </c>
      <c r="BS240" s="26">
        <f>(((100/((100-(tabCustoUnit[[#This Row],[Resumo de Alíquotas (PIS+CONFINS+ISS)]]*100))%)-100)*tabCustoUnit[[#This Row],[ISS]])/tabCustoUnit[[#This Row],[Resumo de Alíquotas (PIS+CONFINS+ISS)]])/100</f>
        <v>2.2535211267605645E-2</v>
      </c>
      <c r="BT240" s="26">
        <f>(VLOOKUP(tabCustoUnit[[#This Row],[Código do Posto]],tabParametros[],MATCH(tabCustoUnit[[#Headers],[COFINS]],tabParametros[#Headers],0),0)+
VLOOKUP(tabCustoUnit[[#This Row],[Código do Posto]],tabParametros[],MATCH(tabCustoUnit[[#Headers],[PIS]],tabParametros[#Headers],0),0)+
VLOOKUP(tabCustoUnit[[#This Row],[Código do Posto]],tabParametros[],MATCH(tabCustoUnit[[#Headers],[ISS]],tabParametros[#Headers],0),0))</f>
        <v>0.1125</v>
      </c>
      <c r="BU240" s="138">
        <f>tabCustoUnit[[#This Row],[COFINS]]+tabCustoUnit[[#This Row],[PIS]]+tabCustoUnit[[#This Row],[ISS (Conversão Alíquota s/ fatura)]]</f>
        <v>0.12676056338028174</v>
      </c>
      <c r="BV240" s="22">
        <f>(tabCustoUnit[[#This Row],[TOTAL MÓDULOS 1+2+3+4+5]]+tabCustoUnit[[#This Row],[Custos Indiretos]]+tabCustoUnit[[#This Row],[Lucro]])*tabCustoUnit[[#This Row],[PIS + COFINS + ISS (Total Conversão  Alíquota s/ Fatura)]]</f>
        <v>362.01932076738592</v>
      </c>
      <c r="BW240" s="22">
        <f>tabCustoUnit[[#This Row],[Custos Indiretos]]+tabCustoUnit[[#This Row],[Lucro]]+tabCustoUnit[[#This Row],[Valor dos Tributos (ISS, PIS, CONFINS)]]</f>
        <v>710.97311534785001</v>
      </c>
      <c r="BX240" s="22">
        <f>tabCustoUnit[[#This Row],[TOTAL MÓDULOS 1+2+3+4+5]]+tabCustoUnit[[#This Row],[MÓDULO 6 – CUSTOS INDIRETOS, TRIBUTOS E LUCRO]]</f>
        <v>3217.949517932318</v>
      </c>
      <c r="BY240" s="22">
        <f>tabCustoUnit[[#This Row],[CUSTO TOTAL MENSAL]]*12</f>
        <v>38615.394215187815</v>
      </c>
      <c r="BZ240" s="24">
        <f>VLOOKUP(tabCustoUnit[[#This Row],[Código do Posto]],tabParametros[],MATCH(tabCustoUnit[[#Headers],[ANO DA CCT]],tabParametros[#Headers],0),0)</f>
        <v>45658</v>
      </c>
      <c r="CA240" s="25" t="str">
        <f>VLOOKUP(tabCustoUnit[[#This Row],[Código do Posto]],tabParametros[],MATCH(tabCustoUnit[[#Headers],[Nº DE PEDIDO DA CCT]],tabParametros[#Headers],0),0)</f>
        <v>-</v>
      </c>
      <c r="CB240" s="25" t="str">
        <f>VLOOKUP(tabCustoUnit[[#This Row],[Código do Posto]],tabParametros[],MATCH(tabCustoUnit[[#Headers],[TERMO ADITIVO ALTERAÇÃO DA CCT]],tabParametros[#Headers],0),0)</f>
        <v>-</v>
      </c>
    </row>
    <row r="241" spans="1:80" x14ac:dyDescent="0.25">
      <c r="A241" s="20" t="s">
        <v>1576</v>
      </c>
      <c r="B241" t="s">
        <v>218</v>
      </c>
      <c r="C241" t="s">
        <v>1245</v>
      </c>
      <c r="D241" t="s">
        <v>992</v>
      </c>
      <c r="E241" s="20" t="s">
        <v>9</v>
      </c>
      <c r="F241" s="20" t="s">
        <v>10</v>
      </c>
      <c r="G241" s="21">
        <v>1596.28</v>
      </c>
      <c r="H241" s="21">
        <v>0</v>
      </c>
      <c r="I241" s="21">
        <v>0</v>
      </c>
      <c r="J241" s="21">
        <v>0</v>
      </c>
      <c r="K241" s="21">
        <v>0</v>
      </c>
      <c r="L241" s="21">
        <v>0</v>
      </c>
      <c r="M241" s="21">
        <v>0</v>
      </c>
      <c r="N241" s="21">
        <v>52.241900000000001</v>
      </c>
      <c r="O241" s="21">
        <f>SUM(tabCustoUnit[[#This Row],[Salário Base]:[Adicional de Acúmulo de função]])</f>
        <v>1648.5219</v>
      </c>
      <c r="P241" s="21">
        <f>tabCustoUnit[[#This Row],[MODULO 1 - REMUNERAÇÃO ]]*SUMIFS(tabParametros[INSS],tabParametros[Código do Posto],tabCustoUnit[[#This Row],[Código do Posto]])</f>
        <v>329.70438000000001</v>
      </c>
      <c r="Q241" s="21">
        <f>tabCustoUnit[[#This Row],[MODULO 1 - REMUNERAÇÃO ]]*SUMIFS(tabParametros[SESI OU SESC],tabParametros[Código do Posto],tabCustoUnit[[#This Row],[Código do Posto]])</f>
        <v>24.727828499999998</v>
      </c>
      <c r="R241" s="21">
        <f>tabCustoUnit[[#This Row],[MODULO 1 - REMUNERAÇÃO ]]*SUMIFS(tabParametros[SENAI OU SENAC],tabParametros[Código do Posto],tabCustoUnit[[#This Row],[Código do Posto]])</f>
        <v>16.485219000000001</v>
      </c>
      <c r="S241" s="21">
        <f>tabCustoUnit[[#This Row],[MODULO 1 - REMUNERAÇÃO ]]*SUMIFS(tabParametros[INCRA],tabParametros[Código do Posto],tabCustoUnit[[#This Row],[Código do Posto]])</f>
        <v>3.2970438</v>
      </c>
      <c r="T241" s="21">
        <f>tabCustoUnit[[#This Row],[MODULO 1 - REMUNERAÇÃO ]]*SUMIFS(tabParametros[Salário Educação],tabParametros[Código do Posto],tabCustoUnit[[#This Row],[Código do Posto]])</f>
        <v>41.213047500000002</v>
      </c>
      <c r="U241" s="21">
        <f>tabCustoUnit[[#This Row],[MODULO 1 - REMUNERAÇÃO ]]*SUMIFS(tabParametros[FGTS],tabParametros[Código do Posto],tabCustoUnit[[#This Row],[Código do Posto]])</f>
        <v>131.88175200000001</v>
      </c>
      <c r="V241" s="21">
        <f>tabCustoUnit[[#This Row],[MODULO 1 - REMUNERAÇÃO ]]*SUMIFS(tabParametros[RAT Ajustado],tabParametros[Código do Posto],tabCustoUnit[[#This Row],[Código do Posto]])</f>
        <v>65.940876000000003</v>
      </c>
      <c r="W241" s="21">
        <f>tabCustoUnit[[#This Row],[MODULO 1 - REMUNERAÇÃO ]]*SUMIFS(tabParametros[SEBRAE],tabParametros[Código do Posto],tabCustoUnit[[#This Row],[Código do Posto]])</f>
        <v>9.8911314000000008</v>
      </c>
      <c r="X241" s="21">
        <f>SUM(tabCustoUnit[[#This Row],[INSS]:[SEBRAE]])</f>
        <v>623.14127819999999</v>
      </c>
      <c r="Y241" s="21">
        <f>tabCustoUnit[[#This Row],[MODULO 1 - REMUNERAÇÃO ]]*SUMIFS(tabParametros[13º salário (titular)],tabParametros[Código do Posto],tabCustoUnit[[#This Row],[Código do Posto]])</f>
        <v>137.376825</v>
      </c>
      <c r="Z241" s="21">
        <f>tabCustoUnit[[#This Row],[MODULO 1 - REMUNERAÇÃO ]]*SUMIFS(tabParametros[Férias e Adicional de Férias (titular)],tabParametros[Código do Posto],tabCustoUnit[[#This Row],[Código do Posto]])</f>
        <v>183.16909999999999</v>
      </c>
      <c r="AA241" s="21">
        <f>IFERROR((tabCustoUnit[[#This Row],[Submódulo 2.1]]/tabCustoUnit[[#This Row],[MODULO 1 - REMUNERAÇÃO ]])*SUM(tabCustoUnit[[#This Row],[13º salário (titular)]:[Férias e Adicional de Férias (titular)]]),0)</f>
        <v>121.16635965</v>
      </c>
      <c r="AB241" s="21">
        <f>SUM(tabCustoUnit[[#This Row],[13º salário (titular)]:[Incidência do Submódulo 2.1 sobre 13º Salário, Férias e Adicional de Férias]])</f>
        <v>441.71228465000002</v>
      </c>
      <c r="AC241" s="22">
        <f>_xlfn.LET(_xlpm.VT,SUMIF(tabParametros[Código do Posto],tabCustoUnit[[#This Row],[Código do Posto]],tabParametros[Vale - Transporte])*2*20,
IF((_xlpm.VT-tabCustoUnit[[#This Row],[Salário Base]]*0.06)&gt;=0,(_xlpm.VT-tabCustoUnit[[#This Row],[Salário Base]]*0.06),0)
)</f>
        <v>160.22320000000002</v>
      </c>
      <c r="AD241" s="22">
        <f>IF(SUMIF(tabParametros[Código do Posto],tabCustoUnit[[#This Row],[Código do Posto]],tabParametros[Vale - Alimentação])&lt;=0,0,
SUMIF(tabParametros[Código do Posto],tabCustoUnit[[#This Row],[Código do Posto]],tabParametros[Vale - Alimentação])*20-1)</f>
        <v>0</v>
      </c>
      <c r="AE241" s="22">
        <f>SUMIF(tabParametros[Código do Posto],tabCustoUnit[[#This Row],[Código do Posto]],tabParametros[Cesta Básica])</f>
        <v>387.79</v>
      </c>
      <c r="AF241" s="22">
        <f>SUMIF(tabParametros[Código do Posto],tabCustoUnit[[#This Row],[Código do Posto]],tabParametros[PAF])</f>
        <v>42.97</v>
      </c>
      <c r="AG241" s="22">
        <f>SUMIF(tabParametros[Código do Posto],tabCustoUnit[[#This Row],[Código do Posto]],tabParametros[PQM])</f>
        <v>0</v>
      </c>
      <c r="AH241" s="22">
        <f>SUMIF(tabParametros[Código do Posto],tabCustoUnit[[#This Row],[Código do Posto]],tabParametros[PAT])</f>
        <v>0</v>
      </c>
      <c r="AI241" s="22">
        <f>SUMIF(tabParametros[Código do Posto],tabCustoUnit[[#This Row],[Código do Posto]],tabParametros[Seguro de Vida])</f>
        <v>3.36</v>
      </c>
      <c r="AJ241" s="22">
        <f>SUMIF(tabParametros[Código do Posto],tabCustoUnit[[#This Row],[Código do Posto]],tabParametros[Despesas de Viagem])</f>
        <v>0</v>
      </c>
      <c r="AK241" s="22">
        <f>SUM(tabCustoUnit[[#This Row],[Vale - Transporte (Descontada parcela do empregado)]:[Despesas de Viagem]])</f>
        <v>594.34320000000014</v>
      </c>
      <c r="AL241" s="22">
        <f>tabCustoUnit[[#This Row],[Submódulo 2.1]]+tabCustoUnit[[#This Row],[Submódulo 2.2]]+tabCustoUnit[[#This Row],[Submódulo 2.3]]</f>
        <v>1659.1967628500001</v>
      </c>
      <c r="AM241" s="22">
        <f>SUMIF(tabParametros[Código do Posto],tabCustoUnit[[#This Row],[Código do Posto]],tabParametros[Aviso Prévio Indenizado (API) e Reflexo do Aviso Prévio Indenizado])*tabCustoUnit[[#This Row],[MODULO 1 - REMUNERAÇÃO ]]</f>
        <v>11.559051416493055</v>
      </c>
      <c r="AN241" s="22">
        <f>SUMIF(tabParametros[Código do Posto],tabCustoUnit[[#This Row],[Código do Posto]],tabParametros[Incidência do FGTS sobre API e Reflexo do API])*tabCustoUnit[[#This Row],[MODULO 1 - REMUNERAÇÃO ]]</f>
        <v>0.92472411331944449</v>
      </c>
      <c r="AO241" s="22">
        <f>SUMIF(tabParametros[Código do Posto],tabCustoUnit[[#This Row],[Código do Posto]],tabParametros[Multa Rescisória do FGTS sobre o Aviso Prévio Indenizado])*tabCustoUnit[[#This Row],[MODULO 1 - REMUNERAÇÃO ]]</f>
        <v>0.36988964532777785</v>
      </c>
      <c r="AP241" s="22">
        <f>SUMIF(tabParametros[Código do Posto],tabCustoUnit[[#This Row],[Código do Posto]],tabParametros[Aviso Prévio Trabalhado - APT])*tabCustoUnit[[#This Row],[MODULO 1 - REMUNERAÇÃO ]]</f>
        <v>5.7698266500000006</v>
      </c>
      <c r="AQ241" s="22">
        <f>SUMIF(tabParametros[Código do Posto],tabCustoUnit[[#This Row],[Código do Posto]],tabParametros[Incidência dos encargos do submódulo 2.1 sobre Aviso Prévio Trabalhado])*tabCustoUnit[[#This Row],[MODULO 1 - REMUNERAÇÃO ]]</f>
        <v>2.1809944737000007</v>
      </c>
      <c r="AR241" s="22">
        <f>SUMIF(tabParametros[Código do Posto],tabCustoUnit[[#This Row],[Código do Posto]],tabParametros[Multa Rescisória do FGTS])*tabCustoUnit[[#This Row],[MODULO 1 - REMUNERAÇÃO ]]</f>
        <v>50.40813631999999</v>
      </c>
      <c r="AS241" s="22">
        <f>SUMIF(tabParametros[Código do Posto],tabCustoUnit[[#This Row],[Código do Posto]],tabParametros[Indenização Adicional (Art. 9º da Lei nº 7.238/84)])*tabCustoUnit[[#This Row],[MODULO 1 - REMUNERAÇÃO ]]</f>
        <v>1.3737682500000001</v>
      </c>
      <c r="AT241" s="22">
        <f>SUM(tabCustoUnit[[#This Row],[Aviso Prévio Indenizado (API) e Reflexo do Aviso Prévio Indenizado]:[Indenização Adicional (Art. 9º da Lei nº 7.238/84)]])</f>
        <v>72.586390868840269</v>
      </c>
      <c r="AU241" s="22">
        <f>SUMIF(tabParametros[Código do Posto],tabCustoUnit[[#This Row],[Código do Posto]],tabParametros[Ausência por Doença])*tabCustoUnit[[#This Row],[MODULO 1 - REMUNERAÇÃO ]]</f>
        <v>13.920851599999999</v>
      </c>
      <c r="AV241" s="22">
        <f>SUMIF(tabParametros[Código do Posto],tabCustoUnit[[#This Row],[Código do Posto]],tabParametros[Ausências Legais])*tabCustoUnit[[#This Row],[MODULO 1 - REMUNERAÇÃO ]]</f>
        <v>3.3428360749999997</v>
      </c>
      <c r="AW241" s="22">
        <f>SUMIF(tabParametros[Código do Posto],tabCustoUnit[[#This Row],[Código do Posto]],tabParametros[Licença Paternidade])*tabCustoUnit[[#This Row],[MODULO 1 - REMUNERAÇÃO ]]</f>
        <v>0.28162249125</v>
      </c>
      <c r="AX241" s="22">
        <f>SUMIF(tabParametros[Código do Posto],tabCustoUnit[[#This Row],[Código do Posto]],tabParametros[Ausência por Acidente de Trabalho])*tabCustoUnit[[#This Row],[MODULO 1 - REMUNERAÇÃO ]]</f>
        <v>0.34344206250000003</v>
      </c>
      <c r="AY241" s="22">
        <f>SUMIF(tabParametros[Código do Posto],tabCustoUnit[[#This Row],[Código do Posto]],tabParametros[Férias, Adicional de Férias e 13º  com empregada em gozo de Licença Maternidade])*tabCustoUnit[[#This Row],[MODULO 1 - REMUNERAÇÃO ]]</f>
        <v>2.1369728333333331</v>
      </c>
      <c r="AZ241" s="22">
        <f>SUMIF(tabParametros[Código do Posto],tabCustoUnit[[#This Row],[Código do Posto]],tabParametros[Incidência do Submódulo 2.1 sobre Ausências Legais])*tabCustoUnit[[#This Row],[MODULO 1 - REMUNERAÇÃO ]]</f>
        <v>7.5697240734675013</v>
      </c>
      <c r="BA241" s="22">
        <f>SUM(tabCustoUnit[[#This Row],[Ausência por Doença]:[Incidência do Submódulo 2.1 sobre Ausências Legais]])</f>
        <v>27.595449135550833</v>
      </c>
      <c r="BB241" s="22">
        <f>SUMIF(tabParametros[Código do Posto],tabCustoUnit[[#This Row],[Código do Posto]],tabParametros[Intervalo para Repouso ou Alimentação])</f>
        <v>0</v>
      </c>
      <c r="BC241" s="22">
        <f>tabCustoUnit[[#This Row],[Intervalo para Repouso ou Alimentação]]</f>
        <v>0</v>
      </c>
      <c r="BD241" s="22">
        <f>IF(VLOOKUP(tabCustoUnit[[#This Row],[Código do Posto]],PARAMETROS!$A$4:$BJ$255,7,0)&lt;=0,0,
IFERROR((tabCustoUnit[[#This Row],[MODULO 1 - REMUNERAÇÃO ]]*VLOOKUP(tabCustoUnit[[#This Row],[Código do Posto]],PARAMETROS!$A$4:$BJ$255,49,0))/(VLOOKUP(tabCustoUnit[[#This Row],[Código do Posto]],PARAMETROS!$A$4:$BJ$255,7,0)*VLOOKUP(tabCustoUnit[[#This Row],[Código do Posto]],PARAMETROS!$A$4:$BJ$255,8,0)),0)
)</f>
        <v>0</v>
      </c>
      <c r="BE241" s="22">
        <f>tabCustoUnit[[#This Row],[Suspensão Temporária do Contrato de Trabalho]]</f>
        <v>0</v>
      </c>
      <c r="BF241" s="22">
        <f>tabCustoUnit[[#This Row],[Submódulo 4.1]]+tabCustoUnit[[#This Row],[Submódulo 4.2]]+tabCustoUnit[[#This Row],[Submódulo 4.3]]</f>
        <v>27.595449135550833</v>
      </c>
      <c r="BG241" s="22">
        <f>VLOOKUP(tabCustoUnit[[#This Row],[Código do Posto]],tabParametros[],MATCH(tabCustoUnit[[#Headers],[Uniformes e EPIs]],tabParametros[#Headers],0),0)</f>
        <v>100.80916666666666</v>
      </c>
      <c r="BH241" s="22">
        <f>VLOOKUP(tabCustoUnit[[#This Row],[Código do Posto]],tabParametros[],MATCH(tabCustoUnit[[#Headers],[Materiais de Consumo]],tabParametros[#Headers],0),0)</f>
        <v>35.518212958583888</v>
      </c>
      <c r="BI241" s="22">
        <f>VLOOKUP(tabCustoUnit[[#This Row],[Código do Posto]],tabParametros[],MATCH(tabCustoUnit[[#Headers],[Máquinas e Equipamentos (depreciação)]],tabParametros[#Headers],0),0)</f>
        <v>64.529393914825576</v>
      </c>
      <c r="BJ241" s="22">
        <f>VLOOKUP(tabCustoUnit[[#This Row],[Código do Posto]],tabParametros[],MATCH(tabCustoUnit[[#Headers],[Produtos de Limpeza e Materiais de Higiene Pessoal]],tabParametros[#Headers],0),0)</f>
        <v>690.27153277931654</v>
      </c>
      <c r="BK241" s="22">
        <f>VLOOKUP(tabCustoUnit[[#This Row],[Código do Posto]],tabParametros[],MATCH(tabCustoUnit[[#Headers],[Outros (especificar)]],tabParametros[#Headers],0),0)</f>
        <v>0</v>
      </c>
      <c r="BL241" s="22">
        <f>SUM(tabCustoUnit[[#This Row],[Uniformes e EPIs]:[Outros (especificar)]])</f>
        <v>891.12830631939266</v>
      </c>
      <c r="BM241" s="22">
        <f>tabCustoUnit[[#This Row],[MODULO 1 - REMUNERAÇÃO ]]+tabCustoUnit[[#This Row],[MÓDULO 2 - Total Encargos e Benefícios mensais e diários]]+tabCustoUnit[[#This Row],[MÓDULO 3 – PROVISÃO PARA RESCISÃO]]+tabCustoUnit[[#This Row],[MÓDULO 4 – CUSTO DE REPOSIÇÃO DO PROFISSIONAL AUSENTE]]+tabCustoUnit[[#This Row],[MÓDULO 5 – INSUMOS DIVERSOS]]</f>
        <v>4299.0288091737839</v>
      </c>
      <c r="BN241" s="22">
        <f>VLOOKUP(tabCustoUnit[[#This Row],[Código do Posto]],tabParametros[],MATCH(tabCustoUnit[[#Headers],[Custos Indiretos]],tabParametros[#Headers],0),0)</f>
        <v>189.64880140242613</v>
      </c>
      <c r="BO241" s="22">
        <f>VLOOKUP(tabCustoUnit[[#This Row],[Código do Posto]],tabParametros[],MATCH(tabCustoUnit[[#Headers],[Lucro]],tabParametros[#Headers],0),0)</f>
        <v>159.30499317803796</v>
      </c>
      <c r="BP241" s="26">
        <f>((100/((1-tabCustoUnit[[#This Row],[Resumo de Alíquotas (PIS+CONFINS+ISS)]]))-100)*VLOOKUP(tabCustoUnit[[#This Row],[Código do Posto]],tabParametros[],MATCH(tabCustoUnit[[#Headers],[COFINS]],tabParametros[#Headers],0),0))/(tabCustoUnit[[#This Row],[Resumo de Alíquotas (PIS+CONFINS+ISS)]]*100)</f>
        <v>8.5633802816901458E-2</v>
      </c>
      <c r="BQ241" s="26">
        <f>((100/((100-(tabCustoUnit[[#This Row],[Resumo de Alíquotas (PIS+CONFINS+ISS)]]*100))%)-100)*VLOOKUP(tabCustoUnit[[#This Row],[Código do Posto]],tabParametros[],MATCH(tabCustoUnit[[#Headers],[PIS]],tabParametros[#Headers],0),0))/(tabCustoUnit[[#This Row],[Resumo de Alíquotas (PIS+CONFINS+ISS)]]*100)</f>
        <v>1.8591549295774657E-2</v>
      </c>
      <c r="BR241" s="28">
        <f>VLOOKUP(tabCustoUnit[[#This Row],[Código do Posto]],tabParametros[],MATCH(tabCustoUnit[[#Headers],[ISS]],tabParametros[#Headers],0),0)</f>
        <v>0.02</v>
      </c>
      <c r="BS241" s="26">
        <f>(((100/((100-(tabCustoUnit[[#This Row],[Resumo de Alíquotas (PIS+CONFINS+ISS)]]*100))%)-100)*tabCustoUnit[[#This Row],[ISS]])/tabCustoUnit[[#This Row],[Resumo de Alíquotas (PIS+CONFINS+ISS)]])/100</f>
        <v>2.2535211267605645E-2</v>
      </c>
      <c r="BT241" s="26">
        <f>(VLOOKUP(tabCustoUnit[[#This Row],[Código do Posto]],tabParametros[],MATCH(tabCustoUnit[[#Headers],[COFINS]],tabParametros[#Headers],0),0)+
VLOOKUP(tabCustoUnit[[#This Row],[Código do Posto]],tabParametros[],MATCH(tabCustoUnit[[#Headers],[PIS]],tabParametros[#Headers],0),0)+
VLOOKUP(tabCustoUnit[[#This Row],[Código do Posto]],tabParametros[],MATCH(tabCustoUnit[[#Headers],[ISS]],tabParametros[#Headers],0),0))</f>
        <v>0.1125</v>
      </c>
      <c r="BU241" s="138">
        <f>tabCustoUnit[[#This Row],[COFINS]]+tabCustoUnit[[#This Row],[PIS]]+tabCustoUnit[[#This Row],[ISS (Conversão Alíquota s/ fatura)]]</f>
        <v>0.12676056338028174</v>
      </c>
      <c r="BV241" s="22">
        <f>(tabCustoUnit[[#This Row],[TOTAL MÓDULOS 1+2+3+4+5]]+tabCustoUnit[[#This Row],[Custos Indiretos]]+tabCustoUnit[[#This Row],[Lucro]])*tabCustoUnit[[#This Row],[PIS + COFINS + ISS (Total Conversão  Alíquota s/ Fatura)]]</f>
        <v>589.18089343363727</v>
      </c>
      <c r="BW241" s="22">
        <f>tabCustoUnit[[#This Row],[Custos Indiretos]]+tabCustoUnit[[#This Row],[Lucro]]+tabCustoUnit[[#This Row],[Valor dos Tributos (ISS, PIS, CONFINS)]]</f>
        <v>938.13468801410136</v>
      </c>
      <c r="BX241" s="22">
        <f>tabCustoUnit[[#This Row],[TOTAL MÓDULOS 1+2+3+4+5]]+tabCustoUnit[[#This Row],[MÓDULO 6 – CUSTOS INDIRETOS, TRIBUTOS E LUCRO]]</f>
        <v>5237.1634971878848</v>
      </c>
      <c r="BY241" s="22">
        <f>tabCustoUnit[[#This Row],[CUSTO TOTAL MENSAL]]*12</f>
        <v>62845.961966254617</v>
      </c>
      <c r="BZ241" s="24">
        <f>VLOOKUP(tabCustoUnit[[#This Row],[Código do Posto]],tabParametros[],MATCH(tabCustoUnit[[#Headers],[ANO DA CCT]],tabParametros[#Headers],0),0)</f>
        <v>45658</v>
      </c>
      <c r="CA241" s="25" t="str">
        <f>VLOOKUP(tabCustoUnit[[#This Row],[Código do Posto]],tabParametros[],MATCH(tabCustoUnit[[#Headers],[Nº DE PEDIDO DA CCT]],tabParametros[#Headers],0),0)</f>
        <v>-</v>
      </c>
      <c r="CB241" s="25" t="str">
        <f>VLOOKUP(tabCustoUnit[[#This Row],[Código do Posto]],tabParametros[],MATCH(tabCustoUnit[[#Headers],[TERMO ADITIVO ALTERAÇÃO DA CCT]],tabParametros[#Headers],0),0)</f>
        <v>-</v>
      </c>
    </row>
    <row r="242" spans="1:80" x14ac:dyDescent="0.25">
      <c r="A242" s="20" t="s">
        <v>1577</v>
      </c>
      <c r="B242" t="s">
        <v>219</v>
      </c>
      <c r="C242" t="s">
        <v>1244</v>
      </c>
      <c r="D242" t="s">
        <v>1000</v>
      </c>
      <c r="E242" s="20" t="s">
        <v>9</v>
      </c>
      <c r="F242" s="20" t="s">
        <v>10</v>
      </c>
      <c r="G242" s="21">
        <v>798.14</v>
      </c>
      <c r="H242" s="21">
        <v>0</v>
      </c>
      <c r="I242" s="21">
        <v>0</v>
      </c>
      <c r="J242" s="21">
        <v>0</v>
      </c>
      <c r="K242" s="21">
        <v>0</v>
      </c>
      <c r="L242" s="21">
        <v>0</v>
      </c>
      <c r="M242" s="21">
        <v>0</v>
      </c>
      <c r="N242" s="21">
        <v>26.120899999999999</v>
      </c>
      <c r="O242" s="21">
        <f>SUM(tabCustoUnit[[#This Row],[Salário Base]:[Adicional de Acúmulo de função]])</f>
        <v>824.26089999999999</v>
      </c>
      <c r="P242" s="21">
        <f>tabCustoUnit[[#This Row],[MODULO 1 - REMUNERAÇÃO ]]*SUMIFS(tabParametros[INSS],tabParametros[Código do Posto],tabCustoUnit[[#This Row],[Código do Posto]])</f>
        <v>164.85218</v>
      </c>
      <c r="Q242" s="21">
        <f>tabCustoUnit[[#This Row],[MODULO 1 - REMUNERAÇÃO ]]*SUMIFS(tabParametros[SESI OU SESC],tabParametros[Código do Posto],tabCustoUnit[[#This Row],[Código do Posto]])</f>
        <v>12.363913499999999</v>
      </c>
      <c r="R242" s="21">
        <f>tabCustoUnit[[#This Row],[MODULO 1 - REMUNERAÇÃO ]]*SUMIFS(tabParametros[SENAI OU SENAC],tabParametros[Código do Posto],tabCustoUnit[[#This Row],[Código do Posto]])</f>
        <v>8.2426089999999999</v>
      </c>
      <c r="S242" s="21">
        <f>tabCustoUnit[[#This Row],[MODULO 1 - REMUNERAÇÃO ]]*SUMIFS(tabParametros[INCRA],tabParametros[Código do Posto],tabCustoUnit[[#This Row],[Código do Posto]])</f>
        <v>1.6485217999999999</v>
      </c>
      <c r="T242" s="21">
        <f>tabCustoUnit[[#This Row],[MODULO 1 - REMUNERAÇÃO ]]*SUMIFS(tabParametros[Salário Educação],tabParametros[Código do Posto],tabCustoUnit[[#This Row],[Código do Posto]])</f>
        <v>20.606522500000001</v>
      </c>
      <c r="U242" s="21">
        <f>tabCustoUnit[[#This Row],[MODULO 1 - REMUNERAÇÃO ]]*SUMIFS(tabParametros[FGTS],tabParametros[Código do Posto],tabCustoUnit[[#This Row],[Código do Posto]])</f>
        <v>65.940871999999999</v>
      </c>
      <c r="V242" s="21">
        <f>tabCustoUnit[[#This Row],[MODULO 1 - REMUNERAÇÃO ]]*SUMIFS(tabParametros[RAT Ajustado],tabParametros[Código do Posto],tabCustoUnit[[#This Row],[Código do Posto]])</f>
        <v>32.970435999999999</v>
      </c>
      <c r="W242" s="21">
        <f>tabCustoUnit[[#This Row],[MODULO 1 - REMUNERAÇÃO ]]*SUMIFS(tabParametros[SEBRAE],tabParametros[Código do Posto],tabCustoUnit[[#This Row],[Código do Posto]])</f>
        <v>4.9455654000000004</v>
      </c>
      <c r="X242" s="21">
        <f>SUM(tabCustoUnit[[#This Row],[INSS]:[SEBRAE]])</f>
        <v>311.57062020000001</v>
      </c>
      <c r="Y242" s="21">
        <f>tabCustoUnit[[#This Row],[MODULO 1 - REMUNERAÇÃO ]]*SUMIFS(tabParametros[13º salário (titular)],tabParametros[Código do Posto],tabCustoUnit[[#This Row],[Código do Posto]])</f>
        <v>68.688408333333328</v>
      </c>
      <c r="Z242" s="21">
        <f>tabCustoUnit[[#This Row],[MODULO 1 - REMUNERAÇÃO ]]*SUMIFS(tabParametros[Férias e Adicional de Férias (titular)],tabParametros[Código do Posto],tabCustoUnit[[#This Row],[Código do Posto]])</f>
        <v>91.584544444444433</v>
      </c>
      <c r="AA242" s="21">
        <f>IFERROR((tabCustoUnit[[#This Row],[Submódulo 2.1]]/tabCustoUnit[[#This Row],[MODULO 1 - REMUNERAÇÃO ]])*SUM(tabCustoUnit[[#This Row],[13º salário (titular)]:[Férias e Adicional de Férias (titular)]]),0)</f>
        <v>60.583176149999993</v>
      </c>
      <c r="AB242" s="21">
        <f>SUM(tabCustoUnit[[#This Row],[13º salário (titular)]:[Incidência do Submódulo 2.1 sobre 13º Salário, Férias e Adicional de Férias]])</f>
        <v>220.85612892777775</v>
      </c>
      <c r="AC242" s="22">
        <f>_xlfn.LET(_xlpm.VT,SUMIF(tabParametros[Código do Posto],tabCustoUnit[[#This Row],[Código do Posto]],tabParametros[Vale - Transporte])*2*20,
IF((_xlpm.VT-tabCustoUnit[[#This Row],[Salário Base]]*0.06)&gt;=0,(_xlpm.VT-tabCustoUnit[[#This Row],[Salário Base]]*0.06),0)
)</f>
        <v>208.11160000000001</v>
      </c>
      <c r="AD242" s="22">
        <f>IF(SUMIF(tabParametros[Código do Posto],tabCustoUnit[[#This Row],[Código do Posto]],tabParametros[Vale - Alimentação])&lt;=0,0,
SUMIF(tabParametros[Código do Posto],tabCustoUnit[[#This Row],[Código do Posto]],tabParametros[Vale - Alimentação])*20-1)</f>
        <v>582</v>
      </c>
      <c r="AE242" s="22">
        <f>SUMIF(tabParametros[Código do Posto],tabCustoUnit[[#This Row],[Código do Posto]],tabParametros[Cesta Básica])</f>
        <v>0</v>
      </c>
      <c r="AF242" s="22">
        <f>SUMIF(tabParametros[Código do Posto],tabCustoUnit[[#This Row],[Código do Posto]],tabParametros[PAF])</f>
        <v>0</v>
      </c>
      <c r="AG242" s="22">
        <f>SUMIF(tabParametros[Código do Posto],tabCustoUnit[[#This Row],[Código do Posto]],tabParametros[PQM])</f>
        <v>15.07</v>
      </c>
      <c r="AH242" s="22">
        <f>SUMIF(tabParametros[Código do Posto],tabCustoUnit[[#This Row],[Código do Posto]],tabParametros[PAT])</f>
        <v>0</v>
      </c>
      <c r="AI242" s="22">
        <f>SUMIF(tabParametros[Código do Posto],tabCustoUnit[[#This Row],[Código do Posto]],tabParametros[Seguro de Vida])</f>
        <v>3.36</v>
      </c>
      <c r="AJ242" s="22">
        <f>SUMIF(tabParametros[Código do Posto],tabCustoUnit[[#This Row],[Código do Posto]],tabParametros[Despesas de Viagem])</f>
        <v>0</v>
      </c>
      <c r="AK242" s="22">
        <f>SUM(tabCustoUnit[[#This Row],[Vale - Transporte (Descontada parcela do empregado)]:[Despesas de Viagem]])</f>
        <v>808.54160000000002</v>
      </c>
      <c r="AL242" s="22">
        <f>tabCustoUnit[[#This Row],[Submódulo 2.1]]+tabCustoUnit[[#This Row],[Submódulo 2.2]]+tabCustoUnit[[#This Row],[Submódulo 2.3]]</f>
        <v>1340.9683491277779</v>
      </c>
      <c r="AM242" s="22">
        <f>SUMIF(tabParametros[Código do Posto],tabCustoUnit[[#This Row],[Código do Posto]],tabParametros[Aviso Prévio Indenizado (API) e Reflexo do Aviso Prévio Indenizado])*tabCustoUnit[[#This Row],[MODULO 1 - REMUNERAÇÃO ]]</f>
        <v>5.7795253576581791</v>
      </c>
      <c r="AN242" s="22">
        <f>SUMIF(tabParametros[Código do Posto],tabCustoUnit[[#This Row],[Código do Posto]],tabParametros[Incidência do FGTS sobre API e Reflexo do API])*tabCustoUnit[[#This Row],[MODULO 1 - REMUNERAÇÃO ]]</f>
        <v>0.46236202861265435</v>
      </c>
      <c r="AO242" s="22">
        <f>SUMIF(tabParametros[Código do Posto],tabCustoUnit[[#This Row],[Código do Posto]],tabParametros[Multa Rescisória do FGTS sobre o Aviso Prévio Indenizado])*tabCustoUnit[[#This Row],[MODULO 1 - REMUNERAÇÃO ]]</f>
        <v>0.18494481144506175</v>
      </c>
      <c r="AP242" s="22">
        <f>SUMIF(tabParametros[Código do Posto],tabCustoUnit[[#This Row],[Código do Posto]],tabParametros[Aviso Prévio Trabalhado - APT])*tabCustoUnit[[#This Row],[MODULO 1 - REMUNERAÇÃO ]]</f>
        <v>2.8849131500000005</v>
      </c>
      <c r="AQ242" s="22">
        <f>SUMIF(tabParametros[Código do Posto],tabCustoUnit[[#This Row],[Código do Posto]],tabParametros[Incidência dos encargos do submódulo 2.1 sobre Aviso Prévio Trabalhado])*tabCustoUnit[[#This Row],[MODULO 1 - REMUNERAÇÃO ]]</f>
        <v>1.0904971707000004</v>
      </c>
      <c r="AR242" s="22">
        <f>SUMIF(tabParametros[Código do Posto],tabCustoUnit[[#This Row],[Código do Posto]],tabParametros[Multa Rescisória do FGTS])*tabCustoUnit[[#This Row],[MODULO 1 - REMUNERAÇÃO ]]</f>
        <v>25.204066631111107</v>
      </c>
      <c r="AS242" s="22">
        <f>SUMIF(tabParametros[Código do Posto],tabCustoUnit[[#This Row],[Código do Posto]],tabParametros[Indenização Adicional (Art. 9º da Lei nº 7.238/84)])*tabCustoUnit[[#This Row],[MODULO 1 - REMUNERAÇÃO ]]</f>
        <v>0.6868840833333334</v>
      </c>
      <c r="AT242" s="22">
        <f>SUM(tabCustoUnit[[#This Row],[Aviso Prévio Indenizado (API) e Reflexo do Aviso Prévio Indenizado]:[Indenização Adicional (Art. 9º da Lei nº 7.238/84)]])</f>
        <v>36.293193232860339</v>
      </c>
      <c r="AU242" s="22">
        <f>SUMIF(tabParametros[Código do Posto],tabCustoUnit[[#This Row],[Código do Posto]],tabParametros[Ausência por Doença])*tabCustoUnit[[#This Row],[MODULO 1 - REMUNERAÇÃO ]]</f>
        <v>6.9604253777777769</v>
      </c>
      <c r="AV242" s="22">
        <f>SUMIF(tabParametros[Código do Posto],tabCustoUnit[[#This Row],[Código do Posto]],tabParametros[Ausências Legais])*tabCustoUnit[[#This Row],[MODULO 1 - REMUNERAÇÃO ]]</f>
        <v>1.671417936111111</v>
      </c>
      <c r="AW242" s="22">
        <f>SUMIF(tabParametros[Código do Posto],tabCustoUnit[[#This Row],[Código do Posto]],tabParametros[Licença Paternidade])*tabCustoUnit[[#This Row],[MODULO 1 - REMUNERAÇÃO ]]</f>
        <v>0.14081123708333332</v>
      </c>
      <c r="AX242" s="22">
        <f>SUMIF(tabParametros[Código do Posto],tabCustoUnit[[#This Row],[Código do Posto]],tabParametros[Ausência por Acidente de Trabalho])*tabCustoUnit[[#This Row],[MODULO 1 - REMUNERAÇÃO ]]</f>
        <v>0.17172102083333335</v>
      </c>
      <c r="AY242" s="22">
        <f>SUMIF(tabParametros[Código do Posto],tabCustoUnit[[#This Row],[Código do Posto]],tabParametros[Férias, Adicional de Férias e 13º  com empregada em gozo de Licença Maternidade])*tabCustoUnit[[#This Row],[MODULO 1 - REMUNERAÇÃO ]]</f>
        <v>1.0684863518518517</v>
      </c>
      <c r="AZ242" s="22">
        <f>SUMIF(tabParametros[Código do Posto],tabCustoUnit[[#This Row],[Código do Posto]],tabParametros[Incidência do Submódulo 2.1 sobre Ausências Legais])*tabCustoUnit[[#This Row],[MODULO 1 - REMUNERAÇÃO ]]</f>
        <v>3.7848618071425006</v>
      </c>
      <c r="BA242" s="22">
        <f>SUM(tabCustoUnit[[#This Row],[Ausência por Doença]:[Incidência do Submódulo 2.1 sobre Ausências Legais]])</f>
        <v>13.797723730799909</v>
      </c>
      <c r="BB242" s="22">
        <f>SUMIF(tabParametros[Código do Posto],tabCustoUnit[[#This Row],[Código do Posto]],tabParametros[Intervalo para Repouso ou Alimentação])</f>
        <v>0</v>
      </c>
      <c r="BC242" s="22">
        <f>tabCustoUnit[[#This Row],[Intervalo para Repouso ou Alimentação]]</f>
        <v>0</v>
      </c>
      <c r="BD242" s="22">
        <f>IF(VLOOKUP(tabCustoUnit[[#This Row],[Código do Posto]],PARAMETROS!$A$4:$BJ$255,7,0)&lt;=0,0,
IFERROR((tabCustoUnit[[#This Row],[MODULO 1 - REMUNERAÇÃO ]]*VLOOKUP(tabCustoUnit[[#This Row],[Código do Posto]],PARAMETROS!$A$4:$BJ$255,49,0))/(VLOOKUP(tabCustoUnit[[#This Row],[Código do Posto]],PARAMETROS!$A$4:$BJ$255,7,0)*VLOOKUP(tabCustoUnit[[#This Row],[Código do Posto]],PARAMETROS!$A$4:$BJ$255,8,0)),0)
)</f>
        <v>0</v>
      </c>
      <c r="BE242" s="22">
        <f>tabCustoUnit[[#This Row],[Suspensão Temporária do Contrato de Trabalho]]</f>
        <v>0</v>
      </c>
      <c r="BF242" s="22">
        <f>tabCustoUnit[[#This Row],[Submódulo 4.1]]+tabCustoUnit[[#This Row],[Submódulo 4.2]]+tabCustoUnit[[#This Row],[Submódulo 4.3]]</f>
        <v>13.797723730799909</v>
      </c>
      <c r="BG242" s="22">
        <f>VLOOKUP(tabCustoUnit[[#This Row],[Código do Posto]],tabParametros[],MATCH(tabCustoUnit[[#Headers],[Uniformes e EPIs]],tabParametros[#Headers],0),0)</f>
        <v>62.806666666666665</v>
      </c>
      <c r="BH242" s="22">
        <f>VLOOKUP(tabCustoUnit[[#This Row],[Código do Posto]],tabParametros[],MATCH(tabCustoUnit[[#Headers],[Materiais de Consumo]],tabParametros[#Headers],0),0)</f>
        <v>17.759106479291944</v>
      </c>
      <c r="BI242" s="22">
        <f>VLOOKUP(tabCustoUnit[[#This Row],[Código do Posto]],tabParametros[],MATCH(tabCustoUnit[[#Headers],[Máquinas e Equipamentos (depreciação)]],tabParametros[#Headers],0),0)</f>
        <v>32.264696957412788</v>
      </c>
      <c r="BJ242" s="22">
        <f>VLOOKUP(tabCustoUnit[[#This Row],[Código do Posto]],tabParametros[],MATCH(tabCustoUnit[[#Headers],[Produtos de Limpeza e Materiais de Higiene Pessoal]],tabParametros[#Headers],0),0)</f>
        <v>345.13576638965827</v>
      </c>
      <c r="BK242" s="22">
        <f>VLOOKUP(tabCustoUnit[[#This Row],[Código do Posto]],tabParametros[],MATCH(tabCustoUnit[[#Headers],[Outros (especificar)]],tabParametros[#Headers],0),0)</f>
        <v>0</v>
      </c>
      <c r="BL242" s="22">
        <f>SUM(tabCustoUnit[[#This Row],[Uniformes e EPIs]:[Outros (especificar)]])</f>
        <v>457.96623649302967</v>
      </c>
      <c r="BM242" s="22">
        <f>tabCustoUnit[[#This Row],[MODULO 1 - REMUNERAÇÃO ]]+tabCustoUnit[[#This Row],[MÓDULO 2 - Total Encargos e Benefícios mensais e diários]]+tabCustoUnit[[#This Row],[MÓDULO 3 – PROVISÃO PARA RESCISÃO]]+tabCustoUnit[[#This Row],[MÓDULO 4 – CUSTO DE REPOSIÇÃO DO PROFISSIONAL AUSENTE]]+tabCustoUnit[[#This Row],[MÓDULO 5 – INSUMOS DIVERSOS]]</f>
        <v>2673.2864025844674</v>
      </c>
      <c r="BN242" s="22">
        <f>VLOOKUP(tabCustoUnit[[#This Row],[Código do Posto]],tabParametros[],MATCH(tabCustoUnit[[#Headers],[Custos Indiretos]],tabParametros[#Headers],0),0)</f>
        <v>189.64880140242613</v>
      </c>
      <c r="BO242" s="22">
        <f>VLOOKUP(tabCustoUnit[[#This Row],[Código do Posto]],tabParametros[],MATCH(tabCustoUnit[[#Headers],[Lucro]],tabParametros[#Headers],0),0)</f>
        <v>159.30499317803796</v>
      </c>
      <c r="BP242" s="26">
        <f>((100/((1-tabCustoUnit[[#This Row],[Resumo de Alíquotas (PIS+CONFINS+ISS)]]))-100)*VLOOKUP(tabCustoUnit[[#This Row],[Código do Posto]],tabParametros[],MATCH(tabCustoUnit[[#Headers],[COFINS]],tabParametros[#Headers],0),0))/(tabCustoUnit[[#This Row],[Resumo de Alíquotas (PIS+CONFINS+ISS)]]*100)</f>
        <v>8.8629737609329504E-2</v>
      </c>
      <c r="BQ242" s="26">
        <f>((100/((100-(tabCustoUnit[[#This Row],[Resumo de Alíquotas (PIS+CONFINS+ISS)]]*100))%)-100)*VLOOKUP(tabCustoUnit[[#This Row],[Código do Posto]],tabParametros[],MATCH(tabCustoUnit[[#Headers],[PIS]],tabParametros[#Headers],0),0))/(tabCustoUnit[[#This Row],[Resumo de Alíquotas (PIS+CONFINS+ISS)]]*100)</f>
        <v>1.9241982507288629E-2</v>
      </c>
      <c r="BR242" s="28">
        <f>VLOOKUP(tabCustoUnit[[#This Row],[Código do Posto]],tabParametros[],MATCH(tabCustoUnit[[#Headers],[ISS]],tabParametros[#Headers],0),0)</f>
        <v>0.05</v>
      </c>
      <c r="BS242" s="26">
        <f>(((100/((100-(tabCustoUnit[[#This Row],[Resumo de Alíquotas (PIS+CONFINS+ISS)]]*100))%)-100)*tabCustoUnit[[#This Row],[ISS]])/tabCustoUnit[[#This Row],[Resumo de Alíquotas (PIS+CONFINS+ISS)]])/100</f>
        <v>5.8309037900874633E-2</v>
      </c>
      <c r="BT242" s="26">
        <f>(VLOOKUP(tabCustoUnit[[#This Row],[Código do Posto]],tabParametros[],MATCH(tabCustoUnit[[#Headers],[COFINS]],tabParametros[#Headers],0),0)+
VLOOKUP(tabCustoUnit[[#This Row],[Código do Posto]],tabParametros[],MATCH(tabCustoUnit[[#Headers],[PIS]],tabParametros[#Headers],0),0)+
VLOOKUP(tabCustoUnit[[#This Row],[Código do Posto]],tabParametros[],MATCH(tabCustoUnit[[#Headers],[ISS]],tabParametros[#Headers],0),0))</f>
        <v>0.14250000000000002</v>
      </c>
      <c r="BU242" s="138">
        <f>tabCustoUnit[[#This Row],[COFINS]]+tabCustoUnit[[#This Row],[PIS]]+tabCustoUnit[[#This Row],[ISS (Conversão Alíquota s/ fatura)]]</f>
        <v>0.16618075801749277</v>
      </c>
      <c r="BV242" s="22">
        <f>(tabCustoUnit[[#This Row],[TOTAL MÓDULOS 1+2+3+4+5]]+tabCustoUnit[[#This Row],[Custos Indiretos]]+tabCustoUnit[[#This Row],[Lucro]])*tabCustoUnit[[#This Row],[PIS + COFINS + ISS (Total Conversão  Alíquota s/ Fatura)]]</f>
        <v>502.23816687580512</v>
      </c>
      <c r="BW242" s="22">
        <f>tabCustoUnit[[#This Row],[Custos Indiretos]]+tabCustoUnit[[#This Row],[Lucro]]+tabCustoUnit[[#This Row],[Valor dos Tributos (ISS, PIS, CONFINS)]]</f>
        <v>851.19196145626915</v>
      </c>
      <c r="BX242" s="22">
        <f>tabCustoUnit[[#This Row],[TOTAL MÓDULOS 1+2+3+4+5]]+tabCustoUnit[[#This Row],[MÓDULO 6 – CUSTOS INDIRETOS, TRIBUTOS E LUCRO]]</f>
        <v>3524.4783640407368</v>
      </c>
      <c r="BY242" s="22">
        <f>tabCustoUnit[[#This Row],[CUSTO TOTAL MENSAL]]*12</f>
        <v>42293.740368488841</v>
      </c>
      <c r="BZ242" s="24">
        <f>VLOOKUP(tabCustoUnit[[#This Row],[Código do Posto]],tabParametros[],MATCH(tabCustoUnit[[#Headers],[ANO DA CCT]],tabParametros[#Headers],0),0)</f>
        <v>45658</v>
      </c>
      <c r="CA242" s="25" t="str">
        <f>VLOOKUP(tabCustoUnit[[#This Row],[Código do Posto]],tabParametros[],MATCH(tabCustoUnit[[#Headers],[Nº DE PEDIDO DA CCT]],tabParametros[#Headers],0),0)</f>
        <v>-</v>
      </c>
      <c r="CB242" s="25" t="str">
        <f>VLOOKUP(tabCustoUnit[[#This Row],[Código do Posto]],tabParametros[],MATCH(tabCustoUnit[[#Headers],[TERMO ADITIVO ALTERAÇÃO DA CCT]],tabParametros[#Headers],0),0)</f>
        <v>-</v>
      </c>
    </row>
    <row r="243" spans="1:80" x14ac:dyDescent="0.25">
      <c r="A243" s="20" t="s">
        <v>1578</v>
      </c>
      <c r="B243" t="s">
        <v>220</v>
      </c>
      <c r="C243" t="s">
        <v>1247</v>
      </c>
      <c r="D243" t="s">
        <v>66</v>
      </c>
      <c r="E243" s="20" t="s">
        <v>9</v>
      </c>
      <c r="F243" s="20" t="s">
        <v>10</v>
      </c>
      <c r="G243" s="21">
        <v>544.17999999999995</v>
      </c>
      <c r="H243" s="21">
        <v>0</v>
      </c>
      <c r="I243" s="21">
        <v>0</v>
      </c>
      <c r="J243" s="21">
        <v>0</v>
      </c>
      <c r="K243" s="21">
        <v>0</v>
      </c>
      <c r="L243" s="21">
        <v>0</v>
      </c>
      <c r="M243" s="21">
        <v>0</v>
      </c>
      <c r="N243" s="21">
        <v>19.590499999999999</v>
      </c>
      <c r="O243" s="21">
        <f>SUM(tabCustoUnit[[#This Row],[Salário Base]:[Adicional de Acúmulo de função]])</f>
        <v>563.77049999999997</v>
      </c>
      <c r="P243" s="21">
        <f>tabCustoUnit[[#This Row],[MODULO 1 - REMUNERAÇÃO ]]*SUMIFS(tabParametros[INSS],tabParametros[Código do Posto],tabCustoUnit[[#This Row],[Código do Posto]])</f>
        <v>112.75409999999999</v>
      </c>
      <c r="Q243" s="21">
        <f>tabCustoUnit[[#This Row],[MODULO 1 - REMUNERAÇÃO ]]*SUMIFS(tabParametros[SESI OU SESC],tabParametros[Código do Posto],tabCustoUnit[[#This Row],[Código do Posto]])</f>
        <v>8.4565574999999988</v>
      </c>
      <c r="R243" s="21">
        <f>tabCustoUnit[[#This Row],[MODULO 1 - REMUNERAÇÃO ]]*SUMIFS(tabParametros[SENAI OU SENAC],tabParametros[Código do Posto],tabCustoUnit[[#This Row],[Código do Posto]])</f>
        <v>5.6377049999999995</v>
      </c>
      <c r="S243" s="21">
        <f>tabCustoUnit[[#This Row],[MODULO 1 - REMUNERAÇÃO ]]*SUMIFS(tabParametros[INCRA],tabParametros[Código do Posto],tabCustoUnit[[#This Row],[Código do Posto]])</f>
        <v>1.1275409999999999</v>
      </c>
      <c r="T243" s="21">
        <f>tabCustoUnit[[#This Row],[MODULO 1 - REMUNERAÇÃO ]]*SUMIFS(tabParametros[Salário Educação],tabParametros[Código do Posto],tabCustoUnit[[#This Row],[Código do Posto]])</f>
        <v>14.094262499999999</v>
      </c>
      <c r="U243" s="21">
        <f>tabCustoUnit[[#This Row],[MODULO 1 - REMUNERAÇÃO ]]*SUMIFS(tabParametros[FGTS],tabParametros[Código do Posto],tabCustoUnit[[#This Row],[Código do Posto]])</f>
        <v>45.101639999999996</v>
      </c>
      <c r="V243" s="21">
        <f>tabCustoUnit[[#This Row],[MODULO 1 - REMUNERAÇÃO ]]*SUMIFS(tabParametros[RAT Ajustado],tabParametros[Código do Posto],tabCustoUnit[[#This Row],[Código do Posto]])</f>
        <v>22.550819999999998</v>
      </c>
      <c r="W243" s="21">
        <f>tabCustoUnit[[#This Row],[MODULO 1 - REMUNERAÇÃO ]]*SUMIFS(tabParametros[SEBRAE],tabParametros[Código do Posto],tabCustoUnit[[#This Row],[Código do Posto]])</f>
        <v>3.3826229999999997</v>
      </c>
      <c r="X243" s="21">
        <f>SUM(tabCustoUnit[[#This Row],[INSS]:[SEBRAE]])</f>
        <v>213.10524899999996</v>
      </c>
      <c r="Y243" s="21">
        <f>tabCustoUnit[[#This Row],[MODULO 1 - REMUNERAÇÃO ]]*SUMIFS(tabParametros[13º salário (titular)],tabParametros[Código do Posto],tabCustoUnit[[#This Row],[Código do Posto]])</f>
        <v>46.980874999999997</v>
      </c>
      <c r="Z243" s="21">
        <f>tabCustoUnit[[#This Row],[MODULO 1 - REMUNERAÇÃO ]]*SUMIFS(tabParametros[Férias e Adicional de Férias (titular)],tabParametros[Código do Posto],tabCustoUnit[[#This Row],[Código do Posto]])</f>
        <v>62.641166666666663</v>
      </c>
      <c r="AA243" s="21">
        <f>IFERROR((tabCustoUnit[[#This Row],[Submódulo 2.1]]/tabCustoUnit[[#This Row],[MODULO 1 - REMUNERAÇÃO ]])*SUM(tabCustoUnit[[#This Row],[13º salário (titular)]:[Férias e Adicional de Férias (titular)]]),0)</f>
        <v>41.437131749999992</v>
      </c>
      <c r="AB243" s="21">
        <f>SUM(tabCustoUnit[[#This Row],[13º salário (titular)]:[Incidência do Submódulo 2.1 sobre 13º Salário, Férias e Adicional de Férias]])</f>
        <v>151.05917341666665</v>
      </c>
      <c r="AC243" s="22">
        <f>_xlfn.LET(_xlpm.VT,SUMIF(tabParametros[Código do Posto],tabCustoUnit[[#This Row],[Código do Posto]],tabParametros[Vale - Transporte])*2*20,
IF((_xlpm.VT-tabCustoUnit[[#This Row],[Salário Base]]*0.06)&gt;=0,(_xlpm.VT-tabCustoUnit[[#This Row],[Salário Base]]*0.06),0)
)</f>
        <v>223.3492</v>
      </c>
      <c r="AD243" s="22">
        <f>IF(SUMIF(tabParametros[Código do Posto],tabCustoUnit[[#This Row],[Código do Posto]],tabParametros[Vale - Alimentação])&lt;=0,0,
SUMIF(tabParametros[Código do Posto],tabCustoUnit[[#This Row],[Código do Posto]],tabParametros[Vale - Alimentação])*20-1)</f>
        <v>582</v>
      </c>
      <c r="AE243" s="22">
        <f>SUMIF(tabParametros[Código do Posto],tabCustoUnit[[#This Row],[Código do Posto]],tabParametros[Cesta Básica])</f>
        <v>0</v>
      </c>
      <c r="AF243" s="22">
        <f>SUMIF(tabParametros[Código do Posto],tabCustoUnit[[#This Row],[Código do Posto]],tabParametros[PAF])</f>
        <v>57.07</v>
      </c>
      <c r="AG243" s="22">
        <f>SUMIF(tabParametros[Código do Posto],tabCustoUnit[[#This Row],[Código do Posto]],tabParametros[PQM])</f>
        <v>0</v>
      </c>
      <c r="AH243" s="22">
        <f>SUMIF(tabParametros[Código do Posto],tabCustoUnit[[#This Row],[Código do Posto]],tabParametros[PAT])</f>
        <v>0</v>
      </c>
      <c r="AI243" s="22">
        <f>SUMIF(tabParametros[Código do Posto],tabCustoUnit[[#This Row],[Código do Posto]],tabParametros[Seguro de Vida])</f>
        <v>3.36</v>
      </c>
      <c r="AJ243" s="22">
        <f>SUMIF(tabParametros[Código do Posto],tabCustoUnit[[#This Row],[Código do Posto]],tabParametros[Despesas de Viagem])</f>
        <v>0</v>
      </c>
      <c r="AK243" s="22">
        <f>SUM(tabCustoUnit[[#This Row],[Vale - Transporte (Descontada parcela do empregado)]:[Despesas de Viagem]])</f>
        <v>865.77920000000006</v>
      </c>
      <c r="AL243" s="22">
        <f>tabCustoUnit[[#This Row],[Submódulo 2.1]]+tabCustoUnit[[#This Row],[Submódulo 2.2]]+tabCustoUnit[[#This Row],[Submódulo 2.3]]</f>
        <v>1229.9436224166666</v>
      </c>
      <c r="AM243" s="22">
        <f>SUMIF(tabParametros[Código do Posto],tabCustoUnit[[#This Row],[Código do Posto]],tabParametros[Aviso Prévio Indenizado (API) e Reflexo do Aviso Prévio Indenizado])*tabCustoUnit[[#This Row],[MODULO 1 - REMUNERAÇÃO ]]</f>
        <v>3.9530273735532404</v>
      </c>
      <c r="AN243" s="22">
        <f>SUMIF(tabParametros[Código do Posto],tabCustoUnit[[#This Row],[Código do Posto]],tabParametros[Incidência do FGTS sobre API e Reflexo do API])*tabCustoUnit[[#This Row],[MODULO 1 - REMUNERAÇÃO ]]</f>
        <v>0.31624218988425928</v>
      </c>
      <c r="AO243" s="22">
        <f>SUMIF(tabParametros[Código do Posto],tabCustoUnit[[#This Row],[Código do Posto]],tabParametros[Multa Rescisória do FGTS sobre o Aviso Prévio Indenizado])*tabCustoUnit[[#This Row],[MODULO 1 - REMUNERAÇÃO ]]</f>
        <v>0.12649687595370371</v>
      </c>
      <c r="AP243" s="22">
        <f>SUMIF(tabParametros[Código do Posto],tabCustoUnit[[#This Row],[Código do Posto]],tabParametros[Aviso Prévio Trabalhado - APT])*tabCustoUnit[[#This Row],[MODULO 1 - REMUNERAÇÃO ]]</f>
        <v>1.9731967500000003</v>
      </c>
      <c r="AQ243" s="22">
        <f>SUMIF(tabParametros[Código do Posto],tabCustoUnit[[#This Row],[Código do Posto]],tabParametros[Incidência dos encargos do submódulo 2.1 sobre Aviso Prévio Trabalhado])*tabCustoUnit[[#This Row],[MODULO 1 - REMUNERAÇÃO ]]</f>
        <v>0.74586837150000018</v>
      </c>
      <c r="AR243" s="22">
        <f>SUMIF(tabParametros[Código do Posto],tabCustoUnit[[#This Row],[Código do Posto]],tabParametros[Multa Rescisória do FGTS])*tabCustoUnit[[#This Row],[MODULO 1 - REMUNERAÇÃO ]]</f>
        <v>17.238849066666663</v>
      </c>
      <c r="AS243" s="22">
        <f>SUMIF(tabParametros[Código do Posto],tabCustoUnit[[#This Row],[Código do Posto]],tabParametros[Indenização Adicional (Art. 9º da Lei nº 7.238/84)])*tabCustoUnit[[#This Row],[MODULO 1 - REMUNERAÇÃO ]]</f>
        <v>0.46980875</v>
      </c>
      <c r="AT243" s="22">
        <f>SUM(tabCustoUnit[[#This Row],[Aviso Prévio Indenizado (API) e Reflexo do Aviso Prévio Indenizado]:[Indenização Adicional (Art. 9º da Lei nº 7.238/84)]])</f>
        <v>24.823489377557866</v>
      </c>
      <c r="AU243" s="22">
        <f>SUMIF(tabParametros[Código do Posto],tabCustoUnit[[#This Row],[Código do Posto]],tabParametros[Ausência por Doença])*tabCustoUnit[[#This Row],[MODULO 1 - REMUNERAÇÃO ]]</f>
        <v>4.7607286666666662</v>
      </c>
      <c r="AV243" s="22">
        <f>SUMIF(tabParametros[Código do Posto],tabCustoUnit[[#This Row],[Código do Posto]],tabParametros[Ausências Legais])*tabCustoUnit[[#This Row],[MODULO 1 - REMUNERAÇÃO ]]</f>
        <v>1.1432012916666665</v>
      </c>
      <c r="AW243" s="22">
        <f>SUMIF(tabParametros[Código do Posto],tabCustoUnit[[#This Row],[Código do Posto]],tabParametros[Licença Paternidade])*tabCustoUnit[[#This Row],[MODULO 1 - REMUNERAÇÃO ]]</f>
        <v>9.6310793749999998E-2</v>
      </c>
      <c r="AX243" s="22">
        <f>SUMIF(tabParametros[Código do Posto],tabCustoUnit[[#This Row],[Código do Posto]],tabParametros[Ausência por Acidente de Trabalho])*tabCustoUnit[[#This Row],[MODULO 1 - REMUNERAÇÃO ]]</f>
        <v>0.1174521875</v>
      </c>
      <c r="AY243" s="22">
        <f>SUMIF(tabParametros[Código do Posto],tabCustoUnit[[#This Row],[Código do Posto]],tabParametros[Férias, Adicional de Férias e 13º  com empregada em gozo de Licença Maternidade])*tabCustoUnit[[#This Row],[MODULO 1 - REMUNERAÇÃO ]]</f>
        <v>0.73081361111111109</v>
      </c>
      <c r="AZ243" s="22">
        <f>SUMIF(tabParametros[Código do Posto],tabCustoUnit[[#This Row],[Código do Posto]],tabParametros[Incidência do Submódulo 2.1 sobre Ausências Legais])*tabCustoUnit[[#This Row],[MODULO 1 - REMUNERAÇÃO ]]</f>
        <v>2.5887354761625003</v>
      </c>
      <c r="BA243" s="22">
        <f>SUM(tabCustoUnit[[#This Row],[Ausência por Doença]:[Incidência do Submódulo 2.1 sobre Ausências Legais]])</f>
        <v>9.4372420268569428</v>
      </c>
      <c r="BB243" s="22">
        <f>SUMIF(tabParametros[Código do Posto],tabCustoUnit[[#This Row],[Código do Posto]],tabParametros[Intervalo para Repouso ou Alimentação])</f>
        <v>0</v>
      </c>
      <c r="BC243" s="22">
        <f>tabCustoUnit[[#This Row],[Intervalo para Repouso ou Alimentação]]</f>
        <v>0</v>
      </c>
      <c r="BD243" s="22">
        <f>IF(VLOOKUP(tabCustoUnit[[#This Row],[Código do Posto]],PARAMETROS!$A$4:$BJ$255,7,0)&lt;=0,0,
IFERROR((tabCustoUnit[[#This Row],[MODULO 1 - REMUNERAÇÃO ]]*VLOOKUP(tabCustoUnit[[#This Row],[Código do Posto]],PARAMETROS!$A$4:$BJ$255,49,0))/(VLOOKUP(tabCustoUnit[[#This Row],[Código do Posto]],PARAMETROS!$A$4:$BJ$255,7,0)*VLOOKUP(tabCustoUnit[[#This Row],[Código do Posto]],PARAMETROS!$A$4:$BJ$255,8,0)),0)
)</f>
        <v>0</v>
      </c>
      <c r="BE243" s="22">
        <f>tabCustoUnit[[#This Row],[Suspensão Temporária do Contrato de Trabalho]]</f>
        <v>0</v>
      </c>
      <c r="BF243" s="22">
        <f>tabCustoUnit[[#This Row],[Submódulo 4.1]]+tabCustoUnit[[#This Row],[Submódulo 4.2]]+tabCustoUnit[[#This Row],[Submódulo 4.3]]</f>
        <v>9.4372420268569428</v>
      </c>
      <c r="BG243" s="22">
        <f>VLOOKUP(tabCustoUnit[[#This Row],[Código do Posto]],tabParametros[],MATCH(tabCustoUnit[[#Headers],[Uniformes e EPIs]],tabParametros[#Headers],0),0)</f>
        <v>62.806666666666665</v>
      </c>
      <c r="BH243" s="22">
        <f>VLOOKUP(tabCustoUnit[[#This Row],[Código do Posto]],tabParametros[],MATCH(tabCustoUnit[[#Headers],[Materiais de Consumo]],tabParametros[#Headers],0),0)</f>
        <v>12.108481690426325</v>
      </c>
      <c r="BI243" s="22">
        <f>VLOOKUP(tabCustoUnit[[#This Row],[Código do Posto]],tabParametros[],MATCH(tabCustoUnit[[#Headers],[Máquinas e Equipamentos (depreciação)]],tabParametros[#Headers],0),0)</f>
        <v>21.998657016417809</v>
      </c>
      <c r="BJ243" s="22">
        <f>VLOOKUP(tabCustoUnit[[#This Row],[Código do Posto]],tabParametros[],MATCH(tabCustoUnit[[#Headers],[Produtos de Limpeza e Materiais de Higiene Pessoal]],tabParametros[#Headers],0),0)</f>
        <v>235.31984072022155</v>
      </c>
      <c r="BK243" s="22">
        <f>VLOOKUP(tabCustoUnit[[#This Row],[Código do Posto]],tabParametros[],MATCH(tabCustoUnit[[#Headers],[Outros (especificar)]],tabParametros[#Headers],0),0)</f>
        <v>0</v>
      </c>
      <c r="BL243" s="22">
        <f>SUM(tabCustoUnit[[#This Row],[Uniformes e EPIs]:[Outros (especificar)]])</f>
        <v>332.23364609373232</v>
      </c>
      <c r="BM243" s="22">
        <f>tabCustoUnit[[#This Row],[MODULO 1 - REMUNERAÇÃO ]]+tabCustoUnit[[#This Row],[MÓDULO 2 - Total Encargos e Benefícios mensais e diários]]+tabCustoUnit[[#This Row],[MÓDULO 3 – PROVISÃO PARA RESCISÃO]]+tabCustoUnit[[#This Row],[MÓDULO 4 – CUSTO DE REPOSIÇÃO DO PROFISSIONAL AUSENTE]]+tabCustoUnit[[#This Row],[MÓDULO 5 – INSUMOS DIVERSOS]]</f>
        <v>2160.2084999148137</v>
      </c>
      <c r="BN243" s="22">
        <f>VLOOKUP(tabCustoUnit[[#This Row],[Código do Posto]],tabParametros[],MATCH(tabCustoUnit[[#Headers],[Custos Indiretos]],tabParametros[#Headers],0),0)</f>
        <v>189.64880140242613</v>
      </c>
      <c r="BO243" s="22">
        <f>VLOOKUP(tabCustoUnit[[#This Row],[Código do Posto]],tabParametros[],MATCH(tabCustoUnit[[#Headers],[Lucro]],tabParametros[#Headers],0),0)</f>
        <v>159.30499317803796</v>
      </c>
      <c r="BP243" s="26">
        <f>((100/((1-tabCustoUnit[[#This Row],[Resumo de Alíquotas (PIS+CONFINS+ISS)]]))-100)*VLOOKUP(tabCustoUnit[[#This Row],[Código do Posto]],tabParametros[],MATCH(tabCustoUnit[[#Headers],[COFINS]],tabParametros[#Headers],0),0))/(tabCustoUnit[[#This Row],[Resumo de Alíquotas (PIS+CONFINS+ISS)]]*100)</f>
        <v>8.6609686609686695E-2</v>
      </c>
      <c r="BQ243" s="26">
        <f>((100/((100-(tabCustoUnit[[#This Row],[Resumo de Alíquotas (PIS+CONFINS+ISS)]]*100))%)-100)*VLOOKUP(tabCustoUnit[[#This Row],[Código do Posto]],tabParametros[],MATCH(tabCustoUnit[[#Headers],[PIS]],tabParametros[#Headers],0),0))/(tabCustoUnit[[#This Row],[Resumo de Alíquotas (PIS+CONFINS+ISS)]]*100)</f>
        <v>1.880341880341882E-2</v>
      </c>
      <c r="BR243" s="28">
        <f>VLOOKUP(tabCustoUnit[[#This Row],[Código do Posto]],tabParametros[],MATCH(tabCustoUnit[[#Headers],[ISS]],tabParametros[#Headers],0),0)</f>
        <v>0.03</v>
      </c>
      <c r="BS243" s="26">
        <f>(((100/((100-(tabCustoUnit[[#This Row],[Resumo de Alíquotas (PIS+CONFINS+ISS)]]*100))%)-100)*tabCustoUnit[[#This Row],[ISS]])/tabCustoUnit[[#This Row],[Resumo de Alíquotas (PIS+CONFINS+ISS)]])/100</f>
        <v>3.4188034188034219E-2</v>
      </c>
      <c r="BT243" s="26">
        <f>(VLOOKUP(tabCustoUnit[[#This Row],[Código do Posto]],tabParametros[],MATCH(tabCustoUnit[[#Headers],[COFINS]],tabParametros[#Headers],0),0)+
VLOOKUP(tabCustoUnit[[#This Row],[Código do Posto]],tabParametros[],MATCH(tabCustoUnit[[#Headers],[PIS]],tabParametros[#Headers],0),0)+
VLOOKUP(tabCustoUnit[[#This Row],[Código do Posto]],tabParametros[],MATCH(tabCustoUnit[[#Headers],[ISS]],tabParametros[#Headers],0),0))</f>
        <v>0.1225</v>
      </c>
      <c r="BU243" s="138">
        <f>tabCustoUnit[[#This Row],[COFINS]]+tabCustoUnit[[#This Row],[PIS]]+tabCustoUnit[[#This Row],[ISS (Conversão Alíquota s/ fatura)]]</f>
        <v>0.13960113960113973</v>
      </c>
      <c r="BV243" s="22">
        <f>(tabCustoUnit[[#This Row],[TOTAL MÓDULOS 1+2+3+4+5]]+tabCustoUnit[[#This Row],[Custos Indiretos]]+tabCustoUnit[[#This Row],[Lucro]])*tabCustoUnit[[#This Row],[PIS + COFINS + ISS (Total Conversão  Alíquota s/ Fatura)]]</f>
        <v>350.28191575575136</v>
      </c>
      <c r="BW243" s="22">
        <f>tabCustoUnit[[#This Row],[Custos Indiretos]]+tabCustoUnit[[#This Row],[Lucro]]+tabCustoUnit[[#This Row],[Valor dos Tributos (ISS, PIS, CONFINS)]]</f>
        <v>699.23571033621545</v>
      </c>
      <c r="BX243" s="22">
        <f>tabCustoUnit[[#This Row],[TOTAL MÓDULOS 1+2+3+4+5]]+tabCustoUnit[[#This Row],[MÓDULO 6 – CUSTOS INDIRETOS, TRIBUTOS E LUCRO]]</f>
        <v>2859.4442102510293</v>
      </c>
      <c r="BY243" s="22">
        <f>tabCustoUnit[[#This Row],[CUSTO TOTAL MENSAL]]*12</f>
        <v>34313.330523012351</v>
      </c>
      <c r="BZ243" s="24">
        <f>VLOOKUP(tabCustoUnit[[#This Row],[Código do Posto]],tabParametros[],MATCH(tabCustoUnit[[#Headers],[ANO DA CCT]],tabParametros[#Headers],0),0)</f>
        <v>45658</v>
      </c>
      <c r="CA243" s="25" t="str">
        <f>VLOOKUP(tabCustoUnit[[#This Row],[Código do Posto]],tabParametros[],MATCH(tabCustoUnit[[#Headers],[Nº DE PEDIDO DA CCT]],tabParametros[#Headers],0),0)</f>
        <v>-</v>
      </c>
      <c r="CB243" s="25" t="str">
        <f>VLOOKUP(tabCustoUnit[[#This Row],[Código do Posto]],tabParametros[],MATCH(tabCustoUnit[[#Headers],[TERMO ADITIVO ALTERAÇÃO DA CCT]],tabParametros[#Headers],0),0)</f>
        <v>-</v>
      </c>
    </row>
    <row r="244" spans="1:80" x14ac:dyDescent="0.25">
      <c r="A244" s="20" t="s">
        <v>1579</v>
      </c>
      <c r="B244" t="s">
        <v>220</v>
      </c>
      <c r="C244" t="s">
        <v>1245</v>
      </c>
      <c r="D244" t="s">
        <v>66</v>
      </c>
      <c r="E244" s="20" t="s">
        <v>9</v>
      </c>
      <c r="F244" s="20" t="s">
        <v>10</v>
      </c>
      <c r="G244" s="21">
        <v>1596.28</v>
      </c>
      <c r="H244" s="21">
        <v>0</v>
      </c>
      <c r="I244" s="21">
        <v>0</v>
      </c>
      <c r="J244" s="21">
        <v>0</v>
      </c>
      <c r="K244" s="21">
        <v>0</v>
      </c>
      <c r="L244" s="21">
        <v>0</v>
      </c>
      <c r="M244" s="21">
        <v>0</v>
      </c>
      <c r="N244" s="21">
        <v>52.241900000000001</v>
      </c>
      <c r="O244" s="21">
        <f>SUM(tabCustoUnit[[#This Row],[Salário Base]:[Adicional de Acúmulo de função]])</f>
        <v>1648.5219</v>
      </c>
      <c r="P244" s="21">
        <f>tabCustoUnit[[#This Row],[MODULO 1 - REMUNERAÇÃO ]]*SUMIFS(tabParametros[INSS],tabParametros[Código do Posto],tabCustoUnit[[#This Row],[Código do Posto]])</f>
        <v>329.70438000000001</v>
      </c>
      <c r="Q244" s="21">
        <f>tabCustoUnit[[#This Row],[MODULO 1 - REMUNERAÇÃO ]]*SUMIFS(tabParametros[SESI OU SESC],tabParametros[Código do Posto],tabCustoUnit[[#This Row],[Código do Posto]])</f>
        <v>24.727828499999998</v>
      </c>
      <c r="R244" s="21">
        <f>tabCustoUnit[[#This Row],[MODULO 1 - REMUNERAÇÃO ]]*SUMIFS(tabParametros[SENAI OU SENAC],tabParametros[Código do Posto],tabCustoUnit[[#This Row],[Código do Posto]])</f>
        <v>16.485219000000001</v>
      </c>
      <c r="S244" s="21">
        <f>tabCustoUnit[[#This Row],[MODULO 1 - REMUNERAÇÃO ]]*SUMIFS(tabParametros[INCRA],tabParametros[Código do Posto],tabCustoUnit[[#This Row],[Código do Posto]])</f>
        <v>3.2970438</v>
      </c>
      <c r="T244" s="21">
        <f>tabCustoUnit[[#This Row],[MODULO 1 - REMUNERAÇÃO ]]*SUMIFS(tabParametros[Salário Educação],tabParametros[Código do Posto],tabCustoUnit[[#This Row],[Código do Posto]])</f>
        <v>41.213047500000002</v>
      </c>
      <c r="U244" s="21">
        <f>tabCustoUnit[[#This Row],[MODULO 1 - REMUNERAÇÃO ]]*SUMIFS(tabParametros[FGTS],tabParametros[Código do Posto],tabCustoUnit[[#This Row],[Código do Posto]])</f>
        <v>131.88175200000001</v>
      </c>
      <c r="V244" s="21">
        <f>tabCustoUnit[[#This Row],[MODULO 1 - REMUNERAÇÃO ]]*SUMIFS(tabParametros[RAT Ajustado],tabParametros[Código do Posto],tabCustoUnit[[#This Row],[Código do Posto]])</f>
        <v>65.940876000000003</v>
      </c>
      <c r="W244" s="21">
        <f>tabCustoUnit[[#This Row],[MODULO 1 - REMUNERAÇÃO ]]*SUMIFS(tabParametros[SEBRAE],tabParametros[Código do Posto],tabCustoUnit[[#This Row],[Código do Posto]])</f>
        <v>9.8911314000000008</v>
      </c>
      <c r="X244" s="21">
        <f>SUM(tabCustoUnit[[#This Row],[INSS]:[SEBRAE]])</f>
        <v>623.14127819999999</v>
      </c>
      <c r="Y244" s="21">
        <f>tabCustoUnit[[#This Row],[MODULO 1 - REMUNERAÇÃO ]]*SUMIFS(tabParametros[13º salário (titular)],tabParametros[Código do Posto],tabCustoUnit[[#This Row],[Código do Posto]])</f>
        <v>137.376825</v>
      </c>
      <c r="Z244" s="21">
        <f>tabCustoUnit[[#This Row],[MODULO 1 - REMUNERAÇÃO ]]*SUMIFS(tabParametros[Férias e Adicional de Férias (titular)],tabParametros[Código do Posto],tabCustoUnit[[#This Row],[Código do Posto]])</f>
        <v>183.16909999999999</v>
      </c>
      <c r="AA244" s="21">
        <f>IFERROR((tabCustoUnit[[#This Row],[Submódulo 2.1]]/tabCustoUnit[[#This Row],[MODULO 1 - REMUNERAÇÃO ]])*SUM(tabCustoUnit[[#This Row],[13º salário (titular)]:[Férias e Adicional de Férias (titular)]]),0)</f>
        <v>121.16635965</v>
      </c>
      <c r="AB244" s="21">
        <f>SUM(tabCustoUnit[[#This Row],[13º salário (titular)]:[Incidência do Submódulo 2.1 sobre 13º Salário, Férias e Adicional de Férias]])</f>
        <v>441.71228465000002</v>
      </c>
      <c r="AC244" s="22">
        <f>_xlfn.LET(_xlpm.VT,SUMIF(tabParametros[Código do Posto],tabCustoUnit[[#This Row],[Código do Posto]],tabParametros[Vale - Transporte])*2*20,
IF((_xlpm.VT-tabCustoUnit[[#This Row],[Salário Base]]*0.06)&gt;=0,(_xlpm.VT-tabCustoUnit[[#This Row],[Salário Base]]*0.06),0)
)</f>
        <v>160.22320000000002</v>
      </c>
      <c r="AD244" s="22">
        <f>IF(SUMIF(tabParametros[Código do Posto],tabCustoUnit[[#This Row],[Código do Posto]],tabParametros[Vale - Alimentação])&lt;=0,0,
SUMIF(tabParametros[Código do Posto],tabCustoUnit[[#This Row],[Código do Posto]],tabParametros[Vale - Alimentação])*20-1)</f>
        <v>582</v>
      </c>
      <c r="AE244" s="22">
        <f>SUMIF(tabParametros[Código do Posto],tabCustoUnit[[#This Row],[Código do Posto]],tabParametros[Cesta Básica])</f>
        <v>0</v>
      </c>
      <c r="AF244" s="22">
        <f>SUMIF(tabParametros[Código do Posto],tabCustoUnit[[#This Row],[Código do Posto]],tabParametros[PAF])</f>
        <v>57.07</v>
      </c>
      <c r="AG244" s="22">
        <f>SUMIF(tabParametros[Código do Posto],tabCustoUnit[[#This Row],[Código do Posto]],tabParametros[PQM])</f>
        <v>0</v>
      </c>
      <c r="AH244" s="22">
        <f>SUMIF(tabParametros[Código do Posto],tabCustoUnit[[#This Row],[Código do Posto]],tabParametros[PAT])</f>
        <v>0</v>
      </c>
      <c r="AI244" s="22">
        <f>SUMIF(tabParametros[Código do Posto],tabCustoUnit[[#This Row],[Código do Posto]],tabParametros[Seguro de Vida])</f>
        <v>3.36</v>
      </c>
      <c r="AJ244" s="22">
        <f>SUMIF(tabParametros[Código do Posto],tabCustoUnit[[#This Row],[Código do Posto]],tabParametros[Despesas de Viagem])</f>
        <v>0</v>
      </c>
      <c r="AK244" s="22">
        <f>SUM(tabCustoUnit[[#This Row],[Vale - Transporte (Descontada parcela do empregado)]:[Despesas de Viagem]])</f>
        <v>802.65320000000008</v>
      </c>
      <c r="AL244" s="22">
        <f>tabCustoUnit[[#This Row],[Submódulo 2.1]]+tabCustoUnit[[#This Row],[Submódulo 2.2]]+tabCustoUnit[[#This Row],[Submódulo 2.3]]</f>
        <v>1867.5067628500001</v>
      </c>
      <c r="AM244" s="22">
        <f>SUMIF(tabParametros[Código do Posto],tabCustoUnit[[#This Row],[Código do Posto]],tabParametros[Aviso Prévio Indenizado (API) e Reflexo do Aviso Prévio Indenizado])*tabCustoUnit[[#This Row],[MODULO 1 - REMUNERAÇÃO ]]</f>
        <v>11.559051416493055</v>
      </c>
      <c r="AN244" s="22">
        <f>SUMIF(tabParametros[Código do Posto],tabCustoUnit[[#This Row],[Código do Posto]],tabParametros[Incidência do FGTS sobre API e Reflexo do API])*tabCustoUnit[[#This Row],[MODULO 1 - REMUNERAÇÃO ]]</f>
        <v>0.92472411331944449</v>
      </c>
      <c r="AO244" s="22">
        <f>SUMIF(tabParametros[Código do Posto],tabCustoUnit[[#This Row],[Código do Posto]],tabParametros[Multa Rescisória do FGTS sobre o Aviso Prévio Indenizado])*tabCustoUnit[[#This Row],[MODULO 1 - REMUNERAÇÃO ]]</f>
        <v>0.36988964532777785</v>
      </c>
      <c r="AP244" s="22">
        <f>SUMIF(tabParametros[Código do Posto],tabCustoUnit[[#This Row],[Código do Posto]],tabParametros[Aviso Prévio Trabalhado - APT])*tabCustoUnit[[#This Row],[MODULO 1 - REMUNERAÇÃO ]]</f>
        <v>5.7698266500000006</v>
      </c>
      <c r="AQ244" s="22">
        <f>SUMIF(tabParametros[Código do Posto],tabCustoUnit[[#This Row],[Código do Posto]],tabParametros[Incidência dos encargos do submódulo 2.1 sobre Aviso Prévio Trabalhado])*tabCustoUnit[[#This Row],[MODULO 1 - REMUNERAÇÃO ]]</f>
        <v>2.1809944737000007</v>
      </c>
      <c r="AR244" s="22">
        <f>SUMIF(tabParametros[Código do Posto],tabCustoUnit[[#This Row],[Código do Posto]],tabParametros[Multa Rescisória do FGTS])*tabCustoUnit[[#This Row],[MODULO 1 - REMUNERAÇÃO ]]</f>
        <v>50.40813631999999</v>
      </c>
      <c r="AS244" s="22">
        <f>SUMIF(tabParametros[Código do Posto],tabCustoUnit[[#This Row],[Código do Posto]],tabParametros[Indenização Adicional (Art. 9º da Lei nº 7.238/84)])*tabCustoUnit[[#This Row],[MODULO 1 - REMUNERAÇÃO ]]</f>
        <v>1.3737682500000001</v>
      </c>
      <c r="AT244" s="22">
        <f>SUM(tabCustoUnit[[#This Row],[Aviso Prévio Indenizado (API) e Reflexo do Aviso Prévio Indenizado]:[Indenização Adicional (Art. 9º da Lei nº 7.238/84)]])</f>
        <v>72.586390868840269</v>
      </c>
      <c r="AU244" s="22">
        <f>SUMIF(tabParametros[Código do Posto],tabCustoUnit[[#This Row],[Código do Posto]],tabParametros[Ausência por Doença])*tabCustoUnit[[#This Row],[MODULO 1 - REMUNERAÇÃO ]]</f>
        <v>13.920851599999999</v>
      </c>
      <c r="AV244" s="22">
        <f>SUMIF(tabParametros[Código do Posto],tabCustoUnit[[#This Row],[Código do Posto]],tabParametros[Ausências Legais])*tabCustoUnit[[#This Row],[MODULO 1 - REMUNERAÇÃO ]]</f>
        <v>3.3428360749999997</v>
      </c>
      <c r="AW244" s="22">
        <f>SUMIF(tabParametros[Código do Posto],tabCustoUnit[[#This Row],[Código do Posto]],tabParametros[Licença Paternidade])*tabCustoUnit[[#This Row],[MODULO 1 - REMUNERAÇÃO ]]</f>
        <v>0.28162249125</v>
      </c>
      <c r="AX244" s="22">
        <f>SUMIF(tabParametros[Código do Posto],tabCustoUnit[[#This Row],[Código do Posto]],tabParametros[Ausência por Acidente de Trabalho])*tabCustoUnit[[#This Row],[MODULO 1 - REMUNERAÇÃO ]]</f>
        <v>0.34344206250000003</v>
      </c>
      <c r="AY244" s="22">
        <f>SUMIF(tabParametros[Código do Posto],tabCustoUnit[[#This Row],[Código do Posto]],tabParametros[Férias, Adicional de Férias e 13º  com empregada em gozo de Licença Maternidade])*tabCustoUnit[[#This Row],[MODULO 1 - REMUNERAÇÃO ]]</f>
        <v>2.1369728333333331</v>
      </c>
      <c r="AZ244" s="22">
        <f>SUMIF(tabParametros[Código do Posto],tabCustoUnit[[#This Row],[Código do Posto]],tabParametros[Incidência do Submódulo 2.1 sobre Ausências Legais])*tabCustoUnit[[#This Row],[MODULO 1 - REMUNERAÇÃO ]]</f>
        <v>7.5697240734675013</v>
      </c>
      <c r="BA244" s="22">
        <f>SUM(tabCustoUnit[[#This Row],[Ausência por Doença]:[Incidência do Submódulo 2.1 sobre Ausências Legais]])</f>
        <v>27.595449135550833</v>
      </c>
      <c r="BB244" s="22">
        <f>SUMIF(tabParametros[Código do Posto],tabCustoUnit[[#This Row],[Código do Posto]],tabParametros[Intervalo para Repouso ou Alimentação])</f>
        <v>0</v>
      </c>
      <c r="BC244" s="22">
        <f>tabCustoUnit[[#This Row],[Intervalo para Repouso ou Alimentação]]</f>
        <v>0</v>
      </c>
      <c r="BD244" s="22">
        <f>IF(VLOOKUP(tabCustoUnit[[#This Row],[Código do Posto]],PARAMETROS!$A$4:$BJ$255,7,0)&lt;=0,0,
IFERROR((tabCustoUnit[[#This Row],[MODULO 1 - REMUNERAÇÃO ]]*VLOOKUP(tabCustoUnit[[#This Row],[Código do Posto]],PARAMETROS!$A$4:$BJ$255,49,0))/(VLOOKUP(tabCustoUnit[[#This Row],[Código do Posto]],PARAMETROS!$A$4:$BJ$255,7,0)*VLOOKUP(tabCustoUnit[[#This Row],[Código do Posto]],PARAMETROS!$A$4:$BJ$255,8,0)),0)
)</f>
        <v>0</v>
      </c>
      <c r="BE244" s="22">
        <f>tabCustoUnit[[#This Row],[Suspensão Temporária do Contrato de Trabalho]]</f>
        <v>0</v>
      </c>
      <c r="BF244" s="22">
        <f>tabCustoUnit[[#This Row],[Submódulo 4.1]]+tabCustoUnit[[#This Row],[Submódulo 4.2]]+tabCustoUnit[[#This Row],[Submódulo 4.3]]</f>
        <v>27.595449135550833</v>
      </c>
      <c r="BG244" s="22">
        <f>VLOOKUP(tabCustoUnit[[#This Row],[Código do Posto]],tabParametros[],MATCH(tabCustoUnit[[#Headers],[Uniformes e EPIs]],tabParametros[#Headers],0),0)</f>
        <v>100.80916666666666</v>
      </c>
      <c r="BH244" s="22">
        <f>VLOOKUP(tabCustoUnit[[#This Row],[Código do Posto]],tabParametros[],MATCH(tabCustoUnit[[#Headers],[Materiais de Consumo]],tabParametros[#Headers],0),0)</f>
        <v>35.518212958583888</v>
      </c>
      <c r="BI244" s="22">
        <f>VLOOKUP(tabCustoUnit[[#This Row],[Código do Posto]],tabParametros[],MATCH(tabCustoUnit[[#Headers],[Máquinas e Equipamentos (depreciação)]],tabParametros[#Headers],0),0)</f>
        <v>64.529393914825576</v>
      </c>
      <c r="BJ244" s="22">
        <f>VLOOKUP(tabCustoUnit[[#This Row],[Código do Posto]],tabParametros[],MATCH(tabCustoUnit[[#Headers],[Produtos de Limpeza e Materiais de Higiene Pessoal]],tabParametros[#Headers],0),0)</f>
        <v>690.27153277931654</v>
      </c>
      <c r="BK244" s="22">
        <f>VLOOKUP(tabCustoUnit[[#This Row],[Código do Posto]],tabParametros[],MATCH(tabCustoUnit[[#Headers],[Outros (especificar)]],tabParametros[#Headers],0),0)</f>
        <v>0</v>
      </c>
      <c r="BL244" s="22">
        <f>SUM(tabCustoUnit[[#This Row],[Uniformes e EPIs]:[Outros (especificar)]])</f>
        <v>891.12830631939266</v>
      </c>
      <c r="BM244" s="22">
        <f>tabCustoUnit[[#This Row],[MODULO 1 - REMUNERAÇÃO ]]+tabCustoUnit[[#This Row],[MÓDULO 2 - Total Encargos e Benefícios mensais e diários]]+tabCustoUnit[[#This Row],[MÓDULO 3 – PROVISÃO PARA RESCISÃO]]+tabCustoUnit[[#This Row],[MÓDULO 4 – CUSTO DE REPOSIÇÃO DO PROFISSIONAL AUSENTE]]+tabCustoUnit[[#This Row],[MÓDULO 5 – INSUMOS DIVERSOS]]</f>
        <v>4507.3388091737834</v>
      </c>
      <c r="BN244" s="22">
        <f>VLOOKUP(tabCustoUnit[[#This Row],[Código do Posto]],tabParametros[],MATCH(tabCustoUnit[[#Headers],[Custos Indiretos]],tabParametros[#Headers],0),0)</f>
        <v>189.64880140242613</v>
      </c>
      <c r="BO244" s="22">
        <f>VLOOKUP(tabCustoUnit[[#This Row],[Código do Posto]],tabParametros[],MATCH(tabCustoUnit[[#Headers],[Lucro]],tabParametros[#Headers],0),0)</f>
        <v>159.30499317803796</v>
      </c>
      <c r="BP244" s="26">
        <f>((100/((1-tabCustoUnit[[#This Row],[Resumo de Alíquotas (PIS+CONFINS+ISS)]]))-100)*VLOOKUP(tabCustoUnit[[#This Row],[Código do Posto]],tabParametros[],MATCH(tabCustoUnit[[#Headers],[COFINS]],tabParametros[#Headers],0),0))/(tabCustoUnit[[#This Row],[Resumo de Alíquotas (PIS+CONFINS+ISS)]]*100)</f>
        <v>8.6609686609686695E-2</v>
      </c>
      <c r="BQ244" s="26">
        <f>((100/((100-(tabCustoUnit[[#This Row],[Resumo de Alíquotas (PIS+CONFINS+ISS)]]*100))%)-100)*VLOOKUP(tabCustoUnit[[#This Row],[Código do Posto]],tabParametros[],MATCH(tabCustoUnit[[#Headers],[PIS]],tabParametros[#Headers],0),0))/(tabCustoUnit[[#This Row],[Resumo de Alíquotas (PIS+CONFINS+ISS)]]*100)</f>
        <v>1.880341880341882E-2</v>
      </c>
      <c r="BR244" s="28">
        <f>VLOOKUP(tabCustoUnit[[#This Row],[Código do Posto]],tabParametros[],MATCH(tabCustoUnit[[#Headers],[ISS]],tabParametros[#Headers],0),0)</f>
        <v>0.03</v>
      </c>
      <c r="BS244" s="26">
        <f>(((100/((100-(tabCustoUnit[[#This Row],[Resumo de Alíquotas (PIS+CONFINS+ISS)]]*100))%)-100)*tabCustoUnit[[#This Row],[ISS]])/tabCustoUnit[[#This Row],[Resumo de Alíquotas (PIS+CONFINS+ISS)]])/100</f>
        <v>3.4188034188034219E-2</v>
      </c>
      <c r="BT244" s="26">
        <f>(VLOOKUP(tabCustoUnit[[#This Row],[Código do Posto]],tabParametros[],MATCH(tabCustoUnit[[#Headers],[COFINS]],tabParametros[#Headers],0),0)+
VLOOKUP(tabCustoUnit[[#This Row],[Código do Posto]],tabParametros[],MATCH(tabCustoUnit[[#Headers],[PIS]],tabParametros[#Headers],0),0)+
VLOOKUP(tabCustoUnit[[#This Row],[Código do Posto]],tabParametros[],MATCH(tabCustoUnit[[#Headers],[ISS]],tabParametros[#Headers],0),0))</f>
        <v>0.1225</v>
      </c>
      <c r="BU244" s="138">
        <f>tabCustoUnit[[#This Row],[COFINS]]+tabCustoUnit[[#This Row],[PIS]]+tabCustoUnit[[#This Row],[ISS (Conversão Alíquota s/ fatura)]]</f>
        <v>0.13960113960113973</v>
      </c>
      <c r="BV244" s="22">
        <f>(tabCustoUnit[[#This Row],[TOTAL MÓDULOS 1+2+3+4+5]]+tabCustoUnit[[#This Row],[Custos Indiretos]]+tabCustoUnit[[#This Row],[Lucro]])*tabCustoUnit[[#This Row],[PIS + COFINS + ISS (Total Conversão  Alíquota s/ Fatura)]]</f>
        <v>677.94398172067906</v>
      </c>
      <c r="BW244" s="22">
        <f>tabCustoUnit[[#This Row],[Custos Indiretos]]+tabCustoUnit[[#This Row],[Lucro]]+tabCustoUnit[[#This Row],[Valor dos Tributos (ISS, PIS, CONFINS)]]</f>
        <v>1026.897776301143</v>
      </c>
      <c r="BX244" s="22">
        <f>tabCustoUnit[[#This Row],[TOTAL MÓDULOS 1+2+3+4+5]]+tabCustoUnit[[#This Row],[MÓDULO 6 – CUSTOS INDIRETOS, TRIBUTOS E LUCRO]]</f>
        <v>5534.236585474926</v>
      </c>
      <c r="BY244" s="22">
        <f>tabCustoUnit[[#This Row],[CUSTO TOTAL MENSAL]]*12</f>
        <v>66410.839025699112</v>
      </c>
      <c r="BZ244" s="24">
        <f>VLOOKUP(tabCustoUnit[[#This Row],[Código do Posto]],tabParametros[],MATCH(tabCustoUnit[[#Headers],[ANO DA CCT]],tabParametros[#Headers],0),0)</f>
        <v>45658</v>
      </c>
      <c r="CA244" s="25" t="str">
        <f>VLOOKUP(tabCustoUnit[[#This Row],[Código do Posto]],tabParametros[],MATCH(tabCustoUnit[[#Headers],[Nº DE PEDIDO DA CCT]],tabParametros[#Headers],0),0)</f>
        <v>-</v>
      </c>
      <c r="CB244" s="25" t="str">
        <f>VLOOKUP(tabCustoUnit[[#This Row],[Código do Posto]],tabParametros[],MATCH(tabCustoUnit[[#Headers],[TERMO ADITIVO ALTERAÇÃO DA CCT]],tabParametros[#Headers],0),0)</f>
        <v>-</v>
      </c>
    </row>
    <row r="245" spans="1:80" x14ac:dyDescent="0.25">
      <c r="A245" s="20" t="s">
        <v>1580</v>
      </c>
      <c r="B245" t="s">
        <v>221</v>
      </c>
      <c r="C245" t="s">
        <v>1244</v>
      </c>
      <c r="D245" t="s">
        <v>221</v>
      </c>
      <c r="E245" s="20" t="s">
        <v>9</v>
      </c>
      <c r="F245" s="20" t="s">
        <v>10</v>
      </c>
      <c r="G245" s="21">
        <v>824.56</v>
      </c>
      <c r="H245" s="21">
        <v>0</v>
      </c>
      <c r="I245" s="21">
        <v>0</v>
      </c>
      <c r="J245" s="21">
        <v>0</v>
      </c>
      <c r="K245" s="21">
        <v>0</v>
      </c>
      <c r="L245" s="21">
        <v>0</v>
      </c>
      <c r="M245" s="21">
        <v>0</v>
      </c>
      <c r="N245" s="21">
        <v>26.985600000000002</v>
      </c>
      <c r="O245" s="21">
        <f>SUM(tabCustoUnit[[#This Row],[Salário Base]:[Adicional de Acúmulo de função]])</f>
        <v>851.54559999999992</v>
      </c>
      <c r="P245" s="21">
        <f>tabCustoUnit[[#This Row],[MODULO 1 - REMUNERAÇÃO ]]*SUMIFS(tabParametros[INSS],tabParametros[Código do Posto],tabCustoUnit[[#This Row],[Código do Posto]])</f>
        <v>170.30912000000001</v>
      </c>
      <c r="Q245" s="21">
        <f>tabCustoUnit[[#This Row],[MODULO 1 - REMUNERAÇÃO ]]*SUMIFS(tabParametros[SESI OU SESC],tabParametros[Código do Posto],tabCustoUnit[[#This Row],[Código do Posto]])</f>
        <v>12.773183999999999</v>
      </c>
      <c r="R245" s="21">
        <f>tabCustoUnit[[#This Row],[MODULO 1 - REMUNERAÇÃO ]]*SUMIFS(tabParametros[SENAI OU SENAC],tabParametros[Código do Posto],tabCustoUnit[[#This Row],[Código do Posto]])</f>
        <v>8.5154559999999986</v>
      </c>
      <c r="S245" s="21">
        <f>tabCustoUnit[[#This Row],[MODULO 1 - REMUNERAÇÃO ]]*SUMIFS(tabParametros[INCRA],tabParametros[Código do Posto],tabCustoUnit[[#This Row],[Código do Posto]])</f>
        <v>1.7030911999999998</v>
      </c>
      <c r="T245" s="21">
        <f>tabCustoUnit[[#This Row],[MODULO 1 - REMUNERAÇÃO ]]*SUMIFS(tabParametros[Salário Educação],tabParametros[Código do Posto],tabCustoUnit[[#This Row],[Código do Posto]])</f>
        <v>21.288640000000001</v>
      </c>
      <c r="U245" s="21">
        <f>tabCustoUnit[[#This Row],[MODULO 1 - REMUNERAÇÃO ]]*SUMIFS(tabParametros[FGTS],tabParametros[Código do Posto],tabCustoUnit[[#This Row],[Código do Posto]])</f>
        <v>68.123647999999989</v>
      </c>
      <c r="V245" s="21">
        <f>tabCustoUnit[[#This Row],[MODULO 1 - REMUNERAÇÃO ]]*SUMIFS(tabParametros[RAT Ajustado],tabParametros[Código do Posto],tabCustoUnit[[#This Row],[Código do Posto]])</f>
        <v>34.061823999999994</v>
      </c>
      <c r="W245" s="21">
        <f>tabCustoUnit[[#This Row],[MODULO 1 - REMUNERAÇÃO ]]*SUMIFS(tabParametros[SEBRAE],tabParametros[Código do Posto],tabCustoUnit[[#This Row],[Código do Posto]])</f>
        <v>5.1092735999999999</v>
      </c>
      <c r="X245" s="21">
        <f>SUM(tabCustoUnit[[#This Row],[INSS]:[SEBRAE]])</f>
        <v>321.8842368</v>
      </c>
      <c r="Y245" s="21">
        <f>tabCustoUnit[[#This Row],[MODULO 1 - REMUNERAÇÃO ]]*SUMIFS(tabParametros[13º salário (titular)],tabParametros[Código do Posto],tabCustoUnit[[#This Row],[Código do Posto]])</f>
        <v>70.962133333333327</v>
      </c>
      <c r="Z245" s="21">
        <f>tabCustoUnit[[#This Row],[MODULO 1 - REMUNERAÇÃO ]]*SUMIFS(tabParametros[Férias e Adicional de Férias (titular)],tabParametros[Código do Posto],tabCustoUnit[[#This Row],[Código do Posto]])</f>
        <v>94.616177777777764</v>
      </c>
      <c r="AA245" s="21">
        <f>IFERROR((tabCustoUnit[[#This Row],[Submódulo 2.1]]/tabCustoUnit[[#This Row],[MODULO 1 - REMUNERAÇÃO ]])*SUM(tabCustoUnit[[#This Row],[13º salário (titular)]:[Férias e Adicional de Férias (titular)]]),0)</f>
        <v>62.588601599999997</v>
      </c>
      <c r="AB245" s="21">
        <f>SUM(tabCustoUnit[[#This Row],[13º salário (titular)]:[Incidência do Submódulo 2.1 sobre 13º Salário, Férias e Adicional de Férias]])</f>
        <v>228.16691271111108</v>
      </c>
      <c r="AC245" s="22">
        <f>_xlfn.LET(_xlpm.VT,SUMIF(tabParametros[Código do Posto],tabCustoUnit[[#This Row],[Código do Posto]],tabParametros[Vale - Transporte])*2*20,
IF((_xlpm.VT-tabCustoUnit[[#This Row],[Salário Base]]*0.06)&gt;=0,(_xlpm.VT-tabCustoUnit[[#This Row],[Salário Base]]*0.06),0)
)</f>
        <v>206.5264</v>
      </c>
      <c r="AD245" s="22">
        <f>IF(SUMIF(tabParametros[Código do Posto],tabCustoUnit[[#This Row],[Código do Posto]],tabParametros[Vale - Alimentação])&lt;=0,0,
SUMIF(tabParametros[Código do Posto],tabCustoUnit[[#This Row],[Código do Posto]],tabParametros[Vale - Alimentação])*20-1)</f>
        <v>582</v>
      </c>
      <c r="AE245" s="22">
        <f>SUMIF(tabParametros[Código do Posto],tabCustoUnit[[#This Row],[Código do Posto]],tabParametros[Cesta Básica])</f>
        <v>0</v>
      </c>
      <c r="AF245" s="22">
        <f>SUMIF(tabParametros[Código do Posto],tabCustoUnit[[#This Row],[Código do Posto]],tabParametros[PAF])</f>
        <v>51.86</v>
      </c>
      <c r="AG245" s="22">
        <f>SUMIF(tabParametros[Código do Posto],tabCustoUnit[[#This Row],[Código do Posto]],tabParametros[PQM])</f>
        <v>0</v>
      </c>
      <c r="AH245" s="22">
        <f>SUMIF(tabParametros[Código do Posto],tabCustoUnit[[#This Row],[Código do Posto]],tabParametros[PAT])</f>
        <v>0</v>
      </c>
      <c r="AI245" s="22">
        <f>SUMIF(tabParametros[Código do Posto],tabCustoUnit[[#This Row],[Código do Posto]],tabParametros[Seguro de Vida])</f>
        <v>3.36</v>
      </c>
      <c r="AJ245" s="22">
        <f>SUMIF(tabParametros[Código do Posto],tabCustoUnit[[#This Row],[Código do Posto]],tabParametros[Despesas de Viagem])</f>
        <v>0</v>
      </c>
      <c r="AK245" s="22">
        <f>SUM(tabCustoUnit[[#This Row],[Vale - Transporte (Descontada parcela do empregado)]:[Despesas de Viagem]])</f>
        <v>843.74639999999999</v>
      </c>
      <c r="AL245" s="22">
        <f>tabCustoUnit[[#This Row],[Submódulo 2.1]]+tabCustoUnit[[#This Row],[Submódulo 2.2]]+tabCustoUnit[[#This Row],[Submódulo 2.3]]</f>
        <v>1393.7975495111111</v>
      </c>
      <c r="AM245" s="22">
        <f>SUMIF(tabParametros[Código do Posto],tabCustoUnit[[#This Row],[Código do Posto]],tabParametros[Aviso Prévio Indenizado (API) e Reflexo do Aviso Prévio Indenizado])*tabCustoUnit[[#This Row],[MODULO 1 - REMUNERAÇÃO ]]</f>
        <v>5.970839316049382</v>
      </c>
      <c r="AN245" s="22">
        <f>SUMIF(tabParametros[Código do Posto],tabCustoUnit[[#This Row],[Código do Posto]],tabParametros[Incidência do FGTS sobre API e Reflexo do API])*tabCustoUnit[[#This Row],[MODULO 1 - REMUNERAÇÃO ]]</f>
        <v>0.4776671452839506</v>
      </c>
      <c r="AO245" s="22">
        <f>SUMIF(tabParametros[Código do Posto],tabCustoUnit[[#This Row],[Código do Posto]],tabParametros[Multa Rescisória do FGTS sobre o Aviso Prévio Indenizado])*tabCustoUnit[[#This Row],[MODULO 1 - REMUNERAÇÃO ]]</f>
        <v>0.19106685811358026</v>
      </c>
      <c r="AP245" s="22">
        <f>SUMIF(tabParametros[Código do Posto],tabCustoUnit[[#This Row],[Código do Posto]],tabParametros[Aviso Prévio Trabalhado - APT])*tabCustoUnit[[#This Row],[MODULO 1 - REMUNERAÇÃO ]]</f>
        <v>2.9804096000000002</v>
      </c>
      <c r="AQ245" s="22">
        <f>SUMIF(tabParametros[Código do Posto],tabCustoUnit[[#This Row],[Código do Posto]],tabParametros[Incidência dos encargos do submódulo 2.1 sobre Aviso Prévio Trabalhado])*tabCustoUnit[[#This Row],[MODULO 1 - REMUNERAÇÃO ]]</f>
        <v>1.1265948288000003</v>
      </c>
      <c r="AR245" s="22">
        <f>SUMIF(tabParametros[Código do Posto],tabCustoUnit[[#This Row],[Código do Posto]],tabParametros[Multa Rescisória do FGTS])*tabCustoUnit[[#This Row],[MODULO 1 - REMUNERAÇÃO ]]</f>
        <v>26.038372124444439</v>
      </c>
      <c r="AS245" s="22">
        <f>SUMIF(tabParametros[Código do Posto],tabCustoUnit[[#This Row],[Código do Posto]],tabParametros[Indenização Adicional (Art. 9º da Lei nº 7.238/84)])*tabCustoUnit[[#This Row],[MODULO 1 - REMUNERAÇÃO ]]</f>
        <v>0.70962133333333333</v>
      </c>
      <c r="AT245" s="22">
        <f>SUM(tabCustoUnit[[#This Row],[Aviso Prévio Indenizado (API) e Reflexo do Aviso Prévio Indenizado]:[Indenização Adicional (Art. 9º da Lei nº 7.238/84)]])</f>
        <v>37.494571206024688</v>
      </c>
      <c r="AU245" s="22">
        <f>SUMIF(tabParametros[Código do Posto],tabCustoUnit[[#This Row],[Código do Posto]],tabParametros[Ausência por Doença])*tabCustoUnit[[#This Row],[MODULO 1 - REMUNERAÇÃO ]]</f>
        <v>7.1908295111111098</v>
      </c>
      <c r="AV245" s="22">
        <f>SUMIF(tabParametros[Código do Posto],tabCustoUnit[[#This Row],[Código do Posto]],tabParametros[Ausências Legais])*tabCustoUnit[[#This Row],[MODULO 1 - REMUNERAÇÃO ]]</f>
        <v>1.7267452444444442</v>
      </c>
      <c r="AW245" s="22">
        <f>SUMIF(tabParametros[Código do Posto],tabCustoUnit[[#This Row],[Código do Posto]],tabParametros[Licença Paternidade])*tabCustoUnit[[#This Row],[MODULO 1 - REMUNERAÇÃO ]]</f>
        <v>0.14547237333333332</v>
      </c>
      <c r="AX245" s="22">
        <f>SUMIF(tabParametros[Código do Posto],tabCustoUnit[[#This Row],[Código do Posto]],tabParametros[Ausência por Acidente de Trabalho])*tabCustoUnit[[#This Row],[MODULO 1 - REMUNERAÇÃO ]]</f>
        <v>0.17740533333333333</v>
      </c>
      <c r="AY245" s="22">
        <f>SUMIF(tabParametros[Código do Posto],tabCustoUnit[[#This Row],[Código do Posto]],tabParametros[Férias, Adicional de Férias e 13º  com empregada em gozo de Licença Maternidade])*tabCustoUnit[[#This Row],[MODULO 1 - REMUNERAÇÃO ]]</f>
        <v>1.1038554074074072</v>
      </c>
      <c r="AZ245" s="22">
        <f>SUMIF(tabParametros[Código do Posto],tabCustoUnit[[#This Row],[Código do Posto]],tabParametros[Incidência do Submódulo 2.1 sobre Ausências Legais])*tabCustoUnit[[#This Row],[MODULO 1 - REMUNERAÇÃO ]]</f>
        <v>3.9101483747200003</v>
      </c>
      <c r="BA245" s="22">
        <f>SUM(tabCustoUnit[[#This Row],[Ausência por Doença]:[Incidência do Submódulo 2.1 sobre Ausências Legais]])</f>
        <v>14.254456244349628</v>
      </c>
      <c r="BB245" s="22">
        <f>SUMIF(tabParametros[Código do Posto],tabCustoUnit[[#This Row],[Código do Posto]],tabParametros[Intervalo para Repouso ou Alimentação])</f>
        <v>0</v>
      </c>
      <c r="BC245" s="22">
        <f>tabCustoUnit[[#This Row],[Intervalo para Repouso ou Alimentação]]</f>
        <v>0</v>
      </c>
      <c r="BD245" s="22">
        <f>IF(VLOOKUP(tabCustoUnit[[#This Row],[Código do Posto]],PARAMETROS!$A$4:$BJ$255,7,0)&lt;=0,0,
IFERROR((tabCustoUnit[[#This Row],[MODULO 1 - REMUNERAÇÃO ]]*VLOOKUP(tabCustoUnit[[#This Row],[Código do Posto]],PARAMETROS!$A$4:$BJ$255,49,0))/(VLOOKUP(tabCustoUnit[[#This Row],[Código do Posto]],PARAMETROS!$A$4:$BJ$255,7,0)*VLOOKUP(tabCustoUnit[[#This Row],[Código do Posto]],PARAMETROS!$A$4:$BJ$255,8,0)),0)
)</f>
        <v>0</v>
      </c>
      <c r="BE245" s="22">
        <f>tabCustoUnit[[#This Row],[Suspensão Temporária do Contrato de Trabalho]]</f>
        <v>0</v>
      </c>
      <c r="BF245" s="22">
        <f>tabCustoUnit[[#This Row],[Submódulo 4.1]]+tabCustoUnit[[#This Row],[Submódulo 4.2]]+tabCustoUnit[[#This Row],[Submódulo 4.3]]</f>
        <v>14.254456244349628</v>
      </c>
      <c r="BG245" s="22">
        <f>VLOOKUP(tabCustoUnit[[#This Row],[Código do Posto]],tabParametros[],MATCH(tabCustoUnit[[#Headers],[Uniformes e EPIs]],tabParametros[#Headers],0),0)</f>
        <v>62.806666666666665</v>
      </c>
      <c r="BH245" s="22">
        <f>VLOOKUP(tabCustoUnit[[#This Row],[Código do Posto]],tabParametros[],MATCH(tabCustoUnit[[#Headers],[Materiais de Consumo]],tabParametros[#Headers],0),0)</f>
        <v>17.759106479291944</v>
      </c>
      <c r="BI245" s="22">
        <f>VLOOKUP(tabCustoUnit[[#This Row],[Código do Posto]],tabParametros[],MATCH(tabCustoUnit[[#Headers],[Máquinas e Equipamentos (depreciação)]],tabParametros[#Headers],0),0)</f>
        <v>32.264696957412788</v>
      </c>
      <c r="BJ245" s="22">
        <f>VLOOKUP(tabCustoUnit[[#This Row],[Código do Posto]],tabParametros[],MATCH(tabCustoUnit[[#Headers],[Produtos de Limpeza e Materiais de Higiene Pessoal]],tabParametros[#Headers],0),0)</f>
        <v>345.13576638965827</v>
      </c>
      <c r="BK245" s="22">
        <f>VLOOKUP(tabCustoUnit[[#This Row],[Código do Posto]],tabParametros[],MATCH(tabCustoUnit[[#Headers],[Outros (especificar)]],tabParametros[#Headers],0),0)</f>
        <v>0</v>
      </c>
      <c r="BL245" s="22">
        <f>SUM(tabCustoUnit[[#This Row],[Uniformes e EPIs]:[Outros (especificar)]])</f>
        <v>457.96623649302967</v>
      </c>
      <c r="BM245" s="22">
        <f>tabCustoUnit[[#This Row],[MODULO 1 - REMUNERAÇÃO ]]+tabCustoUnit[[#This Row],[MÓDULO 2 - Total Encargos e Benefícios mensais e diários]]+tabCustoUnit[[#This Row],[MÓDULO 3 – PROVISÃO PARA RESCISÃO]]+tabCustoUnit[[#This Row],[MÓDULO 4 – CUSTO DE REPOSIÇÃO DO PROFISSIONAL AUSENTE]]+tabCustoUnit[[#This Row],[MÓDULO 5 – INSUMOS DIVERSOS]]</f>
        <v>2755.0584134545147</v>
      </c>
      <c r="BN245" s="22">
        <f>VLOOKUP(tabCustoUnit[[#This Row],[Código do Posto]],tabParametros[],MATCH(tabCustoUnit[[#Headers],[Custos Indiretos]],tabParametros[#Headers],0),0)</f>
        <v>189.64880140242613</v>
      </c>
      <c r="BO245" s="22">
        <f>VLOOKUP(tabCustoUnit[[#This Row],[Código do Posto]],tabParametros[],MATCH(tabCustoUnit[[#Headers],[Lucro]],tabParametros[#Headers],0),0)</f>
        <v>159.30499317803796</v>
      </c>
      <c r="BP245" s="26">
        <f>((100/((1-tabCustoUnit[[#This Row],[Resumo de Alíquotas (PIS+CONFINS+ISS)]]))-100)*VLOOKUP(tabCustoUnit[[#This Row],[Código do Posto]],tabParametros[],MATCH(tabCustoUnit[[#Headers],[COFINS]],tabParametros[#Headers],0),0))/(tabCustoUnit[[#This Row],[Resumo de Alíquotas (PIS+CONFINS+ISS)]]*100)</f>
        <v>8.6609686609686695E-2</v>
      </c>
      <c r="BQ245" s="26">
        <f>((100/((100-(tabCustoUnit[[#This Row],[Resumo de Alíquotas (PIS+CONFINS+ISS)]]*100))%)-100)*VLOOKUP(tabCustoUnit[[#This Row],[Código do Posto]],tabParametros[],MATCH(tabCustoUnit[[#Headers],[PIS]],tabParametros[#Headers],0),0))/(tabCustoUnit[[#This Row],[Resumo de Alíquotas (PIS+CONFINS+ISS)]]*100)</f>
        <v>1.880341880341882E-2</v>
      </c>
      <c r="BR245" s="28">
        <f>VLOOKUP(tabCustoUnit[[#This Row],[Código do Posto]],tabParametros[],MATCH(tabCustoUnit[[#Headers],[ISS]],tabParametros[#Headers],0),0)</f>
        <v>0.03</v>
      </c>
      <c r="BS245" s="26">
        <f>(((100/((100-(tabCustoUnit[[#This Row],[Resumo de Alíquotas (PIS+CONFINS+ISS)]]*100))%)-100)*tabCustoUnit[[#This Row],[ISS]])/tabCustoUnit[[#This Row],[Resumo de Alíquotas (PIS+CONFINS+ISS)]])/100</f>
        <v>3.4188034188034219E-2</v>
      </c>
      <c r="BT245" s="26">
        <f>(VLOOKUP(tabCustoUnit[[#This Row],[Código do Posto]],tabParametros[],MATCH(tabCustoUnit[[#Headers],[COFINS]],tabParametros[#Headers],0),0)+
VLOOKUP(tabCustoUnit[[#This Row],[Código do Posto]],tabParametros[],MATCH(tabCustoUnit[[#Headers],[PIS]],tabParametros[#Headers],0),0)+
VLOOKUP(tabCustoUnit[[#This Row],[Código do Posto]],tabParametros[],MATCH(tabCustoUnit[[#Headers],[ISS]],tabParametros[#Headers],0),0))</f>
        <v>0.1225</v>
      </c>
      <c r="BU245" s="138">
        <f>tabCustoUnit[[#This Row],[COFINS]]+tabCustoUnit[[#This Row],[PIS]]+tabCustoUnit[[#This Row],[ISS (Conversão Alíquota s/ fatura)]]</f>
        <v>0.13960113960113973</v>
      </c>
      <c r="BV245" s="22">
        <f>(tabCustoUnit[[#This Row],[TOTAL MÓDULOS 1+2+3+4+5]]+tabCustoUnit[[#This Row],[Custos Indiretos]]+tabCustoUnit[[#This Row],[Lucro]])*tabCustoUnit[[#This Row],[PIS + COFINS + ISS (Total Conversão  Alíquota s/ Fatura)]]</f>
        <v>433.32364157753307</v>
      </c>
      <c r="BW245" s="22">
        <f>tabCustoUnit[[#This Row],[Custos Indiretos]]+tabCustoUnit[[#This Row],[Lucro]]+tabCustoUnit[[#This Row],[Valor dos Tributos (ISS, PIS, CONFINS)]]</f>
        <v>782.27743615799716</v>
      </c>
      <c r="BX245" s="22">
        <f>tabCustoUnit[[#This Row],[TOTAL MÓDULOS 1+2+3+4+5]]+tabCustoUnit[[#This Row],[MÓDULO 6 – CUSTOS INDIRETOS, TRIBUTOS E LUCRO]]</f>
        <v>3537.335849612512</v>
      </c>
      <c r="BY245" s="22">
        <f>tabCustoUnit[[#This Row],[CUSTO TOTAL MENSAL]]*12</f>
        <v>42448.030195350148</v>
      </c>
      <c r="BZ245" s="24">
        <f>VLOOKUP(tabCustoUnit[[#This Row],[Código do Posto]],tabParametros[],MATCH(tabCustoUnit[[#Headers],[ANO DA CCT]],tabParametros[#Headers],0),0)</f>
        <v>45658</v>
      </c>
      <c r="CA245" s="25" t="str">
        <f>VLOOKUP(tabCustoUnit[[#This Row],[Código do Posto]],tabParametros[],MATCH(tabCustoUnit[[#Headers],[Nº DE PEDIDO DA CCT]],tabParametros[#Headers],0),0)</f>
        <v>-</v>
      </c>
      <c r="CB245" s="25" t="str">
        <f>VLOOKUP(tabCustoUnit[[#This Row],[Código do Posto]],tabParametros[],MATCH(tabCustoUnit[[#Headers],[TERMO ADITIVO ALTERAÇÃO DA CCT]],tabParametros[#Headers],0),0)</f>
        <v>-</v>
      </c>
    </row>
    <row r="246" spans="1:80" x14ac:dyDescent="0.25">
      <c r="A246" s="20" t="s">
        <v>1581</v>
      </c>
      <c r="B246" t="s">
        <v>221</v>
      </c>
      <c r="C246" t="s">
        <v>1245</v>
      </c>
      <c r="D246" t="s">
        <v>221</v>
      </c>
      <c r="E246" s="20" t="s">
        <v>9</v>
      </c>
      <c r="F246" s="20" t="s">
        <v>10</v>
      </c>
      <c r="G246" s="21">
        <v>1649.12</v>
      </c>
      <c r="H246" s="21">
        <v>0</v>
      </c>
      <c r="I246" s="21">
        <v>0</v>
      </c>
      <c r="J246" s="21">
        <v>0</v>
      </c>
      <c r="K246" s="21">
        <v>0</v>
      </c>
      <c r="L246" s="21">
        <v>0</v>
      </c>
      <c r="M246" s="21">
        <v>0</v>
      </c>
      <c r="N246" s="21">
        <v>53.971200000000003</v>
      </c>
      <c r="O246" s="21">
        <f>SUM(tabCustoUnit[[#This Row],[Salário Base]:[Adicional de Acúmulo de função]])</f>
        <v>1703.0911999999998</v>
      </c>
      <c r="P246" s="21">
        <f>tabCustoUnit[[#This Row],[MODULO 1 - REMUNERAÇÃO ]]*SUMIFS(tabParametros[INSS],tabParametros[Código do Posto],tabCustoUnit[[#This Row],[Código do Posto]])</f>
        <v>340.61824000000001</v>
      </c>
      <c r="Q246" s="21">
        <f>tabCustoUnit[[#This Row],[MODULO 1 - REMUNERAÇÃO ]]*SUMIFS(tabParametros[SESI OU SESC],tabParametros[Código do Posto],tabCustoUnit[[#This Row],[Código do Posto]])</f>
        <v>25.546367999999998</v>
      </c>
      <c r="R246" s="21">
        <f>tabCustoUnit[[#This Row],[MODULO 1 - REMUNERAÇÃO ]]*SUMIFS(tabParametros[SENAI OU SENAC],tabParametros[Código do Posto],tabCustoUnit[[#This Row],[Código do Posto]])</f>
        <v>17.030911999999997</v>
      </c>
      <c r="S246" s="21">
        <f>tabCustoUnit[[#This Row],[MODULO 1 - REMUNERAÇÃO ]]*SUMIFS(tabParametros[INCRA],tabParametros[Código do Posto],tabCustoUnit[[#This Row],[Código do Posto]])</f>
        <v>3.4061823999999996</v>
      </c>
      <c r="T246" s="21">
        <f>tabCustoUnit[[#This Row],[MODULO 1 - REMUNERAÇÃO ]]*SUMIFS(tabParametros[Salário Educação],tabParametros[Código do Posto],tabCustoUnit[[#This Row],[Código do Posto]])</f>
        <v>42.577280000000002</v>
      </c>
      <c r="U246" s="21">
        <f>tabCustoUnit[[#This Row],[MODULO 1 - REMUNERAÇÃO ]]*SUMIFS(tabParametros[FGTS],tabParametros[Código do Posto],tabCustoUnit[[#This Row],[Código do Posto]])</f>
        <v>136.24729599999998</v>
      </c>
      <c r="V246" s="21">
        <f>tabCustoUnit[[#This Row],[MODULO 1 - REMUNERAÇÃO ]]*SUMIFS(tabParametros[RAT Ajustado],tabParametros[Código do Posto],tabCustoUnit[[#This Row],[Código do Posto]])</f>
        <v>68.123647999999989</v>
      </c>
      <c r="W246" s="21">
        <f>tabCustoUnit[[#This Row],[MODULO 1 - REMUNERAÇÃO ]]*SUMIFS(tabParametros[SEBRAE],tabParametros[Código do Posto],tabCustoUnit[[#This Row],[Código do Posto]])</f>
        <v>10.2185472</v>
      </c>
      <c r="X246" s="21">
        <f>SUM(tabCustoUnit[[#This Row],[INSS]:[SEBRAE]])</f>
        <v>643.76847359999999</v>
      </c>
      <c r="Y246" s="21">
        <f>tabCustoUnit[[#This Row],[MODULO 1 - REMUNERAÇÃO ]]*SUMIFS(tabParametros[13º salário (titular)],tabParametros[Código do Posto],tabCustoUnit[[#This Row],[Código do Posto]])</f>
        <v>141.92426666666665</v>
      </c>
      <c r="Z246" s="21">
        <f>tabCustoUnit[[#This Row],[MODULO 1 - REMUNERAÇÃO ]]*SUMIFS(tabParametros[Férias e Adicional de Férias (titular)],tabParametros[Código do Posto],tabCustoUnit[[#This Row],[Código do Posto]])</f>
        <v>189.23235555555553</v>
      </c>
      <c r="AA246" s="21">
        <f>IFERROR((tabCustoUnit[[#This Row],[Submódulo 2.1]]/tabCustoUnit[[#This Row],[MODULO 1 - REMUNERAÇÃO ]])*SUM(tabCustoUnit[[#This Row],[13º salário (titular)]:[Férias e Adicional de Férias (titular)]]),0)</f>
        <v>125.17720319999999</v>
      </c>
      <c r="AB246" s="21">
        <f>SUM(tabCustoUnit[[#This Row],[13º salário (titular)]:[Incidência do Submódulo 2.1 sobre 13º Salário, Férias e Adicional de Férias]])</f>
        <v>456.33382542222216</v>
      </c>
      <c r="AC246" s="22">
        <f>_xlfn.LET(_xlpm.VT,SUMIF(tabParametros[Código do Posto],tabCustoUnit[[#This Row],[Código do Posto]],tabParametros[Vale - Transporte])*2*20,
IF((_xlpm.VT-tabCustoUnit[[#This Row],[Salário Base]]*0.06)&gt;=0,(_xlpm.VT-tabCustoUnit[[#This Row],[Salário Base]]*0.06),0)
)</f>
        <v>157.05279999999999</v>
      </c>
      <c r="AD246" s="22">
        <f>IF(SUMIF(tabParametros[Código do Posto],tabCustoUnit[[#This Row],[Código do Posto]],tabParametros[Vale - Alimentação])&lt;=0,0,
SUMIF(tabParametros[Código do Posto],tabCustoUnit[[#This Row],[Código do Posto]],tabParametros[Vale - Alimentação])*20-1)</f>
        <v>582</v>
      </c>
      <c r="AE246" s="22">
        <f>SUMIF(tabParametros[Código do Posto],tabCustoUnit[[#This Row],[Código do Posto]],tabParametros[Cesta Básica])</f>
        <v>0</v>
      </c>
      <c r="AF246" s="22">
        <f>SUMIF(tabParametros[Código do Posto],tabCustoUnit[[#This Row],[Código do Posto]],tabParametros[PAF])</f>
        <v>51.86</v>
      </c>
      <c r="AG246" s="22">
        <f>SUMIF(tabParametros[Código do Posto],tabCustoUnit[[#This Row],[Código do Posto]],tabParametros[PQM])</f>
        <v>0</v>
      </c>
      <c r="AH246" s="22">
        <f>SUMIF(tabParametros[Código do Posto],tabCustoUnit[[#This Row],[Código do Posto]],tabParametros[PAT])</f>
        <v>0</v>
      </c>
      <c r="AI246" s="22">
        <f>SUMIF(tabParametros[Código do Posto],tabCustoUnit[[#This Row],[Código do Posto]],tabParametros[Seguro de Vida])</f>
        <v>3.36</v>
      </c>
      <c r="AJ246" s="22">
        <f>SUMIF(tabParametros[Código do Posto],tabCustoUnit[[#This Row],[Código do Posto]],tabParametros[Despesas de Viagem])</f>
        <v>0</v>
      </c>
      <c r="AK246" s="22">
        <f>SUM(tabCustoUnit[[#This Row],[Vale - Transporte (Descontada parcela do empregado)]:[Despesas de Viagem]])</f>
        <v>794.27279999999996</v>
      </c>
      <c r="AL246" s="22">
        <f>tabCustoUnit[[#This Row],[Submódulo 2.1]]+tabCustoUnit[[#This Row],[Submódulo 2.2]]+tabCustoUnit[[#This Row],[Submódulo 2.3]]</f>
        <v>1894.3750990222222</v>
      </c>
      <c r="AM246" s="22">
        <f>SUMIF(tabParametros[Código do Posto],tabCustoUnit[[#This Row],[Código do Posto]],tabParametros[Aviso Prévio Indenizado (API) e Reflexo do Aviso Prévio Indenizado])*tabCustoUnit[[#This Row],[MODULO 1 - REMUNERAÇÃO ]]</f>
        <v>11.941678632098764</v>
      </c>
      <c r="AN246" s="22">
        <f>SUMIF(tabParametros[Código do Posto],tabCustoUnit[[#This Row],[Código do Posto]],tabParametros[Incidência do FGTS sobre API e Reflexo do API])*tabCustoUnit[[#This Row],[MODULO 1 - REMUNERAÇÃO ]]</f>
        <v>0.9553342905679012</v>
      </c>
      <c r="AO246" s="22">
        <f>SUMIF(tabParametros[Código do Posto],tabCustoUnit[[#This Row],[Código do Posto]],tabParametros[Multa Rescisória do FGTS sobre o Aviso Prévio Indenizado])*tabCustoUnit[[#This Row],[MODULO 1 - REMUNERAÇÃO ]]</f>
        <v>0.38213371622716052</v>
      </c>
      <c r="AP246" s="22">
        <f>SUMIF(tabParametros[Código do Posto],tabCustoUnit[[#This Row],[Código do Posto]],tabParametros[Aviso Prévio Trabalhado - APT])*tabCustoUnit[[#This Row],[MODULO 1 - REMUNERAÇÃO ]]</f>
        <v>5.9608192000000004</v>
      </c>
      <c r="AQ246" s="22">
        <f>SUMIF(tabParametros[Código do Posto],tabCustoUnit[[#This Row],[Código do Posto]],tabParametros[Incidência dos encargos do submódulo 2.1 sobre Aviso Prévio Trabalhado])*tabCustoUnit[[#This Row],[MODULO 1 - REMUNERAÇÃO ]]</f>
        <v>2.2531896576000006</v>
      </c>
      <c r="AR246" s="22">
        <f>SUMIF(tabParametros[Código do Posto],tabCustoUnit[[#This Row],[Código do Posto]],tabParametros[Multa Rescisória do FGTS])*tabCustoUnit[[#This Row],[MODULO 1 - REMUNERAÇÃO ]]</f>
        <v>52.076744248888879</v>
      </c>
      <c r="AS246" s="22">
        <f>SUMIF(tabParametros[Código do Posto],tabCustoUnit[[#This Row],[Código do Posto]],tabParametros[Indenização Adicional (Art. 9º da Lei nº 7.238/84)])*tabCustoUnit[[#This Row],[MODULO 1 - REMUNERAÇÃO ]]</f>
        <v>1.4192426666666667</v>
      </c>
      <c r="AT246" s="22">
        <f>SUM(tabCustoUnit[[#This Row],[Aviso Prévio Indenizado (API) e Reflexo do Aviso Prévio Indenizado]:[Indenização Adicional (Art. 9º da Lei nº 7.238/84)]])</f>
        <v>74.989142412049375</v>
      </c>
      <c r="AU246" s="22">
        <f>SUMIF(tabParametros[Código do Posto],tabCustoUnit[[#This Row],[Código do Posto]],tabParametros[Ausência por Doença])*tabCustoUnit[[#This Row],[MODULO 1 - REMUNERAÇÃO ]]</f>
        <v>14.38165902222222</v>
      </c>
      <c r="AV246" s="22">
        <f>SUMIF(tabParametros[Código do Posto],tabCustoUnit[[#This Row],[Código do Posto]],tabParametros[Ausências Legais])*tabCustoUnit[[#This Row],[MODULO 1 - REMUNERAÇÃO ]]</f>
        <v>3.4534904888888884</v>
      </c>
      <c r="AW246" s="22">
        <f>SUMIF(tabParametros[Código do Posto],tabCustoUnit[[#This Row],[Código do Posto]],tabParametros[Licença Paternidade])*tabCustoUnit[[#This Row],[MODULO 1 - REMUNERAÇÃO ]]</f>
        <v>0.29094474666666664</v>
      </c>
      <c r="AX246" s="22">
        <f>SUMIF(tabParametros[Código do Posto],tabCustoUnit[[#This Row],[Código do Posto]],tabParametros[Ausência por Acidente de Trabalho])*tabCustoUnit[[#This Row],[MODULO 1 - REMUNERAÇÃO ]]</f>
        <v>0.35481066666666666</v>
      </c>
      <c r="AY246" s="22">
        <f>SUMIF(tabParametros[Código do Posto],tabCustoUnit[[#This Row],[Código do Posto]],tabParametros[Férias, Adicional de Férias e 13º  com empregada em gozo de Licença Maternidade])*tabCustoUnit[[#This Row],[MODULO 1 - REMUNERAÇÃO ]]</f>
        <v>2.2077108148148143</v>
      </c>
      <c r="AZ246" s="22">
        <f>SUMIF(tabParametros[Código do Posto],tabCustoUnit[[#This Row],[Código do Posto]],tabParametros[Incidência do Submódulo 2.1 sobre Ausências Legais])*tabCustoUnit[[#This Row],[MODULO 1 - REMUNERAÇÃO ]]</f>
        <v>7.8202967494400006</v>
      </c>
      <c r="BA246" s="22">
        <f>SUM(tabCustoUnit[[#This Row],[Ausência por Doença]:[Incidência do Submódulo 2.1 sobre Ausências Legais]])</f>
        <v>28.508912488699256</v>
      </c>
      <c r="BB246" s="22">
        <f>SUMIF(tabParametros[Código do Posto],tabCustoUnit[[#This Row],[Código do Posto]],tabParametros[Intervalo para Repouso ou Alimentação])</f>
        <v>0</v>
      </c>
      <c r="BC246" s="22">
        <f>tabCustoUnit[[#This Row],[Intervalo para Repouso ou Alimentação]]</f>
        <v>0</v>
      </c>
      <c r="BD246" s="22">
        <f>IF(VLOOKUP(tabCustoUnit[[#This Row],[Código do Posto]],PARAMETROS!$A$4:$BJ$255,7,0)&lt;=0,0,
IFERROR((tabCustoUnit[[#This Row],[MODULO 1 - REMUNERAÇÃO ]]*VLOOKUP(tabCustoUnit[[#This Row],[Código do Posto]],PARAMETROS!$A$4:$BJ$255,49,0))/(VLOOKUP(tabCustoUnit[[#This Row],[Código do Posto]],PARAMETROS!$A$4:$BJ$255,7,0)*VLOOKUP(tabCustoUnit[[#This Row],[Código do Posto]],PARAMETROS!$A$4:$BJ$255,8,0)),0)
)</f>
        <v>0</v>
      </c>
      <c r="BE246" s="22">
        <f>tabCustoUnit[[#This Row],[Suspensão Temporária do Contrato de Trabalho]]</f>
        <v>0</v>
      </c>
      <c r="BF246" s="22">
        <f>tabCustoUnit[[#This Row],[Submódulo 4.1]]+tabCustoUnit[[#This Row],[Submódulo 4.2]]+tabCustoUnit[[#This Row],[Submódulo 4.3]]</f>
        <v>28.508912488699256</v>
      </c>
      <c r="BG246" s="22">
        <f>VLOOKUP(tabCustoUnit[[#This Row],[Código do Posto]],tabParametros[],MATCH(tabCustoUnit[[#Headers],[Uniformes e EPIs]],tabParametros[#Headers],0),0)</f>
        <v>100.80916666666666</v>
      </c>
      <c r="BH246" s="22">
        <f>VLOOKUP(tabCustoUnit[[#This Row],[Código do Posto]],tabParametros[],MATCH(tabCustoUnit[[#Headers],[Materiais de Consumo]],tabParametros[#Headers],0),0)</f>
        <v>35.518212958583888</v>
      </c>
      <c r="BI246" s="22">
        <f>VLOOKUP(tabCustoUnit[[#This Row],[Código do Posto]],tabParametros[],MATCH(tabCustoUnit[[#Headers],[Máquinas e Equipamentos (depreciação)]],tabParametros[#Headers],0),0)</f>
        <v>64.529393914825576</v>
      </c>
      <c r="BJ246" s="22">
        <f>VLOOKUP(tabCustoUnit[[#This Row],[Código do Posto]],tabParametros[],MATCH(tabCustoUnit[[#Headers],[Produtos de Limpeza e Materiais de Higiene Pessoal]],tabParametros[#Headers],0),0)</f>
        <v>690.27153277931654</v>
      </c>
      <c r="BK246" s="22">
        <f>VLOOKUP(tabCustoUnit[[#This Row],[Código do Posto]],tabParametros[],MATCH(tabCustoUnit[[#Headers],[Outros (especificar)]],tabParametros[#Headers],0),0)</f>
        <v>0</v>
      </c>
      <c r="BL246" s="22">
        <f>SUM(tabCustoUnit[[#This Row],[Uniformes e EPIs]:[Outros (especificar)]])</f>
        <v>891.12830631939266</v>
      </c>
      <c r="BM246" s="22">
        <f>tabCustoUnit[[#This Row],[MODULO 1 - REMUNERAÇÃO ]]+tabCustoUnit[[#This Row],[MÓDULO 2 - Total Encargos e Benefícios mensais e diários]]+tabCustoUnit[[#This Row],[MÓDULO 3 – PROVISÃO PARA RESCISÃO]]+tabCustoUnit[[#This Row],[MÓDULO 4 – CUSTO DE REPOSIÇÃO DO PROFISSIONAL AUSENTE]]+tabCustoUnit[[#This Row],[MÓDULO 5 – INSUMOS DIVERSOS]]</f>
        <v>4592.0926602423633</v>
      </c>
      <c r="BN246" s="22">
        <f>VLOOKUP(tabCustoUnit[[#This Row],[Código do Posto]],tabParametros[],MATCH(tabCustoUnit[[#Headers],[Custos Indiretos]],tabParametros[#Headers],0),0)</f>
        <v>189.64880140242613</v>
      </c>
      <c r="BO246" s="22">
        <f>VLOOKUP(tabCustoUnit[[#This Row],[Código do Posto]],tabParametros[],MATCH(tabCustoUnit[[#Headers],[Lucro]],tabParametros[#Headers],0),0)</f>
        <v>159.30499317803796</v>
      </c>
      <c r="BP246" s="26">
        <f>((100/((1-tabCustoUnit[[#This Row],[Resumo de Alíquotas (PIS+CONFINS+ISS)]]))-100)*VLOOKUP(tabCustoUnit[[#This Row],[Código do Posto]],tabParametros[],MATCH(tabCustoUnit[[#Headers],[COFINS]],tabParametros[#Headers],0),0))/(tabCustoUnit[[#This Row],[Resumo de Alíquotas (PIS+CONFINS+ISS)]]*100)</f>
        <v>8.6609686609686695E-2</v>
      </c>
      <c r="BQ246" s="26">
        <f>((100/((100-(tabCustoUnit[[#This Row],[Resumo de Alíquotas (PIS+CONFINS+ISS)]]*100))%)-100)*VLOOKUP(tabCustoUnit[[#This Row],[Código do Posto]],tabParametros[],MATCH(tabCustoUnit[[#Headers],[PIS]],tabParametros[#Headers],0),0))/(tabCustoUnit[[#This Row],[Resumo de Alíquotas (PIS+CONFINS+ISS)]]*100)</f>
        <v>1.880341880341882E-2</v>
      </c>
      <c r="BR246" s="28">
        <f>VLOOKUP(tabCustoUnit[[#This Row],[Código do Posto]],tabParametros[],MATCH(tabCustoUnit[[#Headers],[ISS]],tabParametros[#Headers],0),0)</f>
        <v>0.03</v>
      </c>
      <c r="BS246" s="26">
        <f>(((100/((100-(tabCustoUnit[[#This Row],[Resumo de Alíquotas (PIS+CONFINS+ISS)]]*100))%)-100)*tabCustoUnit[[#This Row],[ISS]])/tabCustoUnit[[#This Row],[Resumo de Alíquotas (PIS+CONFINS+ISS)]])/100</f>
        <v>3.4188034188034219E-2</v>
      </c>
      <c r="BT246" s="26">
        <f>(VLOOKUP(tabCustoUnit[[#This Row],[Código do Posto]],tabParametros[],MATCH(tabCustoUnit[[#Headers],[COFINS]],tabParametros[#Headers],0),0)+
VLOOKUP(tabCustoUnit[[#This Row],[Código do Posto]],tabParametros[],MATCH(tabCustoUnit[[#Headers],[PIS]],tabParametros[#Headers],0),0)+
VLOOKUP(tabCustoUnit[[#This Row],[Código do Posto]],tabParametros[],MATCH(tabCustoUnit[[#Headers],[ISS]],tabParametros[#Headers],0),0))</f>
        <v>0.1225</v>
      </c>
      <c r="BU246" s="138">
        <f>tabCustoUnit[[#This Row],[COFINS]]+tabCustoUnit[[#This Row],[PIS]]+tabCustoUnit[[#This Row],[ISS (Conversão Alíquota s/ fatura)]]</f>
        <v>0.13960113960113973</v>
      </c>
      <c r="BV246" s="22">
        <f>(tabCustoUnit[[#This Row],[TOTAL MÓDULOS 1+2+3+4+5]]+tabCustoUnit[[#This Row],[Custos Indiretos]]+tabCustoUnit[[#This Row],[Lucro]])*tabCustoUnit[[#This Row],[PIS + COFINS + ISS (Total Conversão  Alíquota s/ Fatura)]]</f>
        <v>689.77571591543813</v>
      </c>
      <c r="BW246" s="22">
        <f>tabCustoUnit[[#This Row],[Custos Indiretos]]+tabCustoUnit[[#This Row],[Lucro]]+tabCustoUnit[[#This Row],[Valor dos Tributos (ISS, PIS, CONFINS)]]</f>
        <v>1038.7295104959021</v>
      </c>
      <c r="BX246" s="22">
        <f>tabCustoUnit[[#This Row],[TOTAL MÓDULOS 1+2+3+4+5]]+tabCustoUnit[[#This Row],[MÓDULO 6 – CUSTOS INDIRETOS, TRIBUTOS E LUCRO]]</f>
        <v>5630.8221707382654</v>
      </c>
      <c r="BY246" s="22">
        <f>tabCustoUnit[[#This Row],[CUSTO TOTAL MENSAL]]*12</f>
        <v>67569.866048859185</v>
      </c>
      <c r="BZ246" s="24">
        <f>VLOOKUP(tabCustoUnit[[#This Row],[Código do Posto]],tabParametros[],MATCH(tabCustoUnit[[#Headers],[ANO DA CCT]],tabParametros[#Headers],0),0)</f>
        <v>45658</v>
      </c>
      <c r="CA246" s="25" t="str">
        <f>VLOOKUP(tabCustoUnit[[#This Row],[Código do Posto]],tabParametros[],MATCH(tabCustoUnit[[#Headers],[Nº DE PEDIDO DA CCT]],tabParametros[#Headers],0),0)</f>
        <v>-</v>
      </c>
      <c r="CB246" s="25" t="str">
        <f>VLOOKUP(tabCustoUnit[[#This Row],[Código do Posto]],tabParametros[],MATCH(tabCustoUnit[[#Headers],[TERMO ADITIVO ALTERAÇÃO DA CCT]],tabParametros[#Headers],0),0)</f>
        <v>-</v>
      </c>
    </row>
    <row r="247" spans="1:80" x14ac:dyDescent="0.25">
      <c r="A247" s="20" t="s">
        <v>1582</v>
      </c>
      <c r="B247" t="s">
        <v>222</v>
      </c>
      <c r="C247" t="s">
        <v>1244</v>
      </c>
      <c r="D247" t="s">
        <v>222</v>
      </c>
      <c r="E247" s="20" t="s">
        <v>9</v>
      </c>
      <c r="F247" s="20" t="s">
        <v>10</v>
      </c>
      <c r="G247" s="21">
        <v>824.56</v>
      </c>
      <c r="H247" s="21">
        <v>0</v>
      </c>
      <c r="I247" s="21">
        <v>0</v>
      </c>
      <c r="J247" s="21">
        <v>0</v>
      </c>
      <c r="K247" s="21">
        <v>0</v>
      </c>
      <c r="L247" s="21">
        <v>0</v>
      </c>
      <c r="M247" s="21">
        <v>0</v>
      </c>
      <c r="N247" s="21">
        <v>26.985600000000002</v>
      </c>
      <c r="O247" s="21">
        <f>SUM(tabCustoUnit[[#This Row],[Salário Base]:[Adicional de Acúmulo de função]])</f>
        <v>851.54559999999992</v>
      </c>
      <c r="P247" s="21">
        <f>tabCustoUnit[[#This Row],[MODULO 1 - REMUNERAÇÃO ]]*SUMIFS(tabParametros[INSS],tabParametros[Código do Posto],tabCustoUnit[[#This Row],[Código do Posto]])</f>
        <v>170.30912000000001</v>
      </c>
      <c r="Q247" s="21">
        <f>tabCustoUnit[[#This Row],[MODULO 1 - REMUNERAÇÃO ]]*SUMIFS(tabParametros[SESI OU SESC],tabParametros[Código do Posto],tabCustoUnit[[#This Row],[Código do Posto]])</f>
        <v>12.773183999999999</v>
      </c>
      <c r="R247" s="21">
        <f>tabCustoUnit[[#This Row],[MODULO 1 - REMUNERAÇÃO ]]*SUMIFS(tabParametros[SENAI OU SENAC],tabParametros[Código do Posto],tabCustoUnit[[#This Row],[Código do Posto]])</f>
        <v>8.5154559999999986</v>
      </c>
      <c r="S247" s="21">
        <f>tabCustoUnit[[#This Row],[MODULO 1 - REMUNERAÇÃO ]]*SUMIFS(tabParametros[INCRA],tabParametros[Código do Posto],tabCustoUnit[[#This Row],[Código do Posto]])</f>
        <v>1.7030911999999998</v>
      </c>
      <c r="T247" s="21">
        <f>tabCustoUnit[[#This Row],[MODULO 1 - REMUNERAÇÃO ]]*SUMIFS(tabParametros[Salário Educação],tabParametros[Código do Posto],tabCustoUnit[[#This Row],[Código do Posto]])</f>
        <v>21.288640000000001</v>
      </c>
      <c r="U247" s="21">
        <f>tabCustoUnit[[#This Row],[MODULO 1 - REMUNERAÇÃO ]]*SUMIFS(tabParametros[FGTS],tabParametros[Código do Posto],tabCustoUnit[[#This Row],[Código do Posto]])</f>
        <v>68.123647999999989</v>
      </c>
      <c r="V247" s="21">
        <f>tabCustoUnit[[#This Row],[MODULO 1 - REMUNERAÇÃO ]]*SUMIFS(tabParametros[RAT Ajustado],tabParametros[Código do Posto],tabCustoUnit[[#This Row],[Código do Posto]])</f>
        <v>34.061823999999994</v>
      </c>
      <c r="W247" s="21">
        <f>tabCustoUnit[[#This Row],[MODULO 1 - REMUNERAÇÃO ]]*SUMIFS(tabParametros[SEBRAE],tabParametros[Código do Posto],tabCustoUnit[[#This Row],[Código do Posto]])</f>
        <v>5.1092735999999999</v>
      </c>
      <c r="X247" s="21">
        <f>SUM(tabCustoUnit[[#This Row],[INSS]:[SEBRAE]])</f>
        <v>321.8842368</v>
      </c>
      <c r="Y247" s="21">
        <f>tabCustoUnit[[#This Row],[MODULO 1 - REMUNERAÇÃO ]]*SUMIFS(tabParametros[13º salário (titular)],tabParametros[Código do Posto],tabCustoUnit[[#This Row],[Código do Posto]])</f>
        <v>70.962133333333327</v>
      </c>
      <c r="Z247" s="21">
        <f>tabCustoUnit[[#This Row],[MODULO 1 - REMUNERAÇÃO ]]*SUMIFS(tabParametros[Férias e Adicional de Férias (titular)],tabParametros[Código do Posto],tabCustoUnit[[#This Row],[Código do Posto]])</f>
        <v>94.616177777777764</v>
      </c>
      <c r="AA247" s="21">
        <f>IFERROR((tabCustoUnit[[#This Row],[Submódulo 2.1]]/tabCustoUnit[[#This Row],[MODULO 1 - REMUNERAÇÃO ]])*SUM(tabCustoUnit[[#This Row],[13º salário (titular)]:[Férias e Adicional de Férias (titular)]]),0)</f>
        <v>62.588601599999997</v>
      </c>
      <c r="AB247" s="21">
        <f>SUM(tabCustoUnit[[#This Row],[13º salário (titular)]:[Incidência do Submódulo 2.1 sobre 13º Salário, Férias e Adicional de Férias]])</f>
        <v>228.16691271111108</v>
      </c>
      <c r="AC247" s="22">
        <f>_xlfn.LET(_xlpm.VT,SUMIF(tabParametros[Código do Posto],tabCustoUnit[[#This Row],[Código do Posto]],tabParametros[Vale - Transporte])*2*20,
IF((_xlpm.VT-tabCustoUnit[[#This Row],[Salário Base]]*0.06)&gt;=0,(_xlpm.VT-tabCustoUnit[[#This Row],[Salário Base]]*0.06),0)
)</f>
        <v>206.5264</v>
      </c>
      <c r="AD247" s="22">
        <f>IF(SUMIF(tabParametros[Código do Posto],tabCustoUnit[[#This Row],[Código do Posto]],tabParametros[Vale - Alimentação])&lt;=0,0,
SUMIF(tabParametros[Código do Posto],tabCustoUnit[[#This Row],[Código do Posto]],tabParametros[Vale - Alimentação])*20-1)</f>
        <v>0</v>
      </c>
      <c r="AE247" s="22">
        <f>SUMIF(tabParametros[Código do Posto],tabCustoUnit[[#This Row],[Código do Posto]],tabParametros[Cesta Básica])</f>
        <v>387.79</v>
      </c>
      <c r="AF247" s="22">
        <f>SUMIF(tabParametros[Código do Posto],tabCustoUnit[[#This Row],[Código do Posto]],tabParametros[PAF])</f>
        <v>42.97</v>
      </c>
      <c r="AG247" s="22">
        <f>SUMIF(tabParametros[Código do Posto],tabCustoUnit[[#This Row],[Código do Posto]],tabParametros[PQM])</f>
        <v>0</v>
      </c>
      <c r="AH247" s="22">
        <f>SUMIF(tabParametros[Código do Posto],tabCustoUnit[[#This Row],[Código do Posto]],tabParametros[PAT])</f>
        <v>0</v>
      </c>
      <c r="AI247" s="22">
        <f>SUMIF(tabParametros[Código do Posto],tabCustoUnit[[#This Row],[Código do Posto]],tabParametros[Seguro de Vida])</f>
        <v>3.36</v>
      </c>
      <c r="AJ247" s="22">
        <f>SUMIF(tabParametros[Código do Posto],tabCustoUnit[[#This Row],[Código do Posto]],tabParametros[Despesas de Viagem])</f>
        <v>0</v>
      </c>
      <c r="AK247" s="22">
        <f>SUM(tabCustoUnit[[#This Row],[Vale - Transporte (Descontada parcela do empregado)]:[Despesas de Viagem]])</f>
        <v>640.64640000000009</v>
      </c>
      <c r="AL247" s="22">
        <f>tabCustoUnit[[#This Row],[Submódulo 2.1]]+tabCustoUnit[[#This Row],[Submódulo 2.2]]+tabCustoUnit[[#This Row],[Submódulo 2.3]]</f>
        <v>1190.6975495111112</v>
      </c>
      <c r="AM247" s="22">
        <f>SUMIF(tabParametros[Código do Posto],tabCustoUnit[[#This Row],[Código do Posto]],tabParametros[Aviso Prévio Indenizado (API) e Reflexo do Aviso Prévio Indenizado])*tabCustoUnit[[#This Row],[MODULO 1 - REMUNERAÇÃO ]]</f>
        <v>5.970839316049382</v>
      </c>
      <c r="AN247" s="22">
        <f>SUMIF(tabParametros[Código do Posto],tabCustoUnit[[#This Row],[Código do Posto]],tabParametros[Incidência do FGTS sobre API e Reflexo do API])*tabCustoUnit[[#This Row],[MODULO 1 - REMUNERAÇÃO ]]</f>
        <v>0.4776671452839506</v>
      </c>
      <c r="AO247" s="22">
        <f>SUMIF(tabParametros[Código do Posto],tabCustoUnit[[#This Row],[Código do Posto]],tabParametros[Multa Rescisória do FGTS sobre o Aviso Prévio Indenizado])*tabCustoUnit[[#This Row],[MODULO 1 - REMUNERAÇÃO ]]</f>
        <v>0.19106685811358026</v>
      </c>
      <c r="AP247" s="22">
        <f>SUMIF(tabParametros[Código do Posto],tabCustoUnit[[#This Row],[Código do Posto]],tabParametros[Aviso Prévio Trabalhado - APT])*tabCustoUnit[[#This Row],[MODULO 1 - REMUNERAÇÃO ]]</f>
        <v>2.9804096000000002</v>
      </c>
      <c r="AQ247" s="22">
        <f>SUMIF(tabParametros[Código do Posto],tabCustoUnit[[#This Row],[Código do Posto]],tabParametros[Incidência dos encargos do submódulo 2.1 sobre Aviso Prévio Trabalhado])*tabCustoUnit[[#This Row],[MODULO 1 - REMUNERAÇÃO ]]</f>
        <v>1.1265948288000003</v>
      </c>
      <c r="AR247" s="22">
        <f>SUMIF(tabParametros[Código do Posto],tabCustoUnit[[#This Row],[Código do Posto]],tabParametros[Multa Rescisória do FGTS])*tabCustoUnit[[#This Row],[MODULO 1 - REMUNERAÇÃO ]]</f>
        <v>26.038372124444439</v>
      </c>
      <c r="AS247" s="22">
        <f>SUMIF(tabParametros[Código do Posto],tabCustoUnit[[#This Row],[Código do Posto]],tabParametros[Indenização Adicional (Art. 9º da Lei nº 7.238/84)])*tabCustoUnit[[#This Row],[MODULO 1 - REMUNERAÇÃO ]]</f>
        <v>0.70962133333333333</v>
      </c>
      <c r="AT247" s="22">
        <f>SUM(tabCustoUnit[[#This Row],[Aviso Prévio Indenizado (API) e Reflexo do Aviso Prévio Indenizado]:[Indenização Adicional (Art. 9º da Lei nº 7.238/84)]])</f>
        <v>37.494571206024688</v>
      </c>
      <c r="AU247" s="22">
        <f>SUMIF(tabParametros[Código do Posto],tabCustoUnit[[#This Row],[Código do Posto]],tabParametros[Ausência por Doença])*tabCustoUnit[[#This Row],[MODULO 1 - REMUNERAÇÃO ]]</f>
        <v>7.1908295111111098</v>
      </c>
      <c r="AV247" s="22">
        <f>SUMIF(tabParametros[Código do Posto],tabCustoUnit[[#This Row],[Código do Posto]],tabParametros[Ausências Legais])*tabCustoUnit[[#This Row],[MODULO 1 - REMUNERAÇÃO ]]</f>
        <v>1.7267452444444442</v>
      </c>
      <c r="AW247" s="22">
        <f>SUMIF(tabParametros[Código do Posto],tabCustoUnit[[#This Row],[Código do Posto]],tabParametros[Licença Paternidade])*tabCustoUnit[[#This Row],[MODULO 1 - REMUNERAÇÃO ]]</f>
        <v>0.14547237333333332</v>
      </c>
      <c r="AX247" s="22">
        <f>SUMIF(tabParametros[Código do Posto],tabCustoUnit[[#This Row],[Código do Posto]],tabParametros[Ausência por Acidente de Trabalho])*tabCustoUnit[[#This Row],[MODULO 1 - REMUNERAÇÃO ]]</f>
        <v>0.17740533333333333</v>
      </c>
      <c r="AY247" s="22">
        <f>SUMIF(tabParametros[Código do Posto],tabCustoUnit[[#This Row],[Código do Posto]],tabParametros[Férias, Adicional de Férias e 13º  com empregada em gozo de Licença Maternidade])*tabCustoUnit[[#This Row],[MODULO 1 - REMUNERAÇÃO ]]</f>
        <v>1.1038554074074072</v>
      </c>
      <c r="AZ247" s="22">
        <f>SUMIF(tabParametros[Código do Posto],tabCustoUnit[[#This Row],[Código do Posto]],tabParametros[Incidência do Submódulo 2.1 sobre Ausências Legais])*tabCustoUnit[[#This Row],[MODULO 1 - REMUNERAÇÃO ]]</f>
        <v>3.9101483747200003</v>
      </c>
      <c r="BA247" s="22">
        <f>SUM(tabCustoUnit[[#This Row],[Ausência por Doença]:[Incidência do Submódulo 2.1 sobre Ausências Legais]])</f>
        <v>14.254456244349628</v>
      </c>
      <c r="BB247" s="22">
        <f>SUMIF(tabParametros[Código do Posto],tabCustoUnit[[#This Row],[Código do Posto]],tabParametros[Intervalo para Repouso ou Alimentação])</f>
        <v>0</v>
      </c>
      <c r="BC247" s="22">
        <f>tabCustoUnit[[#This Row],[Intervalo para Repouso ou Alimentação]]</f>
        <v>0</v>
      </c>
      <c r="BD247" s="22">
        <f>IF(VLOOKUP(tabCustoUnit[[#This Row],[Código do Posto]],PARAMETROS!$A$4:$BJ$255,7,0)&lt;=0,0,
IFERROR((tabCustoUnit[[#This Row],[MODULO 1 - REMUNERAÇÃO ]]*VLOOKUP(tabCustoUnit[[#This Row],[Código do Posto]],PARAMETROS!$A$4:$BJ$255,49,0))/(VLOOKUP(tabCustoUnit[[#This Row],[Código do Posto]],PARAMETROS!$A$4:$BJ$255,7,0)*VLOOKUP(tabCustoUnit[[#This Row],[Código do Posto]],PARAMETROS!$A$4:$BJ$255,8,0)),0)
)</f>
        <v>0</v>
      </c>
      <c r="BE247" s="22">
        <f>tabCustoUnit[[#This Row],[Suspensão Temporária do Contrato de Trabalho]]</f>
        <v>0</v>
      </c>
      <c r="BF247" s="22">
        <f>tabCustoUnit[[#This Row],[Submódulo 4.1]]+tabCustoUnit[[#This Row],[Submódulo 4.2]]+tabCustoUnit[[#This Row],[Submódulo 4.3]]</f>
        <v>14.254456244349628</v>
      </c>
      <c r="BG247" s="22">
        <f>VLOOKUP(tabCustoUnit[[#This Row],[Código do Posto]],tabParametros[],MATCH(tabCustoUnit[[#Headers],[Uniformes e EPIs]],tabParametros[#Headers],0),0)</f>
        <v>62.806666666666665</v>
      </c>
      <c r="BH247" s="22">
        <f>VLOOKUP(tabCustoUnit[[#This Row],[Código do Posto]],tabParametros[],MATCH(tabCustoUnit[[#Headers],[Materiais de Consumo]],tabParametros[#Headers],0),0)</f>
        <v>17.759106479291944</v>
      </c>
      <c r="BI247" s="22">
        <f>VLOOKUP(tabCustoUnit[[#This Row],[Código do Posto]],tabParametros[],MATCH(tabCustoUnit[[#Headers],[Máquinas e Equipamentos (depreciação)]],tabParametros[#Headers],0),0)</f>
        <v>32.264696957412788</v>
      </c>
      <c r="BJ247" s="22">
        <f>VLOOKUP(tabCustoUnit[[#This Row],[Código do Posto]],tabParametros[],MATCH(tabCustoUnit[[#Headers],[Produtos de Limpeza e Materiais de Higiene Pessoal]],tabParametros[#Headers],0),0)</f>
        <v>345.13576638965827</v>
      </c>
      <c r="BK247" s="22">
        <f>VLOOKUP(tabCustoUnit[[#This Row],[Código do Posto]],tabParametros[],MATCH(tabCustoUnit[[#Headers],[Outros (especificar)]],tabParametros[#Headers],0),0)</f>
        <v>0</v>
      </c>
      <c r="BL247" s="22">
        <f>SUM(tabCustoUnit[[#This Row],[Uniformes e EPIs]:[Outros (especificar)]])</f>
        <v>457.96623649302967</v>
      </c>
      <c r="BM247" s="22">
        <f>tabCustoUnit[[#This Row],[MODULO 1 - REMUNERAÇÃO ]]+tabCustoUnit[[#This Row],[MÓDULO 2 - Total Encargos e Benefícios mensais e diários]]+tabCustoUnit[[#This Row],[MÓDULO 3 – PROVISÃO PARA RESCISÃO]]+tabCustoUnit[[#This Row],[MÓDULO 4 – CUSTO DE REPOSIÇÃO DO PROFISSIONAL AUSENTE]]+tabCustoUnit[[#This Row],[MÓDULO 5 – INSUMOS DIVERSOS]]</f>
        <v>2551.9584134545148</v>
      </c>
      <c r="BN247" s="22">
        <f>VLOOKUP(tabCustoUnit[[#This Row],[Código do Posto]],tabParametros[],MATCH(tabCustoUnit[[#Headers],[Custos Indiretos]],tabParametros[#Headers],0),0)</f>
        <v>189.64880140242613</v>
      </c>
      <c r="BO247" s="22">
        <f>VLOOKUP(tabCustoUnit[[#This Row],[Código do Posto]],tabParametros[],MATCH(tabCustoUnit[[#Headers],[Lucro]],tabParametros[#Headers],0),0)</f>
        <v>159.30499317803796</v>
      </c>
      <c r="BP247" s="26">
        <f>((100/((1-tabCustoUnit[[#This Row],[Resumo de Alíquotas (PIS+CONFINS+ISS)]]))-100)*VLOOKUP(tabCustoUnit[[#This Row],[Código do Posto]],tabParametros[],MATCH(tabCustoUnit[[#Headers],[COFINS]],tabParametros[#Headers],0),0))/(tabCustoUnit[[#This Row],[Resumo de Alíquotas (PIS+CONFINS+ISS)]]*100)</f>
        <v>8.6609686609686695E-2</v>
      </c>
      <c r="BQ247" s="26">
        <f>((100/((100-(tabCustoUnit[[#This Row],[Resumo de Alíquotas (PIS+CONFINS+ISS)]]*100))%)-100)*VLOOKUP(tabCustoUnit[[#This Row],[Código do Posto]],tabParametros[],MATCH(tabCustoUnit[[#Headers],[PIS]],tabParametros[#Headers],0),0))/(tabCustoUnit[[#This Row],[Resumo de Alíquotas (PIS+CONFINS+ISS)]]*100)</f>
        <v>1.880341880341882E-2</v>
      </c>
      <c r="BR247" s="28">
        <f>VLOOKUP(tabCustoUnit[[#This Row],[Código do Posto]],tabParametros[],MATCH(tabCustoUnit[[#Headers],[ISS]],tabParametros[#Headers],0),0)</f>
        <v>0.03</v>
      </c>
      <c r="BS247" s="26">
        <f>(((100/((100-(tabCustoUnit[[#This Row],[Resumo de Alíquotas (PIS+CONFINS+ISS)]]*100))%)-100)*tabCustoUnit[[#This Row],[ISS]])/tabCustoUnit[[#This Row],[Resumo de Alíquotas (PIS+CONFINS+ISS)]])/100</f>
        <v>3.4188034188034219E-2</v>
      </c>
      <c r="BT247" s="26">
        <f>(VLOOKUP(tabCustoUnit[[#This Row],[Código do Posto]],tabParametros[],MATCH(tabCustoUnit[[#Headers],[COFINS]],tabParametros[#Headers],0),0)+
VLOOKUP(tabCustoUnit[[#This Row],[Código do Posto]],tabParametros[],MATCH(tabCustoUnit[[#Headers],[PIS]],tabParametros[#Headers],0),0)+
VLOOKUP(tabCustoUnit[[#This Row],[Código do Posto]],tabParametros[],MATCH(tabCustoUnit[[#Headers],[ISS]],tabParametros[#Headers],0),0))</f>
        <v>0.1225</v>
      </c>
      <c r="BU247" s="138">
        <f>tabCustoUnit[[#This Row],[COFINS]]+tabCustoUnit[[#This Row],[PIS]]+tabCustoUnit[[#This Row],[ISS (Conversão Alíquota s/ fatura)]]</f>
        <v>0.13960113960113973</v>
      </c>
      <c r="BV247" s="22">
        <f>(tabCustoUnit[[#This Row],[TOTAL MÓDULOS 1+2+3+4+5]]+tabCustoUnit[[#This Row],[Custos Indiretos]]+tabCustoUnit[[#This Row],[Lucro]])*tabCustoUnit[[#This Row],[PIS + COFINS + ISS (Total Conversão  Alíquota s/ Fatura)]]</f>
        <v>404.97065012454158</v>
      </c>
      <c r="BW247" s="22">
        <f>tabCustoUnit[[#This Row],[Custos Indiretos]]+tabCustoUnit[[#This Row],[Lucro]]+tabCustoUnit[[#This Row],[Valor dos Tributos (ISS, PIS, CONFINS)]]</f>
        <v>753.92444470500573</v>
      </c>
      <c r="BX247" s="22">
        <f>tabCustoUnit[[#This Row],[TOTAL MÓDULOS 1+2+3+4+5]]+tabCustoUnit[[#This Row],[MÓDULO 6 – CUSTOS INDIRETOS, TRIBUTOS E LUCRO]]</f>
        <v>3305.8828581595208</v>
      </c>
      <c r="BY247" s="22">
        <f>tabCustoUnit[[#This Row],[CUSTO TOTAL MENSAL]]*12</f>
        <v>39670.594297914249</v>
      </c>
      <c r="BZ247" s="24">
        <f>VLOOKUP(tabCustoUnit[[#This Row],[Código do Posto]],tabParametros[],MATCH(tabCustoUnit[[#Headers],[ANO DA CCT]],tabParametros[#Headers],0),0)</f>
        <v>45658</v>
      </c>
      <c r="CA247" s="25" t="str">
        <f>VLOOKUP(tabCustoUnit[[#This Row],[Código do Posto]],tabParametros[],MATCH(tabCustoUnit[[#Headers],[Nº DE PEDIDO DA CCT]],tabParametros[#Headers],0),0)</f>
        <v>-</v>
      </c>
      <c r="CB247" s="25" t="str">
        <f>VLOOKUP(tabCustoUnit[[#This Row],[Código do Posto]],tabParametros[],MATCH(tabCustoUnit[[#Headers],[TERMO ADITIVO ALTERAÇÃO DA CCT]],tabParametros[#Headers],0),0)</f>
        <v>-</v>
      </c>
    </row>
    <row r="248" spans="1:80" x14ac:dyDescent="0.25">
      <c r="A248" s="20" t="s">
        <v>1583</v>
      </c>
      <c r="B248" t="s">
        <v>222</v>
      </c>
      <c r="C248" t="s">
        <v>1245</v>
      </c>
      <c r="D248" t="s">
        <v>222</v>
      </c>
      <c r="E248" s="20" t="s">
        <v>9</v>
      </c>
      <c r="F248" s="20" t="s">
        <v>10</v>
      </c>
      <c r="G248" s="21">
        <v>1649.12</v>
      </c>
      <c r="H248" s="21">
        <v>0</v>
      </c>
      <c r="I248" s="21">
        <v>0</v>
      </c>
      <c r="J248" s="21">
        <v>0</v>
      </c>
      <c r="K248" s="21">
        <v>0</v>
      </c>
      <c r="L248" s="21">
        <v>0</v>
      </c>
      <c r="M248" s="21">
        <v>0</v>
      </c>
      <c r="N248" s="21">
        <v>53.971200000000003</v>
      </c>
      <c r="O248" s="21">
        <f>SUM(tabCustoUnit[[#This Row],[Salário Base]:[Adicional de Acúmulo de função]])</f>
        <v>1703.0911999999998</v>
      </c>
      <c r="P248" s="21">
        <f>tabCustoUnit[[#This Row],[MODULO 1 - REMUNERAÇÃO ]]*SUMIFS(tabParametros[INSS],tabParametros[Código do Posto],tabCustoUnit[[#This Row],[Código do Posto]])</f>
        <v>340.61824000000001</v>
      </c>
      <c r="Q248" s="21">
        <f>tabCustoUnit[[#This Row],[MODULO 1 - REMUNERAÇÃO ]]*SUMIFS(tabParametros[SESI OU SESC],tabParametros[Código do Posto],tabCustoUnit[[#This Row],[Código do Posto]])</f>
        <v>25.546367999999998</v>
      </c>
      <c r="R248" s="21">
        <f>tabCustoUnit[[#This Row],[MODULO 1 - REMUNERAÇÃO ]]*SUMIFS(tabParametros[SENAI OU SENAC],tabParametros[Código do Posto],tabCustoUnit[[#This Row],[Código do Posto]])</f>
        <v>17.030911999999997</v>
      </c>
      <c r="S248" s="21">
        <f>tabCustoUnit[[#This Row],[MODULO 1 - REMUNERAÇÃO ]]*SUMIFS(tabParametros[INCRA],tabParametros[Código do Posto],tabCustoUnit[[#This Row],[Código do Posto]])</f>
        <v>3.4061823999999996</v>
      </c>
      <c r="T248" s="21">
        <f>tabCustoUnit[[#This Row],[MODULO 1 - REMUNERAÇÃO ]]*SUMIFS(tabParametros[Salário Educação],tabParametros[Código do Posto],tabCustoUnit[[#This Row],[Código do Posto]])</f>
        <v>42.577280000000002</v>
      </c>
      <c r="U248" s="21">
        <f>tabCustoUnit[[#This Row],[MODULO 1 - REMUNERAÇÃO ]]*SUMIFS(tabParametros[FGTS],tabParametros[Código do Posto],tabCustoUnit[[#This Row],[Código do Posto]])</f>
        <v>136.24729599999998</v>
      </c>
      <c r="V248" s="21">
        <f>tabCustoUnit[[#This Row],[MODULO 1 - REMUNERAÇÃO ]]*SUMIFS(tabParametros[RAT Ajustado],tabParametros[Código do Posto],tabCustoUnit[[#This Row],[Código do Posto]])</f>
        <v>68.123647999999989</v>
      </c>
      <c r="W248" s="21">
        <f>tabCustoUnit[[#This Row],[MODULO 1 - REMUNERAÇÃO ]]*SUMIFS(tabParametros[SEBRAE],tabParametros[Código do Posto],tabCustoUnit[[#This Row],[Código do Posto]])</f>
        <v>10.2185472</v>
      </c>
      <c r="X248" s="21">
        <f>SUM(tabCustoUnit[[#This Row],[INSS]:[SEBRAE]])</f>
        <v>643.76847359999999</v>
      </c>
      <c r="Y248" s="21">
        <f>tabCustoUnit[[#This Row],[MODULO 1 - REMUNERAÇÃO ]]*SUMIFS(tabParametros[13º salário (titular)],tabParametros[Código do Posto],tabCustoUnit[[#This Row],[Código do Posto]])</f>
        <v>141.92426666666665</v>
      </c>
      <c r="Z248" s="21">
        <f>tabCustoUnit[[#This Row],[MODULO 1 - REMUNERAÇÃO ]]*SUMIFS(tabParametros[Férias e Adicional de Férias (titular)],tabParametros[Código do Posto],tabCustoUnit[[#This Row],[Código do Posto]])</f>
        <v>189.23235555555553</v>
      </c>
      <c r="AA248" s="21">
        <f>IFERROR((tabCustoUnit[[#This Row],[Submódulo 2.1]]/tabCustoUnit[[#This Row],[MODULO 1 - REMUNERAÇÃO ]])*SUM(tabCustoUnit[[#This Row],[13º salário (titular)]:[Férias e Adicional de Férias (titular)]]),0)</f>
        <v>125.17720319999999</v>
      </c>
      <c r="AB248" s="21">
        <f>SUM(tabCustoUnit[[#This Row],[13º salário (titular)]:[Incidência do Submódulo 2.1 sobre 13º Salário, Férias e Adicional de Férias]])</f>
        <v>456.33382542222216</v>
      </c>
      <c r="AC248" s="22">
        <f>_xlfn.LET(_xlpm.VT,SUMIF(tabParametros[Código do Posto],tabCustoUnit[[#This Row],[Código do Posto]],tabParametros[Vale - Transporte])*2*20,
IF((_xlpm.VT-tabCustoUnit[[#This Row],[Salário Base]]*0.06)&gt;=0,(_xlpm.VT-tabCustoUnit[[#This Row],[Salário Base]]*0.06),0)
)</f>
        <v>157.05279999999999</v>
      </c>
      <c r="AD248" s="22">
        <f>IF(SUMIF(tabParametros[Código do Posto],tabCustoUnit[[#This Row],[Código do Posto]],tabParametros[Vale - Alimentação])&lt;=0,0,
SUMIF(tabParametros[Código do Posto],tabCustoUnit[[#This Row],[Código do Posto]],tabParametros[Vale - Alimentação])*20-1)</f>
        <v>0</v>
      </c>
      <c r="AE248" s="22">
        <f>SUMIF(tabParametros[Código do Posto],tabCustoUnit[[#This Row],[Código do Posto]],tabParametros[Cesta Básica])</f>
        <v>387.79</v>
      </c>
      <c r="AF248" s="22">
        <f>SUMIF(tabParametros[Código do Posto],tabCustoUnit[[#This Row],[Código do Posto]],tabParametros[PAF])</f>
        <v>42.97</v>
      </c>
      <c r="AG248" s="22">
        <f>SUMIF(tabParametros[Código do Posto],tabCustoUnit[[#This Row],[Código do Posto]],tabParametros[PQM])</f>
        <v>0</v>
      </c>
      <c r="AH248" s="22">
        <f>SUMIF(tabParametros[Código do Posto],tabCustoUnit[[#This Row],[Código do Posto]],tabParametros[PAT])</f>
        <v>0</v>
      </c>
      <c r="AI248" s="22">
        <f>SUMIF(tabParametros[Código do Posto],tabCustoUnit[[#This Row],[Código do Posto]],tabParametros[Seguro de Vida])</f>
        <v>3.36</v>
      </c>
      <c r="AJ248" s="22">
        <f>SUMIF(tabParametros[Código do Posto],tabCustoUnit[[#This Row],[Código do Posto]],tabParametros[Despesas de Viagem])</f>
        <v>0</v>
      </c>
      <c r="AK248" s="22">
        <f>SUM(tabCustoUnit[[#This Row],[Vale - Transporte (Descontada parcela do empregado)]:[Despesas de Viagem]])</f>
        <v>591.17280000000005</v>
      </c>
      <c r="AL248" s="22">
        <f>tabCustoUnit[[#This Row],[Submódulo 2.1]]+tabCustoUnit[[#This Row],[Submódulo 2.2]]+tabCustoUnit[[#This Row],[Submódulo 2.3]]</f>
        <v>1691.2750990222223</v>
      </c>
      <c r="AM248" s="22">
        <f>SUMIF(tabParametros[Código do Posto],tabCustoUnit[[#This Row],[Código do Posto]],tabParametros[Aviso Prévio Indenizado (API) e Reflexo do Aviso Prévio Indenizado])*tabCustoUnit[[#This Row],[MODULO 1 - REMUNERAÇÃO ]]</f>
        <v>11.941678632098764</v>
      </c>
      <c r="AN248" s="22">
        <f>SUMIF(tabParametros[Código do Posto],tabCustoUnit[[#This Row],[Código do Posto]],tabParametros[Incidência do FGTS sobre API e Reflexo do API])*tabCustoUnit[[#This Row],[MODULO 1 - REMUNERAÇÃO ]]</f>
        <v>0.9553342905679012</v>
      </c>
      <c r="AO248" s="22">
        <f>SUMIF(tabParametros[Código do Posto],tabCustoUnit[[#This Row],[Código do Posto]],tabParametros[Multa Rescisória do FGTS sobre o Aviso Prévio Indenizado])*tabCustoUnit[[#This Row],[MODULO 1 - REMUNERAÇÃO ]]</f>
        <v>0.38213371622716052</v>
      </c>
      <c r="AP248" s="22">
        <f>SUMIF(tabParametros[Código do Posto],tabCustoUnit[[#This Row],[Código do Posto]],tabParametros[Aviso Prévio Trabalhado - APT])*tabCustoUnit[[#This Row],[MODULO 1 - REMUNERAÇÃO ]]</f>
        <v>5.9608192000000004</v>
      </c>
      <c r="AQ248" s="22">
        <f>SUMIF(tabParametros[Código do Posto],tabCustoUnit[[#This Row],[Código do Posto]],tabParametros[Incidência dos encargos do submódulo 2.1 sobre Aviso Prévio Trabalhado])*tabCustoUnit[[#This Row],[MODULO 1 - REMUNERAÇÃO ]]</f>
        <v>2.2531896576000006</v>
      </c>
      <c r="AR248" s="22">
        <f>SUMIF(tabParametros[Código do Posto],tabCustoUnit[[#This Row],[Código do Posto]],tabParametros[Multa Rescisória do FGTS])*tabCustoUnit[[#This Row],[MODULO 1 - REMUNERAÇÃO ]]</f>
        <v>52.076744248888879</v>
      </c>
      <c r="AS248" s="22">
        <f>SUMIF(tabParametros[Código do Posto],tabCustoUnit[[#This Row],[Código do Posto]],tabParametros[Indenização Adicional (Art. 9º da Lei nº 7.238/84)])*tabCustoUnit[[#This Row],[MODULO 1 - REMUNERAÇÃO ]]</f>
        <v>1.4192426666666667</v>
      </c>
      <c r="AT248" s="22">
        <f>SUM(tabCustoUnit[[#This Row],[Aviso Prévio Indenizado (API) e Reflexo do Aviso Prévio Indenizado]:[Indenização Adicional (Art. 9º da Lei nº 7.238/84)]])</f>
        <v>74.989142412049375</v>
      </c>
      <c r="AU248" s="22">
        <f>SUMIF(tabParametros[Código do Posto],tabCustoUnit[[#This Row],[Código do Posto]],tabParametros[Ausência por Doença])*tabCustoUnit[[#This Row],[MODULO 1 - REMUNERAÇÃO ]]</f>
        <v>14.38165902222222</v>
      </c>
      <c r="AV248" s="22">
        <f>SUMIF(tabParametros[Código do Posto],tabCustoUnit[[#This Row],[Código do Posto]],tabParametros[Ausências Legais])*tabCustoUnit[[#This Row],[MODULO 1 - REMUNERAÇÃO ]]</f>
        <v>3.4534904888888884</v>
      </c>
      <c r="AW248" s="22">
        <f>SUMIF(tabParametros[Código do Posto],tabCustoUnit[[#This Row],[Código do Posto]],tabParametros[Licença Paternidade])*tabCustoUnit[[#This Row],[MODULO 1 - REMUNERAÇÃO ]]</f>
        <v>0.29094474666666664</v>
      </c>
      <c r="AX248" s="22">
        <f>SUMIF(tabParametros[Código do Posto],tabCustoUnit[[#This Row],[Código do Posto]],tabParametros[Ausência por Acidente de Trabalho])*tabCustoUnit[[#This Row],[MODULO 1 - REMUNERAÇÃO ]]</f>
        <v>0.35481066666666666</v>
      </c>
      <c r="AY248" s="22">
        <f>SUMIF(tabParametros[Código do Posto],tabCustoUnit[[#This Row],[Código do Posto]],tabParametros[Férias, Adicional de Férias e 13º  com empregada em gozo de Licença Maternidade])*tabCustoUnit[[#This Row],[MODULO 1 - REMUNERAÇÃO ]]</f>
        <v>2.2077108148148143</v>
      </c>
      <c r="AZ248" s="22">
        <f>SUMIF(tabParametros[Código do Posto],tabCustoUnit[[#This Row],[Código do Posto]],tabParametros[Incidência do Submódulo 2.1 sobre Ausências Legais])*tabCustoUnit[[#This Row],[MODULO 1 - REMUNERAÇÃO ]]</f>
        <v>7.8202967494400006</v>
      </c>
      <c r="BA248" s="22">
        <f>SUM(tabCustoUnit[[#This Row],[Ausência por Doença]:[Incidência do Submódulo 2.1 sobre Ausências Legais]])</f>
        <v>28.508912488699256</v>
      </c>
      <c r="BB248" s="22">
        <f>SUMIF(tabParametros[Código do Posto],tabCustoUnit[[#This Row],[Código do Posto]],tabParametros[Intervalo para Repouso ou Alimentação])</f>
        <v>0</v>
      </c>
      <c r="BC248" s="22">
        <f>tabCustoUnit[[#This Row],[Intervalo para Repouso ou Alimentação]]</f>
        <v>0</v>
      </c>
      <c r="BD248" s="22">
        <f>IF(VLOOKUP(tabCustoUnit[[#This Row],[Código do Posto]],PARAMETROS!$A$4:$BJ$255,7,0)&lt;=0,0,
IFERROR((tabCustoUnit[[#This Row],[MODULO 1 - REMUNERAÇÃO ]]*VLOOKUP(tabCustoUnit[[#This Row],[Código do Posto]],PARAMETROS!$A$4:$BJ$255,49,0))/(VLOOKUP(tabCustoUnit[[#This Row],[Código do Posto]],PARAMETROS!$A$4:$BJ$255,7,0)*VLOOKUP(tabCustoUnit[[#This Row],[Código do Posto]],PARAMETROS!$A$4:$BJ$255,8,0)),0)
)</f>
        <v>0</v>
      </c>
      <c r="BE248" s="22">
        <f>tabCustoUnit[[#This Row],[Suspensão Temporária do Contrato de Trabalho]]</f>
        <v>0</v>
      </c>
      <c r="BF248" s="22">
        <f>tabCustoUnit[[#This Row],[Submódulo 4.1]]+tabCustoUnit[[#This Row],[Submódulo 4.2]]+tabCustoUnit[[#This Row],[Submódulo 4.3]]</f>
        <v>28.508912488699256</v>
      </c>
      <c r="BG248" s="22">
        <f>VLOOKUP(tabCustoUnit[[#This Row],[Código do Posto]],tabParametros[],MATCH(tabCustoUnit[[#Headers],[Uniformes e EPIs]],tabParametros[#Headers],0),0)</f>
        <v>100.80916666666666</v>
      </c>
      <c r="BH248" s="22">
        <f>VLOOKUP(tabCustoUnit[[#This Row],[Código do Posto]],tabParametros[],MATCH(tabCustoUnit[[#Headers],[Materiais de Consumo]],tabParametros[#Headers],0),0)</f>
        <v>35.518212958583888</v>
      </c>
      <c r="BI248" s="22">
        <f>VLOOKUP(tabCustoUnit[[#This Row],[Código do Posto]],tabParametros[],MATCH(tabCustoUnit[[#Headers],[Máquinas e Equipamentos (depreciação)]],tabParametros[#Headers],0),0)</f>
        <v>64.529393914825576</v>
      </c>
      <c r="BJ248" s="22">
        <f>VLOOKUP(tabCustoUnit[[#This Row],[Código do Posto]],tabParametros[],MATCH(tabCustoUnit[[#Headers],[Produtos de Limpeza e Materiais de Higiene Pessoal]],tabParametros[#Headers],0),0)</f>
        <v>690.27153277931654</v>
      </c>
      <c r="BK248" s="22">
        <f>VLOOKUP(tabCustoUnit[[#This Row],[Código do Posto]],tabParametros[],MATCH(tabCustoUnit[[#Headers],[Outros (especificar)]],tabParametros[#Headers],0),0)</f>
        <v>0</v>
      </c>
      <c r="BL248" s="22">
        <f>SUM(tabCustoUnit[[#This Row],[Uniformes e EPIs]:[Outros (especificar)]])</f>
        <v>891.12830631939266</v>
      </c>
      <c r="BM248" s="22">
        <f>tabCustoUnit[[#This Row],[MODULO 1 - REMUNERAÇÃO ]]+tabCustoUnit[[#This Row],[MÓDULO 2 - Total Encargos e Benefícios mensais e diários]]+tabCustoUnit[[#This Row],[MÓDULO 3 – PROVISÃO PARA RESCISÃO]]+tabCustoUnit[[#This Row],[MÓDULO 4 – CUSTO DE REPOSIÇÃO DO PROFISSIONAL AUSENTE]]+tabCustoUnit[[#This Row],[MÓDULO 5 – INSUMOS DIVERSOS]]</f>
        <v>4388.9926602423629</v>
      </c>
      <c r="BN248" s="22">
        <f>VLOOKUP(tabCustoUnit[[#This Row],[Código do Posto]],tabParametros[],MATCH(tabCustoUnit[[#Headers],[Custos Indiretos]],tabParametros[#Headers],0),0)</f>
        <v>189.64880140242613</v>
      </c>
      <c r="BO248" s="22">
        <f>VLOOKUP(tabCustoUnit[[#This Row],[Código do Posto]],tabParametros[],MATCH(tabCustoUnit[[#Headers],[Lucro]],tabParametros[#Headers],0),0)</f>
        <v>159.30499317803796</v>
      </c>
      <c r="BP248" s="26">
        <f>((100/((1-tabCustoUnit[[#This Row],[Resumo de Alíquotas (PIS+CONFINS+ISS)]]))-100)*VLOOKUP(tabCustoUnit[[#This Row],[Código do Posto]],tabParametros[],MATCH(tabCustoUnit[[#Headers],[COFINS]],tabParametros[#Headers],0),0))/(tabCustoUnit[[#This Row],[Resumo de Alíquotas (PIS+CONFINS+ISS)]]*100)</f>
        <v>8.6609686609686695E-2</v>
      </c>
      <c r="BQ248" s="26">
        <f>((100/((100-(tabCustoUnit[[#This Row],[Resumo de Alíquotas (PIS+CONFINS+ISS)]]*100))%)-100)*VLOOKUP(tabCustoUnit[[#This Row],[Código do Posto]],tabParametros[],MATCH(tabCustoUnit[[#Headers],[PIS]],tabParametros[#Headers],0),0))/(tabCustoUnit[[#This Row],[Resumo de Alíquotas (PIS+CONFINS+ISS)]]*100)</f>
        <v>1.880341880341882E-2</v>
      </c>
      <c r="BR248" s="28">
        <f>VLOOKUP(tabCustoUnit[[#This Row],[Código do Posto]],tabParametros[],MATCH(tabCustoUnit[[#Headers],[ISS]],tabParametros[#Headers],0),0)</f>
        <v>0.03</v>
      </c>
      <c r="BS248" s="26">
        <f>(((100/((100-(tabCustoUnit[[#This Row],[Resumo de Alíquotas (PIS+CONFINS+ISS)]]*100))%)-100)*tabCustoUnit[[#This Row],[ISS]])/tabCustoUnit[[#This Row],[Resumo de Alíquotas (PIS+CONFINS+ISS)]])/100</f>
        <v>3.4188034188034219E-2</v>
      </c>
      <c r="BT248" s="26">
        <f>(VLOOKUP(tabCustoUnit[[#This Row],[Código do Posto]],tabParametros[],MATCH(tabCustoUnit[[#Headers],[COFINS]],tabParametros[#Headers],0),0)+
VLOOKUP(tabCustoUnit[[#This Row],[Código do Posto]],tabParametros[],MATCH(tabCustoUnit[[#Headers],[PIS]],tabParametros[#Headers],0),0)+
VLOOKUP(tabCustoUnit[[#This Row],[Código do Posto]],tabParametros[],MATCH(tabCustoUnit[[#Headers],[ISS]],tabParametros[#Headers],0),0))</f>
        <v>0.1225</v>
      </c>
      <c r="BU248" s="138">
        <f>tabCustoUnit[[#This Row],[COFINS]]+tabCustoUnit[[#This Row],[PIS]]+tabCustoUnit[[#This Row],[ISS (Conversão Alíquota s/ fatura)]]</f>
        <v>0.13960113960113973</v>
      </c>
      <c r="BV248" s="22">
        <f>(tabCustoUnit[[#This Row],[TOTAL MÓDULOS 1+2+3+4+5]]+tabCustoUnit[[#This Row],[Custos Indiretos]]+tabCustoUnit[[#This Row],[Lucro]])*tabCustoUnit[[#This Row],[PIS + COFINS + ISS (Total Conversão  Alíquota s/ Fatura)]]</f>
        <v>661.42272446244658</v>
      </c>
      <c r="BW248" s="22">
        <f>tabCustoUnit[[#This Row],[Custos Indiretos]]+tabCustoUnit[[#This Row],[Lucro]]+tabCustoUnit[[#This Row],[Valor dos Tributos (ISS, PIS, CONFINS)]]</f>
        <v>1010.3765190429107</v>
      </c>
      <c r="BX248" s="22">
        <f>tabCustoUnit[[#This Row],[TOTAL MÓDULOS 1+2+3+4+5]]+tabCustoUnit[[#This Row],[MÓDULO 6 – CUSTOS INDIRETOS, TRIBUTOS E LUCRO]]</f>
        <v>5399.3691792852733</v>
      </c>
      <c r="BY248" s="22">
        <f>tabCustoUnit[[#This Row],[CUSTO TOTAL MENSAL]]*12</f>
        <v>64792.430151423279</v>
      </c>
      <c r="BZ248" s="24">
        <f>VLOOKUP(tabCustoUnit[[#This Row],[Código do Posto]],tabParametros[],MATCH(tabCustoUnit[[#Headers],[ANO DA CCT]],tabParametros[#Headers],0),0)</f>
        <v>45658</v>
      </c>
      <c r="CA248" s="25" t="str">
        <f>VLOOKUP(tabCustoUnit[[#This Row],[Código do Posto]],tabParametros[],MATCH(tabCustoUnit[[#Headers],[Nº DE PEDIDO DA CCT]],tabParametros[#Headers],0),0)</f>
        <v>-</v>
      </c>
      <c r="CB248" s="25" t="str">
        <f>VLOOKUP(tabCustoUnit[[#This Row],[Código do Posto]],tabParametros[],MATCH(tabCustoUnit[[#Headers],[TERMO ADITIVO ALTERAÇÃO DA CCT]],tabParametros[#Headers],0),0)</f>
        <v>-</v>
      </c>
    </row>
    <row r="249" spans="1:80" x14ac:dyDescent="0.25">
      <c r="A249" s="20" t="s">
        <v>1584</v>
      </c>
      <c r="B249" t="s">
        <v>223</v>
      </c>
      <c r="C249" t="s">
        <v>1245</v>
      </c>
      <c r="D249" t="s">
        <v>1000</v>
      </c>
      <c r="E249" s="20" t="s">
        <v>9</v>
      </c>
      <c r="F249" s="20" t="s">
        <v>10</v>
      </c>
      <c r="G249" s="21">
        <v>1596.28</v>
      </c>
      <c r="H249" s="21">
        <v>0</v>
      </c>
      <c r="I249" s="21">
        <v>0</v>
      </c>
      <c r="J249" s="21">
        <v>0</v>
      </c>
      <c r="K249" s="21">
        <v>0</v>
      </c>
      <c r="L249" s="21">
        <v>0</v>
      </c>
      <c r="M249" s="21">
        <v>0</v>
      </c>
      <c r="N249" s="21">
        <v>52.241900000000001</v>
      </c>
      <c r="O249" s="21">
        <f>SUM(tabCustoUnit[[#This Row],[Salário Base]:[Adicional de Acúmulo de função]])</f>
        <v>1648.5219</v>
      </c>
      <c r="P249" s="21">
        <f>tabCustoUnit[[#This Row],[MODULO 1 - REMUNERAÇÃO ]]*SUMIFS(tabParametros[INSS],tabParametros[Código do Posto],tabCustoUnit[[#This Row],[Código do Posto]])</f>
        <v>329.70438000000001</v>
      </c>
      <c r="Q249" s="21">
        <f>tabCustoUnit[[#This Row],[MODULO 1 - REMUNERAÇÃO ]]*SUMIFS(tabParametros[SESI OU SESC],tabParametros[Código do Posto],tabCustoUnit[[#This Row],[Código do Posto]])</f>
        <v>24.727828499999998</v>
      </c>
      <c r="R249" s="21">
        <f>tabCustoUnit[[#This Row],[MODULO 1 - REMUNERAÇÃO ]]*SUMIFS(tabParametros[SENAI OU SENAC],tabParametros[Código do Posto],tabCustoUnit[[#This Row],[Código do Posto]])</f>
        <v>16.485219000000001</v>
      </c>
      <c r="S249" s="21">
        <f>tabCustoUnit[[#This Row],[MODULO 1 - REMUNERAÇÃO ]]*SUMIFS(tabParametros[INCRA],tabParametros[Código do Posto],tabCustoUnit[[#This Row],[Código do Posto]])</f>
        <v>3.2970438</v>
      </c>
      <c r="T249" s="21">
        <f>tabCustoUnit[[#This Row],[MODULO 1 - REMUNERAÇÃO ]]*SUMIFS(tabParametros[Salário Educação],tabParametros[Código do Posto],tabCustoUnit[[#This Row],[Código do Posto]])</f>
        <v>41.213047500000002</v>
      </c>
      <c r="U249" s="21">
        <f>tabCustoUnit[[#This Row],[MODULO 1 - REMUNERAÇÃO ]]*SUMIFS(tabParametros[FGTS],tabParametros[Código do Posto],tabCustoUnit[[#This Row],[Código do Posto]])</f>
        <v>131.88175200000001</v>
      </c>
      <c r="V249" s="21">
        <f>tabCustoUnit[[#This Row],[MODULO 1 - REMUNERAÇÃO ]]*SUMIFS(tabParametros[RAT Ajustado],tabParametros[Código do Posto],tabCustoUnit[[#This Row],[Código do Posto]])</f>
        <v>65.940876000000003</v>
      </c>
      <c r="W249" s="21">
        <f>tabCustoUnit[[#This Row],[MODULO 1 - REMUNERAÇÃO ]]*SUMIFS(tabParametros[SEBRAE],tabParametros[Código do Posto],tabCustoUnit[[#This Row],[Código do Posto]])</f>
        <v>9.8911314000000008</v>
      </c>
      <c r="X249" s="21">
        <f>SUM(tabCustoUnit[[#This Row],[INSS]:[SEBRAE]])</f>
        <v>623.14127819999999</v>
      </c>
      <c r="Y249" s="21">
        <f>tabCustoUnit[[#This Row],[MODULO 1 - REMUNERAÇÃO ]]*SUMIFS(tabParametros[13º salário (titular)],tabParametros[Código do Posto],tabCustoUnit[[#This Row],[Código do Posto]])</f>
        <v>137.376825</v>
      </c>
      <c r="Z249" s="21">
        <f>tabCustoUnit[[#This Row],[MODULO 1 - REMUNERAÇÃO ]]*SUMIFS(tabParametros[Férias e Adicional de Férias (titular)],tabParametros[Código do Posto],tabCustoUnit[[#This Row],[Código do Posto]])</f>
        <v>183.16909999999999</v>
      </c>
      <c r="AA249" s="21">
        <f>IFERROR((tabCustoUnit[[#This Row],[Submódulo 2.1]]/tabCustoUnit[[#This Row],[MODULO 1 - REMUNERAÇÃO ]])*SUM(tabCustoUnit[[#This Row],[13º salário (titular)]:[Férias e Adicional de Férias (titular)]]),0)</f>
        <v>121.16635965</v>
      </c>
      <c r="AB249" s="21">
        <f>SUM(tabCustoUnit[[#This Row],[13º salário (titular)]:[Incidência do Submódulo 2.1 sobre 13º Salário, Férias e Adicional de Férias]])</f>
        <v>441.71228465000002</v>
      </c>
      <c r="AC249" s="22">
        <f>_xlfn.LET(_xlpm.VT,SUMIF(tabParametros[Código do Posto],tabCustoUnit[[#This Row],[Código do Posto]],tabParametros[Vale - Transporte])*2*20,
IF((_xlpm.VT-tabCustoUnit[[#This Row],[Salário Base]]*0.06)&gt;=0,(_xlpm.VT-tabCustoUnit[[#This Row],[Salário Base]]*0.06),0)
)</f>
        <v>160.22320000000002</v>
      </c>
      <c r="AD249" s="22">
        <f>IF(SUMIF(tabParametros[Código do Posto],tabCustoUnit[[#This Row],[Código do Posto]],tabParametros[Vale - Alimentação])&lt;=0,0,
SUMIF(tabParametros[Código do Posto],tabCustoUnit[[#This Row],[Código do Posto]],tabParametros[Vale - Alimentação])*20-1)</f>
        <v>582</v>
      </c>
      <c r="AE249" s="22">
        <f>SUMIF(tabParametros[Código do Posto],tabCustoUnit[[#This Row],[Código do Posto]],tabParametros[Cesta Básica])</f>
        <v>0</v>
      </c>
      <c r="AF249" s="22">
        <f>SUMIF(tabParametros[Código do Posto],tabCustoUnit[[#This Row],[Código do Posto]],tabParametros[PAF])</f>
        <v>0</v>
      </c>
      <c r="AG249" s="22">
        <f>SUMIF(tabParametros[Código do Posto],tabCustoUnit[[#This Row],[Código do Posto]],tabParametros[PQM])</f>
        <v>15.07</v>
      </c>
      <c r="AH249" s="22">
        <f>SUMIF(tabParametros[Código do Posto],tabCustoUnit[[#This Row],[Código do Posto]],tabParametros[PAT])</f>
        <v>0</v>
      </c>
      <c r="AI249" s="22">
        <f>SUMIF(tabParametros[Código do Posto],tabCustoUnit[[#This Row],[Código do Posto]],tabParametros[Seguro de Vida])</f>
        <v>3.36</v>
      </c>
      <c r="AJ249" s="22">
        <f>SUMIF(tabParametros[Código do Posto],tabCustoUnit[[#This Row],[Código do Posto]],tabParametros[Despesas de Viagem])</f>
        <v>0</v>
      </c>
      <c r="AK249" s="22">
        <f>SUM(tabCustoUnit[[#This Row],[Vale - Transporte (Descontada parcela do empregado)]:[Despesas de Viagem]])</f>
        <v>760.65320000000008</v>
      </c>
      <c r="AL249" s="22">
        <f>tabCustoUnit[[#This Row],[Submódulo 2.1]]+tabCustoUnit[[#This Row],[Submódulo 2.2]]+tabCustoUnit[[#This Row],[Submódulo 2.3]]</f>
        <v>1825.5067628500001</v>
      </c>
      <c r="AM249" s="22">
        <f>SUMIF(tabParametros[Código do Posto],tabCustoUnit[[#This Row],[Código do Posto]],tabParametros[Aviso Prévio Indenizado (API) e Reflexo do Aviso Prévio Indenizado])*tabCustoUnit[[#This Row],[MODULO 1 - REMUNERAÇÃO ]]</f>
        <v>11.559051416493055</v>
      </c>
      <c r="AN249" s="22">
        <f>SUMIF(tabParametros[Código do Posto],tabCustoUnit[[#This Row],[Código do Posto]],tabParametros[Incidência do FGTS sobre API e Reflexo do API])*tabCustoUnit[[#This Row],[MODULO 1 - REMUNERAÇÃO ]]</f>
        <v>0.92472411331944449</v>
      </c>
      <c r="AO249" s="22">
        <f>SUMIF(tabParametros[Código do Posto],tabCustoUnit[[#This Row],[Código do Posto]],tabParametros[Multa Rescisória do FGTS sobre o Aviso Prévio Indenizado])*tabCustoUnit[[#This Row],[MODULO 1 - REMUNERAÇÃO ]]</f>
        <v>0.36988964532777785</v>
      </c>
      <c r="AP249" s="22">
        <f>SUMIF(tabParametros[Código do Posto],tabCustoUnit[[#This Row],[Código do Posto]],tabParametros[Aviso Prévio Trabalhado - APT])*tabCustoUnit[[#This Row],[MODULO 1 - REMUNERAÇÃO ]]</f>
        <v>5.7698266500000006</v>
      </c>
      <c r="AQ249" s="22">
        <f>SUMIF(tabParametros[Código do Posto],tabCustoUnit[[#This Row],[Código do Posto]],tabParametros[Incidência dos encargos do submódulo 2.1 sobre Aviso Prévio Trabalhado])*tabCustoUnit[[#This Row],[MODULO 1 - REMUNERAÇÃO ]]</f>
        <v>2.1809944737000007</v>
      </c>
      <c r="AR249" s="22">
        <f>SUMIF(tabParametros[Código do Posto],tabCustoUnit[[#This Row],[Código do Posto]],tabParametros[Multa Rescisória do FGTS])*tabCustoUnit[[#This Row],[MODULO 1 - REMUNERAÇÃO ]]</f>
        <v>50.40813631999999</v>
      </c>
      <c r="AS249" s="22">
        <f>SUMIF(tabParametros[Código do Posto],tabCustoUnit[[#This Row],[Código do Posto]],tabParametros[Indenização Adicional (Art. 9º da Lei nº 7.238/84)])*tabCustoUnit[[#This Row],[MODULO 1 - REMUNERAÇÃO ]]</f>
        <v>1.3737682500000001</v>
      </c>
      <c r="AT249" s="22">
        <f>SUM(tabCustoUnit[[#This Row],[Aviso Prévio Indenizado (API) e Reflexo do Aviso Prévio Indenizado]:[Indenização Adicional (Art. 9º da Lei nº 7.238/84)]])</f>
        <v>72.586390868840269</v>
      </c>
      <c r="AU249" s="22">
        <f>SUMIF(tabParametros[Código do Posto],tabCustoUnit[[#This Row],[Código do Posto]],tabParametros[Ausência por Doença])*tabCustoUnit[[#This Row],[MODULO 1 - REMUNERAÇÃO ]]</f>
        <v>13.920851599999999</v>
      </c>
      <c r="AV249" s="22">
        <f>SUMIF(tabParametros[Código do Posto],tabCustoUnit[[#This Row],[Código do Posto]],tabParametros[Ausências Legais])*tabCustoUnit[[#This Row],[MODULO 1 - REMUNERAÇÃO ]]</f>
        <v>3.3428360749999997</v>
      </c>
      <c r="AW249" s="22">
        <f>SUMIF(tabParametros[Código do Posto],tabCustoUnit[[#This Row],[Código do Posto]],tabParametros[Licença Paternidade])*tabCustoUnit[[#This Row],[MODULO 1 - REMUNERAÇÃO ]]</f>
        <v>0.28162249125</v>
      </c>
      <c r="AX249" s="22">
        <f>SUMIF(tabParametros[Código do Posto],tabCustoUnit[[#This Row],[Código do Posto]],tabParametros[Ausência por Acidente de Trabalho])*tabCustoUnit[[#This Row],[MODULO 1 - REMUNERAÇÃO ]]</f>
        <v>0.34344206250000003</v>
      </c>
      <c r="AY249" s="22">
        <f>SUMIF(tabParametros[Código do Posto],tabCustoUnit[[#This Row],[Código do Posto]],tabParametros[Férias, Adicional de Férias e 13º  com empregada em gozo de Licença Maternidade])*tabCustoUnit[[#This Row],[MODULO 1 - REMUNERAÇÃO ]]</f>
        <v>2.1369728333333331</v>
      </c>
      <c r="AZ249" s="22">
        <f>SUMIF(tabParametros[Código do Posto],tabCustoUnit[[#This Row],[Código do Posto]],tabParametros[Incidência do Submódulo 2.1 sobre Ausências Legais])*tabCustoUnit[[#This Row],[MODULO 1 - REMUNERAÇÃO ]]</f>
        <v>7.5697240734675013</v>
      </c>
      <c r="BA249" s="22">
        <f>SUM(tabCustoUnit[[#This Row],[Ausência por Doença]:[Incidência do Submódulo 2.1 sobre Ausências Legais]])</f>
        <v>27.595449135550833</v>
      </c>
      <c r="BB249" s="22">
        <f>SUMIF(tabParametros[Código do Posto],tabCustoUnit[[#This Row],[Código do Posto]],tabParametros[Intervalo para Repouso ou Alimentação])</f>
        <v>0</v>
      </c>
      <c r="BC249" s="22">
        <f>tabCustoUnit[[#This Row],[Intervalo para Repouso ou Alimentação]]</f>
        <v>0</v>
      </c>
      <c r="BD249" s="22">
        <f>IF(VLOOKUP(tabCustoUnit[[#This Row],[Código do Posto]],PARAMETROS!$A$4:$BJ$255,7,0)&lt;=0,0,
IFERROR((tabCustoUnit[[#This Row],[MODULO 1 - REMUNERAÇÃO ]]*VLOOKUP(tabCustoUnit[[#This Row],[Código do Posto]],PARAMETROS!$A$4:$BJ$255,49,0))/(VLOOKUP(tabCustoUnit[[#This Row],[Código do Posto]],PARAMETROS!$A$4:$BJ$255,7,0)*VLOOKUP(tabCustoUnit[[#This Row],[Código do Posto]],PARAMETROS!$A$4:$BJ$255,8,0)),0)
)</f>
        <v>0</v>
      </c>
      <c r="BE249" s="22">
        <f>tabCustoUnit[[#This Row],[Suspensão Temporária do Contrato de Trabalho]]</f>
        <v>0</v>
      </c>
      <c r="BF249" s="22">
        <f>tabCustoUnit[[#This Row],[Submódulo 4.1]]+tabCustoUnit[[#This Row],[Submódulo 4.2]]+tabCustoUnit[[#This Row],[Submódulo 4.3]]</f>
        <v>27.595449135550833</v>
      </c>
      <c r="BG249" s="22">
        <f>VLOOKUP(tabCustoUnit[[#This Row],[Código do Posto]],tabParametros[],MATCH(tabCustoUnit[[#Headers],[Uniformes e EPIs]],tabParametros[#Headers],0),0)</f>
        <v>100.80916666666666</v>
      </c>
      <c r="BH249" s="22">
        <f>VLOOKUP(tabCustoUnit[[#This Row],[Código do Posto]],tabParametros[],MATCH(tabCustoUnit[[#Headers],[Materiais de Consumo]],tabParametros[#Headers],0),0)</f>
        <v>35.518212958583888</v>
      </c>
      <c r="BI249" s="22">
        <f>VLOOKUP(tabCustoUnit[[#This Row],[Código do Posto]],tabParametros[],MATCH(tabCustoUnit[[#Headers],[Máquinas e Equipamentos (depreciação)]],tabParametros[#Headers],0),0)</f>
        <v>64.529393914825576</v>
      </c>
      <c r="BJ249" s="22">
        <f>VLOOKUP(tabCustoUnit[[#This Row],[Código do Posto]],tabParametros[],MATCH(tabCustoUnit[[#Headers],[Produtos de Limpeza e Materiais de Higiene Pessoal]],tabParametros[#Headers],0),0)</f>
        <v>690.27153277931654</v>
      </c>
      <c r="BK249" s="22">
        <f>VLOOKUP(tabCustoUnit[[#This Row],[Código do Posto]],tabParametros[],MATCH(tabCustoUnit[[#Headers],[Outros (especificar)]],tabParametros[#Headers],0),0)</f>
        <v>0</v>
      </c>
      <c r="BL249" s="22">
        <f>SUM(tabCustoUnit[[#This Row],[Uniformes e EPIs]:[Outros (especificar)]])</f>
        <v>891.12830631939266</v>
      </c>
      <c r="BM249" s="22">
        <f>tabCustoUnit[[#This Row],[MODULO 1 - REMUNERAÇÃO ]]+tabCustoUnit[[#This Row],[MÓDULO 2 - Total Encargos e Benefícios mensais e diários]]+tabCustoUnit[[#This Row],[MÓDULO 3 – PROVISÃO PARA RESCISÃO]]+tabCustoUnit[[#This Row],[MÓDULO 4 – CUSTO DE REPOSIÇÃO DO PROFISSIONAL AUSENTE]]+tabCustoUnit[[#This Row],[MÓDULO 5 – INSUMOS DIVERSOS]]</f>
        <v>4465.3388091737834</v>
      </c>
      <c r="BN249" s="22">
        <f>VLOOKUP(tabCustoUnit[[#This Row],[Código do Posto]],tabParametros[],MATCH(tabCustoUnit[[#Headers],[Custos Indiretos]],tabParametros[#Headers],0),0)</f>
        <v>189.64880140242613</v>
      </c>
      <c r="BO249" s="22">
        <f>VLOOKUP(tabCustoUnit[[#This Row],[Código do Posto]],tabParametros[],MATCH(tabCustoUnit[[#Headers],[Lucro]],tabParametros[#Headers],0),0)</f>
        <v>159.30499317803796</v>
      </c>
      <c r="BP249" s="26">
        <f>((100/((1-tabCustoUnit[[#This Row],[Resumo de Alíquotas (PIS+CONFINS+ISS)]]))-100)*VLOOKUP(tabCustoUnit[[#This Row],[Código do Posto]],tabParametros[],MATCH(tabCustoUnit[[#Headers],[COFINS]],tabParametros[#Headers],0),0))/(tabCustoUnit[[#This Row],[Resumo de Alíquotas (PIS+CONFINS+ISS)]]*100)</f>
        <v>8.7608069164265154E-2</v>
      </c>
      <c r="BQ249" s="26">
        <f>((100/((100-(tabCustoUnit[[#This Row],[Resumo de Alíquotas (PIS+CONFINS+ISS)]]*100))%)-100)*VLOOKUP(tabCustoUnit[[#This Row],[Código do Posto]],tabParametros[],MATCH(tabCustoUnit[[#Headers],[PIS]],tabParametros[#Headers],0),0))/(tabCustoUnit[[#This Row],[Resumo de Alíquotas (PIS+CONFINS+ISS)]]*100)</f>
        <v>1.9020172910662814E-2</v>
      </c>
      <c r="BR249" s="28">
        <f>VLOOKUP(tabCustoUnit[[#This Row],[Código do Posto]],tabParametros[],MATCH(tabCustoUnit[[#Headers],[ISS]],tabParametros[#Headers],0),0)</f>
        <v>0.04</v>
      </c>
      <c r="BS249" s="26">
        <f>(((100/((100-(tabCustoUnit[[#This Row],[Resumo de Alíquotas (PIS+CONFINS+ISS)]]*100))%)-100)*tabCustoUnit[[#This Row],[ISS]])/tabCustoUnit[[#This Row],[Resumo de Alíquotas (PIS+CONFINS+ISS)]])/100</f>
        <v>4.6109510086455294E-2</v>
      </c>
      <c r="BT249" s="26">
        <f>(VLOOKUP(tabCustoUnit[[#This Row],[Código do Posto]],tabParametros[],MATCH(tabCustoUnit[[#Headers],[COFINS]],tabParametros[#Headers],0),0)+
VLOOKUP(tabCustoUnit[[#This Row],[Código do Posto]],tabParametros[],MATCH(tabCustoUnit[[#Headers],[PIS]],tabParametros[#Headers],0),0)+
VLOOKUP(tabCustoUnit[[#This Row],[Código do Posto]],tabParametros[],MATCH(tabCustoUnit[[#Headers],[ISS]],tabParametros[#Headers],0),0))</f>
        <v>0.13250000000000001</v>
      </c>
      <c r="BU249" s="138">
        <f>tabCustoUnit[[#This Row],[COFINS]]+tabCustoUnit[[#This Row],[PIS]]+tabCustoUnit[[#This Row],[ISS (Conversão Alíquota s/ fatura)]]</f>
        <v>0.15273775216138324</v>
      </c>
      <c r="BV249" s="22">
        <f>(tabCustoUnit[[#This Row],[TOTAL MÓDULOS 1+2+3+4+5]]+tabCustoUnit[[#This Row],[Custos Indiretos]]+tabCustoUnit[[#This Row],[Lucro]])*tabCustoUnit[[#This Row],[PIS + COFINS + ISS (Total Conversão  Alíquota s/ Fatura)]]</f>
        <v>735.32423054459673</v>
      </c>
      <c r="BW249" s="22">
        <f>tabCustoUnit[[#This Row],[Custos Indiretos]]+tabCustoUnit[[#This Row],[Lucro]]+tabCustoUnit[[#This Row],[Valor dos Tributos (ISS, PIS, CONFINS)]]</f>
        <v>1084.2780251250608</v>
      </c>
      <c r="BX249" s="22">
        <f>tabCustoUnit[[#This Row],[TOTAL MÓDULOS 1+2+3+4+5]]+tabCustoUnit[[#This Row],[MÓDULO 6 – CUSTOS INDIRETOS, TRIBUTOS E LUCRO]]</f>
        <v>5549.616834298844</v>
      </c>
      <c r="BY249" s="22">
        <f>tabCustoUnit[[#This Row],[CUSTO TOTAL MENSAL]]*12</f>
        <v>66595.40201158612</v>
      </c>
      <c r="BZ249" s="24">
        <f>VLOOKUP(tabCustoUnit[[#This Row],[Código do Posto]],tabParametros[],MATCH(tabCustoUnit[[#Headers],[ANO DA CCT]],tabParametros[#Headers],0),0)</f>
        <v>45658</v>
      </c>
      <c r="CA249" s="25" t="str">
        <f>VLOOKUP(tabCustoUnit[[#This Row],[Código do Posto]],tabParametros[],MATCH(tabCustoUnit[[#Headers],[Nº DE PEDIDO DA CCT]],tabParametros[#Headers],0),0)</f>
        <v>-</v>
      </c>
      <c r="CB249" s="25" t="str">
        <f>VLOOKUP(tabCustoUnit[[#This Row],[Código do Posto]],tabParametros[],MATCH(tabCustoUnit[[#Headers],[TERMO ADITIVO ALTERAÇÃO DA CCT]],tabParametros[#Headers],0),0)</f>
        <v>-</v>
      </c>
    </row>
    <row r="250" spans="1:80" x14ac:dyDescent="0.25">
      <c r="A250" s="20" t="s">
        <v>1585</v>
      </c>
      <c r="B250" t="s">
        <v>224</v>
      </c>
      <c r="C250" t="s">
        <v>1247</v>
      </c>
      <c r="D250" t="s">
        <v>1023</v>
      </c>
      <c r="E250" s="20" t="s">
        <v>9</v>
      </c>
      <c r="F250" s="20" t="s">
        <v>10</v>
      </c>
      <c r="G250" s="21">
        <v>544.17999999999995</v>
      </c>
      <c r="H250" s="21">
        <v>0</v>
      </c>
      <c r="I250" s="21">
        <v>0</v>
      </c>
      <c r="J250" s="21">
        <v>0</v>
      </c>
      <c r="K250" s="21">
        <v>0</v>
      </c>
      <c r="L250" s="21">
        <v>0</v>
      </c>
      <c r="M250" s="21">
        <v>0</v>
      </c>
      <c r="N250" s="21">
        <v>19.590499999999999</v>
      </c>
      <c r="O250" s="21">
        <f>SUM(tabCustoUnit[[#This Row],[Salário Base]:[Adicional de Acúmulo de função]])</f>
        <v>563.77049999999997</v>
      </c>
      <c r="P250" s="21">
        <f>tabCustoUnit[[#This Row],[MODULO 1 - REMUNERAÇÃO ]]*SUMIFS(tabParametros[INSS],tabParametros[Código do Posto],tabCustoUnit[[#This Row],[Código do Posto]])</f>
        <v>112.75409999999999</v>
      </c>
      <c r="Q250" s="21">
        <f>tabCustoUnit[[#This Row],[MODULO 1 - REMUNERAÇÃO ]]*SUMIFS(tabParametros[SESI OU SESC],tabParametros[Código do Posto],tabCustoUnit[[#This Row],[Código do Posto]])</f>
        <v>8.4565574999999988</v>
      </c>
      <c r="R250" s="21">
        <f>tabCustoUnit[[#This Row],[MODULO 1 - REMUNERAÇÃO ]]*SUMIFS(tabParametros[SENAI OU SENAC],tabParametros[Código do Posto],tabCustoUnit[[#This Row],[Código do Posto]])</f>
        <v>5.6377049999999995</v>
      </c>
      <c r="S250" s="21">
        <f>tabCustoUnit[[#This Row],[MODULO 1 - REMUNERAÇÃO ]]*SUMIFS(tabParametros[INCRA],tabParametros[Código do Posto],tabCustoUnit[[#This Row],[Código do Posto]])</f>
        <v>1.1275409999999999</v>
      </c>
      <c r="T250" s="21">
        <f>tabCustoUnit[[#This Row],[MODULO 1 - REMUNERAÇÃO ]]*SUMIFS(tabParametros[Salário Educação],tabParametros[Código do Posto],tabCustoUnit[[#This Row],[Código do Posto]])</f>
        <v>14.094262499999999</v>
      </c>
      <c r="U250" s="21">
        <f>tabCustoUnit[[#This Row],[MODULO 1 - REMUNERAÇÃO ]]*SUMIFS(tabParametros[FGTS],tabParametros[Código do Posto],tabCustoUnit[[#This Row],[Código do Posto]])</f>
        <v>45.101639999999996</v>
      </c>
      <c r="V250" s="21">
        <f>tabCustoUnit[[#This Row],[MODULO 1 - REMUNERAÇÃO ]]*SUMIFS(tabParametros[RAT Ajustado],tabParametros[Código do Posto],tabCustoUnit[[#This Row],[Código do Posto]])</f>
        <v>22.550819999999998</v>
      </c>
      <c r="W250" s="21">
        <f>tabCustoUnit[[#This Row],[MODULO 1 - REMUNERAÇÃO ]]*SUMIFS(tabParametros[SEBRAE],tabParametros[Código do Posto],tabCustoUnit[[#This Row],[Código do Posto]])</f>
        <v>3.3826229999999997</v>
      </c>
      <c r="X250" s="21">
        <f>SUM(tabCustoUnit[[#This Row],[INSS]:[SEBRAE]])</f>
        <v>213.10524899999996</v>
      </c>
      <c r="Y250" s="21">
        <f>tabCustoUnit[[#This Row],[MODULO 1 - REMUNERAÇÃO ]]*SUMIFS(tabParametros[13º salário (titular)],tabParametros[Código do Posto],tabCustoUnit[[#This Row],[Código do Posto]])</f>
        <v>46.980874999999997</v>
      </c>
      <c r="Z250" s="21">
        <f>tabCustoUnit[[#This Row],[MODULO 1 - REMUNERAÇÃO ]]*SUMIFS(tabParametros[Férias e Adicional de Férias (titular)],tabParametros[Código do Posto],tabCustoUnit[[#This Row],[Código do Posto]])</f>
        <v>62.641166666666663</v>
      </c>
      <c r="AA250" s="21">
        <f>IFERROR((tabCustoUnit[[#This Row],[Submódulo 2.1]]/tabCustoUnit[[#This Row],[MODULO 1 - REMUNERAÇÃO ]])*SUM(tabCustoUnit[[#This Row],[13º salário (titular)]:[Férias e Adicional de Férias (titular)]]),0)</f>
        <v>41.437131749999992</v>
      </c>
      <c r="AB250" s="21">
        <f>SUM(tabCustoUnit[[#This Row],[13º salário (titular)]:[Incidência do Submódulo 2.1 sobre 13º Salário, Férias e Adicional de Férias]])</f>
        <v>151.05917341666665</v>
      </c>
      <c r="AC250" s="22">
        <f>_xlfn.LET(_xlpm.VT,SUMIF(tabParametros[Código do Posto],tabCustoUnit[[#This Row],[Código do Posto]],tabParametros[Vale - Transporte])*2*20,
IF((_xlpm.VT-tabCustoUnit[[#This Row],[Salário Base]]*0.06)&gt;=0,(_xlpm.VT-tabCustoUnit[[#This Row],[Salário Base]]*0.06),0)
)</f>
        <v>223.3492</v>
      </c>
      <c r="AD250" s="22">
        <f>IF(SUMIF(tabParametros[Código do Posto],tabCustoUnit[[#This Row],[Código do Posto]],tabParametros[Vale - Alimentação])&lt;=0,0,
SUMIF(tabParametros[Código do Posto],tabCustoUnit[[#This Row],[Código do Posto]],tabParametros[Vale - Alimentação])*20-1)</f>
        <v>582</v>
      </c>
      <c r="AE250" s="22">
        <f>SUMIF(tabParametros[Código do Posto],tabCustoUnit[[#This Row],[Código do Posto]],tabParametros[Cesta Básica])</f>
        <v>0</v>
      </c>
      <c r="AF250" s="22">
        <f>SUMIF(tabParametros[Código do Posto],tabCustoUnit[[#This Row],[Código do Posto]],tabParametros[PAF])</f>
        <v>53.27</v>
      </c>
      <c r="AG250" s="22">
        <f>SUMIF(tabParametros[Código do Posto],tabCustoUnit[[#This Row],[Código do Posto]],tabParametros[PQM])</f>
        <v>0</v>
      </c>
      <c r="AH250" s="22">
        <f>SUMIF(tabParametros[Código do Posto],tabCustoUnit[[#This Row],[Código do Posto]],tabParametros[PAT])</f>
        <v>0</v>
      </c>
      <c r="AI250" s="22">
        <f>SUMIF(tabParametros[Código do Posto],tabCustoUnit[[#This Row],[Código do Posto]],tabParametros[Seguro de Vida])</f>
        <v>3.36</v>
      </c>
      <c r="AJ250" s="22">
        <f>SUMIF(tabParametros[Código do Posto],tabCustoUnit[[#This Row],[Código do Posto]],tabParametros[Despesas de Viagem])</f>
        <v>0</v>
      </c>
      <c r="AK250" s="22">
        <f>SUM(tabCustoUnit[[#This Row],[Vale - Transporte (Descontada parcela do empregado)]:[Despesas de Viagem]])</f>
        <v>861.97919999999999</v>
      </c>
      <c r="AL250" s="22">
        <f>tabCustoUnit[[#This Row],[Submódulo 2.1]]+tabCustoUnit[[#This Row],[Submódulo 2.2]]+tabCustoUnit[[#This Row],[Submódulo 2.3]]</f>
        <v>1226.1436224166666</v>
      </c>
      <c r="AM250" s="22">
        <f>SUMIF(tabParametros[Código do Posto],tabCustoUnit[[#This Row],[Código do Posto]],tabParametros[Aviso Prévio Indenizado (API) e Reflexo do Aviso Prévio Indenizado])*tabCustoUnit[[#This Row],[MODULO 1 - REMUNERAÇÃO ]]</f>
        <v>3.9530273735532404</v>
      </c>
      <c r="AN250" s="22">
        <f>SUMIF(tabParametros[Código do Posto],tabCustoUnit[[#This Row],[Código do Posto]],tabParametros[Incidência do FGTS sobre API e Reflexo do API])*tabCustoUnit[[#This Row],[MODULO 1 - REMUNERAÇÃO ]]</f>
        <v>0.31624218988425928</v>
      </c>
      <c r="AO250" s="22">
        <f>SUMIF(tabParametros[Código do Posto],tabCustoUnit[[#This Row],[Código do Posto]],tabParametros[Multa Rescisória do FGTS sobre o Aviso Prévio Indenizado])*tabCustoUnit[[#This Row],[MODULO 1 - REMUNERAÇÃO ]]</f>
        <v>0.12649687595370371</v>
      </c>
      <c r="AP250" s="22">
        <f>SUMIF(tabParametros[Código do Posto],tabCustoUnit[[#This Row],[Código do Posto]],tabParametros[Aviso Prévio Trabalhado - APT])*tabCustoUnit[[#This Row],[MODULO 1 - REMUNERAÇÃO ]]</f>
        <v>1.9731967500000003</v>
      </c>
      <c r="AQ250" s="22">
        <f>SUMIF(tabParametros[Código do Posto],tabCustoUnit[[#This Row],[Código do Posto]],tabParametros[Incidência dos encargos do submódulo 2.1 sobre Aviso Prévio Trabalhado])*tabCustoUnit[[#This Row],[MODULO 1 - REMUNERAÇÃO ]]</f>
        <v>0.74586837150000018</v>
      </c>
      <c r="AR250" s="22">
        <f>SUMIF(tabParametros[Código do Posto],tabCustoUnit[[#This Row],[Código do Posto]],tabParametros[Multa Rescisória do FGTS])*tabCustoUnit[[#This Row],[MODULO 1 - REMUNERAÇÃO ]]</f>
        <v>17.238849066666663</v>
      </c>
      <c r="AS250" s="22">
        <f>SUMIF(tabParametros[Código do Posto],tabCustoUnit[[#This Row],[Código do Posto]],tabParametros[Indenização Adicional (Art. 9º da Lei nº 7.238/84)])*tabCustoUnit[[#This Row],[MODULO 1 - REMUNERAÇÃO ]]</f>
        <v>0.46980875</v>
      </c>
      <c r="AT250" s="22">
        <f>SUM(tabCustoUnit[[#This Row],[Aviso Prévio Indenizado (API) e Reflexo do Aviso Prévio Indenizado]:[Indenização Adicional (Art. 9º da Lei nº 7.238/84)]])</f>
        <v>24.823489377557866</v>
      </c>
      <c r="AU250" s="22">
        <f>SUMIF(tabParametros[Código do Posto],tabCustoUnit[[#This Row],[Código do Posto]],tabParametros[Ausência por Doença])*tabCustoUnit[[#This Row],[MODULO 1 - REMUNERAÇÃO ]]</f>
        <v>4.7607286666666662</v>
      </c>
      <c r="AV250" s="22">
        <f>SUMIF(tabParametros[Código do Posto],tabCustoUnit[[#This Row],[Código do Posto]],tabParametros[Ausências Legais])*tabCustoUnit[[#This Row],[MODULO 1 - REMUNERAÇÃO ]]</f>
        <v>1.1432012916666665</v>
      </c>
      <c r="AW250" s="22">
        <f>SUMIF(tabParametros[Código do Posto],tabCustoUnit[[#This Row],[Código do Posto]],tabParametros[Licença Paternidade])*tabCustoUnit[[#This Row],[MODULO 1 - REMUNERAÇÃO ]]</f>
        <v>9.6310793749999998E-2</v>
      </c>
      <c r="AX250" s="22">
        <f>SUMIF(tabParametros[Código do Posto],tabCustoUnit[[#This Row],[Código do Posto]],tabParametros[Ausência por Acidente de Trabalho])*tabCustoUnit[[#This Row],[MODULO 1 - REMUNERAÇÃO ]]</f>
        <v>0.1174521875</v>
      </c>
      <c r="AY250" s="22">
        <f>SUMIF(tabParametros[Código do Posto],tabCustoUnit[[#This Row],[Código do Posto]],tabParametros[Férias, Adicional de Férias e 13º  com empregada em gozo de Licença Maternidade])*tabCustoUnit[[#This Row],[MODULO 1 - REMUNERAÇÃO ]]</f>
        <v>0.73081361111111109</v>
      </c>
      <c r="AZ250" s="22">
        <f>SUMIF(tabParametros[Código do Posto],tabCustoUnit[[#This Row],[Código do Posto]],tabParametros[Incidência do Submódulo 2.1 sobre Ausências Legais])*tabCustoUnit[[#This Row],[MODULO 1 - REMUNERAÇÃO ]]</f>
        <v>2.5887354761625003</v>
      </c>
      <c r="BA250" s="22">
        <f>SUM(tabCustoUnit[[#This Row],[Ausência por Doença]:[Incidência do Submódulo 2.1 sobre Ausências Legais]])</f>
        <v>9.4372420268569428</v>
      </c>
      <c r="BB250" s="22">
        <f>SUMIF(tabParametros[Código do Posto],tabCustoUnit[[#This Row],[Código do Posto]],tabParametros[Intervalo para Repouso ou Alimentação])</f>
        <v>0</v>
      </c>
      <c r="BC250" s="22">
        <f>tabCustoUnit[[#This Row],[Intervalo para Repouso ou Alimentação]]</f>
        <v>0</v>
      </c>
      <c r="BD250" s="22">
        <f>IF(VLOOKUP(tabCustoUnit[[#This Row],[Código do Posto]],PARAMETROS!$A$4:$BJ$255,7,0)&lt;=0,0,
IFERROR((tabCustoUnit[[#This Row],[MODULO 1 - REMUNERAÇÃO ]]*VLOOKUP(tabCustoUnit[[#This Row],[Código do Posto]],PARAMETROS!$A$4:$BJ$255,49,0))/(VLOOKUP(tabCustoUnit[[#This Row],[Código do Posto]],PARAMETROS!$A$4:$BJ$255,7,0)*VLOOKUP(tabCustoUnit[[#This Row],[Código do Posto]],PARAMETROS!$A$4:$BJ$255,8,0)),0)
)</f>
        <v>0</v>
      </c>
      <c r="BE250" s="22">
        <f>tabCustoUnit[[#This Row],[Suspensão Temporária do Contrato de Trabalho]]</f>
        <v>0</v>
      </c>
      <c r="BF250" s="22">
        <f>tabCustoUnit[[#This Row],[Submódulo 4.1]]+tabCustoUnit[[#This Row],[Submódulo 4.2]]+tabCustoUnit[[#This Row],[Submódulo 4.3]]</f>
        <v>9.4372420268569428</v>
      </c>
      <c r="BG250" s="22">
        <f>VLOOKUP(tabCustoUnit[[#This Row],[Código do Posto]],tabParametros[],MATCH(tabCustoUnit[[#Headers],[Uniformes e EPIs]],tabParametros[#Headers],0),0)</f>
        <v>62.806666666666665</v>
      </c>
      <c r="BH250" s="22">
        <f>VLOOKUP(tabCustoUnit[[#This Row],[Código do Posto]],tabParametros[],MATCH(tabCustoUnit[[#Headers],[Materiais de Consumo]],tabParametros[#Headers],0),0)</f>
        <v>12.108481690426325</v>
      </c>
      <c r="BI250" s="22">
        <f>VLOOKUP(tabCustoUnit[[#This Row],[Código do Posto]],tabParametros[],MATCH(tabCustoUnit[[#Headers],[Máquinas e Equipamentos (depreciação)]],tabParametros[#Headers],0),0)</f>
        <v>21.998657016417809</v>
      </c>
      <c r="BJ250" s="22">
        <f>VLOOKUP(tabCustoUnit[[#This Row],[Código do Posto]],tabParametros[],MATCH(tabCustoUnit[[#Headers],[Produtos de Limpeza e Materiais de Higiene Pessoal]],tabParametros[#Headers],0),0)</f>
        <v>235.31984072022155</v>
      </c>
      <c r="BK250" s="22">
        <f>VLOOKUP(tabCustoUnit[[#This Row],[Código do Posto]],tabParametros[],MATCH(tabCustoUnit[[#Headers],[Outros (especificar)]],tabParametros[#Headers],0),0)</f>
        <v>0</v>
      </c>
      <c r="BL250" s="22">
        <f>SUM(tabCustoUnit[[#This Row],[Uniformes e EPIs]:[Outros (especificar)]])</f>
        <v>332.23364609373232</v>
      </c>
      <c r="BM250" s="22">
        <f>tabCustoUnit[[#This Row],[MODULO 1 - REMUNERAÇÃO ]]+tabCustoUnit[[#This Row],[MÓDULO 2 - Total Encargos e Benefícios mensais e diários]]+tabCustoUnit[[#This Row],[MÓDULO 3 – PROVISÃO PARA RESCISÃO]]+tabCustoUnit[[#This Row],[MÓDULO 4 – CUSTO DE REPOSIÇÃO DO PROFISSIONAL AUSENTE]]+tabCustoUnit[[#This Row],[MÓDULO 5 – INSUMOS DIVERSOS]]</f>
        <v>2156.4084999148135</v>
      </c>
      <c r="BN250" s="22">
        <f>VLOOKUP(tabCustoUnit[[#This Row],[Código do Posto]],tabParametros[],MATCH(tabCustoUnit[[#Headers],[Custos Indiretos]],tabParametros[#Headers],0),0)</f>
        <v>189.64880140242613</v>
      </c>
      <c r="BO250" s="22">
        <f>VLOOKUP(tabCustoUnit[[#This Row],[Código do Posto]],tabParametros[],MATCH(tabCustoUnit[[#Headers],[Lucro]],tabParametros[#Headers],0),0)</f>
        <v>159.30499317803796</v>
      </c>
      <c r="BP250" s="26">
        <f>((100/((1-tabCustoUnit[[#This Row],[Resumo de Alíquotas (PIS+CONFINS+ISS)]]))-100)*VLOOKUP(tabCustoUnit[[#This Row],[Código do Posto]],tabParametros[],MATCH(tabCustoUnit[[#Headers],[COFINS]],tabParametros[#Headers],0),0))/(tabCustoUnit[[#This Row],[Resumo de Alíquotas (PIS+CONFINS+ISS)]]*100)</f>
        <v>8.6609686609686695E-2</v>
      </c>
      <c r="BQ250" s="26">
        <f>((100/((100-(tabCustoUnit[[#This Row],[Resumo de Alíquotas (PIS+CONFINS+ISS)]]*100))%)-100)*VLOOKUP(tabCustoUnit[[#This Row],[Código do Posto]],tabParametros[],MATCH(tabCustoUnit[[#Headers],[PIS]],tabParametros[#Headers],0),0))/(tabCustoUnit[[#This Row],[Resumo de Alíquotas (PIS+CONFINS+ISS)]]*100)</f>
        <v>1.880341880341882E-2</v>
      </c>
      <c r="BR250" s="28">
        <f>VLOOKUP(tabCustoUnit[[#This Row],[Código do Posto]],tabParametros[],MATCH(tabCustoUnit[[#Headers],[ISS]],tabParametros[#Headers],0),0)</f>
        <v>0.03</v>
      </c>
      <c r="BS250" s="26">
        <f>(((100/((100-(tabCustoUnit[[#This Row],[Resumo de Alíquotas (PIS+CONFINS+ISS)]]*100))%)-100)*tabCustoUnit[[#This Row],[ISS]])/tabCustoUnit[[#This Row],[Resumo de Alíquotas (PIS+CONFINS+ISS)]])/100</f>
        <v>3.4188034188034219E-2</v>
      </c>
      <c r="BT250" s="26">
        <f>(VLOOKUP(tabCustoUnit[[#This Row],[Código do Posto]],tabParametros[],MATCH(tabCustoUnit[[#Headers],[COFINS]],tabParametros[#Headers],0),0)+
VLOOKUP(tabCustoUnit[[#This Row],[Código do Posto]],tabParametros[],MATCH(tabCustoUnit[[#Headers],[PIS]],tabParametros[#Headers],0),0)+
VLOOKUP(tabCustoUnit[[#This Row],[Código do Posto]],tabParametros[],MATCH(tabCustoUnit[[#Headers],[ISS]],tabParametros[#Headers],0),0))</f>
        <v>0.1225</v>
      </c>
      <c r="BU250" s="138">
        <f>tabCustoUnit[[#This Row],[COFINS]]+tabCustoUnit[[#This Row],[PIS]]+tabCustoUnit[[#This Row],[ISS (Conversão Alíquota s/ fatura)]]</f>
        <v>0.13960113960113973</v>
      </c>
      <c r="BV250" s="22">
        <f>(tabCustoUnit[[#This Row],[TOTAL MÓDULOS 1+2+3+4+5]]+tabCustoUnit[[#This Row],[Custos Indiretos]]+tabCustoUnit[[#This Row],[Lucro]])*tabCustoUnit[[#This Row],[PIS + COFINS + ISS (Total Conversão  Alíquota s/ Fatura)]]</f>
        <v>349.75143142526701</v>
      </c>
      <c r="BW250" s="22">
        <f>tabCustoUnit[[#This Row],[Custos Indiretos]]+tabCustoUnit[[#This Row],[Lucro]]+tabCustoUnit[[#This Row],[Valor dos Tributos (ISS, PIS, CONFINS)]]</f>
        <v>698.70522600573111</v>
      </c>
      <c r="BX250" s="22">
        <f>tabCustoUnit[[#This Row],[TOTAL MÓDULOS 1+2+3+4+5]]+tabCustoUnit[[#This Row],[MÓDULO 6 – CUSTOS INDIRETOS, TRIBUTOS E LUCRO]]</f>
        <v>2855.1137259205448</v>
      </c>
      <c r="BY250" s="22">
        <f>tabCustoUnit[[#This Row],[CUSTO TOTAL MENSAL]]*12</f>
        <v>34261.364711046539</v>
      </c>
      <c r="BZ250" s="24">
        <f>VLOOKUP(tabCustoUnit[[#This Row],[Código do Posto]],tabParametros[],MATCH(tabCustoUnit[[#Headers],[ANO DA CCT]],tabParametros[#Headers],0),0)</f>
        <v>45658</v>
      </c>
      <c r="CA250" s="25" t="str">
        <f>VLOOKUP(tabCustoUnit[[#This Row],[Código do Posto]],tabParametros[],MATCH(tabCustoUnit[[#Headers],[Nº DE PEDIDO DA CCT]],tabParametros[#Headers],0),0)</f>
        <v>-</v>
      </c>
      <c r="CB250" s="25" t="str">
        <f>VLOOKUP(tabCustoUnit[[#This Row],[Código do Posto]],tabParametros[],MATCH(tabCustoUnit[[#Headers],[TERMO ADITIVO ALTERAÇÃO DA CCT]],tabParametros[#Headers],0),0)</f>
        <v>-</v>
      </c>
    </row>
    <row r="251" spans="1:80" x14ac:dyDescent="0.25">
      <c r="A251" s="20" t="s">
        <v>1586</v>
      </c>
      <c r="B251" t="s">
        <v>224</v>
      </c>
      <c r="C251" t="s">
        <v>1245</v>
      </c>
      <c r="D251" t="s">
        <v>1023</v>
      </c>
      <c r="E251" s="20" t="s">
        <v>9</v>
      </c>
      <c r="F251" s="20" t="s">
        <v>10</v>
      </c>
      <c r="G251" s="21">
        <v>1596.28</v>
      </c>
      <c r="H251" s="21">
        <v>0</v>
      </c>
      <c r="I251" s="21">
        <v>0</v>
      </c>
      <c r="J251" s="21">
        <v>0</v>
      </c>
      <c r="K251" s="21">
        <v>0</v>
      </c>
      <c r="L251" s="21">
        <v>0</v>
      </c>
      <c r="M251" s="21">
        <v>0</v>
      </c>
      <c r="N251" s="21">
        <v>52.241900000000001</v>
      </c>
      <c r="O251" s="21">
        <f>SUM(tabCustoUnit[[#This Row],[Salário Base]:[Adicional de Acúmulo de função]])</f>
        <v>1648.5219</v>
      </c>
      <c r="P251" s="21">
        <f>tabCustoUnit[[#This Row],[MODULO 1 - REMUNERAÇÃO ]]*SUMIFS(tabParametros[INSS],tabParametros[Código do Posto],tabCustoUnit[[#This Row],[Código do Posto]])</f>
        <v>329.70438000000001</v>
      </c>
      <c r="Q251" s="21">
        <f>tabCustoUnit[[#This Row],[MODULO 1 - REMUNERAÇÃO ]]*SUMIFS(tabParametros[SESI OU SESC],tabParametros[Código do Posto],tabCustoUnit[[#This Row],[Código do Posto]])</f>
        <v>24.727828499999998</v>
      </c>
      <c r="R251" s="21">
        <f>tabCustoUnit[[#This Row],[MODULO 1 - REMUNERAÇÃO ]]*SUMIFS(tabParametros[SENAI OU SENAC],tabParametros[Código do Posto],tabCustoUnit[[#This Row],[Código do Posto]])</f>
        <v>16.485219000000001</v>
      </c>
      <c r="S251" s="21">
        <f>tabCustoUnit[[#This Row],[MODULO 1 - REMUNERAÇÃO ]]*SUMIFS(tabParametros[INCRA],tabParametros[Código do Posto],tabCustoUnit[[#This Row],[Código do Posto]])</f>
        <v>3.2970438</v>
      </c>
      <c r="T251" s="21">
        <f>tabCustoUnit[[#This Row],[MODULO 1 - REMUNERAÇÃO ]]*SUMIFS(tabParametros[Salário Educação],tabParametros[Código do Posto],tabCustoUnit[[#This Row],[Código do Posto]])</f>
        <v>41.213047500000002</v>
      </c>
      <c r="U251" s="21">
        <f>tabCustoUnit[[#This Row],[MODULO 1 - REMUNERAÇÃO ]]*SUMIFS(tabParametros[FGTS],tabParametros[Código do Posto],tabCustoUnit[[#This Row],[Código do Posto]])</f>
        <v>131.88175200000001</v>
      </c>
      <c r="V251" s="21">
        <f>tabCustoUnit[[#This Row],[MODULO 1 - REMUNERAÇÃO ]]*SUMIFS(tabParametros[RAT Ajustado],tabParametros[Código do Posto],tabCustoUnit[[#This Row],[Código do Posto]])</f>
        <v>65.940876000000003</v>
      </c>
      <c r="W251" s="21">
        <f>tabCustoUnit[[#This Row],[MODULO 1 - REMUNERAÇÃO ]]*SUMIFS(tabParametros[SEBRAE],tabParametros[Código do Posto],tabCustoUnit[[#This Row],[Código do Posto]])</f>
        <v>9.8911314000000008</v>
      </c>
      <c r="X251" s="21">
        <f>SUM(tabCustoUnit[[#This Row],[INSS]:[SEBRAE]])</f>
        <v>623.14127819999999</v>
      </c>
      <c r="Y251" s="21">
        <f>tabCustoUnit[[#This Row],[MODULO 1 - REMUNERAÇÃO ]]*SUMIFS(tabParametros[13º salário (titular)],tabParametros[Código do Posto],tabCustoUnit[[#This Row],[Código do Posto]])</f>
        <v>137.376825</v>
      </c>
      <c r="Z251" s="21">
        <f>tabCustoUnit[[#This Row],[MODULO 1 - REMUNERAÇÃO ]]*SUMIFS(tabParametros[Férias e Adicional de Férias (titular)],tabParametros[Código do Posto],tabCustoUnit[[#This Row],[Código do Posto]])</f>
        <v>183.16909999999999</v>
      </c>
      <c r="AA251" s="21">
        <f>IFERROR((tabCustoUnit[[#This Row],[Submódulo 2.1]]/tabCustoUnit[[#This Row],[MODULO 1 - REMUNERAÇÃO ]])*SUM(tabCustoUnit[[#This Row],[13º salário (titular)]:[Férias e Adicional de Férias (titular)]]),0)</f>
        <v>121.16635965</v>
      </c>
      <c r="AB251" s="21">
        <f>SUM(tabCustoUnit[[#This Row],[13º salário (titular)]:[Incidência do Submódulo 2.1 sobre 13º Salário, Férias e Adicional de Férias]])</f>
        <v>441.71228465000002</v>
      </c>
      <c r="AC251" s="22">
        <f>_xlfn.LET(_xlpm.VT,SUMIF(tabParametros[Código do Posto],tabCustoUnit[[#This Row],[Código do Posto]],tabParametros[Vale - Transporte])*2*20,
IF((_xlpm.VT-tabCustoUnit[[#This Row],[Salário Base]]*0.06)&gt;=0,(_xlpm.VT-tabCustoUnit[[#This Row],[Salário Base]]*0.06),0)
)</f>
        <v>160.22320000000002</v>
      </c>
      <c r="AD251" s="22">
        <f>IF(SUMIF(tabParametros[Código do Posto],tabCustoUnit[[#This Row],[Código do Posto]],tabParametros[Vale - Alimentação])&lt;=0,0,
SUMIF(tabParametros[Código do Posto],tabCustoUnit[[#This Row],[Código do Posto]],tabParametros[Vale - Alimentação])*20-1)</f>
        <v>582</v>
      </c>
      <c r="AE251" s="22">
        <f>SUMIF(tabParametros[Código do Posto],tabCustoUnit[[#This Row],[Código do Posto]],tabParametros[Cesta Básica])</f>
        <v>0</v>
      </c>
      <c r="AF251" s="22">
        <f>SUMIF(tabParametros[Código do Posto],tabCustoUnit[[#This Row],[Código do Posto]],tabParametros[PAF])</f>
        <v>53.27</v>
      </c>
      <c r="AG251" s="22">
        <f>SUMIF(tabParametros[Código do Posto],tabCustoUnit[[#This Row],[Código do Posto]],tabParametros[PQM])</f>
        <v>0</v>
      </c>
      <c r="AH251" s="22">
        <f>SUMIF(tabParametros[Código do Posto],tabCustoUnit[[#This Row],[Código do Posto]],tabParametros[PAT])</f>
        <v>0</v>
      </c>
      <c r="AI251" s="22">
        <f>SUMIF(tabParametros[Código do Posto],tabCustoUnit[[#This Row],[Código do Posto]],tabParametros[Seguro de Vida])</f>
        <v>3.36</v>
      </c>
      <c r="AJ251" s="22">
        <f>SUMIF(tabParametros[Código do Posto],tabCustoUnit[[#This Row],[Código do Posto]],tabParametros[Despesas de Viagem])</f>
        <v>0</v>
      </c>
      <c r="AK251" s="22">
        <f>SUM(tabCustoUnit[[#This Row],[Vale - Transporte (Descontada parcela do empregado)]:[Despesas de Viagem]])</f>
        <v>798.85320000000002</v>
      </c>
      <c r="AL251" s="22">
        <f>tabCustoUnit[[#This Row],[Submódulo 2.1]]+tabCustoUnit[[#This Row],[Submódulo 2.2]]+tabCustoUnit[[#This Row],[Submódulo 2.3]]</f>
        <v>1863.7067628499999</v>
      </c>
      <c r="AM251" s="22">
        <f>SUMIF(tabParametros[Código do Posto],tabCustoUnit[[#This Row],[Código do Posto]],tabParametros[Aviso Prévio Indenizado (API) e Reflexo do Aviso Prévio Indenizado])*tabCustoUnit[[#This Row],[MODULO 1 - REMUNERAÇÃO ]]</f>
        <v>11.559051416493055</v>
      </c>
      <c r="AN251" s="22">
        <f>SUMIF(tabParametros[Código do Posto],tabCustoUnit[[#This Row],[Código do Posto]],tabParametros[Incidência do FGTS sobre API e Reflexo do API])*tabCustoUnit[[#This Row],[MODULO 1 - REMUNERAÇÃO ]]</f>
        <v>0.92472411331944449</v>
      </c>
      <c r="AO251" s="22">
        <f>SUMIF(tabParametros[Código do Posto],tabCustoUnit[[#This Row],[Código do Posto]],tabParametros[Multa Rescisória do FGTS sobre o Aviso Prévio Indenizado])*tabCustoUnit[[#This Row],[MODULO 1 - REMUNERAÇÃO ]]</f>
        <v>0.36988964532777785</v>
      </c>
      <c r="AP251" s="22">
        <f>SUMIF(tabParametros[Código do Posto],tabCustoUnit[[#This Row],[Código do Posto]],tabParametros[Aviso Prévio Trabalhado - APT])*tabCustoUnit[[#This Row],[MODULO 1 - REMUNERAÇÃO ]]</f>
        <v>5.7698266500000006</v>
      </c>
      <c r="AQ251" s="22">
        <f>SUMIF(tabParametros[Código do Posto],tabCustoUnit[[#This Row],[Código do Posto]],tabParametros[Incidência dos encargos do submódulo 2.1 sobre Aviso Prévio Trabalhado])*tabCustoUnit[[#This Row],[MODULO 1 - REMUNERAÇÃO ]]</f>
        <v>2.1809944737000007</v>
      </c>
      <c r="AR251" s="22">
        <f>SUMIF(tabParametros[Código do Posto],tabCustoUnit[[#This Row],[Código do Posto]],tabParametros[Multa Rescisória do FGTS])*tabCustoUnit[[#This Row],[MODULO 1 - REMUNERAÇÃO ]]</f>
        <v>50.40813631999999</v>
      </c>
      <c r="AS251" s="22">
        <f>SUMIF(tabParametros[Código do Posto],tabCustoUnit[[#This Row],[Código do Posto]],tabParametros[Indenização Adicional (Art. 9º da Lei nº 7.238/84)])*tabCustoUnit[[#This Row],[MODULO 1 - REMUNERAÇÃO ]]</f>
        <v>1.3737682500000001</v>
      </c>
      <c r="AT251" s="22">
        <f>SUM(tabCustoUnit[[#This Row],[Aviso Prévio Indenizado (API) e Reflexo do Aviso Prévio Indenizado]:[Indenização Adicional (Art. 9º da Lei nº 7.238/84)]])</f>
        <v>72.586390868840269</v>
      </c>
      <c r="AU251" s="22">
        <f>SUMIF(tabParametros[Código do Posto],tabCustoUnit[[#This Row],[Código do Posto]],tabParametros[Ausência por Doença])*tabCustoUnit[[#This Row],[MODULO 1 - REMUNERAÇÃO ]]</f>
        <v>13.920851599999999</v>
      </c>
      <c r="AV251" s="22">
        <f>SUMIF(tabParametros[Código do Posto],tabCustoUnit[[#This Row],[Código do Posto]],tabParametros[Ausências Legais])*tabCustoUnit[[#This Row],[MODULO 1 - REMUNERAÇÃO ]]</f>
        <v>3.3428360749999997</v>
      </c>
      <c r="AW251" s="22">
        <f>SUMIF(tabParametros[Código do Posto],tabCustoUnit[[#This Row],[Código do Posto]],tabParametros[Licença Paternidade])*tabCustoUnit[[#This Row],[MODULO 1 - REMUNERAÇÃO ]]</f>
        <v>0.28162249125</v>
      </c>
      <c r="AX251" s="22">
        <f>SUMIF(tabParametros[Código do Posto],tabCustoUnit[[#This Row],[Código do Posto]],tabParametros[Ausência por Acidente de Trabalho])*tabCustoUnit[[#This Row],[MODULO 1 - REMUNERAÇÃO ]]</f>
        <v>0.34344206250000003</v>
      </c>
      <c r="AY251" s="22">
        <f>SUMIF(tabParametros[Código do Posto],tabCustoUnit[[#This Row],[Código do Posto]],tabParametros[Férias, Adicional de Férias e 13º  com empregada em gozo de Licença Maternidade])*tabCustoUnit[[#This Row],[MODULO 1 - REMUNERAÇÃO ]]</f>
        <v>2.1369728333333331</v>
      </c>
      <c r="AZ251" s="22">
        <f>SUMIF(tabParametros[Código do Posto],tabCustoUnit[[#This Row],[Código do Posto]],tabParametros[Incidência do Submódulo 2.1 sobre Ausências Legais])*tabCustoUnit[[#This Row],[MODULO 1 - REMUNERAÇÃO ]]</f>
        <v>7.5697240734675013</v>
      </c>
      <c r="BA251" s="22">
        <f>SUM(tabCustoUnit[[#This Row],[Ausência por Doença]:[Incidência do Submódulo 2.1 sobre Ausências Legais]])</f>
        <v>27.595449135550833</v>
      </c>
      <c r="BB251" s="22">
        <f>SUMIF(tabParametros[Código do Posto],tabCustoUnit[[#This Row],[Código do Posto]],tabParametros[Intervalo para Repouso ou Alimentação])</f>
        <v>0</v>
      </c>
      <c r="BC251" s="22">
        <f>tabCustoUnit[[#This Row],[Intervalo para Repouso ou Alimentação]]</f>
        <v>0</v>
      </c>
      <c r="BD251" s="22">
        <f>IF(VLOOKUP(tabCustoUnit[[#This Row],[Código do Posto]],PARAMETROS!$A$4:$BJ$255,7,0)&lt;=0,0,
IFERROR((tabCustoUnit[[#This Row],[MODULO 1 - REMUNERAÇÃO ]]*VLOOKUP(tabCustoUnit[[#This Row],[Código do Posto]],PARAMETROS!$A$4:$BJ$255,49,0))/(VLOOKUP(tabCustoUnit[[#This Row],[Código do Posto]],PARAMETROS!$A$4:$BJ$255,7,0)*VLOOKUP(tabCustoUnit[[#This Row],[Código do Posto]],PARAMETROS!$A$4:$BJ$255,8,0)),0)
)</f>
        <v>0</v>
      </c>
      <c r="BE251" s="22">
        <f>tabCustoUnit[[#This Row],[Suspensão Temporária do Contrato de Trabalho]]</f>
        <v>0</v>
      </c>
      <c r="BF251" s="22">
        <f>tabCustoUnit[[#This Row],[Submódulo 4.1]]+tabCustoUnit[[#This Row],[Submódulo 4.2]]+tabCustoUnit[[#This Row],[Submódulo 4.3]]</f>
        <v>27.595449135550833</v>
      </c>
      <c r="BG251" s="22">
        <f>VLOOKUP(tabCustoUnit[[#This Row],[Código do Posto]],tabParametros[],MATCH(tabCustoUnit[[#Headers],[Uniformes e EPIs]],tabParametros[#Headers],0),0)</f>
        <v>100.80916666666666</v>
      </c>
      <c r="BH251" s="22">
        <f>VLOOKUP(tabCustoUnit[[#This Row],[Código do Posto]],tabParametros[],MATCH(tabCustoUnit[[#Headers],[Materiais de Consumo]],tabParametros[#Headers],0),0)</f>
        <v>35.518212958583888</v>
      </c>
      <c r="BI251" s="22">
        <f>VLOOKUP(tabCustoUnit[[#This Row],[Código do Posto]],tabParametros[],MATCH(tabCustoUnit[[#Headers],[Máquinas e Equipamentos (depreciação)]],tabParametros[#Headers],0),0)</f>
        <v>64.529393914825576</v>
      </c>
      <c r="BJ251" s="22">
        <f>VLOOKUP(tabCustoUnit[[#This Row],[Código do Posto]],tabParametros[],MATCH(tabCustoUnit[[#Headers],[Produtos de Limpeza e Materiais de Higiene Pessoal]],tabParametros[#Headers],0),0)</f>
        <v>690.27153277931654</v>
      </c>
      <c r="BK251" s="22">
        <f>VLOOKUP(tabCustoUnit[[#This Row],[Código do Posto]],tabParametros[],MATCH(tabCustoUnit[[#Headers],[Outros (especificar)]],tabParametros[#Headers],0),0)</f>
        <v>0</v>
      </c>
      <c r="BL251" s="22">
        <f>SUM(tabCustoUnit[[#This Row],[Uniformes e EPIs]:[Outros (especificar)]])</f>
        <v>891.12830631939266</v>
      </c>
      <c r="BM251" s="22">
        <f>tabCustoUnit[[#This Row],[MODULO 1 - REMUNERAÇÃO ]]+tabCustoUnit[[#This Row],[MÓDULO 2 - Total Encargos e Benefícios mensais e diários]]+tabCustoUnit[[#This Row],[MÓDULO 3 – PROVISÃO PARA RESCISÃO]]+tabCustoUnit[[#This Row],[MÓDULO 4 – CUSTO DE REPOSIÇÃO DO PROFISSIONAL AUSENTE]]+tabCustoUnit[[#This Row],[MÓDULO 5 – INSUMOS DIVERSOS]]</f>
        <v>4503.5388091737832</v>
      </c>
      <c r="BN251" s="22">
        <f>VLOOKUP(tabCustoUnit[[#This Row],[Código do Posto]],tabParametros[],MATCH(tabCustoUnit[[#Headers],[Custos Indiretos]],tabParametros[#Headers],0),0)</f>
        <v>189.64880140242613</v>
      </c>
      <c r="BO251" s="22">
        <f>VLOOKUP(tabCustoUnit[[#This Row],[Código do Posto]],tabParametros[],MATCH(tabCustoUnit[[#Headers],[Lucro]],tabParametros[#Headers],0),0)</f>
        <v>159.30499317803796</v>
      </c>
      <c r="BP251" s="26">
        <f>((100/((1-tabCustoUnit[[#This Row],[Resumo de Alíquotas (PIS+CONFINS+ISS)]]))-100)*VLOOKUP(tabCustoUnit[[#This Row],[Código do Posto]],tabParametros[],MATCH(tabCustoUnit[[#Headers],[COFINS]],tabParametros[#Headers],0),0))/(tabCustoUnit[[#This Row],[Resumo de Alíquotas (PIS+CONFINS+ISS)]]*100)</f>
        <v>8.6609686609686695E-2</v>
      </c>
      <c r="BQ251" s="26">
        <f>((100/((100-(tabCustoUnit[[#This Row],[Resumo de Alíquotas (PIS+CONFINS+ISS)]]*100))%)-100)*VLOOKUP(tabCustoUnit[[#This Row],[Código do Posto]],tabParametros[],MATCH(tabCustoUnit[[#Headers],[PIS]],tabParametros[#Headers],0),0))/(tabCustoUnit[[#This Row],[Resumo de Alíquotas (PIS+CONFINS+ISS)]]*100)</f>
        <v>1.880341880341882E-2</v>
      </c>
      <c r="BR251" s="28">
        <f>VLOOKUP(tabCustoUnit[[#This Row],[Código do Posto]],tabParametros[],MATCH(tabCustoUnit[[#Headers],[ISS]],tabParametros[#Headers],0),0)</f>
        <v>0.03</v>
      </c>
      <c r="BS251" s="26">
        <f>(((100/((100-(tabCustoUnit[[#This Row],[Resumo de Alíquotas (PIS+CONFINS+ISS)]]*100))%)-100)*tabCustoUnit[[#This Row],[ISS]])/tabCustoUnit[[#This Row],[Resumo de Alíquotas (PIS+CONFINS+ISS)]])/100</f>
        <v>3.4188034188034219E-2</v>
      </c>
      <c r="BT251" s="26">
        <f>(VLOOKUP(tabCustoUnit[[#This Row],[Código do Posto]],tabParametros[],MATCH(tabCustoUnit[[#Headers],[COFINS]],tabParametros[#Headers],0),0)+
VLOOKUP(tabCustoUnit[[#This Row],[Código do Posto]],tabParametros[],MATCH(tabCustoUnit[[#Headers],[PIS]],tabParametros[#Headers],0),0)+
VLOOKUP(tabCustoUnit[[#This Row],[Código do Posto]],tabParametros[],MATCH(tabCustoUnit[[#Headers],[ISS]],tabParametros[#Headers],0),0))</f>
        <v>0.1225</v>
      </c>
      <c r="BU251" s="138">
        <f>tabCustoUnit[[#This Row],[COFINS]]+tabCustoUnit[[#This Row],[PIS]]+tabCustoUnit[[#This Row],[ISS (Conversão Alíquota s/ fatura)]]</f>
        <v>0.13960113960113973</v>
      </c>
      <c r="BV251" s="22">
        <f>(tabCustoUnit[[#This Row],[TOTAL MÓDULOS 1+2+3+4+5]]+tabCustoUnit[[#This Row],[Custos Indiretos]]+tabCustoUnit[[#This Row],[Lucro]])*tabCustoUnit[[#This Row],[PIS + COFINS + ISS (Total Conversão  Alíquota s/ Fatura)]]</f>
        <v>677.41349739019472</v>
      </c>
      <c r="BW251" s="22">
        <f>tabCustoUnit[[#This Row],[Custos Indiretos]]+tabCustoUnit[[#This Row],[Lucro]]+tabCustoUnit[[#This Row],[Valor dos Tributos (ISS, PIS, CONFINS)]]</f>
        <v>1026.3672919706587</v>
      </c>
      <c r="BX251" s="22">
        <f>tabCustoUnit[[#This Row],[TOTAL MÓDULOS 1+2+3+4+5]]+tabCustoUnit[[#This Row],[MÓDULO 6 – CUSTOS INDIRETOS, TRIBUTOS E LUCRO]]</f>
        <v>5529.9061011444419</v>
      </c>
      <c r="BY251" s="22">
        <f>tabCustoUnit[[#This Row],[CUSTO TOTAL MENSAL]]*12</f>
        <v>66358.873213733299</v>
      </c>
      <c r="BZ251" s="24">
        <f>VLOOKUP(tabCustoUnit[[#This Row],[Código do Posto]],tabParametros[],MATCH(tabCustoUnit[[#Headers],[ANO DA CCT]],tabParametros[#Headers],0),0)</f>
        <v>45658</v>
      </c>
      <c r="CA251" s="25" t="str">
        <f>VLOOKUP(tabCustoUnit[[#This Row],[Código do Posto]],tabParametros[],MATCH(tabCustoUnit[[#Headers],[Nº DE PEDIDO DA CCT]],tabParametros[#Headers],0),0)</f>
        <v>-</v>
      </c>
      <c r="CB251" s="25" t="str">
        <f>VLOOKUP(tabCustoUnit[[#This Row],[Código do Posto]],tabParametros[],MATCH(tabCustoUnit[[#Headers],[TERMO ADITIVO ALTERAÇÃO DA CCT]],tabParametros[#Headers],0),0)</f>
        <v>-</v>
      </c>
    </row>
    <row r="252" spans="1:80" x14ac:dyDescent="0.25">
      <c r="A252" s="20" t="s">
        <v>1587</v>
      </c>
      <c r="B252" t="s">
        <v>225</v>
      </c>
      <c r="C252" t="s">
        <v>1244</v>
      </c>
      <c r="D252" t="s">
        <v>1041</v>
      </c>
      <c r="E252" s="20" t="s">
        <v>9</v>
      </c>
      <c r="F252" s="20" t="s">
        <v>10</v>
      </c>
      <c r="G252" s="21">
        <v>798.14</v>
      </c>
      <c r="H252" s="21">
        <v>0</v>
      </c>
      <c r="I252" s="21">
        <v>0</v>
      </c>
      <c r="J252" s="21">
        <v>0</v>
      </c>
      <c r="K252" s="21">
        <v>0</v>
      </c>
      <c r="L252" s="21">
        <v>0</v>
      </c>
      <c r="M252" s="21">
        <v>0</v>
      </c>
      <c r="N252" s="21">
        <v>26.120899999999999</v>
      </c>
      <c r="O252" s="21">
        <f>SUM(tabCustoUnit[[#This Row],[Salário Base]:[Adicional de Acúmulo de função]])</f>
        <v>824.26089999999999</v>
      </c>
      <c r="P252" s="21">
        <f>tabCustoUnit[[#This Row],[MODULO 1 - REMUNERAÇÃO ]]*SUMIFS(tabParametros[INSS],tabParametros[Código do Posto],tabCustoUnit[[#This Row],[Código do Posto]])</f>
        <v>164.85218</v>
      </c>
      <c r="Q252" s="21">
        <f>tabCustoUnit[[#This Row],[MODULO 1 - REMUNERAÇÃO ]]*SUMIFS(tabParametros[SESI OU SESC],tabParametros[Código do Posto],tabCustoUnit[[#This Row],[Código do Posto]])</f>
        <v>12.363913499999999</v>
      </c>
      <c r="R252" s="21">
        <f>tabCustoUnit[[#This Row],[MODULO 1 - REMUNERAÇÃO ]]*SUMIFS(tabParametros[SENAI OU SENAC],tabParametros[Código do Posto],tabCustoUnit[[#This Row],[Código do Posto]])</f>
        <v>8.2426089999999999</v>
      </c>
      <c r="S252" s="21">
        <f>tabCustoUnit[[#This Row],[MODULO 1 - REMUNERAÇÃO ]]*SUMIFS(tabParametros[INCRA],tabParametros[Código do Posto],tabCustoUnit[[#This Row],[Código do Posto]])</f>
        <v>1.6485217999999999</v>
      </c>
      <c r="T252" s="21">
        <f>tabCustoUnit[[#This Row],[MODULO 1 - REMUNERAÇÃO ]]*SUMIFS(tabParametros[Salário Educação],tabParametros[Código do Posto],tabCustoUnit[[#This Row],[Código do Posto]])</f>
        <v>20.606522500000001</v>
      </c>
      <c r="U252" s="21">
        <f>tabCustoUnit[[#This Row],[MODULO 1 - REMUNERAÇÃO ]]*SUMIFS(tabParametros[FGTS],tabParametros[Código do Posto],tabCustoUnit[[#This Row],[Código do Posto]])</f>
        <v>65.940871999999999</v>
      </c>
      <c r="V252" s="21">
        <f>tabCustoUnit[[#This Row],[MODULO 1 - REMUNERAÇÃO ]]*SUMIFS(tabParametros[RAT Ajustado],tabParametros[Código do Posto],tabCustoUnit[[#This Row],[Código do Posto]])</f>
        <v>32.970435999999999</v>
      </c>
      <c r="W252" s="21">
        <f>tabCustoUnit[[#This Row],[MODULO 1 - REMUNERAÇÃO ]]*SUMIFS(tabParametros[SEBRAE],tabParametros[Código do Posto],tabCustoUnit[[#This Row],[Código do Posto]])</f>
        <v>4.9455654000000004</v>
      </c>
      <c r="X252" s="21">
        <f>SUM(tabCustoUnit[[#This Row],[INSS]:[SEBRAE]])</f>
        <v>311.57062020000001</v>
      </c>
      <c r="Y252" s="21">
        <f>tabCustoUnit[[#This Row],[MODULO 1 - REMUNERAÇÃO ]]*SUMIFS(tabParametros[13º salário (titular)],tabParametros[Código do Posto],tabCustoUnit[[#This Row],[Código do Posto]])</f>
        <v>68.688408333333328</v>
      </c>
      <c r="Z252" s="21">
        <f>tabCustoUnit[[#This Row],[MODULO 1 - REMUNERAÇÃO ]]*SUMIFS(tabParametros[Férias e Adicional de Férias (titular)],tabParametros[Código do Posto],tabCustoUnit[[#This Row],[Código do Posto]])</f>
        <v>91.584544444444433</v>
      </c>
      <c r="AA252" s="21">
        <f>IFERROR((tabCustoUnit[[#This Row],[Submódulo 2.1]]/tabCustoUnit[[#This Row],[MODULO 1 - REMUNERAÇÃO ]])*SUM(tabCustoUnit[[#This Row],[13º salário (titular)]:[Férias e Adicional de Férias (titular)]]),0)</f>
        <v>60.583176149999993</v>
      </c>
      <c r="AB252" s="21">
        <f>SUM(tabCustoUnit[[#This Row],[13º salário (titular)]:[Incidência do Submódulo 2.1 sobre 13º Salário, Férias e Adicional de Férias]])</f>
        <v>220.85612892777775</v>
      </c>
      <c r="AC252" s="22">
        <f>_xlfn.LET(_xlpm.VT,SUMIF(tabParametros[Código do Posto],tabCustoUnit[[#This Row],[Código do Posto]],tabParametros[Vale - Transporte])*2*20,
IF((_xlpm.VT-tabCustoUnit[[#This Row],[Salário Base]]*0.06)&gt;=0,(_xlpm.VT-tabCustoUnit[[#This Row],[Salário Base]]*0.06),0)
)</f>
        <v>208.11160000000001</v>
      </c>
      <c r="AD252" s="22">
        <f>IF(SUMIF(tabParametros[Código do Posto],tabCustoUnit[[#This Row],[Código do Posto]],tabParametros[Vale - Alimentação])&lt;=0,0,
SUMIF(tabParametros[Código do Posto],tabCustoUnit[[#This Row],[Código do Posto]],tabParametros[Vale - Alimentação])*20-1)</f>
        <v>582</v>
      </c>
      <c r="AE252" s="22">
        <f>SUMIF(tabParametros[Código do Posto],tabCustoUnit[[#This Row],[Código do Posto]],tabParametros[Cesta Básica])</f>
        <v>0</v>
      </c>
      <c r="AF252" s="22">
        <f>SUMIF(tabParametros[Código do Posto],tabCustoUnit[[#This Row],[Código do Posto]],tabParametros[PAF])</f>
        <v>0</v>
      </c>
      <c r="AG252" s="22">
        <f>SUMIF(tabParametros[Código do Posto],tabCustoUnit[[#This Row],[Código do Posto]],tabParametros[PQM])</f>
        <v>0</v>
      </c>
      <c r="AH252" s="22">
        <f>SUMIF(tabParametros[Código do Posto],tabCustoUnit[[#This Row],[Código do Posto]],tabParametros[PAT])</f>
        <v>0</v>
      </c>
      <c r="AI252" s="22">
        <f>SUMIF(tabParametros[Código do Posto],tabCustoUnit[[#This Row],[Código do Posto]],tabParametros[Seguro de Vida])</f>
        <v>3.36</v>
      </c>
      <c r="AJ252" s="22">
        <f>SUMIF(tabParametros[Código do Posto],tabCustoUnit[[#This Row],[Código do Posto]],tabParametros[Despesas de Viagem])</f>
        <v>0</v>
      </c>
      <c r="AK252" s="22">
        <f>SUM(tabCustoUnit[[#This Row],[Vale - Transporte (Descontada parcela do empregado)]:[Despesas de Viagem]])</f>
        <v>793.47159999999997</v>
      </c>
      <c r="AL252" s="22">
        <f>tabCustoUnit[[#This Row],[Submódulo 2.1]]+tabCustoUnit[[#This Row],[Submódulo 2.2]]+tabCustoUnit[[#This Row],[Submódulo 2.3]]</f>
        <v>1325.8983491277777</v>
      </c>
      <c r="AM252" s="22">
        <f>SUMIF(tabParametros[Código do Posto],tabCustoUnit[[#This Row],[Código do Posto]],tabParametros[Aviso Prévio Indenizado (API) e Reflexo do Aviso Prévio Indenizado])*tabCustoUnit[[#This Row],[MODULO 1 - REMUNERAÇÃO ]]</f>
        <v>5.7795253576581791</v>
      </c>
      <c r="AN252" s="22">
        <f>SUMIF(tabParametros[Código do Posto],tabCustoUnit[[#This Row],[Código do Posto]],tabParametros[Incidência do FGTS sobre API e Reflexo do API])*tabCustoUnit[[#This Row],[MODULO 1 - REMUNERAÇÃO ]]</f>
        <v>0.46236202861265435</v>
      </c>
      <c r="AO252" s="22">
        <f>SUMIF(tabParametros[Código do Posto],tabCustoUnit[[#This Row],[Código do Posto]],tabParametros[Multa Rescisória do FGTS sobre o Aviso Prévio Indenizado])*tabCustoUnit[[#This Row],[MODULO 1 - REMUNERAÇÃO ]]</f>
        <v>0.18494481144506175</v>
      </c>
      <c r="AP252" s="22">
        <f>SUMIF(tabParametros[Código do Posto],tabCustoUnit[[#This Row],[Código do Posto]],tabParametros[Aviso Prévio Trabalhado - APT])*tabCustoUnit[[#This Row],[MODULO 1 - REMUNERAÇÃO ]]</f>
        <v>2.8849131500000005</v>
      </c>
      <c r="AQ252" s="22">
        <f>SUMIF(tabParametros[Código do Posto],tabCustoUnit[[#This Row],[Código do Posto]],tabParametros[Incidência dos encargos do submódulo 2.1 sobre Aviso Prévio Trabalhado])*tabCustoUnit[[#This Row],[MODULO 1 - REMUNERAÇÃO ]]</f>
        <v>1.0904971707000004</v>
      </c>
      <c r="AR252" s="22">
        <f>SUMIF(tabParametros[Código do Posto],tabCustoUnit[[#This Row],[Código do Posto]],tabParametros[Multa Rescisória do FGTS])*tabCustoUnit[[#This Row],[MODULO 1 - REMUNERAÇÃO ]]</f>
        <v>25.204066631111107</v>
      </c>
      <c r="AS252" s="22">
        <f>SUMIF(tabParametros[Código do Posto],tabCustoUnit[[#This Row],[Código do Posto]],tabParametros[Indenização Adicional (Art. 9º da Lei nº 7.238/84)])*tabCustoUnit[[#This Row],[MODULO 1 - REMUNERAÇÃO ]]</f>
        <v>0.6868840833333334</v>
      </c>
      <c r="AT252" s="22">
        <f>SUM(tabCustoUnit[[#This Row],[Aviso Prévio Indenizado (API) e Reflexo do Aviso Prévio Indenizado]:[Indenização Adicional (Art. 9º da Lei nº 7.238/84)]])</f>
        <v>36.293193232860339</v>
      </c>
      <c r="AU252" s="22">
        <f>SUMIF(tabParametros[Código do Posto],tabCustoUnit[[#This Row],[Código do Posto]],tabParametros[Ausência por Doença])*tabCustoUnit[[#This Row],[MODULO 1 - REMUNERAÇÃO ]]</f>
        <v>6.9604253777777769</v>
      </c>
      <c r="AV252" s="22">
        <f>SUMIF(tabParametros[Código do Posto],tabCustoUnit[[#This Row],[Código do Posto]],tabParametros[Ausências Legais])*tabCustoUnit[[#This Row],[MODULO 1 - REMUNERAÇÃO ]]</f>
        <v>1.671417936111111</v>
      </c>
      <c r="AW252" s="22">
        <f>SUMIF(tabParametros[Código do Posto],tabCustoUnit[[#This Row],[Código do Posto]],tabParametros[Licença Paternidade])*tabCustoUnit[[#This Row],[MODULO 1 - REMUNERAÇÃO ]]</f>
        <v>0.14081123708333332</v>
      </c>
      <c r="AX252" s="22">
        <f>SUMIF(tabParametros[Código do Posto],tabCustoUnit[[#This Row],[Código do Posto]],tabParametros[Ausência por Acidente de Trabalho])*tabCustoUnit[[#This Row],[MODULO 1 - REMUNERAÇÃO ]]</f>
        <v>0.17172102083333335</v>
      </c>
      <c r="AY252" s="22">
        <f>SUMIF(tabParametros[Código do Posto],tabCustoUnit[[#This Row],[Código do Posto]],tabParametros[Férias, Adicional de Férias e 13º  com empregada em gozo de Licença Maternidade])*tabCustoUnit[[#This Row],[MODULO 1 - REMUNERAÇÃO ]]</f>
        <v>1.0684863518518517</v>
      </c>
      <c r="AZ252" s="22">
        <f>SUMIF(tabParametros[Código do Posto],tabCustoUnit[[#This Row],[Código do Posto]],tabParametros[Incidência do Submódulo 2.1 sobre Ausências Legais])*tabCustoUnit[[#This Row],[MODULO 1 - REMUNERAÇÃO ]]</f>
        <v>3.7848618071425006</v>
      </c>
      <c r="BA252" s="22">
        <f>SUM(tabCustoUnit[[#This Row],[Ausência por Doença]:[Incidência do Submódulo 2.1 sobre Ausências Legais]])</f>
        <v>13.797723730799909</v>
      </c>
      <c r="BB252" s="22">
        <f>SUMIF(tabParametros[Código do Posto],tabCustoUnit[[#This Row],[Código do Posto]],tabParametros[Intervalo para Repouso ou Alimentação])</f>
        <v>0</v>
      </c>
      <c r="BC252" s="22">
        <f>tabCustoUnit[[#This Row],[Intervalo para Repouso ou Alimentação]]</f>
        <v>0</v>
      </c>
      <c r="BD252" s="22">
        <f>IF(VLOOKUP(tabCustoUnit[[#This Row],[Código do Posto]],PARAMETROS!$A$4:$BJ$255,7,0)&lt;=0,0,
IFERROR((tabCustoUnit[[#This Row],[MODULO 1 - REMUNERAÇÃO ]]*VLOOKUP(tabCustoUnit[[#This Row],[Código do Posto]],PARAMETROS!$A$4:$BJ$255,49,0))/(VLOOKUP(tabCustoUnit[[#This Row],[Código do Posto]],PARAMETROS!$A$4:$BJ$255,7,0)*VLOOKUP(tabCustoUnit[[#This Row],[Código do Posto]],PARAMETROS!$A$4:$BJ$255,8,0)),0)
)</f>
        <v>0</v>
      </c>
      <c r="BE252" s="22">
        <f>tabCustoUnit[[#This Row],[Suspensão Temporária do Contrato de Trabalho]]</f>
        <v>0</v>
      </c>
      <c r="BF252" s="22">
        <f>tabCustoUnit[[#This Row],[Submódulo 4.1]]+tabCustoUnit[[#This Row],[Submódulo 4.2]]+tabCustoUnit[[#This Row],[Submódulo 4.3]]</f>
        <v>13.797723730799909</v>
      </c>
      <c r="BG252" s="22">
        <f>VLOOKUP(tabCustoUnit[[#This Row],[Código do Posto]],tabParametros[],MATCH(tabCustoUnit[[#Headers],[Uniformes e EPIs]],tabParametros[#Headers],0),0)</f>
        <v>62.806666666666665</v>
      </c>
      <c r="BH252" s="22">
        <f>VLOOKUP(tabCustoUnit[[#This Row],[Código do Posto]],tabParametros[],MATCH(tabCustoUnit[[#Headers],[Materiais de Consumo]],tabParametros[#Headers],0),0)</f>
        <v>17.759106479291944</v>
      </c>
      <c r="BI252" s="22">
        <f>VLOOKUP(tabCustoUnit[[#This Row],[Código do Posto]],tabParametros[],MATCH(tabCustoUnit[[#Headers],[Máquinas e Equipamentos (depreciação)]],tabParametros[#Headers],0),0)</f>
        <v>32.264696957412788</v>
      </c>
      <c r="BJ252" s="22">
        <f>VLOOKUP(tabCustoUnit[[#This Row],[Código do Posto]],tabParametros[],MATCH(tabCustoUnit[[#Headers],[Produtos de Limpeza e Materiais de Higiene Pessoal]],tabParametros[#Headers],0),0)</f>
        <v>345.13576638965827</v>
      </c>
      <c r="BK252" s="22">
        <f>VLOOKUP(tabCustoUnit[[#This Row],[Código do Posto]],tabParametros[],MATCH(tabCustoUnit[[#Headers],[Outros (especificar)]],tabParametros[#Headers],0),0)</f>
        <v>0</v>
      </c>
      <c r="BL252" s="22">
        <f>SUM(tabCustoUnit[[#This Row],[Uniformes e EPIs]:[Outros (especificar)]])</f>
        <v>457.96623649302967</v>
      </c>
      <c r="BM252" s="22">
        <f>tabCustoUnit[[#This Row],[MODULO 1 - REMUNERAÇÃO ]]+tabCustoUnit[[#This Row],[MÓDULO 2 - Total Encargos e Benefícios mensais e diários]]+tabCustoUnit[[#This Row],[MÓDULO 3 – PROVISÃO PARA RESCISÃO]]+tabCustoUnit[[#This Row],[MÓDULO 4 – CUSTO DE REPOSIÇÃO DO PROFISSIONAL AUSENTE]]+tabCustoUnit[[#This Row],[MÓDULO 5 – INSUMOS DIVERSOS]]</f>
        <v>2658.2164025844677</v>
      </c>
      <c r="BN252" s="22">
        <f>VLOOKUP(tabCustoUnit[[#This Row],[Código do Posto]],tabParametros[],MATCH(tabCustoUnit[[#Headers],[Custos Indiretos]],tabParametros[#Headers],0),0)</f>
        <v>189.64880140242613</v>
      </c>
      <c r="BO252" s="22">
        <f>VLOOKUP(tabCustoUnit[[#This Row],[Código do Posto]],tabParametros[],MATCH(tabCustoUnit[[#Headers],[Lucro]],tabParametros[#Headers],0),0)</f>
        <v>159.30499317803796</v>
      </c>
      <c r="BP252" s="26">
        <f>((100/((1-tabCustoUnit[[#This Row],[Resumo de Alíquotas (PIS+CONFINS+ISS)]]))-100)*VLOOKUP(tabCustoUnit[[#This Row],[Código do Posto]],tabParametros[],MATCH(tabCustoUnit[[#Headers],[COFINS]],tabParametros[#Headers],0),0))/(tabCustoUnit[[#This Row],[Resumo de Alíquotas (PIS+CONFINS+ISS)]]*100)</f>
        <v>8.8629737609329504E-2</v>
      </c>
      <c r="BQ252" s="26">
        <f>((100/((100-(tabCustoUnit[[#This Row],[Resumo de Alíquotas (PIS+CONFINS+ISS)]]*100))%)-100)*VLOOKUP(tabCustoUnit[[#This Row],[Código do Posto]],tabParametros[],MATCH(tabCustoUnit[[#Headers],[PIS]],tabParametros[#Headers],0),0))/(tabCustoUnit[[#This Row],[Resumo de Alíquotas (PIS+CONFINS+ISS)]]*100)</f>
        <v>1.9241982507288629E-2</v>
      </c>
      <c r="BR252" s="28">
        <f>VLOOKUP(tabCustoUnit[[#This Row],[Código do Posto]],tabParametros[],MATCH(tabCustoUnit[[#Headers],[ISS]],tabParametros[#Headers],0),0)</f>
        <v>0.05</v>
      </c>
      <c r="BS252" s="26">
        <f>(((100/((100-(tabCustoUnit[[#This Row],[Resumo de Alíquotas (PIS+CONFINS+ISS)]]*100))%)-100)*tabCustoUnit[[#This Row],[ISS]])/tabCustoUnit[[#This Row],[Resumo de Alíquotas (PIS+CONFINS+ISS)]])/100</f>
        <v>5.8309037900874633E-2</v>
      </c>
      <c r="BT252" s="26">
        <f>(VLOOKUP(tabCustoUnit[[#This Row],[Código do Posto]],tabParametros[],MATCH(tabCustoUnit[[#Headers],[COFINS]],tabParametros[#Headers],0),0)+
VLOOKUP(tabCustoUnit[[#This Row],[Código do Posto]],tabParametros[],MATCH(tabCustoUnit[[#Headers],[PIS]],tabParametros[#Headers],0),0)+
VLOOKUP(tabCustoUnit[[#This Row],[Código do Posto]],tabParametros[],MATCH(tabCustoUnit[[#Headers],[ISS]],tabParametros[#Headers],0),0))</f>
        <v>0.14250000000000002</v>
      </c>
      <c r="BU252" s="138">
        <f>tabCustoUnit[[#This Row],[COFINS]]+tabCustoUnit[[#This Row],[PIS]]+tabCustoUnit[[#This Row],[ISS (Conversão Alíquota s/ fatura)]]</f>
        <v>0.16618075801749277</v>
      </c>
      <c r="BV252" s="22">
        <f>(tabCustoUnit[[#This Row],[TOTAL MÓDULOS 1+2+3+4+5]]+tabCustoUnit[[#This Row],[Custos Indiretos]]+tabCustoUnit[[#This Row],[Lucro]])*tabCustoUnit[[#This Row],[PIS + COFINS + ISS (Total Conversão  Alíquota s/ Fatura)]]</f>
        <v>499.73382285248152</v>
      </c>
      <c r="BW252" s="22">
        <f>tabCustoUnit[[#This Row],[Custos Indiretos]]+tabCustoUnit[[#This Row],[Lucro]]+tabCustoUnit[[#This Row],[Valor dos Tributos (ISS, PIS, CONFINS)]]</f>
        <v>848.68761743294567</v>
      </c>
      <c r="BX252" s="22">
        <f>tabCustoUnit[[#This Row],[TOTAL MÓDULOS 1+2+3+4+5]]+tabCustoUnit[[#This Row],[MÓDULO 6 – CUSTOS INDIRETOS, TRIBUTOS E LUCRO]]</f>
        <v>3506.9040200174131</v>
      </c>
      <c r="BY252" s="22">
        <f>tabCustoUnit[[#This Row],[CUSTO TOTAL MENSAL]]*12</f>
        <v>42082.848240208958</v>
      </c>
      <c r="BZ252" s="24">
        <f>VLOOKUP(tabCustoUnit[[#This Row],[Código do Posto]],tabParametros[],MATCH(tabCustoUnit[[#Headers],[ANO DA CCT]],tabParametros[#Headers],0),0)</f>
        <v>45658</v>
      </c>
      <c r="CA252" s="25" t="str">
        <f>VLOOKUP(tabCustoUnit[[#This Row],[Código do Posto]],tabParametros[],MATCH(tabCustoUnit[[#Headers],[Nº DE PEDIDO DA CCT]],tabParametros[#Headers],0),0)</f>
        <v>-</v>
      </c>
      <c r="CB252" s="25" t="str">
        <f>VLOOKUP(tabCustoUnit[[#This Row],[Código do Posto]],tabParametros[],MATCH(tabCustoUnit[[#Headers],[TERMO ADITIVO ALTERAÇÃO DA CCT]],tabParametros[#Headers],0),0)</f>
        <v>-</v>
      </c>
    </row>
    <row r="253" spans="1:80" x14ac:dyDescent="0.25">
      <c r="A253" s="20" t="s">
        <v>1588</v>
      </c>
      <c r="B253" t="s">
        <v>226</v>
      </c>
      <c r="C253" t="s">
        <v>1245</v>
      </c>
      <c r="D253" t="s">
        <v>226</v>
      </c>
      <c r="E253" s="20" t="s">
        <v>9</v>
      </c>
      <c r="F253" s="20" t="s">
        <v>10</v>
      </c>
      <c r="G253" s="21">
        <v>1649.12</v>
      </c>
      <c r="H253" s="21">
        <v>0</v>
      </c>
      <c r="I253" s="21">
        <v>0</v>
      </c>
      <c r="J253" s="21">
        <v>0</v>
      </c>
      <c r="K253" s="21">
        <v>0</v>
      </c>
      <c r="L253" s="21"/>
      <c r="M253" s="21">
        <v>0</v>
      </c>
      <c r="N253" s="21">
        <v>53.971200000000003</v>
      </c>
      <c r="O253" s="21">
        <f>SUM(tabCustoUnit[[#This Row],[Salário Base]:[Adicional de Acúmulo de função]])</f>
        <v>1703.0911999999998</v>
      </c>
      <c r="P253" s="21">
        <f>tabCustoUnit[[#This Row],[MODULO 1 - REMUNERAÇÃO ]]*SUMIFS(tabParametros[INSS],tabParametros[Código do Posto],tabCustoUnit[[#This Row],[Código do Posto]])</f>
        <v>340.61824000000001</v>
      </c>
      <c r="Q253" s="21">
        <f>tabCustoUnit[[#This Row],[MODULO 1 - REMUNERAÇÃO ]]*SUMIFS(tabParametros[SESI OU SESC],tabParametros[Código do Posto],tabCustoUnit[[#This Row],[Código do Posto]])</f>
        <v>25.546367999999998</v>
      </c>
      <c r="R253" s="21">
        <f>tabCustoUnit[[#This Row],[MODULO 1 - REMUNERAÇÃO ]]*SUMIFS(tabParametros[SENAI OU SENAC],tabParametros[Código do Posto],tabCustoUnit[[#This Row],[Código do Posto]])</f>
        <v>17.030911999999997</v>
      </c>
      <c r="S253" s="21">
        <f>tabCustoUnit[[#This Row],[MODULO 1 - REMUNERAÇÃO ]]*SUMIFS(tabParametros[INCRA],tabParametros[Código do Posto],tabCustoUnit[[#This Row],[Código do Posto]])</f>
        <v>3.4061823999999996</v>
      </c>
      <c r="T253" s="21">
        <f>tabCustoUnit[[#This Row],[MODULO 1 - REMUNERAÇÃO ]]*SUMIFS(tabParametros[Salário Educação],tabParametros[Código do Posto],tabCustoUnit[[#This Row],[Código do Posto]])</f>
        <v>42.577280000000002</v>
      </c>
      <c r="U253" s="21">
        <f>tabCustoUnit[[#This Row],[MODULO 1 - REMUNERAÇÃO ]]*SUMIFS(tabParametros[FGTS],tabParametros[Código do Posto],tabCustoUnit[[#This Row],[Código do Posto]])</f>
        <v>136.24729599999998</v>
      </c>
      <c r="V253" s="21">
        <f>tabCustoUnit[[#This Row],[MODULO 1 - REMUNERAÇÃO ]]*SUMIFS(tabParametros[RAT Ajustado],tabParametros[Código do Posto],tabCustoUnit[[#This Row],[Código do Posto]])</f>
        <v>68.123647999999989</v>
      </c>
      <c r="W253" s="21">
        <f>tabCustoUnit[[#This Row],[MODULO 1 - REMUNERAÇÃO ]]*SUMIFS(tabParametros[SEBRAE],tabParametros[Código do Posto],tabCustoUnit[[#This Row],[Código do Posto]])</f>
        <v>10.2185472</v>
      </c>
      <c r="X253" s="21">
        <f>SUM(tabCustoUnit[[#This Row],[INSS]:[SEBRAE]])</f>
        <v>643.76847359999999</v>
      </c>
      <c r="Y253" s="21">
        <f>tabCustoUnit[[#This Row],[MODULO 1 - REMUNERAÇÃO ]]*SUMIFS(tabParametros[13º salário (titular)],tabParametros[Código do Posto],tabCustoUnit[[#This Row],[Código do Posto]])</f>
        <v>141.92426666666665</v>
      </c>
      <c r="Z253" s="21">
        <f>tabCustoUnit[[#This Row],[MODULO 1 - REMUNERAÇÃO ]]*SUMIFS(tabParametros[Férias e Adicional de Férias (titular)],tabParametros[Código do Posto],tabCustoUnit[[#This Row],[Código do Posto]])</f>
        <v>189.23235555555553</v>
      </c>
      <c r="AA253" s="21">
        <f>IFERROR((tabCustoUnit[[#This Row],[Submódulo 2.1]]/tabCustoUnit[[#This Row],[MODULO 1 - REMUNERAÇÃO ]])*SUM(tabCustoUnit[[#This Row],[13º salário (titular)]:[Férias e Adicional de Férias (titular)]]),0)</f>
        <v>125.17720319999999</v>
      </c>
      <c r="AB253" s="21">
        <f>SUM(tabCustoUnit[[#This Row],[13º salário (titular)]:[Incidência do Submódulo 2.1 sobre 13º Salário, Férias e Adicional de Férias]])</f>
        <v>456.33382542222216</v>
      </c>
      <c r="AC253" s="22">
        <f>_xlfn.LET(_xlpm.VT,SUMIF(tabParametros[Código do Posto],tabCustoUnit[[#This Row],[Código do Posto]],tabParametros[Vale - Transporte])*2*20,
IF((_xlpm.VT-tabCustoUnit[[#This Row],[Salário Base]]*0.06)&gt;=0,(_xlpm.VT-tabCustoUnit[[#This Row],[Salário Base]]*0.06),0)
)</f>
        <v>157.05279999999999</v>
      </c>
      <c r="AD253" s="22">
        <f>IF(SUMIF(tabParametros[Código do Posto],tabCustoUnit[[#This Row],[Código do Posto]],tabParametros[Vale - Alimentação])&lt;=0,0,
SUMIF(tabParametros[Código do Posto],tabCustoUnit[[#This Row],[Código do Posto]],tabParametros[Vale - Alimentação])*20-1)</f>
        <v>582</v>
      </c>
      <c r="AE253" s="22">
        <f>SUMIF(tabParametros[Código do Posto],tabCustoUnit[[#This Row],[Código do Posto]],tabParametros[Cesta Básica])</f>
        <v>0</v>
      </c>
      <c r="AF253" s="22">
        <f>SUMIF(tabParametros[Código do Posto],tabCustoUnit[[#This Row],[Código do Posto]],tabParametros[PAF])</f>
        <v>0</v>
      </c>
      <c r="AG253" s="22">
        <f>SUMIF(tabParametros[Código do Posto],tabCustoUnit[[#This Row],[Código do Posto]],tabParametros[PQM])</f>
        <v>0</v>
      </c>
      <c r="AH253" s="22">
        <f>SUMIF(tabParametros[Código do Posto],tabCustoUnit[[#This Row],[Código do Posto]],tabParametros[PAT])</f>
        <v>0</v>
      </c>
      <c r="AI253" s="22">
        <f>SUMIF(tabParametros[Código do Posto],tabCustoUnit[[#This Row],[Código do Posto]],tabParametros[Seguro de Vida])</f>
        <v>3.36</v>
      </c>
      <c r="AJ253" s="22">
        <f>SUMIF(tabParametros[Código do Posto],tabCustoUnit[[#This Row],[Código do Posto]],tabParametros[Despesas de Viagem])</f>
        <v>0</v>
      </c>
      <c r="AK253" s="22">
        <f>SUM(tabCustoUnit[[#This Row],[Vale - Transporte (Descontada parcela do empregado)]:[Despesas de Viagem]])</f>
        <v>742.41279999999995</v>
      </c>
      <c r="AL253" s="22">
        <f>tabCustoUnit[[#This Row],[Submódulo 2.1]]+tabCustoUnit[[#This Row],[Submódulo 2.2]]+tabCustoUnit[[#This Row],[Submódulo 2.3]]</f>
        <v>1842.5150990222223</v>
      </c>
      <c r="AM253" s="22">
        <f>SUMIF(tabParametros[Código do Posto],tabCustoUnit[[#This Row],[Código do Posto]],tabParametros[Aviso Prévio Indenizado (API) e Reflexo do Aviso Prévio Indenizado])*tabCustoUnit[[#This Row],[MODULO 1 - REMUNERAÇÃO ]]</f>
        <v>11.941678632098764</v>
      </c>
      <c r="AN253" s="22">
        <f>SUMIF(tabParametros[Código do Posto],tabCustoUnit[[#This Row],[Código do Posto]],tabParametros[Incidência do FGTS sobre API e Reflexo do API])*tabCustoUnit[[#This Row],[MODULO 1 - REMUNERAÇÃO ]]</f>
        <v>0.9553342905679012</v>
      </c>
      <c r="AO253" s="22">
        <f>SUMIF(tabParametros[Código do Posto],tabCustoUnit[[#This Row],[Código do Posto]],tabParametros[Multa Rescisória do FGTS sobre o Aviso Prévio Indenizado])*tabCustoUnit[[#This Row],[MODULO 1 - REMUNERAÇÃO ]]</f>
        <v>0.38213371622716052</v>
      </c>
      <c r="AP253" s="22">
        <f>SUMIF(tabParametros[Código do Posto],tabCustoUnit[[#This Row],[Código do Posto]],tabParametros[Aviso Prévio Trabalhado - APT])*tabCustoUnit[[#This Row],[MODULO 1 - REMUNERAÇÃO ]]</f>
        <v>5.9608192000000004</v>
      </c>
      <c r="AQ253" s="22">
        <f>SUMIF(tabParametros[Código do Posto],tabCustoUnit[[#This Row],[Código do Posto]],tabParametros[Incidência dos encargos do submódulo 2.1 sobre Aviso Prévio Trabalhado])*tabCustoUnit[[#This Row],[MODULO 1 - REMUNERAÇÃO ]]</f>
        <v>2.2531896576000006</v>
      </c>
      <c r="AR253" s="22">
        <f>SUMIF(tabParametros[Código do Posto],tabCustoUnit[[#This Row],[Código do Posto]],tabParametros[Multa Rescisória do FGTS])*tabCustoUnit[[#This Row],[MODULO 1 - REMUNERAÇÃO ]]</f>
        <v>52.076744248888879</v>
      </c>
      <c r="AS253" s="22">
        <f>SUMIF(tabParametros[Código do Posto],tabCustoUnit[[#This Row],[Código do Posto]],tabParametros[Indenização Adicional (Art. 9º da Lei nº 7.238/84)])*tabCustoUnit[[#This Row],[MODULO 1 - REMUNERAÇÃO ]]</f>
        <v>1.4192426666666667</v>
      </c>
      <c r="AT253" s="22">
        <f>SUM(tabCustoUnit[[#This Row],[Aviso Prévio Indenizado (API) e Reflexo do Aviso Prévio Indenizado]:[Indenização Adicional (Art. 9º da Lei nº 7.238/84)]])</f>
        <v>74.989142412049375</v>
      </c>
      <c r="AU253" s="22">
        <f>SUMIF(tabParametros[Código do Posto],tabCustoUnit[[#This Row],[Código do Posto]],tabParametros[Ausência por Doença])*tabCustoUnit[[#This Row],[MODULO 1 - REMUNERAÇÃO ]]</f>
        <v>14.38165902222222</v>
      </c>
      <c r="AV253" s="22">
        <f>SUMIF(tabParametros[Código do Posto],tabCustoUnit[[#This Row],[Código do Posto]],tabParametros[Ausências Legais])*tabCustoUnit[[#This Row],[MODULO 1 - REMUNERAÇÃO ]]</f>
        <v>3.4534904888888884</v>
      </c>
      <c r="AW253" s="22">
        <f>SUMIF(tabParametros[Código do Posto],tabCustoUnit[[#This Row],[Código do Posto]],tabParametros[Licença Paternidade])*tabCustoUnit[[#This Row],[MODULO 1 - REMUNERAÇÃO ]]</f>
        <v>0.29094474666666664</v>
      </c>
      <c r="AX253" s="22">
        <f>SUMIF(tabParametros[Código do Posto],tabCustoUnit[[#This Row],[Código do Posto]],tabParametros[Ausência por Acidente de Trabalho])*tabCustoUnit[[#This Row],[MODULO 1 - REMUNERAÇÃO ]]</f>
        <v>0.35481066666666666</v>
      </c>
      <c r="AY253" s="22">
        <f>SUMIF(tabParametros[Código do Posto],tabCustoUnit[[#This Row],[Código do Posto]],tabParametros[Férias, Adicional de Férias e 13º  com empregada em gozo de Licença Maternidade])*tabCustoUnit[[#This Row],[MODULO 1 - REMUNERAÇÃO ]]</f>
        <v>2.2077108148148143</v>
      </c>
      <c r="AZ253" s="22">
        <f>SUMIF(tabParametros[Código do Posto],tabCustoUnit[[#This Row],[Código do Posto]],tabParametros[Incidência do Submódulo 2.1 sobre Ausências Legais])*tabCustoUnit[[#This Row],[MODULO 1 - REMUNERAÇÃO ]]</f>
        <v>7.8202967494400006</v>
      </c>
      <c r="BA253" s="22">
        <f>SUM(tabCustoUnit[[#This Row],[Ausência por Doença]:[Incidência do Submódulo 2.1 sobre Ausências Legais]])</f>
        <v>28.508912488699256</v>
      </c>
      <c r="BB253" s="22">
        <f>SUMIF(tabParametros[Código do Posto],tabCustoUnit[[#This Row],[Código do Posto]],tabParametros[Intervalo para Repouso ou Alimentação])</f>
        <v>0</v>
      </c>
      <c r="BC253" s="22">
        <f>tabCustoUnit[[#This Row],[Intervalo para Repouso ou Alimentação]]</f>
        <v>0</v>
      </c>
      <c r="BD253" s="22">
        <f>IF(VLOOKUP(tabCustoUnit[[#This Row],[Código do Posto]],PARAMETROS!$A$4:$BJ$255,7,0)&lt;=0,0,
IFERROR((tabCustoUnit[[#This Row],[MODULO 1 - REMUNERAÇÃO ]]*VLOOKUP(tabCustoUnit[[#This Row],[Código do Posto]],PARAMETROS!$A$4:$BJ$255,49,0))/(VLOOKUP(tabCustoUnit[[#This Row],[Código do Posto]],PARAMETROS!$A$4:$BJ$255,7,0)*VLOOKUP(tabCustoUnit[[#This Row],[Código do Posto]],PARAMETROS!$A$4:$BJ$255,8,0)),0)
)</f>
        <v>0</v>
      </c>
      <c r="BE253" s="22">
        <f>tabCustoUnit[[#This Row],[Suspensão Temporária do Contrato de Trabalho]]</f>
        <v>0</v>
      </c>
      <c r="BF253" s="22">
        <f>tabCustoUnit[[#This Row],[Submódulo 4.1]]+tabCustoUnit[[#This Row],[Submódulo 4.2]]+tabCustoUnit[[#This Row],[Submódulo 4.3]]</f>
        <v>28.508912488699256</v>
      </c>
      <c r="BG253" s="22">
        <f>VLOOKUP(tabCustoUnit[[#This Row],[Código do Posto]],tabParametros[],MATCH(tabCustoUnit[[#Headers],[Uniformes e EPIs]],tabParametros[#Headers],0),0)</f>
        <v>100.80916666666666</v>
      </c>
      <c r="BH253" s="22">
        <f>VLOOKUP(tabCustoUnit[[#This Row],[Código do Posto]],tabParametros[],MATCH(tabCustoUnit[[#Headers],[Materiais de Consumo]],tabParametros[#Headers],0),0)</f>
        <v>35.518212958583888</v>
      </c>
      <c r="BI253" s="22">
        <f>VLOOKUP(tabCustoUnit[[#This Row],[Código do Posto]],tabParametros[],MATCH(tabCustoUnit[[#Headers],[Máquinas e Equipamentos (depreciação)]],tabParametros[#Headers],0),0)</f>
        <v>64.529393914825576</v>
      </c>
      <c r="BJ253" s="22">
        <f>VLOOKUP(tabCustoUnit[[#This Row],[Código do Posto]],tabParametros[],MATCH(tabCustoUnit[[#Headers],[Produtos de Limpeza e Materiais de Higiene Pessoal]],tabParametros[#Headers],0),0)</f>
        <v>690.27153277931654</v>
      </c>
      <c r="BK253" s="22">
        <f>VLOOKUP(tabCustoUnit[[#This Row],[Código do Posto]],tabParametros[],MATCH(tabCustoUnit[[#Headers],[Outros (especificar)]],tabParametros[#Headers],0),0)</f>
        <v>0</v>
      </c>
      <c r="BL253" s="22">
        <f>SUM(tabCustoUnit[[#This Row],[Uniformes e EPIs]:[Outros (especificar)]])</f>
        <v>891.12830631939266</v>
      </c>
      <c r="BM253" s="22">
        <f>tabCustoUnit[[#This Row],[MODULO 1 - REMUNERAÇÃO ]]+tabCustoUnit[[#This Row],[MÓDULO 2 - Total Encargos e Benefícios mensais e diários]]+tabCustoUnit[[#This Row],[MÓDULO 3 – PROVISÃO PARA RESCISÃO]]+tabCustoUnit[[#This Row],[MÓDULO 4 – CUSTO DE REPOSIÇÃO DO PROFISSIONAL AUSENTE]]+tabCustoUnit[[#This Row],[MÓDULO 5 – INSUMOS DIVERSOS]]</f>
        <v>4540.2326602423636</v>
      </c>
      <c r="BN253" s="22">
        <f>VLOOKUP(tabCustoUnit[[#This Row],[Código do Posto]],tabParametros[],MATCH(tabCustoUnit[[#Headers],[Custos Indiretos]],tabParametros[#Headers],0),0)</f>
        <v>189.64880140242613</v>
      </c>
      <c r="BO253" s="22">
        <f>VLOOKUP(tabCustoUnit[[#This Row],[Código do Posto]],tabParametros[],MATCH(tabCustoUnit[[#Headers],[Lucro]],tabParametros[#Headers],0),0)</f>
        <v>159.30499317803796</v>
      </c>
      <c r="BP253" s="26">
        <f>((100/((1-tabCustoUnit[[#This Row],[Resumo de Alíquotas (PIS+CONFINS+ISS)]]))-100)*VLOOKUP(tabCustoUnit[[#This Row],[Código do Posto]],tabParametros[],MATCH(tabCustoUnit[[#Headers],[COFINS]],tabParametros[#Headers],0),0))/(tabCustoUnit[[#This Row],[Resumo de Alíquotas (PIS+CONFINS+ISS)]]*100)</f>
        <v>8.6609686609686695E-2</v>
      </c>
      <c r="BQ253" s="26">
        <f>((100/((100-(tabCustoUnit[[#This Row],[Resumo de Alíquotas (PIS+CONFINS+ISS)]]*100))%)-100)*VLOOKUP(tabCustoUnit[[#This Row],[Código do Posto]],tabParametros[],MATCH(tabCustoUnit[[#Headers],[PIS]],tabParametros[#Headers],0),0))/(tabCustoUnit[[#This Row],[Resumo de Alíquotas (PIS+CONFINS+ISS)]]*100)</f>
        <v>1.880341880341882E-2</v>
      </c>
      <c r="BR253" s="28">
        <f>VLOOKUP(tabCustoUnit[[#This Row],[Código do Posto]],tabParametros[],MATCH(tabCustoUnit[[#Headers],[ISS]],tabParametros[#Headers],0),0)</f>
        <v>0.03</v>
      </c>
      <c r="BS253" s="26">
        <f>(((100/((100-(tabCustoUnit[[#This Row],[Resumo de Alíquotas (PIS+CONFINS+ISS)]]*100))%)-100)*tabCustoUnit[[#This Row],[ISS]])/tabCustoUnit[[#This Row],[Resumo de Alíquotas (PIS+CONFINS+ISS)]])/100</f>
        <v>3.4188034188034219E-2</v>
      </c>
      <c r="BT253" s="26">
        <f>(VLOOKUP(tabCustoUnit[[#This Row],[Código do Posto]],tabParametros[],MATCH(tabCustoUnit[[#Headers],[COFINS]],tabParametros[#Headers],0),0)+
VLOOKUP(tabCustoUnit[[#This Row],[Código do Posto]],tabParametros[],MATCH(tabCustoUnit[[#Headers],[PIS]],tabParametros[#Headers],0),0)+
VLOOKUP(tabCustoUnit[[#This Row],[Código do Posto]],tabParametros[],MATCH(tabCustoUnit[[#Headers],[ISS]],tabParametros[#Headers],0),0))</f>
        <v>0.1225</v>
      </c>
      <c r="BU253" s="138">
        <f>tabCustoUnit[[#This Row],[COFINS]]+tabCustoUnit[[#This Row],[PIS]]+tabCustoUnit[[#This Row],[ISS (Conversão Alíquota s/ fatura)]]</f>
        <v>0.13960113960113973</v>
      </c>
      <c r="BV253" s="22">
        <f>(tabCustoUnit[[#This Row],[TOTAL MÓDULOS 1+2+3+4+5]]+tabCustoUnit[[#This Row],[Custos Indiretos]]+tabCustoUnit[[#This Row],[Lucro]])*tabCustoUnit[[#This Row],[PIS + COFINS + ISS (Total Conversão  Alíquota s/ Fatura)]]</f>
        <v>682.53600081572301</v>
      </c>
      <c r="BW253" s="22">
        <f>tabCustoUnit[[#This Row],[Custos Indiretos]]+tabCustoUnit[[#This Row],[Lucro]]+tabCustoUnit[[#This Row],[Valor dos Tributos (ISS, PIS, CONFINS)]]</f>
        <v>1031.4897953961872</v>
      </c>
      <c r="BX253" s="22">
        <f>tabCustoUnit[[#This Row],[TOTAL MÓDULOS 1+2+3+4+5]]+tabCustoUnit[[#This Row],[MÓDULO 6 – CUSTOS INDIRETOS, TRIBUTOS E LUCRO]]</f>
        <v>5571.7224556385509</v>
      </c>
      <c r="BY253" s="22">
        <f>tabCustoUnit[[#This Row],[CUSTO TOTAL MENSAL]]*12</f>
        <v>66860.669467662607</v>
      </c>
      <c r="BZ253" s="24">
        <f>VLOOKUP(tabCustoUnit[[#This Row],[Código do Posto]],tabParametros[],MATCH(tabCustoUnit[[#Headers],[ANO DA CCT]],tabParametros[#Headers],0),0)</f>
        <v>45658</v>
      </c>
      <c r="CA253" s="25" t="str">
        <f>VLOOKUP(tabCustoUnit[[#This Row],[Código do Posto]],tabParametros[],MATCH(tabCustoUnit[[#Headers],[Nº DE PEDIDO DA CCT]],tabParametros[#Headers],0),0)</f>
        <v>-</v>
      </c>
      <c r="CB253" s="25" t="str">
        <f>VLOOKUP(tabCustoUnit[[#This Row],[Código do Posto]],tabParametros[],MATCH(tabCustoUnit[[#Headers],[TERMO ADITIVO ALTERAÇÃO DA CCT]],tabParametros[#Headers],0),0)</f>
        <v>-</v>
      </c>
    </row>
    <row r="254" spans="1:80" x14ac:dyDescent="0.25">
      <c r="A254" s="20" t="s">
        <v>1589</v>
      </c>
      <c r="B254" t="s">
        <v>227</v>
      </c>
      <c r="C254" t="s">
        <v>1245</v>
      </c>
      <c r="D254" t="s">
        <v>1050</v>
      </c>
      <c r="E254" s="20" t="s">
        <v>9</v>
      </c>
      <c r="F254" s="20" t="s">
        <v>10</v>
      </c>
      <c r="G254" s="21">
        <v>1596.28</v>
      </c>
      <c r="H254" s="21">
        <v>0</v>
      </c>
      <c r="I254" s="21">
        <v>0</v>
      </c>
      <c r="J254" s="21">
        <v>0</v>
      </c>
      <c r="K254" s="21">
        <v>0</v>
      </c>
      <c r="L254" s="21"/>
      <c r="M254" s="21">
        <v>0</v>
      </c>
      <c r="N254" s="21">
        <v>52.241900000000001</v>
      </c>
      <c r="O254" s="21">
        <f>SUM(tabCustoUnit[[#This Row],[Salário Base]:[Adicional de Acúmulo de função]])</f>
        <v>1648.5219</v>
      </c>
      <c r="P254" s="21">
        <f>tabCustoUnit[[#This Row],[MODULO 1 - REMUNERAÇÃO ]]*SUMIFS(tabParametros[INSS],tabParametros[Código do Posto],tabCustoUnit[[#This Row],[Código do Posto]])</f>
        <v>329.70438000000001</v>
      </c>
      <c r="Q254" s="21">
        <f>tabCustoUnit[[#This Row],[MODULO 1 - REMUNERAÇÃO ]]*SUMIFS(tabParametros[SESI OU SESC],tabParametros[Código do Posto],tabCustoUnit[[#This Row],[Código do Posto]])</f>
        <v>24.727828499999998</v>
      </c>
      <c r="R254" s="21">
        <f>tabCustoUnit[[#This Row],[MODULO 1 - REMUNERAÇÃO ]]*SUMIFS(tabParametros[SENAI OU SENAC],tabParametros[Código do Posto],tabCustoUnit[[#This Row],[Código do Posto]])</f>
        <v>16.485219000000001</v>
      </c>
      <c r="S254" s="21">
        <f>tabCustoUnit[[#This Row],[MODULO 1 - REMUNERAÇÃO ]]*SUMIFS(tabParametros[INCRA],tabParametros[Código do Posto],tabCustoUnit[[#This Row],[Código do Posto]])</f>
        <v>3.2970438</v>
      </c>
      <c r="T254" s="21">
        <f>tabCustoUnit[[#This Row],[MODULO 1 - REMUNERAÇÃO ]]*SUMIFS(tabParametros[Salário Educação],tabParametros[Código do Posto],tabCustoUnit[[#This Row],[Código do Posto]])</f>
        <v>41.213047500000002</v>
      </c>
      <c r="U254" s="21">
        <f>tabCustoUnit[[#This Row],[MODULO 1 - REMUNERAÇÃO ]]*SUMIFS(tabParametros[FGTS],tabParametros[Código do Posto],tabCustoUnit[[#This Row],[Código do Posto]])</f>
        <v>131.88175200000001</v>
      </c>
      <c r="V254" s="21">
        <f>tabCustoUnit[[#This Row],[MODULO 1 - REMUNERAÇÃO ]]*SUMIFS(tabParametros[RAT Ajustado],tabParametros[Código do Posto],tabCustoUnit[[#This Row],[Código do Posto]])</f>
        <v>65.940876000000003</v>
      </c>
      <c r="W254" s="21">
        <f>tabCustoUnit[[#This Row],[MODULO 1 - REMUNERAÇÃO ]]*SUMIFS(tabParametros[SEBRAE],tabParametros[Código do Posto],tabCustoUnit[[#This Row],[Código do Posto]])</f>
        <v>9.8911314000000008</v>
      </c>
      <c r="X254" s="21">
        <f>SUM(tabCustoUnit[[#This Row],[INSS]:[SEBRAE]])</f>
        <v>623.14127819999999</v>
      </c>
      <c r="Y254" s="21">
        <f>tabCustoUnit[[#This Row],[MODULO 1 - REMUNERAÇÃO ]]*SUMIFS(tabParametros[13º salário (titular)],tabParametros[Código do Posto],tabCustoUnit[[#This Row],[Código do Posto]])</f>
        <v>137.376825</v>
      </c>
      <c r="Z254" s="21">
        <f>tabCustoUnit[[#This Row],[MODULO 1 - REMUNERAÇÃO ]]*SUMIFS(tabParametros[Férias e Adicional de Férias (titular)],tabParametros[Código do Posto],tabCustoUnit[[#This Row],[Código do Posto]])</f>
        <v>183.16909999999999</v>
      </c>
      <c r="AA254" s="21">
        <f>IFERROR((tabCustoUnit[[#This Row],[Submódulo 2.1]]/tabCustoUnit[[#This Row],[MODULO 1 - REMUNERAÇÃO ]])*SUM(tabCustoUnit[[#This Row],[13º salário (titular)]:[Férias e Adicional de Férias (titular)]]),0)</f>
        <v>121.16635965</v>
      </c>
      <c r="AB254" s="21">
        <f>SUM(tabCustoUnit[[#This Row],[13º salário (titular)]:[Incidência do Submódulo 2.1 sobre 13º Salário, Férias e Adicional de Férias]])</f>
        <v>441.71228465000002</v>
      </c>
      <c r="AC254" s="22">
        <f>_xlfn.LET(_xlpm.VT,SUMIF(tabParametros[Código do Posto],tabCustoUnit[[#This Row],[Código do Posto]],tabParametros[Vale - Transporte])*2*20,
IF((_xlpm.VT-tabCustoUnit[[#This Row],[Salário Base]]*0.06)&gt;=0,(_xlpm.VT-tabCustoUnit[[#This Row],[Salário Base]]*0.06),0)
)</f>
        <v>160.22320000000002</v>
      </c>
      <c r="AD254" s="22">
        <f>IF(SUMIF(tabParametros[Código do Posto],tabCustoUnit[[#This Row],[Código do Posto]],tabParametros[Vale - Alimentação])&lt;=0,0,
SUMIF(tabParametros[Código do Posto],tabCustoUnit[[#This Row],[Código do Posto]],tabParametros[Vale - Alimentação])*20-1)</f>
        <v>582</v>
      </c>
      <c r="AE254" s="22">
        <f>SUMIF(tabParametros[Código do Posto],tabCustoUnit[[#This Row],[Código do Posto]],tabParametros[Cesta Básica])</f>
        <v>0</v>
      </c>
      <c r="AF254" s="22">
        <f>SUMIF(tabParametros[Código do Posto],tabCustoUnit[[#This Row],[Código do Posto]],tabParametros[PAF])</f>
        <v>51.86</v>
      </c>
      <c r="AG254" s="22">
        <f>SUMIF(tabParametros[Código do Posto],tabCustoUnit[[#This Row],[Código do Posto]],tabParametros[PQM])</f>
        <v>0</v>
      </c>
      <c r="AH254" s="22">
        <f>SUMIF(tabParametros[Código do Posto],tabCustoUnit[[#This Row],[Código do Posto]],tabParametros[PAT])</f>
        <v>0</v>
      </c>
      <c r="AI254" s="22">
        <f>SUMIF(tabParametros[Código do Posto],tabCustoUnit[[#This Row],[Código do Posto]],tabParametros[Seguro de Vida])</f>
        <v>3.36</v>
      </c>
      <c r="AJ254" s="22">
        <f>SUMIF(tabParametros[Código do Posto],tabCustoUnit[[#This Row],[Código do Posto]],tabParametros[Despesas de Viagem])</f>
        <v>0</v>
      </c>
      <c r="AK254" s="22">
        <f>SUM(tabCustoUnit[[#This Row],[Vale - Transporte (Descontada parcela do empregado)]:[Despesas de Viagem]])</f>
        <v>797.44320000000005</v>
      </c>
      <c r="AL254" s="22">
        <f>tabCustoUnit[[#This Row],[Submódulo 2.1]]+tabCustoUnit[[#This Row],[Submódulo 2.2]]+tabCustoUnit[[#This Row],[Submódulo 2.3]]</f>
        <v>1862.2967628500001</v>
      </c>
      <c r="AM254" s="22">
        <f>SUMIF(tabParametros[Código do Posto],tabCustoUnit[[#This Row],[Código do Posto]],tabParametros[Aviso Prévio Indenizado (API) e Reflexo do Aviso Prévio Indenizado])*tabCustoUnit[[#This Row],[MODULO 1 - REMUNERAÇÃO ]]</f>
        <v>11.559051416493055</v>
      </c>
      <c r="AN254" s="22">
        <f>SUMIF(tabParametros[Código do Posto],tabCustoUnit[[#This Row],[Código do Posto]],tabParametros[Incidência do FGTS sobre API e Reflexo do API])*tabCustoUnit[[#This Row],[MODULO 1 - REMUNERAÇÃO ]]</f>
        <v>0.92472411331944449</v>
      </c>
      <c r="AO254" s="22">
        <f>SUMIF(tabParametros[Código do Posto],tabCustoUnit[[#This Row],[Código do Posto]],tabParametros[Multa Rescisória do FGTS sobre o Aviso Prévio Indenizado])*tabCustoUnit[[#This Row],[MODULO 1 - REMUNERAÇÃO ]]</f>
        <v>0.36988964532777785</v>
      </c>
      <c r="AP254" s="22">
        <f>SUMIF(tabParametros[Código do Posto],tabCustoUnit[[#This Row],[Código do Posto]],tabParametros[Aviso Prévio Trabalhado - APT])*tabCustoUnit[[#This Row],[MODULO 1 - REMUNERAÇÃO ]]</f>
        <v>5.7698266500000006</v>
      </c>
      <c r="AQ254" s="22">
        <f>SUMIF(tabParametros[Código do Posto],tabCustoUnit[[#This Row],[Código do Posto]],tabParametros[Incidência dos encargos do submódulo 2.1 sobre Aviso Prévio Trabalhado])*tabCustoUnit[[#This Row],[MODULO 1 - REMUNERAÇÃO ]]</f>
        <v>2.1809944737000007</v>
      </c>
      <c r="AR254" s="22">
        <f>SUMIF(tabParametros[Código do Posto],tabCustoUnit[[#This Row],[Código do Posto]],tabParametros[Multa Rescisória do FGTS])*tabCustoUnit[[#This Row],[MODULO 1 - REMUNERAÇÃO ]]</f>
        <v>50.40813631999999</v>
      </c>
      <c r="AS254" s="22">
        <f>SUMIF(tabParametros[Código do Posto],tabCustoUnit[[#This Row],[Código do Posto]],tabParametros[Indenização Adicional (Art. 9º da Lei nº 7.238/84)])*tabCustoUnit[[#This Row],[MODULO 1 - REMUNERAÇÃO ]]</f>
        <v>1.3737682500000001</v>
      </c>
      <c r="AT254" s="22">
        <f>SUM(tabCustoUnit[[#This Row],[Aviso Prévio Indenizado (API) e Reflexo do Aviso Prévio Indenizado]:[Indenização Adicional (Art. 9º da Lei nº 7.238/84)]])</f>
        <v>72.586390868840269</v>
      </c>
      <c r="AU254" s="22">
        <f>SUMIF(tabParametros[Código do Posto],tabCustoUnit[[#This Row],[Código do Posto]],tabParametros[Ausência por Doença])*tabCustoUnit[[#This Row],[MODULO 1 - REMUNERAÇÃO ]]</f>
        <v>13.920851599999999</v>
      </c>
      <c r="AV254" s="22">
        <f>SUMIF(tabParametros[Código do Posto],tabCustoUnit[[#This Row],[Código do Posto]],tabParametros[Ausências Legais])*tabCustoUnit[[#This Row],[MODULO 1 - REMUNERAÇÃO ]]</f>
        <v>3.3428360749999997</v>
      </c>
      <c r="AW254" s="22">
        <f>SUMIF(tabParametros[Código do Posto],tabCustoUnit[[#This Row],[Código do Posto]],tabParametros[Licença Paternidade])*tabCustoUnit[[#This Row],[MODULO 1 - REMUNERAÇÃO ]]</f>
        <v>0.28162249125</v>
      </c>
      <c r="AX254" s="22">
        <f>SUMIF(tabParametros[Código do Posto],tabCustoUnit[[#This Row],[Código do Posto]],tabParametros[Ausência por Acidente de Trabalho])*tabCustoUnit[[#This Row],[MODULO 1 - REMUNERAÇÃO ]]</f>
        <v>0.34344206250000003</v>
      </c>
      <c r="AY254" s="22">
        <f>SUMIF(tabParametros[Código do Posto],tabCustoUnit[[#This Row],[Código do Posto]],tabParametros[Férias, Adicional de Férias e 13º  com empregada em gozo de Licença Maternidade])*tabCustoUnit[[#This Row],[MODULO 1 - REMUNERAÇÃO ]]</f>
        <v>2.1369728333333331</v>
      </c>
      <c r="AZ254" s="22">
        <f>SUMIF(tabParametros[Código do Posto],tabCustoUnit[[#This Row],[Código do Posto]],tabParametros[Incidência do Submódulo 2.1 sobre Ausências Legais])*tabCustoUnit[[#This Row],[MODULO 1 - REMUNERAÇÃO ]]</f>
        <v>7.5697240734675013</v>
      </c>
      <c r="BA254" s="22">
        <f>SUM(tabCustoUnit[[#This Row],[Ausência por Doença]:[Incidência do Submódulo 2.1 sobre Ausências Legais]])</f>
        <v>27.595449135550833</v>
      </c>
      <c r="BB254" s="22">
        <f>SUMIF(tabParametros[Código do Posto],tabCustoUnit[[#This Row],[Código do Posto]],tabParametros[Intervalo para Repouso ou Alimentação])</f>
        <v>0</v>
      </c>
      <c r="BC254" s="22">
        <f>tabCustoUnit[[#This Row],[Intervalo para Repouso ou Alimentação]]</f>
        <v>0</v>
      </c>
      <c r="BD254" s="22">
        <f>IF(VLOOKUP(tabCustoUnit[[#This Row],[Código do Posto]],PARAMETROS!$A$4:$BJ$255,7,0)&lt;=0,0,
IFERROR((tabCustoUnit[[#This Row],[MODULO 1 - REMUNERAÇÃO ]]*VLOOKUP(tabCustoUnit[[#This Row],[Código do Posto]],PARAMETROS!$A$4:$BJ$255,49,0))/(VLOOKUP(tabCustoUnit[[#This Row],[Código do Posto]],PARAMETROS!$A$4:$BJ$255,7,0)*VLOOKUP(tabCustoUnit[[#This Row],[Código do Posto]],PARAMETROS!$A$4:$BJ$255,8,0)),0)
)</f>
        <v>0</v>
      </c>
      <c r="BE254" s="22">
        <f>tabCustoUnit[[#This Row],[Suspensão Temporária do Contrato de Trabalho]]</f>
        <v>0</v>
      </c>
      <c r="BF254" s="22">
        <f>tabCustoUnit[[#This Row],[Submódulo 4.1]]+tabCustoUnit[[#This Row],[Submódulo 4.2]]+tabCustoUnit[[#This Row],[Submódulo 4.3]]</f>
        <v>27.595449135550833</v>
      </c>
      <c r="BG254" s="22">
        <f>VLOOKUP(tabCustoUnit[[#This Row],[Código do Posto]],tabParametros[],MATCH(tabCustoUnit[[#Headers],[Uniformes e EPIs]],tabParametros[#Headers],0),0)</f>
        <v>100.80916666666666</v>
      </c>
      <c r="BH254" s="22">
        <f>VLOOKUP(tabCustoUnit[[#This Row],[Código do Posto]],tabParametros[],MATCH(tabCustoUnit[[#Headers],[Materiais de Consumo]],tabParametros[#Headers],0),0)</f>
        <v>35.518212958583888</v>
      </c>
      <c r="BI254" s="22">
        <f>VLOOKUP(tabCustoUnit[[#This Row],[Código do Posto]],tabParametros[],MATCH(tabCustoUnit[[#Headers],[Máquinas e Equipamentos (depreciação)]],tabParametros[#Headers],0),0)</f>
        <v>64.529393914825576</v>
      </c>
      <c r="BJ254" s="22">
        <f>VLOOKUP(tabCustoUnit[[#This Row],[Código do Posto]],tabParametros[],MATCH(tabCustoUnit[[#Headers],[Produtos de Limpeza e Materiais de Higiene Pessoal]],tabParametros[#Headers],0),0)</f>
        <v>690.27153277931654</v>
      </c>
      <c r="BK254" s="22">
        <f>VLOOKUP(tabCustoUnit[[#This Row],[Código do Posto]],tabParametros[],MATCH(tabCustoUnit[[#Headers],[Outros (especificar)]],tabParametros[#Headers],0),0)</f>
        <v>0</v>
      </c>
      <c r="BL254" s="22">
        <f>SUM(tabCustoUnit[[#This Row],[Uniformes e EPIs]:[Outros (especificar)]])</f>
        <v>891.12830631939266</v>
      </c>
      <c r="BM254" s="22">
        <f>tabCustoUnit[[#This Row],[MODULO 1 - REMUNERAÇÃO ]]+tabCustoUnit[[#This Row],[MÓDULO 2 - Total Encargos e Benefícios mensais e diários]]+tabCustoUnit[[#This Row],[MÓDULO 3 – PROVISÃO PARA RESCISÃO]]+tabCustoUnit[[#This Row],[MÓDULO 4 – CUSTO DE REPOSIÇÃO DO PROFISSIONAL AUSENTE]]+tabCustoUnit[[#This Row],[MÓDULO 5 – INSUMOS DIVERSOS]]</f>
        <v>4502.1288091737833</v>
      </c>
      <c r="BN254" s="22">
        <f>VLOOKUP(tabCustoUnit[[#This Row],[Código do Posto]],tabParametros[],MATCH(tabCustoUnit[[#Headers],[Custos Indiretos]],tabParametros[#Headers],0),0)</f>
        <v>189.64880140242613</v>
      </c>
      <c r="BO254" s="22">
        <f>VLOOKUP(tabCustoUnit[[#This Row],[Código do Posto]],tabParametros[],MATCH(tabCustoUnit[[#Headers],[Lucro]],tabParametros[#Headers],0),0)</f>
        <v>159.30499317803796</v>
      </c>
      <c r="BP254" s="26">
        <f>((100/((1-tabCustoUnit[[#This Row],[Resumo de Alíquotas (PIS+CONFINS+ISS)]]))-100)*VLOOKUP(tabCustoUnit[[#This Row],[Código do Posto]],tabParametros[],MATCH(tabCustoUnit[[#Headers],[COFINS]],tabParametros[#Headers],0),0))/(tabCustoUnit[[#This Row],[Resumo de Alíquotas (PIS+CONFINS+ISS)]]*100)</f>
        <v>8.6609686609686695E-2</v>
      </c>
      <c r="BQ254" s="26">
        <f>((100/((100-(tabCustoUnit[[#This Row],[Resumo de Alíquotas (PIS+CONFINS+ISS)]]*100))%)-100)*VLOOKUP(tabCustoUnit[[#This Row],[Código do Posto]],tabParametros[],MATCH(tabCustoUnit[[#Headers],[PIS]],tabParametros[#Headers],0),0))/(tabCustoUnit[[#This Row],[Resumo de Alíquotas (PIS+CONFINS+ISS)]]*100)</f>
        <v>1.880341880341882E-2</v>
      </c>
      <c r="BR254" s="28">
        <f>VLOOKUP(tabCustoUnit[[#This Row],[Código do Posto]],tabParametros[],MATCH(tabCustoUnit[[#Headers],[ISS]],tabParametros[#Headers],0),0)</f>
        <v>0.03</v>
      </c>
      <c r="BS254" s="26">
        <f>(((100/((100-(tabCustoUnit[[#This Row],[Resumo de Alíquotas (PIS+CONFINS+ISS)]]*100))%)-100)*tabCustoUnit[[#This Row],[ISS]])/tabCustoUnit[[#This Row],[Resumo de Alíquotas (PIS+CONFINS+ISS)]])/100</f>
        <v>3.4188034188034219E-2</v>
      </c>
      <c r="BT254" s="26">
        <f>(VLOOKUP(tabCustoUnit[[#This Row],[Código do Posto]],tabParametros[],MATCH(tabCustoUnit[[#Headers],[COFINS]],tabParametros[#Headers],0),0)+
VLOOKUP(tabCustoUnit[[#This Row],[Código do Posto]],tabParametros[],MATCH(tabCustoUnit[[#Headers],[PIS]],tabParametros[#Headers],0),0)+
VLOOKUP(tabCustoUnit[[#This Row],[Código do Posto]],tabParametros[],MATCH(tabCustoUnit[[#Headers],[ISS]],tabParametros[#Headers],0),0))</f>
        <v>0.1225</v>
      </c>
      <c r="BU254" s="138">
        <f>tabCustoUnit[[#This Row],[COFINS]]+tabCustoUnit[[#This Row],[PIS]]+tabCustoUnit[[#This Row],[ISS (Conversão Alíquota s/ fatura)]]</f>
        <v>0.13960113960113973</v>
      </c>
      <c r="BV254" s="22">
        <f>(tabCustoUnit[[#This Row],[TOTAL MÓDULOS 1+2+3+4+5]]+tabCustoUnit[[#This Row],[Custos Indiretos]]+tabCustoUnit[[#This Row],[Lucro]])*tabCustoUnit[[#This Row],[PIS + COFINS + ISS (Total Conversão  Alíquota s/ Fatura)]]</f>
        <v>677.21665978335716</v>
      </c>
      <c r="BW254" s="22">
        <f>tabCustoUnit[[#This Row],[Custos Indiretos]]+tabCustoUnit[[#This Row],[Lucro]]+tabCustoUnit[[#This Row],[Valor dos Tributos (ISS, PIS, CONFINS)]]</f>
        <v>1026.1704543638211</v>
      </c>
      <c r="BX254" s="22">
        <f>tabCustoUnit[[#This Row],[TOTAL MÓDULOS 1+2+3+4+5]]+tabCustoUnit[[#This Row],[MÓDULO 6 – CUSTOS INDIRETOS, TRIBUTOS E LUCRO]]</f>
        <v>5528.2992635376049</v>
      </c>
      <c r="BY254" s="22">
        <f>tabCustoUnit[[#This Row],[CUSTO TOTAL MENSAL]]*12</f>
        <v>66339.591162451252</v>
      </c>
      <c r="BZ254" s="24">
        <f>VLOOKUP(tabCustoUnit[[#This Row],[Código do Posto]],tabParametros[],MATCH(tabCustoUnit[[#Headers],[ANO DA CCT]],tabParametros[#Headers],0),0)</f>
        <v>45658</v>
      </c>
      <c r="CA254" s="25" t="str">
        <f>VLOOKUP(tabCustoUnit[[#This Row],[Código do Posto]],tabParametros[],MATCH(tabCustoUnit[[#Headers],[Nº DE PEDIDO DA CCT]],tabParametros[#Headers],0),0)</f>
        <v>-</v>
      </c>
      <c r="CB254" s="25" t="str">
        <f>VLOOKUP(tabCustoUnit[[#This Row],[Código do Posto]],tabParametros[],MATCH(tabCustoUnit[[#Headers],[TERMO ADITIVO ALTERAÇÃO DA CCT]],tabParametros[#Headers],0),0)</f>
        <v>-</v>
      </c>
    </row>
    <row r="255" spans="1:80" x14ac:dyDescent="0.25">
      <c r="A255" s="20" t="s">
        <v>1590</v>
      </c>
      <c r="B255" t="s">
        <v>228</v>
      </c>
      <c r="C255" t="s">
        <v>1245</v>
      </c>
      <c r="D255" t="s">
        <v>66</v>
      </c>
      <c r="E255" s="20" t="s">
        <v>9</v>
      </c>
      <c r="F255" s="20" t="s">
        <v>10</v>
      </c>
      <c r="G255" s="21">
        <v>1596.28</v>
      </c>
      <c r="H255" s="21">
        <v>0</v>
      </c>
      <c r="I255" s="21">
        <v>0</v>
      </c>
      <c r="J255" s="21">
        <v>0</v>
      </c>
      <c r="K255" s="21">
        <v>0</v>
      </c>
      <c r="L255" s="21">
        <v>0</v>
      </c>
      <c r="M255" s="21">
        <v>0</v>
      </c>
      <c r="N255" s="21">
        <v>52.241900000000001</v>
      </c>
      <c r="O255" s="21">
        <f>SUM(tabCustoUnit[[#This Row],[Salário Base]:[Adicional de Acúmulo de função]])</f>
        <v>1648.5219</v>
      </c>
      <c r="P255" s="21">
        <f>tabCustoUnit[[#This Row],[MODULO 1 - REMUNERAÇÃO ]]*SUMIFS(tabParametros[INSS],tabParametros[Código do Posto],tabCustoUnit[[#This Row],[Código do Posto]])</f>
        <v>329.70438000000001</v>
      </c>
      <c r="Q255" s="21">
        <f>tabCustoUnit[[#This Row],[MODULO 1 - REMUNERAÇÃO ]]*SUMIFS(tabParametros[SESI OU SESC],tabParametros[Código do Posto],tabCustoUnit[[#This Row],[Código do Posto]])</f>
        <v>24.727828499999998</v>
      </c>
      <c r="R255" s="21">
        <f>tabCustoUnit[[#This Row],[MODULO 1 - REMUNERAÇÃO ]]*SUMIFS(tabParametros[SENAI OU SENAC],tabParametros[Código do Posto],tabCustoUnit[[#This Row],[Código do Posto]])</f>
        <v>16.485219000000001</v>
      </c>
      <c r="S255" s="21">
        <f>tabCustoUnit[[#This Row],[MODULO 1 - REMUNERAÇÃO ]]*SUMIFS(tabParametros[INCRA],tabParametros[Código do Posto],tabCustoUnit[[#This Row],[Código do Posto]])</f>
        <v>3.2970438</v>
      </c>
      <c r="T255" s="21">
        <f>tabCustoUnit[[#This Row],[MODULO 1 - REMUNERAÇÃO ]]*SUMIFS(tabParametros[Salário Educação],tabParametros[Código do Posto],tabCustoUnit[[#This Row],[Código do Posto]])</f>
        <v>41.213047500000002</v>
      </c>
      <c r="U255" s="21">
        <f>tabCustoUnit[[#This Row],[MODULO 1 - REMUNERAÇÃO ]]*SUMIFS(tabParametros[FGTS],tabParametros[Código do Posto],tabCustoUnit[[#This Row],[Código do Posto]])</f>
        <v>131.88175200000001</v>
      </c>
      <c r="V255" s="21">
        <f>tabCustoUnit[[#This Row],[MODULO 1 - REMUNERAÇÃO ]]*SUMIFS(tabParametros[RAT Ajustado],tabParametros[Código do Posto],tabCustoUnit[[#This Row],[Código do Posto]])</f>
        <v>65.940876000000003</v>
      </c>
      <c r="W255" s="21">
        <f>tabCustoUnit[[#This Row],[MODULO 1 - REMUNERAÇÃO ]]*SUMIFS(tabParametros[SEBRAE],tabParametros[Código do Posto],tabCustoUnit[[#This Row],[Código do Posto]])</f>
        <v>9.8911314000000008</v>
      </c>
      <c r="X255" s="21">
        <f>SUM(tabCustoUnit[[#This Row],[INSS]:[SEBRAE]])</f>
        <v>623.14127819999999</v>
      </c>
      <c r="Y255" s="21">
        <f>tabCustoUnit[[#This Row],[MODULO 1 - REMUNERAÇÃO ]]*SUMIFS(tabParametros[13º salário (titular)],tabParametros[Código do Posto],tabCustoUnit[[#This Row],[Código do Posto]])</f>
        <v>137.376825</v>
      </c>
      <c r="Z255" s="21">
        <f>tabCustoUnit[[#This Row],[MODULO 1 - REMUNERAÇÃO ]]*SUMIFS(tabParametros[Férias e Adicional de Férias (titular)],tabParametros[Código do Posto],tabCustoUnit[[#This Row],[Código do Posto]])</f>
        <v>183.16909999999999</v>
      </c>
      <c r="AA255" s="21">
        <f>IFERROR((tabCustoUnit[[#This Row],[Submódulo 2.1]]/tabCustoUnit[[#This Row],[MODULO 1 - REMUNERAÇÃO ]])*SUM(tabCustoUnit[[#This Row],[13º salário (titular)]:[Férias e Adicional de Férias (titular)]]),0)</f>
        <v>121.16635965</v>
      </c>
      <c r="AB255" s="21">
        <f>SUM(tabCustoUnit[[#This Row],[13º salário (titular)]:[Incidência do Submódulo 2.1 sobre 13º Salário, Férias e Adicional de Férias]])</f>
        <v>441.71228465000002</v>
      </c>
      <c r="AC255" s="22">
        <f>_xlfn.LET(_xlpm.VT,SUMIF(tabParametros[Código do Posto],tabCustoUnit[[#This Row],[Código do Posto]],tabParametros[Vale - Transporte])*2*20,
IF((_xlpm.VT-tabCustoUnit[[#This Row],[Salário Base]]*0.06)&gt;=0,(_xlpm.VT-tabCustoUnit[[#This Row],[Salário Base]]*0.06),0)
)</f>
        <v>160.22320000000002</v>
      </c>
      <c r="AD255" s="22">
        <f>IF(SUMIF(tabParametros[Código do Posto],tabCustoUnit[[#This Row],[Código do Posto]],tabParametros[Vale - Alimentação])&lt;=0,0,
SUMIF(tabParametros[Código do Posto],tabCustoUnit[[#This Row],[Código do Posto]],tabParametros[Vale - Alimentação])*20-1)</f>
        <v>582</v>
      </c>
      <c r="AE255" s="22">
        <f>SUMIF(tabParametros[Código do Posto],tabCustoUnit[[#This Row],[Código do Posto]],tabParametros[Cesta Básica])</f>
        <v>0</v>
      </c>
      <c r="AF255" s="22">
        <f>SUMIF(tabParametros[Código do Posto],tabCustoUnit[[#This Row],[Código do Posto]],tabParametros[PAF])</f>
        <v>57.07</v>
      </c>
      <c r="AG255" s="22">
        <f>SUMIF(tabParametros[Código do Posto],tabCustoUnit[[#This Row],[Código do Posto]],tabParametros[PQM])</f>
        <v>0</v>
      </c>
      <c r="AH255" s="22">
        <f>SUMIF(tabParametros[Código do Posto],tabCustoUnit[[#This Row],[Código do Posto]],tabParametros[PAT])</f>
        <v>0</v>
      </c>
      <c r="AI255" s="22">
        <f>SUMIF(tabParametros[Código do Posto],tabCustoUnit[[#This Row],[Código do Posto]],tabParametros[Seguro de Vida])</f>
        <v>3.36</v>
      </c>
      <c r="AJ255" s="22">
        <f>SUMIF(tabParametros[Código do Posto],tabCustoUnit[[#This Row],[Código do Posto]],tabParametros[Despesas de Viagem])</f>
        <v>0</v>
      </c>
      <c r="AK255" s="22">
        <f>SUM(tabCustoUnit[[#This Row],[Vale - Transporte (Descontada parcela do empregado)]:[Despesas de Viagem]])</f>
        <v>802.65320000000008</v>
      </c>
      <c r="AL255" s="22">
        <f>tabCustoUnit[[#This Row],[Submódulo 2.1]]+tabCustoUnit[[#This Row],[Submódulo 2.2]]+tabCustoUnit[[#This Row],[Submódulo 2.3]]</f>
        <v>1867.5067628500001</v>
      </c>
      <c r="AM255" s="22">
        <f>SUMIF(tabParametros[Código do Posto],tabCustoUnit[[#This Row],[Código do Posto]],tabParametros[Aviso Prévio Indenizado (API) e Reflexo do Aviso Prévio Indenizado])*tabCustoUnit[[#This Row],[MODULO 1 - REMUNERAÇÃO ]]</f>
        <v>11.559051416493055</v>
      </c>
      <c r="AN255" s="22">
        <f>SUMIF(tabParametros[Código do Posto],tabCustoUnit[[#This Row],[Código do Posto]],tabParametros[Incidência do FGTS sobre API e Reflexo do API])*tabCustoUnit[[#This Row],[MODULO 1 - REMUNERAÇÃO ]]</f>
        <v>0.92472411331944449</v>
      </c>
      <c r="AO255" s="22">
        <f>SUMIF(tabParametros[Código do Posto],tabCustoUnit[[#This Row],[Código do Posto]],tabParametros[Multa Rescisória do FGTS sobre o Aviso Prévio Indenizado])*tabCustoUnit[[#This Row],[MODULO 1 - REMUNERAÇÃO ]]</f>
        <v>0.36988964532777785</v>
      </c>
      <c r="AP255" s="22">
        <f>SUMIF(tabParametros[Código do Posto],tabCustoUnit[[#This Row],[Código do Posto]],tabParametros[Aviso Prévio Trabalhado - APT])*tabCustoUnit[[#This Row],[MODULO 1 - REMUNERAÇÃO ]]</f>
        <v>5.7698266500000006</v>
      </c>
      <c r="AQ255" s="22">
        <f>SUMIF(tabParametros[Código do Posto],tabCustoUnit[[#This Row],[Código do Posto]],tabParametros[Incidência dos encargos do submódulo 2.1 sobre Aviso Prévio Trabalhado])*tabCustoUnit[[#This Row],[MODULO 1 - REMUNERAÇÃO ]]</f>
        <v>2.1809944737000007</v>
      </c>
      <c r="AR255" s="22">
        <f>SUMIF(tabParametros[Código do Posto],tabCustoUnit[[#This Row],[Código do Posto]],tabParametros[Multa Rescisória do FGTS])*tabCustoUnit[[#This Row],[MODULO 1 - REMUNERAÇÃO ]]</f>
        <v>50.40813631999999</v>
      </c>
      <c r="AS255" s="22">
        <f>SUMIF(tabParametros[Código do Posto],tabCustoUnit[[#This Row],[Código do Posto]],tabParametros[Indenização Adicional (Art. 9º da Lei nº 7.238/84)])*tabCustoUnit[[#This Row],[MODULO 1 - REMUNERAÇÃO ]]</f>
        <v>1.3737682500000001</v>
      </c>
      <c r="AT255" s="22">
        <f>SUM(tabCustoUnit[[#This Row],[Aviso Prévio Indenizado (API) e Reflexo do Aviso Prévio Indenizado]:[Indenização Adicional (Art. 9º da Lei nº 7.238/84)]])</f>
        <v>72.586390868840269</v>
      </c>
      <c r="AU255" s="22">
        <f>SUMIF(tabParametros[Código do Posto],tabCustoUnit[[#This Row],[Código do Posto]],tabParametros[Ausência por Doença])*tabCustoUnit[[#This Row],[MODULO 1 - REMUNERAÇÃO ]]</f>
        <v>13.920851599999999</v>
      </c>
      <c r="AV255" s="22">
        <f>SUMIF(tabParametros[Código do Posto],tabCustoUnit[[#This Row],[Código do Posto]],tabParametros[Ausências Legais])*tabCustoUnit[[#This Row],[MODULO 1 - REMUNERAÇÃO ]]</f>
        <v>3.3428360749999997</v>
      </c>
      <c r="AW255" s="22">
        <f>SUMIF(tabParametros[Código do Posto],tabCustoUnit[[#This Row],[Código do Posto]],tabParametros[Licença Paternidade])*tabCustoUnit[[#This Row],[MODULO 1 - REMUNERAÇÃO ]]</f>
        <v>0.28162249125</v>
      </c>
      <c r="AX255" s="22">
        <f>SUMIF(tabParametros[Código do Posto],tabCustoUnit[[#This Row],[Código do Posto]],tabParametros[Ausência por Acidente de Trabalho])*tabCustoUnit[[#This Row],[MODULO 1 - REMUNERAÇÃO ]]</f>
        <v>0.34344206250000003</v>
      </c>
      <c r="AY255" s="22">
        <f>SUMIF(tabParametros[Código do Posto],tabCustoUnit[[#This Row],[Código do Posto]],tabParametros[Férias, Adicional de Férias e 13º  com empregada em gozo de Licença Maternidade])*tabCustoUnit[[#This Row],[MODULO 1 - REMUNERAÇÃO ]]</f>
        <v>2.1369728333333331</v>
      </c>
      <c r="AZ255" s="22">
        <f>SUMIF(tabParametros[Código do Posto],tabCustoUnit[[#This Row],[Código do Posto]],tabParametros[Incidência do Submódulo 2.1 sobre Ausências Legais])*tabCustoUnit[[#This Row],[MODULO 1 - REMUNERAÇÃO ]]</f>
        <v>7.5697240734675013</v>
      </c>
      <c r="BA255" s="22">
        <f>SUM(tabCustoUnit[[#This Row],[Ausência por Doença]:[Incidência do Submódulo 2.1 sobre Ausências Legais]])</f>
        <v>27.595449135550833</v>
      </c>
      <c r="BB255" s="22">
        <f>SUMIF(tabParametros[Código do Posto],tabCustoUnit[[#This Row],[Código do Posto]],tabParametros[Intervalo para Repouso ou Alimentação])</f>
        <v>0</v>
      </c>
      <c r="BC255" s="22">
        <f>tabCustoUnit[[#This Row],[Intervalo para Repouso ou Alimentação]]</f>
        <v>0</v>
      </c>
      <c r="BD255" s="22">
        <f>IF(VLOOKUP(tabCustoUnit[[#This Row],[Código do Posto]],PARAMETROS!$A$4:$BJ$255,7,0)&lt;=0,0,
IFERROR((tabCustoUnit[[#This Row],[MODULO 1 - REMUNERAÇÃO ]]*VLOOKUP(tabCustoUnit[[#This Row],[Código do Posto]],PARAMETROS!$A$4:$BJ$255,49,0))/(VLOOKUP(tabCustoUnit[[#This Row],[Código do Posto]],PARAMETROS!$A$4:$BJ$255,7,0)*VLOOKUP(tabCustoUnit[[#This Row],[Código do Posto]],PARAMETROS!$A$4:$BJ$255,8,0)),0)
)</f>
        <v>0</v>
      </c>
      <c r="BE255" s="22">
        <f>tabCustoUnit[[#This Row],[Suspensão Temporária do Contrato de Trabalho]]</f>
        <v>0</v>
      </c>
      <c r="BF255" s="22">
        <f>tabCustoUnit[[#This Row],[Submódulo 4.1]]+tabCustoUnit[[#This Row],[Submódulo 4.2]]+tabCustoUnit[[#This Row],[Submódulo 4.3]]</f>
        <v>27.595449135550833</v>
      </c>
      <c r="BG255" s="22">
        <f>VLOOKUP(tabCustoUnit[[#This Row],[Código do Posto]],tabParametros[],MATCH(tabCustoUnit[[#Headers],[Uniformes e EPIs]],tabParametros[#Headers],0),0)</f>
        <v>100.80916666666666</v>
      </c>
      <c r="BH255" s="22">
        <f>VLOOKUP(tabCustoUnit[[#This Row],[Código do Posto]],tabParametros[],MATCH(tabCustoUnit[[#Headers],[Materiais de Consumo]],tabParametros[#Headers],0),0)</f>
        <v>35.518212958583888</v>
      </c>
      <c r="BI255" s="22">
        <f>VLOOKUP(tabCustoUnit[[#This Row],[Código do Posto]],tabParametros[],MATCH(tabCustoUnit[[#Headers],[Máquinas e Equipamentos (depreciação)]],tabParametros[#Headers],0),0)</f>
        <v>64.529393914825576</v>
      </c>
      <c r="BJ255" s="22">
        <f>VLOOKUP(tabCustoUnit[[#This Row],[Código do Posto]],tabParametros[],MATCH(tabCustoUnit[[#Headers],[Produtos de Limpeza e Materiais de Higiene Pessoal]],tabParametros[#Headers],0),0)</f>
        <v>690.27153277931654</v>
      </c>
      <c r="BK255" s="22">
        <f>VLOOKUP(tabCustoUnit[[#This Row],[Código do Posto]],tabParametros[],MATCH(tabCustoUnit[[#Headers],[Outros (especificar)]],tabParametros[#Headers],0),0)</f>
        <v>0</v>
      </c>
      <c r="BL255" s="22">
        <f>SUM(tabCustoUnit[[#This Row],[Uniformes e EPIs]:[Outros (especificar)]])</f>
        <v>891.12830631939266</v>
      </c>
      <c r="BM255" s="22">
        <f>tabCustoUnit[[#This Row],[MODULO 1 - REMUNERAÇÃO ]]+tabCustoUnit[[#This Row],[MÓDULO 2 - Total Encargos e Benefícios mensais e diários]]+tabCustoUnit[[#This Row],[MÓDULO 3 – PROVISÃO PARA RESCISÃO]]+tabCustoUnit[[#This Row],[MÓDULO 4 – CUSTO DE REPOSIÇÃO DO PROFISSIONAL AUSENTE]]+tabCustoUnit[[#This Row],[MÓDULO 5 – INSUMOS DIVERSOS]]</f>
        <v>4507.3388091737834</v>
      </c>
      <c r="BN255" s="22">
        <f>VLOOKUP(tabCustoUnit[[#This Row],[Código do Posto]],tabParametros[],MATCH(tabCustoUnit[[#Headers],[Custos Indiretos]],tabParametros[#Headers],0),0)</f>
        <v>189.64880140242613</v>
      </c>
      <c r="BO255" s="22">
        <f>VLOOKUP(tabCustoUnit[[#This Row],[Código do Posto]],tabParametros[],MATCH(tabCustoUnit[[#Headers],[Lucro]],tabParametros[#Headers],0),0)</f>
        <v>159.30499317803796</v>
      </c>
      <c r="BP255" s="26">
        <f>((100/((1-tabCustoUnit[[#This Row],[Resumo de Alíquotas (PIS+CONFINS+ISS)]]))-100)*VLOOKUP(tabCustoUnit[[#This Row],[Código do Posto]],tabParametros[],MATCH(tabCustoUnit[[#Headers],[COFINS]],tabParametros[#Headers],0),0))/(tabCustoUnit[[#This Row],[Resumo de Alíquotas (PIS+CONFINS+ISS)]]*100)</f>
        <v>8.6609686609686695E-2</v>
      </c>
      <c r="BQ255" s="26">
        <f>((100/((100-(tabCustoUnit[[#This Row],[Resumo de Alíquotas (PIS+CONFINS+ISS)]]*100))%)-100)*VLOOKUP(tabCustoUnit[[#This Row],[Código do Posto]],tabParametros[],MATCH(tabCustoUnit[[#Headers],[PIS]],tabParametros[#Headers],0),0))/(tabCustoUnit[[#This Row],[Resumo de Alíquotas (PIS+CONFINS+ISS)]]*100)</f>
        <v>1.880341880341882E-2</v>
      </c>
      <c r="BR255" s="28">
        <f>VLOOKUP(tabCustoUnit[[#This Row],[Código do Posto]],tabParametros[],MATCH(tabCustoUnit[[#Headers],[ISS]],tabParametros[#Headers],0),0)</f>
        <v>0.03</v>
      </c>
      <c r="BS255" s="26">
        <f>(((100/((100-(tabCustoUnit[[#This Row],[Resumo de Alíquotas (PIS+CONFINS+ISS)]]*100))%)-100)*tabCustoUnit[[#This Row],[ISS]])/tabCustoUnit[[#This Row],[Resumo de Alíquotas (PIS+CONFINS+ISS)]])/100</f>
        <v>3.4188034188034219E-2</v>
      </c>
      <c r="BT255" s="26">
        <f>(VLOOKUP(tabCustoUnit[[#This Row],[Código do Posto]],tabParametros[],MATCH(tabCustoUnit[[#Headers],[COFINS]],tabParametros[#Headers],0),0)+
VLOOKUP(tabCustoUnit[[#This Row],[Código do Posto]],tabParametros[],MATCH(tabCustoUnit[[#Headers],[PIS]],tabParametros[#Headers],0),0)+
VLOOKUP(tabCustoUnit[[#This Row],[Código do Posto]],tabParametros[],MATCH(tabCustoUnit[[#Headers],[ISS]],tabParametros[#Headers],0),0))</f>
        <v>0.1225</v>
      </c>
      <c r="BU255" s="138">
        <f>tabCustoUnit[[#This Row],[COFINS]]+tabCustoUnit[[#This Row],[PIS]]+tabCustoUnit[[#This Row],[ISS (Conversão Alíquota s/ fatura)]]</f>
        <v>0.13960113960113973</v>
      </c>
      <c r="BV255" s="22">
        <f>(tabCustoUnit[[#This Row],[TOTAL MÓDULOS 1+2+3+4+5]]+tabCustoUnit[[#This Row],[Custos Indiretos]]+tabCustoUnit[[#This Row],[Lucro]])*tabCustoUnit[[#This Row],[PIS + COFINS + ISS (Total Conversão  Alíquota s/ Fatura)]]</f>
        <v>677.94398172067906</v>
      </c>
      <c r="BW255" s="22">
        <f>tabCustoUnit[[#This Row],[Custos Indiretos]]+tabCustoUnit[[#This Row],[Lucro]]+tabCustoUnit[[#This Row],[Valor dos Tributos (ISS, PIS, CONFINS)]]</f>
        <v>1026.897776301143</v>
      </c>
      <c r="BX255" s="22">
        <f>tabCustoUnit[[#This Row],[TOTAL MÓDULOS 1+2+3+4+5]]+tabCustoUnit[[#This Row],[MÓDULO 6 – CUSTOS INDIRETOS, TRIBUTOS E LUCRO]]</f>
        <v>5534.236585474926</v>
      </c>
      <c r="BY255" s="22">
        <f>tabCustoUnit[[#This Row],[CUSTO TOTAL MENSAL]]*12</f>
        <v>66410.839025699112</v>
      </c>
      <c r="BZ255" s="24">
        <f>VLOOKUP(tabCustoUnit[[#This Row],[Código do Posto]],tabParametros[],MATCH(tabCustoUnit[[#Headers],[ANO DA CCT]],tabParametros[#Headers],0),0)</f>
        <v>45658</v>
      </c>
      <c r="CA255" s="25" t="str">
        <f>VLOOKUP(tabCustoUnit[[#This Row],[Código do Posto]],tabParametros[],MATCH(tabCustoUnit[[#Headers],[Nº DE PEDIDO DA CCT]],tabParametros[#Headers],0),0)</f>
        <v>-</v>
      </c>
      <c r="CB255" s="25" t="str">
        <f>VLOOKUP(tabCustoUnit[[#This Row],[Código do Posto]],tabParametros[],MATCH(tabCustoUnit[[#Headers],[TERMO ADITIVO ALTERAÇÃO DA CCT]],tabParametros[#Headers],0),0)</f>
        <v>-</v>
      </c>
    </row>
    <row r="256" spans="1:80" x14ac:dyDescent="0.25">
      <c r="A256" s="20" t="s">
        <v>925</v>
      </c>
      <c r="E256" s="20"/>
      <c r="F256" s="20"/>
      <c r="G256" s="25">
        <f>SUBTOTAL(9,tabCustoUnit[Salário Base])</f>
        <v>257761.65609999979</v>
      </c>
      <c r="H256" s="25">
        <f>SUBTOTAL(9,tabCustoUnit[Adicional Periculosidade])</f>
        <v>0</v>
      </c>
      <c r="I256" s="25">
        <f>SUBTOTAL(9,tabCustoUnit[Adicional Insalubridade])</f>
        <v>0</v>
      </c>
      <c r="J256" s="25">
        <f>SUBTOTAL(9,tabCustoUnit[Adicional Noturno])</f>
        <v>332.29770000000002</v>
      </c>
      <c r="K256" s="25">
        <f>SUBTOTAL(9,tabCustoUnit[Adicional Motorista II (Gratificação)])</f>
        <v>0</v>
      </c>
      <c r="L256" s="25">
        <f>SUBTOTAL(9,tabCustoUnit[Adicional de Sobreaviso])</f>
        <v>0</v>
      </c>
      <c r="M256" s="25">
        <f>SUBTOTAL(9,tabCustoUnit[Horas Extras TI])</f>
        <v>0</v>
      </c>
      <c r="N256" s="25">
        <f>SUBTOTAL(9,tabCustoUnit[Adicional de Acúmulo de função])</f>
        <v>8578.8050000000039</v>
      </c>
      <c r="O256" s="25">
        <f>SUBTOTAL(9,tabCustoUnit[MODULO 1 - REMUNERAÇÃO ])</f>
        <v>266672.75879999995</v>
      </c>
      <c r="P256" s="25">
        <f>SUBTOTAL(9,tabCustoUnit[INSS])</f>
        <v>53334.551760000075</v>
      </c>
      <c r="Q256" s="25">
        <f>SUBTOTAL(9,tabCustoUnit[SESI OU SESC])</f>
        <v>4000.0913820000028</v>
      </c>
      <c r="R256" s="25">
        <f>SUBTOTAL(9,tabCustoUnit[SENAI OU SENAC])</f>
        <v>2666.7275880000034</v>
      </c>
      <c r="S256" s="25">
        <f>SUBTOTAL(9,tabCustoUnit[INCRA])</f>
        <v>533.34551760000033</v>
      </c>
      <c r="T256" s="25">
        <f>SUBTOTAL(9,tabCustoUnit[Salário Educação])</f>
        <v>6666.8189700000094</v>
      </c>
      <c r="U256" s="25">
        <f>SUBTOTAL(9,tabCustoUnit[FGTS])</f>
        <v>21333.820704000027</v>
      </c>
      <c r="V256" s="25">
        <f>SUBTOTAL(9,tabCustoUnit[RAT Ajustado])</f>
        <v>10666.910352000014</v>
      </c>
      <c r="W256" s="25">
        <f>SUBTOTAL(9,tabCustoUnit[SEBRAE])</f>
        <v>1600.0365527999995</v>
      </c>
      <c r="X256" s="25">
        <f>SUBTOTAL(9,tabCustoUnit[Submódulo 2.1])</f>
        <v>100802.30282639989</v>
      </c>
      <c r="Y256" s="25">
        <f>SUBTOTAL(9,tabCustoUnit[13º salário (titular)])</f>
        <v>22222.729899999958</v>
      </c>
      <c r="Z256" s="25">
        <f>SUBTOTAL(9,tabCustoUnit[Férias e Adicional de Férias (titular)])</f>
        <v>29630.306533333372</v>
      </c>
      <c r="AA256" s="25">
        <f>SUBTOTAL(9,tabCustoUnit[Incidência do Submódulo 2.1 sobre 13º Salário, Férias e Adicional de Férias])</f>
        <v>19600.447771800053</v>
      </c>
      <c r="AB256" s="25">
        <f>SUBTOTAL(9,tabCustoUnit[Submódulo 2.2])</f>
        <v>71453.484205133311</v>
      </c>
      <c r="AC256" s="25">
        <f>SUBTOTAL(9,tabCustoUnit[Vale - Transporte (Descontada parcela do empregado)])</f>
        <v>50598.300633999919</v>
      </c>
      <c r="AD256" s="25">
        <f>SUBTOTAL(9,tabCustoUnit[Vale - Alimentação (Descontada parcela do empregado)])</f>
        <v>133860</v>
      </c>
      <c r="AE256" s="25">
        <f>SUBTOTAL(9,tabCustoUnit[Cesta Básica])</f>
        <v>8531.380000000001</v>
      </c>
      <c r="AF256" s="25">
        <f>SUBTOTAL(9,tabCustoUnit[PAF])</f>
        <v>6924.6400000000012</v>
      </c>
      <c r="AG256" s="25">
        <f>SUBTOTAL(9,tabCustoUnit[PQM])</f>
        <v>888.37000000000114</v>
      </c>
      <c r="AH256" s="25">
        <f>SUBTOTAL(9,tabCustoUnit[PAT])</f>
        <v>0</v>
      </c>
      <c r="AI256" s="25">
        <f>SUBTOTAL(9,tabCustoUnit[Seguro de Vida])</f>
        <v>846.72000000000287</v>
      </c>
      <c r="AJ256" s="25">
        <f>SUBTOTAL(9,tabCustoUnit[Despesas de Viagem])</f>
        <v>81.52</v>
      </c>
      <c r="AK256" s="25">
        <f>SUBTOTAL(9,tabCustoUnit[Submódulo 2.3])</f>
        <v>201730.93063399979</v>
      </c>
      <c r="AL256" s="25">
        <f>SUBTOTAL(9,tabCustoUnit[MÓDULO 2 - Total Encargos e Benefícios mensais e diários])</f>
        <v>373986.71766553336</v>
      </c>
      <c r="AM256" s="25">
        <f>SUBTOTAL(9,tabCustoUnit[Aviso Prévio Indenizado (API) e Reflexo do Aviso Prévio Indenizado])</f>
        <v>1869.8472433682862</v>
      </c>
      <c r="AN256" s="25">
        <f>SUBTOTAL(9,tabCustoUnit[Incidência do FGTS sobre API e Reflexo do API])</f>
        <v>149.58777946946327</v>
      </c>
      <c r="AO256" s="25">
        <f>SUBTOTAL(9,tabCustoUnit[Multa Rescisória do FGTS sobre o Aviso Prévio Indenizado])</f>
        <v>59.835111787785287</v>
      </c>
      <c r="AP256" s="25">
        <f>SUBTOTAL(9,tabCustoUnit[Aviso Prévio Trabalhado - APT])</f>
        <v>933.35465580000164</v>
      </c>
      <c r="AQ256" s="25">
        <f>SUBTOTAL(9,tabCustoUnit[Incidência dos encargos do submódulo 2.1 sobre Aviso Prévio Trabalhado])</f>
        <v>352.80805989240042</v>
      </c>
      <c r="AR256" s="25">
        <f>SUBTOTAL(9,tabCustoUnit[Multa Rescisória do FGTS])</f>
        <v>8154.2603579733295</v>
      </c>
      <c r="AS256" s="25">
        <f>SUBTOTAL(9,tabCustoUnit[Indenização Adicional (Art. 9º da Lei nº 7.238/84)])</f>
        <v>222.22729899999993</v>
      </c>
      <c r="AT256" s="25">
        <f>SUBTOTAL(9,tabCustoUnit[MÓDULO 3 – PROVISÃO PARA RESCISÃO])</f>
        <v>11741.920507291285</v>
      </c>
      <c r="AU256" s="25">
        <f>SUBTOTAL(9,tabCustoUnit[Ausência por Doença])</f>
        <v>2251.9032965333327</v>
      </c>
      <c r="AV256" s="25">
        <f>SUBTOTAL(9,tabCustoUnit[Ausências Legais])</f>
        <v>540.75309423333226</v>
      </c>
      <c r="AW256" s="25">
        <f>SUBTOTAL(9,tabCustoUnit[Licença Paternidade])</f>
        <v>45.556596295000013</v>
      </c>
      <c r="AX256" s="25">
        <f>SUBTOTAL(9,tabCustoUnit[Ausência por Acidente de Trabalho])</f>
        <v>55.556824749999983</v>
      </c>
      <c r="AY256" s="25">
        <f>SUBTOTAL(9,tabCustoUnit[Férias, Adicional de Férias e 13º  com empregada em gozo de Licença Maternidade])</f>
        <v>345.68690955555513</v>
      </c>
      <c r="AZ256" s="25">
        <f>SUBTOTAL(9,tabCustoUnit[Incidência do Submódulo 2.1 sobre Ausências Legais])</f>
        <v>1224.5146406768115</v>
      </c>
      <c r="BA256" s="25">
        <f>SUBTOTAL(9,tabCustoUnit[Submódulo 4.1])</f>
        <v>4463.9713620440361</v>
      </c>
      <c r="BB256" s="25">
        <f>SUBTOTAL(9,tabCustoUnit[Intervalo para Repouso ou Alimentação])</f>
        <v>413.90315171428563</v>
      </c>
      <c r="BC256" s="25">
        <f>SUBTOTAL(9,tabCustoUnit[Submódulo 4.2])</f>
        <v>413.90315171428563</v>
      </c>
      <c r="BD256" s="25">
        <f>SUBTOTAL(9,tabCustoUnit[Suspensão Temporária do Contrato de Trabalho])</f>
        <v>0</v>
      </c>
      <c r="BE256" s="25">
        <f>SUBTOTAL(9,tabCustoUnit[Submódulo 4.3])</f>
        <v>0</v>
      </c>
      <c r="BF256" s="25">
        <f>SUBTOTAL(9,tabCustoUnit[MÓDULO 4 – CUSTO DE REPOSIÇÃO DO PROFISSIONAL AUSENTE])</f>
        <v>4877.8745137583201</v>
      </c>
      <c r="BG256" s="25">
        <f>SUBTOTAL(9,tabCustoUnit[Uniformes e EPIs])</f>
        <v>19793.133333333342</v>
      </c>
      <c r="BH256" s="25">
        <f>SUBTOTAL(9,tabCustoUnit[Materiais de Consumo])</f>
        <v>5648.203092527533</v>
      </c>
      <c r="BI256" s="25">
        <f>SUBTOTAL(9,tabCustoUnit[Máquinas e Equipamentos (depreciação)])</f>
        <v>10267.861876258341</v>
      </c>
      <c r="BJ256" s="25">
        <f>SUBTOTAL(9,tabCustoUnit[Produtos de Limpeza e Materiais de Higiene Pessoal])</f>
        <v>109768.86170129257</v>
      </c>
      <c r="BK256" s="25">
        <f>SUBTOTAL(9,tabCustoUnit[Outros (especificar)])</f>
        <v>0</v>
      </c>
      <c r="BL256" s="25">
        <f>SUBTOTAL(9,tabCustoUnit[MÓDULO 5 – INSUMOS DIVERSOS])</f>
        <v>145478.06000341199</v>
      </c>
      <c r="BM256" s="25">
        <f>SUBTOTAL(9,tabCustoUnit[TOTAL MÓDULOS 1+2+3+4+5])</f>
        <v>802757.33148999372</v>
      </c>
      <c r="BN256" s="25">
        <f>SUBTOTAL(9,tabCustoUnit[Custos Indiretos])</f>
        <v>47791.497953411505</v>
      </c>
      <c r="BO256" s="25">
        <f>SUBTOTAL(9,tabCustoUnit[Lucro])</f>
        <v>40144.858280865628</v>
      </c>
      <c r="BP256" s="138">
        <f>SUBTOTAL(101,tabCustoUnit[COFINS])</f>
        <v>8.7013895516814363E-2</v>
      </c>
      <c r="BQ256" s="138">
        <f>SUBTOTAL(101,tabCustoUnit[PIS])</f>
        <v>1.8891174684571452E-2</v>
      </c>
      <c r="BR256" s="138">
        <f>SUBTOTAL(101,tabCustoUnit[ISS])</f>
        <v>3.3940476190476167E-2</v>
      </c>
      <c r="BS256" s="138">
        <f>SUBTOTAL(101,tabCustoUnit[ISS (Conversão Alíquota s/ fatura)])</f>
        <v>3.9014607651431443E-2</v>
      </c>
      <c r="BT256" s="138">
        <f>SUBTOTAL(101,tabCustoUnit[Resumo de Alíquotas (PIS+CONFINS+ISS)])</f>
        <v>0.12644047619047577</v>
      </c>
      <c r="BU256" s="138">
        <f>SUBTOTAL(101,tabCustoUnit[PIS + COFINS + ISS (Total Conversão  Alíquota s/ Fatura)])</f>
        <v>0.14491967785281726</v>
      </c>
      <c r="BV256" s="25">
        <f>SUBTOTAL(9,tabCustoUnit[Valor dos Tributos (ISS, PIS, CONFINS)])</f>
        <v>129065.44627688651</v>
      </c>
      <c r="BW256" s="25">
        <f>SUBTOTAL(9,tabCustoUnit[MÓDULO 6 – CUSTOS INDIRETOS, TRIBUTOS E LUCRO])</f>
        <v>217001.80251116326</v>
      </c>
      <c r="BX256" s="25">
        <f>SUBTOTAL(9,tabCustoUnit[CUSTO TOTAL MENSAL])</f>
        <v>1019759.1340011571</v>
      </c>
      <c r="BY256" s="25">
        <f>SUBTOTAL(9,tabCustoUnit[CUSTO TOTAL ANUAL])</f>
        <v>12237109.6080139</v>
      </c>
      <c r="BZ256" s="20"/>
      <c r="CA256" s="20"/>
      <c r="CB256" s="20"/>
    </row>
    <row r="260" spans="29:78" x14ac:dyDescent="0.25">
      <c r="AC260" s="22"/>
    </row>
    <row r="261" spans="29:78" x14ac:dyDescent="0.25">
      <c r="BZ261" s="22"/>
    </row>
  </sheetData>
  <mergeCells count="12">
    <mergeCell ref="AC2:AK2"/>
    <mergeCell ref="Y2:AB2"/>
    <mergeCell ref="P2:X2"/>
    <mergeCell ref="P1:AL1"/>
    <mergeCell ref="G1:O2"/>
    <mergeCell ref="BF1:BK2"/>
    <mergeCell ref="BM1:BV2"/>
    <mergeCell ref="AM1:AT2"/>
    <mergeCell ref="BD2:BE2"/>
    <mergeCell ref="BB2:BC2"/>
    <mergeCell ref="AU2:BA2"/>
    <mergeCell ref="AU1:BE1"/>
  </mergeCells>
  <phoneticPr fontId="9" type="noConversion"/>
  <pageMargins left="0.511811024" right="0.511811024" top="0.78740157499999996" bottom="0.78740157499999996" header="0.31496062000000002" footer="0.31496062000000002"/>
  <tableParts count="1">
    <tablePart r:id="rId1"/>
  </tableParts>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B786262-C766-4B54-A170-0420B50CB43F}">
  <sheetPr codeName="Planilha9"/>
  <dimension ref="A1:CD300"/>
  <sheetViews>
    <sheetView workbookViewId="0"/>
  </sheetViews>
  <sheetFormatPr defaultRowHeight="15" x14ac:dyDescent="0.25"/>
  <cols>
    <col min="1" max="1" width="12.7109375" style="20" customWidth="1"/>
    <col min="2" max="2" width="24.7109375" bestFit="1" customWidth="1"/>
    <col min="3" max="3" width="30.140625" bestFit="1" customWidth="1"/>
    <col min="4" max="4" width="26.42578125" bestFit="1" customWidth="1"/>
    <col min="5" max="6" width="12.7109375" customWidth="1"/>
    <col min="7" max="8" width="12.7109375" style="20" customWidth="1"/>
    <col min="9" max="69" width="17.7109375" style="22" customWidth="1"/>
    <col min="70" max="75" width="17.7109375" style="26" customWidth="1"/>
    <col min="76" max="79" width="17.7109375" style="22" customWidth="1"/>
    <col min="80" max="80" width="17.7109375" style="24" customWidth="1"/>
    <col min="81" max="82" width="17.7109375" style="20" customWidth="1"/>
  </cols>
  <sheetData>
    <row r="1" spans="1:82" ht="90" x14ac:dyDescent="0.25">
      <c r="A1" s="29" t="str" cm="1">
        <f t="array" ref="A1:CD1">_xlfn.HSTACK(tabCustoUnit[[#Headers],[Código do Posto]:[Fonte de Recursos]],"Vagas contratadas","Vagas suspensas",tabCustoUnit[[#Headers],[Salário Base]:[TERMO ADITIVO ALTERAÇÃO DA CCT]])</f>
        <v>Código do Posto</v>
      </c>
      <c r="B1" s="29" t="str">
        <v>Comarca</v>
      </c>
      <c r="C1" s="29" t="str">
        <v>Função</v>
      </c>
      <c r="D1" s="29" t="str">
        <v>CCT DA CATEGORIA</v>
      </c>
      <c r="E1" s="29" t="str">
        <v>Classificação</v>
      </c>
      <c r="F1" s="29" t="str">
        <v>Fonte de Recursos</v>
      </c>
      <c r="G1" s="29" t="str">
        <v>Vagas contratadas</v>
      </c>
      <c r="H1" s="29" t="str">
        <v>Vagas suspensas</v>
      </c>
      <c r="I1" s="29" t="str">
        <v>Salário Base</v>
      </c>
      <c r="J1" s="29" t="str">
        <v>Adicional Periculosidade</v>
      </c>
      <c r="K1" s="29" t="str">
        <v>Adicional Insalubridade</v>
      </c>
      <c r="L1" s="29" t="str">
        <v>Adicional Noturno</v>
      </c>
      <c r="M1" s="29" t="str">
        <v>Adicional Motorista II (Gratificação)</v>
      </c>
      <c r="N1" s="29" t="str">
        <v>Adicional de Sobreaviso</v>
      </c>
      <c r="O1" s="29" t="str">
        <v>Horas Extras TI</v>
      </c>
      <c r="P1" s="29" t="str">
        <v>Adicional de Acúmulo de função</v>
      </c>
      <c r="Q1" s="30" t="str">
        <v xml:space="preserve">MODULO 1 - REMUNERAÇÃO </v>
      </c>
      <c r="R1" s="29" t="str">
        <v>INSS</v>
      </c>
      <c r="S1" s="29" t="str">
        <v>SESI OU SESC</v>
      </c>
      <c r="T1" s="29" t="str">
        <v>SENAI OU SENAC</v>
      </c>
      <c r="U1" s="29" t="str">
        <v>INCRA</v>
      </c>
      <c r="V1" s="29" t="str">
        <v>Salário Educação</v>
      </c>
      <c r="W1" s="29" t="str">
        <v>FGTS</v>
      </c>
      <c r="X1" s="29" t="str">
        <v>RAT Ajustado</v>
      </c>
      <c r="Y1" s="29" t="str">
        <v>SEBRAE</v>
      </c>
      <c r="Z1" s="31" t="str">
        <v>Submódulo 2.1</v>
      </c>
      <c r="AA1" s="29" t="str">
        <v>13º salário (titular)</v>
      </c>
      <c r="AB1" s="29" t="str">
        <v>Férias e Adicional de Férias (titular)</v>
      </c>
      <c r="AC1" s="29" t="str">
        <v>Incidência do Submódulo 2.1 sobre 13º Salário, Férias e Adicional de Férias</v>
      </c>
      <c r="AD1" s="31" t="str">
        <v>Submódulo 2.2</v>
      </c>
      <c r="AE1" s="29" t="str">
        <v>Vale - Transporte (Descontada parcela do empregado)</v>
      </c>
      <c r="AF1" s="29" t="str">
        <v>Vale - Alimentação (Descontada parcela do empregado)</v>
      </c>
      <c r="AG1" s="29" t="str">
        <v>Cesta Básica</v>
      </c>
      <c r="AH1" s="29" t="str">
        <v>PAF</v>
      </c>
      <c r="AI1" s="29" t="str">
        <v>PQM</v>
      </c>
      <c r="AJ1" s="29" t="str">
        <v>PAT</v>
      </c>
      <c r="AK1" s="29" t="str">
        <v>Seguro de Vida</v>
      </c>
      <c r="AL1" s="29" t="str">
        <v>Despesas de Viagem</v>
      </c>
      <c r="AM1" s="31" t="str">
        <v>Submódulo 2.3</v>
      </c>
      <c r="AN1" s="30" t="str">
        <v>MÓDULO 2 - Total Encargos e Benefícios mensais e diários</v>
      </c>
      <c r="AO1" s="29" t="str">
        <v>Aviso Prévio Indenizado (API) e Reflexo do Aviso Prévio Indenizado</v>
      </c>
      <c r="AP1" s="29" t="str">
        <v>Incidência do FGTS sobre API e Reflexo do API</v>
      </c>
      <c r="AQ1" s="29" t="str">
        <v>Multa Rescisória do FGTS sobre o Aviso Prévio Indenizado</v>
      </c>
      <c r="AR1" s="29" t="str">
        <v>Aviso Prévio Trabalhado - APT</v>
      </c>
      <c r="AS1" s="29" t="str">
        <v>Incidência dos encargos do submódulo 2.1 sobre Aviso Prévio Trabalhado</v>
      </c>
      <c r="AT1" s="29" t="str">
        <v>Multa Rescisória do FGTS</v>
      </c>
      <c r="AU1" s="29" t="str">
        <v>Indenização Adicional (Art. 9º da Lei nº 7.238/84)</v>
      </c>
      <c r="AV1" s="30" t="str">
        <v>MÓDULO 3 – PROVISÃO PARA RESCISÃO</v>
      </c>
      <c r="AW1" s="29" t="str">
        <v>Ausência por Doença</v>
      </c>
      <c r="AX1" s="29" t="str">
        <v>Ausências Legais</v>
      </c>
      <c r="AY1" s="29" t="str">
        <v>Licença Paternidade</v>
      </c>
      <c r="AZ1" s="29" t="str">
        <v>Ausência por Acidente de Trabalho</v>
      </c>
      <c r="BA1" s="29" t="str">
        <v>Férias, Adicional de Férias e 13º  com empregada em gozo de Licença Maternidade</v>
      </c>
      <c r="BB1" s="29" t="str">
        <v>Incidência do Submódulo 2.1 sobre Ausências Legais</v>
      </c>
      <c r="BC1" s="31" t="str">
        <v>Submódulo 4.1</v>
      </c>
      <c r="BD1" s="29" t="str">
        <v>Intervalo para Repouso ou Alimentação</v>
      </c>
      <c r="BE1" s="31" t="str">
        <v>Submódulo 4.2</v>
      </c>
      <c r="BF1" s="29" t="str">
        <v>Suspensão Temporária do Contrato de Trabalho</v>
      </c>
      <c r="BG1" s="31" t="str">
        <v>Submódulo 4.3</v>
      </c>
      <c r="BH1" s="30" t="str">
        <v>MÓDULO 4 – CUSTO DE REPOSIÇÃO DO PROFISSIONAL AUSENTE</v>
      </c>
      <c r="BI1" s="29" t="str">
        <v>Uniformes e EPIs</v>
      </c>
      <c r="BJ1" s="29" t="str">
        <v>Materiais de Consumo</v>
      </c>
      <c r="BK1" s="29" t="str">
        <v>Máquinas e Equipamentos (depreciação)</v>
      </c>
      <c r="BL1" s="29" t="str">
        <v>Produtos de Limpeza e Materiais de Higiene Pessoal</v>
      </c>
      <c r="BM1" s="29" t="str">
        <v>Outros (especificar)</v>
      </c>
      <c r="BN1" s="30" t="str">
        <v>MÓDULO 5 – INSUMOS DIVERSOS</v>
      </c>
      <c r="BO1" s="32" t="str">
        <v>TOTAL MÓDULOS 1+2+3+4+5</v>
      </c>
      <c r="BP1" s="29" t="str">
        <v>Custos Indiretos</v>
      </c>
      <c r="BQ1" s="29" t="str">
        <v>Lucro</v>
      </c>
      <c r="BR1" s="29" t="str">
        <v>COFINS</v>
      </c>
      <c r="BS1" s="29" t="str">
        <v>PIS</v>
      </c>
      <c r="BT1" s="29" t="str">
        <v>ISS</v>
      </c>
      <c r="BU1" s="29" t="str">
        <v>ISS (Conversão Alíquota s/ fatura)</v>
      </c>
      <c r="BV1" s="29" t="str">
        <v>Resumo de Alíquotas (PIS+CONFINS+ISS)</v>
      </c>
      <c r="BW1" s="29" t="str">
        <v>PIS + COFINS + ISS (Total Conversão  Alíquota s/ Fatura)</v>
      </c>
      <c r="BX1" s="29" t="str">
        <v>Valor dos Tributos (ISS, PIS, CONFINS)</v>
      </c>
      <c r="BY1" s="30" t="str">
        <v>MÓDULO 6 – CUSTOS INDIRETOS, TRIBUTOS E LUCRO</v>
      </c>
      <c r="BZ1" s="33" t="str">
        <v>CUSTO TOTAL MENSAL</v>
      </c>
      <c r="CA1" s="33" t="str">
        <v>CUSTO TOTAL ANUAL</v>
      </c>
      <c r="CB1" s="3" t="str">
        <v>ANO DA CCT</v>
      </c>
      <c r="CC1" s="3" t="str">
        <v>Nº DE PEDIDO DA CCT</v>
      </c>
      <c r="CD1" s="3" t="str">
        <v>TERMO ADITIVO ALTERAÇÃO DA CCT</v>
      </c>
    </row>
    <row r="2" spans="1:82" x14ac:dyDescent="0.25">
      <c r="A2" s="20" t="e" cm="1">
        <f t="array" ref="A2">_xlfn.VSTACK(PARAMETROS!#REF!,"Total")</f>
        <v>#REF!</v>
      </c>
      <c r="B2" s="27" t="str" cm="1">
        <f t="array" aca="1" ref="B2:B253" ca="1">INDIRECT("tabCustoUnit["&amp;B$1&amp;"]")</f>
        <v>Abaete</v>
      </c>
      <c r="C2" s="27" t="str" cm="1">
        <f t="array" aca="1" ref="C2:C253" ca="1">INDIRECT("tabCustoUnit["&amp;C$1&amp;"]")</f>
        <v>Auxiliar de Limpeza - 110 h</v>
      </c>
      <c r="D2" s="27" t="str" cm="1">
        <f t="array" aca="1" ref="D2:D253" ca="1">INDIRECT("tabCustoUnit["&amp;D$1&amp;"]")</f>
        <v>Curvelo</v>
      </c>
      <c r="E2" s="20" t="str" cm="1">
        <f t="array" aca="1" ref="E2:E253" ca="1">INDIRECT("tabCustoUnit["&amp;E$1&amp;"]")</f>
        <v>Limpeza</v>
      </c>
      <c r="F2" s="20" t="str" cm="1">
        <f t="array" aca="1" ref="F2:F253" ca="1">INDIRECT("tabCustoUnit["&amp;F$1&amp;"]")</f>
        <v>PGJ</v>
      </c>
      <c r="G2" s="20" t="e" cm="1">
        <f t="array" ref="G2">_xlfn.VSTACK(VLOOKUP(PARAMETROS!#REF!,PARAMETROS!$A$4:$BJ$255,7,0),SUM(VLOOKUP(PARAMETROS!#REF!,PARAMETROS!$A$4:$BJ$255,7,0)))</f>
        <v>#REF!</v>
      </c>
      <c r="H2" s="20" t="e" cm="1">
        <f t="array" ref="H2">_xlfn.VSTACK(VLOOKUP(PARAMETROS!#REF!,PARAMETROS!$A$4:$BJ$255,8,0),SUM(VLOOKUP(PARAMETROS!#REF!,PARAMETROS!$A$4:$BJ$255,8,0)))</f>
        <v>#REF!</v>
      </c>
      <c r="I2" s="22" t="e" cm="1">
        <f t="array" aca="1" ref="I2" ca="1">_xlfn.VSTACK(INDIRECT("tabCustoUnit["&amp;I$1&amp;"]")*($G$2:$G$300-$H$2:$H$300),SUM(INDIRECT("tabCustoUnit["&amp;I$1&amp;"]")*($G$2:$G$300-$H$2:$H$300)))</f>
        <v>#REF!</v>
      </c>
      <c r="J2" s="22" t="e" cm="1">
        <f t="array" aca="1" ref="J2" ca="1">_xlfn.VSTACK(INDIRECT("tabCustoUnit["&amp;J$1&amp;"]")*($G$2:$G$300-$H$2:$H$300),SUM(INDIRECT("tabCustoUnit["&amp;J$1&amp;"]")*($G$2:$G$300-$H$2:$H$300)))</f>
        <v>#REF!</v>
      </c>
      <c r="K2" s="22" t="e" cm="1">
        <f t="array" aca="1" ref="K2" ca="1">_xlfn.VSTACK(INDIRECT("tabCustoUnit["&amp;K$1&amp;"]")*($G$2:$G$300-$H$2:$H$300),SUM(INDIRECT("tabCustoUnit["&amp;K$1&amp;"]")*($G$2:$G$300-$H$2:$H$300)))</f>
        <v>#REF!</v>
      </c>
      <c r="L2" s="22" t="e" cm="1">
        <f t="array" aca="1" ref="L2" ca="1">_xlfn.VSTACK(INDIRECT("tabCustoUnit["&amp;L$1&amp;"]")*($G$2:$G$300-$H$2:$H$300),SUM(INDIRECT("tabCustoUnit["&amp;L$1&amp;"]")*($G$2:$G$300-$H$2:$H$300)))</f>
        <v>#REF!</v>
      </c>
      <c r="M2" s="22" t="e" cm="1">
        <f t="array" aca="1" ref="M2" ca="1">_xlfn.VSTACK(INDIRECT("tabCustoUnit["&amp;M$1&amp;"]")*($G$2:$G$300-$H$2:$H$300),SUM(INDIRECT("tabCustoUnit["&amp;M$1&amp;"]")*($G$2:$G$300-$H$2:$H$300)))</f>
        <v>#REF!</v>
      </c>
      <c r="N2" s="22" t="e" cm="1">
        <f t="array" aca="1" ref="N2" ca="1">_xlfn.VSTACK(INDIRECT("tabCustoUnit["&amp;N$1&amp;"]")*($G$2:$G$300-$H$2:$H$300),SUM(INDIRECT("tabCustoUnit["&amp;N$1&amp;"]")*($G$2:$G$300-$H$2:$H$300)))</f>
        <v>#REF!</v>
      </c>
      <c r="O2" s="22" t="e" cm="1">
        <f t="array" aca="1" ref="O2" ca="1">_xlfn.VSTACK(INDIRECT("tabCustoUnit["&amp;O$1&amp;"]")*($G$2:$G$300-$H$2:$H$300),SUM(INDIRECT("tabCustoUnit["&amp;O$1&amp;"]")*($G$2:$G$300-$H$2:$H$300)))</f>
        <v>#REF!</v>
      </c>
      <c r="P2" s="22" t="e" cm="1">
        <f t="array" aca="1" ref="P2" ca="1">_xlfn.VSTACK(INDIRECT("tabCustoUnit["&amp;P$1&amp;"]")*($G$2:$G$300-$H$2:$H$300),SUM(INDIRECT("tabCustoUnit["&amp;P$1&amp;"]")*($G$2:$G$300-$H$2:$H$300)))</f>
        <v>#REF!</v>
      </c>
      <c r="Q2" s="22" t="e" cm="1">
        <f t="array" aca="1" ref="Q2" ca="1">_xlfn.VSTACK(INDIRECT("tabCustoUnit["&amp;Q$1&amp;"]")*($G$2:$G$300-$H$2:$H$300),SUM(INDIRECT("tabCustoUnit["&amp;Q$1&amp;"]")*($G$2:$G$300-$H$2:$H$300)))</f>
        <v>#REF!</v>
      </c>
      <c r="R2" s="22" t="e" cm="1">
        <f t="array" aca="1" ref="R2" ca="1">_xlfn.VSTACK(INDIRECT("tabCustoUnit["&amp;R$1&amp;"]")*($G$2:$G$300-$H$2:$H$300),SUM(INDIRECT("tabCustoUnit["&amp;R$1&amp;"]")*($G$2:$G$300-$H$2:$H$300)))</f>
        <v>#REF!</v>
      </c>
      <c r="S2" s="22" t="e" cm="1">
        <f t="array" aca="1" ref="S2" ca="1">_xlfn.VSTACK(INDIRECT("tabCustoUnit["&amp;S$1&amp;"]")*($G$2:$G$300-$H$2:$H$300),SUM(INDIRECT("tabCustoUnit["&amp;S$1&amp;"]")*($G$2:$G$300-$H$2:$H$300)))</f>
        <v>#REF!</v>
      </c>
      <c r="T2" s="22" t="e" cm="1">
        <f t="array" aca="1" ref="T2" ca="1">_xlfn.VSTACK(INDIRECT("tabCustoUnit["&amp;T$1&amp;"]")*($G$2:$G$300-$H$2:$H$300),SUM(INDIRECT("tabCustoUnit["&amp;T$1&amp;"]")*($G$2:$G$300-$H$2:$H$300)))</f>
        <v>#REF!</v>
      </c>
      <c r="U2" s="22" t="e" cm="1">
        <f t="array" aca="1" ref="U2" ca="1">_xlfn.VSTACK(INDIRECT("tabCustoUnit["&amp;U$1&amp;"]")*($G$2:$G$300-$H$2:$H$300),SUM(INDIRECT("tabCustoUnit["&amp;U$1&amp;"]")*($G$2:$G$300-$H$2:$H$300)))</f>
        <v>#REF!</v>
      </c>
      <c r="V2" s="22" t="e" cm="1">
        <f t="array" aca="1" ref="V2" ca="1">_xlfn.VSTACK(INDIRECT("tabCustoUnit["&amp;V$1&amp;"]")*($G$2:$G$300-$H$2:$H$300),SUM(INDIRECT("tabCustoUnit["&amp;V$1&amp;"]")*($G$2:$G$300-$H$2:$H$300)))</f>
        <v>#REF!</v>
      </c>
      <c r="W2" s="22" t="e" cm="1">
        <f t="array" aca="1" ref="W2" ca="1">_xlfn.VSTACK(INDIRECT("tabCustoUnit["&amp;W$1&amp;"]")*($G$2:$G$300-$H$2:$H$300),SUM(INDIRECT("tabCustoUnit["&amp;W$1&amp;"]")*($G$2:$G$300-$H$2:$H$300)))</f>
        <v>#REF!</v>
      </c>
      <c r="X2" s="22" t="e" cm="1">
        <f t="array" aca="1" ref="X2" ca="1">_xlfn.VSTACK(INDIRECT("tabCustoUnit["&amp;X$1&amp;"]")*($G$2:$G$300-$H$2:$H$300),SUM(INDIRECT("tabCustoUnit["&amp;X$1&amp;"]")*($G$2:$G$300-$H$2:$H$300)))</f>
        <v>#REF!</v>
      </c>
      <c r="Y2" s="22" t="e" cm="1">
        <f t="array" aca="1" ref="Y2" ca="1">_xlfn.VSTACK(INDIRECT("tabCustoUnit["&amp;Y$1&amp;"]")*($G$2:$G$300-$H$2:$H$300),SUM(INDIRECT("tabCustoUnit["&amp;Y$1&amp;"]")*($G$2:$G$300-$H$2:$H$300)))</f>
        <v>#REF!</v>
      </c>
      <c r="Z2" s="22" t="e" cm="1">
        <f t="array" aca="1" ref="Z2" ca="1">_xlfn.VSTACK(INDIRECT("tabCustoUnit["&amp;Z$1&amp;"]")*($G$2:$G$300-$H$2:$H$300),SUM(INDIRECT("tabCustoUnit["&amp;Z$1&amp;"]")*($G$2:$G$300-$H$2:$H$300)))</f>
        <v>#REF!</v>
      </c>
      <c r="AA2" s="22" t="e" cm="1">
        <f t="array" aca="1" ref="AA2" ca="1">_xlfn.VSTACK(INDIRECT("tabCustoUnit["&amp;AA$1&amp;"]")*($G$2:$G$300-$H$2:$H$300),SUM(INDIRECT("tabCustoUnit["&amp;AA$1&amp;"]")*($G$2:$G$300-$H$2:$H$300)))</f>
        <v>#REF!</v>
      </c>
      <c r="AB2" s="22" t="e" cm="1">
        <f t="array" aca="1" ref="AB2" ca="1">_xlfn.VSTACK(INDIRECT("tabCustoUnit["&amp;AB$1&amp;"]")*($G$2:$G$300-$H$2:$H$300),SUM(INDIRECT("tabCustoUnit["&amp;AB$1&amp;"]")*($G$2:$G$300-$H$2:$H$300)))</f>
        <v>#REF!</v>
      </c>
      <c r="AC2" s="22" t="e" cm="1">
        <f t="array" aca="1" ref="AC2" ca="1">_xlfn.VSTACK(INDIRECT("tabCustoUnit["&amp;AC$1&amp;"]")*($G$2:$G$300-$H$2:$H$300),SUM(INDIRECT("tabCustoUnit["&amp;AC$1&amp;"]")*($G$2:$G$300-$H$2:$H$300)))</f>
        <v>#REF!</v>
      </c>
      <c r="AD2" s="22" t="e" cm="1">
        <f t="array" aca="1" ref="AD2" ca="1">_xlfn.VSTACK(INDIRECT("tabCustoUnit["&amp;AD$1&amp;"]")*($G$2:$G$300-$H$2:$H$300),SUM(INDIRECT("tabCustoUnit["&amp;AD$1&amp;"]")*($G$2:$G$300-$H$2:$H$300)))</f>
        <v>#REF!</v>
      </c>
      <c r="AE2" s="22" t="e" cm="1">
        <f t="array" aca="1" ref="AE2" ca="1">_xlfn.VSTACK(INDIRECT("tabCustoUnit["&amp;AE$1&amp;"]")*($G$2:$G$300-$H$2:$H$300),SUM(INDIRECT("tabCustoUnit["&amp;AE$1&amp;"]")*($G$2:$G$300-$H$2:$H$300)))</f>
        <v>#REF!</v>
      </c>
      <c r="AF2" s="22" t="e" cm="1">
        <f t="array" aca="1" ref="AF2" ca="1">_xlfn.VSTACK(INDIRECT("tabCustoUnit["&amp;AF$1&amp;"]")*($G$2:$G$300-$H$2:$H$300),SUM(INDIRECT("tabCustoUnit["&amp;AF$1&amp;"]")*($G$2:$G$300-$H$2:$H$300)))</f>
        <v>#REF!</v>
      </c>
      <c r="AG2" s="22" t="e" cm="1">
        <f t="array" aca="1" ref="AG2" ca="1">_xlfn.VSTACK(INDIRECT("tabCustoUnit["&amp;AG$1&amp;"]")*($G$2:$G$300-$H$2:$H$300),SUM(INDIRECT("tabCustoUnit["&amp;AG$1&amp;"]")*($G$2:$G$300-$H$2:$H$300)))</f>
        <v>#REF!</v>
      </c>
      <c r="AH2" s="22" t="e" cm="1">
        <f t="array" aca="1" ref="AH2" ca="1">_xlfn.VSTACK(INDIRECT("tabCustoUnit["&amp;AH$1&amp;"]")*($G$2:$G$300-$H$2:$H$300),SUM(INDIRECT("tabCustoUnit["&amp;AH$1&amp;"]")*($G$2:$G$300-$H$2:$H$300)))</f>
        <v>#REF!</v>
      </c>
      <c r="AI2" s="22" t="e" cm="1">
        <f t="array" aca="1" ref="AI2" ca="1">_xlfn.VSTACK(INDIRECT("tabCustoUnit["&amp;AI$1&amp;"]")*($G$2:$G$300-$H$2:$H$300),SUM(INDIRECT("tabCustoUnit["&amp;AI$1&amp;"]")*($G$2:$G$300-$H$2:$H$300)))</f>
        <v>#REF!</v>
      </c>
      <c r="AJ2" s="22" t="e" cm="1">
        <f t="array" aca="1" ref="AJ2" ca="1">_xlfn.VSTACK(INDIRECT("tabCustoUnit["&amp;AJ$1&amp;"]")*($G$2:$G$300-$H$2:$H$300),SUM(INDIRECT("tabCustoUnit["&amp;AJ$1&amp;"]")*($G$2:$G$300-$H$2:$H$300)))</f>
        <v>#REF!</v>
      </c>
      <c r="AK2" s="22" t="e" cm="1">
        <f t="array" aca="1" ref="AK2" ca="1">_xlfn.VSTACK(INDIRECT("tabCustoUnit["&amp;AK$1&amp;"]")*($G$2:$G$300-$H$2:$H$300),SUM(INDIRECT("tabCustoUnit["&amp;AK$1&amp;"]")*($G$2:$G$300-$H$2:$H$300)))</f>
        <v>#REF!</v>
      </c>
      <c r="AL2" s="22" t="e" cm="1">
        <f t="array" aca="1" ref="AL2" ca="1">_xlfn.VSTACK(INDIRECT("tabCustoUnit["&amp;AL$1&amp;"]")*($G$2:$G$300-$H$2:$H$300),SUM(INDIRECT("tabCustoUnit["&amp;AL$1&amp;"]")*($G$2:$G$300-$H$2:$H$300)))</f>
        <v>#REF!</v>
      </c>
      <c r="AM2" s="22" t="e" cm="1">
        <f t="array" aca="1" ref="AM2" ca="1">_xlfn.VSTACK(INDIRECT("tabCustoUnit["&amp;AM$1&amp;"]")*($G$2:$G$300-$H$2:$H$300),SUM(INDIRECT("tabCustoUnit["&amp;AM$1&amp;"]")*($G$2:$G$300-$H$2:$H$300)))</f>
        <v>#REF!</v>
      </c>
      <c r="AN2" s="22" t="e" cm="1">
        <f t="array" aca="1" ref="AN2" ca="1">_xlfn.VSTACK(INDIRECT("tabCustoUnit["&amp;AN$1&amp;"]")*($G$2:$G$300-$H$2:$H$300),SUM(INDIRECT("tabCustoUnit["&amp;AN$1&amp;"]")*($G$2:$G$300-$H$2:$H$300)))</f>
        <v>#REF!</v>
      </c>
      <c r="AO2" s="22" t="e" cm="1">
        <f t="array" aca="1" ref="AO2" ca="1">_xlfn.VSTACK(INDIRECT("tabCustoUnit["&amp;AO$1&amp;"]")*($G$2:$G$300-$H$2:$H$300),SUM(INDIRECT("tabCustoUnit["&amp;AO$1&amp;"]")*($G$2:$G$300-$H$2:$H$300)))</f>
        <v>#REF!</v>
      </c>
      <c r="AP2" s="22" t="e" cm="1">
        <f t="array" aca="1" ref="AP2" ca="1">_xlfn.VSTACK(INDIRECT("tabCustoUnit["&amp;AP$1&amp;"]")*($G$2:$G$300-$H$2:$H$300),SUM(INDIRECT("tabCustoUnit["&amp;AP$1&amp;"]")*($G$2:$G$300-$H$2:$H$300)))</f>
        <v>#REF!</v>
      </c>
      <c r="AQ2" s="22" t="e" cm="1">
        <f t="array" aca="1" ref="AQ2" ca="1">_xlfn.VSTACK(INDIRECT("tabCustoUnit["&amp;AQ$1&amp;"]")*($G$2:$G$300-$H$2:$H$300),SUM(INDIRECT("tabCustoUnit["&amp;AQ$1&amp;"]")*($G$2:$G$300-$H$2:$H$300)))</f>
        <v>#REF!</v>
      </c>
      <c r="AR2" s="22" t="e" cm="1">
        <f t="array" aca="1" ref="AR2" ca="1">_xlfn.VSTACK(INDIRECT("tabCustoUnit["&amp;AR$1&amp;"]")*($G$2:$G$300-$H$2:$H$300),SUM(INDIRECT("tabCustoUnit["&amp;AR$1&amp;"]")*($G$2:$G$300-$H$2:$H$300)))</f>
        <v>#REF!</v>
      </c>
      <c r="AS2" s="22" t="e" cm="1">
        <f t="array" aca="1" ref="AS2" ca="1">_xlfn.VSTACK(INDIRECT("tabCustoUnit["&amp;AS$1&amp;"]")*($G$2:$G$300-$H$2:$H$300),SUM(INDIRECT("tabCustoUnit["&amp;AS$1&amp;"]")*($G$2:$G$300-$H$2:$H$300)))</f>
        <v>#REF!</v>
      </c>
      <c r="AT2" s="22" t="e" cm="1">
        <f t="array" aca="1" ref="AT2" ca="1">_xlfn.VSTACK(INDIRECT("tabCustoUnit["&amp;AT$1&amp;"]")*($G$2:$G$300-$H$2:$H$300),SUM(INDIRECT("tabCustoUnit["&amp;AT$1&amp;"]")*($G$2:$G$300-$H$2:$H$300)))</f>
        <v>#REF!</v>
      </c>
      <c r="AU2" s="22" t="e" cm="1">
        <f t="array" aca="1" ref="AU2" ca="1">_xlfn.VSTACK(INDIRECT("tabCustoUnit["&amp;AU$1&amp;"]")*($G$2:$G$300-$H$2:$H$300),SUM(INDIRECT("tabCustoUnit["&amp;AU$1&amp;"]")*($G$2:$G$300-$H$2:$H$300)))</f>
        <v>#REF!</v>
      </c>
      <c r="AV2" s="22" t="e" cm="1">
        <f t="array" aca="1" ref="AV2" ca="1">_xlfn.VSTACK(INDIRECT("tabCustoUnit["&amp;AV$1&amp;"]")*($G$2:$G$300-$H$2:$H$300),SUM(INDIRECT("tabCustoUnit["&amp;AV$1&amp;"]")*($G$2:$G$300-$H$2:$H$300)))</f>
        <v>#REF!</v>
      </c>
      <c r="AW2" s="22" t="e" cm="1">
        <f t="array" aca="1" ref="AW2" ca="1">_xlfn.VSTACK(INDIRECT("tabCustoUnit["&amp;AW$1&amp;"]")*($G$2:$G$300-$H$2:$H$300),SUM(INDIRECT("tabCustoUnit["&amp;AW$1&amp;"]")*($G$2:$G$300-$H$2:$H$300)))</f>
        <v>#REF!</v>
      </c>
      <c r="AX2" s="22" t="e" cm="1">
        <f t="array" aca="1" ref="AX2" ca="1">_xlfn.VSTACK(INDIRECT("tabCustoUnit["&amp;AX$1&amp;"]")*($G$2:$G$300-$H$2:$H$300),SUM(INDIRECT("tabCustoUnit["&amp;AX$1&amp;"]")*($G$2:$G$300-$H$2:$H$300)))</f>
        <v>#REF!</v>
      </c>
      <c r="AY2" s="22" t="e" cm="1">
        <f t="array" aca="1" ref="AY2" ca="1">_xlfn.VSTACK(INDIRECT("tabCustoUnit["&amp;AY$1&amp;"]")*($G$2:$G$300-$H$2:$H$300),SUM(INDIRECT("tabCustoUnit["&amp;AY$1&amp;"]")*($G$2:$G$300-$H$2:$H$300)))</f>
        <v>#REF!</v>
      </c>
      <c r="AZ2" s="22" t="e" cm="1">
        <f t="array" aca="1" ref="AZ2" ca="1">_xlfn.VSTACK(INDIRECT("tabCustoUnit["&amp;AZ$1&amp;"]")*($G$2:$G$300-$H$2:$H$300),SUM(INDIRECT("tabCustoUnit["&amp;AZ$1&amp;"]")*($G$2:$G$300-$H$2:$H$300)))</f>
        <v>#REF!</v>
      </c>
      <c r="BA2" s="22" t="e" cm="1">
        <f t="array" aca="1" ref="BA2" ca="1">_xlfn.VSTACK(INDIRECT("tabCustoUnit["&amp;BA$1&amp;"]")*($G$2:$G$300-$H$2:$H$300),SUM(INDIRECT("tabCustoUnit["&amp;BA$1&amp;"]")*($G$2:$G$300-$H$2:$H$300)))</f>
        <v>#REF!</v>
      </c>
      <c r="BB2" s="22" t="e" cm="1">
        <f t="array" aca="1" ref="BB2" ca="1">_xlfn.VSTACK(INDIRECT("tabCustoUnit["&amp;BB$1&amp;"]")*($G$2:$G$300-$H$2:$H$300),SUM(INDIRECT("tabCustoUnit["&amp;BB$1&amp;"]")*($G$2:$G$300-$H$2:$H$300)))</f>
        <v>#REF!</v>
      </c>
      <c r="BC2" s="22" t="e" cm="1">
        <f t="array" aca="1" ref="BC2" ca="1">_xlfn.VSTACK(INDIRECT("tabCustoUnit["&amp;BC$1&amp;"]")*($G$2:$G$300-$H$2:$H$300),SUM(INDIRECT("tabCustoUnit["&amp;BC$1&amp;"]")*($G$2:$G$300-$H$2:$H$300)))</f>
        <v>#REF!</v>
      </c>
      <c r="BD2" s="22" t="e" cm="1">
        <f t="array" aca="1" ref="BD2" ca="1">_xlfn.VSTACK(INDIRECT("tabCustoUnit["&amp;BD$1&amp;"]")*($G$2:$G$300-$H$2:$H$300),SUM(INDIRECT("tabCustoUnit["&amp;BD$1&amp;"]")*($G$2:$G$300-$H$2:$H$300)))</f>
        <v>#REF!</v>
      </c>
      <c r="BE2" s="22" t="e" cm="1">
        <f t="array" aca="1" ref="BE2" ca="1">_xlfn.VSTACK(INDIRECT("tabCustoUnit["&amp;BE$1&amp;"]")*($G$2:$G$300-$H$2:$H$300),SUM(INDIRECT("tabCustoUnit["&amp;BE$1&amp;"]")*($G$2:$G$300-$H$2:$H$300)))</f>
        <v>#REF!</v>
      </c>
      <c r="BF2" s="22" t="e" cm="1">
        <f t="array" aca="1" ref="BF2" ca="1">_xlfn.VSTACK(INDIRECT("tabCustoUnit["&amp;BF$1&amp;"]")*($G$2:$G$300-$H$2:$H$300),SUM(INDIRECT("tabCustoUnit["&amp;BF$1&amp;"]")*($G$2:$G$300-$H$2:$H$300)))</f>
        <v>#REF!</v>
      </c>
      <c r="BG2" s="22" t="e" cm="1">
        <f t="array" aca="1" ref="BG2" ca="1">_xlfn.VSTACK(INDIRECT("tabCustoUnit["&amp;BG$1&amp;"]")*($G$2:$G$300-$H$2:$H$300),SUM(INDIRECT("tabCustoUnit["&amp;BG$1&amp;"]")*($G$2:$G$300-$H$2:$H$300)))</f>
        <v>#REF!</v>
      </c>
      <c r="BH2" s="22" t="e" cm="1">
        <f t="array" aca="1" ref="BH2" ca="1">_xlfn.VSTACK(INDIRECT("tabCustoUnit["&amp;BH$1&amp;"]")*($G$2:$G$300-$H$2:$H$300),SUM(INDIRECT("tabCustoUnit["&amp;BH$1&amp;"]")*($G$2:$G$300-$H$2:$H$300)))</f>
        <v>#REF!</v>
      </c>
      <c r="BI2" s="22" t="e" cm="1">
        <f t="array" aca="1" ref="BI2" ca="1">_xlfn.VSTACK(INDIRECT("tabCustoUnit["&amp;BI$1&amp;"]")*($G$2:$G$300-$H$2:$H$300),SUM(INDIRECT("tabCustoUnit["&amp;BI$1&amp;"]")*($G$2:$G$300-$H$2:$H$300)))</f>
        <v>#REF!</v>
      </c>
      <c r="BJ2" s="22" t="e" cm="1">
        <f t="array" aca="1" ref="BJ2" ca="1">_xlfn.VSTACK(INDIRECT("tabCustoUnit["&amp;BJ$1&amp;"]")*($G$2:$G$300-$H$2:$H$300),SUM(INDIRECT("tabCustoUnit["&amp;BJ$1&amp;"]")*($G$2:$G$300-$H$2:$H$300)))</f>
        <v>#REF!</v>
      </c>
      <c r="BK2" s="22" t="e" cm="1">
        <f t="array" aca="1" ref="BK2" ca="1">_xlfn.VSTACK(INDIRECT("tabCustoUnit["&amp;BK$1&amp;"]")*($G$2:$G$300-$H$2:$H$300),SUM(INDIRECT("tabCustoUnit["&amp;BK$1&amp;"]")*($G$2:$G$300-$H$2:$H$300)))</f>
        <v>#REF!</v>
      </c>
      <c r="BL2" s="22" t="e" cm="1">
        <f t="array" aca="1" ref="BL2" ca="1">_xlfn.VSTACK(INDIRECT("tabCustoUnit["&amp;BL$1&amp;"]")*($G$2:$G$300-$H$2:$H$300),SUM(INDIRECT("tabCustoUnit["&amp;BL$1&amp;"]")*($G$2:$G$300-$H$2:$H$300)))</f>
        <v>#REF!</v>
      </c>
      <c r="BM2" s="22" t="e" cm="1">
        <f t="array" aca="1" ref="BM2" ca="1">_xlfn.VSTACK(INDIRECT("tabCustoUnit["&amp;BM$1&amp;"]")*($G$2:$G$300-$H$2:$H$300),SUM(INDIRECT("tabCustoUnit["&amp;BM$1&amp;"]")*($G$2:$G$300-$H$2:$H$300)))</f>
        <v>#REF!</v>
      </c>
      <c r="BN2" s="22" t="e" cm="1">
        <f t="array" aca="1" ref="BN2" ca="1">_xlfn.VSTACK(INDIRECT("tabCustoUnit["&amp;BN$1&amp;"]")*($G$2:$G$300-$H$2:$H$300),SUM(INDIRECT("tabCustoUnit["&amp;BN$1&amp;"]")*($G$2:$G$300-$H$2:$H$300)))</f>
        <v>#REF!</v>
      </c>
      <c r="BO2" s="22" t="e" cm="1">
        <f t="array" aca="1" ref="BO2" ca="1">_xlfn.VSTACK(INDIRECT("tabCustoUnit["&amp;BO$1&amp;"]")*($G$2:$G$300-$H$2:$H$300),SUM(INDIRECT("tabCustoUnit["&amp;BO$1&amp;"]")*($G$2:$G$300-$H$2:$H$300)))</f>
        <v>#REF!</v>
      </c>
      <c r="BP2" s="22" t="e" cm="1">
        <f t="array" aca="1" ref="BP2" ca="1">_xlfn.VSTACK(INDIRECT("tabCustoUnit["&amp;BP$1&amp;"]")*($G$2:$G$300-$H$2:$H$300),SUM(INDIRECT("tabCustoUnit["&amp;BP$1&amp;"]")*($G$2:$G$300-$H$2:$H$300)))</f>
        <v>#REF!</v>
      </c>
      <c r="BQ2" s="22" t="e" cm="1">
        <f t="array" aca="1" ref="BQ2" ca="1">_xlfn.VSTACK(INDIRECT("tabCustoUnit["&amp;BQ$1&amp;"]")*($G$2:$G$300-$H$2:$H$300),SUM(INDIRECT("tabCustoUnit["&amp;BQ$1&amp;"]")*($G$2:$G$300-$H$2:$H$300)))</f>
        <v>#REF!</v>
      </c>
      <c r="BR2" s="26" cm="1">
        <f t="array" aca="1" ref="BR2:BR254" ca="1">_xlfn.VSTACK(INDIRECT("tabCustoUnit["&amp;BR$1&amp;"]"),SUBTOTAL(1,INDIRECT("tabCustoUnit["&amp;BR$1&amp;"]")))</f>
        <v>8.6118980169971604E-2</v>
      </c>
      <c r="BS2" s="26" cm="1">
        <f t="array" aca="1" ref="BS2:BS254" ca="1">_xlfn.VSTACK(INDIRECT("tabCustoUnit["&amp;BS$1&amp;"]"),SUBTOTAL(1,INDIRECT("tabCustoUnit["&amp;BS$1&amp;"]")))</f>
        <v>1.8696883852691224E-2</v>
      </c>
      <c r="BT2" s="26" cm="1">
        <f t="array" aca="1" ref="BT2:BT254" ca="1">_xlfn.VSTACK(INDIRECT("tabCustoUnit["&amp;BT$1&amp;"]"),SUBTOTAL(1,INDIRECT("tabCustoUnit["&amp;BT$1&amp;"]")))</f>
        <v>2.5000000000000001E-2</v>
      </c>
      <c r="BU2" s="26" cm="1">
        <f t="array" aca="1" ref="BU2:BU254" ca="1">_xlfn.VSTACK(INDIRECT("tabCustoUnit["&amp;BU$1&amp;"]"),SUBTOTAL(1,INDIRECT("tabCustoUnit["&amp;BU$1&amp;"]")))</f>
        <v>2.8328611898017008E-2</v>
      </c>
      <c r="BV2" s="26" cm="1">
        <f t="array" aca="1" ref="BV2:BV254" ca="1">_xlfn.VSTACK(INDIRECT("tabCustoUnit["&amp;BV$1&amp;"]"),SUBTOTAL(1,INDIRECT("tabCustoUnit["&amp;BV$1&amp;"]")))</f>
        <v>0.11749999999999999</v>
      </c>
      <c r="BW2" s="26" cm="1">
        <f t="array" aca="1" ref="BW2:BW254" ca="1">_xlfn.VSTACK(INDIRECT("tabCustoUnit["&amp;BW$1&amp;"]"),SUBTOTAL(1,INDIRECT("tabCustoUnit["&amp;BW$1&amp;"]")))</f>
        <v>0.13314447592067982</v>
      </c>
      <c r="BX2" s="22" t="e" cm="1">
        <f t="array" aca="1" ref="BX2" ca="1">_xlfn.VSTACK(INDIRECT("tabCustoUnit["&amp;BX$1&amp;"]")*($G$2:$G$300-$H$2:$H$300),SUM(INDIRECT("tabCustoUnit["&amp;BX$1&amp;"]")*($G$2:$G$300-$H$2:$H$300)))</f>
        <v>#REF!</v>
      </c>
      <c r="BY2" s="22" t="e" cm="1">
        <f t="array" aca="1" ref="BY2" ca="1">_xlfn.VSTACK(INDIRECT("tabCustoUnit["&amp;BY$1&amp;"]")*($G$2:$G$300-$H$2:$H$300),SUM(INDIRECT("tabCustoUnit["&amp;BY$1&amp;"]")*($G$2:$G$300-$H$2:$H$300)))</f>
        <v>#REF!</v>
      </c>
      <c r="BZ2" s="22" t="e" cm="1">
        <f t="array" aca="1" ref="BZ2" ca="1">_xlfn.VSTACK(INDIRECT("tabCustoUnit["&amp;BZ$1&amp;"]")*($G$2:$G$300-$H$2:$H$300),SUM(INDIRECT("tabCustoUnit["&amp;BZ$1&amp;"]")*($G$2:$G$300-$H$2:$H$300)))</f>
        <v>#REF!</v>
      </c>
      <c r="CA2" s="22" t="e" cm="1">
        <f t="array" aca="1" ref="CA2" ca="1">_xlfn.VSTACK(INDIRECT("tabCustoUnit["&amp;CA$1&amp;"]")*($G$2:$G$300-$H$2:$H$300),SUM(INDIRECT("tabCustoUnit["&amp;CA$1&amp;"]")*($G$2:$G$300-$H$2:$H$300)))</f>
        <v>#REF!</v>
      </c>
      <c r="CB2" s="24" cm="1">
        <f t="array" aca="1" ref="CB2:CB253" ca="1">INDIRECT("tabCustoUnit["&amp;CB$1&amp;"]")</f>
        <v>45658</v>
      </c>
      <c r="CC2" s="20" t="str" cm="1">
        <f t="array" aca="1" ref="CC2:CC253" ca="1">INDIRECT("tabCustoUnit["&amp;CC$1&amp;"]")</f>
        <v>-</v>
      </c>
      <c r="CD2" s="20" t="str" cm="1">
        <f t="array" aca="1" ref="CD2:CD253" ca="1">INDIRECT("tabCustoUnit["&amp;CD$1&amp;"]")</f>
        <v>-</v>
      </c>
    </row>
    <row r="3" spans="1:82" x14ac:dyDescent="0.25">
      <c r="B3" s="27" t="str">
        <f ca="1"/>
        <v>Abre Campo</v>
      </c>
      <c r="C3" s="27" t="str">
        <f ca="1"/>
        <v>Auxiliar de Limpeza - 110 h</v>
      </c>
      <c r="D3" s="27" t="str">
        <f ca="1"/>
        <v>Fethemg Interior</v>
      </c>
      <c r="E3" s="20" t="str">
        <f ca="1"/>
        <v>Limpeza</v>
      </c>
      <c r="F3" s="20" t="str">
        <f ca="1"/>
        <v>PGJ</v>
      </c>
      <c r="BR3" s="26">
        <f ca="1"/>
        <v>8.5633802816901458E-2</v>
      </c>
      <c r="BS3" s="26">
        <f ca="1"/>
        <v>1.8591549295774657E-2</v>
      </c>
      <c r="BT3" s="26">
        <f ca="1"/>
        <v>0.02</v>
      </c>
      <c r="BU3" s="26">
        <f ca="1"/>
        <v>2.2535211267605645E-2</v>
      </c>
      <c r="BV3" s="26">
        <f ca="1"/>
        <v>0.1125</v>
      </c>
      <c r="BW3" s="26">
        <f ca="1"/>
        <v>0.12676056338028174</v>
      </c>
      <c r="CB3" s="24">
        <f ca="1"/>
        <v>45658</v>
      </c>
      <c r="CC3" s="20" t="str">
        <f ca="1"/>
        <v>-</v>
      </c>
      <c r="CD3" s="20" t="str">
        <f ca="1"/>
        <v>-</v>
      </c>
    </row>
    <row r="4" spans="1:82" x14ac:dyDescent="0.25">
      <c r="B4" s="27" t="str">
        <f ca="1"/>
        <v>Aguas Formosas</v>
      </c>
      <c r="C4" s="27" t="str">
        <f ca="1"/>
        <v>Auxiliar de Limpeza - 220 h</v>
      </c>
      <c r="D4" s="27" t="str">
        <f ca="1"/>
        <v>Regiao de Teofilo Otoni</v>
      </c>
      <c r="E4" s="20" t="str">
        <f ca="1"/>
        <v>Limpeza</v>
      </c>
      <c r="F4" s="20" t="str">
        <f ca="1"/>
        <v>PGJ</v>
      </c>
      <c r="BR4" s="26">
        <f ca="1"/>
        <v>8.8629737609329504E-2</v>
      </c>
      <c r="BS4" s="26">
        <f ca="1"/>
        <v>1.9241982507288629E-2</v>
      </c>
      <c r="BT4" s="26">
        <f ca="1"/>
        <v>0.05</v>
      </c>
      <c r="BU4" s="26">
        <f ca="1"/>
        <v>5.8309037900874633E-2</v>
      </c>
      <c r="BV4" s="26">
        <f ca="1"/>
        <v>0.14250000000000002</v>
      </c>
      <c r="BW4" s="26">
        <f ca="1"/>
        <v>0.16618075801749277</v>
      </c>
      <c r="CB4" s="24">
        <f ca="1"/>
        <v>45658</v>
      </c>
      <c r="CC4" s="20" t="str">
        <f ca="1"/>
        <v>-</v>
      </c>
      <c r="CD4" s="20" t="str">
        <f ca="1"/>
        <v>-</v>
      </c>
    </row>
    <row r="5" spans="1:82" x14ac:dyDescent="0.25">
      <c r="B5" s="27" t="str">
        <f ca="1"/>
        <v>Aimores</v>
      </c>
      <c r="C5" s="27" t="str">
        <f ca="1"/>
        <v>Auxiliar de Limpeza - 75 h</v>
      </c>
      <c r="D5" s="27" t="str">
        <f ca="1"/>
        <v>Fethemg Interior</v>
      </c>
      <c r="E5" s="20" t="str">
        <f ca="1"/>
        <v>Limpeza</v>
      </c>
      <c r="F5" s="20" t="str">
        <f ca="1"/>
        <v>PGJ</v>
      </c>
      <c r="BR5" s="26">
        <f ca="1"/>
        <v>8.8629737609329504E-2</v>
      </c>
      <c r="BS5" s="26">
        <f ca="1"/>
        <v>1.9241982507288629E-2</v>
      </c>
      <c r="BT5" s="26">
        <f ca="1"/>
        <v>0.05</v>
      </c>
      <c r="BU5" s="26">
        <f ca="1"/>
        <v>5.8309037900874633E-2</v>
      </c>
      <c r="BV5" s="26">
        <f ca="1"/>
        <v>0.14250000000000002</v>
      </c>
      <c r="BW5" s="26">
        <f ca="1"/>
        <v>0.16618075801749277</v>
      </c>
      <c r="CB5" s="24">
        <f ca="1"/>
        <v>45658</v>
      </c>
      <c r="CC5" s="20" t="str">
        <f ca="1"/>
        <v>-</v>
      </c>
      <c r="CD5" s="20" t="str">
        <f ca="1"/>
        <v>-</v>
      </c>
    </row>
    <row r="6" spans="1:82" x14ac:dyDescent="0.25">
      <c r="B6" s="27" t="str">
        <f ca="1"/>
        <v>Aiuruoca</v>
      </c>
      <c r="C6" s="27" t="str">
        <f ca="1"/>
        <v>Auxiliar de Limpeza - 110 h</v>
      </c>
      <c r="D6" s="27" t="str">
        <f ca="1"/>
        <v>Regiao de Sao Lourenco</v>
      </c>
      <c r="E6" s="20" t="str">
        <f ca="1"/>
        <v>Limpeza</v>
      </c>
      <c r="F6" s="20" t="str">
        <f ca="1"/>
        <v>PGJ</v>
      </c>
      <c r="BR6" s="26">
        <f ca="1"/>
        <v>8.6609686609686695E-2</v>
      </c>
      <c r="BS6" s="26">
        <f ca="1"/>
        <v>1.880341880341882E-2</v>
      </c>
      <c r="BT6" s="26">
        <f ca="1"/>
        <v>0.03</v>
      </c>
      <c r="BU6" s="26">
        <f ca="1"/>
        <v>3.4188034188034219E-2</v>
      </c>
      <c r="BV6" s="26">
        <f ca="1"/>
        <v>0.1225</v>
      </c>
      <c r="BW6" s="26">
        <f ca="1"/>
        <v>0.13960113960113973</v>
      </c>
      <c r="CB6" s="24">
        <f ca="1"/>
        <v>45658</v>
      </c>
      <c r="CC6" s="20" t="str">
        <f ca="1"/>
        <v>-</v>
      </c>
      <c r="CD6" s="20" t="str">
        <f ca="1"/>
        <v>-</v>
      </c>
    </row>
    <row r="7" spans="1:82" x14ac:dyDescent="0.25">
      <c r="B7" s="27" t="str">
        <f ca="1"/>
        <v>Alem Paraiba</v>
      </c>
      <c r="C7" s="27" t="str">
        <f ca="1"/>
        <v>Auxiliar de Limpeza - 150 h</v>
      </c>
      <c r="D7" s="27" t="str">
        <f ca="1"/>
        <v>Cataguases</v>
      </c>
      <c r="E7" s="20" t="str">
        <f ca="1"/>
        <v>Limpeza</v>
      </c>
      <c r="F7" s="20" t="str">
        <f ca="1"/>
        <v>PGJ</v>
      </c>
      <c r="BR7" s="26">
        <f ca="1"/>
        <v>8.5633802816901458E-2</v>
      </c>
      <c r="BS7" s="26">
        <f ca="1"/>
        <v>1.8591549295774657E-2</v>
      </c>
      <c r="BT7" s="26">
        <f ca="1"/>
        <v>0.02</v>
      </c>
      <c r="BU7" s="26">
        <f ca="1"/>
        <v>2.2535211267605645E-2</v>
      </c>
      <c r="BV7" s="26">
        <f ca="1"/>
        <v>0.1125</v>
      </c>
      <c r="BW7" s="26">
        <f ca="1"/>
        <v>0.12676056338028174</v>
      </c>
      <c r="CB7" s="24">
        <f ca="1"/>
        <v>45658</v>
      </c>
      <c r="CC7" s="20" t="str">
        <f ca="1"/>
        <v>-</v>
      </c>
      <c r="CD7" s="20" t="str">
        <f ca="1"/>
        <v>-</v>
      </c>
    </row>
    <row r="8" spans="1:82" x14ac:dyDescent="0.25">
      <c r="B8" s="27" t="str">
        <f ca="1"/>
        <v>Alfenas</v>
      </c>
      <c r="C8" s="27" t="str">
        <f ca="1"/>
        <v>Auxiliar de Limpeza - 220 h</v>
      </c>
      <c r="D8" s="27" t="str">
        <f ca="1"/>
        <v>Regiao de Sao Lourenco</v>
      </c>
      <c r="E8" s="20" t="str">
        <f ca="1"/>
        <v>Limpeza</v>
      </c>
      <c r="F8" s="20" t="str">
        <f ca="1"/>
        <v>PGJ</v>
      </c>
      <c r="BR8" s="26">
        <f ca="1"/>
        <v>8.8629737609329504E-2</v>
      </c>
      <c r="BS8" s="26">
        <f ca="1"/>
        <v>1.9241982507288629E-2</v>
      </c>
      <c r="BT8" s="26">
        <f ca="1"/>
        <v>0.05</v>
      </c>
      <c r="BU8" s="26">
        <f ca="1"/>
        <v>5.8309037900874633E-2</v>
      </c>
      <c r="BV8" s="26">
        <f ca="1"/>
        <v>0.14250000000000002</v>
      </c>
      <c r="BW8" s="26">
        <f ca="1"/>
        <v>0.16618075801749277</v>
      </c>
      <c r="CB8" s="24">
        <f ca="1"/>
        <v>45658</v>
      </c>
      <c r="CC8" s="20" t="str">
        <f ca="1"/>
        <v>-</v>
      </c>
      <c r="CD8" s="20" t="str">
        <f ca="1"/>
        <v>-</v>
      </c>
    </row>
    <row r="9" spans="1:82" x14ac:dyDescent="0.25">
      <c r="B9" s="27" t="str">
        <f ca="1"/>
        <v>Almenara</v>
      </c>
      <c r="C9" s="27" t="str">
        <f ca="1"/>
        <v>Auxiliar de Limpeza - 220 h</v>
      </c>
      <c r="D9" s="27" t="str">
        <f ca="1"/>
        <v>Regiao de Teofilo Otoni</v>
      </c>
      <c r="E9" s="20" t="str">
        <f ca="1"/>
        <v>Limpeza</v>
      </c>
      <c r="F9" s="20" t="str">
        <f ca="1"/>
        <v>PGJ</v>
      </c>
      <c r="BR9" s="26">
        <f ca="1"/>
        <v>8.8629737609329504E-2</v>
      </c>
      <c r="BS9" s="26">
        <f ca="1"/>
        <v>1.9241982507288629E-2</v>
      </c>
      <c r="BT9" s="26">
        <f ca="1"/>
        <v>0.05</v>
      </c>
      <c r="BU9" s="26">
        <f ca="1"/>
        <v>5.8309037900874633E-2</v>
      </c>
      <c r="BV9" s="26">
        <f ca="1"/>
        <v>0.14250000000000002</v>
      </c>
      <c r="BW9" s="26">
        <f ca="1"/>
        <v>0.16618075801749277</v>
      </c>
      <c r="CB9" s="24">
        <f ca="1"/>
        <v>45658</v>
      </c>
      <c r="CC9" s="20" t="str">
        <f ca="1"/>
        <v>-</v>
      </c>
      <c r="CD9" s="20" t="str">
        <f ca="1"/>
        <v>-</v>
      </c>
    </row>
    <row r="10" spans="1:82" x14ac:dyDescent="0.25">
      <c r="B10" s="27" t="str">
        <f ca="1"/>
        <v>Alpinopolis</v>
      </c>
      <c r="C10" s="27" t="str">
        <f ca="1"/>
        <v>Auxiliar de Limpeza - 75 h</v>
      </c>
      <c r="D10" s="27" t="str">
        <f ca="1"/>
        <v>Regiao de Sao Lourenco</v>
      </c>
      <c r="E10" s="20" t="str">
        <f ca="1"/>
        <v>Limpeza</v>
      </c>
      <c r="F10" s="20" t="str">
        <f ca="1"/>
        <v>PGJ</v>
      </c>
      <c r="BR10" s="26">
        <f ca="1"/>
        <v>8.5633802816901458E-2</v>
      </c>
      <c r="BS10" s="26">
        <f ca="1"/>
        <v>1.8591549295774657E-2</v>
      </c>
      <c r="BT10" s="26">
        <f ca="1"/>
        <v>0.02</v>
      </c>
      <c r="BU10" s="26">
        <f ca="1"/>
        <v>2.2535211267605645E-2</v>
      </c>
      <c r="BV10" s="26">
        <f ca="1"/>
        <v>0.1125</v>
      </c>
      <c r="BW10" s="26">
        <f ca="1"/>
        <v>0.12676056338028174</v>
      </c>
      <c r="CB10" s="24">
        <f ca="1"/>
        <v>45658</v>
      </c>
      <c r="CC10" s="20" t="str">
        <f ca="1"/>
        <v>-</v>
      </c>
      <c r="CD10" s="20" t="str">
        <f ca="1"/>
        <v>-</v>
      </c>
    </row>
    <row r="11" spans="1:82" x14ac:dyDescent="0.25">
      <c r="B11" s="27" t="str">
        <f ca="1"/>
        <v>Alvinopolis</v>
      </c>
      <c r="C11" s="27" t="str">
        <f ca="1"/>
        <v>Auxiliar de Limpeza - 75 h</v>
      </c>
      <c r="D11" s="27" t="str">
        <f ca="1"/>
        <v>Regiao de Joao Monlevade</v>
      </c>
      <c r="E11" s="20" t="str">
        <f ca="1"/>
        <v>Limpeza</v>
      </c>
      <c r="F11" s="20" t="str">
        <f ca="1"/>
        <v>PGJ</v>
      </c>
      <c r="BR11" s="26">
        <f ca="1"/>
        <v>8.8629737609329504E-2</v>
      </c>
      <c r="BS11" s="26">
        <f ca="1"/>
        <v>1.9241982507288629E-2</v>
      </c>
      <c r="BT11" s="26">
        <f ca="1"/>
        <v>0.05</v>
      </c>
      <c r="BU11" s="26">
        <f ca="1"/>
        <v>5.8309037900874633E-2</v>
      </c>
      <c r="BV11" s="26">
        <f ca="1"/>
        <v>0.14250000000000002</v>
      </c>
      <c r="BW11" s="26">
        <f ca="1"/>
        <v>0.16618075801749277</v>
      </c>
      <c r="CB11" s="24">
        <f ca="1"/>
        <v>45658</v>
      </c>
      <c r="CC11" s="20" t="str">
        <f ca="1"/>
        <v>-</v>
      </c>
      <c r="CD11" s="20" t="str">
        <f ca="1"/>
        <v>-</v>
      </c>
    </row>
    <row r="12" spans="1:82" x14ac:dyDescent="0.25">
      <c r="B12" s="27" t="str">
        <f ca="1"/>
        <v>Andradas</v>
      </c>
      <c r="C12" s="27" t="str">
        <f ca="1"/>
        <v>Auxiliar de Limpeza - 110 h</v>
      </c>
      <c r="D12" s="27" t="str">
        <f ca="1"/>
        <v>Regiao de Sao Lourenco</v>
      </c>
      <c r="E12" s="20" t="str">
        <f ca="1"/>
        <v>Limpeza</v>
      </c>
      <c r="F12" s="20" t="str">
        <f ca="1"/>
        <v>PGJ</v>
      </c>
      <c r="BR12" s="26">
        <f ca="1"/>
        <v>8.8629737609329504E-2</v>
      </c>
      <c r="BS12" s="26">
        <f ca="1"/>
        <v>1.9241982507288629E-2</v>
      </c>
      <c r="BT12" s="26">
        <f ca="1"/>
        <v>0.05</v>
      </c>
      <c r="BU12" s="26">
        <f ca="1"/>
        <v>5.8309037900874633E-2</v>
      </c>
      <c r="BV12" s="26">
        <f ca="1"/>
        <v>0.14250000000000002</v>
      </c>
      <c r="BW12" s="26">
        <f ca="1"/>
        <v>0.16618075801749277</v>
      </c>
      <c r="CB12" s="24">
        <f ca="1"/>
        <v>45658</v>
      </c>
      <c r="CC12" s="20" t="str">
        <f ca="1"/>
        <v>-</v>
      </c>
      <c r="CD12" s="20" t="str">
        <f ca="1"/>
        <v>-</v>
      </c>
    </row>
    <row r="13" spans="1:82" x14ac:dyDescent="0.25">
      <c r="B13" s="27" t="str">
        <f ca="1"/>
        <v>Andrelandia</v>
      </c>
      <c r="C13" s="27" t="str">
        <f ca="1"/>
        <v>Auxiliar de Limpeza - 110 h</v>
      </c>
      <c r="D13" s="27" t="str">
        <f ca="1"/>
        <v>Regiao de Sao Lourenco</v>
      </c>
      <c r="E13" s="20" t="str">
        <f ca="1"/>
        <v>Limpeza</v>
      </c>
      <c r="F13" s="20" t="str">
        <f ca="1"/>
        <v>PGJ</v>
      </c>
      <c r="BR13" s="26">
        <f ca="1"/>
        <v>8.6609686609686695E-2</v>
      </c>
      <c r="BS13" s="26">
        <f ca="1"/>
        <v>1.880341880341882E-2</v>
      </c>
      <c r="BT13" s="26">
        <f ca="1"/>
        <v>0.03</v>
      </c>
      <c r="BU13" s="26">
        <f ca="1"/>
        <v>3.4188034188034219E-2</v>
      </c>
      <c r="BV13" s="26">
        <f ca="1"/>
        <v>0.1225</v>
      </c>
      <c r="BW13" s="26">
        <f ca="1"/>
        <v>0.13960113960113973</v>
      </c>
      <c r="CB13" s="24">
        <f ca="1"/>
        <v>45658</v>
      </c>
      <c r="CC13" s="20" t="str">
        <f ca="1"/>
        <v>-</v>
      </c>
      <c r="CD13" s="20" t="str">
        <f ca="1"/>
        <v>-</v>
      </c>
    </row>
    <row r="14" spans="1:82" x14ac:dyDescent="0.25">
      <c r="B14" s="27" t="str">
        <f ca="1"/>
        <v>Aracuai</v>
      </c>
      <c r="C14" s="27" t="str">
        <f ca="1"/>
        <v>Auxiliar de Limpeza - 110 h</v>
      </c>
      <c r="D14" s="27" t="str">
        <f ca="1"/>
        <v>Fethemg Interior</v>
      </c>
      <c r="E14" s="20" t="str">
        <f ca="1"/>
        <v>Limpeza</v>
      </c>
      <c r="F14" s="20" t="str">
        <f ca="1"/>
        <v>PGJ</v>
      </c>
      <c r="BR14" s="26">
        <f ca="1"/>
        <v>8.6609686609686695E-2</v>
      </c>
      <c r="BS14" s="26">
        <f ca="1"/>
        <v>1.880341880341882E-2</v>
      </c>
      <c r="BT14" s="26">
        <f ca="1"/>
        <v>0.03</v>
      </c>
      <c r="BU14" s="26">
        <f ca="1"/>
        <v>3.4188034188034219E-2</v>
      </c>
      <c r="BV14" s="26">
        <f ca="1"/>
        <v>0.1225</v>
      </c>
      <c r="BW14" s="26">
        <f ca="1"/>
        <v>0.13960113960113973</v>
      </c>
      <c r="CB14" s="24">
        <f ca="1"/>
        <v>45658</v>
      </c>
      <c r="CC14" s="20" t="str">
        <f ca="1"/>
        <v>-</v>
      </c>
      <c r="CD14" s="20" t="str">
        <f ca="1"/>
        <v>-</v>
      </c>
    </row>
    <row r="15" spans="1:82" x14ac:dyDescent="0.25">
      <c r="B15" s="27" t="str">
        <f ca="1"/>
        <v>Araguari</v>
      </c>
      <c r="C15" s="27" t="str">
        <f ca="1"/>
        <v>Auxiliar de Limpeza - 220 h</v>
      </c>
      <c r="D15" s="27" t="str">
        <f ca="1"/>
        <v>Alto Paranaiba</v>
      </c>
      <c r="E15" s="20" t="str">
        <f ca="1"/>
        <v>Limpeza</v>
      </c>
      <c r="F15" s="20" t="str">
        <f ca="1"/>
        <v>PGJ</v>
      </c>
      <c r="BR15" s="26">
        <f ca="1"/>
        <v>8.6609686609686695E-2</v>
      </c>
      <c r="BS15" s="26">
        <f ca="1"/>
        <v>1.880341880341882E-2</v>
      </c>
      <c r="BT15" s="26">
        <f ca="1"/>
        <v>0.03</v>
      </c>
      <c r="BU15" s="26">
        <f ca="1"/>
        <v>3.4188034188034219E-2</v>
      </c>
      <c r="BV15" s="26">
        <f ca="1"/>
        <v>0.1225</v>
      </c>
      <c r="BW15" s="26">
        <f ca="1"/>
        <v>0.13960113960113973</v>
      </c>
      <c r="CB15" s="24">
        <f ca="1"/>
        <v>45658</v>
      </c>
      <c r="CC15" s="20" t="str">
        <f ca="1"/>
        <v>-</v>
      </c>
      <c r="CD15" s="20" t="str">
        <f ca="1"/>
        <v>-</v>
      </c>
    </row>
    <row r="16" spans="1:82" x14ac:dyDescent="0.25">
      <c r="B16" s="27" t="str">
        <f ca="1"/>
        <v>Araxa</v>
      </c>
      <c r="C16" s="27" t="str">
        <f ca="1"/>
        <v>Auxiliar de Limpeza - 220 h</v>
      </c>
      <c r="D16" s="27" t="str">
        <f ca="1"/>
        <v>Araxa</v>
      </c>
      <c r="E16" s="20" t="str">
        <f ca="1"/>
        <v>Limpeza</v>
      </c>
      <c r="F16" s="20" t="str">
        <f ca="1"/>
        <v>PGJ</v>
      </c>
      <c r="BR16" s="26">
        <f ca="1"/>
        <v>8.5633802816901458E-2</v>
      </c>
      <c r="BS16" s="26">
        <f ca="1"/>
        <v>1.8591549295774657E-2</v>
      </c>
      <c r="BT16" s="26">
        <f ca="1"/>
        <v>0.02</v>
      </c>
      <c r="BU16" s="26">
        <f ca="1"/>
        <v>2.2535211267605645E-2</v>
      </c>
      <c r="BV16" s="26">
        <f ca="1"/>
        <v>0.1125</v>
      </c>
      <c r="BW16" s="26">
        <f ca="1"/>
        <v>0.12676056338028174</v>
      </c>
      <c r="CB16" s="24">
        <f ca="1"/>
        <v>45658</v>
      </c>
      <c r="CC16" s="20" t="str">
        <f ca="1"/>
        <v>-</v>
      </c>
      <c r="CD16" s="20" t="str">
        <f ca="1"/>
        <v>-</v>
      </c>
    </row>
    <row r="17" spans="2:82" x14ac:dyDescent="0.25">
      <c r="B17" s="27" t="str">
        <f ca="1"/>
        <v>Arcos</v>
      </c>
      <c r="C17" s="27" t="str">
        <f ca="1"/>
        <v>Auxiliar de Limpeza - 75 h</v>
      </c>
      <c r="D17" s="27" t="str">
        <f ca="1"/>
        <v>Regiao de Divinopolis</v>
      </c>
      <c r="E17" s="20" t="str">
        <f ca="1"/>
        <v>Limpeza</v>
      </c>
      <c r="F17" s="20" t="str">
        <f ca="1"/>
        <v>PGJ</v>
      </c>
      <c r="BR17" s="26">
        <f ca="1"/>
        <v>8.5633802816901458E-2</v>
      </c>
      <c r="BS17" s="26">
        <f ca="1"/>
        <v>1.8591549295774657E-2</v>
      </c>
      <c r="BT17" s="26">
        <f ca="1"/>
        <v>0.02</v>
      </c>
      <c r="BU17" s="26">
        <f ca="1"/>
        <v>2.2535211267605645E-2</v>
      </c>
      <c r="BV17" s="26">
        <f ca="1"/>
        <v>0.1125</v>
      </c>
      <c r="BW17" s="26">
        <f ca="1"/>
        <v>0.12676056338028174</v>
      </c>
      <c r="CB17" s="24">
        <f ca="1"/>
        <v>45658</v>
      </c>
      <c r="CC17" s="20" t="str">
        <f ca="1"/>
        <v>-</v>
      </c>
      <c r="CD17" s="20" t="str">
        <f ca="1"/>
        <v>-</v>
      </c>
    </row>
    <row r="18" spans="2:82" x14ac:dyDescent="0.25">
      <c r="B18" s="27" t="str">
        <f ca="1"/>
        <v>Areado</v>
      </c>
      <c r="C18" s="27" t="str">
        <f ca="1"/>
        <v>Auxiliar de Limpeza - 110 h</v>
      </c>
      <c r="D18" s="27" t="str">
        <f ca="1"/>
        <v>Regiao de Sao Lourenco</v>
      </c>
      <c r="E18" s="20" t="str">
        <f ca="1"/>
        <v>Limpeza</v>
      </c>
      <c r="F18" s="20" t="str">
        <f ca="1"/>
        <v>PGJ</v>
      </c>
      <c r="BR18" s="26">
        <f ca="1"/>
        <v>8.7608069164265154E-2</v>
      </c>
      <c r="BS18" s="26">
        <f ca="1"/>
        <v>1.9020172910662814E-2</v>
      </c>
      <c r="BT18" s="26">
        <f ca="1"/>
        <v>0.04</v>
      </c>
      <c r="BU18" s="26">
        <f ca="1"/>
        <v>4.6109510086455294E-2</v>
      </c>
      <c r="BV18" s="26">
        <f ca="1"/>
        <v>0.13250000000000001</v>
      </c>
      <c r="BW18" s="26">
        <f ca="1"/>
        <v>0.15273775216138324</v>
      </c>
      <c r="CB18" s="24">
        <f ca="1"/>
        <v>45658</v>
      </c>
      <c r="CC18" s="20" t="str">
        <f ca="1"/>
        <v>-</v>
      </c>
      <c r="CD18" s="20" t="str">
        <f ca="1"/>
        <v>-</v>
      </c>
    </row>
    <row r="19" spans="2:82" x14ac:dyDescent="0.25">
      <c r="B19" s="27" t="str">
        <f ca="1"/>
        <v>Arinos</v>
      </c>
      <c r="C19" s="27" t="str">
        <f ca="1"/>
        <v>Auxiliar de Limpeza - 75 h</v>
      </c>
      <c r="D19" s="27" t="str">
        <f ca="1"/>
        <v>Fethemg Interior</v>
      </c>
      <c r="E19" s="20" t="str">
        <f ca="1"/>
        <v>Limpeza</v>
      </c>
      <c r="F19" s="20" t="str">
        <f ca="1"/>
        <v>PGJ</v>
      </c>
      <c r="BR19" s="26">
        <f ca="1"/>
        <v>8.6609686609686695E-2</v>
      </c>
      <c r="BS19" s="26">
        <f ca="1"/>
        <v>1.880341880341882E-2</v>
      </c>
      <c r="BT19" s="26">
        <f ca="1"/>
        <v>0.03</v>
      </c>
      <c r="BU19" s="26">
        <f ca="1"/>
        <v>3.4188034188034219E-2</v>
      </c>
      <c r="BV19" s="26">
        <f ca="1"/>
        <v>0.1225</v>
      </c>
      <c r="BW19" s="26">
        <f ca="1"/>
        <v>0.13960113960113973</v>
      </c>
      <c r="CB19" s="24">
        <f ca="1"/>
        <v>45658</v>
      </c>
      <c r="CC19" s="20" t="str">
        <f ca="1"/>
        <v>-</v>
      </c>
      <c r="CD19" s="20" t="str">
        <f ca="1"/>
        <v>-</v>
      </c>
    </row>
    <row r="20" spans="2:82" x14ac:dyDescent="0.25">
      <c r="B20" s="27" t="str">
        <f ca="1"/>
        <v>Baependi</v>
      </c>
      <c r="C20" s="27" t="str">
        <f ca="1"/>
        <v>Auxiliar de Limpeza - 75 h</v>
      </c>
      <c r="D20" s="27" t="str">
        <f ca="1"/>
        <v>Regiao de Sao Lourenco</v>
      </c>
      <c r="E20" s="20" t="str">
        <f ca="1"/>
        <v>Limpeza</v>
      </c>
      <c r="F20" s="20" t="str">
        <f ca="1"/>
        <v>PGJ</v>
      </c>
      <c r="BR20" s="26">
        <f ca="1"/>
        <v>8.6609686609686695E-2</v>
      </c>
      <c r="BS20" s="26">
        <f ca="1"/>
        <v>1.880341880341882E-2</v>
      </c>
      <c r="BT20" s="26">
        <f ca="1"/>
        <v>0.03</v>
      </c>
      <c r="BU20" s="26">
        <f ca="1"/>
        <v>3.4188034188034219E-2</v>
      </c>
      <c r="BV20" s="26">
        <f ca="1"/>
        <v>0.1225</v>
      </c>
      <c r="BW20" s="26">
        <f ca="1"/>
        <v>0.13960113960113973</v>
      </c>
      <c r="CB20" s="24">
        <f ca="1"/>
        <v>45658</v>
      </c>
      <c r="CC20" s="20" t="str">
        <f ca="1"/>
        <v>-</v>
      </c>
      <c r="CD20" s="20" t="str">
        <f ca="1"/>
        <v>-</v>
      </c>
    </row>
    <row r="21" spans="2:82" x14ac:dyDescent="0.25">
      <c r="B21" s="27" t="str">
        <f ca="1"/>
        <v>Barao de Cocais</v>
      </c>
      <c r="C21" s="27" t="str">
        <f ca="1"/>
        <v>Auxiliar de Limpeza - 110 h</v>
      </c>
      <c r="D21" s="27" t="str">
        <f ca="1"/>
        <v>Regiao de Joao Monlevade</v>
      </c>
      <c r="E21" s="20" t="str">
        <f ca="1"/>
        <v>Limpeza</v>
      </c>
      <c r="F21" s="20" t="str">
        <f ca="1"/>
        <v>PGJ</v>
      </c>
      <c r="BR21" s="26">
        <f ca="1"/>
        <v>8.8629737609329504E-2</v>
      </c>
      <c r="BS21" s="26">
        <f ca="1"/>
        <v>1.9241982507288629E-2</v>
      </c>
      <c r="BT21" s="26">
        <f ca="1"/>
        <v>0.05</v>
      </c>
      <c r="BU21" s="26">
        <f ca="1"/>
        <v>5.8309037900874633E-2</v>
      </c>
      <c r="BV21" s="26">
        <f ca="1"/>
        <v>0.14250000000000002</v>
      </c>
      <c r="BW21" s="26">
        <f ca="1"/>
        <v>0.16618075801749277</v>
      </c>
      <c r="CB21" s="24">
        <f ca="1"/>
        <v>45658</v>
      </c>
      <c r="CC21" s="20" t="str">
        <f ca="1"/>
        <v>-</v>
      </c>
      <c r="CD21" s="20" t="str">
        <f ca="1"/>
        <v>-</v>
      </c>
    </row>
    <row r="22" spans="2:82" x14ac:dyDescent="0.25">
      <c r="B22" s="27" t="str">
        <f ca="1"/>
        <v>Barbacena</v>
      </c>
      <c r="C22" s="27" t="str">
        <f ca="1"/>
        <v>Auxiliar de Limpeza - 220 h</v>
      </c>
      <c r="D22" s="27" t="str">
        <f ca="1"/>
        <v>Regiao de Juiz de Fora</v>
      </c>
      <c r="E22" s="20" t="str">
        <f ca="1"/>
        <v>Limpeza</v>
      </c>
      <c r="F22" s="20" t="str">
        <f ca="1"/>
        <v>PGJ</v>
      </c>
      <c r="BR22" s="26">
        <f ca="1"/>
        <v>8.6118980169971604E-2</v>
      </c>
      <c r="BS22" s="26">
        <f ca="1"/>
        <v>1.8696883852691224E-2</v>
      </c>
      <c r="BT22" s="26">
        <f ca="1"/>
        <v>2.5000000000000001E-2</v>
      </c>
      <c r="BU22" s="26">
        <f ca="1"/>
        <v>2.8328611898017008E-2</v>
      </c>
      <c r="BV22" s="26">
        <f ca="1"/>
        <v>0.11749999999999999</v>
      </c>
      <c r="BW22" s="26">
        <f ca="1"/>
        <v>0.13314447592067982</v>
      </c>
      <c r="CB22" s="24">
        <f ca="1"/>
        <v>45658</v>
      </c>
      <c r="CC22" s="20" t="str">
        <f ca="1"/>
        <v>-</v>
      </c>
      <c r="CD22" s="20" t="str">
        <f ca="1"/>
        <v>-</v>
      </c>
    </row>
    <row r="23" spans="2:82" x14ac:dyDescent="0.25">
      <c r="B23" s="27" t="str">
        <f ca="1"/>
        <v>Belo Horizonte</v>
      </c>
      <c r="C23" s="27" t="str">
        <f ca="1"/>
        <v>Auxiliar de Limpeza - 12 x 36 - Diurno</v>
      </c>
      <c r="D23" s="27" t="str">
        <f ca="1"/>
        <v>SEAC/SINDEAC</v>
      </c>
      <c r="E23" s="20" t="str">
        <f ca="1"/>
        <v>Limpeza</v>
      </c>
      <c r="F23" s="20" t="str">
        <f ca="1"/>
        <v>PGJ</v>
      </c>
      <c r="BR23" s="26">
        <f ca="1"/>
        <v>8.8629737609329504E-2</v>
      </c>
      <c r="BS23" s="26">
        <f ca="1"/>
        <v>1.9241982507288629E-2</v>
      </c>
      <c r="BT23" s="26">
        <f ca="1"/>
        <v>0.05</v>
      </c>
      <c r="BU23" s="26">
        <f ca="1"/>
        <v>5.8309037900874633E-2</v>
      </c>
      <c r="BV23" s="26">
        <f ca="1"/>
        <v>0.14250000000000002</v>
      </c>
      <c r="BW23" s="26">
        <f ca="1"/>
        <v>0.16618075801749277</v>
      </c>
      <c r="CB23" s="24">
        <f ca="1"/>
        <v>45658</v>
      </c>
      <c r="CC23" s="20" t="str">
        <f ca="1"/>
        <v>-</v>
      </c>
      <c r="CD23" s="20" t="str">
        <f ca="1"/>
        <v>-</v>
      </c>
    </row>
    <row r="24" spans="2:82" x14ac:dyDescent="0.25">
      <c r="B24" s="27" t="str">
        <f ca="1"/>
        <v>Belo Horizonte</v>
      </c>
      <c r="C24" s="27" t="str">
        <f ca="1"/>
        <v>Auxiliar de Limpeza - 12 x 36 - Noturno</v>
      </c>
      <c r="D24" s="27" t="str">
        <f ca="1"/>
        <v>SEAC/SINDEAC</v>
      </c>
      <c r="E24" s="20" t="str">
        <f ca="1"/>
        <v>Limpeza</v>
      </c>
      <c r="F24" s="20" t="str">
        <f ca="1"/>
        <v>PGJ</v>
      </c>
      <c r="BR24" s="26">
        <f ca="1"/>
        <v>8.8629737609329504E-2</v>
      </c>
      <c r="BS24" s="26">
        <f ca="1"/>
        <v>1.9241982507288629E-2</v>
      </c>
      <c r="BT24" s="26">
        <f ca="1"/>
        <v>0.05</v>
      </c>
      <c r="BU24" s="26">
        <f ca="1"/>
        <v>5.8309037900874633E-2</v>
      </c>
      <c r="BV24" s="26">
        <f ca="1"/>
        <v>0.14250000000000002</v>
      </c>
      <c r="BW24" s="26">
        <f ca="1"/>
        <v>0.16618075801749277</v>
      </c>
      <c r="CB24" s="24">
        <f ca="1"/>
        <v>45658</v>
      </c>
      <c r="CC24" s="20" t="str">
        <f ca="1"/>
        <v>-</v>
      </c>
      <c r="CD24" s="20" t="str">
        <f ca="1"/>
        <v>-</v>
      </c>
    </row>
    <row r="25" spans="2:82" x14ac:dyDescent="0.25">
      <c r="B25" s="27" t="str">
        <f ca="1"/>
        <v>Belo Horizonte</v>
      </c>
      <c r="C25" s="27" t="str">
        <f ca="1"/>
        <v>Auxiliar de Limpeza - 75 h</v>
      </c>
      <c r="D25" s="27" t="str">
        <f ca="1"/>
        <v>SEAC/SINDEAC</v>
      </c>
      <c r="E25" s="20" t="str">
        <f ca="1"/>
        <v>Limpeza</v>
      </c>
      <c r="F25" s="20" t="str">
        <f ca="1"/>
        <v>PGJ</v>
      </c>
      <c r="BR25" s="26">
        <f ca="1"/>
        <v>8.8629737609329504E-2</v>
      </c>
      <c r="BS25" s="26">
        <f ca="1"/>
        <v>1.9241982507288629E-2</v>
      </c>
      <c r="BT25" s="26">
        <f ca="1"/>
        <v>0.05</v>
      </c>
      <c r="BU25" s="26">
        <f ca="1"/>
        <v>5.8309037900874633E-2</v>
      </c>
      <c r="BV25" s="26">
        <f ca="1"/>
        <v>0.14250000000000002</v>
      </c>
      <c r="BW25" s="26">
        <f ca="1"/>
        <v>0.16618075801749277</v>
      </c>
      <c r="CB25" s="24">
        <f ca="1"/>
        <v>45658</v>
      </c>
      <c r="CC25" s="20" t="str">
        <f ca="1"/>
        <v>-</v>
      </c>
      <c r="CD25" s="20" t="str">
        <f ca="1"/>
        <v>-</v>
      </c>
    </row>
    <row r="26" spans="2:82" x14ac:dyDescent="0.25">
      <c r="B26" s="27" t="str">
        <f ca="1"/>
        <v>Belo Horizonte</v>
      </c>
      <c r="C26" s="27" t="str">
        <f ca="1"/>
        <v>Auxiliar de Limpeza - 110 h</v>
      </c>
      <c r="D26" s="27" t="str">
        <f ca="1"/>
        <v>SEAC/SINDEAC</v>
      </c>
      <c r="E26" s="20" t="str">
        <f ca="1"/>
        <v>Limpeza</v>
      </c>
      <c r="F26" s="20" t="str">
        <f ca="1"/>
        <v>PGJ</v>
      </c>
      <c r="BR26" s="26">
        <f ca="1"/>
        <v>8.8629737609329504E-2</v>
      </c>
      <c r="BS26" s="26">
        <f ca="1"/>
        <v>1.9241982507288629E-2</v>
      </c>
      <c r="BT26" s="26">
        <f ca="1"/>
        <v>0.05</v>
      </c>
      <c r="BU26" s="26">
        <f ca="1"/>
        <v>5.8309037900874633E-2</v>
      </c>
      <c r="BV26" s="26">
        <f ca="1"/>
        <v>0.14250000000000002</v>
      </c>
      <c r="BW26" s="26">
        <f ca="1"/>
        <v>0.16618075801749277</v>
      </c>
      <c r="CB26" s="24">
        <f ca="1"/>
        <v>45658</v>
      </c>
      <c r="CC26" s="20" t="str">
        <f ca="1"/>
        <v>-</v>
      </c>
      <c r="CD26" s="20" t="str">
        <f ca="1"/>
        <v>-</v>
      </c>
    </row>
    <row r="27" spans="2:82" x14ac:dyDescent="0.25">
      <c r="B27" s="27" t="str">
        <f ca="1"/>
        <v>Belo Horizonte</v>
      </c>
      <c r="C27" s="27" t="str">
        <f ca="1"/>
        <v>Auxiliar de Limpeza - 150 h</v>
      </c>
      <c r="D27" s="27" t="str">
        <f ca="1"/>
        <v>SEAC/SINDEAC</v>
      </c>
      <c r="E27" s="20" t="str">
        <f ca="1"/>
        <v>Limpeza</v>
      </c>
      <c r="F27" s="20" t="str">
        <f ca="1"/>
        <v>PGJ</v>
      </c>
      <c r="BR27" s="26">
        <f ca="1"/>
        <v>8.8629737609329504E-2</v>
      </c>
      <c r="BS27" s="26">
        <f ca="1"/>
        <v>1.9241982507288629E-2</v>
      </c>
      <c r="BT27" s="26">
        <f ca="1"/>
        <v>0.05</v>
      </c>
      <c r="BU27" s="26">
        <f ca="1"/>
        <v>5.8309037900874633E-2</v>
      </c>
      <c r="BV27" s="26">
        <f ca="1"/>
        <v>0.14250000000000002</v>
      </c>
      <c r="BW27" s="26">
        <f ca="1"/>
        <v>0.16618075801749277</v>
      </c>
      <c r="CB27" s="24">
        <f ca="1"/>
        <v>45658</v>
      </c>
      <c r="CC27" s="20" t="str">
        <f ca="1"/>
        <v>-</v>
      </c>
      <c r="CD27" s="20" t="str">
        <f ca="1"/>
        <v>-</v>
      </c>
    </row>
    <row r="28" spans="2:82" x14ac:dyDescent="0.25">
      <c r="B28" s="27" t="str">
        <f ca="1"/>
        <v>Belo Horizonte</v>
      </c>
      <c r="C28" s="27" t="str">
        <f ca="1"/>
        <v>Auxiliar de Limpeza - 220 h</v>
      </c>
      <c r="D28" s="27" t="str">
        <f ca="1"/>
        <v>SEAC/SINDEAC</v>
      </c>
      <c r="E28" s="20" t="str">
        <f ca="1"/>
        <v>Limpeza</v>
      </c>
      <c r="F28" s="20" t="str">
        <f ca="1"/>
        <v>PGJ</v>
      </c>
      <c r="BR28" s="26">
        <f ca="1"/>
        <v>8.8629737609329504E-2</v>
      </c>
      <c r="BS28" s="26">
        <f ca="1"/>
        <v>1.9241982507288629E-2</v>
      </c>
      <c r="BT28" s="26">
        <f ca="1"/>
        <v>0.05</v>
      </c>
      <c r="BU28" s="26">
        <f ca="1"/>
        <v>5.8309037900874633E-2</v>
      </c>
      <c r="BV28" s="26">
        <f ca="1"/>
        <v>0.14250000000000002</v>
      </c>
      <c r="BW28" s="26">
        <f ca="1"/>
        <v>0.16618075801749277</v>
      </c>
      <c r="CB28" s="24">
        <f ca="1"/>
        <v>45658</v>
      </c>
      <c r="CC28" s="20" t="str">
        <f ca="1"/>
        <v>-</v>
      </c>
      <c r="CD28" s="20" t="str">
        <f ca="1"/>
        <v>-</v>
      </c>
    </row>
    <row r="29" spans="2:82" x14ac:dyDescent="0.25">
      <c r="B29" s="27" t="str">
        <f ca="1"/>
        <v>Belo Horizonte</v>
      </c>
      <c r="C29" s="27" t="str">
        <f ca="1"/>
        <v>Auxiliar de Limpeza - 220 h</v>
      </c>
      <c r="D29" s="27" t="str">
        <f ca="1"/>
        <v>SEAC/SINDEAC</v>
      </c>
      <c r="E29" s="20" t="str">
        <f ca="1"/>
        <v>Limpeza</v>
      </c>
      <c r="F29" s="20" t="str">
        <f ca="1"/>
        <v>FEPDC</v>
      </c>
      <c r="BR29" s="26">
        <f ca="1"/>
        <v>8.8629737609329504E-2</v>
      </c>
      <c r="BS29" s="26">
        <f ca="1"/>
        <v>1.9241982507288629E-2</v>
      </c>
      <c r="BT29" s="26">
        <f ca="1"/>
        <v>0.05</v>
      </c>
      <c r="BU29" s="26">
        <f ca="1"/>
        <v>5.8309037900874633E-2</v>
      </c>
      <c r="BV29" s="26">
        <f ca="1"/>
        <v>0.14250000000000002</v>
      </c>
      <c r="BW29" s="26">
        <f ca="1"/>
        <v>0.16618075801749277</v>
      </c>
      <c r="CB29" s="24">
        <f ca="1"/>
        <v>45658</v>
      </c>
      <c r="CC29" s="20" t="str">
        <f ca="1"/>
        <v>-</v>
      </c>
      <c r="CD29" s="20" t="str">
        <f ca="1"/>
        <v>-</v>
      </c>
    </row>
    <row r="30" spans="2:82" x14ac:dyDescent="0.25">
      <c r="B30" s="27" t="str">
        <f ca="1"/>
        <v>Belo Horizonte</v>
      </c>
      <c r="C30" s="27" t="str">
        <f ca="1"/>
        <v>Limpador de vidros - 220 h</v>
      </c>
      <c r="D30" s="27" t="str">
        <f ca="1"/>
        <v>SEAC/SINDEAC</v>
      </c>
      <c r="E30" s="20" t="str">
        <f ca="1"/>
        <v>Limpeza</v>
      </c>
      <c r="F30" s="20" t="str">
        <f ca="1"/>
        <v>PGJ</v>
      </c>
      <c r="BR30" s="26">
        <f ca="1"/>
        <v>8.8629737609329504E-2</v>
      </c>
      <c r="BS30" s="26">
        <f ca="1"/>
        <v>1.9241982507288629E-2</v>
      </c>
      <c r="BT30" s="26">
        <f ca="1"/>
        <v>0.05</v>
      </c>
      <c r="BU30" s="26">
        <f ca="1"/>
        <v>5.8309037900874633E-2</v>
      </c>
      <c r="BV30" s="26">
        <f ca="1"/>
        <v>0.14250000000000002</v>
      </c>
      <c r="BW30" s="26">
        <f ca="1"/>
        <v>0.16618075801749277</v>
      </c>
      <c r="CB30" s="24">
        <f ca="1"/>
        <v>45658</v>
      </c>
      <c r="CC30" s="20" t="str">
        <f ca="1"/>
        <v>-</v>
      </c>
      <c r="CD30" s="20" t="str">
        <f ca="1"/>
        <v>-</v>
      </c>
    </row>
    <row r="31" spans="2:82" x14ac:dyDescent="0.25">
      <c r="B31" s="27" t="str">
        <f ca="1"/>
        <v>Betim</v>
      </c>
      <c r="C31" s="27" t="str">
        <f ca="1"/>
        <v>Auxiliar de Limpeza - 110 h</v>
      </c>
      <c r="D31" s="27" t="str">
        <f ca="1"/>
        <v>Sind - Asseio</v>
      </c>
      <c r="E31" s="20" t="str">
        <f ca="1"/>
        <v>Limpeza</v>
      </c>
      <c r="F31" s="20" t="str">
        <f ca="1"/>
        <v>PGJ</v>
      </c>
      <c r="BR31" s="26">
        <f ca="1"/>
        <v>8.7406555491661944E-2</v>
      </c>
      <c r="BS31" s="26">
        <f ca="1"/>
        <v>1.8976423231742381E-2</v>
      </c>
      <c r="BT31" s="26">
        <f ca="1"/>
        <v>3.7999999999999999E-2</v>
      </c>
      <c r="BU31" s="26">
        <f ca="1"/>
        <v>4.370327774583093E-2</v>
      </c>
      <c r="BV31" s="26">
        <f ca="1"/>
        <v>0.1305</v>
      </c>
      <c r="BW31" s="26">
        <f ca="1"/>
        <v>0.15008625646923526</v>
      </c>
      <c r="CB31" s="24">
        <f ca="1"/>
        <v>45658</v>
      </c>
      <c r="CC31" s="20" t="str">
        <f ca="1"/>
        <v>-</v>
      </c>
      <c r="CD31" s="20" t="str">
        <f ca="1"/>
        <v>-</v>
      </c>
    </row>
    <row r="32" spans="2:82" x14ac:dyDescent="0.25">
      <c r="B32" s="27" t="str">
        <f ca="1"/>
        <v>Betim</v>
      </c>
      <c r="C32" s="27" t="str">
        <f ca="1"/>
        <v>Auxiliar de Limpeza - 220 h</v>
      </c>
      <c r="D32" s="27" t="str">
        <f ca="1"/>
        <v>Sind - Asseio</v>
      </c>
      <c r="E32" s="20" t="str">
        <f ca="1"/>
        <v>Limpeza</v>
      </c>
      <c r="F32" s="20" t="str">
        <f ca="1"/>
        <v>PGJ</v>
      </c>
      <c r="BR32" s="26">
        <f ca="1"/>
        <v>8.7406555491661944E-2</v>
      </c>
      <c r="BS32" s="26">
        <f ca="1"/>
        <v>1.8976423231742381E-2</v>
      </c>
      <c r="BT32" s="26">
        <f ca="1"/>
        <v>3.7999999999999999E-2</v>
      </c>
      <c r="BU32" s="26">
        <f ca="1"/>
        <v>4.370327774583093E-2</v>
      </c>
      <c r="BV32" s="26">
        <f ca="1"/>
        <v>0.1305</v>
      </c>
      <c r="BW32" s="26">
        <f ca="1"/>
        <v>0.15008625646923526</v>
      </c>
      <c r="CB32" s="24">
        <f ca="1"/>
        <v>45658</v>
      </c>
      <c r="CC32" s="20" t="str">
        <f ca="1"/>
        <v>-</v>
      </c>
      <c r="CD32" s="20" t="str">
        <f ca="1"/>
        <v>-</v>
      </c>
    </row>
    <row r="33" spans="2:82" x14ac:dyDescent="0.25">
      <c r="B33" s="27" t="str">
        <f ca="1"/>
        <v>Bicas</v>
      </c>
      <c r="C33" s="27" t="str">
        <f ca="1"/>
        <v>Auxiliar de Limpeza - 75 h</v>
      </c>
      <c r="D33" s="27" t="str">
        <f ca="1"/>
        <v>Regiao de Juiz de Fora</v>
      </c>
      <c r="E33" s="20" t="str">
        <f ca="1"/>
        <v>Limpeza</v>
      </c>
      <c r="F33" s="20" t="str">
        <f ca="1"/>
        <v>PGJ</v>
      </c>
      <c r="BR33" s="26">
        <f ca="1"/>
        <v>8.5633802816901458E-2</v>
      </c>
      <c r="BS33" s="26">
        <f ca="1"/>
        <v>1.8591549295774657E-2</v>
      </c>
      <c r="BT33" s="26">
        <f ca="1"/>
        <v>0.02</v>
      </c>
      <c r="BU33" s="26">
        <f ca="1"/>
        <v>2.2535211267605645E-2</v>
      </c>
      <c r="BV33" s="26">
        <f ca="1"/>
        <v>0.1125</v>
      </c>
      <c r="BW33" s="26">
        <f ca="1"/>
        <v>0.12676056338028174</v>
      </c>
      <c r="CB33" s="24">
        <f ca="1"/>
        <v>45658</v>
      </c>
      <c r="CC33" s="20" t="str">
        <f ca="1"/>
        <v>-</v>
      </c>
      <c r="CD33" s="20" t="str">
        <f ca="1"/>
        <v>-</v>
      </c>
    </row>
    <row r="34" spans="2:82" x14ac:dyDescent="0.25">
      <c r="B34" s="27" t="str">
        <f ca="1"/>
        <v>Boa Esperanca</v>
      </c>
      <c r="C34" s="27" t="str">
        <f ca="1"/>
        <v>Auxiliar de Limpeza - 110 h</v>
      </c>
      <c r="D34" s="27" t="str">
        <f ca="1"/>
        <v>Regiao de Sao Lourenco</v>
      </c>
      <c r="E34" s="20" t="str">
        <f ca="1"/>
        <v>Limpeza</v>
      </c>
      <c r="F34" s="20" t="str">
        <f ca="1"/>
        <v>PGJ</v>
      </c>
      <c r="BR34" s="26">
        <f ca="1"/>
        <v>8.7608069164265154E-2</v>
      </c>
      <c r="BS34" s="26">
        <f ca="1"/>
        <v>1.9020172910662814E-2</v>
      </c>
      <c r="BT34" s="26">
        <f ca="1"/>
        <v>0.04</v>
      </c>
      <c r="BU34" s="26">
        <f ca="1"/>
        <v>4.6109510086455294E-2</v>
      </c>
      <c r="BV34" s="26">
        <f ca="1"/>
        <v>0.13250000000000001</v>
      </c>
      <c r="BW34" s="26">
        <f ca="1"/>
        <v>0.15273775216138324</v>
      </c>
      <c r="CB34" s="24">
        <f ca="1"/>
        <v>45658</v>
      </c>
      <c r="CC34" s="20" t="str">
        <f ca="1"/>
        <v>-</v>
      </c>
      <c r="CD34" s="20" t="str">
        <f ca="1"/>
        <v>-</v>
      </c>
    </row>
    <row r="35" spans="2:82" x14ac:dyDescent="0.25">
      <c r="B35" s="27" t="str">
        <f ca="1"/>
        <v>Bocaiuva</v>
      </c>
      <c r="C35" s="27" t="str">
        <f ca="1"/>
        <v>Auxiliar de Limpeza - 220 h</v>
      </c>
      <c r="D35" s="27" t="str">
        <f ca="1"/>
        <v>Sethac Norte de Minas</v>
      </c>
      <c r="E35" s="20" t="str">
        <f ca="1"/>
        <v>Limpeza</v>
      </c>
      <c r="F35" s="20" t="str">
        <f ca="1"/>
        <v>PGJ</v>
      </c>
      <c r="BR35" s="26">
        <f ca="1"/>
        <v>8.8629737609329504E-2</v>
      </c>
      <c r="BS35" s="26">
        <f ca="1"/>
        <v>1.9241982507288629E-2</v>
      </c>
      <c r="BT35" s="26">
        <f ca="1"/>
        <v>0.05</v>
      </c>
      <c r="BU35" s="26">
        <f ca="1"/>
        <v>5.8309037900874633E-2</v>
      </c>
      <c r="BV35" s="26">
        <f ca="1"/>
        <v>0.14250000000000002</v>
      </c>
      <c r="BW35" s="26">
        <f ca="1"/>
        <v>0.16618075801749277</v>
      </c>
      <c r="CB35" s="24">
        <f ca="1"/>
        <v>45658</v>
      </c>
      <c r="CC35" s="20" t="str">
        <f ca="1"/>
        <v>-</v>
      </c>
      <c r="CD35" s="20" t="str">
        <f ca="1"/>
        <v>-</v>
      </c>
    </row>
    <row r="36" spans="2:82" x14ac:dyDescent="0.25">
      <c r="B36" s="27" t="str">
        <f ca="1"/>
        <v>Bom Despacho</v>
      </c>
      <c r="C36" s="27" t="str">
        <f ca="1"/>
        <v>Auxiliar de Limpeza - 220 h</v>
      </c>
      <c r="D36" s="27" t="str">
        <f ca="1"/>
        <v>Fethemg Interior</v>
      </c>
      <c r="E36" s="20" t="str">
        <f ca="1"/>
        <v>Limpeza</v>
      </c>
      <c r="F36" s="20" t="str">
        <f ca="1"/>
        <v>PGJ</v>
      </c>
      <c r="BR36" s="26">
        <f ca="1"/>
        <v>8.6609686609686695E-2</v>
      </c>
      <c r="BS36" s="26">
        <f ca="1"/>
        <v>1.880341880341882E-2</v>
      </c>
      <c r="BT36" s="26">
        <f ca="1"/>
        <v>0.03</v>
      </c>
      <c r="BU36" s="26">
        <f ca="1"/>
        <v>3.4188034188034219E-2</v>
      </c>
      <c r="BV36" s="26">
        <f ca="1"/>
        <v>0.1225</v>
      </c>
      <c r="BW36" s="26">
        <f ca="1"/>
        <v>0.13960113960113973</v>
      </c>
      <c r="CB36" s="24">
        <f ca="1"/>
        <v>45658</v>
      </c>
      <c r="CC36" s="20" t="str">
        <f ca="1"/>
        <v>-</v>
      </c>
      <c r="CD36" s="20" t="str">
        <f ca="1"/>
        <v>-</v>
      </c>
    </row>
    <row r="37" spans="2:82" x14ac:dyDescent="0.25">
      <c r="B37" s="27" t="str">
        <f ca="1"/>
        <v>Bom Sucesso</v>
      </c>
      <c r="C37" s="27" t="str">
        <f ca="1"/>
        <v>Auxiliar de Limpeza - 75 h</v>
      </c>
      <c r="D37" s="27" t="str">
        <f ca="1"/>
        <v>Regiao de Sao Lourenco</v>
      </c>
      <c r="E37" s="20" t="str">
        <f ca="1"/>
        <v>Limpeza</v>
      </c>
      <c r="F37" s="20" t="str">
        <f ca="1"/>
        <v>PGJ</v>
      </c>
      <c r="BR37" s="26">
        <f ca="1"/>
        <v>8.6609686609686695E-2</v>
      </c>
      <c r="BS37" s="26">
        <f ca="1"/>
        <v>1.880341880341882E-2</v>
      </c>
      <c r="BT37" s="26">
        <f ca="1"/>
        <v>0.03</v>
      </c>
      <c r="BU37" s="26">
        <f ca="1"/>
        <v>3.4188034188034219E-2</v>
      </c>
      <c r="BV37" s="26">
        <f ca="1"/>
        <v>0.1225</v>
      </c>
      <c r="BW37" s="26">
        <f ca="1"/>
        <v>0.13960113960113973</v>
      </c>
      <c r="CB37" s="24">
        <f ca="1"/>
        <v>45658</v>
      </c>
      <c r="CC37" s="20" t="str">
        <f ca="1"/>
        <v>-</v>
      </c>
      <c r="CD37" s="20" t="str">
        <f ca="1"/>
        <v>-</v>
      </c>
    </row>
    <row r="38" spans="2:82" x14ac:dyDescent="0.25">
      <c r="B38" s="27" t="str">
        <f ca="1"/>
        <v>Bonfim</v>
      </c>
      <c r="C38" s="27" t="str">
        <f ca="1"/>
        <v>Auxiliar de Limpeza - 75 h</v>
      </c>
      <c r="D38" s="27" t="str">
        <f ca="1"/>
        <v>Regiao de Divinopolis</v>
      </c>
      <c r="E38" s="20" t="str">
        <f ca="1"/>
        <v>Limpeza</v>
      </c>
      <c r="F38" s="20" t="str">
        <f ca="1"/>
        <v>PGJ</v>
      </c>
      <c r="BR38" s="26">
        <f ca="1"/>
        <v>8.5633802816901458E-2</v>
      </c>
      <c r="BS38" s="26">
        <f ca="1"/>
        <v>1.8591549295774657E-2</v>
      </c>
      <c r="BT38" s="26">
        <f ca="1"/>
        <v>0.02</v>
      </c>
      <c r="BU38" s="26">
        <f ca="1"/>
        <v>2.2535211267605645E-2</v>
      </c>
      <c r="BV38" s="26">
        <f ca="1"/>
        <v>0.1125</v>
      </c>
      <c r="BW38" s="26">
        <f ca="1"/>
        <v>0.12676056338028174</v>
      </c>
      <c r="CB38" s="24">
        <f ca="1"/>
        <v>45658</v>
      </c>
      <c r="CC38" s="20" t="str">
        <f ca="1"/>
        <v>-</v>
      </c>
      <c r="CD38" s="20" t="str">
        <f ca="1"/>
        <v>-</v>
      </c>
    </row>
    <row r="39" spans="2:82" x14ac:dyDescent="0.25">
      <c r="B39" s="27" t="str">
        <f ca="1"/>
        <v>Bonfinopolis de Minas</v>
      </c>
      <c r="C39" s="27" t="str">
        <f ca="1"/>
        <v>Auxiliar de Limpeza - 110 h</v>
      </c>
      <c r="D39" s="27" t="str">
        <f ca="1"/>
        <v>Fethemg Interior</v>
      </c>
      <c r="E39" s="20" t="str">
        <f ca="1"/>
        <v>Limpeza</v>
      </c>
      <c r="F39" s="20" t="str">
        <f ca="1"/>
        <v>PGJ</v>
      </c>
      <c r="BR39" s="26">
        <f ca="1"/>
        <v>8.5633802816901458E-2</v>
      </c>
      <c r="BS39" s="26">
        <f ca="1"/>
        <v>1.8591549295774657E-2</v>
      </c>
      <c r="BT39" s="26">
        <f ca="1"/>
        <v>0.02</v>
      </c>
      <c r="BU39" s="26">
        <f ca="1"/>
        <v>2.2535211267605645E-2</v>
      </c>
      <c r="BV39" s="26">
        <f ca="1"/>
        <v>0.1125</v>
      </c>
      <c r="BW39" s="26">
        <f ca="1"/>
        <v>0.12676056338028174</v>
      </c>
      <c r="CB39" s="24">
        <f ca="1"/>
        <v>45658</v>
      </c>
      <c r="CC39" s="20" t="str">
        <f ca="1"/>
        <v>-</v>
      </c>
      <c r="CD39" s="20" t="str">
        <f ca="1"/>
        <v>-</v>
      </c>
    </row>
    <row r="40" spans="2:82" x14ac:dyDescent="0.25">
      <c r="B40" s="27" t="str">
        <f ca="1"/>
        <v>Brasilia de Minas</v>
      </c>
      <c r="C40" s="27" t="str">
        <f ca="1"/>
        <v>Auxiliar de Limpeza - 110 h</v>
      </c>
      <c r="D40" s="27" t="str">
        <f ca="1"/>
        <v>Sethac Norte de Minas</v>
      </c>
      <c r="E40" s="20" t="str">
        <f ca="1"/>
        <v>Limpeza</v>
      </c>
      <c r="F40" s="20" t="str">
        <f ca="1"/>
        <v>PGJ</v>
      </c>
      <c r="BR40" s="26">
        <f ca="1"/>
        <v>8.6609686609686695E-2</v>
      </c>
      <c r="BS40" s="26">
        <f ca="1"/>
        <v>1.880341880341882E-2</v>
      </c>
      <c r="BT40" s="26">
        <f ca="1"/>
        <v>0.03</v>
      </c>
      <c r="BU40" s="26">
        <f ca="1"/>
        <v>3.4188034188034219E-2</v>
      </c>
      <c r="BV40" s="26">
        <f ca="1"/>
        <v>0.1225</v>
      </c>
      <c r="BW40" s="26">
        <f ca="1"/>
        <v>0.13960113960113973</v>
      </c>
      <c r="CB40" s="24">
        <f ca="1"/>
        <v>45658</v>
      </c>
      <c r="CC40" s="20" t="str">
        <f ca="1"/>
        <v>-</v>
      </c>
      <c r="CD40" s="20" t="str">
        <f ca="1"/>
        <v>-</v>
      </c>
    </row>
    <row r="41" spans="2:82" x14ac:dyDescent="0.25">
      <c r="B41" s="27" t="str">
        <f ca="1"/>
        <v>Brazopolis</v>
      </c>
      <c r="C41" s="27" t="str">
        <f ca="1"/>
        <v>Auxiliar de Limpeza - 75 h</v>
      </c>
      <c r="D41" s="27" t="str">
        <f ca="1"/>
        <v>Fethemg Interior</v>
      </c>
      <c r="E41" s="20" t="str">
        <f ca="1"/>
        <v>Limpeza</v>
      </c>
      <c r="F41" s="20" t="str">
        <f ca="1"/>
        <v>PGJ</v>
      </c>
      <c r="BR41" s="26">
        <f ca="1"/>
        <v>8.5633802816901458E-2</v>
      </c>
      <c r="BS41" s="26">
        <f ca="1"/>
        <v>1.8591549295774657E-2</v>
      </c>
      <c r="BT41" s="26">
        <f ca="1"/>
        <v>0.02</v>
      </c>
      <c r="BU41" s="26">
        <f ca="1"/>
        <v>2.2535211267605645E-2</v>
      </c>
      <c r="BV41" s="26">
        <f ca="1"/>
        <v>0.1125</v>
      </c>
      <c r="BW41" s="26">
        <f ca="1"/>
        <v>0.12676056338028174</v>
      </c>
      <c r="CB41" s="24">
        <f ca="1"/>
        <v>45658</v>
      </c>
      <c r="CC41" s="20" t="str">
        <f ca="1"/>
        <v>-</v>
      </c>
      <c r="CD41" s="20" t="str">
        <f ca="1"/>
        <v>-</v>
      </c>
    </row>
    <row r="42" spans="2:82" x14ac:dyDescent="0.25">
      <c r="B42" s="27" t="str">
        <f ca="1"/>
        <v>Brumadinho</v>
      </c>
      <c r="C42" s="27" t="str">
        <f ca="1"/>
        <v>Auxiliar de Limpeza - 220 h</v>
      </c>
      <c r="D42" s="27" t="str">
        <f ca="1"/>
        <v>Sind - Asseio</v>
      </c>
      <c r="E42" s="20" t="str">
        <f ca="1"/>
        <v>Limpeza</v>
      </c>
      <c r="F42" s="20" t="str">
        <f ca="1"/>
        <v>PGJ</v>
      </c>
      <c r="BR42" s="26">
        <f ca="1"/>
        <v>8.8629737609329504E-2</v>
      </c>
      <c r="BS42" s="26">
        <f ca="1"/>
        <v>1.9241982507288629E-2</v>
      </c>
      <c r="BT42" s="26">
        <f ca="1"/>
        <v>0.05</v>
      </c>
      <c r="BU42" s="26">
        <f ca="1"/>
        <v>5.8309037900874633E-2</v>
      </c>
      <c r="BV42" s="26">
        <f ca="1"/>
        <v>0.14250000000000002</v>
      </c>
      <c r="BW42" s="26">
        <f ca="1"/>
        <v>0.16618075801749277</v>
      </c>
      <c r="CB42" s="24">
        <f ca="1"/>
        <v>45658</v>
      </c>
      <c r="CC42" s="20" t="str">
        <f ca="1"/>
        <v>-</v>
      </c>
      <c r="CD42" s="20" t="str">
        <f ca="1"/>
        <v>-</v>
      </c>
    </row>
    <row r="43" spans="2:82" x14ac:dyDescent="0.25">
      <c r="B43" s="27" t="str">
        <f ca="1"/>
        <v>Bueno Brandao</v>
      </c>
      <c r="C43" s="27" t="str">
        <f ca="1"/>
        <v>Auxiliar de Limpeza - 75 h</v>
      </c>
      <c r="D43" s="27" t="str">
        <f ca="1"/>
        <v>Fethemg Interior</v>
      </c>
      <c r="E43" s="20" t="str">
        <f ca="1"/>
        <v>Limpeza</v>
      </c>
      <c r="F43" s="20" t="str">
        <f ca="1"/>
        <v>PGJ</v>
      </c>
      <c r="BR43" s="26">
        <f ca="1"/>
        <v>8.5633802816901458E-2</v>
      </c>
      <c r="BS43" s="26">
        <f ca="1"/>
        <v>1.8591549295774657E-2</v>
      </c>
      <c r="BT43" s="26">
        <f ca="1"/>
        <v>0.02</v>
      </c>
      <c r="BU43" s="26">
        <f ca="1"/>
        <v>2.2535211267605645E-2</v>
      </c>
      <c r="BV43" s="26">
        <f ca="1"/>
        <v>0.1125</v>
      </c>
      <c r="BW43" s="26">
        <f ca="1"/>
        <v>0.12676056338028174</v>
      </c>
      <c r="CB43" s="24">
        <f ca="1"/>
        <v>45658</v>
      </c>
      <c r="CC43" s="20" t="str">
        <f ca="1"/>
        <v>-</v>
      </c>
      <c r="CD43" s="20" t="str">
        <f ca="1"/>
        <v>-</v>
      </c>
    </row>
    <row r="44" spans="2:82" x14ac:dyDescent="0.25">
      <c r="B44" s="27" t="str">
        <f ca="1"/>
        <v>Buritis</v>
      </c>
      <c r="C44" s="27" t="str">
        <f ca="1"/>
        <v>Auxiliar de Limpeza - 110 h</v>
      </c>
      <c r="D44" s="27" t="str">
        <f ca="1"/>
        <v>Fethemg Interior</v>
      </c>
      <c r="E44" s="20" t="str">
        <f ca="1"/>
        <v>Limpeza</v>
      </c>
      <c r="F44" s="20" t="str">
        <f ca="1"/>
        <v>PGJ</v>
      </c>
      <c r="BR44" s="26">
        <f ca="1"/>
        <v>8.5633802816901458E-2</v>
      </c>
      <c r="BS44" s="26">
        <f ca="1"/>
        <v>1.8591549295774657E-2</v>
      </c>
      <c r="BT44" s="26">
        <f ca="1"/>
        <v>0.02</v>
      </c>
      <c r="BU44" s="26">
        <f ca="1"/>
        <v>2.2535211267605645E-2</v>
      </c>
      <c r="BV44" s="26">
        <f ca="1"/>
        <v>0.1125</v>
      </c>
      <c r="BW44" s="26">
        <f ca="1"/>
        <v>0.12676056338028174</v>
      </c>
      <c r="CB44" s="24">
        <f ca="1"/>
        <v>45658</v>
      </c>
      <c r="CC44" s="20" t="str">
        <f ca="1"/>
        <v>-</v>
      </c>
      <c r="CD44" s="20" t="str">
        <f ca="1"/>
        <v>-</v>
      </c>
    </row>
    <row r="45" spans="2:82" x14ac:dyDescent="0.25">
      <c r="B45" s="27" t="str">
        <f ca="1"/>
        <v>Cachoeira de Minas</v>
      </c>
      <c r="C45" s="27" t="str">
        <f ca="1"/>
        <v>Auxiliar de Limpeza - 75 h</v>
      </c>
      <c r="D45" s="27" t="str">
        <f ca="1"/>
        <v>Fethemg Interior</v>
      </c>
      <c r="E45" s="20" t="str">
        <f ca="1"/>
        <v>Limpeza</v>
      </c>
      <c r="F45" s="20" t="str">
        <f ca="1"/>
        <v>PGJ</v>
      </c>
      <c r="BR45" s="26">
        <f ca="1"/>
        <v>8.6609686609686695E-2</v>
      </c>
      <c r="BS45" s="26">
        <f ca="1"/>
        <v>1.880341880341882E-2</v>
      </c>
      <c r="BT45" s="26">
        <f ca="1"/>
        <v>0.03</v>
      </c>
      <c r="BU45" s="26">
        <f ca="1"/>
        <v>3.4188034188034219E-2</v>
      </c>
      <c r="BV45" s="26">
        <f ca="1"/>
        <v>0.1225</v>
      </c>
      <c r="BW45" s="26">
        <f ca="1"/>
        <v>0.13960113960113973</v>
      </c>
      <c r="CB45" s="24">
        <f ca="1"/>
        <v>45658</v>
      </c>
      <c r="CC45" s="20" t="str">
        <f ca="1"/>
        <v>-</v>
      </c>
      <c r="CD45" s="20" t="str">
        <f ca="1"/>
        <v>-</v>
      </c>
    </row>
    <row r="46" spans="2:82" x14ac:dyDescent="0.25">
      <c r="B46" s="27" t="str">
        <f ca="1"/>
        <v>Caete</v>
      </c>
      <c r="C46" s="27" t="str">
        <f ca="1"/>
        <v>Auxiliar de Limpeza - 220 h</v>
      </c>
      <c r="D46" s="27" t="str">
        <f ca="1"/>
        <v>Fethemg RM</v>
      </c>
      <c r="E46" s="20" t="str">
        <f ca="1"/>
        <v>Limpeza</v>
      </c>
      <c r="F46" s="20" t="str">
        <f ca="1"/>
        <v>PGJ</v>
      </c>
      <c r="BR46" s="26">
        <f ca="1"/>
        <v>8.6609686609686695E-2</v>
      </c>
      <c r="BS46" s="26">
        <f ca="1"/>
        <v>1.880341880341882E-2</v>
      </c>
      <c r="BT46" s="26">
        <f ca="1"/>
        <v>0.03</v>
      </c>
      <c r="BU46" s="26">
        <f ca="1"/>
        <v>3.4188034188034219E-2</v>
      </c>
      <c r="BV46" s="26">
        <f ca="1"/>
        <v>0.1225</v>
      </c>
      <c r="BW46" s="26">
        <f ca="1"/>
        <v>0.13960113960113973</v>
      </c>
      <c r="CB46" s="24">
        <f ca="1"/>
        <v>45658</v>
      </c>
      <c r="CC46" s="20" t="str">
        <f ca="1"/>
        <v>-</v>
      </c>
      <c r="CD46" s="20" t="str">
        <f ca="1"/>
        <v>-</v>
      </c>
    </row>
    <row r="47" spans="2:82" x14ac:dyDescent="0.25">
      <c r="B47" s="27" t="str">
        <f ca="1"/>
        <v>Caldas</v>
      </c>
      <c r="C47" s="27" t="str">
        <f ca="1"/>
        <v>Auxiliar de Limpeza - 75 h</v>
      </c>
      <c r="D47" s="27" t="str">
        <f ca="1"/>
        <v>Regiao de Sao Lourenco</v>
      </c>
      <c r="E47" s="20" t="str">
        <f ca="1"/>
        <v>Limpeza</v>
      </c>
      <c r="F47" s="20" t="str">
        <f ca="1"/>
        <v>PGJ</v>
      </c>
      <c r="BR47" s="26">
        <f ca="1"/>
        <v>8.6609686609686695E-2</v>
      </c>
      <c r="BS47" s="26">
        <f ca="1"/>
        <v>1.880341880341882E-2</v>
      </c>
      <c r="BT47" s="26">
        <f ca="1"/>
        <v>0.03</v>
      </c>
      <c r="BU47" s="26">
        <f ca="1"/>
        <v>3.4188034188034219E-2</v>
      </c>
      <c r="BV47" s="26">
        <f ca="1"/>
        <v>0.1225</v>
      </c>
      <c r="BW47" s="26">
        <f ca="1"/>
        <v>0.13960113960113973</v>
      </c>
      <c r="CB47" s="24">
        <f ca="1"/>
        <v>45658</v>
      </c>
      <c r="CC47" s="20" t="str">
        <f ca="1"/>
        <v>-</v>
      </c>
      <c r="CD47" s="20" t="str">
        <f ca="1"/>
        <v>-</v>
      </c>
    </row>
    <row r="48" spans="2:82" x14ac:dyDescent="0.25">
      <c r="B48" s="27" t="str">
        <f ca="1"/>
        <v>Camanducaia</v>
      </c>
      <c r="C48" s="27" t="str">
        <f ca="1"/>
        <v>Auxiliar de Limpeza - 75 h</v>
      </c>
      <c r="D48" s="27" t="str">
        <f ca="1"/>
        <v>Fethemg Interior</v>
      </c>
      <c r="E48" s="20" t="str">
        <f ca="1"/>
        <v>Limpeza</v>
      </c>
      <c r="F48" s="20" t="str">
        <f ca="1"/>
        <v>PGJ</v>
      </c>
      <c r="BR48" s="26">
        <f ca="1"/>
        <v>8.5633802816901458E-2</v>
      </c>
      <c r="BS48" s="26">
        <f ca="1"/>
        <v>1.8591549295774657E-2</v>
      </c>
      <c r="BT48" s="26">
        <f ca="1"/>
        <v>0.02</v>
      </c>
      <c r="BU48" s="26">
        <f ca="1"/>
        <v>2.2535211267605645E-2</v>
      </c>
      <c r="BV48" s="26">
        <f ca="1"/>
        <v>0.1125</v>
      </c>
      <c r="BW48" s="26">
        <f ca="1"/>
        <v>0.12676056338028174</v>
      </c>
      <c r="CB48" s="24">
        <f ca="1"/>
        <v>45658</v>
      </c>
      <c r="CC48" s="20" t="str">
        <f ca="1"/>
        <v>-</v>
      </c>
      <c r="CD48" s="20" t="str">
        <f ca="1"/>
        <v>-</v>
      </c>
    </row>
    <row r="49" spans="2:82" x14ac:dyDescent="0.25">
      <c r="B49" s="27" t="str">
        <f ca="1"/>
        <v>Cambui</v>
      </c>
      <c r="C49" s="27" t="str">
        <f ca="1"/>
        <v>Auxiliar de Limpeza - 75 h</v>
      </c>
      <c r="D49" s="27" t="str">
        <f ca="1"/>
        <v>Fethemg Interior</v>
      </c>
      <c r="E49" s="20" t="str">
        <f ca="1"/>
        <v>Limpeza</v>
      </c>
      <c r="F49" s="20" t="str">
        <f ca="1"/>
        <v>PGJ</v>
      </c>
      <c r="BR49" s="26">
        <f ca="1"/>
        <v>8.6609686609686695E-2</v>
      </c>
      <c r="BS49" s="26">
        <f ca="1"/>
        <v>1.880341880341882E-2</v>
      </c>
      <c r="BT49" s="26">
        <f ca="1"/>
        <v>0.03</v>
      </c>
      <c r="BU49" s="26">
        <f ca="1"/>
        <v>3.4188034188034219E-2</v>
      </c>
      <c r="BV49" s="26">
        <f ca="1"/>
        <v>0.1225</v>
      </c>
      <c r="BW49" s="26">
        <f ca="1"/>
        <v>0.13960113960113973</v>
      </c>
      <c r="CB49" s="24">
        <f ca="1"/>
        <v>45658</v>
      </c>
      <c r="CC49" s="20" t="str">
        <f ca="1"/>
        <v>-</v>
      </c>
      <c r="CD49" s="20" t="str">
        <f ca="1"/>
        <v>-</v>
      </c>
    </row>
    <row r="50" spans="2:82" x14ac:dyDescent="0.25">
      <c r="B50" s="27" t="str">
        <f ca="1"/>
        <v>Campanha</v>
      </c>
      <c r="C50" s="27" t="str">
        <f ca="1"/>
        <v>Auxiliar de Limpeza - 110 h</v>
      </c>
      <c r="D50" s="27" t="str">
        <f ca="1"/>
        <v>Regiao de Sao Lourenco</v>
      </c>
      <c r="E50" s="20" t="str">
        <f ca="1"/>
        <v>Limpeza</v>
      </c>
      <c r="F50" s="20" t="str">
        <f ca="1"/>
        <v>PGJ</v>
      </c>
      <c r="BR50" s="26">
        <f ca="1"/>
        <v>8.6609686609686695E-2</v>
      </c>
      <c r="BS50" s="26">
        <f ca="1"/>
        <v>1.880341880341882E-2</v>
      </c>
      <c r="BT50" s="26">
        <f ca="1"/>
        <v>0.03</v>
      </c>
      <c r="BU50" s="26">
        <f ca="1"/>
        <v>3.4188034188034219E-2</v>
      </c>
      <c r="BV50" s="26">
        <f ca="1"/>
        <v>0.1225</v>
      </c>
      <c r="BW50" s="26">
        <f ca="1"/>
        <v>0.13960113960113973</v>
      </c>
      <c r="CB50" s="24">
        <f ca="1"/>
        <v>45658</v>
      </c>
      <c r="CC50" s="20" t="str">
        <f ca="1"/>
        <v>-</v>
      </c>
      <c r="CD50" s="20" t="str">
        <f ca="1"/>
        <v>-</v>
      </c>
    </row>
    <row r="51" spans="2:82" x14ac:dyDescent="0.25">
      <c r="B51" s="27" t="str">
        <f ca="1"/>
        <v>Campo Belo</v>
      </c>
      <c r="C51" s="27" t="str">
        <f ca="1"/>
        <v>Auxiliar de Limpeza - 110 h</v>
      </c>
      <c r="D51" s="27" t="str">
        <f ca="1"/>
        <v>Regiao de Sao Lourenco</v>
      </c>
      <c r="E51" s="20" t="str">
        <f ca="1"/>
        <v>Limpeza</v>
      </c>
      <c r="F51" s="20" t="str">
        <f ca="1"/>
        <v>PGJ</v>
      </c>
      <c r="BR51" s="26">
        <f ca="1"/>
        <v>8.6609686609686695E-2</v>
      </c>
      <c r="BS51" s="26">
        <f ca="1"/>
        <v>1.880341880341882E-2</v>
      </c>
      <c r="BT51" s="26">
        <f ca="1"/>
        <v>0.03</v>
      </c>
      <c r="BU51" s="26">
        <f ca="1"/>
        <v>3.4188034188034219E-2</v>
      </c>
      <c r="BV51" s="26">
        <f ca="1"/>
        <v>0.1225</v>
      </c>
      <c r="BW51" s="26">
        <f ca="1"/>
        <v>0.13960113960113973</v>
      </c>
      <c r="CB51" s="24">
        <f ca="1"/>
        <v>45658</v>
      </c>
      <c r="CC51" s="20" t="str">
        <f ca="1"/>
        <v>-</v>
      </c>
      <c r="CD51" s="20" t="str">
        <f ca="1"/>
        <v>-</v>
      </c>
    </row>
    <row r="52" spans="2:82" x14ac:dyDescent="0.25">
      <c r="B52" s="27" t="str">
        <f ca="1"/>
        <v>Campo Belo</v>
      </c>
      <c r="C52" s="27" t="str">
        <f ca="1"/>
        <v>Auxiliar de Limpeza - 220 h</v>
      </c>
      <c r="D52" s="27" t="str">
        <f ca="1"/>
        <v>Regiao de Sao Lourenco</v>
      </c>
      <c r="E52" s="20" t="str">
        <f ca="1"/>
        <v>Limpeza</v>
      </c>
      <c r="F52" s="20" t="str">
        <f ca="1"/>
        <v>PGJ</v>
      </c>
      <c r="BR52" s="26">
        <f ca="1"/>
        <v>8.6609686609686695E-2</v>
      </c>
      <c r="BS52" s="26">
        <f ca="1"/>
        <v>1.880341880341882E-2</v>
      </c>
      <c r="BT52" s="26">
        <f ca="1"/>
        <v>0.03</v>
      </c>
      <c r="BU52" s="26">
        <f ca="1"/>
        <v>3.4188034188034219E-2</v>
      </c>
      <c r="BV52" s="26">
        <f ca="1"/>
        <v>0.1225</v>
      </c>
      <c r="BW52" s="26">
        <f ca="1"/>
        <v>0.13960113960113973</v>
      </c>
      <c r="CB52" s="24">
        <f ca="1"/>
        <v>45658</v>
      </c>
      <c r="CC52" s="20" t="str">
        <f ca="1"/>
        <v>-</v>
      </c>
      <c r="CD52" s="20" t="str">
        <f ca="1"/>
        <v>-</v>
      </c>
    </row>
    <row r="53" spans="2:82" x14ac:dyDescent="0.25">
      <c r="B53" s="27" t="str">
        <f ca="1"/>
        <v>Campos Altos</v>
      </c>
      <c r="C53" s="27" t="str">
        <f ca="1"/>
        <v>Auxiliar de Limpeza - 75 h</v>
      </c>
      <c r="D53" s="27" t="str">
        <f ca="1"/>
        <v>Alto Paranaiba</v>
      </c>
      <c r="E53" s="20" t="str">
        <f ca="1"/>
        <v>Limpeza</v>
      </c>
      <c r="F53" s="20" t="str">
        <f ca="1"/>
        <v>PGJ</v>
      </c>
      <c r="BR53" s="26">
        <f ca="1"/>
        <v>8.6609686609686695E-2</v>
      </c>
      <c r="BS53" s="26">
        <f ca="1"/>
        <v>1.880341880341882E-2</v>
      </c>
      <c r="BT53" s="26">
        <f ca="1"/>
        <v>0.03</v>
      </c>
      <c r="BU53" s="26">
        <f ca="1"/>
        <v>3.4188034188034219E-2</v>
      </c>
      <c r="BV53" s="26">
        <f ca="1"/>
        <v>0.1225</v>
      </c>
      <c r="BW53" s="26">
        <f ca="1"/>
        <v>0.13960113960113973</v>
      </c>
      <c r="CB53" s="24">
        <f ca="1"/>
        <v>45658</v>
      </c>
      <c r="CC53" s="20" t="str">
        <f ca="1"/>
        <v>-</v>
      </c>
      <c r="CD53" s="20" t="str">
        <f ca="1"/>
        <v>-</v>
      </c>
    </row>
    <row r="54" spans="2:82" x14ac:dyDescent="0.25">
      <c r="B54" s="27" t="str">
        <f ca="1"/>
        <v>Campos Gerais</v>
      </c>
      <c r="C54" s="27" t="str">
        <f ca="1"/>
        <v>Auxiliar de Limpeza - 110 h</v>
      </c>
      <c r="D54" s="27" t="str">
        <f ca="1"/>
        <v>Regiao de Sao Lourenco</v>
      </c>
      <c r="E54" s="20" t="str">
        <f ca="1"/>
        <v>Limpeza</v>
      </c>
      <c r="F54" s="20" t="str">
        <f ca="1"/>
        <v>PGJ</v>
      </c>
      <c r="BR54" s="26">
        <f ca="1"/>
        <v>8.5633802816901458E-2</v>
      </c>
      <c r="BS54" s="26">
        <f ca="1"/>
        <v>1.8591549295774657E-2</v>
      </c>
      <c r="BT54" s="26">
        <f ca="1"/>
        <v>0.02</v>
      </c>
      <c r="BU54" s="26">
        <f ca="1"/>
        <v>2.2535211267605645E-2</v>
      </c>
      <c r="BV54" s="26">
        <f ca="1"/>
        <v>0.1125</v>
      </c>
      <c r="BW54" s="26">
        <f ca="1"/>
        <v>0.12676056338028174</v>
      </c>
      <c r="CB54" s="24">
        <f ca="1"/>
        <v>45658</v>
      </c>
      <c r="CC54" s="20" t="str">
        <f ca="1"/>
        <v>-</v>
      </c>
      <c r="CD54" s="20" t="str">
        <f ca="1"/>
        <v>-</v>
      </c>
    </row>
    <row r="55" spans="2:82" x14ac:dyDescent="0.25">
      <c r="B55" s="27" t="str">
        <f ca="1"/>
        <v>Canapolis</v>
      </c>
      <c r="C55" s="27" t="str">
        <f ca="1"/>
        <v>Auxiliar de Limpeza - 75 h</v>
      </c>
      <c r="D55" s="27" t="str">
        <f ca="1"/>
        <v>Alto Paranaiba</v>
      </c>
      <c r="E55" s="20" t="str">
        <f ca="1"/>
        <v>Limpeza</v>
      </c>
      <c r="F55" s="20" t="str">
        <f ca="1"/>
        <v>PGJ</v>
      </c>
      <c r="BR55" s="26">
        <f ca="1"/>
        <v>8.8629737609329504E-2</v>
      </c>
      <c r="BS55" s="26">
        <f ca="1"/>
        <v>1.9241982507288629E-2</v>
      </c>
      <c r="BT55" s="26">
        <f ca="1"/>
        <v>0.05</v>
      </c>
      <c r="BU55" s="26">
        <f ca="1"/>
        <v>5.8309037900874633E-2</v>
      </c>
      <c r="BV55" s="26">
        <f ca="1"/>
        <v>0.14250000000000002</v>
      </c>
      <c r="BW55" s="26">
        <f ca="1"/>
        <v>0.16618075801749277</v>
      </c>
      <c r="CB55" s="24">
        <f ca="1"/>
        <v>45658</v>
      </c>
      <c r="CC55" s="20" t="str">
        <f ca="1"/>
        <v>-</v>
      </c>
      <c r="CD55" s="20" t="str">
        <f ca="1"/>
        <v>-</v>
      </c>
    </row>
    <row r="56" spans="2:82" x14ac:dyDescent="0.25">
      <c r="B56" s="27" t="str">
        <f ca="1"/>
        <v>Candeias</v>
      </c>
      <c r="C56" s="27" t="str">
        <f ca="1"/>
        <v>Auxiliar de Limpeza - 150 h</v>
      </c>
      <c r="D56" s="27" t="str">
        <f ca="1"/>
        <v>Regiao de Sao Lourenco</v>
      </c>
      <c r="E56" s="20" t="str">
        <f ca="1"/>
        <v>Limpeza</v>
      </c>
      <c r="F56" s="20" t="str">
        <f ca="1"/>
        <v>PGJ</v>
      </c>
      <c r="BR56" s="26">
        <f ca="1"/>
        <v>8.5633802816901458E-2</v>
      </c>
      <c r="BS56" s="26">
        <f ca="1"/>
        <v>1.8591549295774657E-2</v>
      </c>
      <c r="BT56" s="26">
        <f ca="1"/>
        <v>0.02</v>
      </c>
      <c r="BU56" s="26">
        <f ca="1"/>
        <v>2.2535211267605645E-2</v>
      </c>
      <c r="BV56" s="26">
        <f ca="1"/>
        <v>0.1125</v>
      </c>
      <c r="BW56" s="26">
        <f ca="1"/>
        <v>0.12676056338028174</v>
      </c>
      <c r="CB56" s="24">
        <f ca="1"/>
        <v>45658</v>
      </c>
      <c r="CC56" s="20" t="str">
        <f ca="1"/>
        <v>-</v>
      </c>
      <c r="CD56" s="20" t="str">
        <f ca="1"/>
        <v>-</v>
      </c>
    </row>
    <row r="57" spans="2:82" x14ac:dyDescent="0.25">
      <c r="B57" s="27" t="str">
        <f ca="1"/>
        <v>Capelinha</v>
      </c>
      <c r="C57" s="27" t="str">
        <f ca="1"/>
        <v>Auxiliar de Limpeza - 110 h</v>
      </c>
      <c r="D57" s="27" t="str">
        <f ca="1"/>
        <v>Regiao de Teofilo Otoni</v>
      </c>
      <c r="E57" s="20" t="str">
        <f ca="1"/>
        <v>Limpeza</v>
      </c>
      <c r="F57" s="20" t="str">
        <f ca="1"/>
        <v>PGJ</v>
      </c>
      <c r="BR57" s="26">
        <f ca="1"/>
        <v>8.6609686609686695E-2</v>
      </c>
      <c r="BS57" s="26">
        <f ca="1"/>
        <v>1.880341880341882E-2</v>
      </c>
      <c r="BT57" s="26">
        <f ca="1"/>
        <v>0.03</v>
      </c>
      <c r="BU57" s="26">
        <f ca="1"/>
        <v>3.4188034188034219E-2</v>
      </c>
      <c r="BV57" s="26">
        <f ca="1"/>
        <v>0.1225</v>
      </c>
      <c r="BW57" s="26">
        <f ca="1"/>
        <v>0.13960113960113973</v>
      </c>
      <c r="CB57" s="24">
        <f ca="1"/>
        <v>45658</v>
      </c>
      <c r="CC57" s="20" t="str">
        <f ca="1"/>
        <v>-</v>
      </c>
      <c r="CD57" s="20" t="str">
        <f ca="1"/>
        <v>-</v>
      </c>
    </row>
    <row r="58" spans="2:82" x14ac:dyDescent="0.25">
      <c r="B58" s="27" t="str">
        <f ca="1"/>
        <v>Carandai</v>
      </c>
      <c r="C58" s="27" t="str">
        <f ca="1"/>
        <v>Auxiliar de Limpeza - 75 h</v>
      </c>
      <c r="D58" s="27" t="str">
        <f ca="1"/>
        <v>Fethemg Interior</v>
      </c>
      <c r="E58" s="20" t="str">
        <f ca="1"/>
        <v>Limpeza</v>
      </c>
      <c r="F58" s="20" t="str">
        <f ca="1"/>
        <v>PGJ</v>
      </c>
      <c r="BR58" s="26">
        <f ca="1"/>
        <v>8.8629737609329504E-2</v>
      </c>
      <c r="BS58" s="26">
        <f ca="1"/>
        <v>1.9241982507288629E-2</v>
      </c>
      <c r="BT58" s="26">
        <f ca="1"/>
        <v>0.05</v>
      </c>
      <c r="BU58" s="26">
        <f ca="1"/>
        <v>5.8309037900874633E-2</v>
      </c>
      <c r="BV58" s="26">
        <f ca="1"/>
        <v>0.14250000000000002</v>
      </c>
      <c r="BW58" s="26">
        <f ca="1"/>
        <v>0.16618075801749277</v>
      </c>
      <c r="CB58" s="24">
        <f ca="1"/>
        <v>45658</v>
      </c>
      <c r="CC58" s="20" t="str">
        <f ca="1"/>
        <v>-</v>
      </c>
      <c r="CD58" s="20" t="str">
        <f ca="1"/>
        <v>-</v>
      </c>
    </row>
    <row r="59" spans="2:82" x14ac:dyDescent="0.25">
      <c r="B59" s="27" t="str">
        <f ca="1"/>
        <v>Carangola</v>
      </c>
      <c r="C59" s="27" t="str">
        <f ca="1"/>
        <v>Auxiliar de Limpeza - 220 h</v>
      </c>
      <c r="D59" s="27" t="str">
        <f ca="1"/>
        <v>Regiao de Juiz de Fora</v>
      </c>
      <c r="E59" s="20" t="str">
        <f ca="1"/>
        <v>Limpeza</v>
      </c>
      <c r="F59" s="20" t="str">
        <f ca="1"/>
        <v>PGJ</v>
      </c>
      <c r="BR59" s="26">
        <f ca="1"/>
        <v>8.8629737609329504E-2</v>
      </c>
      <c r="BS59" s="26">
        <f ca="1"/>
        <v>1.9241982507288629E-2</v>
      </c>
      <c r="BT59" s="26">
        <f ca="1"/>
        <v>0.05</v>
      </c>
      <c r="BU59" s="26">
        <f ca="1"/>
        <v>5.8309037900874633E-2</v>
      </c>
      <c r="BV59" s="26">
        <f ca="1"/>
        <v>0.14250000000000002</v>
      </c>
      <c r="BW59" s="26">
        <f ca="1"/>
        <v>0.16618075801749277</v>
      </c>
      <c r="CB59" s="24">
        <f ca="1"/>
        <v>45658</v>
      </c>
      <c r="CC59" s="20" t="str">
        <f ca="1"/>
        <v>-</v>
      </c>
      <c r="CD59" s="20" t="str">
        <f ca="1"/>
        <v>-</v>
      </c>
    </row>
    <row r="60" spans="2:82" x14ac:dyDescent="0.25">
      <c r="B60" s="27" t="str">
        <f ca="1"/>
        <v>Caratinga</v>
      </c>
      <c r="C60" s="27" t="str">
        <f ca="1"/>
        <v>Auxiliar de Limpeza - 220 h</v>
      </c>
      <c r="D60" s="27" t="str">
        <f ca="1"/>
        <v>Seethur</v>
      </c>
      <c r="E60" s="20" t="str">
        <f ca="1"/>
        <v>Limpeza</v>
      </c>
      <c r="F60" s="20" t="str">
        <f ca="1"/>
        <v>PGJ</v>
      </c>
      <c r="BR60" s="26">
        <f ca="1"/>
        <v>8.6609686609686695E-2</v>
      </c>
      <c r="BS60" s="26">
        <f ca="1"/>
        <v>1.880341880341882E-2</v>
      </c>
      <c r="BT60" s="26">
        <f ca="1"/>
        <v>0.03</v>
      </c>
      <c r="BU60" s="26">
        <f ca="1"/>
        <v>3.4188034188034219E-2</v>
      </c>
      <c r="BV60" s="26">
        <f ca="1"/>
        <v>0.1225</v>
      </c>
      <c r="BW60" s="26">
        <f ca="1"/>
        <v>0.13960113960113973</v>
      </c>
      <c r="CB60" s="24">
        <f ca="1"/>
        <v>45658</v>
      </c>
      <c r="CC60" s="20" t="str">
        <f ca="1"/>
        <v>-</v>
      </c>
      <c r="CD60" s="20" t="str">
        <f ca="1"/>
        <v>-</v>
      </c>
    </row>
    <row r="61" spans="2:82" x14ac:dyDescent="0.25">
      <c r="B61" s="27" t="str">
        <f ca="1"/>
        <v>Carlos Chagas</v>
      </c>
      <c r="C61" s="27" t="str">
        <f ca="1"/>
        <v>Auxiliar de Limpeza - 75 h</v>
      </c>
      <c r="D61" s="27" t="str">
        <f ca="1"/>
        <v>Regiao de Teofilo Otoni</v>
      </c>
      <c r="E61" s="20" t="str">
        <f ca="1"/>
        <v>Limpeza</v>
      </c>
      <c r="F61" s="20" t="str">
        <f ca="1"/>
        <v>PGJ</v>
      </c>
      <c r="BR61" s="26">
        <f ca="1"/>
        <v>8.8629737609329504E-2</v>
      </c>
      <c r="BS61" s="26">
        <f ca="1"/>
        <v>1.9241982507288629E-2</v>
      </c>
      <c r="BT61" s="26">
        <f ca="1"/>
        <v>0.05</v>
      </c>
      <c r="BU61" s="26">
        <f ca="1"/>
        <v>5.8309037900874633E-2</v>
      </c>
      <c r="BV61" s="26">
        <f ca="1"/>
        <v>0.14250000000000002</v>
      </c>
      <c r="BW61" s="26">
        <f ca="1"/>
        <v>0.16618075801749277</v>
      </c>
      <c r="CB61" s="24">
        <f ca="1"/>
        <v>45658</v>
      </c>
      <c r="CC61" s="20" t="str">
        <f ca="1"/>
        <v>-</v>
      </c>
      <c r="CD61" s="20" t="str">
        <f ca="1"/>
        <v>-</v>
      </c>
    </row>
    <row r="62" spans="2:82" x14ac:dyDescent="0.25">
      <c r="B62" s="27" t="str">
        <f ca="1"/>
        <v>Carmo do Paranaiba</v>
      </c>
      <c r="C62" s="27" t="str">
        <f ca="1"/>
        <v>Auxiliar de Limpeza - 220 h</v>
      </c>
      <c r="D62" s="27" t="str">
        <f ca="1"/>
        <v>Alto Paranaiba</v>
      </c>
      <c r="E62" s="20" t="str">
        <f ca="1"/>
        <v>Limpeza</v>
      </c>
      <c r="F62" s="20" t="str">
        <f ca="1"/>
        <v>PGJ</v>
      </c>
      <c r="BR62" s="26">
        <f ca="1"/>
        <v>8.6609686609686695E-2</v>
      </c>
      <c r="BS62" s="26">
        <f ca="1"/>
        <v>1.880341880341882E-2</v>
      </c>
      <c r="BT62" s="26">
        <f ca="1"/>
        <v>0.03</v>
      </c>
      <c r="BU62" s="26">
        <f ca="1"/>
        <v>3.4188034188034219E-2</v>
      </c>
      <c r="BV62" s="26">
        <f ca="1"/>
        <v>0.1225</v>
      </c>
      <c r="BW62" s="26">
        <f ca="1"/>
        <v>0.13960113960113973</v>
      </c>
      <c r="CB62" s="24">
        <f ca="1"/>
        <v>45658</v>
      </c>
      <c r="CC62" s="20" t="str">
        <f ca="1"/>
        <v>-</v>
      </c>
      <c r="CD62" s="20" t="str">
        <f ca="1"/>
        <v>-</v>
      </c>
    </row>
    <row r="63" spans="2:82" x14ac:dyDescent="0.25">
      <c r="B63" s="27" t="str">
        <f ca="1"/>
        <v>Carmo do Rio Claro</v>
      </c>
      <c r="C63" s="27" t="str">
        <f ca="1"/>
        <v>Auxiliar de Limpeza - 220 h</v>
      </c>
      <c r="D63" s="27" t="str">
        <f ca="1"/>
        <v>Regiao de Sao Lourenco</v>
      </c>
      <c r="E63" s="20" t="str">
        <f ca="1"/>
        <v>Limpeza</v>
      </c>
      <c r="F63" s="20" t="str">
        <f ca="1"/>
        <v>PGJ</v>
      </c>
      <c r="BR63" s="26">
        <f ca="1"/>
        <v>8.5633802816901458E-2</v>
      </c>
      <c r="BS63" s="26">
        <f ca="1"/>
        <v>1.8591549295774657E-2</v>
      </c>
      <c r="BT63" s="26">
        <f ca="1"/>
        <v>0.02</v>
      </c>
      <c r="BU63" s="26">
        <f ca="1"/>
        <v>2.2535211267605645E-2</v>
      </c>
      <c r="BV63" s="26">
        <f ca="1"/>
        <v>0.1125</v>
      </c>
      <c r="BW63" s="26">
        <f ca="1"/>
        <v>0.12676056338028174</v>
      </c>
      <c r="CB63" s="24">
        <f ca="1"/>
        <v>45658</v>
      </c>
      <c r="CC63" s="20" t="str">
        <f ca="1"/>
        <v>-</v>
      </c>
      <c r="CD63" s="20" t="str">
        <f ca="1"/>
        <v>-</v>
      </c>
    </row>
    <row r="64" spans="2:82" x14ac:dyDescent="0.25">
      <c r="B64" s="27" t="str">
        <f ca="1"/>
        <v>Carmopolis de Minas</v>
      </c>
      <c r="C64" s="27" t="str">
        <f ca="1"/>
        <v>Auxiliar de Limpeza - 75 h</v>
      </c>
      <c r="D64" s="27" t="str">
        <f ca="1"/>
        <v>Fethemg Interior</v>
      </c>
      <c r="E64" s="20" t="str">
        <f ca="1"/>
        <v>Limpeza</v>
      </c>
      <c r="F64" s="20" t="str">
        <f ca="1"/>
        <v>PGJ</v>
      </c>
      <c r="BR64" s="26">
        <f ca="1"/>
        <v>8.8629737609329504E-2</v>
      </c>
      <c r="BS64" s="26">
        <f ca="1"/>
        <v>1.9241982507288629E-2</v>
      </c>
      <c r="BT64" s="26">
        <f ca="1"/>
        <v>0.05</v>
      </c>
      <c r="BU64" s="26">
        <f ca="1"/>
        <v>5.8309037900874633E-2</v>
      </c>
      <c r="BV64" s="26">
        <f ca="1"/>
        <v>0.14250000000000002</v>
      </c>
      <c r="BW64" s="26">
        <f ca="1"/>
        <v>0.16618075801749277</v>
      </c>
      <c r="CB64" s="24">
        <f ca="1"/>
        <v>45658</v>
      </c>
      <c r="CC64" s="20" t="str">
        <f ca="1"/>
        <v>-</v>
      </c>
      <c r="CD64" s="20" t="str">
        <f ca="1"/>
        <v>-</v>
      </c>
    </row>
    <row r="65" spans="2:82" x14ac:dyDescent="0.25">
      <c r="B65" s="27" t="str">
        <f ca="1"/>
        <v>Cassia</v>
      </c>
      <c r="C65" s="27" t="str">
        <f ca="1"/>
        <v>Auxiliar de Limpeza - 220 h</v>
      </c>
      <c r="D65" s="27" t="str">
        <f ca="1"/>
        <v>Fethemg Interior</v>
      </c>
      <c r="E65" s="20" t="str">
        <f ca="1"/>
        <v>Limpeza</v>
      </c>
      <c r="F65" s="20" t="str">
        <f ca="1"/>
        <v>PGJ</v>
      </c>
      <c r="BR65" s="26">
        <f ca="1"/>
        <v>8.6609686609686695E-2</v>
      </c>
      <c r="BS65" s="26">
        <f ca="1"/>
        <v>1.880341880341882E-2</v>
      </c>
      <c r="BT65" s="26">
        <f ca="1"/>
        <v>0.03</v>
      </c>
      <c r="BU65" s="26">
        <f ca="1"/>
        <v>3.4188034188034219E-2</v>
      </c>
      <c r="BV65" s="26">
        <f ca="1"/>
        <v>0.1225</v>
      </c>
      <c r="BW65" s="26">
        <f ca="1"/>
        <v>0.13960113960113973</v>
      </c>
      <c r="CB65" s="24">
        <f ca="1"/>
        <v>45658</v>
      </c>
      <c r="CC65" s="20" t="str">
        <f ca="1"/>
        <v>-</v>
      </c>
      <c r="CD65" s="20" t="str">
        <f ca="1"/>
        <v>-</v>
      </c>
    </row>
    <row r="66" spans="2:82" x14ac:dyDescent="0.25">
      <c r="B66" s="27" t="str">
        <f ca="1"/>
        <v>Cataguases</v>
      </c>
      <c r="C66" s="27" t="str">
        <f ca="1"/>
        <v>Auxiliar de Limpeza - 110 h</v>
      </c>
      <c r="D66" s="27" t="str">
        <f ca="1"/>
        <v>Cataguases</v>
      </c>
      <c r="E66" s="20" t="str">
        <f ca="1"/>
        <v>Limpeza</v>
      </c>
      <c r="F66" s="20" t="str">
        <f ca="1"/>
        <v>PGJ</v>
      </c>
      <c r="BR66" s="26">
        <f ca="1"/>
        <v>8.8629737609329504E-2</v>
      </c>
      <c r="BS66" s="26">
        <f ca="1"/>
        <v>1.9241982507288629E-2</v>
      </c>
      <c r="BT66" s="26">
        <f ca="1"/>
        <v>0.05</v>
      </c>
      <c r="BU66" s="26">
        <f ca="1"/>
        <v>5.8309037900874633E-2</v>
      </c>
      <c r="BV66" s="26">
        <f ca="1"/>
        <v>0.14250000000000002</v>
      </c>
      <c r="BW66" s="26">
        <f ca="1"/>
        <v>0.16618075801749277</v>
      </c>
      <c r="CB66" s="24">
        <f ca="1"/>
        <v>45658</v>
      </c>
      <c r="CC66" s="20" t="str">
        <f ca="1"/>
        <v>-</v>
      </c>
      <c r="CD66" s="20" t="str">
        <f ca="1"/>
        <v>-</v>
      </c>
    </row>
    <row r="67" spans="2:82" x14ac:dyDescent="0.25">
      <c r="B67" s="27" t="str">
        <f ca="1"/>
        <v>Caxambu</v>
      </c>
      <c r="C67" s="27" t="str">
        <f ca="1"/>
        <v>Auxiliar de Limpeza - 110 h</v>
      </c>
      <c r="D67" s="27" t="str">
        <f ca="1"/>
        <v>Caxambu</v>
      </c>
      <c r="E67" s="20" t="str">
        <f ca="1"/>
        <v>Limpeza</v>
      </c>
      <c r="F67" s="20" t="str">
        <f ca="1"/>
        <v>PGJ</v>
      </c>
      <c r="BR67" s="26">
        <f ca="1"/>
        <v>8.6609686609686695E-2</v>
      </c>
      <c r="BS67" s="26">
        <f ca="1"/>
        <v>1.880341880341882E-2</v>
      </c>
      <c r="BT67" s="26">
        <f ca="1"/>
        <v>0.03</v>
      </c>
      <c r="BU67" s="26">
        <f ca="1"/>
        <v>3.4188034188034219E-2</v>
      </c>
      <c r="BV67" s="26">
        <f ca="1"/>
        <v>0.1225</v>
      </c>
      <c r="BW67" s="26">
        <f ca="1"/>
        <v>0.13960113960113973</v>
      </c>
      <c r="CB67" s="24">
        <f ca="1"/>
        <v>45658</v>
      </c>
      <c r="CC67" s="20" t="str">
        <f ca="1"/>
        <v>-</v>
      </c>
      <c r="CD67" s="20" t="str">
        <f ca="1"/>
        <v>-</v>
      </c>
    </row>
    <row r="68" spans="2:82" x14ac:dyDescent="0.25">
      <c r="B68" s="27" t="str">
        <f ca="1"/>
        <v>Claudio</v>
      </c>
      <c r="C68" s="27" t="str">
        <f ca="1"/>
        <v>Auxiliar de Limpeza - 75 h</v>
      </c>
      <c r="D68" s="27" t="str">
        <f ca="1"/>
        <v>Fethemg Interior</v>
      </c>
      <c r="E68" s="20" t="str">
        <f ca="1"/>
        <v>Limpeza</v>
      </c>
      <c r="F68" s="20" t="str">
        <f ca="1"/>
        <v>PGJ</v>
      </c>
      <c r="BR68" s="26">
        <f ca="1"/>
        <v>8.6609686609686695E-2</v>
      </c>
      <c r="BS68" s="26">
        <f ca="1"/>
        <v>1.880341880341882E-2</v>
      </c>
      <c r="BT68" s="26">
        <f ca="1"/>
        <v>0.03</v>
      </c>
      <c r="BU68" s="26">
        <f ca="1"/>
        <v>3.4188034188034219E-2</v>
      </c>
      <c r="BV68" s="26">
        <f ca="1"/>
        <v>0.1225</v>
      </c>
      <c r="BW68" s="26">
        <f ca="1"/>
        <v>0.13960113960113973</v>
      </c>
      <c r="CB68" s="24">
        <f ca="1"/>
        <v>45658</v>
      </c>
      <c r="CC68" s="20" t="str">
        <f ca="1"/>
        <v>-</v>
      </c>
      <c r="CD68" s="20" t="str">
        <f ca="1"/>
        <v>-</v>
      </c>
    </row>
    <row r="69" spans="2:82" x14ac:dyDescent="0.25">
      <c r="B69" s="27" t="str">
        <f ca="1"/>
        <v>Conceicao das Alagoas</v>
      </c>
      <c r="C69" s="27" t="str">
        <f ca="1"/>
        <v>Auxiliar de Limpeza - 75 h</v>
      </c>
      <c r="D69" s="27" t="str">
        <f ca="1"/>
        <v>Regiao Uberaba</v>
      </c>
      <c r="E69" s="20" t="str">
        <f ca="1"/>
        <v>Limpeza</v>
      </c>
      <c r="F69" s="20" t="str">
        <f ca="1"/>
        <v>PGJ</v>
      </c>
      <c r="BR69" s="26">
        <f ca="1"/>
        <v>8.5633802816901458E-2</v>
      </c>
      <c r="BS69" s="26">
        <f ca="1"/>
        <v>1.8591549295774657E-2</v>
      </c>
      <c r="BT69" s="26">
        <f ca="1"/>
        <v>0.02</v>
      </c>
      <c r="BU69" s="26">
        <f ca="1"/>
        <v>2.2535211267605645E-2</v>
      </c>
      <c r="BV69" s="26">
        <f ca="1"/>
        <v>0.1125</v>
      </c>
      <c r="BW69" s="26">
        <f ca="1"/>
        <v>0.12676056338028174</v>
      </c>
      <c r="CB69" s="24">
        <f ca="1"/>
        <v>45658</v>
      </c>
      <c r="CC69" s="20" t="str">
        <f ca="1"/>
        <v>-</v>
      </c>
      <c r="CD69" s="20" t="str">
        <f ca="1"/>
        <v>-</v>
      </c>
    </row>
    <row r="70" spans="2:82" x14ac:dyDescent="0.25">
      <c r="B70" s="27" t="str">
        <f ca="1"/>
        <v>Conceicao do Mato Dentro</v>
      </c>
      <c r="C70" s="27" t="str">
        <f ca="1"/>
        <v>Auxiliar de Limpeza - 110 h</v>
      </c>
      <c r="D70" s="27" t="str">
        <f ca="1"/>
        <v>Curvelo</v>
      </c>
      <c r="E70" s="20" t="str">
        <f ca="1"/>
        <v>Limpeza</v>
      </c>
      <c r="F70" s="20" t="str">
        <f ca="1"/>
        <v>PGJ</v>
      </c>
      <c r="BR70" s="26">
        <f ca="1"/>
        <v>8.6609686609686695E-2</v>
      </c>
      <c r="BS70" s="26">
        <f ca="1"/>
        <v>1.880341880341882E-2</v>
      </c>
      <c r="BT70" s="26">
        <f ca="1"/>
        <v>0.03</v>
      </c>
      <c r="BU70" s="26">
        <f ca="1"/>
        <v>3.4188034188034219E-2</v>
      </c>
      <c r="BV70" s="26">
        <f ca="1"/>
        <v>0.1225</v>
      </c>
      <c r="BW70" s="26">
        <f ca="1"/>
        <v>0.13960113960113973</v>
      </c>
      <c r="CB70" s="24">
        <f ca="1"/>
        <v>45658</v>
      </c>
      <c r="CC70" s="20" t="str">
        <f ca="1"/>
        <v>-</v>
      </c>
      <c r="CD70" s="20" t="str">
        <f ca="1"/>
        <v>-</v>
      </c>
    </row>
    <row r="71" spans="2:82" x14ac:dyDescent="0.25">
      <c r="B71" s="27" t="str">
        <f ca="1"/>
        <v>Congonhas</v>
      </c>
      <c r="C71" s="27" t="str">
        <f ca="1"/>
        <v>Auxiliar de Limpeza - 220 h</v>
      </c>
      <c r="D71" s="27" t="str">
        <f ca="1"/>
        <v>Regiao de Ouro Preto</v>
      </c>
      <c r="E71" s="20" t="str">
        <f ca="1"/>
        <v>Limpeza</v>
      </c>
      <c r="F71" s="20" t="str">
        <f ca="1"/>
        <v>PGJ</v>
      </c>
      <c r="BR71" s="26">
        <f ca="1"/>
        <v>8.8629737609329504E-2</v>
      </c>
      <c r="BS71" s="26">
        <f ca="1"/>
        <v>1.9241982507288629E-2</v>
      </c>
      <c r="BT71" s="26">
        <f ca="1"/>
        <v>0.05</v>
      </c>
      <c r="BU71" s="26">
        <f ca="1"/>
        <v>5.8309037900874633E-2</v>
      </c>
      <c r="BV71" s="26">
        <f ca="1"/>
        <v>0.14250000000000002</v>
      </c>
      <c r="BW71" s="26">
        <f ca="1"/>
        <v>0.16618075801749277</v>
      </c>
      <c r="CB71" s="24">
        <f ca="1"/>
        <v>45658</v>
      </c>
      <c r="CC71" s="20" t="str">
        <f ca="1"/>
        <v>-</v>
      </c>
      <c r="CD71" s="20" t="str">
        <f ca="1"/>
        <v>-</v>
      </c>
    </row>
    <row r="72" spans="2:82" x14ac:dyDescent="0.25">
      <c r="B72" s="27" t="str">
        <f ca="1"/>
        <v>Conquista</v>
      </c>
      <c r="C72" s="27" t="str">
        <f ca="1"/>
        <v>Auxiliar de Limpeza - 75 h</v>
      </c>
      <c r="D72" s="27" t="str">
        <f ca="1"/>
        <v>Alto Paranaiba</v>
      </c>
      <c r="E72" s="20" t="str">
        <f ca="1"/>
        <v>Limpeza</v>
      </c>
      <c r="F72" s="20" t="str">
        <f ca="1"/>
        <v>PGJ</v>
      </c>
      <c r="BR72" s="26">
        <f ca="1"/>
        <v>8.8629737609329504E-2</v>
      </c>
      <c r="BS72" s="26">
        <f ca="1"/>
        <v>1.9241982507288629E-2</v>
      </c>
      <c r="BT72" s="26">
        <f ca="1"/>
        <v>0.05</v>
      </c>
      <c r="BU72" s="26">
        <f ca="1"/>
        <v>5.8309037900874633E-2</v>
      </c>
      <c r="BV72" s="26">
        <f ca="1"/>
        <v>0.14250000000000002</v>
      </c>
      <c r="BW72" s="26">
        <f ca="1"/>
        <v>0.16618075801749277</v>
      </c>
      <c r="CB72" s="24">
        <f ca="1"/>
        <v>45658</v>
      </c>
      <c r="CC72" s="20" t="str">
        <f ca="1"/>
        <v>-</v>
      </c>
      <c r="CD72" s="20" t="str">
        <f ca="1"/>
        <v>-</v>
      </c>
    </row>
    <row r="73" spans="2:82" x14ac:dyDescent="0.25">
      <c r="B73" s="27" t="str">
        <f ca="1"/>
        <v>Conselheiro Lafaiete</v>
      </c>
      <c r="C73" s="27" t="str">
        <f ca="1"/>
        <v>Auxiliar de Limpeza - 110 h</v>
      </c>
      <c r="D73" s="27" t="str">
        <f ca="1"/>
        <v>Regiao de Ouro Preto</v>
      </c>
      <c r="E73" s="20" t="str">
        <f ca="1"/>
        <v>Limpeza</v>
      </c>
      <c r="F73" s="20" t="str">
        <f ca="1"/>
        <v>PGJ</v>
      </c>
      <c r="BR73" s="26">
        <f ca="1"/>
        <v>8.6609686609686695E-2</v>
      </c>
      <c r="BS73" s="26">
        <f ca="1"/>
        <v>1.880341880341882E-2</v>
      </c>
      <c r="BT73" s="26">
        <f ca="1"/>
        <v>0.03</v>
      </c>
      <c r="BU73" s="26">
        <f ca="1"/>
        <v>3.4188034188034219E-2</v>
      </c>
      <c r="BV73" s="26">
        <f ca="1"/>
        <v>0.1225</v>
      </c>
      <c r="BW73" s="26">
        <f ca="1"/>
        <v>0.13960113960113973</v>
      </c>
      <c r="CB73" s="24">
        <f ca="1"/>
        <v>45658</v>
      </c>
      <c r="CC73" s="20" t="str">
        <f ca="1"/>
        <v>-</v>
      </c>
      <c r="CD73" s="20" t="str">
        <f ca="1"/>
        <v>-</v>
      </c>
    </row>
    <row r="74" spans="2:82" x14ac:dyDescent="0.25">
      <c r="B74" s="27" t="str">
        <f ca="1"/>
        <v>Conselheiro Lafaiete</v>
      </c>
      <c r="C74" s="27" t="str">
        <f ca="1"/>
        <v>Auxiliar de Limpeza - 220 h</v>
      </c>
      <c r="D74" s="27" t="str">
        <f ca="1"/>
        <v>Regiao de Ouro Preto</v>
      </c>
      <c r="E74" s="20" t="str">
        <f ca="1"/>
        <v>Limpeza</v>
      </c>
      <c r="F74" s="20" t="str">
        <f ca="1"/>
        <v>PGJ</v>
      </c>
      <c r="BR74" s="26">
        <f ca="1"/>
        <v>8.6609686609686695E-2</v>
      </c>
      <c r="BS74" s="26">
        <f ca="1"/>
        <v>1.880341880341882E-2</v>
      </c>
      <c r="BT74" s="26">
        <f ca="1"/>
        <v>0.03</v>
      </c>
      <c r="BU74" s="26">
        <f ca="1"/>
        <v>3.4188034188034219E-2</v>
      </c>
      <c r="BV74" s="26">
        <f ca="1"/>
        <v>0.1225</v>
      </c>
      <c r="BW74" s="26">
        <f ca="1"/>
        <v>0.13960113960113973</v>
      </c>
      <c r="CB74" s="24">
        <f ca="1"/>
        <v>45658</v>
      </c>
      <c r="CC74" s="20" t="str">
        <f ca="1"/>
        <v>-</v>
      </c>
      <c r="CD74" s="20" t="str">
        <f ca="1"/>
        <v>-</v>
      </c>
    </row>
    <row r="75" spans="2:82" x14ac:dyDescent="0.25">
      <c r="B75" s="27" t="str">
        <f ca="1"/>
        <v>Conselheiro Pena</v>
      </c>
      <c r="C75" s="27" t="str">
        <f ca="1"/>
        <v>Auxiliar de Limpeza - 110 h</v>
      </c>
      <c r="D75" s="27" t="str">
        <f ca="1"/>
        <v>Fethemg Interior</v>
      </c>
      <c r="E75" s="20" t="str">
        <f ca="1"/>
        <v>Limpeza</v>
      </c>
      <c r="F75" s="20" t="str">
        <f ca="1"/>
        <v>PGJ</v>
      </c>
      <c r="BR75" s="26">
        <f ca="1"/>
        <v>8.6609686609686695E-2</v>
      </c>
      <c r="BS75" s="26">
        <f ca="1"/>
        <v>1.880341880341882E-2</v>
      </c>
      <c r="BT75" s="26">
        <f ca="1"/>
        <v>0.03</v>
      </c>
      <c r="BU75" s="26">
        <f ca="1"/>
        <v>3.4188034188034219E-2</v>
      </c>
      <c r="BV75" s="26">
        <f ca="1"/>
        <v>0.1225</v>
      </c>
      <c r="BW75" s="26">
        <f ca="1"/>
        <v>0.13960113960113973</v>
      </c>
      <c r="CB75" s="24">
        <f ca="1"/>
        <v>45658</v>
      </c>
      <c r="CC75" s="20" t="str">
        <f ca="1"/>
        <v>-</v>
      </c>
      <c r="CD75" s="20" t="str">
        <f ca="1"/>
        <v>-</v>
      </c>
    </row>
    <row r="76" spans="2:82" x14ac:dyDescent="0.25">
      <c r="B76" s="27" t="str">
        <f ca="1"/>
        <v>Contagem</v>
      </c>
      <c r="C76" s="27" t="str">
        <f ca="1"/>
        <v>Auxiliar de Limpeza - 220 h</v>
      </c>
      <c r="D76" s="27" t="str">
        <f ca="1"/>
        <v>Sind - Asseio</v>
      </c>
      <c r="E76" s="20" t="str">
        <f ca="1"/>
        <v>Limpeza</v>
      </c>
      <c r="F76" s="20" t="str">
        <f ca="1"/>
        <v>PGJ</v>
      </c>
      <c r="BR76" s="26">
        <f ca="1"/>
        <v>8.5633802816901458E-2</v>
      </c>
      <c r="BS76" s="26">
        <f ca="1"/>
        <v>1.8591549295774657E-2</v>
      </c>
      <c r="BT76" s="26">
        <f ca="1"/>
        <v>0.02</v>
      </c>
      <c r="BU76" s="26">
        <f ca="1"/>
        <v>2.2535211267605645E-2</v>
      </c>
      <c r="BV76" s="26">
        <f ca="1"/>
        <v>0.1125</v>
      </c>
      <c r="BW76" s="26">
        <f ca="1"/>
        <v>0.12676056338028174</v>
      </c>
      <c r="CB76" s="24">
        <f ca="1"/>
        <v>45658</v>
      </c>
      <c r="CC76" s="20" t="str">
        <f ca="1"/>
        <v>-</v>
      </c>
      <c r="CD76" s="20" t="str">
        <f ca="1"/>
        <v>-</v>
      </c>
    </row>
    <row r="77" spans="2:82" x14ac:dyDescent="0.25">
      <c r="B77" s="27" t="str">
        <f ca="1"/>
        <v>Coracao de Jesus</v>
      </c>
      <c r="C77" s="27" t="str">
        <f ca="1"/>
        <v>Auxiliar de Limpeza - 75 h</v>
      </c>
      <c r="D77" s="27" t="str">
        <f ca="1"/>
        <v>Sethac Norte de Minas</v>
      </c>
      <c r="E77" s="20" t="str">
        <f ca="1"/>
        <v>Limpeza</v>
      </c>
      <c r="F77" s="20" t="str">
        <f ca="1"/>
        <v>PGJ</v>
      </c>
      <c r="BR77" s="26">
        <f ca="1"/>
        <v>8.8629737609329504E-2</v>
      </c>
      <c r="BS77" s="26">
        <f ca="1"/>
        <v>1.9241982507288629E-2</v>
      </c>
      <c r="BT77" s="26">
        <f ca="1"/>
        <v>0.05</v>
      </c>
      <c r="BU77" s="26">
        <f ca="1"/>
        <v>5.8309037900874633E-2</v>
      </c>
      <c r="BV77" s="26">
        <f ca="1"/>
        <v>0.14250000000000002</v>
      </c>
      <c r="BW77" s="26">
        <f ca="1"/>
        <v>0.16618075801749277</v>
      </c>
      <c r="CB77" s="24">
        <f ca="1"/>
        <v>45658</v>
      </c>
      <c r="CC77" s="20" t="str">
        <f ca="1"/>
        <v>-</v>
      </c>
      <c r="CD77" s="20" t="str">
        <f ca="1"/>
        <v>-</v>
      </c>
    </row>
    <row r="78" spans="2:82" x14ac:dyDescent="0.25">
      <c r="B78" s="27" t="str">
        <f ca="1"/>
        <v>Corinto</v>
      </c>
      <c r="C78" s="27" t="str">
        <f ca="1"/>
        <v>Auxiliar de Limpeza - 75 h</v>
      </c>
      <c r="D78" s="27" t="str">
        <f ca="1"/>
        <v>Curvelo</v>
      </c>
      <c r="E78" s="20" t="str">
        <f ca="1"/>
        <v>Limpeza</v>
      </c>
      <c r="F78" s="20" t="str">
        <f ca="1"/>
        <v>PGJ</v>
      </c>
      <c r="BR78" s="26">
        <f ca="1"/>
        <v>8.8629737609329504E-2</v>
      </c>
      <c r="BS78" s="26">
        <f ca="1"/>
        <v>1.9241982507288629E-2</v>
      </c>
      <c r="BT78" s="26">
        <f ca="1"/>
        <v>0.05</v>
      </c>
      <c r="BU78" s="26">
        <f ca="1"/>
        <v>5.8309037900874633E-2</v>
      </c>
      <c r="BV78" s="26">
        <f ca="1"/>
        <v>0.14250000000000002</v>
      </c>
      <c r="BW78" s="26">
        <f ca="1"/>
        <v>0.16618075801749277</v>
      </c>
      <c r="CB78" s="24">
        <f ca="1"/>
        <v>45658</v>
      </c>
      <c r="CC78" s="20" t="str">
        <f ca="1"/>
        <v>-</v>
      </c>
      <c r="CD78" s="20" t="str">
        <f ca="1"/>
        <v>-</v>
      </c>
    </row>
    <row r="79" spans="2:82" x14ac:dyDescent="0.25">
      <c r="B79" s="27" t="str">
        <f ca="1"/>
        <v>Coromandel</v>
      </c>
      <c r="C79" s="27" t="str">
        <f ca="1"/>
        <v>Auxiliar de Limpeza - 110 h</v>
      </c>
      <c r="D79" s="27" t="str">
        <f ca="1"/>
        <v>Alto Paranaiba</v>
      </c>
      <c r="E79" s="20" t="str">
        <f ca="1"/>
        <v>Limpeza</v>
      </c>
      <c r="F79" s="20" t="str">
        <f ca="1"/>
        <v>PGJ</v>
      </c>
      <c r="BR79" s="26">
        <f ca="1"/>
        <v>8.8629737609329504E-2</v>
      </c>
      <c r="BS79" s="26">
        <f ca="1"/>
        <v>1.9241982507288629E-2</v>
      </c>
      <c r="BT79" s="26">
        <f ca="1"/>
        <v>0.05</v>
      </c>
      <c r="BU79" s="26">
        <f ca="1"/>
        <v>5.8309037900874633E-2</v>
      </c>
      <c r="BV79" s="26">
        <f ca="1"/>
        <v>0.14250000000000002</v>
      </c>
      <c r="BW79" s="26">
        <f ca="1"/>
        <v>0.16618075801749277</v>
      </c>
      <c r="CB79" s="24">
        <f ca="1"/>
        <v>45658</v>
      </c>
      <c r="CC79" s="20" t="str">
        <f ca="1"/>
        <v>-</v>
      </c>
      <c r="CD79" s="20" t="str">
        <f ca="1"/>
        <v>-</v>
      </c>
    </row>
    <row r="80" spans="2:82" x14ac:dyDescent="0.25">
      <c r="B80" s="27" t="str">
        <f ca="1"/>
        <v>Coronel Fabriciano</v>
      </c>
      <c r="C80" s="27" t="str">
        <f ca="1"/>
        <v>Auxiliar de Limpeza - 220 h</v>
      </c>
      <c r="D80" s="27" t="str">
        <f ca="1"/>
        <v>Seethur</v>
      </c>
      <c r="E80" s="20" t="str">
        <f ca="1"/>
        <v>Limpeza</v>
      </c>
      <c r="F80" s="20" t="str">
        <f ca="1"/>
        <v>PGJ</v>
      </c>
      <c r="BR80" s="26">
        <f ca="1"/>
        <v>8.8629737609329504E-2</v>
      </c>
      <c r="BS80" s="26">
        <f ca="1"/>
        <v>1.9241982507288629E-2</v>
      </c>
      <c r="BT80" s="26">
        <f ca="1"/>
        <v>0.05</v>
      </c>
      <c r="BU80" s="26">
        <f ca="1"/>
        <v>5.8309037900874633E-2</v>
      </c>
      <c r="BV80" s="26">
        <f ca="1"/>
        <v>0.14250000000000002</v>
      </c>
      <c r="BW80" s="26">
        <f ca="1"/>
        <v>0.16618075801749277</v>
      </c>
      <c r="CB80" s="24">
        <f ca="1"/>
        <v>45658</v>
      </c>
      <c r="CC80" s="20" t="str">
        <f ca="1"/>
        <v>-</v>
      </c>
      <c r="CD80" s="20" t="str">
        <f ca="1"/>
        <v>-</v>
      </c>
    </row>
    <row r="81" spans="2:82" x14ac:dyDescent="0.25">
      <c r="B81" s="27" t="str">
        <f ca="1"/>
        <v>Cruzilia</v>
      </c>
      <c r="C81" s="27" t="str">
        <f ca="1"/>
        <v>Auxiliar de Limpeza - 75 h</v>
      </c>
      <c r="D81" s="27" t="str">
        <f ca="1"/>
        <v>Regiao de Sao Lourenco</v>
      </c>
      <c r="E81" s="20" t="str">
        <f ca="1"/>
        <v>Limpeza</v>
      </c>
      <c r="F81" s="20" t="str">
        <f ca="1"/>
        <v>PGJ</v>
      </c>
      <c r="BR81" s="26">
        <f ca="1"/>
        <v>8.6609686609686695E-2</v>
      </c>
      <c r="BS81" s="26">
        <f ca="1"/>
        <v>1.880341880341882E-2</v>
      </c>
      <c r="BT81" s="26">
        <f ca="1"/>
        <v>0.03</v>
      </c>
      <c r="BU81" s="26">
        <f ca="1"/>
        <v>3.4188034188034219E-2</v>
      </c>
      <c r="BV81" s="26">
        <f ca="1"/>
        <v>0.1225</v>
      </c>
      <c r="BW81" s="26">
        <f ca="1"/>
        <v>0.13960113960113973</v>
      </c>
      <c r="CB81" s="24">
        <f ca="1"/>
        <v>45658</v>
      </c>
      <c r="CC81" s="20" t="str">
        <f ca="1"/>
        <v>-</v>
      </c>
      <c r="CD81" s="20" t="str">
        <f ca="1"/>
        <v>-</v>
      </c>
    </row>
    <row r="82" spans="2:82" x14ac:dyDescent="0.25">
      <c r="B82" s="27" t="str">
        <f ca="1"/>
        <v>Curvelo</v>
      </c>
      <c r="C82" s="27" t="str">
        <f ca="1"/>
        <v>Auxiliar de Limpeza - 220 h</v>
      </c>
      <c r="D82" s="27" t="str">
        <f ca="1"/>
        <v>Curvelo</v>
      </c>
      <c r="E82" s="20" t="str">
        <f ca="1"/>
        <v>Limpeza</v>
      </c>
      <c r="F82" s="20" t="str">
        <f ca="1"/>
        <v>PGJ</v>
      </c>
      <c r="BR82" s="26">
        <f ca="1"/>
        <v>8.5633802816901458E-2</v>
      </c>
      <c r="BS82" s="26">
        <f ca="1"/>
        <v>1.8591549295774657E-2</v>
      </c>
      <c r="BT82" s="26">
        <f ca="1"/>
        <v>0.02</v>
      </c>
      <c r="BU82" s="26">
        <f ca="1"/>
        <v>2.2535211267605645E-2</v>
      </c>
      <c r="BV82" s="26">
        <f ca="1"/>
        <v>0.1125</v>
      </c>
      <c r="BW82" s="26">
        <f ca="1"/>
        <v>0.12676056338028174</v>
      </c>
      <c r="CB82" s="24">
        <f ca="1"/>
        <v>45658</v>
      </c>
      <c r="CC82" s="20" t="str">
        <f ca="1"/>
        <v>-</v>
      </c>
      <c r="CD82" s="20" t="str">
        <f ca="1"/>
        <v>-</v>
      </c>
    </row>
    <row r="83" spans="2:82" x14ac:dyDescent="0.25">
      <c r="B83" s="27" t="str">
        <f ca="1"/>
        <v>Diamantina</v>
      </c>
      <c r="C83" s="27" t="str">
        <f ca="1"/>
        <v>Auxiliar de Limpeza - 220 h</v>
      </c>
      <c r="D83" s="27" t="str">
        <f ca="1"/>
        <v>Curvelo</v>
      </c>
      <c r="E83" s="20" t="str">
        <f ca="1"/>
        <v>Limpeza</v>
      </c>
      <c r="F83" s="20" t="str">
        <f ca="1"/>
        <v>PGJ</v>
      </c>
      <c r="BR83" s="26">
        <f ca="1"/>
        <v>8.6609686609686695E-2</v>
      </c>
      <c r="BS83" s="26">
        <f ca="1"/>
        <v>1.880341880341882E-2</v>
      </c>
      <c r="BT83" s="26">
        <f ca="1"/>
        <v>0.03</v>
      </c>
      <c r="BU83" s="26">
        <f ca="1"/>
        <v>3.4188034188034219E-2</v>
      </c>
      <c r="BV83" s="26">
        <f ca="1"/>
        <v>0.1225</v>
      </c>
      <c r="BW83" s="26">
        <f ca="1"/>
        <v>0.13960113960113973</v>
      </c>
      <c r="CB83" s="24">
        <f ca="1"/>
        <v>45658</v>
      </c>
      <c r="CC83" s="20" t="str">
        <f ca="1"/>
        <v>-</v>
      </c>
      <c r="CD83" s="20" t="str">
        <f ca="1"/>
        <v>-</v>
      </c>
    </row>
    <row r="84" spans="2:82" x14ac:dyDescent="0.25">
      <c r="B84" s="27" t="str">
        <f ca="1"/>
        <v>Divino</v>
      </c>
      <c r="C84" s="27" t="str">
        <f ca="1"/>
        <v>Auxiliar de Limpeza - 75 h</v>
      </c>
      <c r="D84" s="27" t="str">
        <f ca="1"/>
        <v>Seethur</v>
      </c>
      <c r="E84" s="20" t="str">
        <f ca="1"/>
        <v>Limpeza</v>
      </c>
      <c r="F84" s="20" t="str">
        <f ca="1"/>
        <v>PGJ</v>
      </c>
      <c r="BR84" s="26">
        <f ca="1"/>
        <v>8.8629737609329504E-2</v>
      </c>
      <c r="BS84" s="26">
        <f ca="1"/>
        <v>1.9241982507288629E-2</v>
      </c>
      <c r="BT84" s="26">
        <f ca="1"/>
        <v>0.05</v>
      </c>
      <c r="BU84" s="26">
        <f ca="1"/>
        <v>5.8309037900874633E-2</v>
      </c>
      <c r="BV84" s="26">
        <f ca="1"/>
        <v>0.14250000000000002</v>
      </c>
      <c r="BW84" s="26">
        <f ca="1"/>
        <v>0.16618075801749277</v>
      </c>
      <c r="CB84" s="24">
        <f ca="1"/>
        <v>45658</v>
      </c>
      <c r="CC84" s="20" t="str">
        <f ca="1"/>
        <v>-</v>
      </c>
      <c r="CD84" s="20" t="str">
        <f ca="1"/>
        <v>-</v>
      </c>
    </row>
    <row r="85" spans="2:82" x14ac:dyDescent="0.25">
      <c r="B85" s="27" t="str">
        <f ca="1"/>
        <v>Divinopolis</v>
      </c>
      <c r="C85" s="27" t="str">
        <f ca="1"/>
        <v>Auxiliar de Limpeza - 150 h</v>
      </c>
      <c r="D85" s="27" t="str">
        <f ca="1"/>
        <v>Divinopolis</v>
      </c>
      <c r="E85" s="20" t="str">
        <f ca="1"/>
        <v>Limpeza</v>
      </c>
      <c r="F85" s="20" t="str">
        <f ca="1"/>
        <v>PGJ</v>
      </c>
      <c r="BR85" s="26">
        <f ca="1"/>
        <v>8.6609686609686695E-2</v>
      </c>
      <c r="BS85" s="26">
        <f ca="1"/>
        <v>1.880341880341882E-2</v>
      </c>
      <c r="BT85" s="26">
        <f ca="1"/>
        <v>0.03</v>
      </c>
      <c r="BU85" s="26">
        <f ca="1"/>
        <v>3.4188034188034219E-2</v>
      </c>
      <c r="BV85" s="26">
        <f ca="1"/>
        <v>0.1225</v>
      </c>
      <c r="BW85" s="26">
        <f ca="1"/>
        <v>0.13960113960113973</v>
      </c>
      <c r="CB85" s="24">
        <f ca="1"/>
        <v>45658</v>
      </c>
      <c r="CC85" s="20" t="str">
        <f ca="1"/>
        <v>-</v>
      </c>
      <c r="CD85" s="20" t="str">
        <f ca="1"/>
        <v>-</v>
      </c>
    </row>
    <row r="86" spans="2:82" x14ac:dyDescent="0.25">
      <c r="B86" s="27" t="str">
        <f ca="1"/>
        <v>Divinopolis</v>
      </c>
      <c r="C86" s="27" t="str">
        <f ca="1"/>
        <v>Auxiliar de Limpeza - 220 h</v>
      </c>
      <c r="D86" s="27" t="str">
        <f ca="1"/>
        <v>Divinopolis</v>
      </c>
      <c r="E86" s="20" t="str">
        <f ca="1"/>
        <v>Limpeza</v>
      </c>
      <c r="F86" s="20" t="str">
        <f ca="1"/>
        <v>PGJ</v>
      </c>
      <c r="BR86" s="26">
        <f ca="1"/>
        <v>8.6609686609686695E-2</v>
      </c>
      <c r="BS86" s="26">
        <f ca="1"/>
        <v>1.880341880341882E-2</v>
      </c>
      <c r="BT86" s="26">
        <f ca="1"/>
        <v>0.03</v>
      </c>
      <c r="BU86" s="26">
        <f ca="1"/>
        <v>3.4188034188034219E-2</v>
      </c>
      <c r="BV86" s="26">
        <f ca="1"/>
        <v>0.1225</v>
      </c>
      <c r="BW86" s="26">
        <f ca="1"/>
        <v>0.13960113960113973</v>
      </c>
      <c r="CB86" s="24">
        <f ca="1"/>
        <v>45658</v>
      </c>
      <c r="CC86" s="20" t="str">
        <f ca="1"/>
        <v>-</v>
      </c>
      <c r="CD86" s="20" t="str">
        <f ca="1"/>
        <v>-</v>
      </c>
    </row>
    <row r="87" spans="2:82" x14ac:dyDescent="0.25">
      <c r="B87" s="27" t="str">
        <f ca="1"/>
        <v>Dores do Indaia</v>
      </c>
      <c r="C87" s="27" t="str">
        <f ca="1"/>
        <v>Auxiliar de Limpeza - 75 h</v>
      </c>
      <c r="D87" s="27" t="str">
        <f ca="1"/>
        <v>Regiao de Divinopolis</v>
      </c>
      <c r="E87" s="20" t="str">
        <f ca="1"/>
        <v>Limpeza</v>
      </c>
      <c r="F87" s="20" t="str">
        <f ca="1"/>
        <v>PGJ</v>
      </c>
      <c r="BR87" s="26">
        <f ca="1"/>
        <v>8.5633802816901458E-2</v>
      </c>
      <c r="BS87" s="26">
        <f ca="1"/>
        <v>1.8591549295774657E-2</v>
      </c>
      <c r="BT87" s="26">
        <f ca="1"/>
        <v>0.02</v>
      </c>
      <c r="BU87" s="26">
        <f ca="1"/>
        <v>2.2535211267605645E-2</v>
      </c>
      <c r="BV87" s="26">
        <f ca="1"/>
        <v>0.1125</v>
      </c>
      <c r="BW87" s="26">
        <f ca="1"/>
        <v>0.12676056338028174</v>
      </c>
      <c r="CB87" s="24">
        <f ca="1"/>
        <v>45658</v>
      </c>
      <c r="CC87" s="20" t="str">
        <f ca="1"/>
        <v>-</v>
      </c>
      <c r="CD87" s="20" t="str">
        <f ca="1"/>
        <v>-</v>
      </c>
    </row>
    <row r="88" spans="2:82" x14ac:dyDescent="0.25">
      <c r="B88" s="27" t="str">
        <f ca="1"/>
        <v>Eloi Mendes</v>
      </c>
      <c r="C88" s="27" t="str">
        <f ca="1"/>
        <v>Auxiliar de Limpeza - 75 h</v>
      </c>
      <c r="D88" s="27" t="str">
        <f ca="1"/>
        <v>Regiao de Sao Lourenco</v>
      </c>
      <c r="E88" s="20" t="str">
        <f ca="1"/>
        <v>Limpeza</v>
      </c>
      <c r="F88" s="20" t="str">
        <f ca="1"/>
        <v>PGJ</v>
      </c>
      <c r="BR88" s="26">
        <f ca="1"/>
        <v>8.8629737609329504E-2</v>
      </c>
      <c r="BS88" s="26">
        <f ca="1"/>
        <v>1.9241982507288629E-2</v>
      </c>
      <c r="BT88" s="26">
        <f ca="1"/>
        <v>0.05</v>
      </c>
      <c r="BU88" s="26">
        <f ca="1"/>
        <v>5.8309037900874633E-2</v>
      </c>
      <c r="BV88" s="26">
        <f ca="1"/>
        <v>0.14250000000000002</v>
      </c>
      <c r="BW88" s="26">
        <f ca="1"/>
        <v>0.16618075801749277</v>
      </c>
      <c r="CB88" s="24">
        <f ca="1"/>
        <v>45658</v>
      </c>
      <c r="CC88" s="20" t="str">
        <f ca="1"/>
        <v>-</v>
      </c>
      <c r="CD88" s="20" t="str">
        <f ca="1"/>
        <v>-</v>
      </c>
    </row>
    <row r="89" spans="2:82" x14ac:dyDescent="0.25">
      <c r="B89" s="27" t="str">
        <f ca="1"/>
        <v>Ervalia</v>
      </c>
      <c r="C89" s="27" t="str">
        <f ca="1"/>
        <v>Auxiliar de Limpeza - 75 h</v>
      </c>
      <c r="D89" s="27" t="str">
        <f ca="1"/>
        <v>Vicosa e Regiao</v>
      </c>
      <c r="E89" s="20" t="str">
        <f ca="1"/>
        <v>Limpeza</v>
      </c>
      <c r="F89" s="20" t="str">
        <f ca="1"/>
        <v>PGJ</v>
      </c>
      <c r="BR89" s="26">
        <f ca="1"/>
        <v>8.6609686609686695E-2</v>
      </c>
      <c r="BS89" s="26">
        <f ca="1"/>
        <v>1.880341880341882E-2</v>
      </c>
      <c r="BT89" s="26">
        <f ca="1"/>
        <v>0.03</v>
      </c>
      <c r="BU89" s="26">
        <f ca="1"/>
        <v>3.4188034188034219E-2</v>
      </c>
      <c r="BV89" s="26">
        <f ca="1"/>
        <v>0.1225</v>
      </c>
      <c r="BW89" s="26">
        <f ca="1"/>
        <v>0.13960113960113973</v>
      </c>
      <c r="CB89" s="24">
        <f ca="1"/>
        <v>45658</v>
      </c>
      <c r="CC89" s="20" t="str">
        <f ca="1"/>
        <v>-</v>
      </c>
      <c r="CD89" s="20" t="str">
        <f ca="1"/>
        <v>-</v>
      </c>
    </row>
    <row r="90" spans="2:82" x14ac:dyDescent="0.25">
      <c r="B90" s="27" t="str">
        <f ca="1"/>
        <v>Esmeraldas</v>
      </c>
      <c r="C90" s="27" t="str">
        <f ca="1"/>
        <v>Auxiliar de Limpeza - 110 h</v>
      </c>
      <c r="D90" s="27" t="str">
        <f ca="1"/>
        <v>Fethemg RM</v>
      </c>
      <c r="E90" s="20" t="str">
        <f ca="1"/>
        <v>Limpeza</v>
      </c>
      <c r="F90" s="20" t="str">
        <f ca="1"/>
        <v>PGJ</v>
      </c>
      <c r="BR90" s="26">
        <f ca="1"/>
        <v>8.5633802816901458E-2</v>
      </c>
      <c r="BS90" s="26">
        <f ca="1"/>
        <v>1.8591549295774657E-2</v>
      </c>
      <c r="BT90" s="26">
        <f ca="1"/>
        <v>0.02</v>
      </c>
      <c r="BU90" s="26">
        <f ca="1"/>
        <v>2.2535211267605645E-2</v>
      </c>
      <c r="BV90" s="26">
        <f ca="1"/>
        <v>0.1125</v>
      </c>
      <c r="BW90" s="26">
        <f ca="1"/>
        <v>0.12676056338028174</v>
      </c>
      <c r="CB90" s="24">
        <f ca="1"/>
        <v>45658</v>
      </c>
      <c r="CC90" s="20" t="str">
        <f ca="1"/>
        <v>-</v>
      </c>
      <c r="CD90" s="20" t="str">
        <f ca="1"/>
        <v>-</v>
      </c>
    </row>
    <row r="91" spans="2:82" x14ac:dyDescent="0.25">
      <c r="B91" s="27" t="str">
        <f ca="1"/>
        <v>Espinosa</v>
      </c>
      <c r="C91" s="27" t="str">
        <f ca="1"/>
        <v>Auxiliar de Limpeza - 75 h</v>
      </c>
      <c r="D91" s="27" t="str">
        <f ca="1"/>
        <v>Sethac Norte de Minas</v>
      </c>
      <c r="E91" s="20" t="str">
        <f ca="1"/>
        <v>Limpeza</v>
      </c>
      <c r="F91" s="20" t="str">
        <f ca="1"/>
        <v>PGJ</v>
      </c>
      <c r="BR91" s="26">
        <f ca="1"/>
        <v>8.6609686609686695E-2</v>
      </c>
      <c r="BS91" s="26">
        <f ca="1"/>
        <v>1.880341880341882E-2</v>
      </c>
      <c r="BT91" s="26">
        <f ca="1"/>
        <v>0.03</v>
      </c>
      <c r="BU91" s="26">
        <f ca="1"/>
        <v>3.4188034188034219E-2</v>
      </c>
      <c r="BV91" s="26">
        <f ca="1"/>
        <v>0.1225</v>
      </c>
      <c r="BW91" s="26">
        <f ca="1"/>
        <v>0.13960113960113973</v>
      </c>
      <c r="CB91" s="24">
        <f ca="1"/>
        <v>45658</v>
      </c>
      <c r="CC91" s="20" t="str">
        <f ca="1"/>
        <v>-</v>
      </c>
      <c r="CD91" s="20" t="str">
        <f ca="1"/>
        <v>-</v>
      </c>
    </row>
    <row r="92" spans="2:82" x14ac:dyDescent="0.25">
      <c r="B92" s="27" t="str">
        <f ca="1"/>
        <v>Extrema</v>
      </c>
      <c r="C92" s="27" t="str">
        <f ca="1"/>
        <v>Auxiliar de Limpeza - 220 h</v>
      </c>
      <c r="D92" s="27" t="str">
        <f ca="1"/>
        <v>Regiao de Sao Lourenco</v>
      </c>
      <c r="E92" s="20" t="str">
        <f ca="1"/>
        <v>Limpeza</v>
      </c>
      <c r="F92" s="20" t="str">
        <f ca="1"/>
        <v>PGJ</v>
      </c>
      <c r="BR92" s="26">
        <f ca="1"/>
        <v>8.5633802816901458E-2</v>
      </c>
      <c r="BS92" s="26">
        <f ca="1"/>
        <v>1.8591549295774657E-2</v>
      </c>
      <c r="BT92" s="26">
        <f ca="1"/>
        <v>0.02</v>
      </c>
      <c r="BU92" s="26">
        <f ca="1"/>
        <v>2.2535211267605645E-2</v>
      </c>
      <c r="BV92" s="26">
        <f ca="1"/>
        <v>0.1125</v>
      </c>
      <c r="BW92" s="26">
        <f ca="1"/>
        <v>0.12676056338028174</v>
      </c>
      <c r="CB92" s="24">
        <f ca="1"/>
        <v>45658</v>
      </c>
      <c r="CC92" s="20" t="str">
        <f ca="1"/>
        <v>-</v>
      </c>
      <c r="CD92" s="20" t="str">
        <f ca="1"/>
        <v>-</v>
      </c>
    </row>
    <row r="93" spans="2:82" x14ac:dyDescent="0.25">
      <c r="B93" s="27" t="str">
        <f ca="1"/>
        <v>Formiga</v>
      </c>
      <c r="C93" s="27" t="str">
        <f ca="1"/>
        <v>Auxiliar de Limpeza - 110 h</v>
      </c>
      <c r="D93" s="27" t="str">
        <f ca="1"/>
        <v>Regiao de Sao Lourenco</v>
      </c>
      <c r="E93" s="20" t="str">
        <f ca="1"/>
        <v>Limpeza</v>
      </c>
      <c r="F93" s="20" t="str">
        <f ca="1"/>
        <v>PGJ</v>
      </c>
      <c r="BR93" s="26">
        <f ca="1"/>
        <v>8.5633802816901458E-2</v>
      </c>
      <c r="BS93" s="26">
        <f ca="1"/>
        <v>1.8591549295774657E-2</v>
      </c>
      <c r="BT93" s="26">
        <f ca="1"/>
        <v>0.02</v>
      </c>
      <c r="BU93" s="26">
        <f ca="1"/>
        <v>2.2535211267605645E-2</v>
      </c>
      <c r="BV93" s="26">
        <f ca="1"/>
        <v>0.1125</v>
      </c>
      <c r="BW93" s="26">
        <f ca="1"/>
        <v>0.12676056338028174</v>
      </c>
      <c r="CB93" s="24">
        <f ca="1"/>
        <v>45658</v>
      </c>
      <c r="CC93" s="20" t="str">
        <f ca="1"/>
        <v>-</v>
      </c>
      <c r="CD93" s="20" t="str">
        <f ca="1"/>
        <v>-</v>
      </c>
    </row>
    <row r="94" spans="2:82" x14ac:dyDescent="0.25">
      <c r="B94" s="27" t="str">
        <f ca="1"/>
        <v>Formiga</v>
      </c>
      <c r="C94" s="27" t="str">
        <f ca="1"/>
        <v>Auxiliar de Limpeza - 220 h</v>
      </c>
      <c r="D94" s="27" t="str">
        <f ca="1"/>
        <v>Regiao de Sao Lourenco</v>
      </c>
      <c r="E94" s="20" t="str">
        <f ca="1"/>
        <v>Limpeza</v>
      </c>
      <c r="F94" s="20" t="str">
        <f ca="1"/>
        <v>PGJ</v>
      </c>
      <c r="BR94" s="26">
        <f ca="1"/>
        <v>8.5633802816901458E-2</v>
      </c>
      <c r="BS94" s="26">
        <f ca="1"/>
        <v>1.8591549295774657E-2</v>
      </c>
      <c r="BT94" s="26">
        <f ca="1"/>
        <v>0.02</v>
      </c>
      <c r="BU94" s="26">
        <f ca="1"/>
        <v>2.2535211267605645E-2</v>
      </c>
      <c r="BV94" s="26">
        <f ca="1"/>
        <v>0.1125</v>
      </c>
      <c r="BW94" s="26">
        <f ca="1"/>
        <v>0.12676056338028174</v>
      </c>
      <c r="CB94" s="24">
        <f ca="1"/>
        <v>45658</v>
      </c>
      <c r="CC94" s="20" t="str">
        <f ca="1"/>
        <v>-</v>
      </c>
      <c r="CD94" s="20" t="str">
        <f ca="1"/>
        <v>-</v>
      </c>
    </row>
    <row r="95" spans="2:82" x14ac:dyDescent="0.25">
      <c r="B95" s="27" t="str">
        <f ca="1"/>
        <v>Francisco Sa</v>
      </c>
      <c r="C95" s="27" t="str">
        <f ca="1"/>
        <v>Auxiliar de Limpeza - 220 h</v>
      </c>
      <c r="D95" s="27" t="str">
        <f ca="1"/>
        <v>Sethac Norte de Minas</v>
      </c>
      <c r="E95" s="20" t="str">
        <f ca="1"/>
        <v>Limpeza</v>
      </c>
      <c r="F95" s="20" t="str">
        <f ca="1"/>
        <v>PGJ</v>
      </c>
      <c r="BR95" s="26">
        <f ca="1"/>
        <v>8.5633802816901458E-2</v>
      </c>
      <c r="BS95" s="26">
        <f ca="1"/>
        <v>1.8591549295774657E-2</v>
      </c>
      <c r="BT95" s="26">
        <f ca="1"/>
        <v>0.02</v>
      </c>
      <c r="BU95" s="26">
        <f ca="1"/>
        <v>2.2535211267605645E-2</v>
      </c>
      <c r="BV95" s="26">
        <f ca="1"/>
        <v>0.1125</v>
      </c>
      <c r="BW95" s="26">
        <f ca="1"/>
        <v>0.12676056338028174</v>
      </c>
      <c r="CB95" s="24">
        <f ca="1"/>
        <v>45658</v>
      </c>
      <c r="CC95" s="20" t="str">
        <f ca="1"/>
        <v>-</v>
      </c>
      <c r="CD95" s="20" t="str">
        <f ca="1"/>
        <v>-</v>
      </c>
    </row>
    <row r="96" spans="2:82" x14ac:dyDescent="0.25">
      <c r="B96" s="27" t="str">
        <f ca="1"/>
        <v>Frutal</v>
      </c>
      <c r="C96" s="27" t="str">
        <f ca="1"/>
        <v>Auxiliar de Limpeza - 110 h</v>
      </c>
      <c r="D96" s="27" t="str">
        <f ca="1"/>
        <v>Regiao Uberaba</v>
      </c>
      <c r="E96" s="20" t="str">
        <f ca="1"/>
        <v>Limpeza</v>
      </c>
      <c r="F96" s="20" t="str">
        <f ca="1"/>
        <v>PGJ</v>
      </c>
      <c r="BR96" s="26">
        <f ca="1"/>
        <v>8.5633802816901458E-2</v>
      </c>
      <c r="BS96" s="26">
        <f ca="1"/>
        <v>1.8591549295774657E-2</v>
      </c>
      <c r="BT96" s="26">
        <f ca="1"/>
        <v>0.02</v>
      </c>
      <c r="BU96" s="26">
        <f ca="1"/>
        <v>2.2535211267605645E-2</v>
      </c>
      <c r="BV96" s="26">
        <f ca="1"/>
        <v>0.1125</v>
      </c>
      <c r="BW96" s="26">
        <f ca="1"/>
        <v>0.12676056338028174</v>
      </c>
      <c r="CB96" s="24">
        <f ca="1"/>
        <v>45658</v>
      </c>
      <c r="CC96" s="20" t="str">
        <f ca="1"/>
        <v>-</v>
      </c>
      <c r="CD96" s="20" t="str">
        <f ca="1"/>
        <v>-</v>
      </c>
    </row>
    <row r="97" spans="2:82" x14ac:dyDescent="0.25">
      <c r="B97" s="27" t="str">
        <f ca="1"/>
        <v>Frutal</v>
      </c>
      <c r="C97" s="27" t="str">
        <f ca="1"/>
        <v>Auxiliar de Limpeza - 220 h</v>
      </c>
      <c r="D97" s="27" t="str">
        <f ca="1"/>
        <v>Regiao Uberaba</v>
      </c>
      <c r="E97" s="20" t="str">
        <f ca="1"/>
        <v>Limpeza</v>
      </c>
      <c r="F97" s="20" t="str">
        <f ca="1"/>
        <v>PGJ</v>
      </c>
      <c r="BR97" s="26">
        <f ca="1"/>
        <v>8.5633802816901458E-2</v>
      </c>
      <c r="BS97" s="26">
        <f ca="1"/>
        <v>1.8591549295774657E-2</v>
      </c>
      <c r="BT97" s="26">
        <f ca="1"/>
        <v>0.02</v>
      </c>
      <c r="BU97" s="26">
        <f ca="1"/>
        <v>2.2535211267605645E-2</v>
      </c>
      <c r="BV97" s="26">
        <f ca="1"/>
        <v>0.1125</v>
      </c>
      <c r="BW97" s="26">
        <f ca="1"/>
        <v>0.12676056338028174</v>
      </c>
      <c r="CB97" s="24">
        <f ca="1"/>
        <v>45658</v>
      </c>
      <c r="CC97" s="20" t="str">
        <f ca="1"/>
        <v>-</v>
      </c>
      <c r="CD97" s="20" t="str">
        <f ca="1"/>
        <v>-</v>
      </c>
    </row>
    <row r="98" spans="2:82" x14ac:dyDescent="0.25">
      <c r="B98" s="27" t="str">
        <f ca="1"/>
        <v>Governador Valadares</v>
      </c>
      <c r="C98" s="27" t="str">
        <f ca="1"/>
        <v>Auxiliar de Limpeza - 110 h</v>
      </c>
      <c r="D98" s="27" t="str">
        <f ca="1"/>
        <v>Gov. Valadares</v>
      </c>
      <c r="E98" s="20" t="str">
        <f ca="1"/>
        <v>Limpeza</v>
      </c>
      <c r="F98" s="20" t="str">
        <f ca="1"/>
        <v>PGJ</v>
      </c>
      <c r="BR98" s="26">
        <f ca="1"/>
        <v>8.8629737609329504E-2</v>
      </c>
      <c r="BS98" s="26">
        <f ca="1"/>
        <v>1.9241982507288629E-2</v>
      </c>
      <c r="BT98" s="26">
        <f ca="1"/>
        <v>0.05</v>
      </c>
      <c r="BU98" s="26">
        <f ca="1"/>
        <v>5.8309037900874633E-2</v>
      </c>
      <c r="BV98" s="26">
        <f ca="1"/>
        <v>0.14250000000000002</v>
      </c>
      <c r="BW98" s="26">
        <f ca="1"/>
        <v>0.16618075801749277</v>
      </c>
      <c r="CB98" s="24">
        <f ca="1"/>
        <v>45658</v>
      </c>
      <c r="CC98" s="20" t="str">
        <f ca="1"/>
        <v>-</v>
      </c>
      <c r="CD98" s="20" t="str">
        <f ca="1"/>
        <v>-</v>
      </c>
    </row>
    <row r="99" spans="2:82" x14ac:dyDescent="0.25">
      <c r="B99" s="27" t="str">
        <f ca="1"/>
        <v>Governador Valadares</v>
      </c>
      <c r="C99" s="27" t="str">
        <f ca="1"/>
        <v>Auxiliar de Limpeza - 220 h</v>
      </c>
      <c r="D99" s="27" t="str">
        <f ca="1"/>
        <v>Gov. Valadares</v>
      </c>
      <c r="E99" s="20" t="str">
        <f ca="1"/>
        <v>Limpeza</v>
      </c>
      <c r="F99" s="20" t="str">
        <f ca="1"/>
        <v>PGJ</v>
      </c>
      <c r="BR99" s="26">
        <f ca="1"/>
        <v>8.8629737609329504E-2</v>
      </c>
      <c r="BS99" s="26">
        <f ca="1"/>
        <v>1.9241982507288629E-2</v>
      </c>
      <c r="BT99" s="26">
        <f ca="1"/>
        <v>0.05</v>
      </c>
      <c r="BU99" s="26">
        <f ca="1"/>
        <v>5.8309037900874633E-2</v>
      </c>
      <c r="BV99" s="26">
        <f ca="1"/>
        <v>0.14250000000000002</v>
      </c>
      <c r="BW99" s="26">
        <f ca="1"/>
        <v>0.16618075801749277</v>
      </c>
      <c r="CB99" s="24">
        <f ca="1"/>
        <v>45658</v>
      </c>
      <c r="CC99" s="20" t="str">
        <f ca="1"/>
        <v>-</v>
      </c>
      <c r="CD99" s="20" t="str">
        <f ca="1"/>
        <v>-</v>
      </c>
    </row>
    <row r="100" spans="2:82" x14ac:dyDescent="0.25">
      <c r="B100" s="27" t="str">
        <f ca="1"/>
        <v>Grao Mogol</v>
      </c>
      <c r="C100" s="27" t="str">
        <f ca="1"/>
        <v>Auxiliar de Limpeza - 75 h</v>
      </c>
      <c r="D100" s="27" t="str">
        <f ca="1"/>
        <v>Sethac Norte de Minas</v>
      </c>
      <c r="E100" s="20" t="str">
        <f ca="1"/>
        <v>Limpeza</v>
      </c>
      <c r="F100" s="20" t="str">
        <f ca="1"/>
        <v>PGJ</v>
      </c>
      <c r="BR100" s="26">
        <f ca="1"/>
        <v>8.5633802816901458E-2</v>
      </c>
      <c r="BS100" s="26">
        <f ca="1"/>
        <v>1.8591549295774657E-2</v>
      </c>
      <c r="BT100" s="26">
        <f ca="1"/>
        <v>0.02</v>
      </c>
      <c r="BU100" s="26">
        <f ca="1"/>
        <v>2.2535211267605645E-2</v>
      </c>
      <c r="BV100" s="26">
        <f ca="1"/>
        <v>0.1125</v>
      </c>
      <c r="BW100" s="26">
        <f ca="1"/>
        <v>0.12676056338028174</v>
      </c>
      <c r="CB100" s="24">
        <f ca="1"/>
        <v>45658</v>
      </c>
      <c r="CC100" s="20" t="str">
        <f ca="1"/>
        <v>-</v>
      </c>
      <c r="CD100" s="20" t="str">
        <f ca="1"/>
        <v>-</v>
      </c>
    </row>
    <row r="101" spans="2:82" x14ac:dyDescent="0.25">
      <c r="B101" s="27" t="str">
        <f ca="1"/>
        <v>Guanhaes</v>
      </c>
      <c r="C101" s="27" t="str">
        <f ca="1"/>
        <v>Auxiliar de Limpeza - 150 h</v>
      </c>
      <c r="D101" s="27" t="str">
        <f ca="1"/>
        <v>Seethur</v>
      </c>
      <c r="E101" s="20" t="str">
        <f ca="1"/>
        <v>Limpeza</v>
      </c>
      <c r="F101" s="20" t="str">
        <f ca="1"/>
        <v>PGJ</v>
      </c>
      <c r="BR101" s="26">
        <f ca="1"/>
        <v>8.8629737609329504E-2</v>
      </c>
      <c r="BS101" s="26">
        <f ca="1"/>
        <v>1.9241982507288629E-2</v>
      </c>
      <c r="BT101" s="26">
        <f ca="1"/>
        <v>0.05</v>
      </c>
      <c r="BU101" s="26">
        <f ca="1"/>
        <v>5.8309037900874633E-2</v>
      </c>
      <c r="BV101" s="26">
        <f ca="1"/>
        <v>0.14250000000000002</v>
      </c>
      <c r="BW101" s="26">
        <f ca="1"/>
        <v>0.16618075801749277</v>
      </c>
      <c r="CB101" s="24">
        <f ca="1"/>
        <v>45658</v>
      </c>
      <c r="CC101" s="20" t="str">
        <f ca="1"/>
        <v>-</v>
      </c>
      <c r="CD101" s="20" t="str">
        <f ca="1"/>
        <v>-</v>
      </c>
    </row>
    <row r="102" spans="2:82" x14ac:dyDescent="0.25">
      <c r="B102" s="27" t="str">
        <f ca="1"/>
        <v>Guaranesia</v>
      </c>
      <c r="C102" s="27" t="str">
        <f ca="1"/>
        <v>Auxiliar de Limpeza - 110 h</v>
      </c>
      <c r="D102" s="27" t="str">
        <f ca="1"/>
        <v>Regiao de Sao Lourenco</v>
      </c>
      <c r="E102" s="20" t="str">
        <f ca="1"/>
        <v>Limpeza</v>
      </c>
      <c r="F102" s="20" t="str">
        <f ca="1"/>
        <v>PGJ</v>
      </c>
      <c r="BR102" s="26">
        <f ca="1"/>
        <v>8.5633802816901458E-2</v>
      </c>
      <c r="BS102" s="26">
        <f ca="1"/>
        <v>1.8591549295774657E-2</v>
      </c>
      <c r="BT102" s="26">
        <f ca="1"/>
        <v>0.02</v>
      </c>
      <c r="BU102" s="26">
        <f ca="1"/>
        <v>2.2535211267605645E-2</v>
      </c>
      <c r="BV102" s="26">
        <f ca="1"/>
        <v>0.1125</v>
      </c>
      <c r="BW102" s="26">
        <f ca="1"/>
        <v>0.12676056338028174</v>
      </c>
      <c r="CB102" s="24">
        <f ca="1"/>
        <v>45658</v>
      </c>
      <c r="CC102" s="20" t="str">
        <f ca="1"/>
        <v>-</v>
      </c>
      <c r="CD102" s="20" t="str">
        <f ca="1"/>
        <v>-</v>
      </c>
    </row>
    <row r="103" spans="2:82" x14ac:dyDescent="0.25">
      <c r="B103" s="27" t="str">
        <f ca="1"/>
        <v>Guarani</v>
      </c>
      <c r="C103" s="27" t="str">
        <f ca="1"/>
        <v>Auxiliar de Limpeza - 110 h</v>
      </c>
      <c r="D103" s="27" t="str">
        <f ca="1"/>
        <v>Regiao de Juiz de Fora</v>
      </c>
      <c r="E103" s="20" t="str">
        <f ca="1"/>
        <v>Limpeza</v>
      </c>
      <c r="F103" s="20" t="str">
        <f ca="1"/>
        <v>PGJ</v>
      </c>
      <c r="BR103" s="26">
        <f ca="1"/>
        <v>8.5633802816901458E-2</v>
      </c>
      <c r="BS103" s="26">
        <f ca="1"/>
        <v>1.8591549295774657E-2</v>
      </c>
      <c r="BT103" s="26">
        <f ca="1"/>
        <v>0.02</v>
      </c>
      <c r="BU103" s="26">
        <f ca="1"/>
        <v>2.2535211267605645E-2</v>
      </c>
      <c r="BV103" s="26">
        <f ca="1"/>
        <v>0.1125</v>
      </c>
      <c r="BW103" s="26">
        <f ca="1"/>
        <v>0.12676056338028174</v>
      </c>
      <c r="CB103" s="24">
        <f ca="1"/>
        <v>45658</v>
      </c>
      <c r="CC103" s="20" t="str">
        <f ca="1"/>
        <v>-</v>
      </c>
      <c r="CD103" s="20" t="str">
        <f ca="1"/>
        <v>-</v>
      </c>
    </row>
    <row r="104" spans="2:82" x14ac:dyDescent="0.25">
      <c r="B104" s="27" t="str">
        <f ca="1"/>
        <v>Guaxupe</v>
      </c>
      <c r="C104" s="27" t="str">
        <f ca="1"/>
        <v>Auxiliar de Limpeza - 150 h</v>
      </c>
      <c r="D104" s="27" t="str">
        <f ca="1"/>
        <v>Fethemg Interior</v>
      </c>
      <c r="E104" s="20" t="str">
        <f ca="1"/>
        <v>Limpeza</v>
      </c>
      <c r="F104" s="20" t="str">
        <f ca="1"/>
        <v>PGJ</v>
      </c>
      <c r="BR104" s="26">
        <f ca="1"/>
        <v>8.6118980169971604E-2</v>
      </c>
      <c r="BS104" s="26">
        <f ca="1"/>
        <v>1.8696883852691224E-2</v>
      </c>
      <c r="BT104" s="26">
        <f ca="1"/>
        <v>2.5000000000000001E-2</v>
      </c>
      <c r="BU104" s="26">
        <f ca="1"/>
        <v>2.8328611898017008E-2</v>
      </c>
      <c r="BV104" s="26">
        <f ca="1"/>
        <v>0.11749999999999999</v>
      </c>
      <c r="BW104" s="26">
        <f ca="1"/>
        <v>0.13314447592067982</v>
      </c>
      <c r="CB104" s="24">
        <f ca="1"/>
        <v>45658</v>
      </c>
      <c r="CC104" s="20" t="str">
        <f ca="1"/>
        <v>-</v>
      </c>
      <c r="CD104" s="20" t="str">
        <f ca="1"/>
        <v>-</v>
      </c>
    </row>
    <row r="105" spans="2:82" x14ac:dyDescent="0.25">
      <c r="B105" s="27" t="str">
        <f ca="1"/>
        <v>Ibia</v>
      </c>
      <c r="C105" s="27" t="str">
        <f ca="1"/>
        <v>Auxiliar de Limpeza - 75 h</v>
      </c>
      <c r="D105" s="27" t="str">
        <f ca="1"/>
        <v>Alto Paranaiba</v>
      </c>
      <c r="E105" s="20" t="str">
        <f ca="1"/>
        <v>Limpeza</v>
      </c>
      <c r="F105" s="20" t="str">
        <f ca="1"/>
        <v>PGJ</v>
      </c>
      <c r="BR105" s="26">
        <f ca="1"/>
        <v>8.5633802816901458E-2</v>
      </c>
      <c r="BS105" s="26">
        <f ca="1"/>
        <v>1.8591549295774657E-2</v>
      </c>
      <c r="BT105" s="26">
        <f ca="1"/>
        <v>0.02</v>
      </c>
      <c r="BU105" s="26">
        <f ca="1"/>
        <v>2.2535211267605645E-2</v>
      </c>
      <c r="BV105" s="26">
        <f ca="1"/>
        <v>0.1125</v>
      </c>
      <c r="BW105" s="26">
        <f ca="1"/>
        <v>0.12676056338028174</v>
      </c>
      <c r="CB105" s="24">
        <f ca="1"/>
        <v>45658</v>
      </c>
      <c r="CC105" s="20" t="str">
        <f ca="1"/>
        <v>-</v>
      </c>
      <c r="CD105" s="20" t="str">
        <f ca="1"/>
        <v>-</v>
      </c>
    </row>
    <row r="106" spans="2:82" x14ac:dyDescent="0.25">
      <c r="B106" s="27" t="str">
        <f ca="1"/>
        <v>Ibiraci</v>
      </c>
      <c r="C106" s="27" t="str">
        <f ca="1"/>
        <v>Auxiliar de Limpeza - 75 h</v>
      </c>
      <c r="D106" s="27" t="str">
        <f ca="1"/>
        <v>Fethemg Interior</v>
      </c>
      <c r="E106" s="20" t="str">
        <f ca="1"/>
        <v>Limpeza</v>
      </c>
      <c r="F106" s="20" t="str">
        <f ca="1"/>
        <v>PGJ</v>
      </c>
      <c r="BR106" s="26">
        <f ca="1"/>
        <v>8.6609686609686695E-2</v>
      </c>
      <c r="BS106" s="26">
        <f ca="1"/>
        <v>1.880341880341882E-2</v>
      </c>
      <c r="BT106" s="26">
        <f ca="1"/>
        <v>0.03</v>
      </c>
      <c r="BU106" s="26">
        <f ca="1"/>
        <v>3.4188034188034219E-2</v>
      </c>
      <c r="BV106" s="26">
        <f ca="1"/>
        <v>0.1225</v>
      </c>
      <c r="BW106" s="26">
        <f ca="1"/>
        <v>0.13960113960113973</v>
      </c>
      <c r="CB106" s="24">
        <f ca="1"/>
        <v>45658</v>
      </c>
      <c r="CC106" s="20" t="str">
        <f ca="1"/>
        <v>-</v>
      </c>
      <c r="CD106" s="20" t="str">
        <f ca="1"/>
        <v>-</v>
      </c>
    </row>
    <row r="107" spans="2:82" x14ac:dyDescent="0.25">
      <c r="B107" s="27" t="str">
        <f ca="1"/>
        <v>Ibirite</v>
      </c>
      <c r="C107" s="27" t="str">
        <f ca="1"/>
        <v>Auxiliar de Limpeza - 220 h</v>
      </c>
      <c r="D107" s="27" t="str">
        <f ca="1"/>
        <v>Sind - Asseio</v>
      </c>
      <c r="E107" s="20" t="str">
        <f ca="1"/>
        <v>Limpeza</v>
      </c>
      <c r="F107" s="20" t="str">
        <f ca="1"/>
        <v>PGJ</v>
      </c>
      <c r="BR107" s="26">
        <f ca="1"/>
        <v>8.7608069164265154E-2</v>
      </c>
      <c r="BS107" s="26">
        <f ca="1"/>
        <v>1.9020172910662814E-2</v>
      </c>
      <c r="BT107" s="26">
        <f ca="1"/>
        <v>0.04</v>
      </c>
      <c r="BU107" s="26">
        <f ca="1"/>
        <v>4.6109510086455294E-2</v>
      </c>
      <c r="BV107" s="26">
        <f ca="1"/>
        <v>0.13250000000000001</v>
      </c>
      <c r="BW107" s="26">
        <f ca="1"/>
        <v>0.15273775216138324</v>
      </c>
      <c r="CB107" s="24">
        <f ca="1"/>
        <v>45658</v>
      </c>
      <c r="CC107" s="20" t="str">
        <f ca="1"/>
        <v>-</v>
      </c>
      <c r="CD107" s="20" t="str">
        <f ca="1"/>
        <v>-</v>
      </c>
    </row>
    <row r="108" spans="2:82" x14ac:dyDescent="0.25">
      <c r="B108" s="27" t="str">
        <f ca="1"/>
        <v>Igarape</v>
      </c>
      <c r="C108" s="27" t="str">
        <f ca="1"/>
        <v>Auxiliar de Limpeza - 150 h</v>
      </c>
      <c r="D108" s="27" t="str">
        <f ca="1"/>
        <v>Fethemg RM</v>
      </c>
      <c r="E108" s="20" t="str">
        <f ca="1"/>
        <v>Limpeza</v>
      </c>
      <c r="F108" s="20" t="str">
        <f ca="1"/>
        <v>PGJ</v>
      </c>
      <c r="BR108" s="26">
        <f ca="1"/>
        <v>8.5633802816901458E-2</v>
      </c>
      <c r="BS108" s="26">
        <f ca="1"/>
        <v>1.8591549295774657E-2</v>
      </c>
      <c r="BT108" s="26">
        <f ca="1"/>
        <v>0.02</v>
      </c>
      <c r="BU108" s="26">
        <f ca="1"/>
        <v>2.2535211267605645E-2</v>
      </c>
      <c r="BV108" s="26">
        <f ca="1"/>
        <v>0.1125</v>
      </c>
      <c r="BW108" s="26">
        <f ca="1"/>
        <v>0.12676056338028174</v>
      </c>
      <c r="CB108" s="24">
        <f ca="1"/>
        <v>45658</v>
      </c>
      <c r="CC108" s="20" t="str">
        <f ca="1"/>
        <v>-</v>
      </c>
      <c r="CD108" s="20" t="str">
        <f ca="1"/>
        <v>-</v>
      </c>
    </row>
    <row r="109" spans="2:82" x14ac:dyDescent="0.25">
      <c r="B109" s="27" t="str">
        <f ca="1"/>
        <v>Inhapim</v>
      </c>
      <c r="C109" s="27" t="str">
        <f ca="1"/>
        <v>Auxiliar de Limpeza - 110 h</v>
      </c>
      <c r="D109" s="27" t="str">
        <f ca="1"/>
        <v>Seethur</v>
      </c>
      <c r="E109" s="20" t="str">
        <f ca="1"/>
        <v>Limpeza</v>
      </c>
      <c r="F109" s="20" t="str">
        <f ca="1"/>
        <v>PGJ</v>
      </c>
      <c r="BR109" s="26">
        <f ca="1"/>
        <v>8.8629737609329504E-2</v>
      </c>
      <c r="BS109" s="26">
        <f ca="1"/>
        <v>1.9241982507288629E-2</v>
      </c>
      <c r="BT109" s="26">
        <f ca="1"/>
        <v>0.05</v>
      </c>
      <c r="BU109" s="26">
        <f ca="1"/>
        <v>5.8309037900874633E-2</v>
      </c>
      <c r="BV109" s="26">
        <f ca="1"/>
        <v>0.14250000000000002</v>
      </c>
      <c r="BW109" s="26">
        <f ca="1"/>
        <v>0.16618075801749277</v>
      </c>
      <c r="CB109" s="24">
        <f ca="1"/>
        <v>45658</v>
      </c>
      <c r="CC109" s="20" t="str">
        <f ca="1"/>
        <v>-</v>
      </c>
      <c r="CD109" s="20" t="str">
        <f ca="1"/>
        <v>-</v>
      </c>
    </row>
    <row r="110" spans="2:82" x14ac:dyDescent="0.25">
      <c r="B110" s="27" t="str">
        <f ca="1"/>
        <v>Ipanema</v>
      </c>
      <c r="C110" s="27" t="str">
        <f ca="1"/>
        <v>Auxiliar de Limpeza - 75 h</v>
      </c>
      <c r="D110" s="27" t="str">
        <f ca="1"/>
        <v>Fethemg Interior</v>
      </c>
      <c r="E110" s="20" t="str">
        <f ca="1"/>
        <v>Limpeza</v>
      </c>
      <c r="F110" s="20" t="str">
        <f ca="1"/>
        <v>PGJ</v>
      </c>
      <c r="BR110" s="26">
        <f ca="1"/>
        <v>8.8629737609329504E-2</v>
      </c>
      <c r="BS110" s="26">
        <f ca="1"/>
        <v>1.9241982507288629E-2</v>
      </c>
      <c r="BT110" s="26">
        <f ca="1"/>
        <v>0.05</v>
      </c>
      <c r="BU110" s="26">
        <f ca="1"/>
        <v>5.8309037900874633E-2</v>
      </c>
      <c r="BV110" s="26">
        <f ca="1"/>
        <v>0.14250000000000002</v>
      </c>
      <c r="BW110" s="26">
        <f ca="1"/>
        <v>0.16618075801749277</v>
      </c>
      <c r="CB110" s="24">
        <f ca="1"/>
        <v>45658</v>
      </c>
      <c r="CC110" s="20" t="str">
        <f ca="1"/>
        <v>-</v>
      </c>
      <c r="CD110" s="20" t="str">
        <f ca="1"/>
        <v>-</v>
      </c>
    </row>
    <row r="111" spans="2:82" x14ac:dyDescent="0.25">
      <c r="B111" s="27" t="str">
        <f ca="1"/>
        <v>Ipatinga</v>
      </c>
      <c r="C111" s="27" t="str">
        <f ca="1"/>
        <v>Auxiliar de Limpeza - 110 h</v>
      </c>
      <c r="D111" s="27" t="str">
        <f ca="1"/>
        <v>SECI</v>
      </c>
      <c r="E111" s="20" t="str">
        <f ca="1"/>
        <v>Limpeza</v>
      </c>
      <c r="F111" s="20" t="str">
        <f ca="1"/>
        <v>PGJ</v>
      </c>
      <c r="BR111" s="26">
        <f ca="1"/>
        <v>8.6609686609686695E-2</v>
      </c>
      <c r="BS111" s="26">
        <f ca="1"/>
        <v>1.880341880341882E-2</v>
      </c>
      <c r="BT111" s="26">
        <f ca="1"/>
        <v>0.03</v>
      </c>
      <c r="BU111" s="26">
        <f ca="1"/>
        <v>3.4188034188034219E-2</v>
      </c>
      <c r="BV111" s="26">
        <f ca="1"/>
        <v>0.1225</v>
      </c>
      <c r="BW111" s="26">
        <f ca="1"/>
        <v>0.13960113960113973</v>
      </c>
      <c r="CB111" s="24">
        <f ca="1"/>
        <v>45658</v>
      </c>
      <c r="CC111" s="20" t="str">
        <f ca="1"/>
        <v>-</v>
      </c>
      <c r="CD111" s="20" t="str">
        <f ca="1"/>
        <v>-</v>
      </c>
    </row>
    <row r="112" spans="2:82" x14ac:dyDescent="0.25">
      <c r="B112" s="27" t="str">
        <f ca="1"/>
        <v>Ipatinga</v>
      </c>
      <c r="C112" s="27" t="str">
        <f ca="1"/>
        <v>Auxiliar de Limpeza - 150 h</v>
      </c>
      <c r="D112" s="27" t="str">
        <f ca="1"/>
        <v>SECI</v>
      </c>
      <c r="E112" s="20" t="str">
        <f ca="1"/>
        <v>Limpeza</v>
      </c>
      <c r="F112" s="20" t="str">
        <f ca="1"/>
        <v>PGJ</v>
      </c>
      <c r="BR112" s="26">
        <f ca="1"/>
        <v>8.6609686609686695E-2</v>
      </c>
      <c r="BS112" s="26">
        <f ca="1"/>
        <v>1.880341880341882E-2</v>
      </c>
      <c r="BT112" s="26">
        <f ca="1"/>
        <v>0.03</v>
      </c>
      <c r="BU112" s="26">
        <f ca="1"/>
        <v>3.4188034188034219E-2</v>
      </c>
      <c r="BV112" s="26">
        <f ca="1"/>
        <v>0.1225</v>
      </c>
      <c r="BW112" s="26">
        <f ca="1"/>
        <v>0.13960113960113973</v>
      </c>
      <c r="CB112" s="24">
        <f ca="1"/>
        <v>45658</v>
      </c>
      <c r="CC112" s="20" t="str">
        <f ca="1"/>
        <v>-</v>
      </c>
      <c r="CD112" s="20" t="str">
        <f ca="1"/>
        <v>-</v>
      </c>
    </row>
    <row r="113" spans="2:82" x14ac:dyDescent="0.25">
      <c r="B113" s="27" t="str">
        <f ca="1"/>
        <v>Ipatinga</v>
      </c>
      <c r="C113" s="27" t="str">
        <f ca="1"/>
        <v>Auxiliar de Limpeza - 220 h</v>
      </c>
      <c r="D113" s="27" t="str">
        <f ca="1"/>
        <v>SECI</v>
      </c>
      <c r="E113" s="20" t="str">
        <f ca="1"/>
        <v>Limpeza</v>
      </c>
      <c r="F113" s="20" t="str">
        <f ca="1"/>
        <v>PGJ</v>
      </c>
      <c r="BR113" s="26">
        <f ca="1"/>
        <v>8.6609686609686695E-2</v>
      </c>
      <c r="BS113" s="26">
        <f ca="1"/>
        <v>1.880341880341882E-2</v>
      </c>
      <c r="BT113" s="26">
        <f ca="1"/>
        <v>0.03</v>
      </c>
      <c r="BU113" s="26">
        <f ca="1"/>
        <v>3.4188034188034219E-2</v>
      </c>
      <c r="BV113" s="26">
        <f ca="1"/>
        <v>0.1225</v>
      </c>
      <c r="BW113" s="26">
        <f ca="1"/>
        <v>0.13960113960113973</v>
      </c>
      <c r="CB113" s="24">
        <f ca="1"/>
        <v>45658</v>
      </c>
      <c r="CC113" s="20" t="str">
        <f ca="1"/>
        <v>-</v>
      </c>
      <c r="CD113" s="20" t="str">
        <f ca="1"/>
        <v>-</v>
      </c>
    </row>
    <row r="114" spans="2:82" x14ac:dyDescent="0.25">
      <c r="B114" s="27" t="str">
        <f ca="1"/>
        <v>Itabira</v>
      </c>
      <c r="C114" s="27" t="str">
        <f ca="1"/>
        <v>Auxiliar de Limpeza - 150 h</v>
      </c>
      <c r="D114" s="27" t="str">
        <f ca="1"/>
        <v>Itabira</v>
      </c>
      <c r="E114" s="20" t="str">
        <f ca="1"/>
        <v>Limpeza</v>
      </c>
      <c r="F114" s="20" t="str">
        <f ca="1"/>
        <v>PGJ</v>
      </c>
      <c r="BR114" s="26">
        <f ca="1"/>
        <v>8.6609686609686695E-2</v>
      </c>
      <c r="BS114" s="26">
        <f ca="1"/>
        <v>1.880341880341882E-2</v>
      </c>
      <c r="BT114" s="26">
        <f ca="1"/>
        <v>0.03</v>
      </c>
      <c r="BU114" s="26">
        <f ca="1"/>
        <v>3.4188034188034219E-2</v>
      </c>
      <c r="BV114" s="26">
        <f ca="1"/>
        <v>0.1225</v>
      </c>
      <c r="BW114" s="26">
        <f ca="1"/>
        <v>0.13960113960113973</v>
      </c>
      <c r="CB114" s="24">
        <f ca="1"/>
        <v>45658</v>
      </c>
      <c r="CC114" s="20" t="str">
        <f ca="1"/>
        <v>-</v>
      </c>
      <c r="CD114" s="20" t="str">
        <f ca="1"/>
        <v>-</v>
      </c>
    </row>
    <row r="115" spans="2:82" x14ac:dyDescent="0.25">
      <c r="B115" s="27" t="str">
        <f ca="1"/>
        <v>Itabirito</v>
      </c>
      <c r="C115" s="27" t="str">
        <f ca="1"/>
        <v>Auxiliar de Limpeza - 220 h</v>
      </c>
      <c r="D115" s="27" t="str">
        <f ca="1"/>
        <v>Fethemg Interior</v>
      </c>
      <c r="E115" s="20" t="str">
        <f ca="1"/>
        <v>Limpeza</v>
      </c>
      <c r="F115" s="20" t="str">
        <f ca="1"/>
        <v>PGJ</v>
      </c>
      <c r="BR115" s="26">
        <f ca="1"/>
        <v>8.6609686609686695E-2</v>
      </c>
      <c r="BS115" s="26">
        <f ca="1"/>
        <v>1.880341880341882E-2</v>
      </c>
      <c r="BT115" s="26">
        <f ca="1"/>
        <v>0.03</v>
      </c>
      <c r="BU115" s="26">
        <f ca="1"/>
        <v>3.4188034188034219E-2</v>
      </c>
      <c r="BV115" s="26">
        <f ca="1"/>
        <v>0.1225</v>
      </c>
      <c r="BW115" s="26">
        <f ca="1"/>
        <v>0.13960113960113973</v>
      </c>
      <c r="CB115" s="24">
        <f ca="1"/>
        <v>45658</v>
      </c>
      <c r="CC115" s="20" t="str">
        <f ca="1"/>
        <v>-</v>
      </c>
      <c r="CD115" s="20" t="str">
        <f ca="1"/>
        <v>-</v>
      </c>
    </row>
    <row r="116" spans="2:82" x14ac:dyDescent="0.25">
      <c r="B116" s="27" t="str">
        <f ca="1"/>
        <v>Itaguara</v>
      </c>
      <c r="C116" s="27" t="str">
        <f ca="1"/>
        <v>Auxiliar de Limpeza - 75 h</v>
      </c>
      <c r="D116" s="27" t="str">
        <f ca="1"/>
        <v>Fethemg Interior</v>
      </c>
      <c r="E116" s="20" t="str">
        <f ca="1"/>
        <v>Limpeza</v>
      </c>
      <c r="F116" s="20" t="str">
        <f ca="1"/>
        <v>PGJ</v>
      </c>
      <c r="BR116" s="26">
        <f ca="1"/>
        <v>8.8629737609329504E-2</v>
      </c>
      <c r="BS116" s="26">
        <f ca="1"/>
        <v>1.9241982507288629E-2</v>
      </c>
      <c r="BT116" s="26">
        <f ca="1"/>
        <v>0.05</v>
      </c>
      <c r="BU116" s="26">
        <f ca="1"/>
        <v>5.8309037900874633E-2</v>
      </c>
      <c r="BV116" s="26">
        <f ca="1"/>
        <v>0.14250000000000002</v>
      </c>
      <c r="BW116" s="26">
        <f ca="1"/>
        <v>0.16618075801749277</v>
      </c>
      <c r="CB116" s="24">
        <f ca="1"/>
        <v>45658</v>
      </c>
      <c r="CC116" s="20" t="str">
        <f ca="1"/>
        <v>-</v>
      </c>
      <c r="CD116" s="20" t="str">
        <f ca="1"/>
        <v>-</v>
      </c>
    </row>
    <row r="117" spans="2:82" x14ac:dyDescent="0.25">
      <c r="B117" s="27" t="str">
        <f ca="1"/>
        <v>Itajuba</v>
      </c>
      <c r="C117" s="27" t="str">
        <f ca="1"/>
        <v>Auxiliar de Limpeza - 110 h</v>
      </c>
      <c r="D117" s="27" t="str">
        <f ca="1"/>
        <v>Regiao de Sao Lourenco</v>
      </c>
      <c r="E117" s="20" t="str">
        <f ca="1"/>
        <v>Limpeza</v>
      </c>
      <c r="F117" s="20" t="str">
        <f ca="1"/>
        <v>PGJ</v>
      </c>
      <c r="BR117" s="26">
        <f ca="1"/>
        <v>8.5633802816901458E-2</v>
      </c>
      <c r="BS117" s="26">
        <f ca="1"/>
        <v>1.8591549295774657E-2</v>
      </c>
      <c r="BT117" s="26">
        <f ca="1"/>
        <v>0.02</v>
      </c>
      <c r="BU117" s="26">
        <f ca="1"/>
        <v>2.2535211267605645E-2</v>
      </c>
      <c r="BV117" s="26">
        <f ca="1"/>
        <v>0.1125</v>
      </c>
      <c r="BW117" s="26">
        <f ca="1"/>
        <v>0.12676056338028174</v>
      </c>
      <c r="CB117" s="24">
        <f ca="1"/>
        <v>45658</v>
      </c>
      <c r="CC117" s="20" t="str">
        <f ca="1"/>
        <v>-</v>
      </c>
      <c r="CD117" s="20" t="str">
        <f ca="1"/>
        <v>-</v>
      </c>
    </row>
    <row r="118" spans="2:82" x14ac:dyDescent="0.25">
      <c r="B118" s="27" t="str">
        <f ca="1"/>
        <v>Itajuba</v>
      </c>
      <c r="C118" s="27" t="str">
        <f ca="1"/>
        <v>Auxiliar de Limpeza - 220 h</v>
      </c>
      <c r="D118" s="27" t="str">
        <f ca="1"/>
        <v>Regiao de Sao Lourenco</v>
      </c>
      <c r="E118" s="20" t="str">
        <f ca="1"/>
        <v>Limpeza</v>
      </c>
      <c r="F118" s="20" t="str">
        <f ca="1"/>
        <v>PGJ</v>
      </c>
      <c r="BR118" s="26">
        <f ca="1"/>
        <v>8.5633802816901458E-2</v>
      </c>
      <c r="BS118" s="26">
        <f ca="1"/>
        <v>1.8591549295774657E-2</v>
      </c>
      <c r="BT118" s="26">
        <f ca="1"/>
        <v>0.02</v>
      </c>
      <c r="BU118" s="26">
        <f ca="1"/>
        <v>2.2535211267605645E-2</v>
      </c>
      <c r="BV118" s="26">
        <f ca="1"/>
        <v>0.1125</v>
      </c>
      <c r="BW118" s="26">
        <f ca="1"/>
        <v>0.12676056338028174</v>
      </c>
      <c r="CB118" s="24">
        <f ca="1"/>
        <v>45658</v>
      </c>
      <c r="CC118" s="20" t="str">
        <f ca="1"/>
        <v>-</v>
      </c>
      <c r="CD118" s="20" t="str">
        <f ca="1"/>
        <v>-</v>
      </c>
    </row>
    <row r="119" spans="2:82" x14ac:dyDescent="0.25">
      <c r="B119" s="27" t="str">
        <f ca="1"/>
        <v>Itamarandiba</v>
      </c>
      <c r="C119" s="27" t="str">
        <f ca="1"/>
        <v>Auxiliar de Limpeza - 75 h</v>
      </c>
      <c r="D119" s="27" t="str">
        <f ca="1"/>
        <v>Fethemg Interior</v>
      </c>
      <c r="E119" s="20" t="str">
        <f ca="1"/>
        <v>Limpeza</v>
      </c>
      <c r="F119" s="20" t="str">
        <f ca="1"/>
        <v>PGJ</v>
      </c>
      <c r="BR119" s="26">
        <f ca="1"/>
        <v>8.8629737609329504E-2</v>
      </c>
      <c r="BS119" s="26">
        <f ca="1"/>
        <v>1.9241982507288629E-2</v>
      </c>
      <c r="BT119" s="26">
        <f ca="1"/>
        <v>0.05</v>
      </c>
      <c r="BU119" s="26">
        <f ca="1"/>
        <v>5.8309037900874633E-2</v>
      </c>
      <c r="BV119" s="26">
        <f ca="1"/>
        <v>0.14250000000000002</v>
      </c>
      <c r="BW119" s="26">
        <f ca="1"/>
        <v>0.16618075801749277</v>
      </c>
      <c r="CB119" s="24">
        <f ca="1"/>
        <v>45658</v>
      </c>
      <c r="CC119" s="20" t="str">
        <f ca="1"/>
        <v>-</v>
      </c>
      <c r="CD119" s="20" t="str">
        <f ca="1"/>
        <v>-</v>
      </c>
    </row>
    <row r="120" spans="2:82" x14ac:dyDescent="0.25">
      <c r="B120" s="27" t="str">
        <f ca="1"/>
        <v>Itambacuri</v>
      </c>
      <c r="C120" s="27" t="str">
        <f ca="1"/>
        <v>Auxiliar de Limpeza - 75 h</v>
      </c>
      <c r="D120" s="27" t="str">
        <f ca="1"/>
        <v>Regiao de Teofilo Otoni</v>
      </c>
      <c r="E120" s="20" t="str">
        <f ca="1"/>
        <v>Limpeza</v>
      </c>
      <c r="F120" s="20" t="str">
        <f ca="1"/>
        <v>PGJ</v>
      </c>
      <c r="BR120" s="26">
        <f ca="1"/>
        <v>8.6609686609686695E-2</v>
      </c>
      <c r="BS120" s="26">
        <f ca="1"/>
        <v>1.880341880341882E-2</v>
      </c>
      <c r="BT120" s="26">
        <f ca="1"/>
        <v>0.03</v>
      </c>
      <c r="BU120" s="26">
        <f ca="1"/>
        <v>3.4188034188034219E-2</v>
      </c>
      <c r="BV120" s="26">
        <f ca="1"/>
        <v>0.1225</v>
      </c>
      <c r="BW120" s="26">
        <f ca="1"/>
        <v>0.13960113960113973</v>
      </c>
      <c r="CB120" s="24">
        <f ca="1"/>
        <v>45658</v>
      </c>
      <c r="CC120" s="20" t="str">
        <f ca="1"/>
        <v>-</v>
      </c>
      <c r="CD120" s="20" t="str">
        <f ca="1"/>
        <v>-</v>
      </c>
    </row>
    <row r="121" spans="2:82" x14ac:dyDescent="0.25">
      <c r="B121" s="27" t="str">
        <f ca="1"/>
        <v>Itamonte</v>
      </c>
      <c r="C121" s="27" t="str">
        <f ca="1"/>
        <v>Auxiliar de Limpeza - 75 h</v>
      </c>
      <c r="D121" s="27" t="str">
        <f ca="1"/>
        <v>Regiao de Sao Lourenco</v>
      </c>
      <c r="E121" s="20" t="str">
        <f ca="1"/>
        <v>Limpeza</v>
      </c>
      <c r="F121" s="20" t="str">
        <f ca="1"/>
        <v>PGJ</v>
      </c>
      <c r="BR121" s="26">
        <f ca="1"/>
        <v>8.6609686609686695E-2</v>
      </c>
      <c r="BS121" s="26">
        <f ca="1"/>
        <v>1.880341880341882E-2</v>
      </c>
      <c r="BT121" s="26">
        <f ca="1"/>
        <v>0.03</v>
      </c>
      <c r="BU121" s="26">
        <f ca="1"/>
        <v>3.4188034188034219E-2</v>
      </c>
      <c r="BV121" s="26">
        <f ca="1"/>
        <v>0.1225</v>
      </c>
      <c r="BW121" s="26">
        <f ca="1"/>
        <v>0.13960113960113973</v>
      </c>
      <c r="CB121" s="24">
        <f ca="1"/>
        <v>45658</v>
      </c>
      <c r="CC121" s="20" t="str">
        <f ca="1"/>
        <v>-</v>
      </c>
      <c r="CD121" s="20" t="str">
        <f ca="1"/>
        <v>-</v>
      </c>
    </row>
    <row r="122" spans="2:82" x14ac:dyDescent="0.25">
      <c r="B122" s="27" t="str">
        <f ca="1"/>
        <v>Itapagipe</v>
      </c>
      <c r="C122" s="27" t="str">
        <f ca="1"/>
        <v>Auxiliar de Limpeza - 75 h</v>
      </c>
      <c r="D122" s="27" t="str">
        <f ca="1"/>
        <v>Alto Paranaiba</v>
      </c>
      <c r="E122" s="20" t="str">
        <f ca="1"/>
        <v>Limpeza</v>
      </c>
      <c r="F122" s="20" t="str">
        <f ca="1"/>
        <v>PGJ</v>
      </c>
      <c r="BR122" s="26">
        <f ca="1"/>
        <v>8.8629737609329504E-2</v>
      </c>
      <c r="BS122" s="26">
        <f ca="1"/>
        <v>1.9241982507288629E-2</v>
      </c>
      <c r="BT122" s="26">
        <f ca="1"/>
        <v>0.05</v>
      </c>
      <c r="BU122" s="26">
        <f ca="1"/>
        <v>5.8309037900874633E-2</v>
      </c>
      <c r="BV122" s="26">
        <f ca="1"/>
        <v>0.14250000000000002</v>
      </c>
      <c r="BW122" s="26">
        <f ca="1"/>
        <v>0.16618075801749277</v>
      </c>
      <c r="CB122" s="24">
        <f ca="1"/>
        <v>45658</v>
      </c>
      <c r="CC122" s="20" t="str">
        <f ca="1"/>
        <v>-</v>
      </c>
      <c r="CD122" s="20" t="str">
        <f ca="1"/>
        <v>-</v>
      </c>
    </row>
    <row r="123" spans="2:82" x14ac:dyDescent="0.25">
      <c r="B123" s="27" t="str">
        <f ca="1"/>
        <v>Itapagipe</v>
      </c>
      <c r="C123" s="27" t="str">
        <f ca="1"/>
        <v>Auxiliar de Limpeza - 110 h</v>
      </c>
      <c r="D123" s="27" t="str">
        <f ca="1"/>
        <v>Alto Paranaiba</v>
      </c>
      <c r="E123" s="20" t="str">
        <f ca="1"/>
        <v>Limpeza</v>
      </c>
      <c r="F123" s="20" t="str">
        <f ca="1"/>
        <v>PGJ</v>
      </c>
      <c r="BR123" s="26">
        <f ca="1"/>
        <v>8.8629737609329504E-2</v>
      </c>
      <c r="BS123" s="26">
        <f ca="1"/>
        <v>1.9241982507288629E-2</v>
      </c>
      <c r="BT123" s="26">
        <f ca="1"/>
        <v>0.05</v>
      </c>
      <c r="BU123" s="26">
        <f ca="1"/>
        <v>5.8309037900874633E-2</v>
      </c>
      <c r="BV123" s="26">
        <f ca="1"/>
        <v>0.14250000000000002</v>
      </c>
      <c r="BW123" s="26">
        <f ca="1"/>
        <v>0.16618075801749277</v>
      </c>
      <c r="CB123" s="24">
        <f ca="1"/>
        <v>45658</v>
      </c>
      <c r="CC123" s="20" t="str">
        <f ca="1"/>
        <v>-</v>
      </c>
      <c r="CD123" s="20" t="str">
        <f ca="1"/>
        <v>-</v>
      </c>
    </row>
    <row r="124" spans="2:82" x14ac:dyDescent="0.25">
      <c r="B124" s="27" t="str">
        <f ca="1"/>
        <v>Itapecerica</v>
      </c>
      <c r="C124" s="27" t="str">
        <f ca="1"/>
        <v>Auxiliar de Limpeza - 75 h</v>
      </c>
      <c r="D124" s="27" t="str">
        <f ca="1"/>
        <v>Regiao de Divinopolis</v>
      </c>
      <c r="E124" s="20" t="str">
        <f ca="1"/>
        <v>Limpeza</v>
      </c>
      <c r="F124" s="20" t="str">
        <f ca="1"/>
        <v>PGJ</v>
      </c>
      <c r="BR124" s="26">
        <f ca="1"/>
        <v>8.6609686609686695E-2</v>
      </c>
      <c r="BS124" s="26">
        <f ca="1"/>
        <v>1.880341880341882E-2</v>
      </c>
      <c r="BT124" s="26">
        <f ca="1"/>
        <v>0.03</v>
      </c>
      <c r="BU124" s="26">
        <f ca="1"/>
        <v>3.4188034188034219E-2</v>
      </c>
      <c r="BV124" s="26">
        <f ca="1"/>
        <v>0.1225</v>
      </c>
      <c r="BW124" s="26">
        <f ca="1"/>
        <v>0.13960113960113973</v>
      </c>
      <c r="CB124" s="24">
        <f ca="1"/>
        <v>45658</v>
      </c>
      <c r="CC124" s="20" t="str">
        <f ca="1"/>
        <v>-</v>
      </c>
      <c r="CD124" s="20" t="str">
        <f ca="1"/>
        <v>-</v>
      </c>
    </row>
    <row r="125" spans="2:82" x14ac:dyDescent="0.25">
      <c r="B125" s="27" t="str">
        <f ca="1"/>
        <v>Itauna</v>
      </c>
      <c r="C125" s="27" t="str">
        <f ca="1"/>
        <v>Auxiliar de Limpeza - 220 h</v>
      </c>
      <c r="D125" s="27" t="str">
        <f ca="1"/>
        <v>Fethemg Interior</v>
      </c>
      <c r="E125" s="20" t="str">
        <f ca="1"/>
        <v>Limpeza</v>
      </c>
      <c r="F125" s="20" t="str">
        <f ca="1"/>
        <v>PGJ</v>
      </c>
      <c r="BR125" s="26">
        <f ca="1"/>
        <v>8.5633802816901458E-2</v>
      </c>
      <c r="BS125" s="26">
        <f ca="1"/>
        <v>1.8591549295774657E-2</v>
      </c>
      <c r="BT125" s="26">
        <f ca="1"/>
        <v>0.02</v>
      </c>
      <c r="BU125" s="26">
        <f ca="1"/>
        <v>2.2535211267605645E-2</v>
      </c>
      <c r="BV125" s="26">
        <f ca="1"/>
        <v>0.1125</v>
      </c>
      <c r="BW125" s="26">
        <f ca="1"/>
        <v>0.12676056338028174</v>
      </c>
      <c r="CB125" s="24">
        <f ca="1"/>
        <v>45658</v>
      </c>
      <c r="CC125" s="20" t="str">
        <f ca="1"/>
        <v>-</v>
      </c>
      <c r="CD125" s="20" t="str">
        <f ca="1"/>
        <v>-</v>
      </c>
    </row>
    <row r="126" spans="2:82" x14ac:dyDescent="0.25">
      <c r="B126" s="27" t="str">
        <f ca="1"/>
        <v>Ituiutaba</v>
      </c>
      <c r="C126" s="27" t="str">
        <f ca="1"/>
        <v>Auxiliar de Limpeza - 150 h</v>
      </c>
      <c r="D126" s="27" t="str">
        <f ca="1"/>
        <v>Alto Paranaiba</v>
      </c>
      <c r="E126" s="20" t="str">
        <f ca="1"/>
        <v>Limpeza</v>
      </c>
      <c r="F126" s="20" t="str">
        <f ca="1"/>
        <v>PGJ</v>
      </c>
      <c r="BR126" s="26">
        <f ca="1"/>
        <v>8.7608069164265154E-2</v>
      </c>
      <c r="BS126" s="26">
        <f ca="1"/>
        <v>1.9020172910662814E-2</v>
      </c>
      <c r="BT126" s="26">
        <f ca="1"/>
        <v>0.04</v>
      </c>
      <c r="BU126" s="26">
        <f ca="1"/>
        <v>4.6109510086455294E-2</v>
      </c>
      <c r="BV126" s="26">
        <f ca="1"/>
        <v>0.13250000000000001</v>
      </c>
      <c r="BW126" s="26">
        <f ca="1"/>
        <v>0.15273775216138324</v>
      </c>
      <c r="CB126" s="24">
        <f ca="1"/>
        <v>45658</v>
      </c>
      <c r="CC126" s="20" t="str">
        <f ca="1"/>
        <v>-</v>
      </c>
      <c r="CD126" s="20" t="str">
        <f ca="1"/>
        <v>-</v>
      </c>
    </row>
    <row r="127" spans="2:82" x14ac:dyDescent="0.25">
      <c r="B127" s="27" t="str">
        <f ca="1"/>
        <v>Iturama</v>
      </c>
      <c r="C127" s="27" t="str">
        <f ca="1"/>
        <v>Auxiliar de Limpeza - 110 h</v>
      </c>
      <c r="D127" s="27" t="str">
        <f ca="1"/>
        <v>Alto Paranaiba</v>
      </c>
      <c r="E127" s="20" t="str">
        <f ca="1"/>
        <v>Limpeza</v>
      </c>
      <c r="F127" s="20" t="str">
        <f ca="1"/>
        <v>PGJ</v>
      </c>
      <c r="BR127" s="26">
        <f ca="1"/>
        <v>8.6609686609686695E-2</v>
      </c>
      <c r="BS127" s="26">
        <f ca="1"/>
        <v>1.880341880341882E-2</v>
      </c>
      <c r="BT127" s="26">
        <f ca="1"/>
        <v>0.03</v>
      </c>
      <c r="BU127" s="26">
        <f ca="1"/>
        <v>3.4188034188034219E-2</v>
      </c>
      <c r="BV127" s="26">
        <f ca="1"/>
        <v>0.1225</v>
      </c>
      <c r="BW127" s="26">
        <f ca="1"/>
        <v>0.13960113960113973</v>
      </c>
      <c r="CB127" s="24">
        <f ca="1"/>
        <v>45658</v>
      </c>
      <c r="CC127" s="20" t="str">
        <f ca="1"/>
        <v>-</v>
      </c>
      <c r="CD127" s="20" t="str">
        <f ca="1"/>
        <v>-</v>
      </c>
    </row>
    <row r="128" spans="2:82" x14ac:dyDescent="0.25">
      <c r="B128" s="27" t="str">
        <f ca="1"/>
        <v>Jaboticatubas</v>
      </c>
      <c r="C128" s="27" t="str">
        <f ca="1"/>
        <v>Auxiliar de Limpeza - 75 h</v>
      </c>
      <c r="D128" s="27" t="str">
        <f ca="1"/>
        <v>Fethemg Interior</v>
      </c>
      <c r="E128" s="20" t="str">
        <f ca="1"/>
        <v>Limpeza</v>
      </c>
      <c r="F128" s="20" t="str">
        <f ca="1"/>
        <v>PGJ</v>
      </c>
      <c r="BR128" s="26">
        <f ca="1"/>
        <v>8.7608069164265154E-2</v>
      </c>
      <c r="BS128" s="26">
        <f ca="1"/>
        <v>1.9020172910662814E-2</v>
      </c>
      <c r="BT128" s="26">
        <f ca="1"/>
        <v>0.04</v>
      </c>
      <c r="BU128" s="26">
        <f ca="1"/>
        <v>4.6109510086455294E-2</v>
      </c>
      <c r="BV128" s="26">
        <f ca="1"/>
        <v>0.13250000000000001</v>
      </c>
      <c r="BW128" s="26">
        <f ca="1"/>
        <v>0.15273775216138324</v>
      </c>
      <c r="CB128" s="24">
        <f ca="1"/>
        <v>45658</v>
      </c>
      <c r="CC128" s="20" t="str">
        <f ca="1"/>
        <v>-</v>
      </c>
      <c r="CD128" s="20" t="str">
        <f ca="1"/>
        <v>-</v>
      </c>
    </row>
    <row r="129" spans="2:82" x14ac:dyDescent="0.25">
      <c r="B129" s="27" t="str">
        <f ca="1"/>
        <v>Jacinto</v>
      </c>
      <c r="C129" s="27" t="str">
        <f ca="1"/>
        <v>Auxiliar de Limpeza - 75 h</v>
      </c>
      <c r="D129" s="27" t="str">
        <f ca="1"/>
        <v>Fethemg Interior</v>
      </c>
      <c r="E129" s="20" t="str">
        <f ca="1"/>
        <v>Limpeza</v>
      </c>
      <c r="F129" s="20" t="str">
        <f ca="1"/>
        <v>PGJ</v>
      </c>
      <c r="BR129" s="26">
        <f ca="1"/>
        <v>8.6609686609686695E-2</v>
      </c>
      <c r="BS129" s="26">
        <f ca="1"/>
        <v>1.880341880341882E-2</v>
      </c>
      <c r="BT129" s="26">
        <f ca="1"/>
        <v>0.03</v>
      </c>
      <c r="BU129" s="26">
        <f ca="1"/>
        <v>3.4188034188034219E-2</v>
      </c>
      <c r="BV129" s="26">
        <f ca="1"/>
        <v>0.1225</v>
      </c>
      <c r="BW129" s="26">
        <f ca="1"/>
        <v>0.13960113960113973</v>
      </c>
      <c r="CB129" s="24">
        <f ca="1"/>
        <v>45658</v>
      </c>
      <c r="CC129" s="20" t="str">
        <f ca="1"/>
        <v>-</v>
      </c>
      <c r="CD129" s="20" t="str">
        <f ca="1"/>
        <v>-</v>
      </c>
    </row>
    <row r="130" spans="2:82" x14ac:dyDescent="0.25">
      <c r="B130" s="27" t="str">
        <f ca="1"/>
        <v>Janauba</v>
      </c>
      <c r="C130" s="27" t="str">
        <f ca="1"/>
        <v>Auxiliar de Limpeza - 220 h</v>
      </c>
      <c r="D130" s="27" t="str">
        <f ca="1"/>
        <v>Sethac Norte de Minas</v>
      </c>
      <c r="E130" s="20" t="str">
        <f ca="1"/>
        <v>Limpeza</v>
      </c>
      <c r="F130" s="20" t="str">
        <f ca="1"/>
        <v>PGJ</v>
      </c>
      <c r="BR130" s="26">
        <f ca="1"/>
        <v>8.7608069164265154E-2</v>
      </c>
      <c r="BS130" s="26">
        <f ca="1"/>
        <v>1.9020172910662814E-2</v>
      </c>
      <c r="BT130" s="26">
        <f ca="1"/>
        <v>0.04</v>
      </c>
      <c r="BU130" s="26">
        <f ca="1"/>
        <v>4.6109510086455294E-2</v>
      </c>
      <c r="BV130" s="26">
        <f ca="1"/>
        <v>0.13250000000000001</v>
      </c>
      <c r="BW130" s="26">
        <f ca="1"/>
        <v>0.15273775216138324</v>
      </c>
      <c r="CB130" s="24">
        <f ca="1"/>
        <v>45658</v>
      </c>
      <c r="CC130" s="20" t="str">
        <f ca="1"/>
        <v>-</v>
      </c>
      <c r="CD130" s="20" t="str">
        <f ca="1"/>
        <v>-</v>
      </c>
    </row>
    <row r="131" spans="2:82" x14ac:dyDescent="0.25">
      <c r="B131" s="27" t="str">
        <f ca="1"/>
        <v>Januaria</v>
      </c>
      <c r="C131" s="27" t="str">
        <f ca="1"/>
        <v>Auxiliar de Limpeza - 220 h</v>
      </c>
      <c r="D131" s="27" t="str">
        <f ca="1"/>
        <v>Sethac Norte de Minas</v>
      </c>
      <c r="E131" s="20" t="str">
        <f ca="1"/>
        <v>Limpeza</v>
      </c>
      <c r="F131" s="20" t="str">
        <f ca="1"/>
        <v>PGJ</v>
      </c>
      <c r="BR131" s="26">
        <f ca="1"/>
        <v>8.6609686609686695E-2</v>
      </c>
      <c r="BS131" s="26">
        <f ca="1"/>
        <v>1.880341880341882E-2</v>
      </c>
      <c r="BT131" s="26">
        <f ca="1"/>
        <v>0.03</v>
      </c>
      <c r="BU131" s="26">
        <f ca="1"/>
        <v>3.4188034188034219E-2</v>
      </c>
      <c r="BV131" s="26">
        <f ca="1"/>
        <v>0.1225</v>
      </c>
      <c r="BW131" s="26">
        <f ca="1"/>
        <v>0.13960113960113973</v>
      </c>
      <c r="CB131" s="24">
        <f ca="1"/>
        <v>45658</v>
      </c>
      <c r="CC131" s="20" t="str">
        <f ca="1"/>
        <v>-</v>
      </c>
      <c r="CD131" s="20" t="str">
        <f ca="1"/>
        <v>-</v>
      </c>
    </row>
    <row r="132" spans="2:82" x14ac:dyDescent="0.25">
      <c r="B132" s="27" t="str">
        <f ca="1"/>
        <v>Jequitinhonha</v>
      </c>
      <c r="C132" s="27" t="str">
        <f ca="1"/>
        <v>Auxiliar de Limpeza - 75 h</v>
      </c>
      <c r="D132" s="27" t="str">
        <f ca="1"/>
        <v>Regiao de Teofilo Otoni</v>
      </c>
      <c r="E132" s="20" t="str">
        <f ca="1"/>
        <v>Limpeza</v>
      </c>
      <c r="F132" s="20" t="str">
        <f ca="1"/>
        <v>PGJ</v>
      </c>
      <c r="BR132" s="26">
        <f ca="1"/>
        <v>8.8629737609329504E-2</v>
      </c>
      <c r="BS132" s="26">
        <f ca="1"/>
        <v>1.9241982507288629E-2</v>
      </c>
      <c r="BT132" s="26">
        <f ca="1"/>
        <v>0.05</v>
      </c>
      <c r="BU132" s="26">
        <f ca="1"/>
        <v>5.8309037900874633E-2</v>
      </c>
      <c r="BV132" s="26">
        <f ca="1"/>
        <v>0.14250000000000002</v>
      </c>
      <c r="BW132" s="26">
        <f ca="1"/>
        <v>0.16618075801749277</v>
      </c>
      <c r="CB132" s="24">
        <f ca="1"/>
        <v>45658</v>
      </c>
      <c r="CC132" s="20" t="str">
        <f ca="1"/>
        <v>-</v>
      </c>
      <c r="CD132" s="20" t="str">
        <f ca="1"/>
        <v>-</v>
      </c>
    </row>
    <row r="133" spans="2:82" x14ac:dyDescent="0.25">
      <c r="B133" s="27" t="str">
        <f ca="1"/>
        <v>Joao Monlevade</v>
      </c>
      <c r="C133" s="27" t="str">
        <f ca="1"/>
        <v>Auxiliar de Limpeza - 75 h</v>
      </c>
      <c r="D133" s="27" t="str">
        <f ca="1"/>
        <v>Joao Monlevade</v>
      </c>
      <c r="E133" s="20" t="str">
        <f ca="1"/>
        <v>Limpeza</v>
      </c>
      <c r="F133" s="20" t="str">
        <f ca="1"/>
        <v>PGJ</v>
      </c>
      <c r="BR133" s="26">
        <f ca="1"/>
        <v>8.8629737609329504E-2</v>
      </c>
      <c r="BS133" s="26">
        <f ca="1"/>
        <v>1.9241982507288629E-2</v>
      </c>
      <c r="BT133" s="26">
        <f ca="1"/>
        <v>0.05</v>
      </c>
      <c r="BU133" s="26">
        <f ca="1"/>
        <v>5.8309037900874633E-2</v>
      </c>
      <c r="BV133" s="26">
        <f ca="1"/>
        <v>0.14250000000000002</v>
      </c>
      <c r="BW133" s="26">
        <f ca="1"/>
        <v>0.16618075801749277</v>
      </c>
      <c r="CB133" s="24">
        <f ca="1"/>
        <v>45658</v>
      </c>
      <c r="CC133" s="20" t="str">
        <f ca="1"/>
        <v>-</v>
      </c>
      <c r="CD133" s="20" t="str">
        <f ca="1"/>
        <v>-</v>
      </c>
    </row>
    <row r="134" spans="2:82" x14ac:dyDescent="0.25">
      <c r="B134" s="27" t="str">
        <f ca="1"/>
        <v>Joao Monlevade</v>
      </c>
      <c r="C134" s="27" t="str">
        <f ca="1"/>
        <v>Auxiliar de Limpeza - 220 h</v>
      </c>
      <c r="D134" s="27" t="str">
        <f ca="1"/>
        <v>Joao Monlevade</v>
      </c>
      <c r="E134" s="20" t="str">
        <f ca="1"/>
        <v>Limpeza</v>
      </c>
      <c r="F134" s="20" t="str">
        <f ca="1"/>
        <v>PGJ</v>
      </c>
      <c r="BR134" s="26">
        <f ca="1"/>
        <v>8.8629737609329504E-2</v>
      </c>
      <c r="BS134" s="26">
        <f ca="1"/>
        <v>1.9241982507288629E-2</v>
      </c>
      <c r="BT134" s="26">
        <f ca="1"/>
        <v>0.05</v>
      </c>
      <c r="BU134" s="26">
        <f ca="1"/>
        <v>5.8309037900874633E-2</v>
      </c>
      <c r="BV134" s="26">
        <f ca="1"/>
        <v>0.14250000000000002</v>
      </c>
      <c r="BW134" s="26">
        <f ca="1"/>
        <v>0.16618075801749277</v>
      </c>
      <c r="CB134" s="24">
        <f ca="1"/>
        <v>45658</v>
      </c>
      <c r="CC134" s="20" t="str">
        <f ca="1"/>
        <v>-</v>
      </c>
      <c r="CD134" s="20" t="str">
        <f ca="1"/>
        <v>-</v>
      </c>
    </row>
    <row r="135" spans="2:82" x14ac:dyDescent="0.25">
      <c r="B135" s="27" t="str">
        <f ca="1"/>
        <v>Joao Pinheiro</v>
      </c>
      <c r="C135" s="27" t="str">
        <f ca="1"/>
        <v>Auxiliar de Limpeza - 220 h</v>
      </c>
      <c r="D135" s="27" t="str">
        <f ca="1"/>
        <v>Fethemg Interior</v>
      </c>
      <c r="E135" s="20" t="str">
        <f ca="1"/>
        <v>Limpeza</v>
      </c>
      <c r="F135" s="20" t="str">
        <f ca="1"/>
        <v>PGJ</v>
      </c>
      <c r="BR135" s="26">
        <f ca="1"/>
        <v>8.6609686609686695E-2</v>
      </c>
      <c r="BS135" s="26">
        <f ca="1"/>
        <v>1.880341880341882E-2</v>
      </c>
      <c r="BT135" s="26">
        <f ca="1"/>
        <v>0.03</v>
      </c>
      <c r="BU135" s="26">
        <f ca="1"/>
        <v>3.4188034188034219E-2</v>
      </c>
      <c r="BV135" s="26">
        <f ca="1"/>
        <v>0.1225</v>
      </c>
      <c r="BW135" s="26">
        <f ca="1"/>
        <v>0.13960113960113973</v>
      </c>
      <c r="CB135" s="24">
        <f ca="1"/>
        <v>45658</v>
      </c>
      <c r="CC135" s="20" t="str">
        <f ca="1"/>
        <v>-</v>
      </c>
      <c r="CD135" s="20" t="str">
        <f ca="1"/>
        <v>-</v>
      </c>
    </row>
    <row r="136" spans="2:82" x14ac:dyDescent="0.25">
      <c r="B136" s="27" t="str">
        <f ca="1"/>
        <v>Juiz de Fora</v>
      </c>
      <c r="C136" s="27" t="str">
        <f ca="1"/>
        <v>Auxiliar de Limpeza - 110 h</v>
      </c>
      <c r="D136" s="27" t="str">
        <f ca="1"/>
        <v>Juiz de Fora</v>
      </c>
      <c r="E136" s="20" t="str">
        <f ca="1"/>
        <v>Limpeza</v>
      </c>
      <c r="F136" s="20" t="str">
        <f ca="1"/>
        <v>PGJ</v>
      </c>
      <c r="BR136" s="26">
        <f ca="1"/>
        <v>8.6609686609686695E-2</v>
      </c>
      <c r="BS136" s="26">
        <f ca="1"/>
        <v>1.880341880341882E-2</v>
      </c>
      <c r="BT136" s="26">
        <f ca="1"/>
        <v>0.03</v>
      </c>
      <c r="BU136" s="26">
        <f ca="1"/>
        <v>3.4188034188034219E-2</v>
      </c>
      <c r="BV136" s="26">
        <f ca="1"/>
        <v>0.1225</v>
      </c>
      <c r="BW136" s="26">
        <f ca="1"/>
        <v>0.13960113960113973</v>
      </c>
      <c r="CB136" s="24">
        <f ca="1"/>
        <v>45658</v>
      </c>
      <c r="CC136" s="20" t="str">
        <f ca="1"/>
        <v>-</v>
      </c>
      <c r="CD136" s="20" t="str">
        <f ca="1"/>
        <v>-</v>
      </c>
    </row>
    <row r="137" spans="2:82" x14ac:dyDescent="0.25">
      <c r="B137" s="27" t="str">
        <f ca="1"/>
        <v>Juiz de Fora</v>
      </c>
      <c r="C137" s="27" t="str">
        <f ca="1"/>
        <v>Auxiliar de Limpeza - 220 h</v>
      </c>
      <c r="D137" s="27" t="str">
        <f ca="1"/>
        <v>Juiz de Fora</v>
      </c>
      <c r="E137" s="20" t="str">
        <f ca="1"/>
        <v>Limpeza</v>
      </c>
      <c r="F137" s="20" t="str">
        <f ca="1"/>
        <v>PGJ</v>
      </c>
      <c r="BR137" s="26">
        <f ca="1"/>
        <v>8.6609686609686695E-2</v>
      </c>
      <c r="BS137" s="26">
        <f ca="1"/>
        <v>1.880341880341882E-2</v>
      </c>
      <c r="BT137" s="26">
        <f ca="1"/>
        <v>0.03</v>
      </c>
      <c r="BU137" s="26">
        <f ca="1"/>
        <v>3.4188034188034219E-2</v>
      </c>
      <c r="BV137" s="26">
        <f ca="1"/>
        <v>0.1225</v>
      </c>
      <c r="BW137" s="26">
        <f ca="1"/>
        <v>0.13960113960113973</v>
      </c>
      <c r="CB137" s="24">
        <f ca="1"/>
        <v>45658</v>
      </c>
      <c r="CC137" s="20" t="str">
        <f ca="1"/>
        <v>-</v>
      </c>
      <c r="CD137" s="20" t="str">
        <f ca="1"/>
        <v>-</v>
      </c>
    </row>
    <row r="138" spans="2:82" x14ac:dyDescent="0.25">
      <c r="B138" s="27" t="str">
        <f ca="1"/>
        <v>Lagoa da Prata</v>
      </c>
      <c r="C138" s="27" t="str">
        <f ca="1"/>
        <v>Auxiliar de Limpeza - 150 h</v>
      </c>
      <c r="D138" s="27" t="str">
        <f ca="1"/>
        <v>Regiao de Divinopolis</v>
      </c>
      <c r="E138" s="20" t="str">
        <f ca="1"/>
        <v>Limpeza</v>
      </c>
      <c r="F138" s="20" t="str">
        <f ca="1"/>
        <v>PGJ</v>
      </c>
      <c r="BR138" s="26">
        <f ca="1"/>
        <v>8.6609686609686695E-2</v>
      </c>
      <c r="BS138" s="26">
        <f ca="1"/>
        <v>1.880341880341882E-2</v>
      </c>
      <c r="BT138" s="26">
        <f ca="1"/>
        <v>0.03</v>
      </c>
      <c r="BU138" s="26">
        <f ca="1"/>
        <v>3.4188034188034219E-2</v>
      </c>
      <c r="BV138" s="26">
        <f ca="1"/>
        <v>0.1225</v>
      </c>
      <c r="BW138" s="26">
        <f ca="1"/>
        <v>0.13960113960113973</v>
      </c>
      <c r="CB138" s="24">
        <f ca="1"/>
        <v>45658</v>
      </c>
      <c r="CC138" s="20" t="str">
        <f ca="1"/>
        <v>-</v>
      </c>
      <c r="CD138" s="20" t="str">
        <f ca="1"/>
        <v>-</v>
      </c>
    </row>
    <row r="139" spans="2:82" x14ac:dyDescent="0.25">
      <c r="B139" s="27" t="str">
        <f ca="1"/>
        <v>Lagoa Santa</v>
      </c>
      <c r="C139" s="27" t="str">
        <f ca="1"/>
        <v>Auxiliar de Limpeza - 220 h</v>
      </c>
      <c r="D139" s="27" t="str">
        <f ca="1"/>
        <v>Sind - Asseio</v>
      </c>
      <c r="E139" s="20" t="str">
        <f ca="1"/>
        <v>Limpeza</v>
      </c>
      <c r="F139" s="20" t="str">
        <f ca="1"/>
        <v>PGJ</v>
      </c>
      <c r="BR139" s="26">
        <f ca="1"/>
        <v>8.8629737609329504E-2</v>
      </c>
      <c r="BS139" s="26">
        <f ca="1"/>
        <v>1.9241982507288629E-2</v>
      </c>
      <c r="BT139" s="26">
        <f ca="1"/>
        <v>0.05</v>
      </c>
      <c r="BU139" s="26">
        <f ca="1"/>
        <v>5.8309037900874633E-2</v>
      </c>
      <c r="BV139" s="26">
        <f ca="1"/>
        <v>0.14250000000000002</v>
      </c>
      <c r="BW139" s="26">
        <f ca="1"/>
        <v>0.16618075801749277</v>
      </c>
      <c r="CB139" s="24">
        <f ca="1"/>
        <v>45658</v>
      </c>
      <c r="CC139" s="20" t="str">
        <f ca="1"/>
        <v>-</v>
      </c>
      <c r="CD139" s="20" t="str">
        <f ca="1"/>
        <v>-</v>
      </c>
    </row>
    <row r="140" spans="2:82" x14ac:dyDescent="0.25">
      <c r="B140" s="27" t="str">
        <f ca="1"/>
        <v>Lambari</v>
      </c>
      <c r="C140" s="27" t="str">
        <f ca="1"/>
        <v>Auxiliar de Limpeza - 75 h</v>
      </c>
      <c r="D140" s="27" t="str">
        <f ca="1"/>
        <v>Regiao de Sao Lourenco</v>
      </c>
      <c r="E140" s="20" t="str">
        <f ca="1"/>
        <v>Limpeza</v>
      </c>
      <c r="F140" s="20" t="str">
        <f ca="1"/>
        <v>PGJ</v>
      </c>
      <c r="BR140" s="26">
        <f ca="1"/>
        <v>8.6609686609686695E-2</v>
      </c>
      <c r="BS140" s="26">
        <f ca="1"/>
        <v>1.880341880341882E-2</v>
      </c>
      <c r="BT140" s="26">
        <f ca="1"/>
        <v>0.03</v>
      </c>
      <c r="BU140" s="26">
        <f ca="1"/>
        <v>3.4188034188034219E-2</v>
      </c>
      <c r="BV140" s="26">
        <f ca="1"/>
        <v>0.1225</v>
      </c>
      <c r="BW140" s="26">
        <f ca="1"/>
        <v>0.13960113960113973</v>
      </c>
      <c r="CB140" s="24">
        <f ca="1"/>
        <v>45658</v>
      </c>
      <c r="CC140" s="20" t="str">
        <f ca="1"/>
        <v>-</v>
      </c>
      <c r="CD140" s="20" t="str">
        <f ca="1"/>
        <v>-</v>
      </c>
    </row>
    <row r="141" spans="2:82" x14ac:dyDescent="0.25">
      <c r="B141" s="27" t="str">
        <f ca="1"/>
        <v>Lavras</v>
      </c>
      <c r="C141" s="27" t="str">
        <f ca="1"/>
        <v>Auxiliar de Limpeza - 110 h</v>
      </c>
      <c r="D141" s="27" t="str">
        <f ca="1"/>
        <v>Regiao de Sao Lourenco</v>
      </c>
      <c r="E141" s="20" t="str">
        <f ca="1"/>
        <v>Limpeza</v>
      </c>
      <c r="F141" s="20" t="str">
        <f ca="1"/>
        <v>PGJ</v>
      </c>
      <c r="BR141" s="26">
        <f ca="1"/>
        <v>8.6609686609686695E-2</v>
      </c>
      <c r="BS141" s="26">
        <f ca="1"/>
        <v>1.880341880341882E-2</v>
      </c>
      <c r="BT141" s="26">
        <f ca="1"/>
        <v>0.03</v>
      </c>
      <c r="BU141" s="26">
        <f ca="1"/>
        <v>3.4188034188034219E-2</v>
      </c>
      <c r="BV141" s="26">
        <f ca="1"/>
        <v>0.1225</v>
      </c>
      <c r="BW141" s="26">
        <f ca="1"/>
        <v>0.13960113960113973</v>
      </c>
      <c r="CB141" s="24">
        <f ca="1"/>
        <v>45658</v>
      </c>
      <c r="CC141" s="20" t="str">
        <f ca="1"/>
        <v>-</v>
      </c>
      <c r="CD141" s="20" t="str">
        <f ca="1"/>
        <v>-</v>
      </c>
    </row>
    <row r="142" spans="2:82" x14ac:dyDescent="0.25">
      <c r="B142" s="27" t="str">
        <f ca="1"/>
        <v>Lavras</v>
      </c>
      <c r="C142" s="27" t="str">
        <f ca="1"/>
        <v>Auxiliar de Limpeza - 220 h</v>
      </c>
      <c r="D142" s="27" t="str">
        <f ca="1"/>
        <v>Regiao de Sao Lourenco</v>
      </c>
      <c r="E142" s="20" t="str">
        <f ca="1"/>
        <v>Limpeza</v>
      </c>
      <c r="F142" s="20" t="str">
        <f ca="1"/>
        <v>PGJ</v>
      </c>
      <c r="BR142" s="26">
        <f ca="1"/>
        <v>8.6609686609686695E-2</v>
      </c>
      <c r="BS142" s="26">
        <f ca="1"/>
        <v>1.880341880341882E-2</v>
      </c>
      <c r="BT142" s="26">
        <f ca="1"/>
        <v>0.03</v>
      </c>
      <c r="BU142" s="26">
        <f ca="1"/>
        <v>3.4188034188034219E-2</v>
      </c>
      <c r="BV142" s="26">
        <f ca="1"/>
        <v>0.1225</v>
      </c>
      <c r="BW142" s="26">
        <f ca="1"/>
        <v>0.13960113960113973</v>
      </c>
      <c r="CB142" s="24">
        <f ca="1"/>
        <v>45658</v>
      </c>
      <c r="CC142" s="20" t="str">
        <f ca="1"/>
        <v>-</v>
      </c>
      <c r="CD142" s="20" t="str">
        <f ca="1"/>
        <v>-</v>
      </c>
    </row>
    <row r="143" spans="2:82" x14ac:dyDescent="0.25">
      <c r="B143" s="27" t="str">
        <f ca="1"/>
        <v>Luz</v>
      </c>
      <c r="C143" s="27" t="str">
        <f ca="1"/>
        <v>Auxiliar de Limpeza - 75 h</v>
      </c>
      <c r="D143" s="27" t="str">
        <f ca="1"/>
        <v>Regiao de Divinopolis</v>
      </c>
      <c r="E143" s="20" t="str">
        <f ca="1"/>
        <v>Limpeza</v>
      </c>
      <c r="F143" s="20" t="str">
        <f ca="1"/>
        <v>PGJ</v>
      </c>
      <c r="BR143" s="26">
        <f ca="1"/>
        <v>8.6609686609686695E-2</v>
      </c>
      <c r="BS143" s="26">
        <f ca="1"/>
        <v>1.880341880341882E-2</v>
      </c>
      <c r="BT143" s="26">
        <f ca="1"/>
        <v>0.03</v>
      </c>
      <c r="BU143" s="26">
        <f ca="1"/>
        <v>3.4188034188034219E-2</v>
      </c>
      <c r="BV143" s="26">
        <f ca="1"/>
        <v>0.1225</v>
      </c>
      <c r="BW143" s="26">
        <f ca="1"/>
        <v>0.13960113960113973</v>
      </c>
      <c r="CB143" s="24">
        <f ca="1"/>
        <v>45658</v>
      </c>
      <c r="CC143" s="20" t="str">
        <f ca="1"/>
        <v>-</v>
      </c>
      <c r="CD143" s="20" t="str">
        <f ca="1"/>
        <v>-</v>
      </c>
    </row>
    <row r="144" spans="2:82" x14ac:dyDescent="0.25">
      <c r="B144" s="27" t="str">
        <f ca="1"/>
        <v>Machado</v>
      </c>
      <c r="C144" s="27" t="str">
        <f ca="1"/>
        <v>Auxiliar de Limpeza - 220 h</v>
      </c>
      <c r="D144" s="27" t="str">
        <f ca="1"/>
        <v>Regiao de Sao Lourenco</v>
      </c>
      <c r="E144" s="20" t="str">
        <f ca="1"/>
        <v>Limpeza</v>
      </c>
      <c r="F144" s="20" t="str">
        <f ca="1"/>
        <v>PGJ</v>
      </c>
      <c r="BR144" s="26">
        <f ca="1"/>
        <v>8.8629737609329504E-2</v>
      </c>
      <c r="BS144" s="26">
        <f ca="1"/>
        <v>1.9241982507288629E-2</v>
      </c>
      <c r="BT144" s="26">
        <f ca="1"/>
        <v>0.05</v>
      </c>
      <c r="BU144" s="26">
        <f ca="1"/>
        <v>5.8309037900874633E-2</v>
      </c>
      <c r="BV144" s="26">
        <f ca="1"/>
        <v>0.14250000000000002</v>
      </c>
      <c r="BW144" s="26">
        <f ca="1"/>
        <v>0.16618075801749277</v>
      </c>
      <c r="CB144" s="24">
        <f ca="1"/>
        <v>45658</v>
      </c>
      <c r="CC144" s="20" t="str">
        <f ca="1"/>
        <v>-</v>
      </c>
      <c r="CD144" s="20" t="str">
        <f ca="1"/>
        <v>-</v>
      </c>
    </row>
    <row r="145" spans="2:82" x14ac:dyDescent="0.25">
      <c r="B145" s="27" t="str">
        <f ca="1"/>
        <v>Malacacheta</v>
      </c>
      <c r="C145" s="27" t="str">
        <f ca="1"/>
        <v>Auxiliar de Limpeza - 75 h</v>
      </c>
      <c r="D145" s="27" t="str">
        <f ca="1"/>
        <v>Regiao de Teofilo Otoni</v>
      </c>
      <c r="E145" s="20" t="str">
        <f ca="1"/>
        <v>Limpeza</v>
      </c>
      <c r="F145" s="20" t="str">
        <f ca="1"/>
        <v>PGJ</v>
      </c>
      <c r="BR145" s="26">
        <f ca="1"/>
        <v>8.6609686609686695E-2</v>
      </c>
      <c r="BS145" s="26">
        <f ca="1"/>
        <v>1.880341880341882E-2</v>
      </c>
      <c r="BT145" s="26">
        <f ca="1"/>
        <v>0.03</v>
      </c>
      <c r="BU145" s="26">
        <f ca="1"/>
        <v>3.4188034188034219E-2</v>
      </c>
      <c r="BV145" s="26">
        <f ca="1"/>
        <v>0.1225</v>
      </c>
      <c r="BW145" s="26">
        <f ca="1"/>
        <v>0.13960113960113973</v>
      </c>
      <c r="CB145" s="24">
        <f ca="1"/>
        <v>45658</v>
      </c>
      <c r="CC145" s="20" t="str">
        <f ca="1"/>
        <v>-</v>
      </c>
      <c r="CD145" s="20" t="str">
        <f ca="1"/>
        <v>-</v>
      </c>
    </row>
    <row r="146" spans="2:82" x14ac:dyDescent="0.25">
      <c r="B146" s="27" t="str">
        <f ca="1"/>
        <v>Manga</v>
      </c>
      <c r="C146" s="27" t="str">
        <f ca="1"/>
        <v>Auxiliar de Limpeza - 220 h</v>
      </c>
      <c r="D146" s="27" t="str">
        <f ca="1"/>
        <v>Sethac Norte de Minas</v>
      </c>
      <c r="E146" s="20" t="str">
        <f ca="1"/>
        <v>Limpeza</v>
      </c>
      <c r="F146" s="20" t="str">
        <f ca="1"/>
        <v>PGJ</v>
      </c>
      <c r="BR146" s="26">
        <f ca="1"/>
        <v>8.8629737609329504E-2</v>
      </c>
      <c r="BS146" s="26">
        <f ca="1"/>
        <v>1.9241982507288629E-2</v>
      </c>
      <c r="BT146" s="26">
        <f ca="1"/>
        <v>0.05</v>
      </c>
      <c r="BU146" s="26">
        <f ca="1"/>
        <v>5.8309037900874633E-2</v>
      </c>
      <c r="BV146" s="26">
        <f ca="1"/>
        <v>0.14250000000000002</v>
      </c>
      <c r="BW146" s="26">
        <f ca="1"/>
        <v>0.16618075801749277</v>
      </c>
      <c r="CB146" s="24">
        <f ca="1"/>
        <v>45658</v>
      </c>
      <c r="CC146" s="20" t="str">
        <f ca="1"/>
        <v>-</v>
      </c>
      <c r="CD146" s="20" t="str">
        <f ca="1"/>
        <v>-</v>
      </c>
    </row>
    <row r="147" spans="2:82" x14ac:dyDescent="0.25">
      <c r="B147" s="27" t="str">
        <f ca="1"/>
        <v>Manhuacu</v>
      </c>
      <c r="C147" s="27" t="str">
        <f ca="1"/>
        <v>Auxiliar de Limpeza - 220 h</v>
      </c>
      <c r="D147" s="27" t="str">
        <f ca="1"/>
        <v>Regiao de Juiz de Fora</v>
      </c>
      <c r="E147" s="20" t="str">
        <f ca="1"/>
        <v>Limpeza</v>
      </c>
      <c r="F147" s="20" t="str">
        <f ca="1"/>
        <v>PGJ</v>
      </c>
      <c r="BR147" s="26">
        <f ca="1"/>
        <v>8.6609686609686695E-2</v>
      </c>
      <c r="BS147" s="26">
        <f ca="1"/>
        <v>1.880341880341882E-2</v>
      </c>
      <c r="BT147" s="26">
        <f ca="1"/>
        <v>0.03</v>
      </c>
      <c r="BU147" s="26">
        <f ca="1"/>
        <v>3.4188034188034219E-2</v>
      </c>
      <c r="BV147" s="26">
        <f ca="1"/>
        <v>0.1225</v>
      </c>
      <c r="BW147" s="26">
        <f ca="1"/>
        <v>0.13960113960113973</v>
      </c>
      <c r="CB147" s="24">
        <f ca="1"/>
        <v>45658</v>
      </c>
      <c r="CC147" s="20" t="str">
        <f ca="1"/>
        <v>-</v>
      </c>
      <c r="CD147" s="20" t="str">
        <f ca="1"/>
        <v>-</v>
      </c>
    </row>
    <row r="148" spans="2:82" x14ac:dyDescent="0.25">
      <c r="B148" s="27" t="str">
        <f ca="1"/>
        <v>Manhumirim</v>
      </c>
      <c r="C148" s="27" t="str">
        <f ca="1"/>
        <v>Auxiliar de Limpeza - 110 h</v>
      </c>
      <c r="D148" s="27" t="str">
        <f ca="1"/>
        <v>Regiao de Ouro Preto</v>
      </c>
      <c r="E148" s="20" t="str">
        <f ca="1"/>
        <v>Limpeza</v>
      </c>
      <c r="F148" s="20" t="str">
        <f ca="1"/>
        <v>PGJ</v>
      </c>
      <c r="BR148" s="26">
        <f ca="1"/>
        <v>8.6609686609686695E-2</v>
      </c>
      <c r="BS148" s="26">
        <f ca="1"/>
        <v>1.880341880341882E-2</v>
      </c>
      <c r="BT148" s="26">
        <f ca="1"/>
        <v>0.03</v>
      </c>
      <c r="BU148" s="26">
        <f ca="1"/>
        <v>3.4188034188034219E-2</v>
      </c>
      <c r="BV148" s="26">
        <f ca="1"/>
        <v>0.1225</v>
      </c>
      <c r="BW148" s="26">
        <f ca="1"/>
        <v>0.13960113960113973</v>
      </c>
      <c r="CB148" s="24">
        <f ca="1"/>
        <v>45658</v>
      </c>
      <c r="CC148" s="20" t="str">
        <f ca="1"/>
        <v>-</v>
      </c>
      <c r="CD148" s="20" t="str">
        <f ca="1"/>
        <v>-</v>
      </c>
    </row>
    <row r="149" spans="2:82" x14ac:dyDescent="0.25">
      <c r="B149" s="27" t="str">
        <f ca="1"/>
        <v>Mantena</v>
      </c>
      <c r="C149" s="27" t="str">
        <f ca="1"/>
        <v>Auxiliar de Limpeza - 75 h</v>
      </c>
      <c r="D149" s="27" t="str">
        <f ca="1"/>
        <v>Fethemg Interior</v>
      </c>
      <c r="E149" s="20" t="str">
        <f ca="1"/>
        <v>Limpeza</v>
      </c>
      <c r="F149" s="20" t="str">
        <f ca="1"/>
        <v>PGJ</v>
      </c>
      <c r="BR149" s="26">
        <f ca="1"/>
        <v>8.6609686609686695E-2</v>
      </c>
      <c r="BS149" s="26">
        <f ca="1"/>
        <v>1.880341880341882E-2</v>
      </c>
      <c r="BT149" s="26">
        <f ca="1"/>
        <v>0.03</v>
      </c>
      <c r="BU149" s="26">
        <f ca="1"/>
        <v>3.4188034188034219E-2</v>
      </c>
      <c r="BV149" s="26">
        <f ca="1"/>
        <v>0.1225</v>
      </c>
      <c r="BW149" s="26">
        <f ca="1"/>
        <v>0.13960113960113973</v>
      </c>
      <c r="CB149" s="24">
        <f ca="1"/>
        <v>45658</v>
      </c>
      <c r="CC149" s="20" t="str">
        <f ca="1"/>
        <v>-</v>
      </c>
      <c r="CD149" s="20" t="str">
        <f ca="1"/>
        <v>-</v>
      </c>
    </row>
    <row r="150" spans="2:82" x14ac:dyDescent="0.25">
      <c r="B150" s="27" t="str">
        <f ca="1"/>
        <v>Mariana</v>
      </c>
      <c r="C150" s="27" t="str">
        <f ca="1"/>
        <v>Auxiliar de Limpeza - 110 h</v>
      </c>
      <c r="D150" s="27" t="str">
        <f ca="1"/>
        <v>Regiao de Ouro Preto</v>
      </c>
      <c r="E150" s="20" t="str">
        <f ca="1"/>
        <v>Limpeza</v>
      </c>
      <c r="F150" s="20" t="str">
        <f ca="1"/>
        <v>PGJ</v>
      </c>
      <c r="BR150" s="26">
        <f ca="1"/>
        <v>8.6609686609686695E-2</v>
      </c>
      <c r="BS150" s="26">
        <f ca="1"/>
        <v>1.880341880341882E-2</v>
      </c>
      <c r="BT150" s="26">
        <f ca="1"/>
        <v>0.03</v>
      </c>
      <c r="BU150" s="26">
        <f ca="1"/>
        <v>3.4188034188034219E-2</v>
      </c>
      <c r="BV150" s="26">
        <f ca="1"/>
        <v>0.1225</v>
      </c>
      <c r="BW150" s="26">
        <f ca="1"/>
        <v>0.13960113960113973</v>
      </c>
      <c r="CB150" s="24">
        <f ca="1"/>
        <v>45658</v>
      </c>
      <c r="CC150" s="20" t="str">
        <f ca="1"/>
        <v>-</v>
      </c>
      <c r="CD150" s="20" t="str">
        <f ca="1"/>
        <v>-</v>
      </c>
    </row>
    <row r="151" spans="2:82" x14ac:dyDescent="0.25">
      <c r="B151" s="27" t="str">
        <f ca="1"/>
        <v>Martinho Campos</v>
      </c>
      <c r="C151" s="27" t="str">
        <f ca="1"/>
        <v>Auxiliar de Limpeza - 75 h</v>
      </c>
      <c r="D151" s="27" t="str">
        <f ca="1"/>
        <v>Regiao de Divinopolis</v>
      </c>
      <c r="E151" s="20" t="str">
        <f ca="1"/>
        <v>Limpeza</v>
      </c>
      <c r="F151" s="20" t="str">
        <f ca="1"/>
        <v>PGJ</v>
      </c>
      <c r="BR151" s="26">
        <f ca="1"/>
        <v>8.8629737609329504E-2</v>
      </c>
      <c r="BS151" s="26">
        <f ca="1"/>
        <v>1.9241982507288629E-2</v>
      </c>
      <c r="BT151" s="26">
        <f ca="1"/>
        <v>0.05</v>
      </c>
      <c r="BU151" s="26">
        <f ca="1"/>
        <v>5.8309037900874633E-2</v>
      </c>
      <c r="BV151" s="26">
        <f ca="1"/>
        <v>0.14250000000000002</v>
      </c>
      <c r="BW151" s="26">
        <f ca="1"/>
        <v>0.16618075801749277</v>
      </c>
      <c r="CB151" s="24">
        <f ca="1"/>
        <v>45658</v>
      </c>
      <c r="CC151" s="20" t="str">
        <f ca="1"/>
        <v>-</v>
      </c>
      <c r="CD151" s="20" t="str">
        <f ca="1"/>
        <v>-</v>
      </c>
    </row>
    <row r="152" spans="2:82" x14ac:dyDescent="0.25">
      <c r="B152" s="27" t="str">
        <f ca="1"/>
        <v>Mateus Leme</v>
      </c>
      <c r="C152" s="27" t="str">
        <f ca="1"/>
        <v>Auxiliar de Limpeza - 110 h</v>
      </c>
      <c r="D152" s="27" t="str">
        <f ca="1"/>
        <v>Sind - Asseio</v>
      </c>
      <c r="E152" s="20" t="str">
        <f ca="1"/>
        <v>Limpeza</v>
      </c>
      <c r="F152" s="20" t="str">
        <f ca="1"/>
        <v>PGJ</v>
      </c>
      <c r="BR152" s="26">
        <f ca="1"/>
        <v>8.6609686609686695E-2</v>
      </c>
      <c r="BS152" s="26">
        <f ca="1"/>
        <v>1.880341880341882E-2</v>
      </c>
      <c r="BT152" s="26">
        <f ca="1"/>
        <v>0.03</v>
      </c>
      <c r="BU152" s="26">
        <f ca="1"/>
        <v>3.4188034188034219E-2</v>
      </c>
      <c r="BV152" s="26">
        <f ca="1"/>
        <v>0.1225</v>
      </c>
      <c r="BW152" s="26">
        <f ca="1"/>
        <v>0.13960113960113973</v>
      </c>
      <c r="CB152" s="24">
        <f ca="1"/>
        <v>45658</v>
      </c>
      <c r="CC152" s="20" t="str">
        <f ca="1"/>
        <v>-</v>
      </c>
      <c r="CD152" s="20" t="str">
        <f ca="1"/>
        <v>-</v>
      </c>
    </row>
    <row r="153" spans="2:82" x14ac:dyDescent="0.25">
      <c r="B153" s="27" t="str">
        <f ca="1"/>
        <v>Matias Barbosa</v>
      </c>
      <c r="C153" s="27" t="str">
        <f ca="1"/>
        <v>Auxiliar de Limpeza - 75 h</v>
      </c>
      <c r="D153" s="27" t="str">
        <f ca="1"/>
        <v>Regiao de Juiz de Fora</v>
      </c>
      <c r="E153" s="20" t="str">
        <f ca="1"/>
        <v>Limpeza</v>
      </c>
      <c r="F153" s="20" t="str">
        <f ca="1"/>
        <v>PGJ</v>
      </c>
      <c r="BR153" s="26">
        <f ca="1"/>
        <v>8.5633802816901458E-2</v>
      </c>
      <c r="BS153" s="26">
        <f ca="1"/>
        <v>1.8591549295774657E-2</v>
      </c>
      <c r="BT153" s="26">
        <f ca="1"/>
        <v>0.02</v>
      </c>
      <c r="BU153" s="26">
        <f ca="1"/>
        <v>2.2535211267605645E-2</v>
      </c>
      <c r="BV153" s="26">
        <f ca="1"/>
        <v>0.1125</v>
      </c>
      <c r="BW153" s="26">
        <f ca="1"/>
        <v>0.12676056338028174</v>
      </c>
      <c r="CB153" s="24">
        <f ca="1"/>
        <v>45658</v>
      </c>
      <c r="CC153" s="20" t="str">
        <f ca="1"/>
        <v>-</v>
      </c>
      <c r="CD153" s="20" t="str">
        <f ca="1"/>
        <v>-</v>
      </c>
    </row>
    <row r="154" spans="2:82" x14ac:dyDescent="0.25">
      <c r="B154" s="27" t="str">
        <f ca="1"/>
        <v>Matozinhos</v>
      </c>
      <c r="C154" s="27" t="str">
        <f ca="1"/>
        <v>Auxiliar de Limpeza - 220 h</v>
      </c>
      <c r="D154" s="27" t="str">
        <f ca="1"/>
        <v>Sind - Asseio</v>
      </c>
      <c r="E154" s="20" t="str">
        <f ca="1"/>
        <v>Limpeza</v>
      </c>
      <c r="F154" s="20" t="str">
        <f ca="1"/>
        <v>PGJ</v>
      </c>
      <c r="BR154" s="26">
        <f ca="1"/>
        <v>8.5633802816901458E-2</v>
      </c>
      <c r="BS154" s="26">
        <f ca="1"/>
        <v>1.8591549295774657E-2</v>
      </c>
      <c r="BT154" s="26">
        <f ca="1"/>
        <v>0.02</v>
      </c>
      <c r="BU154" s="26">
        <f ca="1"/>
        <v>2.2535211267605645E-2</v>
      </c>
      <c r="BV154" s="26">
        <f ca="1"/>
        <v>0.1125</v>
      </c>
      <c r="BW154" s="26">
        <f ca="1"/>
        <v>0.12676056338028174</v>
      </c>
      <c r="CB154" s="24">
        <f ca="1"/>
        <v>45658</v>
      </c>
      <c r="CC154" s="20" t="str">
        <f ca="1"/>
        <v>-</v>
      </c>
      <c r="CD154" s="20" t="str">
        <f ca="1"/>
        <v>-</v>
      </c>
    </row>
    <row r="155" spans="2:82" x14ac:dyDescent="0.25">
      <c r="B155" s="27" t="str">
        <f ca="1"/>
        <v>Minas Novas</v>
      </c>
      <c r="C155" s="27" t="str">
        <f ca="1"/>
        <v>Auxiliar de Limpeza - 75 h</v>
      </c>
      <c r="D155" s="27" t="str">
        <f ca="1"/>
        <v>Fethemg Interior</v>
      </c>
      <c r="E155" s="20" t="str">
        <f ca="1"/>
        <v>Limpeza</v>
      </c>
      <c r="F155" s="20" t="str">
        <f ca="1"/>
        <v>PGJ</v>
      </c>
      <c r="BR155" s="26">
        <f ca="1"/>
        <v>8.6609686609686695E-2</v>
      </c>
      <c r="BS155" s="26">
        <f ca="1"/>
        <v>1.880341880341882E-2</v>
      </c>
      <c r="BT155" s="26">
        <f ca="1"/>
        <v>0.03</v>
      </c>
      <c r="BU155" s="26">
        <f ca="1"/>
        <v>3.4188034188034219E-2</v>
      </c>
      <c r="BV155" s="26">
        <f ca="1"/>
        <v>0.1225</v>
      </c>
      <c r="BW155" s="26">
        <f ca="1"/>
        <v>0.13960113960113973</v>
      </c>
      <c r="CB155" s="24">
        <f ca="1"/>
        <v>45658</v>
      </c>
      <c r="CC155" s="20" t="str">
        <f ca="1"/>
        <v>-</v>
      </c>
      <c r="CD155" s="20" t="str">
        <f ca="1"/>
        <v>-</v>
      </c>
    </row>
    <row r="156" spans="2:82" x14ac:dyDescent="0.25">
      <c r="B156" s="27" t="str">
        <f ca="1"/>
        <v>Miradouro</v>
      </c>
      <c r="C156" s="27" t="str">
        <f ca="1"/>
        <v>Auxiliar de Limpeza - 75 h</v>
      </c>
      <c r="D156" s="27" t="str">
        <f ca="1"/>
        <v>Regiao de Juiz de Fora</v>
      </c>
      <c r="E156" s="20" t="str">
        <f ca="1"/>
        <v>Limpeza</v>
      </c>
      <c r="F156" s="20" t="str">
        <f ca="1"/>
        <v>PGJ</v>
      </c>
      <c r="BR156" s="26">
        <f ca="1"/>
        <v>8.8629737609329504E-2</v>
      </c>
      <c r="BS156" s="26">
        <f ca="1"/>
        <v>1.9241982507288629E-2</v>
      </c>
      <c r="BT156" s="26">
        <f ca="1"/>
        <v>0.05</v>
      </c>
      <c r="BU156" s="26">
        <f ca="1"/>
        <v>5.8309037900874633E-2</v>
      </c>
      <c r="BV156" s="26">
        <f ca="1"/>
        <v>0.14250000000000002</v>
      </c>
      <c r="BW156" s="26">
        <f ca="1"/>
        <v>0.16618075801749277</v>
      </c>
      <c r="CB156" s="24">
        <f ca="1"/>
        <v>45658</v>
      </c>
      <c r="CC156" s="20" t="str">
        <f ca="1"/>
        <v>-</v>
      </c>
      <c r="CD156" s="20" t="str">
        <f ca="1"/>
        <v>-</v>
      </c>
    </row>
    <row r="157" spans="2:82" x14ac:dyDescent="0.25">
      <c r="B157" s="27" t="str">
        <f ca="1"/>
        <v>Mirai</v>
      </c>
      <c r="C157" s="27" t="str">
        <f ca="1"/>
        <v>Auxiliar de Limpeza - 75 h</v>
      </c>
      <c r="D157" s="27" t="str">
        <f ca="1"/>
        <v>Regiao de Juiz de Fora</v>
      </c>
      <c r="E157" s="20" t="str">
        <f ca="1"/>
        <v>Limpeza</v>
      </c>
      <c r="F157" s="20" t="str">
        <f ca="1"/>
        <v>PGJ</v>
      </c>
      <c r="BR157" s="26">
        <f ca="1"/>
        <v>8.6609686609686695E-2</v>
      </c>
      <c r="BS157" s="26">
        <f ca="1"/>
        <v>1.880341880341882E-2</v>
      </c>
      <c r="BT157" s="26">
        <f ca="1"/>
        <v>0.03</v>
      </c>
      <c r="BU157" s="26">
        <f ca="1"/>
        <v>3.4188034188034219E-2</v>
      </c>
      <c r="BV157" s="26">
        <f ca="1"/>
        <v>0.1225</v>
      </c>
      <c r="BW157" s="26">
        <f ca="1"/>
        <v>0.13960113960113973</v>
      </c>
      <c r="CB157" s="24">
        <f ca="1"/>
        <v>45658</v>
      </c>
      <c r="CC157" s="20" t="str">
        <f ca="1"/>
        <v>-</v>
      </c>
      <c r="CD157" s="20" t="str">
        <f ca="1"/>
        <v>-</v>
      </c>
    </row>
    <row r="158" spans="2:82" x14ac:dyDescent="0.25">
      <c r="B158" s="27" t="str">
        <f ca="1"/>
        <v>Monte Azul</v>
      </c>
      <c r="C158" s="27" t="str">
        <f ca="1"/>
        <v>Auxiliar de Limpeza - 75 h</v>
      </c>
      <c r="D158" s="27" t="str">
        <f ca="1"/>
        <v>Sethac Norte de Minas</v>
      </c>
      <c r="E158" s="20" t="str">
        <f ca="1"/>
        <v>Limpeza</v>
      </c>
      <c r="F158" s="20" t="str">
        <f ca="1"/>
        <v>PGJ</v>
      </c>
      <c r="BR158" s="26">
        <f ca="1"/>
        <v>8.6609686609686695E-2</v>
      </c>
      <c r="BS158" s="26">
        <f ca="1"/>
        <v>1.880341880341882E-2</v>
      </c>
      <c r="BT158" s="26">
        <f ca="1"/>
        <v>0.03</v>
      </c>
      <c r="BU158" s="26">
        <f ca="1"/>
        <v>3.4188034188034219E-2</v>
      </c>
      <c r="BV158" s="26">
        <f ca="1"/>
        <v>0.1225</v>
      </c>
      <c r="BW158" s="26">
        <f ca="1"/>
        <v>0.13960113960113973</v>
      </c>
      <c r="CB158" s="24">
        <f ca="1"/>
        <v>45658</v>
      </c>
      <c r="CC158" s="20" t="str">
        <f ca="1"/>
        <v>-</v>
      </c>
      <c r="CD158" s="20" t="str">
        <f ca="1"/>
        <v>-</v>
      </c>
    </row>
    <row r="159" spans="2:82" x14ac:dyDescent="0.25">
      <c r="B159" s="27" t="str">
        <f ca="1"/>
        <v>Monte Belo</v>
      </c>
      <c r="C159" s="27" t="str">
        <f ca="1"/>
        <v>Auxiliar de Limpeza - 110 h</v>
      </c>
      <c r="D159" s="27" t="str">
        <f ca="1"/>
        <v>Regiao de Sao Lourenco</v>
      </c>
      <c r="E159" s="20" t="str">
        <f ca="1"/>
        <v>Limpeza</v>
      </c>
      <c r="F159" s="20" t="str">
        <f ca="1"/>
        <v>PGJ</v>
      </c>
      <c r="BR159" s="26">
        <f ca="1"/>
        <v>8.6609686609686695E-2</v>
      </c>
      <c r="BS159" s="26">
        <f ca="1"/>
        <v>1.880341880341882E-2</v>
      </c>
      <c r="BT159" s="26">
        <f ca="1"/>
        <v>0.03</v>
      </c>
      <c r="BU159" s="26">
        <f ca="1"/>
        <v>3.4188034188034219E-2</v>
      </c>
      <c r="BV159" s="26">
        <f ca="1"/>
        <v>0.1225</v>
      </c>
      <c r="BW159" s="26">
        <f ca="1"/>
        <v>0.13960113960113973</v>
      </c>
      <c r="CB159" s="24">
        <f ca="1"/>
        <v>45658</v>
      </c>
      <c r="CC159" s="20" t="str">
        <f ca="1"/>
        <v>-</v>
      </c>
      <c r="CD159" s="20" t="str">
        <f ca="1"/>
        <v>-</v>
      </c>
    </row>
    <row r="160" spans="2:82" x14ac:dyDescent="0.25">
      <c r="B160" s="27" t="str">
        <f ca="1"/>
        <v>Monte Carmelo</v>
      </c>
      <c r="C160" s="27" t="str">
        <f ca="1"/>
        <v>Auxiliar de Limpeza - 110 h</v>
      </c>
      <c r="D160" s="27" t="str">
        <f ca="1"/>
        <v>Alto Paranaiba</v>
      </c>
      <c r="E160" s="20" t="str">
        <f ca="1"/>
        <v>Limpeza</v>
      </c>
      <c r="F160" s="20" t="str">
        <f ca="1"/>
        <v>PGJ</v>
      </c>
      <c r="BR160" s="26">
        <f ca="1"/>
        <v>8.6609686609686695E-2</v>
      </c>
      <c r="BS160" s="26">
        <f ca="1"/>
        <v>1.880341880341882E-2</v>
      </c>
      <c r="BT160" s="26">
        <f ca="1"/>
        <v>0.03</v>
      </c>
      <c r="BU160" s="26">
        <f ca="1"/>
        <v>3.4188034188034219E-2</v>
      </c>
      <c r="BV160" s="26">
        <f ca="1"/>
        <v>0.1225</v>
      </c>
      <c r="BW160" s="26">
        <f ca="1"/>
        <v>0.13960113960113973</v>
      </c>
      <c r="CB160" s="24">
        <f ca="1"/>
        <v>45658</v>
      </c>
      <c r="CC160" s="20" t="str">
        <f ca="1"/>
        <v>-</v>
      </c>
      <c r="CD160" s="20" t="str">
        <f ca="1"/>
        <v>-</v>
      </c>
    </row>
    <row r="161" spans="2:82" x14ac:dyDescent="0.25">
      <c r="B161" s="27" t="str">
        <f ca="1"/>
        <v>Montes Claros</v>
      </c>
      <c r="C161" s="27" t="str">
        <f ca="1"/>
        <v>Auxiliar de Limpeza - 110 h</v>
      </c>
      <c r="D161" s="27" t="str">
        <f ca="1"/>
        <v>Montes Claros</v>
      </c>
      <c r="E161" s="20" t="str">
        <f ca="1"/>
        <v>Limpeza</v>
      </c>
      <c r="F161" s="20" t="str">
        <f ca="1"/>
        <v>PGJ</v>
      </c>
      <c r="BR161" s="26">
        <f ca="1"/>
        <v>8.6609686609686695E-2</v>
      </c>
      <c r="BS161" s="26">
        <f ca="1"/>
        <v>1.880341880341882E-2</v>
      </c>
      <c r="BT161" s="26">
        <f ca="1"/>
        <v>0.03</v>
      </c>
      <c r="BU161" s="26">
        <f ca="1"/>
        <v>3.4188034188034219E-2</v>
      </c>
      <c r="BV161" s="26">
        <f ca="1"/>
        <v>0.1225</v>
      </c>
      <c r="BW161" s="26">
        <f ca="1"/>
        <v>0.13960113960113973</v>
      </c>
      <c r="CB161" s="24">
        <f ca="1"/>
        <v>45658</v>
      </c>
      <c r="CC161" s="20" t="str">
        <f ca="1"/>
        <v>-</v>
      </c>
      <c r="CD161" s="20" t="str">
        <f ca="1"/>
        <v>-</v>
      </c>
    </row>
    <row r="162" spans="2:82" x14ac:dyDescent="0.25">
      <c r="B162" s="27" t="str">
        <f ca="1"/>
        <v>Montes Claros</v>
      </c>
      <c r="C162" s="27" t="str">
        <f ca="1"/>
        <v>Auxiliar de Limpeza - 220 h</v>
      </c>
      <c r="D162" s="27" t="str">
        <f ca="1"/>
        <v>Montes Claros</v>
      </c>
      <c r="E162" s="20" t="str">
        <f ca="1"/>
        <v>Limpeza</v>
      </c>
      <c r="F162" s="20" t="str">
        <f ca="1"/>
        <v>PGJ</v>
      </c>
      <c r="BR162" s="26">
        <f ca="1"/>
        <v>8.6609686609686695E-2</v>
      </c>
      <c r="BS162" s="26">
        <f ca="1"/>
        <v>1.880341880341882E-2</v>
      </c>
      <c r="BT162" s="26">
        <f ca="1"/>
        <v>0.03</v>
      </c>
      <c r="BU162" s="26">
        <f ca="1"/>
        <v>3.4188034188034219E-2</v>
      </c>
      <c r="BV162" s="26">
        <f ca="1"/>
        <v>0.1225</v>
      </c>
      <c r="BW162" s="26">
        <f ca="1"/>
        <v>0.13960113960113973</v>
      </c>
      <c r="CB162" s="24">
        <f ca="1"/>
        <v>45658</v>
      </c>
      <c r="CC162" s="20" t="str">
        <f ca="1"/>
        <v>-</v>
      </c>
      <c r="CD162" s="20" t="str">
        <f ca="1"/>
        <v>-</v>
      </c>
    </row>
    <row r="163" spans="2:82" x14ac:dyDescent="0.25">
      <c r="B163" s="27" t="str">
        <f ca="1"/>
        <v>Muriae</v>
      </c>
      <c r="C163" s="27" t="str">
        <f ca="1"/>
        <v>Auxiliar de Limpeza - 220 h</v>
      </c>
      <c r="D163" s="27" t="str">
        <f ca="1"/>
        <v>Cataguases</v>
      </c>
      <c r="E163" s="20" t="str">
        <f ca="1"/>
        <v>Limpeza</v>
      </c>
      <c r="F163" s="20" t="str">
        <f ca="1"/>
        <v>PGJ</v>
      </c>
      <c r="BR163" s="26">
        <f ca="1"/>
        <v>8.6609686609686695E-2</v>
      </c>
      <c r="BS163" s="26">
        <f ca="1"/>
        <v>1.880341880341882E-2</v>
      </c>
      <c r="BT163" s="26">
        <f ca="1"/>
        <v>0.03</v>
      </c>
      <c r="BU163" s="26">
        <f ca="1"/>
        <v>3.4188034188034219E-2</v>
      </c>
      <c r="BV163" s="26">
        <f ca="1"/>
        <v>0.1225</v>
      </c>
      <c r="BW163" s="26">
        <f ca="1"/>
        <v>0.13960113960113973</v>
      </c>
      <c r="CB163" s="24">
        <f ca="1"/>
        <v>45658</v>
      </c>
      <c r="CC163" s="20" t="str">
        <f ca="1"/>
        <v>-</v>
      </c>
      <c r="CD163" s="20" t="str">
        <f ca="1"/>
        <v>-</v>
      </c>
    </row>
    <row r="164" spans="2:82" x14ac:dyDescent="0.25">
      <c r="B164" s="27" t="str">
        <f ca="1"/>
        <v>Mutum</v>
      </c>
      <c r="C164" s="27" t="str">
        <f ca="1"/>
        <v>Auxiliar de Limpeza - 75 h</v>
      </c>
      <c r="D164" s="27" t="str">
        <f ca="1"/>
        <v>Fethemg Interior</v>
      </c>
      <c r="E164" s="20" t="str">
        <f ca="1"/>
        <v>Limpeza</v>
      </c>
      <c r="F164" s="20" t="str">
        <f ca="1"/>
        <v>PGJ</v>
      </c>
      <c r="BR164" s="26">
        <f ca="1"/>
        <v>8.6609686609686695E-2</v>
      </c>
      <c r="BS164" s="26">
        <f ca="1"/>
        <v>1.880341880341882E-2</v>
      </c>
      <c r="BT164" s="26">
        <f ca="1"/>
        <v>0.03</v>
      </c>
      <c r="BU164" s="26">
        <f ca="1"/>
        <v>3.4188034188034219E-2</v>
      </c>
      <c r="BV164" s="26">
        <f ca="1"/>
        <v>0.1225</v>
      </c>
      <c r="BW164" s="26">
        <f ca="1"/>
        <v>0.13960113960113973</v>
      </c>
      <c r="CB164" s="24">
        <f ca="1"/>
        <v>45658</v>
      </c>
      <c r="CC164" s="20" t="str">
        <f ca="1"/>
        <v>-</v>
      </c>
      <c r="CD164" s="20" t="str">
        <f ca="1"/>
        <v>-</v>
      </c>
    </row>
    <row r="165" spans="2:82" x14ac:dyDescent="0.25">
      <c r="B165" s="27" t="str">
        <f ca="1"/>
        <v>Muzambinho</v>
      </c>
      <c r="C165" s="27" t="str">
        <f ca="1"/>
        <v>Auxiliar de Limpeza - 110 h</v>
      </c>
      <c r="D165" s="27" t="str">
        <f ca="1"/>
        <v>Fethemg Interior</v>
      </c>
      <c r="E165" s="20" t="str">
        <f ca="1"/>
        <v>Limpeza</v>
      </c>
      <c r="F165" s="20" t="str">
        <f ca="1"/>
        <v>PGJ</v>
      </c>
      <c r="BR165" s="26">
        <f ca="1"/>
        <v>8.6609686609686695E-2</v>
      </c>
      <c r="BS165" s="26">
        <f ca="1"/>
        <v>1.880341880341882E-2</v>
      </c>
      <c r="BT165" s="26">
        <f ca="1"/>
        <v>0.03</v>
      </c>
      <c r="BU165" s="26">
        <f ca="1"/>
        <v>3.4188034188034219E-2</v>
      </c>
      <c r="BV165" s="26">
        <f ca="1"/>
        <v>0.1225</v>
      </c>
      <c r="BW165" s="26">
        <f ca="1"/>
        <v>0.13960113960113973</v>
      </c>
      <c r="CB165" s="24">
        <f ca="1"/>
        <v>45658</v>
      </c>
      <c r="CC165" s="20" t="str">
        <f ca="1"/>
        <v>-</v>
      </c>
      <c r="CD165" s="20" t="str">
        <f ca="1"/>
        <v>-</v>
      </c>
    </row>
    <row r="166" spans="2:82" x14ac:dyDescent="0.25">
      <c r="B166" s="27" t="str">
        <f ca="1"/>
        <v>Nanuque</v>
      </c>
      <c r="C166" s="27" t="str">
        <f ca="1"/>
        <v>Auxiliar de Limpeza - 110 h</v>
      </c>
      <c r="D166" s="27" t="str">
        <f ca="1"/>
        <v>Regiao de Teofilo Otoni</v>
      </c>
      <c r="E166" s="20" t="str">
        <f ca="1"/>
        <v>Limpeza</v>
      </c>
      <c r="F166" s="20" t="str">
        <f ca="1"/>
        <v>PGJ</v>
      </c>
      <c r="BR166" s="26">
        <f ca="1"/>
        <v>8.6609686609686695E-2</v>
      </c>
      <c r="BS166" s="26">
        <f ca="1"/>
        <v>1.880341880341882E-2</v>
      </c>
      <c r="BT166" s="26">
        <f ca="1"/>
        <v>0.03</v>
      </c>
      <c r="BU166" s="26">
        <f ca="1"/>
        <v>3.4188034188034219E-2</v>
      </c>
      <c r="BV166" s="26">
        <f ca="1"/>
        <v>0.1225</v>
      </c>
      <c r="BW166" s="26">
        <f ca="1"/>
        <v>0.13960113960113973</v>
      </c>
      <c r="CB166" s="24">
        <f ca="1"/>
        <v>45658</v>
      </c>
      <c r="CC166" s="20" t="str">
        <f ca="1"/>
        <v>-</v>
      </c>
      <c r="CD166" s="20" t="str">
        <f ca="1"/>
        <v>-</v>
      </c>
    </row>
    <row r="167" spans="2:82" x14ac:dyDescent="0.25">
      <c r="B167" s="27" t="str">
        <f ca="1"/>
        <v>Natercia</v>
      </c>
      <c r="C167" s="27" t="str">
        <f ca="1"/>
        <v>Auxiliar de Limpeza - 75 h</v>
      </c>
      <c r="D167" s="27" t="str">
        <f ca="1"/>
        <v>Regiao de Sao Lourenco</v>
      </c>
      <c r="E167" s="20" t="str">
        <f ca="1"/>
        <v>Limpeza</v>
      </c>
      <c r="F167" s="20" t="str">
        <f ca="1"/>
        <v>PGJ</v>
      </c>
      <c r="BR167" s="26">
        <f ca="1"/>
        <v>8.6118980169971604E-2</v>
      </c>
      <c r="BS167" s="26">
        <f ca="1"/>
        <v>1.8696883852691224E-2</v>
      </c>
      <c r="BT167" s="26">
        <f ca="1"/>
        <v>2.5000000000000001E-2</v>
      </c>
      <c r="BU167" s="26">
        <f ca="1"/>
        <v>2.8328611898017008E-2</v>
      </c>
      <c r="BV167" s="26">
        <f ca="1"/>
        <v>0.11749999999999999</v>
      </c>
      <c r="BW167" s="26">
        <f ca="1"/>
        <v>0.13314447592067982</v>
      </c>
      <c r="CB167" s="24">
        <f ca="1"/>
        <v>45658</v>
      </c>
      <c r="CC167" s="20" t="str">
        <f ca="1"/>
        <v>-</v>
      </c>
      <c r="CD167" s="20" t="str">
        <f ca="1"/>
        <v>-</v>
      </c>
    </row>
    <row r="168" spans="2:82" x14ac:dyDescent="0.25">
      <c r="B168" s="27" t="str">
        <f ca="1"/>
        <v>Nova Lima</v>
      </c>
      <c r="C168" s="27" t="str">
        <f ca="1"/>
        <v>Auxiliar de Limpeza - 220 h</v>
      </c>
      <c r="D168" s="27" t="str">
        <f ca="1"/>
        <v>Sind - Asseio</v>
      </c>
      <c r="E168" s="20" t="str">
        <f ca="1"/>
        <v>Limpeza</v>
      </c>
      <c r="F168" s="20" t="str">
        <f ca="1"/>
        <v>PGJ</v>
      </c>
      <c r="BR168" s="26">
        <f ca="1"/>
        <v>8.6609686609686695E-2</v>
      </c>
      <c r="BS168" s="26">
        <f ca="1"/>
        <v>1.880341880341882E-2</v>
      </c>
      <c r="BT168" s="26">
        <f ca="1"/>
        <v>0.03</v>
      </c>
      <c r="BU168" s="26">
        <f ca="1"/>
        <v>3.4188034188034219E-2</v>
      </c>
      <c r="BV168" s="26">
        <f ca="1"/>
        <v>0.1225</v>
      </c>
      <c r="BW168" s="26">
        <f ca="1"/>
        <v>0.13960113960113973</v>
      </c>
      <c r="CB168" s="24">
        <f ca="1"/>
        <v>45658</v>
      </c>
      <c r="CC168" s="20" t="str">
        <f ca="1"/>
        <v>-</v>
      </c>
      <c r="CD168" s="20" t="str">
        <f ca="1"/>
        <v>-</v>
      </c>
    </row>
    <row r="169" spans="2:82" x14ac:dyDescent="0.25">
      <c r="B169" s="27" t="str">
        <f ca="1"/>
        <v>Nova Ponte</v>
      </c>
      <c r="C169" s="27" t="str">
        <f ca="1"/>
        <v>Auxiliar de Limpeza - 220 h</v>
      </c>
      <c r="D169" s="27" t="str">
        <f ca="1"/>
        <v>Alto Paranaiba</v>
      </c>
      <c r="E169" s="20" t="str">
        <f ca="1"/>
        <v>Limpeza</v>
      </c>
      <c r="F169" s="20" t="str">
        <f ca="1"/>
        <v>PGJ</v>
      </c>
      <c r="BR169" s="26">
        <f ca="1"/>
        <v>8.7608069164265154E-2</v>
      </c>
      <c r="BS169" s="26">
        <f ca="1"/>
        <v>1.9020172910662814E-2</v>
      </c>
      <c r="BT169" s="26">
        <f ca="1"/>
        <v>0.04</v>
      </c>
      <c r="BU169" s="26">
        <f ca="1"/>
        <v>4.6109510086455294E-2</v>
      </c>
      <c r="BV169" s="26">
        <f ca="1"/>
        <v>0.13250000000000001</v>
      </c>
      <c r="BW169" s="26">
        <f ca="1"/>
        <v>0.15273775216138324</v>
      </c>
      <c r="CB169" s="24">
        <f ca="1"/>
        <v>45658</v>
      </c>
      <c r="CC169" s="20" t="str">
        <f ca="1"/>
        <v>-</v>
      </c>
      <c r="CD169" s="20" t="str">
        <f ca="1"/>
        <v>-</v>
      </c>
    </row>
    <row r="170" spans="2:82" x14ac:dyDescent="0.25">
      <c r="B170" s="27" t="str">
        <f ca="1"/>
        <v>Nova Serrana</v>
      </c>
      <c r="C170" s="27" t="str">
        <f ca="1"/>
        <v>Auxiliar de Limpeza - 150 h</v>
      </c>
      <c r="D170" s="27" t="str">
        <f ca="1"/>
        <v>Regiao de Divinopolis</v>
      </c>
      <c r="E170" s="20" t="str">
        <f ca="1"/>
        <v>Limpeza</v>
      </c>
      <c r="F170" s="20" t="str">
        <f ca="1"/>
        <v>PGJ</v>
      </c>
      <c r="BR170" s="26">
        <f ca="1"/>
        <v>8.6609686609686695E-2</v>
      </c>
      <c r="BS170" s="26">
        <f ca="1"/>
        <v>1.880341880341882E-2</v>
      </c>
      <c r="BT170" s="26">
        <f ca="1"/>
        <v>0.03</v>
      </c>
      <c r="BU170" s="26">
        <f ca="1"/>
        <v>3.4188034188034219E-2</v>
      </c>
      <c r="BV170" s="26">
        <f ca="1"/>
        <v>0.1225</v>
      </c>
      <c r="BW170" s="26">
        <f ca="1"/>
        <v>0.13960113960113973</v>
      </c>
      <c r="CB170" s="24">
        <f ca="1"/>
        <v>45658</v>
      </c>
      <c r="CC170" s="20" t="str">
        <f ca="1"/>
        <v>-</v>
      </c>
      <c r="CD170" s="20" t="str">
        <f ca="1"/>
        <v>-</v>
      </c>
    </row>
    <row r="171" spans="2:82" x14ac:dyDescent="0.25">
      <c r="B171" s="27" t="str">
        <f ca="1"/>
        <v>Novo Cruzeiro</v>
      </c>
      <c r="C171" s="27" t="str">
        <f ca="1"/>
        <v>Auxiliar de Limpeza - 75 h</v>
      </c>
      <c r="D171" s="27" t="str">
        <f ca="1"/>
        <v>Regiao de Teofilo Otoni</v>
      </c>
      <c r="E171" s="20" t="str">
        <f ca="1"/>
        <v>Limpeza</v>
      </c>
      <c r="F171" s="20" t="str">
        <f ca="1"/>
        <v>PGJ</v>
      </c>
      <c r="BR171" s="26">
        <f ca="1"/>
        <v>8.8629737609329504E-2</v>
      </c>
      <c r="BS171" s="26">
        <f ca="1"/>
        <v>1.9241982507288629E-2</v>
      </c>
      <c r="BT171" s="26">
        <f ca="1"/>
        <v>0.05</v>
      </c>
      <c r="BU171" s="26">
        <f ca="1"/>
        <v>5.8309037900874633E-2</v>
      </c>
      <c r="BV171" s="26">
        <f ca="1"/>
        <v>0.14250000000000002</v>
      </c>
      <c r="BW171" s="26">
        <f ca="1"/>
        <v>0.16618075801749277</v>
      </c>
      <c r="CB171" s="24">
        <f ca="1"/>
        <v>45658</v>
      </c>
      <c r="CC171" s="20" t="str">
        <f ca="1"/>
        <v>-</v>
      </c>
      <c r="CD171" s="20" t="str">
        <f ca="1"/>
        <v>-</v>
      </c>
    </row>
    <row r="172" spans="2:82" x14ac:dyDescent="0.25">
      <c r="B172" s="27" t="str">
        <f ca="1"/>
        <v>Oliveira</v>
      </c>
      <c r="C172" s="27" t="str">
        <f ca="1"/>
        <v>Auxiliar de Limpeza - 220 h</v>
      </c>
      <c r="D172" s="27" t="str">
        <f ca="1"/>
        <v>Regiao de Divinopolis</v>
      </c>
      <c r="E172" s="20" t="str">
        <f ca="1"/>
        <v>Limpeza</v>
      </c>
      <c r="F172" s="20" t="str">
        <f ca="1"/>
        <v>PGJ</v>
      </c>
      <c r="BR172" s="26">
        <f ca="1"/>
        <v>8.6609686609686695E-2</v>
      </c>
      <c r="BS172" s="26">
        <f ca="1"/>
        <v>1.880341880341882E-2</v>
      </c>
      <c r="BT172" s="26">
        <f ca="1"/>
        <v>0.03</v>
      </c>
      <c r="BU172" s="26">
        <f ca="1"/>
        <v>3.4188034188034219E-2</v>
      </c>
      <c r="BV172" s="26">
        <f ca="1"/>
        <v>0.1225</v>
      </c>
      <c r="BW172" s="26">
        <f ca="1"/>
        <v>0.13960113960113973</v>
      </c>
      <c r="CB172" s="24">
        <f ca="1"/>
        <v>45658</v>
      </c>
      <c r="CC172" s="20" t="str">
        <f ca="1"/>
        <v>-</v>
      </c>
      <c r="CD172" s="20" t="str">
        <f ca="1"/>
        <v>-</v>
      </c>
    </row>
    <row r="173" spans="2:82" x14ac:dyDescent="0.25">
      <c r="B173" s="27" t="str">
        <f ca="1"/>
        <v>Ouro Fino</v>
      </c>
      <c r="C173" s="27" t="str">
        <f ca="1"/>
        <v>Auxiliar de Limpeza - 75 h</v>
      </c>
      <c r="D173" s="27" t="str">
        <f ca="1"/>
        <v>Regiao de Sao Lourenco</v>
      </c>
      <c r="E173" s="20" t="str">
        <f ca="1"/>
        <v>Limpeza</v>
      </c>
      <c r="F173" s="20" t="str">
        <f ca="1"/>
        <v>PGJ</v>
      </c>
      <c r="BR173" s="26">
        <f ca="1"/>
        <v>8.8629737609329504E-2</v>
      </c>
      <c r="BS173" s="26">
        <f ca="1"/>
        <v>1.9241982507288629E-2</v>
      </c>
      <c r="BT173" s="26">
        <f ca="1"/>
        <v>0.05</v>
      </c>
      <c r="BU173" s="26">
        <f ca="1"/>
        <v>5.8309037900874633E-2</v>
      </c>
      <c r="BV173" s="26">
        <f ca="1"/>
        <v>0.14250000000000002</v>
      </c>
      <c r="BW173" s="26">
        <f ca="1"/>
        <v>0.16618075801749277</v>
      </c>
      <c r="CB173" s="24">
        <f ca="1"/>
        <v>45658</v>
      </c>
      <c r="CC173" s="20" t="str">
        <f ca="1"/>
        <v>-</v>
      </c>
      <c r="CD173" s="20" t="str">
        <f ca="1"/>
        <v>-</v>
      </c>
    </row>
    <row r="174" spans="2:82" x14ac:dyDescent="0.25">
      <c r="B174" s="27" t="str">
        <f ca="1"/>
        <v>Ouro Preto</v>
      </c>
      <c r="C174" s="27" t="str">
        <f ca="1"/>
        <v>Auxiliar de Limpeza - 220 h</v>
      </c>
      <c r="D174" s="27" t="str">
        <f ca="1"/>
        <v>Regiao de Ouro Preto</v>
      </c>
      <c r="E174" s="20" t="str">
        <f ca="1"/>
        <v>Limpeza</v>
      </c>
      <c r="F174" s="20" t="str">
        <f ca="1"/>
        <v>PGJ</v>
      </c>
      <c r="BR174" s="26">
        <f ca="1"/>
        <v>8.8629737609329504E-2</v>
      </c>
      <c r="BS174" s="26">
        <f ca="1"/>
        <v>1.9241982507288629E-2</v>
      </c>
      <c r="BT174" s="26">
        <f ca="1"/>
        <v>0.05</v>
      </c>
      <c r="BU174" s="26">
        <f ca="1"/>
        <v>5.8309037900874633E-2</v>
      </c>
      <c r="BV174" s="26">
        <f ca="1"/>
        <v>0.14250000000000002</v>
      </c>
      <c r="BW174" s="26">
        <f ca="1"/>
        <v>0.16618075801749277</v>
      </c>
      <c r="CB174" s="24">
        <f ca="1"/>
        <v>45658</v>
      </c>
      <c r="CC174" s="20" t="str">
        <f ca="1"/>
        <v>-</v>
      </c>
      <c r="CD174" s="20" t="str">
        <f ca="1"/>
        <v>-</v>
      </c>
    </row>
    <row r="175" spans="2:82" x14ac:dyDescent="0.25">
      <c r="B175" s="27" t="str">
        <f ca="1"/>
        <v>Palma</v>
      </c>
      <c r="C175" s="27" t="str">
        <f ca="1"/>
        <v>Auxiliar de Limpeza - 220 h</v>
      </c>
      <c r="D175" s="27" t="str">
        <f ca="1"/>
        <v>Regiao de Juiz de Fora</v>
      </c>
      <c r="E175" s="20" t="str">
        <f ca="1"/>
        <v>Limpeza</v>
      </c>
      <c r="F175" s="20" t="str">
        <f ca="1"/>
        <v>PGJ</v>
      </c>
      <c r="BR175" s="26">
        <f ca="1"/>
        <v>8.6609686609686695E-2</v>
      </c>
      <c r="BS175" s="26">
        <f ca="1"/>
        <v>1.880341880341882E-2</v>
      </c>
      <c r="BT175" s="26">
        <f ca="1"/>
        <v>0.03</v>
      </c>
      <c r="BU175" s="26">
        <f ca="1"/>
        <v>3.4188034188034219E-2</v>
      </c>
      <c r="BV175" s="26">
        <f ca="1"/>
        <v>0.1225</v>
      </c>
      <c r="BW175" s="26">
        <f ca="1"/>
        <v>0.13960113960113973</v>
      </c>
      <c r="CB175" s="24">
        <f ca="1"/>
        <v>45658</v>
      </c>
      <c r="CC175" s="20" t="str">
        <f ca="1"/>
        <v>-</v>
      </c>
      <c r="CD175" s="20" t="str">
        <f ca="1"/>
        <v>-</v>
      </c>
    </row>
    <row r="176" spans="2:82" x14ac:dyDescent="0.25">
      <c r="B176" s="27" t="str">
        <f ca="1"/>
        <v>Para de Minas</v>
      </c>
      <c r="C176" s="27" t="str">
        <f ca="1"/>
        <v>Auxiliar de Limpeza - 110 h</v>
      </c>
      <c r="D176" s="27" t="str">
        <f ca="1"/>
        <v>Fethemg Interior</v>
      </c>
      <c r="E176" s="20" t="str">
        <f ca="1"/>
        <v>Limpeza</v>
      </c>
      <c r="F176" s="20" t="str">
        <f ca="1"/>
        <v>PGJ</v>
      </c>
      <c r="BR176" s="26">
        <f ca="1"/>
        <v>8.7608069164265154E-2</v>
      </c>
      <c r="BS176" s="26">
        <f ca="1"/>
        <v>1.9020172910662814E-2</v>
      </c>
      <c r="BT176" s="26">
        <f ca="1"/>
        <v>0.04</v>
      </c>
      <c r="BU176" s="26">
        <f ca="1"/>
        <v>4.6109510086455294E-2</v>
      </c>
      <c r="BV176" s="26">
        <f ca="1"/>
        <v>0.13250000000000001</v>
      </c>
      <c r="BW176" s="26">
        <f ca="1"/>
        <v>0.15273775216138324</v>
      </c>
      <c r="CB176" s="24">
        <f ca="1"/>
        <v>45658</v>
      </c>
      <c r="CC176" s="20" t="str">
        <f ca="1"/>
        <v>-</v>
      </c>
      <c r="CD176" s="20" t="str">
        <f ca="1"/>
        <v>-</v>
      </c>
    </row>
    <row r="177" spans="2:82" x14ac:dyDescent="0.25">
      <c r="B177" s="27" t="str">
        <f ca="1"/>
        <v>Paracatu</v>
      </c>
      <c r="C177" s="27" t="str">
        <f ca="1"/>
        <v>Auxiliar de Limpeza - 75 h</v>
      </c>
      <c r="D177" s="27" t="str">
        <f ca="1"/>
        <v>Fethemg Interior</v>
      </c>
      <c r="E177" s="20" t="str">
        <f ca="1"/>
        <v>Limpeza</v>
      </c>
      <c r="F177" s="20" t="str">
        <f ca="1"/>
        <v>PGJ</v>
      </c>
      <c r="BR177" s="26">
        <f ca="1"/>
        <v>8.7106017191977067E-2</v>
      </c>
      <c r="BS177" s="26">
        <f ca="1"/>
        <v>1.8911174785100283E-2</v>
      </c>
      <c r="BT177" s="26">
        <f ca="1"/>
        <v>3.5000000000000003E-2</v>
      </c>
      <c r="BU177" s="26">
        <f ca="1"/>
        <v>4.0114613180515762E-2</v>
      </c>
      <c r="BV177" s="26">
        <f ca="1"/>
        <v>0.1275</v>
      </c>
      <c r="BW177" s="26">
        <f ca="1"/>
        <v>0.14613180515759311</v>
      </c>
      <c r="CB177" s="24">
        <f ca="1"/>
        <v>45658</v>
      </c>
      <c r="CC177" s="20" t="str">
        <f ca="1"/>
        <v>-</v>
      </c>
      <c r="CD177" s="20" t="str">
        <f ca="1"/>
        <v>-</v>
      </c>
    </row>
    <row r="178" spans="2:82" x14ac:dyDescent="0.25">
      <c r="B178" s="27" t="str">
        <f ca="1"/>
        <v>Paracatu</v>
      </c>
      <c r="C178" s="27" t="str">
        <f ca="1"/>
        <v>Auxiliar de Limpeza - 150 h</v>
      </c>
      <c r="D178" s="27" t="str">
        <f ca="1"/>
        <v>Fethemg Interior</v>
      </c>
      <c r="E178" s="20" t="str">
        <f ca="1"/>
        <v>Limpeza</v>
      </c>
      <c r="F178" s="20" t="str">
        <f ca="1"/>
        <v>PGJ</v>
      </c>
      <c r="BR178" s="26">
        <f ca="1"/>
        <v>8.7106017191977067E-2</v>
      </c>
      <c r="BS178" s="26">
        <f ca="1"/>
        <v>1.8911174785100283E-2</v>
      </c>
      <c r="BT178" s="26">
        <f ca="1"/>
        <v>3.5000000000000003E-2</v>
      </c>
      <c r="BU178" s="26">
        <f ca="1"/>
        <v>4.0114613180515762E-2</v>
      </c>
      <c r="BV178" s="26">
        <f ca="1"/>
        <v>0.1275</v>
      </c>
      <c r="BW178" s="26">
        <f ca="1"/>
        <v>0.14613180515759311</v>
      </c>
      <c r="CB178" s="24">
        <f ca="1"/>
        <v>45658</v>
      </c>
      <c r="CC178" s="20" t="str">
        <f ca="1"/>
        <v>-</v>
      </c>
      <c r="CD178" s="20" t="str">
        <f ca="1"/>
        <v>-</v>
      </c>
    </row>
    <row r="179" spans="2:82" x14ac:dyDescent="0.25">
      <c r="B179" s="27" t="str">
        <f ca="1"/>
        <v>Paraguacu</v>
      </c>
      <c r="C179" s="27" t="str">
        <f ca="1"/>
        <v>Auxiliar de Limpeza - 110 h</v>
      </c>
      <c r="D179" s="27" t="str">
        <f ca="1"/>
        <v>Regiao de Sao Lourenco</v>
      </c>
      <c r="E179" s="20" t="str">
        <f ca="1"/>
        <v>Limpeza</v>
      </c>
      <c r="F179" s="20" t="str">
        <f ca="1"/>
        <v>PGJ</v>
      </c>
      <c r="BR179" s="26">
        <f ca="1"/>
        <v>8.6609686609686695E-2</v>
      </c>
      <c r="BS179" s="26">
        <f ca="1"/>
        <v>1.880341880341882E-2</v>
      </c>
      <c r="BT179" s="26">
        <f ca="1"/>
        <v>0.03</v>
      </c>
      <c r="BU179" s="26">
        <f ca="1"/>
        <v>3.4188034188034219E-2</v>
      </c>
      <c r="BV179" s="26">
        <f ca="1"/>
        <v>0.1225</v>
      </c>
      <c r="BW179" s="26">
        <f ca="1"/>
        <v>0.13960113960113973</v>
      </c>
      <c r="CB179" s="24">
        <f ca="1"/>
        <v>45658</v>
      </c>
      <c r="CC179" s="20" t="str">
        <f ca="1"/>
        <v>-</v>
      </c>
      <c r="CD179" s="20" t="str">
        <f ca="1"/>
        <v>-</v>
      </c>
    </row>
    <row r="180" spans="2:82" x14ac:dyDescent="0.25">
      <c r="B180" s="27" t="str">
        <f ca="1"/>
        <v>Paraopeba</v>
      </c>
      <c r="C180" s="27" t="str">
        <f ca="1"/>
        <v>Auxiliar de Limpeza - 110 h</v>
      </c>
      <c r="D180" s="27" t="str">
        <f ca="1"/>
        <v>Sete Lagoas</v>
      </c>
      <c r="E180" s="20" t="str">
        <f ca="1"/>
        <v>Limpeza</v>
      </c>
      <c r="F180" s="20" t="str">
        <f ca="1"/>
        <v>PGJ</v>
      </c>
      <c r="BR180" s="26">
        <f ca="1"/>
        <v>8.6609686609686695E-2</v>
      </c>
      <c r="BS180" s="26">
        <f ca="1"/>
        <v>1.880341880341882E-2</v>
      </c>
      <c r="BT180" s="26">
        <f ca="1"/>
        <v>0.03</v>
      </c>
      <c r="BU180" s="26">
        <f ca="1"/>
        <v>3.4188034188034219E-2</v>
      </c>
      <c r="BV180" s="26">
        <f ca="1"/>
        <v>0.1225</v>
      </c>
      <c r="BW180" s="26">
        <f ca="1"/>
        <v>0.13960113960113973</v>
      </c>
      <c r="CB180" s="24">
        <f ca="1"/>
        <v>45658</v>
      </c>
      <c r="CC180" s="20" t="str">
        <f ca="1"/>
        <v>-</v>
      </c>
      <c r="CD180" s="20" t="str">
        <f ca="1"/>
        <v>-</v>
      </c>
    </row>
    <row r="181" spans="2:82" x14ac:dyDescent="0.25">
      <c r="B181" s="27" t="str">
        <f ca="1"/>
        <v>Passos</v>
      </c>
      <c r="C181" s="27" t="str">
        <f ca="1"/>
        <v>Auxiliar de Limpeza - 220 h</v>
      </c>
      <c r="D181" s="27" t="str">
        <f ca="1"/>
        <v>Regiao de Sao Lourenco</v>
      </c>
      <c r="E181" s="20" t="str">
        <f ca="1"/>
        <v>Limpeza</v>
      </c>
      <c r="F181" s="20" t="str">
        <f ca="1"/>
        <v>PGJ</v>
      </c>
      <c r="BR181" s="26">
        <f ca="1"/>
        <v>8.6609686609686695E-2</v>
      </c>
      <c r="BS181" s="26">
        <f ca="1"/>
        <v>1.880341880341882E-2</v>
      </c>
      <c r="BT181" s="26">
        <f ca="1"/>
        <v>0.03</v>
      </c>
      <c r="BU181" s="26">
        <f ca="1"/>
        <v>3.4188034188034219E-2</v>
      </c>
      <c r="BV181" s="26">
        <f ca="1"/>
        <v>0.1225</v>
      </c>
      <c r="BW181" s="26">
        <f ca="1"/>
        <v>0.13960113960113973</v>
      </c>
      <c r="CB181" s="24">
        <f ca="1"/>
        <v>45658</v>
      </c>
      <c r="CC181" s="20" t="str">
        <f ca="1"/>
        <v>-</v>
      </c>
      <c r="CD181" s="20" t="str">
        <f ca="1"/>
        <v>-</v>
      </c>
    </row>
    <row r="182" spans="2:82" x14ac:dyDescent="0.25">
      <c r="B182" s="27" t="str">
        <f ca="1"/>
        <v>Patos de Minas</v>
      </c>
      <c r="C182" s="27" t="str">
        <f ca="1"/>
        <v>Auxiliar de Limpeza - 220 h</v>
      </c>
      <c r="D182" s="27" t="str">
        <f ca="1"/>
        <v>Regiao Uberaba</v>
      </c>
      <c r="E182" s="20" t="str">
        <f ca="1"/>
        <v>Limpeza</v>
      </c>
      <c r="F182" s="20" t="str">
        <f ca="1"/>
        <v>PGJ</v>
      </c>
      <c r="BR182" s="26">
        <f ca="1"/>
        <v>8.5633802816901458E-2</v>
      </c>
      <c r="BS182" s="26">
        <f ca="1"/>
        <v>1.8591549295774657E-2</v>
      </c>
      <c r="BT182" s="26">
        <f ca="1"/>
        <v>0.02</v>
      </c>
      <c r="BU182" s="26">
        <f ca="1"/>
        <v>2.2535211267605645E-2</v>
      </c>
      <c r="BV182" s="26">
        <f ca="1"/>
        <v>0.1125</v>
      </c>
      <c r="BW182" s="26">
        <f ca="1"/>
        <v>0.12676056338028174</v>
      </c>
      <c r="CB182" s="24">
        <f ca="1"/>
        <v>45658</v>
      </c>
      <c r="CC182" s="20" t="str">
        <f ca="1"/>
        <v>-</v>
      </c>
      <c r="CD182" s="20" t="str">
        <f ca="1"/>
        <v>-</v>
      </c>
    </row>
    <row r="183" spans="2:82" x14ac:dyDescent="0.25">
      <c r="B183" s="27" t="str">
        <f ca="1"/>
        <v>Pecanha</v>
      </c>
      <c r="C183" s="27" t="str">
        <f ca="1"/>
        <v>Auxiliar de Limpeza - 150 h</v>
      </c>
      <c r="D183" s="27" t="str">
        <f ca="1"/>
        <v>Fethemg Interior</v>
      </c>
      <c r="E183" s="20" t="str">
        <f ca="1"/>
        <v>Limpeza</v>
      </c>
      <c r="F183" s="20" t="str">
        <f ca="1"/>
        <v>PGJ</v>
      </c>
      <c r="BR183" s="26">
        <f ca="1"/>
        <v>8.8629737609329504E-2</v>
      </c>
      <c r="BS183" s="26">
        <f ca="1"/>
        <v>1.9241982507288629E-2</v>
      </c>
      <c r="BT183" s="26">
        <f ca="1"/>
        <v>0.05</v>
      </c>
      <c r="BU183" s="26">
        <f ca="1"/>
        <v>5.8309037900874633E-2</v>
      </c>
      <c r="BV183" s="26">
        <f ca="1"/>
        <v>0.14250000000000002</v>
      </c>
      <c r="BW183" s="26">
        <f ca="1"/>
        <v>0.16618075801749277</v>
      </c>
      <c r="CB183" s="24">
        <f ca="1"/>
        <v>45658</v>
      </c>
      <c r="CC183" s="20" t="str">
        <f ca="1"/>
        <v>-</v>
      </c>
      <c r="CD183" s="20" t="str">
        <f ca="1"/>
        <v>-</v>
      </c>
    </row>
    <row r="184" spans="2:82" x14ac:dyDescent="0.25">
      <c r="B184" s="27" t="str">
        <f ca="1"/>
        <v>Pedra Azul</v>
      </c>
      <c r="C184" s="27" t="str">
        <f ca="1"/>
        <v>Auxiliar de Limpeza - 110 h</v>
      </c>
      <c r="D184" s="27" t="str">
        <f ca="1"/>
        <v>Regiao de Teofilo Otoni</v>
      </c>
      <c r="E184" s="20" t="str">
        <f ca="1"/>
        <v>Limpeza</v>
      </c>
      <c r="F184" s="20" t="str">
        <f ca="1"/>
        <v>PGJ</v>
      </c>
      <c r="BR184" s="26">
        <f ca="1"/>
        <v>8.8629737609329504E-2</v>
      </c>
      <c r="BS184" s="26">
        <f ca="1"/>
        <v>1.9241982507288629E-2</v>
      </c>
      <c r="BT184" s="26">
        <f ca="1"/>
        <v>0.05</v>
      </c>
      <c r="BU184" s="26">
        <f ca="1"/>
        <v>5.8309037900874633E-2</v>
      </c>
      <c r="BV184" s="26">
        <f ca="1"/>
        <v>0.14250000000000002</v>
      </c>
      <c r="BW184" s="26">
        <f ca="1"/>
        <v>0.16618075801749277</v>
      </c>
      <c r="CB184" s="24">
        <f ca="1"/>
        <v>45658</v>
      </c>
      <c r="CC184" s="20" t="str">
        <f ca="1"/>
        <v>-</v>
      </c>
      <c r="CD184" s="20" t="str">
        <f ca="1"/>
        <v>-</v>
      </c>
    </row>
    <row r="185" spans="2:82" x14ac:dyDescent="0.25">
      <c r="B185" s="27" t="str">
        <f ca="1"/>
        <v>Pedro Leopoldo</v>
      </c>
      <c r="C185" s="27" t="str">
        <f ca="1"/>
        <v>Auxiliar de Limpeza - 220 h</v>
      </c>
      <c r="D185" s="27" t="str">
        <f ca="1"/>
        <v>Fethemg RM</v>
      </c>
      <c r="E185" s="20" t="str">
        <f ca="1"/>
        <v>Limpeza</v>
      </c>
      <c r="F185" s="20" t="str">
        <f ca="1"/>
        <v>PGJ</v>
      </c>
      <c r="BR185" s="26">
        <f ca="1"/>
        <v>8.6314593980692772E-2</v>
      </c>
      <c r="BS185" s="26">
        <f ca="1"/>
        <v>1.8739352640545163E-2</v>
      </c>
      <c r="BT185" s="26">
        <f ca="1"/>
        <v>2.7E-2</v>
      </c>
      <c r="BU185" s="26">
        <f ca="1"/>
        <v>3.0664395229982988E-2</v>
      </c>
      <c r="BV185" s="26">
        <f ca="1"/>
        <v>0.1195</v>
      </c>
      <c r="BW185" s="26">
        <f ca="1"/>
        <v>0.13571834185122092</v>
      </c>
      <c r="CB185" s="24">
        <f ca="1"/>
        <v>45658</v>
      </c>
      <c r="CC185" s="20" t="str">
        <f ca="1"/>
        <v>-</v>
      </c>
      <c r="CD185" s="20" t="str">
        <f ca="1"/>
        <v>-</v>
      </c>
    </row>
    <row r="186" spans="2:82" x14ac:dyDescent="0.25">
      <c r="B186" s="27" t="str">
        <f ca="1"/>
        <v>Perdizes</v>
      </c>
      <c r="C186" s="27" t="str">
        <f ca="1"/>
        <v>Auxiliar de Limpeza - 110 h</v>
      </c>
      <c r="D186" s="27" t="str">
        <f ca="1"/>
        <v>Alto Paranaiba</v>
      </c>
      <c r="E186" s="20" t="str">
        <f ca="1"/>
        <v>Limpeza</v>
      </c>
      <c r="F186" s="20" t="str">
        <f ca="1"/>
        <v>PGJ</v>
      </c>
      <c r="BR186" s="26">
        <f ca="1"/>
        <v>8.6609686609686695E-2</v>
      </c>
      <c r="BS186" s="26">
        <f ca="1"/>
        <v>1.880341880341882E-2</v>
      </c>
      <c r="BT186" s="26">
        <f ca="1"/>
        <v>0.03</v>
      </c>
      <c r="BU186" s="26">
        <f ca="1"/>
        <v>3.4188034188034219E-2</v>
      </c>
      <c r="BV186" s="26">
        <f ca="1"/>
        <v>0.1225</v>
      </c>
      <c r="BW186" s="26">
        <f ca="1"/>
        <v>0.13960113960113973</v>
      </c>
      <c r="CB186" s="24">
        <f ca="1"/>
        <v>45658</v>
      </c>
      <c r="CC186" s="20" t="str">
        <f ca="1"/>
        <v>-</v>
      </c>
      <c r="CD186" s="20" t="str">
        <f ca="1"/>
        <v>-</v>
      </c>
    </row>
    <row r="187" spans="2:82" x14ac:dyDescent="0.25">
      <c r="B187" s="27" t="str">
        <f ca="1"/>
        <v>Piranga</v>
      </c>
      <c r="C187" s="27" t="str">
        <f ca="1"/>
        <v>Auxiliar de Limpeza - 110 h</v>
      </c>
      <c r="D187" s="27" t="str">
        <f ca="1"/>
        <v>Regiao de Ouro Preto</v>
      </c>
      <c r="E187" s="20" t="str">
        <f ca="1"/>
        <v>Limpeza</v>
      </c>
      <c r="F187" s="20" t="str">
        <f ca="1"/>
        <v>PGJ</v>
      </c>
      <c r="BR187" s="26">
        <f ca="1"/>
        <v>8.5633802816901458E-2</v>
      </c>
      <c r="BS187" s="26">
        <f ca="1"/>
        <v>1.8591549295774657E-2</v>
      </c>
      <c r="BT187" s="26">
        <f ca="1"/>
        <v>0.02</v>
      </c>
      <c r="BU187" s="26">
        <f ca="1"/>
        <v>2.2535211267605645E-2</v>
      </c>
      <c r="BV187" s="26">
        <f ca="1"/>
        <v>0.1125</v>
      </c>
      <c r="BW187" s="26">
        <f ca="1"/>
        <v>0.12676056338028174</v>
      </c>
      <c r="CB187" s="24">
        <f ca="1"/>
        <v>45658</v>
      </c>
      <c r="CC187" s="20" t="str">
        <f ca="1"/>
        <v>-</v>
      </c>
      <c r="CD187" s="20" t="str">
        <f ca="1"/>
        <v>-</v>
      </c>
    </row>
    <row r="188" spans="2:82" x14ac:dyDescent="0.25">
      <c r="B188" s="27" t="str">
        <f ca="1"/>
        <v>Pirapora</v>
      </c>
      <c r="C188" s="27" t="str">
        <f ca="1"/>
        <v>Auxiliar de Limpeza - 150 h</v>
      </c>
      <c r="D188" s="27" t="str">
        <f ca="1"/>
        <v>Sethac Norte de Minas</v>
      </c>
      <c r="E188" s="20" t="str">
        <f ca="1"/>
        <v>Limpeza</v>
      </c>
      <c r="F188" s="20" t="str">
        <f ca="1"/>
        <v>PGJ</v>
      </c>
      <c r="BR188" s="26">
        <f ca="1"/>
        <v>8.8629737609329504E-2</v>
      </c>
      <c r="BS188" s="26">
        <f ca="1"/>
        <v>1.9241982507288629E-2</v>
      </c>
      <c r="BT188" s="26">
        <f ca="1"/>
        <v>0.05</v>
      </c>
      <c r="BU188" s="26">
        <f ca="1"/>
        <v>5.8309037900874633E-2</v>
      </c>
      <c r="BV188" s="26">
        <f ca="1"/>
        <v>0.14250000000000002</v>
      </c>
      <c r="BW188" s="26">
        <f ca="1"/>
        <v>0.16618075801749277</v>
      </c>
      <c r="CB188" s="24">
        <f ca="1"/>
        <v>45658</v>
      </c>
      <c r="CC188" s="20" t="str">
        <f ca="1"/>
        <v>-</v>
      </c>
      <c r="CD188" s="20" t="str">
        <f ca="1"/>
        <v>-</v>
      </c>
    </row>
    <row r="189" spans="2:82" x14ac:dyDescent="0.25">
      <c r="B189" s="27" t="str">
        <f ca="1"/>
        <v>Pitangui</v>
      </c>
      <c r="C189" s="27" t="str">
        <f ca="1"/>
        <v>Auxiliar de Limpeza - 110 h</v>
      </c>
      <c r="D189" s="27" t="str">
        <f ca="1"/>
        <v>Regiao de Divinopolis</v>
      </c>
      <c r="E189" s="20" t="str">
        <f ca="1"/>
        <v>Limpeza</v>
      </c>
      <c r="F189" s="20" t="str">
        <f ca="1"/>
        <v>PGJ</v>
      </c>
      <c r="BR189" s="26">
        <f ca="1"/>
        <v>8.5633802816901458E-2</v>
      </c>
      <c r="BS189" s="26">
        <f ca="1"/>
        <v>1.8591549295774657E-2</v>
      </c>
      <c r="BT189" s="26">
        <f ca="1"/>
        <v>0.02</v>
      </c>
      <c r="BU189" s="26">
        <f ca="1"/>
        <v>2.2535211267605645E-2</v>
      </c>
      <c r="BV189" s="26">
        <f ca="1"/>
        <v>0.1125</v>
      </c>
      <c r="BW189" s="26">
        <f ca="1"/>
        <v>0.12676056338028174</v>
      </c>
      <c r="CB189" s="24">
        <f ca="1"/>
        <v>45658</v>
      </c>
      <c r="CC189" s="20" t="str">
        <f ca="1"/>
        <v>-</v>
      </c>
      <c r="CD189" s="20" t="str">
        <f ca="1"/>
        <v>-</v>
      </c>
    </row>
    <row r="190" spans="2:82" x14ac:dyDescent="0.25">
      <c r="B190" s="27" t="str">
        <f ca="1"/>
        <v>Piumhi</v>
      </c>
      <c r="C190" s="27" t="str">
        <f ca="1"/>
        <v>Auxiliar de Limpeza - 110 h</v>
      </c>
      <c r="D190" s="27" t="str">
        <f ca="1"/>
        <v>Regiao de Sao Lourenco</v>
      </c>
      <c r="E190" s="20" t="str">
        <f ca="1"/>
        <v>Limpeza</v>
      </c>
      <c r="F190" s="20" t="str">
        <f ca="1"/>
        <v>PGJ</v>
      </c>
      <c r="BR190" s="26">
        <f ca="1"/>
        <v>8.8629737609329504E-2</v>
      </c>
      <c r="BS190" s="26">
        <f ca="1"/>
        <v>1.9241982507288629E-2</v>
      </c>
      <c r="BT190" s="26">
        <f ca="1"/>
        <v>0.05</v>
      </c>
      <c r="BU190" s="26">
        <f ca="1"/>
        <v>5.8309037900874633E-2</v>
      </c>
      <c r="BV190" s="26">
        <f ca="1"/>
        <v>0.14250000000000002</v>
      </c>
      <c r="BW190" s="26">
        <f ca="1"/>
        <v>0.16618075801749277</v>
      </c>
      <c r="CB190" s="24">
        <f ca="1"/>
        <v>45658</v>
      </c>
      <c r="CC190" s="20" t="str">
        <f ca="1"/>
        <v>-</v>
      </c>
      <c r="CD190" s="20" t="str">
        <f ca="1"/>
        <v>-</v>
      </c>
    </row>
    <row r="191" spans="2:82" x14ac:dyDescent="0.25">
      <c r="B191" s="27" t="str">
        <f ca="1"/>
        <v>Poco Fundo</v>
      </c>
      <c r="C191" s="27" t="str">
        <f ca="1"/>
        <v>Auxiliar de Limpeza - 220 h</v>
      </c>
      <c r="D191" s="27" t="str">
        <f ca="1"/>
        <v>Regiao de Sao Lourenco</v>
      </c>
      <c r="E191" s="20" t="str">
        <f ca="1"/>
        <v>Limpeza</v>
      </c>
      <c r="F191" s="20" t="str">
        <f ca="1"/>
        <v>PGJ</v>
      </c>
      <c r="BR191" s="26">
        <f ca="1"/>
        <v>8.6609686609686695E-2</v>
      </c>
      <c r="BS191" s="26">
        <f ca="1"/>
        <v>1.880341880341882E-2</v>
      </c>
      <c r="BT191" s="26">
        <f ca="1"/>
        <v>0.03</v>
      </c>
      <c r="BU191" s="26">
        <f ca="1"/>
        <v>3.4188034188034219E-2</v>
      </c>
      <c r="BV191" s="26">
        <f ca="1"/>
        <v>0.1225</v>
      </c>
      <c r="BW191" s="26">
        <f ca="1"/>
        <v>0.13960113960113973</v>
      </c>
      <c r="CB191" s="24">
        <f ca="1"/>
        <v>45658</v>
      </c>
      <c r="CC191" s="20" t="str">
        <f ca="1"/>
        <v>-</v>
      </c>
      <c r="CD191" s="20" t="str">
        <f ca="1"/>
        <v>-</v>
      </c>
    </row>
    <row r="192" spans="2:82" x14ac:dyDescent="0.25">
      <c r="B192" s="27" t="str">
        <f ca="1"/>
        <v>Pocos de Caldas</v>
      </c>
      <c r="C192" s="27" t="str">
        <f ca="1"/>
        <v>Auxiliar de Limpeza - 220 h</v>
      </c>
      <c r="D192" s="27" t="str">
        <f ca="1"/>
        <v>SETHPC - Pocos de Caldas</v>
      </c>
      <c r="E192" s="20" t="str">
        <f ca="1"/>
        <v>Limpeza</v>
      </c>
      <c r="F192" s="20" t="str">
        <f ca="1"/>
        <v>PGJ</v>
      </c>
      <c r="BR192" s="26">
        <f ca="1"/>
        <v>8.8629737609329504E-2</v>
      </c>
      <c r="BS192" s="26">
        <f ca="1"/>
        <v>1.9241982507288629E-2</v>
      </c>
      <c r="BT192" s="26">
        <f ca="1"/>
        <v>0.05</v>
      </c>
      <c r="BU192" s="26">
        <f ca="1"/>
        <v>5.8309037900874633E-2</v>
      </c>
      <c r="BV192" s="26">
        <f ca="1"/>
        <v>0.14250000000000002</v>
      </c>
      <c r="BW192" s="26">
        <f ca="1"/>
        <v>0.16618075801749277</v>
      </c>
      <c r="CB192" s="24">
        <f ca="1"/>
        <v>45658</v>
      </c>
      <c r="CC192" s="20" t="str">
        <f ca="1"/>
        <v>-</v>
      </c>
      <c r="CD192" s="20" t="str">
        <f ca="1"/>
        <v>-</v>
      </c>
    </row>
    <row r="193" spans="2:82" x14ac:dyDescent="0.25">
      <c r="B193" s="27" t="str">
        <f ca="1"/>
        <v>Pompeu</v>
      </c>
      <c r="C193" s="27" t="str">
        <f ca="1"/>
        <v>Auxiliar de Limpeza - 75 h</v>
      </c>
      <c r="D193" s="27" t="str">
        <f ca="1"/>
        <v>Curvelo</v>
      </c>
      <c r="E193" s="20" t="str">
        <f ca="1"/>
        <v>Limpeza</v>
      </c>
      <c r="F193" s="20" t="str">
        <f ca="1"/>
        <v>PGJ</v>
      </c>
      <c r="BR193" s="26">
        <f ca="1"/>
        <v>8.5633802816901458E-2</v>
      </c>
      <c r="BS193" s="26">
        <f ca="1"/>
        <v>1.8591549295774657E-2</v>
      </c>
      <c r="BT193" s="26">
        <f ca="1"/>
        <v>0.02</v>
      </c>
      <c r="BU193" s="26">
        <f ca="1"/>
        <v>2.2535211267605645E-2</v>
      </c>
      <c r="BV193" s="26">
        <f ca="1"/>
        <v>0.1125</v>
      </c>
      <c r="BW193" s="26">
        <f ca="1"/>
        <v>0.12676056338028174</v>
      </c>
      <c r="CB193" s="24">
        <f ca="1"/>
        <v>45658</v>
      </c>
      <c r="CC193" s="20" t="str">
        <f ca="1"/>
        <v>-</v>
      </c>
      <c r="CD193" s="20" t="str">
        <f ca="1"/>
        <v>-</v>
      </c>
    </row>
    <row r="194" spans="2:82" x14ac:dyDescent="0.25">
      <c r="B194" s="27" t="str">
        <f ca="1"/>
        <v>Pompeu</v>
      </c>
      <c r="C194" s="27" t="str">
        <f ca="1"/>
        <v>Auxiliar de Limpeza - 110 h</v>
      </c>
      <c r="D194" s="27" t="str">
        <f ca="1"/>
        <v>Curvelo</v>
      </c>
      <c r="E194" s="20" t="str">
        <f ca="1"/>
        <v>Limpeza</v>
      </c>
      <c r="F194" s="20" t="str">
        <f ca="1"/>
        <v>PGJ</v>
      </c>
      <c r="BR194" s="26">
        <f ca="1"/>
        <v>8.5633802816901458E-2</v>
      </c>
      <c r="BS194" s="26">
        <f ca="1"/>
        <v>1.8591549295774657E-2</v>
      </c>
      <c r="BT194" s="26">
        <f ca="1"/>
        <v>0.02</v>
      </c>
      <c r="BU194" s="26">
        <f ca="1"/>
        <v>2.2535211267605645E-2</v>
      </c>
      <c r="BV194" s="26">
        <f ca="1"/>
        <v>0.1125</v>
      </c>
      <c r="BW194" s="26">
        <f ca="1"/>
        <v>0.12676056338028174</v>
      </c>
      <c r="CB194" s="24">
        <f ca="1"/>
        <v>45658</v>
      </c>
      <c r="CC194" s="20" t="str">
        <f ca="1"/>
        <v>-</v>
      </c>
      <c r="CD194" s="20" t="str">
        <f ca="1"/>
        <v>-</v>
      </c>
    </row>
    <row r="195" spans="2:82" x14ac:dyDescent="0.25">
      <c r="B195" s="27" t="str">
        <f ca="1"/>
        <v>Ponte Nova</v>
      </c>
      <c r="C195" s="27" t="str">
        <f ca="1"/>
        <v>Auxiliar de Limpeza - 220 h</v>
      </c>
      <c r="D195" s="27" t="str">
        <f ca="1"/>
        <v>Regiao de Ouro Preto</v>
      </c>
      <c r="E195" s="20" t="str">
        <f ca="1"/>
        <v>Limpeza</v>
      </c>
      <c r="F195" s="20" t="str">
        <f ca="1"/>
        <v>PGJ</v>
      </c>
      <c r="BR195" s="26">
        <f ca="1"/>
        <v>8.6609686609686695E-2</v>
      </c>
      <c r="BS195" s="26">
        <f ca="1"/>
        <v>1.880341880341882E-2</v>
      </c>
      <c r="BT195" s="26">
        <f ca="1"/>
        <v>0.03</v>
      </c>
      <c r="BU195" s="26">
        <f ca="1"/>
        <v>3.4188034188034219E-2</v>
      </c>
      <c r="BV195" s="26">
        <f ca="1"/>
        <v>0.1225</v>
      </c>
      <c r="BW195" s="26">
        <f ca="1"/>
        <v>0.13960113960113973</v>
      </c>
      <c r="CB195" s="24">
        <f ca="1"/>
        <v>45658</v>
      </c>
      <c r="CC195" s="20" t="str">
        <f ca="1"/>
        <v>-</v>
      </c>
      <c r="CD195" s="20" t="str">
        <f ca="1"/>
        <v>-</v>
      </c>
    </row>
    <row r="196" spans="2:82" x14ac:dyDescent="0.25">
      <c r="B196" s="27" t="str">
        <f ca="1"/>
        <v>Porteirinha</v>
      </c>
      <c r="C196" s="27" t="str">
        <f ca="1"/>
        <v>Auxiliar de Limpeza - 110 h</v>
      </c>
      <c r="D196" s="27" t="str">
        <f ca="1"/>
        <v>Sethac Norte de Minas</v>
      </c>
      <c r="E196" s="20" t="str">
        <f ca="1"/>
        <v>Limpeza</v>
      </c>
      <c r="F196" s="20" t="str">
        <f ca="1"/>
        <v>PGJ</v>
      </c>
      <c r="BR196" s="26">
        <f ca="1"/>
        <v>8.8629737609329504E-2</v>
      </c>
      <c r="BS196" s="26">
        <f ca="1"/>
        <v>1.9241982507288629E-2</v>
      </c>
      <c r="BT196" s="26">
        <f ca="1"/>
        <v>0.05</v>
      </c>
      <c r="BU196" s="26">
        <f ca="1"/>
        <v>5.8309037900874633E-2</v>
      </c>
      <c r="BV196" s="26">
        <f ca="1"/>
        <v>0.14250000000000002</v>
      </c>
      <c r="BW196" s="26">
        <f ca="1"/>
        <v>0.16618075801749277</v>
      </c>
      <c r="CB196" s="24">
        <f ca="1"/>
        <v>45658</v>
      </c>
      <c r="CC196" s="20" t="str">
        <f ca="1"/>
        <v>-</v>
      </c>
      <c r="CD196" s="20" t="str">
        <f ca="1"/>
        <v>-</v>
      </c>
    </row>
    <row r="197" spans="2:82" x14ac:dyDescent="0.25">
      <c r="B197" s="27" t="str">
        <f ca="1"/>
        <v>Pouso Alegre</v>
      </c>
      <c r="C197" s="27" t="str">
        <f ca="1"/>
        <v>Auxiliar de Limpeza - 220 h</v>
      </c>
      <c r="D197" s="27" t="str">
        <f ca="1"/>
        <v>Regiao de Sao Lourenco</v>
      </c>
      <c r="E197" s="20" t="str">
        <f ca="1"/>
        <v>Limpeza</v>
      </c>
      <c r="F197" s="20" t="str">
        <f ca="1"/>
        <v>PGJ</v>
      </c>
      <c r="BR197" s="26">
        <f ca="1"/>
        <v>8.5633802816901458E-2</v>
      </c>
      <c r="BS197" s="26">
        <f ca="1"/>
        <v>1.8591549295774657E-2</v>
      </c>
      <c r="BT197" s="26">
        <f ca="1"/>
        <v>0.02</v>
      </c>
      <c r="BU197" s="26">
        <f ca="1"/>
        <v>2.2535211267605645E-2</v>
      </c>
      <c r="BV197" s="26">
        <f ca="1"/>
        <v>0.1125</v>
      </c>
      <c r="BW197" s="26">
        <f ca="1"/>
        <v>0.12676056338028174</v>
      </c>
      <c r="CB197" s="24">
        <f ca="1"/>
        <v>45658</v>
      </c>
      <c r="CC197" s="20" t="str">
        <f ca="1"/>
        <v>-</v>
      </c>
      <c r="CD197" s="20" t="str">
        <f ca="1"/>
        <v>-</v>
      </c>
    </row>
    <row r="198" spans="2:82" x14ac:dyDescent="0.25">
      <c r="B198" s="27" t="str">
        <f ca="1"/>
        <v>Prados</v>
      </c>
      <c r="C198" s="27" t="str">
        <f ca="1"/>
        <v>Auxiliar de Limpeza - 75 h</v>
      </c>
      <c r="D198" s="27" t="str">
        <f ca="1"/>
        <v>Regiao de Juiz de Fora</v>
      </c>
      <c r="E198" s="20" t="str">
        <f ca="1"/>
        <v>Limpeza</v>
      </c>
      <c r="F198" s="20" t="str">
        <f ca="1"/>
        <v>PGJ</v>
      </c>
      <c r="BR198" s="26">
        <f ca="1"/>
        <v>8.7106017191977067E-2</v>
      </c>
      <c r="BS198" s="26">
        <f ca="1"/>
        <v>1.8911174785100283E-2</v>
      </c>
      <c r="BT198" s="26">
        <f ca="1"/>
        <v>3.5000000000000003E-2</v>
      </c>
      <c r="BU198" s="26">
        <f ca="1"/>
        <v>4.0114613180515762E-2</v>
      </c>
      <c r="BV198" s="26">
        <f ca="1"/>
        <v>0.1275</v>
      </c>
      <c r="BW198" s="26">
        <f ca="1"/>
        <v>0.14613180515759311</v>
      </c>
      <c r="CB198" s="24">
        <f ca="1"/>
        <v>45658</v>
      </c>
      <c r="CC198" s="20" t="str">
        <f ca="1"/>
        <v>-</v>
      </c>
      <c r="CD198" s="20" t="str">
        <f ca="1"/>
        <v>-</v>
      </c>
    </row>
    <row r="199" spans="2:82" x14ac:dyDescent="0.25">
      <c r="B199" s="27" t="str">
        <f ca="1"/>
        <v>Presidente Olegario</v>
      </c>
      <c r="C199" s="27" t="str">
        <f ca="1"/>
        <v>Auxiliar de Limpeza - 75 h</v>
      </c>
      <c r="D199" s="27" t="str">
        <f ca="1"/>
        <v>Alto Paranaiba</v>
      </c>
      <c r="E199" s="20" t="str">
        <f ca="1"/>
        <v>Limpeza</v>
      </c>
      <c r="F199" s="20" t="str">
        <f ca="1"/>
        <v>PGJ</v>
      </c>
      <c r="BR199" s="26">
        <f ca="1"/>
        <v>8.6609686609686695E-2</v>
      </c>
      <c r="BS199" s="26">
        <f ca="1"/>
        <v>1.880341880341882E-2</v>
      </c>
      <c r="BT199" s="26">
        <f ca="1"/>
        <v>0.03</v>
      </c>
      <c r="BU199" s="26">
        <f ca="1"/>
        <v>3.4188034188034219E-2</v>
      </c>
      <c r="BV199" s="26">
        <f ca="1"/>
        <v>0.1225</v>
      </c>
      <c r="BW199" s="26">
        <f ca="1"/>
        <v>0.13960113960113973</v>
      </c>
      <c r="CB199" s="24">
        <f ca="1"/>
        <v>45658</v>
      </c>
      <c r="CC199" s="20" t="str">
        <f ca="1"/>
        <v>-</v>
      </c>
      <c r="CD199" s="20" t="str">
        <f ca="1"/>
        <v>-</v>
      </c>
    </row>
    <row r="200" spans="2:82" x14ac:dyDescent="0.25">
      <c r="B200" s="27" t="str">
        <f ca="1"/>
        <v>Raul Soares</v>
      </c>
      <c r="C200" s="27" t="str">
        <f ca="1"/>
        <v>Auxiliar de Limpeza - 75 h</v>
      </c>
      <c r="D200" s="27" t="str">
        <f ca="1"/>
        <v>Vicosa e Regiao</v>
      </c>
      <c r="E200" s="20" t="str">
        <f ca="1"/>
        <v>Limpeza</v>
      </c>
      <c r="F200" s="20" t="str">
        <f ca="1"/>
        <v>PGJ</v>
      </c>
      <c r="BR200" s="26">
        <f ca="1"/>
        <v>8.6609686609686695E-2</v>
      </c>
      <c r="BS200" s="26">
        <f ca="1"/>
        <v>1.880341880341882E-2</v>
      </c>
      <c r="BT200" s="26">
        <f ca="1"/>
        <v>0.03</v>
      </c>
      <c r="BU200" s="26">
        <f ca="1"/>
        <v>3.4188034188034219E-2</v>
      </c>
      <c r="BV200" s="26">
        <f ca="1"/>
        <v>0.1225</v>
      </c>
      <c r="BW200" s="26">
        <f ca="1"/>
        <v>0.13960113960113973</v>
      </c>
      <c r="CB200" s="24">
        <f ca="1"/>
        <v>45658</v>
      </c>
      <c r="CC200" s="20" t="str">
        <f ca="1"/>
        <v>-</v>
      </c>
      <c r="CD200" s="20" t="str">
        <f ca="1"/>
        <v>-</v>
      </c>
    </row>
    <row r="201" spans="2:82" x14ac:dyDescent="0.25">
      <c r="B201" s="27" t="str">
        <f ca="1"/>
        <v>Resplendor</v>
      </c>
      <c r="C201" s="27" t="str">
        <f ca="1"/>
        <v>Auxiliar de Limpeza - 75 h</v>
      </c>
      <c r="D201" s="27" t="str">
        <f ca="1"/>
        <v>Fethemg Interior</v>
      </c>
      <c r="E201" s="20" t="str">
        <f ca="1"/>
        <v>Limpeza</v>
      </c>
      <c r="F201" s="20" t="str">
        <f ca="1"/>
        <v>PGJ</v>
      </c>
      <c r="BR201" s="26">
        <f ca="1"/>
        <v>8.8629737609329504E-2</v>
      </c>
      <c r="BS201" s="26">
        <f ca="1"/>
        <v>1.9241982507288629E-2</v>
      </c>
      <c r="BT201" s="26">
        <f ca="1"/>
        <v>0.05</v>
      </c>
      <c r="BU201" s="26">
        <f ca="1"/>
        <v>5.8309037900874633E-2</v>
      </c>
      <c r="BV201" s="26">
        <f ca="1"/>
        <v>0.14250000000000002</v>
      </c>
      <c r="BW201" s="26">
        <f ca="1"/>
        <v>0.16618075801749277</v>
      </c>
      <c r="CB201" s="24">
        <f ca="1"/>
        <v>45658</v>
      </c>
      <c r="CC201" s="20" t="str">
        <f ca="1"/>
        <v>-</v>
      </c>
      <c r="CD201" s="20" t="str">
        <f ca="1"/>
        <v>-</v>
      </c>
    </row>
    <row r="202" spans="2:82" x14ac:dyDescent="0.25">
      <c r="B202" s="27" t="str">
        <f ca="1"/>
        <v>Ribeirao das Neves</v>
      </c>
      <c r="C202" s="27" t="str">
        <f ca="1"/>
        <v>Auxiliar de Limpeza - 110 h</v>
      </c>
      <c r="D202" s="27" t="str">
        <f ca="1"/>
        <v>Sind - Asseio</v>
      </c>
      <c r="E202" s="20" t="str">
        <f ca="1"/>
        <v>Limpeza</v>
      </c>
      <c r="F202" s="20" t="str">
        <f ca="1"/>
        <v>PGJ</v>
      </c>
      <c r="BR202" s="26">
        <f ca="1"/>
        <v>8.8629737609329504E-2</v>
      </c>
      <c r="BS202" s="26">
        <f ca="1"/>
        <v>1.9241982507288629E-2</v>
      </c>
      <c r="BT202" s="26">
        <f ca="1"/>
        <v>0.05</v>
      </c>
      <c r="BU202" s="26">
        <f ca="1"/>
        <v>5.8309037900874633E-2</v>
      </c>
      <c r="BV202" s="26">
        <f ca="1"/>
        <v>0.14250000000000002</v>
      </c>
      <c r="BW202" s="26">
        <f ca="1"/>
        <v>0.16618075801749277</v>
      </c>
      <c r="CB202" s="24">
        <f ca="1"/>
        <v>45658</v>
      </c>
      <c r="CC202" s="20" t="str">
        <f ca="1"/>
        <v>-</v>
      </c>
      <c r="CD202" s="20" t="str">
        <f ca="1"/>
        <v>-</v>
      </c>
    </row>
    <row r="203" spans="2:82" x14ac:dyDescent="0.25">
      <c r="B203" s="27" t="str">
        <f ca="1"/>
        <v>Ribeirao das Neves</v>
      </c>
      <c r="C203" s="27" t="str">
        <f ca="1"/>
        <v>Auxiliar de Limpeza - 220 h</v>
      </c>
      <c r="D203" s="27" t="str">
        <f ca="1"/>
        <v>Sind - Asseio</v>
      </c>
      <c r="E203" s="20" t="str">
        <f ca="1"/>
        <v>Limpeza</v>
      </c>
      <c r="F203" s="20" t="str">
        <f ca="1"/>
        <v>PGJ</v>
      </c>
      <c r="BR203" s="26">
        <f ca="1"/>
        <v>8.8629737609329504E-2</v>
      </c>
      <c r="BS203" s="26">
        <f ca="1"/>
        <v>1.9241982507288629E-2</v>
      </c>
      <c r="BT203" s="26">
        <f ca="1"/>
        <v>0.05</v>
      </c>
      <c r="BU203" s="26">
        <f ca="1"/>
        <v>5.8309037900874633E-2</v>
      </c>
      <c r="BV203" s="26">
        <f ca="1"/>
        <v>0.14250000000000002</v>
      </c>
      <c r="BW203" s="26">
        <f ca="1"/>
        <v>0.16618075801749277</v>
      </c>
      <c r="CB203" s="24">
        <f ca="1"/>
        <v>45658</v>
      </c>
      <c r="CC203" s="20" t="str">
        <f ca="1"/>
        <v>-</v>
      </c>
      <c r="CD203" s="20" t="str">
        <f ca="1"/>
        <v>-</v>
      </c>
    </row>
    <row r="204" spans="2:82" x14ac:dyDescent="0.25">
      <c r="B204" s="27" t="str">
        <f ca="1"/>
        <v>Rio Casca</v>
      </c>
      <c r="C204" s="27" t="str">
        <f ca="1"/>
        <v>Auxiliar de Limpeza - 75 h</v>
      </c>
      <c r="D204" s="27" t="str">
        <f ca="1"/>
        <v>Regiao de Ouro Preto</v>
      </c>
      <c r="E204" s="20" t="str">
        <f ca="1"/>
        <v>Limpeza</v>
      </c>
      <c r="F204" s="20" t="str">
        <f ca="1"/>
        <v>PGJ</v>
      </c>
      <c r="BR204" s="26">
        <f ca="1"/>
        <v>8.8629737609329504E-2</v>
      </c>
      <c r="BS204" s="26">
        <f ca="1"/>
        <v>1.9241982507288629E-2</v>
      </c>
      <c r="BT204" s="26">
        <f ca="1"/>
        <v>0.05</v>
      </c>
      <c r="BU204" s="26">
        <f ca="1"/>
        <v>5.8309037900874633E-2</v>
      </c>
      <c r="BV204" s="26">
        <f ca="1"/>
        <v>0.14250000000000002</v>
      </c>
      <c r="BW204" s="26">
        <f ca="1"/>
        <v>0.16618075801749277</v>
      </c>
      <c r="CB204" s="24">
        <f ca="1"/>
        <v>45658</v>
      </c>
      <c r="CC204" s="20" t="str">
        <f ca="1"/>
        <v>-</v>
      </c>
      <c r="CD204" s="20" t="str">
        <f ca="1"/>
        <v>-</v>
      </c>
    </row>
    <row r="205" spans="2:82" x14ac:dyDescent="0.25">
      <c r="B205" s="27" t="str">
        <f ca="1"/>
        <v>Rio Paranaiba</v>
      </c>
      <c r="C205" s="27" t="str">
        <f ca="1"/>
        <v>Auxiliar de Limpeza - 110 h</v>
      </c>
      <c r="D205" s="27" t="str">
        <f ca="1"/>
        <v>Alto Paranaiba</v>
      </c>
      <c r="E205" s="20" t="str">
        <f ca="1"/>
        <v>Limpeza</v>
      </c>
      <c r="F205" s="20" t="str">
        <f ca="1"/>
        <v>PGJ</v>
      </c>
      <c r="BR205" s="26">
        <f ca="1"/>
        <v>8.6609686609686695E-2</v>
      </c>
      <c r="BS205" s="26">
        <f ca="1"/>
        <v>1.880341880341882E-2</v>
      </c>
      <c r="BT205" s="26">
        <f ca="1"/>
        <v>0.03</v>
      </c>
      <c r="BU205" s="26">
        <f ca="1"/>
        <v>3.4188034188034219E-2</v>
      </c>
      <c r="BV205" s="26">
        <f ca="1"/>
        <v>0.1225</v>
      </c>
      <c r="BW205" s="26">
        <f ca="1"/>
        <v>0.13960113960113973</v>
      </c>
      <c r="CB205" s="24">
        <f ca="1"/>
        <v>45658</v>
      </c>
      <c r="CC205" s="20" t="str">
        <f ca="1"/>
        <v>-</v>
      </c>
      <c r="CD205" s="20" t="str">
        <f ca="1"/>
        <v>-</v>
      </c>
    </row>
    <row r="206" spans="2:82" x14ac:dyDescent="0.25">
      <c r="B206" s="27" t="str">
        <f ca="1"/>
        <v>Rio Pomba</v>
      </c>
      <c r="C206" s="27" t="str">
        <f ca="1"/>
        <v>Auxiliar de Limpeza - 75 h</v>
      </c>
      <c r="D206" s="27" t="str">
        <f ca="1"/>
        <v>Regiao de Juiz de Fora</v>
      </c>
      <c r="E206" s="20" t="str">
        <f ca="1"/>
        <v>Limpeza</v>
      </c>
      <c r="F206" s="20" t="str">
        <f ca="1"/>
        <v>PGJ</v>
      </c>
      <c r="BR206" s="26">
        <f ca="1"/>
        <v>8.6609686609686695E-2</v>
      </c>
      <c r="BS206" s="26">
        <f ca="1"/>
        <v>1.880341880341882E-2</v>
      </c>
      <c r="BT206" s="26">
        <f ca="1"/>
        <v>0.03</v>
      </c>
      <c r="BU206" s="26">
        <f ca="1"/>
        <v>3.4188034188034219E-2</v>
      </c>
      <c r="BV206" s="26">
        <f ca="1"/>
        <v>0.1225</v>
      </c>
      <c r="BW206" s="26">
        <f ca="1"/>
        <v>0.13960113960113973</v>
      </c>
      <c r="CB206" s="24">
        <f ca="1"/>
        <v>45658</v>
      </c>
      <c r="CC206" s="20" t="str">
        <f ca="1"/>
        <v>-</v>
      </c>
      <c r="CD206" s="20" t="str">
        <f ca="1"/>
        <v>-</v>
      </c>
    </row>
    <row r="207" spans="2:82" x14ac:dyDescent="0.25">
      <c r="B207" s="27" t="str">
        <f ca="1"/>
        <v>Rio Vermelho</v>
      </c>
      <c r="C207" s="27" t="str">
        <f ca="1"/>
        <v>Auxiliar de Limpeza - 110 h</v>
      </c>
      <c r="D207" s="27" t="str">
        <f ca="1"/>
        <v>Fethemg Interior</v>
      </c>
      <c r="E207" s="20" t="str">
        <f ca="1"/>
        <v>Limpeza</v>
      </c>
      <c r="F207" s="20" t="str">
        <f ca="1"/>
        <v>PGJ</v>
      </c>
      <c r="BR207" s="26">
        <f ca="1"/>
        <v>8.8629737609329504E-2</v>
      </c>
      <c r="BS207" s="26">
        <f ca="1"/>
        <v>1.9241982507288629E-2</v>
      </c>
      <c r="BT207" s="26">
        <f ca="1"/>
        <v>0.05</v>
      </c>
      <c r="BU207" s="26">
        <f ca="1"/>
        <v>5.8309037900874633E-2</v>
      </c>
      <c r="BV207" s="26">
        <f ca="1"/>
        <v>0.14250000000000002</v>
      </c>
      <c r="BW207" s="26">
        <f ca="1"/>
        <v>0.16618075801749277</v>
      </c>
      <c r="CB207" s="24">
        <f ca="1"/>
        <v>45658</v>
      </c>
      <c r="CC207" s="20" t="str">
        <f ca="1"/>
        <v>-</v>
      </c>
      <c r="CD207" s="20" t="str">
        <f ca="1"/>
        <v>-</v>
      </c>
    </row>
    <row r="208" spans="2:82" x14ac:dyDescent="0.25">
      <c r="B208" s="27" t="str">
        <f ca="1"/>
        <v>Sabara</v>
      </c>
      <c r="C208" s="27" t="str">
        <f ca="1"/>
        <v>Auxiliar de Limpeza - 150 h</v>
      </c>
      <c r="D208" s="27" t="str">
        <f ca="1"/>
        <v>Sind - Asseio</v>
      </c>
      <c r="E208" s="20" t="str">
        <f ca="1"/>
        <v>Limpeza</v>
      </c>
      <c r="F208" s="20" t="str">
        <f ca="1"/>
        <v>PGJ</v>
      </c>
      <c r="BR208" s="26">
        <f ca="1"/>
        <v>8.5633802816901458E-2</v>
      </c>
      <c r="BS208" s="26">
        <f ca="1"/>
        <v>1.8591549295774657E-2</v>
      </c>
      <c r="BT208" s="26">
        <f ca="1"/>
        <v>0.02</v>
      </c>
      <c r="BU208" s="26">
        <f ca="1"/>
        <v>2.2535211267605645E-2</v>
      </c>
      <c r="BV208" s="26">
        <f ca="1"/>
        <v>0.1125</v>
      </c>
      <c r="BW208" s="26">
        <f ca="1"/>
        <v>0.12676056338028174</v>
      </c>
      <c r="CB208" s="24">
        <f ca="1"/>
        <v>45658</v>
      </c>
      <c r="CC208" s="20" t="str">
        <f ca="1"/>
        <v>-</v>
      </c>
      <c r="CD208" s="20" t="str">
        <f ca="1"/>
        <v>-</v>
      </c>
    </row>
    <row r="209" spans="2:82" x14ac:dyDescent="0.25">
      <c r="B209" s="27" t="str">
        <f ca="1"/>
        <v>Sabinopolis</v>
      </c>
      <c r="C209" s="27" t="str">
        <f ca="1"/>
        <v>Auxiliar de Limpeza - 75 h</v>
      </c>
      <c r="D209" s="27" t="str">
        <f ca="1"/>
        <v>Fethemg Interior</v>
      </c>
      <c r="E209" s="20" t="str">
        <f ca="1"/>
        <v>Limpeza</v>
      </c>
      <c r="F209" s="20" t="str">
        <f ca="1"/>
        <v>PGJ</v>
      </c>
      <c r="BR209" s="26">
        <f ca="1"/>
        <v>8.8629737609329504E-2</v>
      </c>
      <c r="BS209" s="26">
        <f ca="1"/>
        <v>1.9241982507288629E-2</v>
      </c>
      <c r="BT209" s="26">
        <f ca="1"/>
        <v>0.05</v>
      </c>
      <c r="BU209" s="26">
        <f ca="1"/>
        <v>5.8309037900874633E-2</v>
      </c>
      <c r="BV209" s="26">
        <f ca="1"/>
        <v>0.14250000000000002</v>
      </c>
      <c r="BW209" s="26">
        <f ca="1"/>
        <v>0.16618075801749277</v>
      </c>
      <c r="CB209" s="24">
        <f ca="1"/>
        <v>45658</v>
      </c>
      <c r="CC209" s="20" t="str">
        <f ca="1"/>
        <v>-</v>
      </c>
      <c r="CD209" s="20" t="str">
        <f ca="1"/>
        <v>-</v>
      </c>
    </row>
    <row r="210" spans="2:82" x14ac:dyDescent="0.25">
      <c r="B210" s="27" t="str">
        <f ca="1"/>
        <v>Sacramento</v>
      </c>
      <c r="C210" s="27" t="str">
        <f ca="1"/>
        <v>Auxiliar de Limpeza - 110 h</v>
      </c>
      <c r="D210" s="27" t="str">
        <f ca="1"/>
        <v>Regiao Uberaba</v>
      </c>
      <c r="E210" s="20" t="str">
        <f ca="1"/>
        <v>Limpeza</v>
      </c>
      <c r="F210" s="20" t="str">
        <f ca="1"/>
        <v>PGJ</v>
      </c>
      <c r="BR210" s="26">
        <f ca="1"/>
        <v>8.6609686609686695E-2</v>
      </c>
      <c r="BS210" s="26">
        <f ca="1"/>
        <v>1.880341880341882E-2</v>
      </c>
      <c r="BT210" s="26">
        <f ca="1"/>
        <v>0.03</v>
      </c>
      <c r="BU210" s="26">
        <f ca="1"/>
        <v>3.4188034188034219E-2</v>
      </c>
      <c r="BV210" s="26">
        <f ca="1"/>
        <v>0.1225</v>
      </c>
      <c r="BW210" s="26">
        <f ca="1"/>
        <v>0.13960113960113973</v>
      </c>
      <c r="CB210" s="24">
        <f ca="1"/>
        <v>45658</v>
      </c>
      <c r="CC210" s="20" t="str">
        <f ca="1"/>
        <v>-</v>
      </c>
      <c r="CD210" s="20" t="str">
        <f ca="1"/>
        <v>-</v>
      </c>
    </row>
    <row r="211" spans="2:82" x14ac:dyDescent="0.25">
      <c r="B211" s="27" t="str">
        <f ca="1"/>
        <v>Salinas</v>
      </c>
      <c r="C211" s="27" t="str">
        <f ca="1"/>
        <v>Auxiliar de Limpeza - 75 h</v>
      </c>
      <c r="D211" s="27" t="str">
        <f ca="1"/>
        <v>Sethac Norte de Minas</v>
      </c>
      <c r="E211" s="20" t="str">
        <f ca="1"/>
        <v>Limpeza</v>
      </c>
      <c r="F211" s="20" t="str">
        <f ca="1"/>
        <v>PGJ</v>
      </c>
      <c r="BR211" s="26">
        <f ca="1"/>
        <v>8.6609686609686695E-2</v>
      </c>
      <c r="BS211" s="26">
        <f ca="1"/>
        <v>1.880341880341882E-2</v>
      </c>
      <c r="BT211" s="26">
        <f ca="1"/>
        <v>0.03</v>
      </c>
      <c r="BU211" s="26">
        <f ca="1"/>
        <v>3.4188034188034219E-2</v>
      </c>
      <c r="BV211" s="26">
        <f ca="1"/>
        <v>0.1225</v>
      </c>
      <c r="BW211" s="26">
        <f ca="1"/>
        <v>0.13960113960113973</v>
      </c>
      <c r="CB211" s="24">
        <f ca="1"/>
        <v>45658</v>
      </c>
      <c r="CC211" s="20" t="str">
        <f ca="1"/>
        <v>-</v>
      </c>
      <c r="CD211" s="20" t="str">
        <f ca="1"/>
        <v>-</v>
      </c>
    </row>
    <row r="212" spans="2:82" x14ac:dyDescent="0.25">
      <c r="B212" s="27" t="str">
        <f ca="1"/>
        <v>Santa Barbara</v>
      </c>
      <c r="C212" s="27" t="str">
        <f ca="1"/>
        <v>Auxiliar de Limpeza - 110 h</v>
      </c>
      <c r="D212" s="27" t="str">
        <f ca="1"/>
        <v>Regiao de Joao Monlevade</v>
      </c>
      <c r="E212" s="20" t="str">
        <f ca="1"/>
        <v>Limpeza</v>
      </c>
      <c r="F212" s="20" t="str">
        <f ca="1"/>
        <v>PGJ</v>
      </c>
      <c r="BR212" s="26">
        <f ca="1"/>
        <v>8.6609686609686695E-2</v>
      </c>
      <c r="BS212" s="26">
        <f ca="1"/>
        <v>1.880341880341882E-2</v>
      </c>
      <c r="BT212" s="26">
        <f ca="1"/>
        <v>0.03</v>
      </c>
      <c r="BU212" s="26">
        <f ca="1"/>
        <v>3.4188034188034219E-2</v>
      </c>
      <c r="BV212" s="26">
        <f ca="1"/>
        <v>0.1225</v>
      </c>
      <c r="BW212" s="26">
        <f ca="1"/>
        <v>0.13960113960113973</v>
      </c>
      <c r="CB212" s="24">
        <f ca="1"/>
        <v>45658</v>
      </c>
      <c r="CC212" s="20" t="str">
        <f ca="1"/>
        <v>-</v>
      </c>
      <c r="CD212" s="20" t="str">
        <f ca="1"/>
        <v>-</v>
      </c>
    </row>
    <row r="213" spans="2:82" x14ac:dyDescent="0.25">
      <c r="B213" s="27" t="str">
        <f ca="1"/>
        <v>Santa Luzia</v>
      </c>
      <c r="C213" s="27" t="str">
        <f ca="1"/>
        <v>Auxiliar de Limpeza - 220 h</v>
      </c>
      <c r="D213" s="27" t="str">
        <f ca="1"/>
        <v>Sind - Asseio</v>
      </c>
      <c r="E213" s="20" t="str">
        <f ca="1"/>
        <v>Limpeza</v>
      </c>
      <c r="F213" s="20" t="str">
        <f ca="1"/>
        <v>PGJ</v>
      </c>
      <c r="BR213" s="26">
        <f ca="1"/>
        <v>8.8629737609329504E-2</v>
      </c>
      <c r="BS213" s="26">
        <f ca="1"/>
        <v>1.9241982507288629E-2</v>
      </c>
      <c r="BT213" s="26">
        <f ca="1"/>
        <v>0.05</v>
      </c>
      <c r="BU213" s="26">
        <f ca="1"/>
        <v>5.8309037900874633E-2</v>
      </c>
      <c r="BV213" s="26">
        <f ca="1"/>
        <v>0.14250000000000002</v>
      </c>
      <c r="BW213" s="26">
        <f ca="1"/>
        <v>0.16618075801749277</v>
      </c>
      <c r="CB213" s="24">
        <f ca="1"/>
        <v>45658</v>
      </c>
      <c r="CC213" s="20" t="str">
        <f ca="1"/>
        <v>-</v>
      </c>
      <c r="CD213" s="20" t="str">
        <f ca="1"/>
        <v>-</v>
      </c>
    </row>
    <row r="214" spans="2:82" x14ac:dyDescent="0.25">
      <c r="B214" s="27" t="str">
        <f ca="1"/>
        <v>Santa Maria do Suacui</v>
      </c>
      <c r="C214" s="27" t="str">
        <f ca="1"/>
        <v>Auxiliar de Limpeza - 110 h</v>
      </c>
      <c r="D214" s="27" t="str">
        <f ca="1"/>
        <v>Fethemg Interior</v>
      </c>
      <c r="E214" s="20" t="str">
        <f ca="1"/>
        <v>Limpeza</v>
      </c>
      <c r="F214" s="20" t="str">
        <f ca="1"/>
        <v>PGJ</v>
      </c>
      <c r="BR214" s="26">
        <f ca="1"/>
        <v>8.8629737609329504E-2</v>
      </c>
      <c r="BS214" s="26">
        <f ca="1"/>
        <v>1.9241982507288629E-2</v>
      </c>
      <c r="BT214" s="26">
        <f ca="1"/>
        <v>0.05</v>
      </c>
      <c r="BU214" s="26">
        <f ca="1"/>
        <v>5.8309037900874633E-2</v>
      </c>
      <c r="BV214" s="26">
        <f ca="1"/>
        <v>0.14250000000000002</v>
      </c>
      <c r="BW214" s="26">
        <f ca="1"/>
        <v>0.16618075801749277</v>
      </c>
      <c r="CB214" s="24">
        <f ca="1"/>
        <v>45658</v>
      </c>
      <c r="CC214" s="20" t="str">
        <f ca="1"/>
        <v>-</v>
      </c>
      <c r="CD214" s="20" t="str">
        <f ca="1"/>
        <v>-</v>
      </c>
    </row>
    <row r="215" spans="2:82" x14ac:dyDescent="0.25">
      <c r="B215" s="27" t="str">
        <f ca="1"/>
        <v>Santa Rita de Caldas</v>
      </c>
      <c r="C215" s="27" t="str">
        <f ca="1"/>
        <v>Auxiliar de Limpeza - 150 h</v>
      </c>
      <c r="D215" s="27" t="str">
        <f ca="1"/>
        <v>Regiao de Sao Lourenco</v>
      </c>
      <c r="E215" s="20" t="str">
        <f ca="1"/>
        <v>Limpeza</v>
      </c>
      <c r="F215" s="20" t="str">
        <f ca="1"/>
        <v>PGJ</v>
      </c>
      <c r="BR215" s="26">
        <f ca="1"/>
        <v>8.6609686609686695E-2</v>
      </c>
      <c r="BS215" s="26">
        <f ca="1"/>
        <v>1.880341880341882E-2</v>
      </c>
      <c r="BT215" s="26">
        <f ca="1"/>
        <v>0.03</v>
      </c>
      <c r="BU215" s="26">
        <f ca="1"/>
        <v>3.4188034188034219E-2</v>
      </c>
      <c r="BV215" s="26">
        <f ca="1"/>
        <v>0.1225</v>
      </c>
      <c r="BW215" s="26">
        <f ca="1"/>
        <v>0.13960113960113973</v>
      </c>
      <c r="CB215" s="24">
        <f ca="1"/>
        <v>45658</v>
      </c>
      <c r="CC215" s="20" t="str">
        <f ca="1"/>
        <v>-</v>
      </c>
      <c r="CD215" s="20" t="str">
        <f ca="1"/>
        <v>-</v>
      </c>
    </row>
    <row r="216" spans="2:82" x14ac:dyDescent="0.25">
      <c r="B216" s="27" t="str">
        <f ca="1"/>
        <v>Santa Rita do Sapucai</v>
      </c>
      <c r="C216" s="27" t="str">
        <f ca="1"/>
        <v>Auxiliar de Limpeza - 110 h</v>
      </c>
      <c r="D216" s="27" t="str">
        <f ca="1"/>
        <v>Regiao de Sao Lourenco</v>
      </c>
      <c r="E216" s="20" t="str">
        <f ca="1"/>
        <v>Limpeza</v>
      </c>
      <c r="F216" s="20" t="str">
        <f ca="1"/>
        <v>PGJ</v>
      </c>
      <c r="BR216" s="26">
        <f ca="1"/>
        <v>8.6609686609686695E-2</v>
      </c>
      <c r="BS216" s="26">
        <f ca="1"/>
        <v>1.880341880341882E-2</v>
      </c>
      <c r="BT216" s="26">
        <f ca="1"/>
        <v>0.03</v>
      </c>
      <c r="BU216" s="26">
        <f ca="1"/>
        <v>3.4188034188034219E-2</v>
      </c>
      <c r="BV216" s="26">
        <f ca="1"/>
        <v>0.1225</v>
      </c>
      <c r="BW216" s="26">
        <f ca="1"/>
        <v>0.13960113960113973</v>
      </c>
      <c r="CB216" s="24">
        <f ca="1"/>
        <v>45658</v>
      </c>
      <c r="CC216" s="20" t="str">
        <f ca="1"/>
        <v>-</v>
      </c>
      <c r="CD216" s="20" t="str">
        <f ca="1"/>
        <v>-</v>
      </c>
    </row>
    <row r="217" spans="2:82" x14ac:dyDescent="0.25">
      <c r="B217" s="27" t="str">
        <f ca="1"/>
        <v>Santa Vitoria</v>
      </c>
      <c r="C217" s="27" t="str">
        <f ca="1"/>
        <v>Auxiliar de Limpeza - 75 h</v>
      </c>
      <c r="D217" s="27" t="str">
        <f ca="1"/>
        <v>Alto Paranaiba</v>
      </c>
      <c r="E217" s="20" t="str">
        <f ca="1"/>
        <v>Limpeza</v>
      </c>
      <c r="F217" s="20" t="str">
        <f ca="1"/>
        <v>PGJ</v>
      </c>
      <c r="BR217" s="26">
        <f ca="1"/>
        <v>8.6609686609686695E-2</v>
      </c>
      <c r="BS217" s="26">
        <f ca="1"/>
        <v>1.880341880341882E-2</v>
      </c>
      <c r="BT217" s="26">
        <f ca="1"/>
        <v>0.03</v>
      </c>
      <c r="BU217" s="26">
        <f ca="1"/>
        <v>3.4188034188034219E-2</v>
      </c>
      <c r="BV217" s="26">
        <f ca="1"/>
        <v>0.1225</v>
      </c>
      <c r="BW217" s="26">
        <f ca="1"/>
        <v>0.13960113960113973</v>
      </c>
      <c r="CB217" s="24">
        <f ca="1"/>
        <v>45658</v>
      </c>
      <c r="CC217" s="20" t="str">
        <f ca="1"/>
        <v>-</v>
      </c>
      <c r="CD217" s="20" t="str">
        <f ca="1"/>
        <v>-</v>
      </c>
    </row>
    <row r="218" spans="2:82" x14ac:dyDescent="0.25">
      <c r="B218" s="27" t="str">
        <f ca="1"/>
        <v>Santo Antonio do Monte</v>
      </c>
      <c r="C218" s="27" t="str">
        <f ca="1"/>
        <v>Auxiliar de Limpeza - 220 h</v>
      </c>
      <c r="D218" s="27" t="str">
        <f ca="1"/>
        <v>Regiao de Divinopolis</v>
      </c>
      <c r="E218" s="20" t="str">
        <f ca="1"/>
        <v>Limpeza</v>
      </c>
      <c r="F218" s="20" t="str">
        <f ca="1"/>
        <v>PGJ</v>
      </c>
      <c r="BR218" s="26">
        <f ca="1"/>
        <v>8.6609686609686695E-2</v>
      </c>
      <c r="BS218" s="26">
        <f ca="1"/>
        <v>1.880341880341882E-2</v>
      </c>
      <c r="BT218" s="26">
        <f ca="1"/>
        <v>0.03</v>
      </c>
      <c r="BU218" s="26">
        <f ca="1"/>
        <v>3.4188034188034219E-2</v>
      </c>
      <c r="BV218" s="26">
        <f ca="1"/>
        <v>0.1225</v>
      </c>
      <c r="BW218" s="26">
        <f ca="1"/>
        <v>0.13960113960113973</v>
      </c>
      <c r="CB218" s="24">
        <f ca="1"/>
        <v>45658</v>
      </c>
      <c r="CC218" s="20" t="str">
        <f ca="1"/>
        <v>-</v>
      </c>
      <c r="CD218" s="20" t="str">
        <f ca="1"/>
        <v>-</v>
      </c>
    </row>
    <row r="219" spans="2:82" x14ac:dyDescent="0.25">
      <c r="B219" s="27" t="str">
        <f ca="1"/>
        <v>Sao Francisco</v>
      </c>
      <c r="C219" s="27" t="str">
        <f ca="1"/>
        <v>Auxiliar de Limpeza - 220 h</v>
      </c>
      <c r="D219" s="27" t="str">
        <f ca="1"/>
        <v>Sethac Norte de Minas</v>
      </c>
      <c r="E219" s="20" t="str">
        <f ca="1"/>
        <v>Limpeza</v>
      </c>
      <c r="F219" s="20" t="str">
        <f ca="1"/>
        <v>PGJ</v>
      </c>
      <c r="BR219" s="26">
        <f ca="1"/>
        <v>8.5633802816901458E-2</v>
      </c>
      <c r="BS219" s="26">
        <f ca="1"/>
        <v>1.8591549295774657E-2</v>
      </c>
      <c r="BT219" s="26">
        <f ca="1"/>
        <v>0.02</v>
      </c>
      <c r="BU219" s="26">
        <f ca="1"/>
        <v>2.2535211267605645E-2</v>
      </c>
      <c r="BV219" s="26">
        <f ca="1"/>
        <v>0.1125</v>
      </c>
      <c r="BW219" s="26">
        <f ca="1"/>
        <v>0.12676056338028174</v>
      </c>
      <c r="CB219" s="24">
        <f ca="1"/>
        <v>45658</v>
      </c>
      <c r="CC219" s="20" t="str">
        <f ca="1"/>
        <v>-</v>
      </c>
      <c r="CD219" s="20" t="str">
        <f ca="1"/>
        <v>-</v>
      </c>
    </row>
    <row r="220" spans="2:82" x14ac:dyDescent="0.25">
      <c r="B220" s="27" t="str">
        <f ca="1"/>
        <v>Sao Goncalo do Sapucai</v>
      </c>
      <c r="C220" s="27" t="str">
        <f ca="1"/>
        <v>Auxiliar de Limpeza - 75 h</v>
      </c>
      <c r="D220" s="27" t="str">
        <f ca="1"/>
        <v>Regiao de Sao Lourenco</v>
      </c>
      <c r="E220" s="20" t="str">
        <f ca="1"/>
        <v>Limpeza</v>
      </c>
      <c r="F220" s="20" t="str">
        <f ca="1"/>
        <v>PGJ</v>
      </c>
      <c r="BR220" s="26">
        <f ca="1"/>
        <v>8.5633802816901458E-2</v>
      </c>
      <c r="BS220" s="26">
        <f ca="1"/>
        <v>1.8591549295774657E-2</v>
      </c>
      <c r="BT220" s="26">
        <f ca="1"/>
        <v>0.02</v>
      </c>
      <c r="BU220" s="26">
        <f ca="1"/>
        <v>2.2535211267605645E-2</v>
      </c>
      <c r="BV220" s="26">
        <f ca="1"/>
        <v>0.1125</v>
      </c>
      <c r="BW220" s="26">
        <f ca="1"/>
        <v>0.12676056338028174</v>
      </c>
      <c r="CB220" s="24">
        <f ca="1"/>
        <v>45658</v>
      </c>
      <c r="CC220" s="20" t="str">
        <f ca="1"/>
        <v>-</v>
      </c>
      <c r="CD220" s="20" t="str">
        <f ca="1"/>
        <v>-</v>
      </c>
    </row>
    <row r="221" spans="2:82" x14ac:dyDescent="0.25">
      <c r="B221" s="27" t="str">
        <f ca="1"/>
        <v>Sao Gotardo</v>
      </c>
      <c r="C221" s="27" t="str">
        <f ca="1"/>
        <v>Auxiliar de Limpeza - 150 h</v>
      </c>
      <c r="D221" s="27" t="str">
        <f ca="1"/>
        <v>Alto Paranaiba</v>
      </c>
      <c r="E221" s="20" t="str">
        <f ca="1"/>
        <v>Limpeza</v>
      </c>
      <c r="F221" s="20" t="str">
        <f ca="1"/>
        <v>PGJ</v>
      </c>
      <c r="BR221" s="26">
        <f ca="1"/>
        <v>8.5633802816901458E-2</v>
      </c>
      <c r="BS221" s="26">
        <f ca="1"/>
        <v>1.8591549295774657E-2</v>
      </c>
      <c r="BT221" s="26">
        <f ca="1"/>
        <v>0.02</v>
      </c>
      <c r="BU221" s="26">
        <f ca="1"/>
        <v>2.2535211267605645E-2</v>
      </c>
      <c r="BV221" s="26">
        <f ca="1"/>
        <v>0.1125</v>
      </c>
      <c r="BW221" s="26">
        <f ca="1"/>
        <v>0.12676056338028174</v>
      </c>
      <c r="CB221" s="24">
        <f ca="1"/>
        <v>45658</v>
      </c>
      <c r="CC221" s="20" t="str">
        <f ca="1"/>
        <v>-</v>
      </c>
      <c r="CD221" s="20" t="str">
        <f ca="1"/>
        <v>-</v>
      </c>
    </row>
    <row r="222" spans="2:82" x14ac:dyDescent="0.25">
      <c r="B222" s="27" t="str">
        <f ca="1"/>
        <v>Sao Joao da Ponte</v>
      </c>
      <c r="C222" s="27" t="str">
        <f ca="1"/>
        <v>Auxiliar de Limpeza - 75 h</v>
      </c>
      <c r="D222" s="27" t="str">
        <f ca="1"/>
        <v>Sethac Norte de Minas</v>
      </c>
      <c r="E222" s="20" t="str">
        <f ca="1"/>
        <v>Limpeza</v>
      </c>
      <c r="F222" s="20" t="str">
        <f ca="1"/>
        <v>PGJ</v>
      </c>
      <c r="BR222" s="26">
        <f ca="1"/>
        <v>8.8629737609329504E-2</v>
      </c>
      <c r="BS222" s="26">
        <f ca="1"/>
        <v>1.9241982507288629E-2</v>
      </c>
      <c r="BT222" s="26">
        <f ca="1"/>
        <v>0.05</v>
      </c>
      <c r="BU222" s="26">
        <f ca="1"/>
        <v>5.8309037900874633E-2</v>
      </c>
      <c r="BV222" s="26">
        <f ca="1"/>
        <v>0.14250000000000002</v>
      </c>
      <c r="BW222" s="26">
        <f ca="1"/>
        <v>0.16618075801749277</v>
      </c>
      <c r="CB222" s="24">
        <f ca="1"/>
        <v>45658</v>
      </c>
      <c r="CC222" s="20" t="str">
        <f ca="1"/>
        <v>-</v>
      </c>
      <c r="CD222" s="20" t="str">
        <f ca="1"/>
        <v>-</v>
      </c>
    </row>
    <row r="223" spans="2:82" x14ac:dyDescent="0.25">
      <c r="B223" s="27" t="str">
        <f ca="1"/>
        <v>Sao Joao del Rei</v>
      </c>
      <c r="C223" s="27" t="str">
        <f ca="1"/>
        <v>Auxiliar de Limpeza - 220 h</v>
      </c>
      <c r="D223" s="27" t="str">
        <f ca="1"/>
        <v>Regiao de Juiz de Fora</v>
      </c>
      <c r="E223" s="20" t="str">
        <f ca="1"/>
        <v>Limpeza</v>
      </c>
      <c r="F223" s="20" t="str">
        <f ca="1"/>
        <v>PGJ</v>
      </c>
      <c r="BR223" s="26">
        <f ca="1"/>
        <v>8.8629737609329504E-2</v>
      </c>
      <c r="BS223" s="26">
        <f ca="1"/>
        <v>1.9241982507288629E-2</v>
      </c>
      <c r="BT223" s="26">
        <f ca="1"/>
        <v>0.05</v>
      </c>
      <c r="BU223" s="26">
        <f ca="1"/>
        <v>5.8309037900874633E-2</v>
      </c>
      <c r="BV223" s="26">
        <f ca="1"/>
        <v>0.14250000000000002</v>
      </c>
      <c r="BW223" s="26">
        <f ca="1"/>
        <v>0.16618075801749277</v>
      </c>
      <c r="CB223" s="24">
        <f ca="1"/>
        <v>45658</v>
      </c>
      <c r="CC223" s="20" t="str">
        <f ca="1"/>
        <v>-</v>
      </c>
      <c r="CD223" s="20" t="str">
        <f ca="1"/>
        <v>-</v>
      </c>
    </row>
    <row r="224" spans="2:82" x14ac:dyDescent="0.25">
      <c r="B224" s="27" t="str">
        <f ca="1"/>
        <v>Sao Joao Nepomuceno</v>
      </c>
      <c r="C224" s="27" t="str">
        <f ca="1"/>
        <v>Auxiliar de Limpeza - 75 h</v>
      </c>
      <c r="D224" s="27" t="str">
        <f ca="1"/>
        <v>Regiao de Juiz de Fora</v>
      </c>
      <c r="E224" s="20" t="str">
        <f ca="1"/>
        <v>Limpeza</v>
      </c>
      <c r="F224" s="20" t="str">
        <f ca="1"/>
        <v>PGJ</v>
      </c>
      <c r="BR224" s="26">
        <f ca="1"/>
        <v>8.6609686609686695E-2</v>
      </c>
      <c r="BS224" s="26">
        <f ca="1"/>
        <v>1.880341880341882E-2</v>
      </c>
      <c r="BT224" s="26">
        <f ca="1"/>
        <v>0.03</v>
      </c>
      <c r="BU224" s="26">
        <f ca="1"/>
        <v>3.4188034188034219E-2</v>
      </c>
      <c r="BV224" s="26">
        <f ca="1"/>
        <v>0.1225</v>
      </c>
      <c r="BW224" s="26">
        <f ca="1"/>
        <v>0.13960113960113973</v>
      </c>
      <c r="CB224" s="24">
        <f ca="1"/>
        <v>45658</v>
      </c>
      <c r="CC224" s="20" t="str">
        <f ca="1"/>
        <v>-</v>
      </c>
      <c r="CD224" s="20" t="str">
        <f ca="1"/>
        <v>-</v>
      </c>
    </row>
    <row r="225" spans="2:82" x14ac:dyDescent="0.25">
      <c r="B225" s="27" t="str">
        <f ca="1"/>
        <v>Sao Lourenco</v>
      </c>
      <c r="C225" s="27" t="str">
        <f ca="1"/>
        <v>Auxiliar de Limpeza - 220 h</v>
      </c>
      <c r="D225" s="27" t="str">
        <f ca="1"/>
        <v>Sao Lourenco</v>
      </c>
      <c r="E225" s="20" t="str">
        <f ca="1"/>
        <v>Limpeza</v>
      </c>
      <c r="F225" s="20" t="str">
        <f ca="1"/>
        <v>PGJ</v>
      </c>
      <c r="BR225" s="26">
        <f ca="1"/>
        <v>8.6609686609686695E-2</v>
      </c>
      <c r="BS225" s="26">
        <f ca="1"/>
        <v>1.880341880341882E-2</v>
      </c>
      <c r="BT225" s="26">
        <f ca="1"/>
        <v>0.03</v>
      </c>
      <c r="BU225" s="26">
        <f ca="1"/>
        <v>3.4188034188034219E-2</v>
      </c>
      <c r="BV225" s="26">
        <f ca="1"/>
        <v>0.1225</v>
      </c>
      <c r="BW225" s="26">
        <f ca="1"/>
        <v>0.13960113960113973</v>
      </c>
      <c r="CB225" s="24">
        <f ca="1"/>
        <v>45658</v>
      </c>
      <c r="CC225" s="20" t="str">
        <f ca="1"/>
        <v>-</v>
      </c>
      <c r="CD225" s="20" t="str">
        <f ca="1"/>
        <v>-</v>
      </c>
    </row>
    <row r="226" spans="2:82" x14ac:dyDescent="0.25">
      <c r="B226" s="27" t="str">
        <f ca="1"/>
        <v>Sao Romao</v>
      </c>
      <c r="C226" s="27" t="str">
        <f ca="1"/>
        <v>Auxiliar de Limpeza - 110 h</v>
      </c>
      <c r="D226" s="27" t="str">
        <f ca="1"/>
        <v>Sethac Norte de Minas</v>
      </c>
      <c r="E226" s="20" t="str">
        <f ca="1"/>
        <v>Limpeza</v>
      </c>
      <c r="F226" s="20" t="str">
        <f ca="1"/>
        <v>PGJ</v>
      </c>
      <c r="BR226" s="26">
        <f ca="1"/>
        <v>8.6609686609686695E-2</v>
      </c>
      <c r="BS226" s="26">
        <f ca="1"/>
        <v>1.880341880341882E-2</v>
      </c>
      <c r="BT226" s="26">
        <f ca="1"/>
        <v>0.03</v>
      </c>
      <c r="BU226" s="26">
        <f ca="1"/>
        <v>3.4188034188034219E-2</v>
      </c>
      <c r="BV226" s="26">
        <f ca="1"/>
        <v>0.1225</v>
      </c>
      <c r="BW226" s="26">
        <f ca="1"/>
        <v>0.13960113960113973</v>
      </c>
      <c r="CB226" s="24">
        <f ca="1"/>
        <v>45658</v>
      </c>
      <c r="CC226" s="20" t="str">
        <f ca="1"/>
        <v>-</v>
      </c>
      <c r="CD226" s="20" t="str">
        <f ca="1"/>
        <v>-</v>
      </c>
    </row>
    <row r="227" spans="2:82" x14ac:dyDescent="0.25">
      <c r="B227" s="27" t="str">
        <f ca="1"/>
        <v>Sao Romao</v>
      </c>
      <c r="C227" s="27" t="str">
        <f ca="1"/>
        <v>Auxiliar de Limpeza - 220 h</v>
      </c>
      <c r="D227" s="27" t="str">
        <f ca="1"/>
        <v>Sethac Norte de Minas</v>
      </c>
      <c r="E227" s="20" t="str">
        <f ca="1"/>
        <v>Limpeza</v>
      </c>
      <c r="F227" s="20" t="str">
        <f ca="1"/>
        <v>PGJ</v>
      </c>
      <c r="BR227" s="26">
        <f ca="1"/>
        <v>8.6609686609686695E-2</v>
      </c>
      <c r="BS227" s="26">
        <f ca="1"/>
        <v>1.880341880341882E-2</v>
      </c>
      <c r="BT227" s="26">
        <f ca="1"/>
        <v>0.03</v>
      </c>
      <c r="BU227" s="26">
        <f ca="1"/>
        <v>3.4188034188034219E-2</v>
      </c>
      <c r="BV227" s="26">
        <f ca="1"/>
        <v>0.1225</v>
      </c>
      <c r="BW227" s="26">
        <f ca="1"/>
        <v>0.13960113960113973</v>
      </c>
      <c r="CB227" s="24">
        <f ca="1"/>
        <v>45658</v>
      </c>
      <c r="CC227" s="20" t="str">
        <f ca="1"/>
        <v>-</v>
      </c>
      <c r="CD227" s="20" t="str">
        <f ca="1"/>
        <v>-</v>
      </c>
    </row>
    <row r="228" spans="2:82" x14ac:dyDescent="0.25">
      <c r="B228" s="27" t="str">
        <f ca="1"/>
        <v>Sao Sebastiao do Paraiso</v>
      </c>
      <c r="C228" s="27" t="str">
        <f ca="1"/>
        <v>Auxiliar de Limpeza - 220 h</v>
      </c>
      <c r="D228" s="27" t="str">
        <f ca="1"/>
        <v>Regiao de Sao Lourenco</v>
      </c>
      <c r="E228" s="20" t="str">
        <f ca="1"/>
        <v>Limpeza</v>
      </c>
      <c r="F228" s="20" t="str">
        <f ca="1"/>
        <v>PGJ</v>
      </c>
      <c r="BR228" s="26">
        <f ca="1"/>
        <v>8.6609686609686695E-2</v>
      </c>
      <c r="BS228" s="26">
        <f ca="1"/>
        <v>1.880341880341882E-2</v>
      </c>
      <c r="BT228" s="26">
        <f ca="1"/>
        <v>0.03</v>
      </c>
      <c r="BU228" s="26">
        <f ca="1"/>
        <v>3.4188034188034219E-2</v>
      </c>
      <c r="BV228" s="26">
        <f ca="1"/>
        <v>0.1225</v>
      </c>
      <c r="BW228" s="26">
        <f ca="1"/>
        <v>0.13960113960113973</v>
      </c>
      <c r="CB228" s="24">
        <f ca="1"/>
        <v>45658</v>
      </c>
      <c r="CC228" s="20" t="str">
        <f ca="1"/>
        <v>-</v>
      </c>
      <c r="CD228" s="20" t="str">
        <f ca="1"/>
        <v>-</v>
      </c>
    </row>
    <row r="229" spans="2:82" x14ac:dyDescent="0.25">
      <c r="B229" s="27" t="str">
        <f ca="1"/>
        <v>Serro</v>
      </c>
      <c r="C229" s="27" t="str">
        <f ca="1"/>
        <v>Auxiliar de Limpeza - 110 h</v>
      </c>
      <c r="D229" s="27" t="str">
        <f ca="1"/>
        <v>Curvelo</v>
      </c>
      <c r="E229" s="20" t="str">
        <f ca="1"/>
        <v>Limpeza</v>
      </c>
      <c r="F229" s="20" t="str">
        <f ca="1"/>
        <v>PGJ</v>
      </c>
      <c r="BR229" s="26">
        <f ca="1"/>
        <v>8.6609686609686695E-2</v>
      </c>
      <c r="BS229" s="26">
        <f ca="1"/>
        <v>1.880341880341882E-2</v>
      </c>
      <c r="BT229" s="26">
        <f ca="1"/>
        <v>0.03</v>
      </c>
      <c r="BU229" s="26">
        <f ca="1"/>
        <v>3.4188034188034219E-2</v>
      </c>
      <c r="BV229" s="26">
        <f ca="1"/>
        <v>0.1225</v>
      </c>
      <c r="BW229" s="26">
        <f ca="1"/>
        <v>0.13960113960113973</v>
      </c>
      <c r="CB229" s="24">
        <f ca="1"/>
        <v>45658</v>
      </c>
      <c r="CC229" s="20" t="str">
        <f ca="1"/>
        <v>-</v>
      </c>
      <c r="CD229" s="20" t="str">
        <f ca="1"/>
        <v>-</v>
      </c>
    </row>
    <row r="230" spans="2:82" x14ac:dyDescent="0.25">
      <c r="B230" s="27" t="str">
        <f ca="1"/>
        <v>Sete Lagoas</v>
      </c>
      <c r="C230" s="27" t="str">
        <f ca="1"/>
        <v>Auxiliar de Limpeza - 220 h</v>
      </c>
      <c r="D230" s="27" t="str">
        <f ca="1"/>
        <v>Sete Lagoas</v>
      </c>
      <c r="E230" s="20" t="str">
        <f ca="1"/>
        <v>Limpeza</v>
      </c>
      <c r="F230" s="20" t="str">
        <f ca="1"/>
        <v>PGJ</v>
      </c>
      <c r="BR230" s="26">
        <f ca="1"/>
        <v>8.6609686609686695E-2</v>
      </c>
      <c r="BS230" s="26">
        <f ca="1"/>
        <v>1.880341880341882E-2</v>
      </c>
      <c r="BT230" s="26">
        <f ca="1"/>
        <v>0.03</v>
      </c>
      <c r="BU230" s="26">
        <f ca="1"/>
        <v>3.4188034188034219E-2</v>
      </c>
      <c r="BV230" s="26">
        <f ca="1"/>
        <v>0.1225</v>
      </c>
      <c r="BW230" s="26">
        <f ca="1"/>
        <v>0.13960113960113973</v>
      </c>
      <c r="CB230" s="24">
        <f ca="1"/>
        <v>45658</v>
      </c>
      <c r="CC230" s="20" t="str">
        <f ca="1"/>
        <v>-</v>
      </c>
      <c r="CD230" s="20" t="str">
        <f ca="1"/>
        <v>-</v>
      </c>
    </row>
    <row r="231" spans="2:82" x14ac:dyDescent="0.25">
      <c r="B231" s="27" t="str">
        <f ca="1"/>
        <v>Taiobeiras</v>
      </c>
      <c r="C231" s="27" t="str">
        <f ca="1"/>
        <v>Auxiliar de Limpeza - 110 h</v>
      </c>
      <c r="D231" s="27" t="str">
        <f ca="1"/>
        <v>Sethac Norte de Minas</v>
      </c>
      <c r="E231" s="20" t="str">
        <f ca="1"/>
        <v>Limpeza</v>
      </c>
      <c r="F231" s="20" t="str">
        <f ca="1"/>
        <v>PGJ</v>
      </c>
      <c r="BR231" s="26">
        <f ca="1"/>
        <v>8.6609686609686695E-2</v>
      </c>
      <c r="BS231" s="26">
        <f ca="1"/>
        <v>1.880341880341882E-2</v>
      </c>
      <c r="BT231" s="26">
        <f ca="1"/>
        <v>0.03</v>
      </c>
      <c r="BU231" s="26">
        <f ca="1"/>
        <v>3.4188034188034219E-2</v>
      </c>
      <c r="BV231" s="26">
        <f ca="1"/>
        <v>0.1225</v>
      </c>
      <c r="BW231" s="26">
        <f ca="1"/>
        <v>0.13960113960113973</v>
      </c>
      <c r="CB231" s="24">
        <f ca="1"/>
        <v>45658</v>
      </c>
      <c r="CC231" s="20" t="str">
        <f ca="1"/>
        <v>-</v>
      </c>
      <c r="CD231" s="20" t="str">
        <f ca="1"/>
        <v>-</v>
      </c>
    </row>
    <row r="232" spans="2:82" x14ac:dyDescent="0.25">
      <c r="B232" s="27" t="str">
        <f ca="1"/>
        <v>Teofilo Otoni</v>
      </c>
      <c r="C232" s="27" t="str">
        <f ca="1"/>
        <v>Auxiliar de Limpeza - 220 h</v>
      </c>
      <c r="D232" s="27" t="str">
        <f ca="1"/>
        <v>Teofilo Otoni</v>
      </c>
      <c r="E232" s="20" t="str">
        <f ca="1"/>
        <v>Limpeza</v>
      </c>
      <c r="F232" s="20" t="str">
        <f ca="1"/>
        <v>PGJ</v>
      </c>
      <c r="BR232" s="26">
        <f ca="1"/>
        <v>8.6609686609686695E-2</v>
      </c>
      <c r="BS232" s="26">
        <f ca="1"/>
        <v>1.880341880341882E-2</v>
      </c>
      <c r="BT232" s="26">
        <f ca="1"/>
        <v>0.03</v>
      </c>
      <c r="BU232" s="26">
        <f ca="1"/>
        <v>3.4188034188034219E-2</v>
      </c>
      <c r="BV232" s="26">
        <f ca="1"/>
        <v>0.1225</v>
      </c>
      <c r="BW232" s="26">
        <f ca="1"/>
        <v>0.13960113960113973</v>
      </c>
      <c r="CB232" s="24">
        <f ca="1"/>
        <v>45658</v>
      </c>
      <c r="CC232" s="20" t="str">
        <f ca="1"/>
        <v>-</v>
      </c>
      <c r="CD232" s="20" t="str">
        <f ca="1"/>
        <v>-</v>
      </c>
    </row>
    <row r="233" spans="2:82" x14ac:dyDescent="0.25">
      <c r="B233" s="27" t="str">
        <f ca="1"/>
        <v>Timoteo</v>
      </c>
      <c r="C233" s="27" t="str">
        <f ca="1"/>
        <v>Auxiliar de Limpeza - 220 h</v>
      </c>
      <c r="D233" s="27" t="str">
        <f ca="1"/>
        <v>Seethur</v>
      </c>
      <c r="E233" s="20" t="str">
        <f ca="1"/>
        <v>Limpeza</v>
      </c>
      <c r="F233" s="20" t="str">
        <f ca="1"/>
        <v>PGJ</v>
      </c>
      <c r="BR233" s="26">
        <f ca="1"/>
        <v>8.6609686609686695E-2</v>
      </c>
      <c r="BS233" s="26">
        <f ca="1"/>
        <v>1.880341880341882E-2</v>
      </c>
      <c r="BT233" s="26">
        <f ca="1"/>
        <v>0.03</v>
      </c>
      <c r="BU233" s="26">
        <f ca="1"/>
        <v>3.4188034188034219E-2</v>
      </c>
      <c r="BV233" s="26">
        <f ca="1"/>
        <v>0.1225</v>
      </c>
      <c r="BW233" s="26">
        <f ca="1"/>
        <v>0.13960113960113973</v>
      </c>
      <c r="CB233" s="24">
        <f ca="1"/>
        <v>45658</v>
      </c>
      <c r="CC233" s="20" t="str">
        <f ca="1"/>
        <v>-</v>
      </c>
      <c r="CD233" s="20" t="str">
        <f ca="1"/>
        <v>-</v>
      </c>
    </row>
    <row r="234" spans="2:82" x14ac:dyDescent="0.25">
      <c r="B234" s="27" t="str">
        <f ca="1"/>
        <v>Tombos</v>
      </c>
      <c r="C234" s="27" t="str">
        <f ca="1"/>
        <v>Auxiliar de Limpeza - 75 h</v>
      </c>
      <c r="D234" s="27" t="str">
        <f ca="1"/>
        <v>Regiao de Juiz de Fora</v>
      </c>
      <c r="E234" s="20" t="str">
        <f ca="1"/>
        <v>Limpeza</v>
      </c>
      <c r="F234" s="20" t="str">
        <f ca="1"/>
        <v>PGJ</v>
      </c>
      <c r="BR234" s="26">
        <f ca="1"/>
        <v>8.6609686609686695E-2</v>
      </c>
      <c r="BS234" s="26">
        <f ca="1"/>
        <v>1.880341880341882E-2</v>
      </c>
      <c r="BT234" s="26">
        <f ca="1"/>
        <v>0.03</v>
      </c>
      <c r="BU234" s="26">
        <f ca="1"/>
        <v>3.4188034188034219E-2</v>
      </c>
      <c r="BV234" s="26">
        <f ca="1"/>
        <v>0.1225</v>
      </c>
      <c r="BW234" s="26">
        <f ca="1"/>
        <v>0.13960113960113973</v>
      </c>
      <c r="CB234" s="24">
        <f ca="1"/>
        <v>45658</v>
      </c>
      <c r="CC234" s="20" t="str">
        <f ca="1"/>
        <v>-</v>
      </c>
      <c r="CD234" s="20" t="str">
        <f ca="1"/>
        <v>-</v>
      </c>
    </row>
    <row r="235" spans="2:82" x14ac:dyDescent="0.25">
      <c r="B235" s="27" t="str">
        <f ca="1"/>
        <v>Tres Coracoes</v>
      </c>
      <c r="C235" s="27" t="str">
        <f ca="1"/>
        <v>Auxiliar de Limpeza - 110 h</v>
      </c>
      <c r="D235" s="27" t="str">
        <f ca="1"/>
        <v>Regiao de Sao Lourenco</v>
      </c>
      <c r="E235" s="20" t="str">
        <f ca="1"/>
        <v>Limpeza</v>
      </c>
      <c r="F235" s="20" t="str">
        <f ca="1"/>
        <v>PGJ</v>
      </c>
      <c r="BR235" s="26">
        <f ca="1"/>
        <v>8.6609686609686695E-2</v>
      </c>
      <c r="BS235" s="26">
        <f ca="1"/>
        <v>1.880341880341882E-2</v>
      </c>
      <c r="BT235" s="26">
        <f ca="1"/>
        <v>0.03</v>
      </c>
      <c r="BU235" s="26">
        <f ca="1"/>
        <v>3.4188034188034219E-2</v>
      </c>
      <c r="BV235" s="26">
        <f ca="1"/>
        <v>0.1225</v>
      </c>
      <c r="BW235" s="26">
        <f ca="1"/>
        <v>0.13960113960113973</v>
      </c>
      <c r="CB235" s="24">
        <f ca="1"/>
        <v>45658</v>
      </c>
      <c r="CC235" s="20" t="str">
        <f ca="1"/>
        <v>-</v>
      </c>
      <c r="CD235" s="20" t="str">
        <f ca="1"/>
        <v>-</v>
      </c>
    </row>
    <row r="236" spans="2:82" x14ac:dyDescent="0.25">
      <c r="B236" s="27" t="str">
        <f ca="1"/>
        <v>Tres Coracoes</v>
      </c>
      <c r="C236" s="27" t="str">
        <f ca="1"/>
        <v>Auxiliar de Limpeza - 220 h</v>
      </c>
      <c r="D236" s="27" t="str">
        <f ca="1"/>
        <v>Regiao de Sao Lourenco</v>
      </c>
      <c r="E236" s="20" t="str">
        <f ca="1"/>
        <v>Limpeza</v>
      </c>
      <c r="F236" s="20" t="str">
        <f ca="1"/>
        <v>PGJ</v>
      </c>
      <c r="BR236" s="26">
        <f ca="1"/>
        <v>8.6609686609686695E-2</v>
      </c>
      <c r="BS236" s="26">
        <f ca="1"/>
        <v>1.880341880341882E-2</v>
      </c>
      <c r="BT236" s="26">
        <f ca="1"/>
        <v>0.03</v>
      </c>
      <c r="BU236" s="26">
        <f ca="1"/>
        <v>3.4188034188034219E-2</v>
      </c>
      <c r="BV236" s="26">
        <f ca="1"/>
        <v>0.1225</v>
      </c>
      <c r="BW236" s="26">
        <f ca="1"/>
        <v>0.13960113960113973</v>
      </c>
      <c r="CB236" s="24">
        <f ca="1"/>
        <v>45658</v>
      </c>
      <c r="CC236" s="20" t="str">
        <f ca="1"/>
        <v>-</v>
      </c>
      <c r="CD236" s="20" t="str">
        <f ca="1"/>
        <v>-</v>
      </c>
    </row>
    <row r="237" spans="2:82" x14ac:dyDescent="0.25">
      <c r="B237" s="27" t="str">
        <f ca="1"/>
        <v>Tres Pontas</v>
      </c>
      <c r="C237" s="27" t="str">
        <f ca="1"/>
        <v>Auxiliar de Limpeza - 220 h</v>
      </c>
      <c r="D237" s="27" t="str">
        <f ca="1"/>
        <v>Regiao de Sao Lourenco</v>
      </c>
      <c r="E237" s="20" t="str">
        <f ca="1"/>
        <v>Limpeza</v>
      </c>
      <c r="F237" s="20" t="str">
        <f ca="1"/>
        <v>PGJ</v>
      </c>
      <c r="BR237" s="26">
        <f ca="1"/>
        <v>8.6118980169971604E-2</v>
      </c>
      <c r="BS237" s="26">
        <f ca="1"/>
        <v>1.8696883852691224E-2</v>
      </c>
      <c r="BT237" s="26">
        <f ca="1"/>
        <v>2.5000000000000001E-2</v>
      </c>
      <c r="BU237" s="26">
        <f ca="1"/>
        <v>2.8328611898017008E-2</v>
      </c>
      <c r="BV237" s="26">
        <f ca="1"/>
        <v>0.11749999999999999</v>
      </c>
      <c r="BW237" s="26">
        <f ca="1"/>
        <v>0.13314447592067982</v>
      </c>
      <c r="CB237" s="24">
        <f ca="1"/>
        <v>45658</v>
      </c>
      <c r="CC237" s="20" t="str">
        <f ca="1"/>
        <v>-</v>
      </c>
      <c r="CD237" s="20" t="str">
        <f ca="1"/>
        <v>-</v>
      </c>
    </row>
    <row r="238" spans="2:82" x14ac:dyDescent="0.25">
      <c r="B238" s="27" t="str">
        <f ca="1"/>
        <v>Tupaciguara</v>
      </c>
      <c r="C238" s="27" t="str">
        <f ca="1"/>
        <v>Auxiliar de Limpeza - 110 h</v>
      </c>
      <c r="D238" s="27" t="str">
        <f ca="1"/>
        <v>Alto Paranaiba</v>
      </c>
      <c r="E238" s="20" t="str">
        <f ca="1"/>
        <v>Limpeza</v>
      </c>
      <c r="F238" s="20" t="str">
        <f ca="1"/>
        <v>PGJ</v>
      </c>
      <c r="BR238" s="26">
        <f ca="1"/>
        <v>8.5633802816901458E-2</v>
      </c>
      <c r="BS238" s="26">
        <f ca="1"/>
        <v>1.8591549295774657E-2</v>
      </c>
      <c r="BT238" s="26">
        <f ca="1"/>
        <v>0.02</v>
      </c>
      <c r="BU238" s="26">
        <f ca="1"/>
        <v>2.2535211267605645E-2</v>
      </c>
      <c r="BV238" s="26">
        <f ca="1"/>
        <v>0.1125</v>
      </c>
      <c r="BW238" s="26">
        <f ca="1"/>
        <v>0.12676056338028174</v>
      </c>
      <c r="CB238" s="24">
        <f ca="1"/>
        <v>45658</v>
      </c>
      <c r="CC238" s="20" t="str">
        <f ca="1"/>
        <v>-</v>
      </c>
      <c r="CD238" s="20" t="str">
        <f ca="1"/>
        <v>-</v>
      </c>
    </row>
    <row r="239" spans="2:82" x14ac:dyDescent="0.25">
      <c r="B239" s="27" t="str">
        <f ca="1"/>
        <v>Tupaciguara</v>
      </c>
      <c r="C239" s="27" t="str">
        <f ca="1"/>
        <v>Auxiliar de Limpeza - 220 h</v>
      </c>
      <c r="D239" s="27" t="str">
        <f ca="1"/>
        <v>Alto Paranaiba</v>
      </c>
      <c r="E239" s="20" t="str">
        <f ca="1"/>
        <v>Limpeza</v>
      </c>
      <c r="F239" s="20" t="str">
        <f ca="1"/>
        <v>PGJ</v>
      </c>
      <c r="BR239" s="26">
        <f ca="1"/>
        <v>8.5633802816901458E-2</v>
      </c>
      <c r="BS239" s="26">
        <f ca="1"/>
        <v>1.8591549295774657E-2</v>
      </c>
      <c r="BT239" s="26">
        <f ca="1"/>
        <v>0.02</v>
      </c>
      <c r="BU239" s="26">
        <f ca="1"/>
        <v>2.2535211267605645E-2</v>
      </c>
      <c r="BV239" s="26">
        <f ca="1"/>
        <v>0.1125</v>
      </c>
      <c r="BW239" s="26">
        <f ca="1"/>
        <v>0.12676056338028174</v>
      </c>
      <c r="CB239" s="24">
        <f ca="1"/>
        <v>45658</v>
      </c>
      <c r="CC239" s="20" t="str">
        <f ca="1"/>
        <v>-</v>
      </c>
      <c r="CD239" s="20" t="str">
        <f ca="1"/>
        <v>-</v>
      </c>
    </row>
    <row r="240" spans="2:82" x14ac:dyDescent="0.25">
      <c r="B240" s="27" t="str">
        <f ca="1"/>
        <v>Turmalina</v>
      </c>
      <c r="C240" s="27" t="str">
        <f ca="1"/>
        <v>Auxiliar de Limpeza - 110 h</v>
      </c>
      <c r="D240" s="27" t="str">
        <f ca="1"/>
        <v>Fethemg Interior</v>
      </c>
      <c r="E240" s="20" t="str">
        <f ca="1"/>
        <v>Limpeza</v>
      </c>
      <c r="F240" s="20" t="str">
        <f ca="1"/>
        <v>PGJ</v>
      </c>
      <c r="BR240" s="26">
        <f ca="1"/>
        <v>8.8629737609329504E-2</v>
      </c>
      <c r="BS240" s="26">
        <f ca="1"/>
        <v>1.9241982507288629E-2</v>
      </c>
      <c r="BT240" s="26">
        <f ca="1"/>
        <v>0.05</v>
      </c>
      <c r="BU240" s="26">
        <f ca="1"/>
        <v>5.8309037900874633E-2</v>
      </c>
      <c r="BV240" s="26">
        <f ca="1"/>
        <v>0.14250000000000002</v>
      </c>
      <c r="BW240" s="26">
        <f ca="1"/>
        <v>0.16618075801749277</v>
      </c>
      <c r="CB240" s="24">
        <f ca="1"/>
        <v>45658</v>
      </c>
      <c r="CC240" s="20" t="str">
        <f ca="1"/>
        <v>-</v>
      </c>
      <c r="CD240" s="20" t="str">
        <f ca="1"/>
        <v>-</v>
      </c>
    </row>
    <row r="241" spans="2:82" x14ac:dyDescent="0.25">
      <c r="B241" s="27" t="str">
        <f ca="1"/>
        <v>Uba</v>
      </c>
      <c r="C241" s="27" t="str">
        <f ca="1"/>
        <v>Auxiliar de Limpeza - 75 h</v>
      </c>
      <c r="D241" s="27" t="str">
        <f ca="1"/>
        <v>Cataguases</v>
      </c>
      <c r="E241" s="20" t="str">
        <f ca="1"/>
        <v>Limpeza</v>
      </c>
      <c r="F241" s="20" t="str">
        <f ca="1"/>
        <v>PGJ</v>
      </c>
      <c r="BR241" s="26">
        <f ca="1"/>
        <v>8.6609686609686695E-2</v>
      </c>
      <c r="BS241" s="26">
        <f ca="1"/>
        <v>1.880341880341882E-2</v>
      </c>
      <c r="BT241" s="26">
        <f ca="1"/>
        <v>0.03</v>
      </c>
      <c r="BU241" s="26">
        <f ca="1"/>
        <v>3.4188034188034219E-2</v>
      </c>
      <c r="BV241" s="26">
        <f ca="1"/>
        <v>0.1225</v>
      </c>
      <c r="BW241" s="26">
        <f ca="1"/>
        <v>0.13960113960113973</v>
      </c>
      <c r="CB241" s="24">
        <f ca="1"/>
        <v>45658</v>
      </c>
      <c r="CC241" s="20" t="str">
        <f ca="1"/>
        <v>-</v>
      </c>
      <c r="CD241" s="20" t="str">
        <f ca="1"/>
        <v>-</v>
      </c>
    </row>
    <row r="242" spans="2:82" x14ac:dyDescent="0.25">
      <c r="B242" s="27" t="str">
        <f ca="1"/>
        <v>Uba</v>
      </c>
      <c r="C242" s="27" t="str">
        <f ca="1"/>
        <v>Auxiliar de Limpeza - 220 h</v>
      </c>
      <c r="D242" s="27" t="str">
        <f ca="1"/>
        <v>Cataguases</v>
      </c>
      <c r="E242" s="20" t="str">
        <f ca="1"/>
        <v>Limpeza</v>
      </c>
      <c r="F242" s="20" t="str">
        <f ca="1"/>
        <v>PGJ</v>
      </c>
      <c r="BR242" s="26">
        <f ca="1"/>
        <v>8.6609686609686695E-2</v>
      </c>
      <c r="BS242" s="26">
        <f ca="1"/>
        <v>1.880341880341882E-2</v>
      </c>
      <c r="BT242" s="26">
        <f ca="1"/>
        <v>0.03</v>
      </c>
      <c r="BU242" s="26">
        <f ca="1"/>
        <v>3.4188034188034219E-2</v>
      </c>
      <c r="BV242" s="26">
        <f ca="1"/>
        <v>0.1225</v>
      </c>
      <c r="BW242" s="26">
        <f ca="1"/>
        <v>0.13960113960113973</v>
      </c>
      <c r="CB242" s="24">
        <f ca="1"/>
        <v>45658</v>
      </c>
      <c r="CC242" s="20" t="str">
        <f ca="1"/>
        <v>-</v>
      </c>
      <c r="CD242" s="20" t="str">
        <f ca="1"/>
        <v>-</v>
      </c>
    </row>
    <row r="243" spans="2:82" x14ac:dyDescent="0.25">
      <c r="B243" s="27" t="str">
        <f ca="1"/>
        <v>Uberaba</v>
      </c>
      <c r="C243" s="27" t="str">
        <f ca="1"/>
        <v>Auxiliar de Limpeza - 110 h</v>
      </c>
      <c r="D243" s="27" t="str">
        <f ca="1"/>
        <v>Uberaba</v>
      </c>
      <c r="E243" s="20" t="str">
        <f ca="1"/>
        <v>Limpeza</v>
      </c>
      <c r="F243" s="20" t="str">
        <f ca="1"/>
        <v>PGJ</v>
      </c>
      <c r="BR243" s="26">
        <f ca="1"/>
        <v>8.6609686609686695E-2</v>
      </c>
      <c r="BS243" s="26">
        <f ca="1"/>
        <v>1.880341880341882E-2</v>
      </c>
      <c r="BT243" s="26">
        <f ca="1"/>
        <v>0.03</v>
      </c>
      <c r="BU243" s="26">
        <f ca="1"/>
        <v>3.4188034188034219E-2</v>
      </c>
      <c r="BV243" s="26">
        <f ca="1"/>
        <v>0.1225</v>
      </c>
      <c r="BW243" s="26">
        <f ca="1"/>
        <v>0.13960113960113973</v>
      </c>
      <c r="CB243" s="24">
        <f ca="1"/>
        <v>45658</v>
      </c>
      <c r="CC243" s="20" t="str">
        <f ca="1"/>
        <v>-</v>
      </c>
      <c r="CD243" s="20" t="str">
        <f ca="1"/>
        <v>-</v>
      </c>
    </row>
    <row r="244" spans="2:82" x14ac:dyDescent="0.25">
      <c r="B244" s="27" t="str">
        <f ca="1"/>
        <v>Uberaba</v>
      </c>
      <c r="C244" s="27" t="str">
        <f ca="1"/>
        <v>Auxiliar de Limpeza - 220 h</v>
      </c>
      <c r="D244" s="27" t="str">
        <f ca="1"/>
        <v>Uberaba</v>
      </c>
      <c r="E244" s="20" t="str">
        <f ca="1"/>
        <v>Limpeza</v>
      </c>
      <c r="F244" s="20" t="str">
        <f ca="1"/>
        <v>PGJ</v>
      </c>
      <c r="BR244" s="26">
        <f ca="1"/>
        <v>8.6609686609686695E-2</v>
      </c>
      <c r="BS244" s="26">
        <f ca="1"/>
        <v>1.880341880341882E-2</v>
      </c>
      <c r="BT244" s="26">
        <f ca="1"/>
        <v>0.03</v>
      </c>
      <c r="BU244" s="26">
        <f ca="1"/>
        <v>3.4188034188034219E-2</v>
      </c>
      <c r="BV244" s="26">
        <f ca="1"/>
        <v>0.1225</v>
      </c>
      <c r="BW244" s="26">
        <f ca="1"/>
        <v>0.13960113960113973</v>
      </c>
      <c r="CB244" s="24">
        <f ca="1"/>
        <v>45658</v>
      </c>
      <c r="CC244" s="20" t="str">
        <f ca="1"/>
        <v>-</v>
      </c>
      <c r="CD244" s="20" t="str">
        <f ca="1"/>
        <v>-</v>
      </c>
    </row>
    <row r="245" spans="2:82" x14ac:dyDescent="0.25">
      <c r="B245" s="27" t="str">
        <f ca="1"/>
        <v>Uberlandia</v>
      </c>
      <c r="C245" s="27" t="str">
        <f ca="1"/>
        <v>Auxiliar de Limpeza - 110 h</v>
      </c>
      <c r="D245" s="27" t="str">
        <f ca="1"/>
        <v>Uberlandia</v>
      </c>
      <c r="E245" s="20" t="str">
        <f ca="1"/>
        <v>Limpeza</v>
      </c>
      <c r="F245" s="20" t="str">
        <f ca="1"/>
        <v>PGJ</v>
      </c>
      <c r="BR245" s="26">
        <f ca="1"/>
        <v>8.6609686609686695E-2</v>
      </c>
      <c r="BS245" s="26">
        <f ca="1"/>
        <v>1.880341880341882E-2</v>
      </c>
      <c r="BT245" s="26">
        <f ca="1"/>
        <v>0.03</v>
      </c>
      <c r="BU245" s="26">
        <f ca="1"/>
        <v>3.4188034188034219E-2</v>
      </c>
      <c r="BV245" s="26">
        <f ca="1"/>
        <v>0.1225</v>
      </c>
      <c r="BW245" s="26">
        <f ca="1"/>
        <v>0.13960113960113973</v>
      </c>
      <c r="CB245" s="24">
        <f ca="1"/>
        <v>45658</v>
      </c>
      <c r="CC245" s="20" t="str">
        <f ca="1"/>
        <v>-</v>
      </c>
      <c r="CD245" s="20" t="str">
        <f ca="1"/>
        <v>-</v>
      </c>
    </row>
    <row r="246" spans="2:82" x14ac:dyDescent="0.25">
      <c r="B246" s="27" t="str">
        <f ca="1"/>
        <v>Uberlandia</v>
      </c>
      <c r="C246" s="27" t="str">
        <f ca="1"/>
        <v>Auxiliar de Limpeza - 220 h</v>
      </c>
      <c r="D246" s="27" t="str">
        <f ca="1"/>
        <v>Uberlandia</v>
      </c>
      <c r="E246" s="20" t="str">
        <f ca="1"/>
        <v>Limpeza</v>
      </c>
      <c r="F246" s="20" t="str">
        <f ca="1"/>
        <v>PGJ</v>
      </c>
      <c r="BR246" s="26">
        <f ca="1"/>
        <v>8.6609686609686695E-2</v>
      </c>
      <c r="BS246" s="26">
        <f ca="1"/>
        <v>1.880341880341882E-2</v>
      </c>
      <c r="BT246" s="26">
        <f ca="1"/>
        <v>0.03</v>
      </c>
      <c r="BU246" s="26">
        <f ca="1"/>
        <v>3.4188034188034219E-2</v>
      </c>
      <c r="BV246" s="26">
        <f ca="1"/>
        <v>0.1225</v>
      </c>
      <c r="BW246" s="26">
        <f ca="1"/>
        <v>0.13960113960113973</v>
      </c>
      <c r="CB246" s="24">
        <f ca="1"/>
        <v>45658</v>
      </c>
      <c r="CC246" s="20" t="str">
        <f ca="1"/>
        <v>-</v>
      </c>
      <c r="CD246" s="20" t="str">
        <f ca="1"/>
        <v>-</v>
      </c>
    </row>
    <row r="247" spans="2:82" x14ac:dyDescent="0.25">
      <c r="B247" s="27" t="str">
        <f ca="1"/>
        <v>Unai</v>
      </c>
      <c r="C247" s="27" t="str">
        <f ca="1"/>
        <v>Auxiliar de Limpeza - 220 h</v>
      </c>
      <c r="D247" s="27" t="str">
        <f ca="1"/>
        <v>Fethemg Interior</v>
      </c>
      <c r="E247" s="20" t="str">
        <f ca="1"/>
        <v>Limpeza</v>
      </c>
      <c r="F247" s="20" t="str">
        <f ca="1"/>
        <v>PGJ</v>
      </c>
      <c r="BR247" s="26">
        <f ca="1"/>
        <v>8.7608069164265154E-2</v>
      </c>
      <c r="BS247" s="26">
        <f ca="1"/>
        <v>1.9020172910662814E-2</v>
      </c>
      <c r="BT247" s="26">
        <f ca="1"/>
        <v>0.04</v>
      </c>
      <c r="BU247" s="26">
        <f ca="1"/>
        <v>4.6109510086455294E-2</v>
      </c>
      <c r="BV247" s="26">
        <f ca="1"/>
        <v>0.13250000000000001</v>
      </c>
      <c r="BW247" s="26">
        <f ca="1"/>
        <v>0.15273775216138324</v>
      </c>
      <c r="CB247" s="24">
        <f ca="1"/>
        <v>45658</v>
      </c>
      <c r="CC247" s="20" t="str">
        <f ca="1"/>
        <v>-</v>
      </c>
      <c r="CD247" s="20" t="str">
        <f ca="1"/>
        <v>-</v>
      </c>
    </row>
    <row r="248" spans="2:82" x14ac:dyDescent="0.25">
      <c r="B248" s="27" t="str">
        <f ca="1"/>
        <v>Varginha</v>
      </c>
      <c r="C248" s="27" t="str">
        <f ca="1"/>
        <v>Auxiliar de Limpeza - 75 h</v>
      </c>
      <c r="D248" s="27" t="str">
        <f ca="1"/>
        <v>Regiao de Sao Lourenco</v>
      </c>
      <c r="E248" s="20" t="str">
        <f ca="1"/>
        <v>Limpeza</v>
      </c>
      <c r="F248" s="20" t="str">
        <f ca="1"/>
        <v>PGJ</v>
      </c>
      <c r="BR248" s="26">
        <f ca="1"/>
        <v>8.6609686609686695E-2</v>
      </c>
      <c r="BS248" s="26">
        <f ca="1"/>
        <v>1.880341880341882E-2</v>
      </c>
      <c r="BT248" s="26">
        <f ca="1"/>
        <v>0.03</v>
      </c>
      <c r="BU248" s="26">
        <f ca="1"/>
        <v>3.4188034188034219E-2</v>
      </c>
      <c r="BV248" s="26">
        <f ca="1"/>
        <v>0.1225</v>
      </c>
      <c r="BW248" s="26">
        <f ca="1"/>
        <v>0.13960113960113973</v>
      </c>
      <c r="CB248" s="24">
        <f ca="1"/>
        <v>45658</v>
      </c>
      <c r="CC248" s="20" t="str">
        <f ca="1"/>
        <v>-</v>
      </c>
      <c r="CD248" s="20" t="str">
        <f ca="1"/>
        <v>-</v>
      </c>
    </row>
    <row r="249" spans="2:82" x14ac:dyDescent="0.25">
      <c r="B249" s="27" t="str">
        <f ca="1"/>
        <v>Varginha</v>
      </c>
      <c r="C249" s="27" t="str">
        <f ca="1"/>
        <v>Auxiliar de Limpeza - 220 h</v>
      </c>
      <c r="D249" s="27" t="str">
        <f ca="1"/>
        <v>Regiao de Sao Lourenco</v>
      </c>
      <c r="E249" s="20" t="str">
        <f ca="1"/>
        <v>Limpeza</v>
      </c>
      <c r="F249" s="20" t="str">
        <f ca="1"/>
        <v>PGJ</v>
      </c>
      <c r="BR249" s="26">
        <f ca="1"/>
        <v>8.6609686609686695E-2</v>
      </c>
      <c r="BS249" s="26">
        <f ca="1"/>
        <v>1.880341880341882E-2</v>
      </c>
      <c r="BT249" s="26">
        <f ca="1"/>
        <v>0.03</v>
      </c>
      <c r="BU249" s="26">
        <f ca="1"/>
        <v>3.4188034188034219E-2</v>
      </c>
      <c r="BV249" s="26">
        <f ca="1"/>
        <v>0.1225</v>
      </c>
      <c r="BW249" s="26">
        <f ca="1"/>
        <v>0.13960113960113973</v>
      </c>
      <c r="CB249" s="24">
        <f ca="1"/>
        <v>45658</v>
      </c>
      <c r="CC249" s="20" t="str">
        <f ca="1"/>
        <v>-</v>
      </c>
      <c r="CD249" s="20" t="str">
        <f ca="1"/>
        <v>-</v>
      </c>
    </row>
    <row r="250" spans="2:82" x14ac:dyDescent="0.25">
      <c r="B250" s="27" t="str">
        <f ca="1"/>
        <v>Varzea da Palma</v>
      </c>
      <c r="C250" s="27" t="str">
        <f ca="1"/>
        <v>Auxiliar de Limpeza - 110 h</v>
      </c>
      <c r="D250" s="27" t="str">
        <f ca="1"/>
        <v>Sethac Norte de Minas</v>
      </c>
      <c r="E250" s="20" t="str">
        <f ca="1"/>
        <v>Limpeza</v>
      </c>
      <c r="F250" s="20" t="str">
        <f ca="1"/>
        <v>PGJ</v>
      </c>
      <c r="BR250" s="26">
        <f ca="1"/>
        <v>8.8629737609329504E-2</v>
      </c>
      <c r="BS250" s="26">
        <f ca="1"/>
        <v>1.9241982507288629E-2</v>
      </c>
      <c r="BT250" s="26">
        <f ca="1"/>
        <v>0.05</v>
      </c>
      <c r="BU250" s="26">
        <f ca="1"/>
        <v>5.8309037900874633E-2</v>
      </c>
      <c r="BV250" s="26">
        <f ca="1"/>
        <v>0.14250000000000002</v>
      </c>
      <c r="BW250" s="26">
        <f ca="1"/>
        <v>0.16618075801749277</v>
      </c>
      <c r="CB250" s="24">
        <f ca="1"/>
        <v>45658</v>
      </c>
      <c r="CC250" s="20" t="str">
        <f ca="1"/>
        <v>-</v>
      </c>
      <c r="CD250" s="20" t="str">
        <f ca="1"/>
        <v>-</v>
      </c>
    </row>
    <row r="251" spans="2:82" x14ac:dyDescent="0.25">
      <c r="B251" s="27" t="str">
        <f ca="1"/>
        <v>Vespasiano</v>
      </c>
      <c r="C251" s="27" t="str">
        <f ca="1"/>
        <v>Auxiliar de Limpeza - 220 h</v>
      </c>
      <c r="D251" s="27" t="str">
        <f ca="1"/>
        <v>Vespasiano</v>
      </c>
      <c r="E251" s="20" t="str">
        <f ca="1"/>
        <v>Limpeza</v>
      </c>
      <c r="F251" s="20" t="str">
        <f ca="1"/>
        <v>PGJ</v>
      </c>
      <c r="BR251" s="26">
        <f ca="1"/>
        <v>8.6609686609686695E-2</v>
      </c>
      <c r="BS251" s="26">
        <f ca="1"/>
        <v>1.880341880341882E-2</v>
      </c>
      <c r="BT251" s="26">
        <f ca="1"/>
        <v>0.03</v>
      </c>
      <c r="BU251" s="26">
        <f ca="1"/>
        <v>3.4188034188034219E-2</v>
      </c>
      <c r="BV251" s="26">
        <f ca="1"/>
        <v>0.1225</v>
      </c>
      <c r="BW251" s="26">
        <f ca="1"/>
        <v>0.13960113960113973</v>
      </c>
      <c r="CB251" s="24">
        <f ca="1"/>
        <v>45658</v>
      </c>
      <c r="CC251" s="20" t="str">
        <f ca="1"/>
        <v>-</v>
      </c>
      <c r="CD251" s="20" t="str">
        <f ca="1"/>
        <v>-</v>
      </c>
    </row>
    <row r="252" spans="2:82" x14ac:dyDescent="0.25">
      <c r="B252" s="27" t="str">
        <f ca="1"/>
        <v>Vicosa</v>
      </c>
      <c r="C252" s="27" t="str">
        <f ca="1"/>
        <v>Auxiliar de Limpeza - 220 h</v>
      </c>
      <c r="D252" s="27" t="str">
        <f ca="1"/>
        <v>Vicosa e Regiao</v>
      </c>
      <c r="E252" s="20" t="str">
        <f ca="1"/>
        <v>Limpeza</v>
      </c>
      <c r="F252" s="20" t="str">
        <f ca="1"/>
        <v>PGJ</v>
      </c>
      <c r="BR252" s="26">
        <f ca="1"/>
        <v>8.6609686609686695E-2</v>
      </c>
      <c r="BS252" s="26">
        <f ca="1"/>
        <v>1.880341880341882E-2</v>
      </c>
      <c r="BT252" s="26">
        <f ca="1"/>
        <v>0.03</v>
      </c>
      <c r="BU252" s="26">
        <f ca="1"/>
        <v>3.4188034188034219E-2</v>
      </c>
      <c r="BV252" s="26">
        <f ca="1"/>
        <v>0.1225</v>
      </c>
      <c r="BW252" s="26">
        <f ca="1"/>
        <v>0.13960113960113973</v>
      </c>
      <c r="CB252" s="24">
        <f ca="1"/>
        <v>45658</v>
      </c>
      <c r="CC252" s="20" t="str">
        <f ca="1"/>
        <v>-</v>
      </c>
      <c r="CD252" s="20" t="str">
        <f ca="1"/>
        <v>-</v>
      </c>
    </row>
    <row r="253" spans="2:82" x14ac:dyDescent="0.25">
      <c r="B253" s="27" t="str">
        <f ca="1"/>
        <v>Visconde do Rio Branco</v>
      </c>
      <c r="C253" s="27" t="str">
        <f ca="1"/>
        <v>Auxiliar de Limpeza - 220 h</v>
      </c>
      <c r="D253" s="27" t="str">
        <f ca="1"/>
        <v>Cataguases</v>
      </c>
      <c r="E253" s="20" t="str">
        <f ca="1"/>
        <v>Limpeza</v>
      </c>
      <c r="F253" s="20" t="str">
        <f ca="1"/>
        <v>PGJ</v>
      </c>
      <c r="BR253" s="26">
        <f ca="1"/>
        <v>8.6609686609686695E-2</v>
      </c>
      <c r="BS253" s="26">
        <f ca="1"/>
        <v>1.880341880341882E-2</v>
      </c>
      <c r="BT253" s="26">
        <f ca="1"/>
        <v>0.03</v>
      </c>
      <c r="BU253" s="26">
        <f ca="1"/>
        <v>3.4188034188034219E-2</v>
      </c>
      <c r="BV253" s="26">
        <f ca="1"/>
        <v>0.1225</v>
      </c>
      <c r="BW253" s="26">
        <f ca="1"/>
        <v>0.13960113960113973</v>
      </c>
      <c r="CB253" s="24">
        <f ca="1"/>
        <v>45658</v>
      </c>
      <c r="CC253" s="20" t="str">
        <f ca="1"/>
        <v>-</v>
      </c>
      <c r="CD253" s="20" t="str">
        <f ca="1"/>
        <v>-</v>
      </c>
    </row>
    <row r="254" spans="2:82" x14ac:dyDescent="0.25">
      <c r="B254" s="27"/>
      <c r="C254" s="27"/>
      <c r="D254" s="27"/>
      <c r="E254" s="20"/>
      <c r="F254" s="20"/>
      <c r="BR254" s="26">
        <f ca="1"/>
        <v>8.7013895516814363E-2</v>
      </c>
      <c r="BS254" s="26">
        <f ca="1"/>
        <v>1.8891174684571452E-2</v>
      </c>
      <c r="BT254" s="26">
        <f ca="1"/>
        <v>3.3940476190476167E-2</v>
      </c>
      <c r="BU254" s="26">
        <f ca="1"/>
        <v>3.9014607651431443E-2</v>
      </c>
      <c r="BV254" s="26">
        <f ca="1"/>
        <v>0.12644047619047577</v>
      </c>
      <c r="BW254" s="26">
        <f ca="1"/>
        <v>0.14491967785281726</v>
      </c>
    </row>
    <row r="255" spans="2:82" x14ac:dyDescent="0.25">
      <c r="B255" s="27"/>
      <c r="C255" s="27"/>
      <c r="D255" s="27"/>
      <c r="E255" s="20"/>
      <c r="F255" s="20"/>
    </row>
    <row r="256" spans="2:82" x14ac:dyDescent="0.25">
      <c r="B256" s="27"/>
      <c r="C256" s="27"/>
      <c r="D256" s="27"/>
      <c r="E256" s="20"/>
      <c r="F256" s="20"/>
    </row>
    <row r="257" spans="2:6" x14ac:dyDescent="0.25">
      <c r="B257" s="27"/>
      <c r="C257" s="27"/>
      <c r="D257" s="27"/>
      <c r="E257" s="20"/>
      <c r="F257" s="20"/>
    </row>
    <row r="258" spans="2:6" x14ac:dyDescent="0.25">
      <c r="B258" s="27"/>
      <c r="C258" s="27"/>
      <c r="D258" s="27"/>
      <c r="E258" s="20"/>
      <c r="F258" s="20"/>
    </row>
    <row r="259" spans="2:6" x14ac:dyDescent="0.25">
      <c r="B259" s="27"/>
      <c r="C259" s="27"/>
      <c r="D259" s="27"/>
      <c r="E259" s="20"/>
      <c r="F259" s="20"/>
    </row>
    <row r="260" spans="2:6" x14ac:dyDescent="0.25">
      <c r="B260" s="27"/>
      <c r="C260" s="27"/>
      <c r="D260" s="27"/>
      <c r="E260" s="20"/>
      <c r="F260" s="20"/>
    </row>
    <row r="261" spans="2:6" x14ac:dyDescent="0.25">
      <c r="B261" s="27"/>
      <c r="C261" s="27"/>
      <c r="D261" s="27"/>
      <c r="E261" s="20"/>
      <c r="F261" s="20"/>
    </row>
    <row r="262" spans="2:6" x14ac:dyDescent="0.25">
      <c r="B262" s="27"/>
      <c r="C262" s="27"/>
      <c r="D262" s="27"/>
      <c r="E262" s="20"/>
      <c r="F262" s="20"/>
    </row>
    <row r="263" spans="2:6" x14ac:dyDescent="0.25">
      <c r="B263" s="27"/>
      <c r="C263" s="27"/>
      <c r="D263" s="27"/>
      <c r="E263" s="20"/>
      <c r="F263" s="20"/>
    </row>
    <row r="264" spans="2:6" x14ac:dyDescent="0.25">
      <c r="B264" s="27"/>
      <c r="C264" s="27"/>
      <c r="D264" s="27"/>
      <c r="E264" s="20"/>
      <c r="F264" s="20"/>
    </row>
    <row r="265" spans="2:6" x14ac:dyDescent="0.25">
      <c r="B265" s="27"/>
      <c r="C265" s="27"/>
      <c r="D265" s="27"/>
      <c r="E265" s="20"/>
      <c r="F265" s="20"/>
    </row>
    <row r="266" spans="2:6" x14ac:dyDescent="0.25">
      <c r="B266" s="27"/>
      <c r="C266" s="27"/>
      <c r="D266" s="27"/>
      <c r="E266" s="20"/>
      <c r="F266" s="20"/>
    </row>
    <row r="267" spans="2:6" x14ac:dyDescent="0.25">
      <c r="B267" s="27"/>
      <c r="C267" s="27"/>
      <c r="D267" s="27"/>
      <c r="E267" s="20"/>
      <c r="F267" s="20"/>
    </row>
    <row r="268" spans="2:6" x14ac:dyDescent="0.25">
      <c r="B268" s="27"/>
      <c r="C268" s="27"/>
      <c r="D268" s="27"/>
      <c r="E268" s="20"/>
      <c r="F268" s="20"/>
    </row>
    <row r="269" spans="2:6" x14ac:dyDescent="0.25">
      <c r="B269" s="27"/>
      <c r="C269" s="27"/>
      <c r="D269" s="27"/>
      <c r="E269" s="20"/>
      <c r="F269" s="20"/>
    </row>
    <row r="270" spans="2:6" x14ac:dyDescent="0.25">
      <c r="B270" s="27"/>
      <c r="C270" s="27"/>
      <c r="D270" s="27"/>
      <c r="E270" s="20"/>
      <c r="F270" s="20"/>
    </row>
    <row r="271" spans="2:6" x14ac:dyDescent="0.25">
      <c r="B271" s="27"/>
      <c r="C271" s="27"/>
      <c r="D271" s="27"/>
      <c r="E271" s="20"/>
      <c r="F271" s="20"/>
    </row>
    <row r="272" spans="2:6" x14ac:dyDescent="0.25">
      <c r="B272" s="27"/>
      <c r="C272" s="27"/>
      <c r="D272" s="27"/>
      <c r="E272" s="20"/>
      <c r="F272" s="20"/>
    </row>
    <row r="273" spans="2:6" x14ac:dyDescent="0.25">
      <c r="B273" s="27"/>
      <c r="C273" s="27"/>
      <c r="D273" s="27"/>
      <c r="E273" s="20"/>
      <c r="F273" s="20"/>
    </row>
    <row r="274" spans="2:6" x14ac:dyDescent="0.25">
      <c r="B274" s="27"/>
      <c r="C274" s="27"/>
      <c r="D274" s="27"/>
      <c r="E274" s="20"/>
      <c r="F274" s="20"/>
    </row>
    <row r="275" spans="2:6" x14ac:dyDescent="0.25">
      <c r="B275" s="27"/>
      <c r="C275" s="27"/>
      <c r="D275" s="27"/>
      <c r="E275" s="20"/>
      <c r="F275" s="20"/>
    </row>
    <row r="276" spans="2:6" x14ac:dyDescent="0.25">
      <c r="B276" s="27"/>
      <c r="C276" s="27"/>
      <c r="D276" s="27"/>
      <c r="E276" s="20"/>
      <c r="F276" s="20"/>
    </row>
    <row r="277" spans="2:6" x14ac:dyDescent="0.25">
      <c r="B277" s="27"/>
      <c r="C277" s="27"/>
      <c r="D277" s="27"/>
      <c r="E277" s="20"/>
      <c r="F277" s="20"/>
    </row>
    <row r="278" spans="2:6" x14ac:dyDescent="0.25">
      <c r="B278" s="27"/>
      <c r="C278" s="27"/>
      <c r="D278" s="27"/>
      <c r="E278" s="20"/>
      <c r="F278" s="20"/>
    </row>
    <row r="279" spans="2:6" x14ac:dyDescent="0.25">
      <c r="B279" s="27"/>
      <c r="C279" s="27"/>
      <c r="D279" s="27"/>
      <c r="E279" s="20"/>
      <c r="F279" s="20"/>
    </row>
    <row r="280" spans="2:6" x14ac:dyDescent="0.25">
      <c r="B280" s="27"/>
      <c r="C280" s="27"/>
      <c r="D280" s="27"/>
      <c r="E280" s="20"/>
      <c r="F280" s="20"/>
    </row>
    <row r="281" spans="2:6" x14ac:dyDescent="0.25">
      <c r="B281" s="27"/>
      <c r="C281" s="27"/>
      <c r="D281" s="27"/>
      <c r="E281" s="20"/>
      <c r="F281" s="20"/>
    </row>
    <row r="282" spans="2:6" x14ac:dyDescent="0.25">
      <c r="B282" s="27"/>
      <c r="C282" s="27"/>
      <c r="D282" s="27"/>
      <c r="E282" s="20"/>
      <c r="F282" s="20"/>
    </row>
    <row r="283" spans="2:6" x14ac:dyDescent="0.25">
      <c r="B283" s="27"/>
      <c r="C283" s="27"/>
      <c r="D283" s="27"/>
      <c r="E283" s="20"/>
      <c r="F283" s="20"/>
    </row>
    <row r="284" spans="2:6" x14ac:dyDescent="0.25">
      <c r="B284" s="27"/>
      <c r="C284" s="27"/>
      <c r="D284" s="27"/>
      <c r="E284" s="20"/>
      <c r="F284" s="20"/>
    </row>
    <row r="285" spans="2:6" x14ac:dyDescent="0.25">
      <c r="B285" s="27"/>
      <c r="C285" s="27"/>
      <c r="D285" s="27"/>
      <c r="E285" s="20"/>
      <c r="F285" s="20"/>
    </row>
    <row r="286" spans="2:6" x14ac:dyDescent="0.25">
      <c r="B286" s="27"/>
      <c r="C286" s="27"/>
      <c r="D286" s="27"/>
      <c r="E286" s="20"/>
      <c r="F286" s="20"/>
    </row>
    <row r="287" spans="2:6" x14ac:dyDescent="0.25">
      <c r="B287" s="27"/>
      <c r="C287" s="27"/>
      <c r="D287" s="27"/>
      <c r="E287" s="20"/>
      <c r="F287" s="20"/>
    </row>
    <row r="288" spans="2:6" x14ac:dyDescent="0.25">
      <c r="B288" s="27"/>
      <c r="C288" s="27"/>
      <c r="D288" s="27"/>
      <c r="E288" s="20"/>
      <c r="F288" s="20"/>
    </row>
    <row r="289" spans="2:6" x14ac:dyDescent="0.25">
      <c r="B289" s="27"/>
      <c r="C289" s="27"/>
      <c r="D289" s="27"/>
      <c r="E289" s="20"/>
      <c r="F289" s="20"/>
    </row>
    <row r="290" spans="2:6" x14ac:dyDescent="0.25">
      <c r="B290" s="27"/>
      <c r="C290" s="27"/>
      <c r="D290" s="27"/>
      <c r="E290" s="20"/>
      <c r="F290" s="20"/>
    </row>
    <row r="291" spans="2:6" x14ac:dyDescent="0.25">
      <c r="B291" s="27"/>
      <c r="C291" s="27"/>
      <c r="D291" s="27"/>
      <c r="E291" s="20"/>
      <c r="F291" s="20"/>
    </row>
    <row r="292" spans="2:6" x14ac:dyDescent="0.25">
      <c r="B292" s="27"/>
      <c r="C292" s="27"/>
      <c r="D292" s="27"/>
      <c r="E292" s="20"/>
      <c r="F292" s="20"/>
    </row>
    <row r="293" spans="2:6" x14ac:dyDescent="0.25">
      <c r="B293" s="27"/>
      <c r="C293" s="27"/>
      <c r="D293" s="27"/>
      <c r="E293" s="20"/>
      <c r="F293" s="20"/>
    </row>
    <row r="294" spans="2:6" x14ac:dyDescent="0.25">
      <c r="B294" s="27"/>
      <c r="C294" s="27"/>
      <c r="D294" s="27"/>
      <c r="E294" s="20"/>
      <c r="F294" s="20"/>
    </row>
    <row r="295" spans="2:6" x14ac:dyDescent="0.25">
      <c r="B295" s="27"/>
      <c r="C295" s="27"/>
      <c r="D295" s="27"/>
      <c r="E295" s="20"/>
      <c r="F295" s="20"/>
    </row>
    <row r="296" spans="2:6" x14ac:dyDescent="0.25">
      <c r="B296" s="27"/>
      <c r="C296" s="27"/>
      <c r="D296" s="27"/>
      <c r="E296" s="20"/>
      <c r="F296" s="20"/>
    </row>
    <row r="297" spans="2:6" x14ac:dyDescent="0.25">
      <c r="B297" s="27"/>
      <c r="C297" s="27"/>
      <c r="D297" s="27"/>
      <c r="E297" s="20"/>
      <c r="F297" s="20"/>
    </row>
    <row r="298" spans="2:6" x14ac:dyDescent="0.25">
      <c r="B298" s="27"/>
      <c r="C298" s="27"/>
      <c r="D298" s="27"/>
      <c r="E298" s="20"/>
      <c r="F298" s="20"/>
    </row>
    <row r="299" spans="2:6" x14ac:dyDescent="0.25">
      <c r="B299" s="27"/>
      <c r="C299" s="27"/>
      <c r="D299" s="27"/>
      <c r="E299" s="20"/>
      <c r="F299" s="20"/>
    </row>
    <row r="300" spans="2:6" x14ac:dyDescent="0.25">
      <c r="B300" s="27"/>
      <c r="C300" s="27"/>
      <c r="D300" s="27"/>
      <c r="E300" s="20"/>
      <c r="F300" s="20"/>
    </row>
  </sheetData>
  <autoFilter ref="A1:CD1" xr:uid="{4B786262-C766-4B54-A170-0420B50CB43F}"/>
  <conditionalFormatting sqref="A2:CD1000">
    <cfRule type="expression" dxfId="453" priority="1">
      <formula>$A2&lt;&gt;""</formula>
    </cfRule>
    <cfRule type="expression" dxfId="452" priority="2">
      <formula>$A2="Total"</formula>
    </cfRule>
  </conditionalFormatting>
  <pageMargins left="0.511811024" right="0.511811024" top="0.78740157499999996" bottom="0.78740157499999996" header="0.31496062000000002" footer="0.3149606200000000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42D395D-000F-4B84-9D66-8C903AB07056}">
  <sheetPr codeName="Planilha10"/>
  <dimension ref="A1:CG261"/>
  <sheetViews>
    <sheetView showGridLines="0" topLeftCell="BW1" zoomScale="85" zoomScaleNormal="85" workbookViewId="0">
      <pane ySplit="3" topLeftCell="A242" activePane="bottomLeft" state="frozen"/>
      <selection activeCell="BP1" sqref="BP1"/>
      <selection pane="bottomLeft" activeCell="CB262" sqref="CB262"/>
    </sheetView>
  </sheetViews>
  <sheetFormatPr defaultRowHeight="15" x14ac:dyDescent="0.25"/>
  <cols>
    <col min="1" max="1" width="20.5703125" bestFit="1" customWidth="1"/>
    <col min="2" max="2" width="24.7109375" bestFit="1" customWidth="1"/>
    <col min="3" max="3" width="35.140625" bestFit="1" customWidth="1"/>
    <col min="4" max="4" width="24.7109375" bestFit="1" customWidth="1"/>
    <col min="5" max="5" width="18.28515625" bestFit="1" customWidth="1"/>
    <col min="6" max="6" width="22.7109375" bestFit="1" customWidth="1"/>
    <col min="7" max="7" width="22.42578125" bestFit="1" customWidth="1"/>
    <col min="8" max="8" width="21.42578125" bestFit="1" customWidth="1"/>
    <col min="9" max="9" width="18" bestFit="1" customWidth="1"/>
    <col min="10" max="10" width="29.85546875" bestFit="1" customWidth="1"/>
    <col min="11" max="11" width="28.7109375" bestFit="1" customWidth="1"/>
    <col min="12" max="12" width="23.28515625" bestFit="1" customWidth="1"/>
    <col min="13" max="13" width="39.42578125" bestFit="1" customWidth="1"/>
    <col min="14" max="14" width="29.42578125" bestFit="1" customWidth="1"/>
    <col min="15" max="15" width="20.5703125" bestFit="1" customWidth="1"/>
    <col min="16" max="16" width="37.140625" bestFit="1" customWidth="1"/>
    <col min="17" max="17" width="32.28515625" bestFit="1" customWidth="1"/>
    <col min="18" max="18" width="14.5703125" bestFit="1" customWidth="1"/>
    <col min="19" max="19" width="19" bestFit="1" customWidth="1"/>
    <col min="20" max="20" width="21.5703125" bestFit="1" customWidth="1"/>
    <col min="21" max="21" width="12.42578125" bestFit="1" customWidth="1"/>
    <col min="22" max="22" width="22.140625" bestFit="1" customWidth="1"/>
    <col min="23" max="23" width="13.5703125" bestFit="1" customWidth="1"/>
    <col min="24" max="24" width="19.28515625" bestFit="1" customWidth="1"/>
    <col min="25" max="25" width="13.5703125" bestFit="1" customWidth="1"/>
    <col min="26" max="26" width="20.42578125" bestFit="1" customWidth="1"/>
    <col min="27" max="27" width="23.7109375" bestFit="1" customWidth="1"/>
    <col min="28" max="28" width="40.28515625" bestFit="1" customWidth="1"/>
    <col min="29" max="29" width="77.7109375" bestFit="1" customWidth="1"/>
    <col min="30" max="30" width="20.42578125" bestFit="1" customWidth="1"/>
    <col min="31" max="31" width="58.42578125" bestFit="1" customWidth="1"/>
    <col min="32" max="32" width="59.42578125" bestFit="1" customWidth="1"/>
    <col min="33" max="33" width="18.42578125" bestFit="1" customWidth="1"/>
    <col min="34" max="34" width="13.5703125" bestFit="1" customWidth="1"/>
    <col min="35" max="35" width="10.85546875" bestFit="1" customWidth="1"/>
    <col min="36" max="36" width="10.42578125" bestFit="1" customWidth="1"/>
    <col min="37" max="37" width="21" bestFit="1" customWidth="1"/>
    <col min="38" max="38" width="26.7109375" bestFit="1" customWidth="1"/>
    <col min="39" max="39" width="20.42578125" bestFit="1" customWidth="1"/>
    <col min="40" max="40" width="62.28515625" bestFit="1" customWidth="1"/>
    <col min="41" max="41" width="70.5703125" bestFit="1" customWidth="1"/>
    <col min="42" max="42" width="50.42578125" bestFit="1" customWidth="1"/>
    <col min="43" max="43" width="62.28515625" bestFit="1" customWidth="1"/>
    <col min="44" max="44" width="35.140625" bestFit="1" customWidth="1"/>
    <col min="45" max="45" width="77.42578125" bestFit="1" customWidth="1"/>
    <col min="46" max="46" width="30.5703125" bestFit="1" customWidth="1"/>
    <col min="47" max="47" width="51.140625" bestFit="1" customWidth="1"/>
    <col min="48" max="48" width="44.28515625" bestFit="1" customWidth="1"/>
    <col min="49" max="49" width="26.5703125" bestFit="1" customWidth="1"/>
    <col min="50" max="50" width="23.42578125" bestFit="1" customWidth="1"/>
    <col min="51" max="51" width="25.7109375" bestFit="1" customWidth="1"/>
    <col min="52" max="52" width="40.140625" bestFit="1" customWidth="1"/>
    <col min="53" max="53" width="81.140625" bestFit="1" customWidth="1"/>
    <col min="54" max="54" width="57.5703125" bestFit="1" customWidth="1"/>
    <col min="55" max="55" width="20.42578125" bestFit="1" customWidth="1"/>
    <col min="56" max="56" width="43.85546875" bestFit="1" customWidth="1"/>
    <col min="57" max="57" width="20.42578125" bestFit="1" customWidth="1"/>
    <col min="58" max="58" width="52.7109375" bestFit="1" customWidth="1"/>
    <col min="59" max="59" width="20.42578125" bestFit="1" customWidth="1"/>
    <col min="60" max="60" width="67.28515625" bestFit="1" customWidth="1"/>
    <col min="61" max="61" width="22.5703125" bestFit="1" customWidth="1"/>
    <col min="62" max="62" width="28.140625" bestFit="1" customWidth="1"/>
    <col min="63" max="63" width="45.28515625" bestFit="1" customWidth="1"/>
    <col min="64" max="64" width="57.140625" bestFit="1" customWidth="1"/>
    <col min="65" max="65" width="25.42578125" bestFit="1" customWidth="1"/>
    <col min="66" max="66" width="37.140625" bestFit="1" customWidth="1"/>
    <col min="67" max="67" width="32.7109375" bestFit="1" customWidth="1"/>
    <col min="68" max="68" width="22.42578125" bestFit="1" customWidth="1"/>
    <col min="69" max="69" width="13.5703125" bestFit="1" customWidth="1"/>
    <col min="70" max="70" width="13.28515625" bestFit="1" customWidth="1"/>
    <col min="71" max="72" width="9.5703125" bestFit="1" customWidth="1"/>
    <col min="73" max="73" width="38.42578125" bestFit="1" customWidth="1"/>
    <col min="74" max="74" width="45" bestFit="1" customWidth="1"/>
    <col min="75" max="75" width="58.5703125" bestFit="1" customWidth="1"/>
    <col min="76" max="76" width="42.28515625" bestFit="1" customWidth="1"/>
    <col min="77" max="77" width="56.5703125" bestFit="1" customWidth="1"/>
    <col min="78" max="78" width="26.28515625" bestFit="1" customWidth="1"/>
    <col min="79" max="79" width="24.7109375" bestFit="1" customWidth="1"/>
    <col min="80" max="80" width="18" bestFit="1" customWidth="1"/>
    <col min="81" max="81" width="26.140625" bestFit="1" customWidth="1"/>
    <col min="82" max="82" width="41.5703125" bestFit="1" customWidth="1"/>
    <col min="84" max="84" width="14.7109375" customWidth="1"/>
    <col min="85" max="85" width="15.28515625" customWidth="1"/>
  </cols>
  <sheetData>
    <row r="1" spans="1:85" s="148" customFormat="1" ht="18" customHeight="1" x14ac:dyDescent="0.25">
      <c r="I1" s="359" t="s">
        <v>1096</v>
      </c>
      <c r="J1" s="360"/>
      <c r="K1" s="360"/>
      <c r="L1" s="360"/>
      <c r="M1" s="360"/>
      <c r="N1" s="360"/>
      <c r="O1" s="360"/>
      <c r="P1" s="360"/>
      <c r="Q1" s="360"/>
      <c r="R1" s="365" t="s">
        <v>1097</v>
      </c>
      <c r="S1" s="366"/>
      <c r="T1" s="366"/>
      <c r="U1" s="366"/>
      <c r="V1" s="366"/>
      <c r="W1" s="366"/>
      <c r="X1" s="366"/>
      <c r="Y1" s="366"/>
      <c r="Z1" s="366"/>
      <c r="AA1" s="366"/>
      <c r="AB1" s="366"/>
      <c r="AC1" s="366"/>
      <c r="AD1" s="366"/>
      <c r="AE1" s="366"/>
      <c r="AF1" s="366"/>
      <c r="AG1" s="366"/>
      <c r="AH1" s="366"/>
      <c r="AI1" s="366"/>
      <c r="AJ1" s="366"/>
      <c r="AK1" s="366"/>
      <c r="AL1" s="366"/>
      <c r="AM1" s="366"/>
      <c r="AN1" s="366"/>
      <c r="AO1" s="367" t="s">
        <v>1098</v>
      </c>
      <c r="AP1" s="367"/>
      <c r="AQ1" s="367"/>
      <c r="AR1" s="367"/>
      <c r="AS1" s="367"/>
      <c r="AT1" s="367"/>
      <c r="AU1" s="367"/>
      <c r="AV1" s="367"/>
      <c r="AW1" s="346" t="s">
        <v>1099</v>
      </c>
      <c r="AX1" s="347"/>
      <c r="AY1" s="347"/>
      <c r="AZ1" s="347"/>
      <c r="BA1" s="347"/>
      <c r="BB1" s="347"/>
      <c r="BC1" s="347"/>
      <c r="BD1" s="347"/>
      <c r="BE1" s="347"/>
      <c r="BF1" s="347"/>
      <c r="BG1" s="347"/>
      <c r="BH1" s="368"/>
      <c r="BI1" s="369" t="s">
        <v>1100</v>
      </c>
      <c r="BJ1" s="369"/>
      <c r="BK1" s="369"/>
      <c r="BL1" s="369"/>
      <c r="BM1" s="369"/>
      <c r="BN1" s="369"/>
      <c r="BP1" s="370" t="s">
        <v>1101</v>
      </c>
      <c r="BQ1" s="370"/>
      <c r="BR1" s="370"/>
      <c r="BS1" s="370"/>
      <c r="BT1" s="370"/>
      <c r="BU1" s="370"/>
      <c r="BV1" s="370"/>
      <c r="BW1" s="370"/>
      <c r="BX1" s="370"/>
      <c r="BY1" s="370"/>
    </row>
    <row r="2" spans="1:85" s="148" customFormat="1" ht="18" customHeight="1" x14ac:dyDescent="0.25">
      <c r="I2" s="362"/>
      <c r="J2" s="363"/>
      <c r="K2" s="363"/>
      <c r="L2" s="363"/>
      <c r="M2" s="363"/>
      <c r="N2" s="363"/>
      <c r="O2" s="363"/>
      <c r="P2" s="363"/>
      <c r="Q2" s="363"/>
      <c r="R2" s="354" t="s">
        <v>1102</v>
      </c>
      <c r="S2" s="355"/>
      <c r="T2" s="355"/>
      <c r="U2" s="355"/>
      <c r="V2" s="355"/>
      <c r="W2" s="355"/>
      <c r="X2" s="355"/>
      <c r="Y2" s="355"/>
      <c r="Z2" s="355"/>
      <c r="AA2" s="351" t="s">
        <v>1103</v>
      </c>
      <c r="AB2" s="352"/>
      <c r="AC2" s="352"/>
      <c r="AD2" s="352"/>
      <c r="AE2" s="371" t="s">
        <v>1104</v>
      </c>
      <c r="AF2" s="371"/>
      <c r="AG2" s="371"/>
      <c r="AH2" s="371"/>
      <c r="AI2" s="371"/>
      <c r="AJ2" s="371"/>
      <c r="AK2" s="371"/>
      <c r="AL2" s="371"/>
      <c r="AM2" s="371"/>
      <c r="AN2" s="152"/>
      <c r="AO2" s="367"/>
      <c r="AP2" s="367"/>
      <c r="AQ2" s="367"/>
      <c r="AR2" s="367"/>
      <c r="AS2" s="367"/>
      <c r="AT2" s="367"/>
      <c r="AU2" s="367"/>
      <c r="AV2" s="367"/>
      <c r="AW2" s="372" t="s">
        <v>1105</v>
      </c>
      <c r="AX2" s="372"/>
      <c r="AY2" s="372"/>
      <c r="AZ2" s="372"/>
      <c r="BA2" s="372"/>
      <c r="BB2" s="372"/>
      <c r="BC2" s="372"/>
      <c r="BD2" s="341" t="s">
        <v>1106</v>
      </c>
      <c r="BE2" s="342"/>
      <c r="BF2" s="373" t="s">
        <v>1107</v>
      </c>
      <c r="BG2" s="374"/>
      <c r="BH2" s="153"/>
      <c r="BI2" s="369"/>
      <c r="BJ2" s="369"/>
      <c r="BK2" s="369"/>
      <c r="BL2" s="369"/>
      <c r="BM2" s="369"/>
      <c r="BN2" s="369"/>
      <c r="BP2" s="370"/>
      <c r="BQ2" s="370"/>
      <c r="BR2" s="370"/>
      <c r="BS2" s="370"/>
      <c r="BT2" s="370"/>
      <c r="BU2" s="370"/>
      <c r="BV2" s="370"/>
      <c r="BW2" s="370"/>
      <c r="BX2" s="370"/>
      <c r="BY2" s="370"/>
    </row>
    <row r="3" spans="1:85" x14ac:dyDescent="0.25">
      <c r="A3" s="151" t="s">
        <v>0</v>
      </c>
      <c r="B3" s="151" t="s">
        <v>1</v>
      </c>
      <c r="C3" s="151" t="s">
        <v>2</v>
      </c>
      <c r="D3" s="151" t="s">
        <v>1052</v>
      </c>
      <c r="E3" s="151" t="s">
        <v>3</v>
      </c>
      <c r="F3" s="151" t="s">
        <v>4</v>
      </c>
      <c r="G3" s="151" t="s">
        <v>5</v>
      </c>
      <c r="H3" s="151" t="s">
        <v>6</v>
      </c>
      <c r="I3" s="12" t="s">
        <v>7</v>
      </c>
      <c r="J3" s="12" t="s">
        <v>1053</v>
      </c>
      <c r="K3" s="12" t="s">
        <v>1054</v>
      </c>
      <c r="L3" s="12" t="s">
        <v>1055</v>
      </c>
      <c r="M3" s="12" t="s">
        <v>1056</v>
      </c>
      <c r="N3" s="12" t="s">
        <v>1057</v>
      </c>
      <c r="O3" s="12" t="s">
        <v>1345</v>
      </c>
      <c r="P3" s="12" t="s">
        <v>1058</v>
      </c>
      <c r="Q3" s="12" t="s">
        <v>1108</v>
      </c>
      <c r="R3" s="2" t="s">
        <v>260</v>
      </c>
      <c r="S3" s="2" t="s">
        <v>267</v>
      </c>
      <c r="T3" s="2" t="s">
        <v>274</v>
      </c>
      <c r="U3" s="2" t="s">
        <v>281</v>
      </c>
      <c r="V3" s="2" t="s">
        <v>286</v>
      </c>
      <c r="W3" s="2" t="s">
        <v>290</v>
      </c>
      <c r="X3" s="2" t="s">
        <v>294</v>
      </c>
      <c r="Y3" s="2" t="s">
        <v>298</v>
      </c>
      <c r="Z3" s="2" t="s">
        <v>1109</v>
      </c>
      <c r="AA3" s="13" t="s">
        <v>1059</v>
      </c>
      <c r="AB3" s="13" t="s">
        <v>1060</v>
      </c>
      <c r="AC3" s="13" t="s">
        <v>1110</v>
      </c>
      <c r="AD3" s="13" t="s">
        <v>1111</v>
      </c>
      <c r="AE3" s="2" t="s">
        <v>1112</v>
      </c>
      <c r="AF3" s="2" t="s">
        <v>1113</v>
      </c>
      <c r="AG3" s="2" t="s">
        <v>985</v>
      </c>
      <c r="AH3" s="2" t="s">
        <v>986</v>
      </c>
      <c r="AI3" s="2" t="s">
        <v>987</v>
      </c>
      <c r="AJ3" s="2" t="s">
        <v>988</v>
      </c>
      <c r="AK3" s="2" t="s">
        <v>1063</v>
      </c>
      <c r="AL3" s="2" t="s">
        <v>1064</v>
      </c>
      <c r="AM3" s="2" t="s">
        <v>1114</v>
      </c>
      <c r="AN3" s="152" t="s">
        <v>1115</v>
      </c>
      <c r="AO3" s="14" t="s">
        <v>1065</v>
      </c>
      <c r="AP3" s="14" t="s">
        <v>1066</v>
      </c>
      <c r="AQ3" s="14" t="s">
        <v>1067</v>
      </c>
      <c r="AR3" s="14" t="s">
        <v>1068</v>
      </c>
      <c r="AS3" s="14" t="s">
        <v>1069</v>
      </c>
      <c r="AT3" s="13" t="s">
        <v>1070</v>
      </c>
      <c r="AU3" s="14" t="s">
        <v>1071</v>
      </c>
      <c r="AV3" s="14" t="s">
        <v>1098</v>
      </c>
      <c r="AW3" s="15" t="s">
        <v>1072</v>
      </c>
      <c r="AX3" s="15" t="s">
        <v>1073</v>
      </c>
      <c r="AY3" s="15" t="s">
        <v>1074</v>
      </c>
      <c r="AZ3" s="15" t="s">
        <v>1075</v>
      </c>
      <c r="BA3" s="15" t="s">
        <v>1076</v>
      </c>
      <c r="BB3" s="15" t="s">
        <v>1077</v>
      </c>
      <c r="BC3" s="15" t="s">
        <v>1116</v>
      </c>
      <c r="BD3" s="202" t="s">
        <v>1078</v>
      </c>
      <c r="BE3" s="202" t="s">
        <v>1117</v>
      </c>
      <c r="BF3" s="16" t="s">
        <v>1079</v>
      </c>
      <c r="BG3" s="16" t="s">
        <v>1118</v>
      </c>
      <c r="BH3" s="153" t="s">
        <v>1099</v>
      </c>
      <c r="BI3" s="199" t="s">
        <v>1080</v>
      </c>
      <c r="BJ3" s="199" t="s">
        <v>1081</v>
      </c>
      <c r="BK3" s="199" t="s">
        <v>1082</v>
      </c>
      <c r="BL3" s="199" t="s">
        <v>1083</v>
      </c>
      <c r="BM3" s="199" t="s">
        <v>1084</v>
      </c>
      <c r="BN3" s="199" t="s">
        <v>1100</v>
      </c>
      <c r="BO3" s="154" t="s">
        <v>1119</v>
      </c>
      <c r="BP3" s="17" t="s">
        <v>266</v>
      </c>
      <c r="BQ3" s="17" t="s">
        <v>273</v>
      </c>
      <c r="BR3" s="17" t="s">
        <v>302</v>
      </c>
      <c r="BS3" s="17" t="s">
        <v>306</v>
      </c>
      <c r="BT3" s="17" t="s">
        <v>232</v>
      </c>
      <c r="BU3" s="155" t="s">
        <v>1120</v>
      </c>
      <c r="BV3" s="149" t="s">
        <v>1121</v>
      </c>
      <c r="BW3" s="149" t="s">
        <v>1122</v>
      </c>
      <c r="BX3" s="17" t="s">
        <v>1123</v>
      </c>
      <c r="BY3" s="17" t="s">
        <v>1101</v>
      </c>
      <c r="BZ3" s="23" t="s">
        <v>1124</v>
      </c>
      <c r="CA3" s="156" t="s">
        <v>1125</v>
      </c>
      <c r="CB3" s="3" t="s">
        <v>989</v>
      </c>
      <c r="CC3" s="3" t="s">
        <v>990</v>
      </c>
      <c r="CD3" s="18" t="s">
        <v>991</v>
      </c>
    </row>
    <row r="4" spans="1:85" x14ac:dyDescent="0.25">
      <c r="A4" s="20" t="s">
        <v>1350</v>
      </c>
      <c r="B4" t="s">
        <v>8</v>
      </c>
      <c r="C4" t="s">
        <v>1244</v>
      </c>
      <c r="D4" t="s">
        <v>81</v>
      </c>
      <c r="E4" s="20" t="s">
        <v>9</v>
      </c>
      <c r="F4" s="20" t="s">
        <v>10</v>
      </c>
      <c r="G4" s="20">
        <v>1</v>
      </c>
      <c r="H4" s="20">
        <v>0</v>
      </c>
      <c r="I4" s="21">
        <f>VLOOKUP($A4,tabCustoUnit[],COLUMN(CUSTO_GLOBAL[[#Headers],[Salário Base]])-2,0)*($G4-$H4)</f>
        <v>798.14</v>
      </c>
      <c r="J4" s="21">
        <f>VLOOKUP($A4,tabCustoUnit[],COLUMN(CUSTO_GLOBAL[[#Headers],[Adicional Periculosidade]])-2,0)*($G4-$H4)</f>
        <v>0</v>
      </c>
      <c r="K4" s="21">
        <f>VLOOKUP($A4,tabCustoUnit[],COLUMN(CUSTO_GLOBAL[[#Headers],[Adicional Insalubridade]])-2,0)*($G4-$H4)</f>
        <v>0</v>
      </c>
      <c r="L4" s="21">
        <f>VLOOKUP($A4,tabCustoUnit[],COLUMN(CUSTO_GLOBAL[[#Headers],[Adicional Noturno]])-2,0)*($G4-$H4)</f>
        <v>0</v>
      </c>
      <c r="M4" s="21">
        <f>VLOOKUP($A4,tabCustoUnit[],COLUMN(CUSTO_GLOBAL[[#Headers],[Adicional Motorista II (Gratificação)]])-2,0)*($G4-$H4)</f>
        <v>0</v>
      </c>
      <c r="N4" s="21">
        <f>VLOOKUP($A4,tabCustoUnit[],COLUMN(CUSTO_GLOBAL[[#Headers],[Adicional de Sobreaviso]])-2,0)*($G4-$H4)</f>
        <v>0</v>
      </c>
      <c r="O4" s="21">
        <f>VLOOKUP($A4,tabCustoUnit[],COLUMN(CUSTO_GLOBAL[[#Headers],[Horas Extras TI]])-2,0)*($G4-$H4)</f>
        <v>0</v>
      </c>
      <c r="P4" s="21">
        <f>VLOOKUP($A4,tabCustoUnit[],COLUMN(CUSTO_GLOBAL[[#Headers],[Adicional de Acúmulo de função]])-2,0)*($G4-$H4)</f>
        <v>26.120899999999999</v>
      </c>
      <c r="Q4" s="21">
        <f>VLOOKUP($A4,tabCustoUnit[],COLUMN(CUSTO_GLOBAL[[#Headers],[MODULO 1 - REMUNERAÇÃO ]])-2,0)*($G4-$H4)</f>
        <v>824.26089999999999</v>
      </c>
      <c r="R4" s="21">
        <f>VLOOKUP($A4,tabCustoUnit[],COLUMN(CUSTO_GLOBAL[[#Headers],[INSS]])-2,0)*($G4-$H4)</f>
        <v>164.85218</v>
      </c>
      <c r="S4" s="21">
        <f>VLOOKUP($A4,tabCustoUnit[],COLUMN(CUSTO_GLOBAL[[#Headers],[SESI OU SESC]])-2,0)*($G4-$H4)</f>
        <v>12.363913499999999</v>
      </c>
      <c r="T4" s="21">
        <f>VLOOKUP($A4,tabCustoUnit[],COLUMN(CUSTO_GLOBAL[[#Headers],[SENAI OU SENAC]])-2,0)*($G4-$H4)</f>
        <v>8.2426089999999999</v>
      </c>
      <c r="U4" s="21">
        <f>VLOOKUP($A4,tabCustoUnit[],COLUMN(CUSTO_GLOBAL[[#Headers],[INCRA]])-2,0)*($G4-$H4)</f>
        <v>1.6485217999999999</v>
      </c>
      <c r="V4" s="21">
        <f>VLOOKUP($A4,tabCustoUnit[],COLUMN(CUSTO_GLOBAL[[#Headers],[Salário Educação]])-2,0)*($G4-$H4)</f>
        <v>20.606522500000001</v>
      </c>
      <c r="W4" s="21">
        <f>VLOOKUP($A4,tabCustoUnit[],COLUMN(CUSTO_GLOBAL[[#Headers],[FGTS]])-2,0)*($G4-$H4)</f>
        <v>65.940871999999999</v>
      </c>
      <c r="X4" s="21">
        <f>VLOOKUP($A4,tabCustoUnit[],COLUMN(CUSTO_GLOBAL[[#Headers],[RAT Ajustado]])-2,0)*($G4-$H4)</f>
        <v>32.970435999999999</v>
      </c>
      <c r="Y4" s="21">
        <f>VLOOKUP($A4,tabCustoUnit[],COLUMN(CUSTO_GLOBAL[[#Headers],[SEBRAE]])-2,0)*($G4-$H4)</f>
        <v>4.9455654000000004</v>
      </c>
      <c r="Z4" s="21">
        <f>VLOOKUP($A4,tabCustoUnit[],COLUMN(CUSTO_GLOBAL[[#Headers],[Submódulo 2.1]])-2,0)*($G4-$H4)</f>
        <v>311.57062020000001</v>
      </c>
      <c r="AA4" s="21">
        <f>VLOOKUP($A4,tabCustoUnit[],COLUMN(CUSTO_GLOBAL[[#Headers],[13º salário (titular)]])-2,0)*($G4-$H4)</f>
        <v>68.688408333333328</v>
      </c>
      <c r="AB4" s="21">
        <f>VLOOKUP($A4,tabCustoUnit[],COLUMN(CUSTO_GLOBAL[[#Headers],[Férias e Adicional de Férias (titular)]])-2,0)*($G4-$H4)</f>
        <v>91.584544444444433</v>
      </c>
      <c r="AC4" s="21">
        <f>VLOOKUP($A4,tabCustoUnit[],COLUMN(CUSTO_GLOBAL[[#Headers],[Incidência do Submódulo 2.1 sobre 13º Salário, Férias e Adicional de Férias]])-2,0)*($G4-$H4)</f>
        <v>60.583176149999993</v>
      </c>
      <c r="AD4" s="21">
        <f>VLOOKUP($A4,tabCustoUnit[],COLUMN(CUSTO_GLOBAL[[#Headers],[Submódulo 2.2]])-2,0)*($G4-$H4)</f>
        <v>220.85612892777775</v>
      </c>
      <c r="AE4" s="22">
        <f>VLOOKUP($A4,tabCustoUnit[],COLUMN(CUSTO_GLOBAL[[#Headers],[Vale - Transporte (Descontada parcela do empregado)]])-2,0)*($G4-$H4)</f>
        <v>208.11160000000001</v>
      </c>
      <c r="AF4" s="22">
        <f>VLOOKUP($A4,tabCustoUnit[],COLUMN(CUSTO_GLOBAL[[#Headers],[Vale - Alimentação (Descontada parcela do empregado)]])-2,0)*($G4-$H4)</f>
        <v>582</v>
      </c>
      <c r="AG4" s="22">
        <f>VLOOKUP($A4,tabCustoUnit[],COLUMN(CUSTO_GLOBAL[[#Headers],[Cesta Básica]])-2,0)*($G4-$H4)</f>
        <v>0</v>
      </c>
      <c r="AH4" s="22">
        <f>VLOOKUP($A4,tabCustoUnit[],COLUMN(CUSTO_GLOBAL[[#Headers],[PAF]])-2,0)*($G4-$H4)</f>
        <v>51.74</v>
      </c>
      <c r="AI4" s="22">
        <f>VLOOKUP($A4,tabCustoUnit[],COLUMN(CUSTO_GLOBAL[[#Headers],[PQM]])-2,0)*($G4-$H4)</f>
        <v>0</v>
      </c>
      <c r="AJ4" s="22">
        <v>0</v>
      </c>
      <c r="AK4" s="22">
        <f>VLOOKUP($A4,tabCustoUnit[],COLUMN(CUSTO_GLOBAL[[#Headers],[Seguro de Vida]])-2,0)*($G4-$H4)</f>
        <v>3.36</v>
      </c>
      <c r="AL4" s="22">
        <f>VLOOKUP($A4,tabCustoUnit[],COLUMN(CUSTO_GLOBAL[[#Headers],[Despesas de Viagem]])-2,0)*($G4-$H4)</f>
        <v>0</v>
      </c>
      <c r="AM4" s="22">
        <f>VLOOKUP($A4,tabCustoUnit[],COLUMN(CUSTO_GLOBAL[[#Headers],[Submódulo 2.3]])-2,0)*($G4-$H4)</f>
        <v>845.21159999999998</v>
      </c>
      <c r="AN4" s="22">
        <f>VLOOKUP($A4,tabCustoUnit[],COLUMN(CUSTO_GLOBAL[[#Headers],[MÓDULO 2 - Total Encargos e Benefícios mensais e diários]])-2,0)*($G4-$H4)</f>
        <v>1377.6383491277777</v>
      </c>
      <c r="AO4" s="22">
        <f>VLOOKUP($A4,tabCustoUnit[],COLUMN(CUSTO_GLOBAL[[#Headers],[Aviso Prévio Indenizado (API) e Reflexo do Aviso Prévio Indenizado]])-2,0)*($G4-$H4)</f>
        <v>5.7795253576581791</v>
      </c>
      <c r="AP4" s="22">
        <f>VLOOKUP($A4,tabCustoUnit[],COLUMN(CUSTO_GLOBAL[[#Headers],[Incidência do FGTS sobre API e Reflexo do API]])-2,0)*($G4-$H4)</f>
        <v>0.46236202861265435</v>
      </c>
      <c r="AQ4" s="22">
        <f>VLOOKUP($A4,tabCustoUnit[],COLUMN(CUSTO_GLOBAL[[#Headers],[Multa Rescisória do FGTS sobre o Aviso Prévio Indenizado]])-2,0)*($G4-$H4)</f>
        <v>0.18494481144506175</v>
      </c>
      <c r="AR4" s="22">
        <f>VLOOKUP($A4,tabCustoUnit[],COLUMN(CUSTO_GLOBAL[[#Headers],[Aviso Prévio Trabalhado - APT]])-2,0)*($G4-$H4)</f>
        <v>2.8849131500000005</v>
      </c>
      <c r="AS4" s="22">
        <f>VLOOKUP($A4,tabCustoUnit[],COLUMN(CUSTO_GLOBAL[[#Headers],[Incidência dos encargos do submódulo 2.1 sobre Aviso Prévio Trabalhado]])-2,0)*($G4-$H4)</f>
        <v>1.0904971707000004</v>
      </c>
      <c r="AT4" s="22">
        <f>VLOOKUP($A4,tabCustoUnit[],COLUMN(CUSTO_GLOBAL[[#Headers],[Multa Rescisória do FGTS]])-2,0)*($G4-$H4)</f>
        <v>25.204066631111107</v>
      </c>
      <c r="AU4" s="22">
        <f>VLOOKUP($A4,tabCustoUnit[],COLUMN(CUSTO_GLOBAL[[#Headers],[Indenização Adicional (Art. 9º da Lei nº 7.238/84)]])-2,0)*($G4-$H4)</f>
        <v>0.6868840833333334</v>
      </c>
      <c r="AV4" s="22">
        <f>VLOOKUP($A4,tabCustoUnit[],COLUMN(CUSTO_GLOBAL[[#Headers],[MÓDULO 3 – PROVISÃO PARA RESCISÃO]])-2,0)*($G4-$H4)</f>
        <v>36.293193232860339</v>
      </c>
      <c r="AW4" s="22">
        <f>VLOOKUP($A4,tabCustoUnit[],COLUMN(CUSTO_GLOBAL[[#Headers],[Ausência por Doença]])-2,0)*($G4-$H4)</f>
        <v>6.9604253777777769</v>
      </c>
      <c r="AX4" s="22">
        <f>VLOOKUP($A4,tabCustoUnit[],COLUMN(CUSTO_GLOBAL[[#Headers],[Ausências Legais]])-2,0)*($G4-$H4)</f>
        <v>1.671417936111111</v>
      </c>
      <c r="AY4" s="22">
        <f>VLOOKUP($A4,tabCustoUnit[],COLUMN(CUSTO_GLOBAL[[#Headers],[Licença Paternidade]])-2,0)*($G4-$H4)</f>
        <v>0.14081123708333332</v>
      </c>
      <c r="AZ4" s="22">
        <f>VLOOKUP($A4,tabCustoUnit[],COLUMN(CUSTO_GLOBAL[[#Headers],[Ausência por Acidente de Trabalho]])-2,0)*($G4-$H4)</f>
        <v>0.17172102083333335</v>
      </c>
      <c r="BA4" s="22">
        <f>VLOOKUP($A4,tabCustoUnit[],COLUMN(CUSTO_GLOBAL[[#Headers],[Férias, Adicional de Férias e 13º  com empregada em gozo de Licença Maternidade]])-2,0)*($G4-$H4)</f>
        <v>1.0684863518518517</v>
      </c>
      <c r="BB4" s="22">
        <f>VLOOKUP($A4,tabCustoUnit[],COLUMN(CUSTO_GLOBAL[[#Headers],[Incidência do Submódulo 2.1 sobre Ausências Legais]])-2,0)*($G4-$H4)</f>
        <v>3.7848618071425006</v>
      </c>
      <c r="BC4" s="22">
        <f>VLOOKUP($A4,tabCustoUnit[],COLUMN(CUSTO_GLOBAL[[#Headers],[Submódulo 4.1]])-2,0)*($G4-$H4)</f>
        <v>13.797723730799909</v>
      </c>
      <c r="BD4" s="22">
        <f>VLOOKUP($A4,tabCustoUnit[],COLUMN(CUSTO_GLOBAL[[#Headers],[Intervalo para Repouso ou Alimentação]])-2,0)*($G4-$H4)</f>
        <v>0</v>
      </c>
      <c r="BE4" s="22">
        <f>VLOOKUP($A4,tabCustoUnit[],COLUMN(CUSTO_GLOBAL[[#Headers],[Submódulo 4.2]])-2,0)*($G4-$H4)</f>
        <v>0</v>
      </c>
      <c r="BF4" s="22">
        <f>VLOOKUP($A4,tabCustoUnit[],COLUMN(CUSTO_GLOBAL[[#Headers],[Suspensão Temporária do Contrato de Trabalho]])-2,0)*($G4-$H4)</f>
        <v>0</v>
      </c>
      <c r="BG4" s="22">
        <f>VLOOKUP($A4,tabCustoUnit[],COLUMN(CUSTO_GLOBAL[[#Headers],[Submódulo 4.3]])-2,0)*($G4-$H4)</f>
        <v>0</v>
      </c>
      <c r="BH4" s="22">
        <f>VLOOKUP($A4,tabCustoUnit[],COLUMN(CUSTO_GLOBAL[[#Headers],[MÓDULO 4 – CUSTO DE REPOSIÇÃO DO PROFISSIONAL AUSENTE]])-2,0)*($G4-$H4)</f>
        <v>13.797723730799909</v>
      </c>
      <c r="BI4" s="22">
        <f>VLOOKUP($A4,tabCustoUnit[],COLUMN(CUSTO_GLOBAL[[#Headers],[Uniformes e EPIs]])-2,0)*($G4-$H4)</f>
        <v>62.806666666666665</v>
      </c>
      <c r="BJ4" s="22">
        <f>VLOOKUP($A4,tabCustoUnit[],COLUMN(CUSTO_GLOBAL[[#Headers],[Materiais de Consumo]])-2,0)*($G4-$H4)</f>
        <v>17.759106479291944</v>
      </c>
      <c r="BK4" s="22">
        <f>VLOOKUP($A4,tabCustoUnit[],COLUMN(CUSTO_GLOBAL[[#Headers],[Máquinas e Equipamentos (depreciação)]])-2,0)*($G4-$H4)</f>
        <v>32.264696957412788</v>
      </c>
      <c r="BL4" s="22">
        <f>VLOOKUP($A4,tabCustoUnit[],COLUMN(CUSTO_GLOBAL[[#Headers],[Produtos de Limpeza e Materiais de Higiene Pessoal]])-2,0)*($G4-$H4)</f>
        <v>345.13576638965827</v>
      </c>
      <c r="BM4" s="22">
        <f>VLOOKUP($A4,tabCustoUnit[],COLUMN(CUSTO_GLOBAL[[#Headers],[Outros (especificar)]])-2,0)*($G4-$H4)</f>
        <v>0</v>
      </c>
      <c r="BN4" s="22">
        <f>VLOOKUP($A4,tabCustoUnit[],COLUMN(CUSTO_GLOBAL[[#Headers],[MÓDULO 5 – INSUMOS DIVERSOS]])-2,0)*($G4-$H4)</f>
        <v>457.96623649302967</v>
      </c>
      <c r="BO4" s="22">
        <f>VLOOKUP($A4,tabCustoUnit[],COLUMN(CUSTO_GLOBAL[[#Headers],[TOTAL MÓDULOS 1+2+3+4+5]])-2,0)*($G4-$H4)</f>
        <v>2709.9564025844675</v>
      </c>
      <c r="BP4" s="22">
        <f>VLOOKUP($A4,tabCustoUnit[],COLUMN(CUSTO_GLOBAL[[#Headers],[Custos Indiretos]])-2,0)*($G4-$H4)</f>
        <v>189.64880140242613</v>
      </c>
      <c r="BQ4" s="22">
        <f>VLOOKUP($A4,tabCustoUnit[],COLUMN(CUSTO_GLOBAL[[#Headers],[Lucro]])-2,0)*($G4-$H4)</f>
        <v>159.30499317803796</v>
      </c>
      <c r="BR4" s="26">
        <f>VLOOKUP($A4,tabCustoUnit[],COLUMN(CUSTO_GLOBAL[[#Headers],[COFINS]])-2,0)</f>
        <v>8.6118980169971604E-2</v>
      </c>
      <c r="BS4" s="26">
        <f>VLOOKUP($A4,tabCustoUnit[],COLUMN(CUSTO_GLOBAL[[#Headers],[PIS]])-2,0)</f>
        <v>1.8696883852691224E-2</v>
      </c>
      <c r="BT4" s="28">
        <f>VLOOKUP($A4,tabCustoUnit[],COLUMN(CUSTO_GLOBAL[[#Headers],[ISS]])-2,0)</f>
        <v>2.5000000000000001E-2</v>
      </c>
      <c r="BU4" s="26">
        <f>VLOOKUP($A4,tabCustoUnit[],COLUMN(CUSTO_GLOBAL[[#Headers],[ISS (Conversão Alíquota s/ fatura)]])-2,0)</f>
        <v>2.8328611898017008E-2</v>
      </c>
      <c r="BV4" s="26">
        <f>VLOOKUP($A4,tabCustoUnit[],COLUMN(CUSTO_GLOBAL[[#Headers],[Resumo de Alíquotas (PIS+CONFINS+ISS)]])-2,0)</f>
        <v>0.11749999999999999</v>
      </c>
      <c r="BW4" s="138">
        <f>VLOOKUP($A4,tabCustoUnit[],COLUMN(CUSTO_GLOBAL[[#Headers],[PIS + COFINS + ISS (Total Conversão  Alíquota s/ Fatura)]])-2,0)</f>
        <v>0.13314447592067982</v>
      </c>
      <c r="BX4" s="22">
        <f>VLOOKUP($A4,tabCustoUnit[],COLUMN(CUSTO_GLOBAL[[#Headers],[Valor dos Tributos (ISS, PIS, CONFINS)]])-2,0)*($G4-$H4)</f>
        <v>407.27699508994817</v>
      </c>
      <c r="BY4" s="22">
        <f>VLOOKUP($A4,tabCustoUnit[],COLUMN(CUSTO_GLOBAL[[#Headers],[MÓDULO 6 – CUSTOS INDIRETOS, TRIBUTOS E LUCRO]])-2,0)*($G4-$H4)</f>
        <v>756.23078967041226</v>
      </c>
      <c r="BZ4" s="22">
        <f>VLOOKUP($A4,tabCustoUnit[],COLUMN(CUSTO_GLOBAL[[#Headers],[CUSTO TOTAL MENSAL]])-2,0)*($G4-$H4)</f>
        <v>3466.1871922548798</v>
      </c>
      <c r="CA4" s="22">
        <f>CUSTO_GLOBAL[[#This Row],[CUSTO TOTAL MENSAL]]*12</f>
        <v>41594.246307058558</v>
      </c>
      <c r="CB4" s="24">
        <f>VLOOKUP($A4,tabCustoUnit[],COLUMN(CUSTO_GLOBAL[[#Headers],[ANO DA CCT]])-2,0)</f>
        <v>45658</v>
      </c>
      <c r="CC4" s="25" t="str">
        <f>VLOOKUP($A4,tabCustoUnit[],COLUMN(CUSTO_GLOBAL[[#Headers],[Nº DE PEDIDO DA CCT]])-2,0)</f>
        <v>-</v>
      </c>
      <c r="CD4" s="25" t="str">
        <f>VLOOKUP($A4,tabCustoUnit[],COLUMN(CUSTO_GLOBAL[[#Headers],[TERMO ADITIVO  ALTERAÇÃO DA CCT]])-2,0)</f>
        <v>-</v>
      </c>
      <c r="CF4" s="22"/>
      <c r="CG4" s="22"/>
    </row>
    <row r="5" spans="1:85" x14ac:dyDescent="0.25">
      <c r="A5" s="20" t="s">
        <v>1351</v>
      </c>
      <c r="B5" t="s">
        <v>11</v>
      </c>
      <c r="C5" t="s">
        <v>1244</v>
      </c>
      <c r="D5" t="s">
        <v>1000</v>
      </c>
      <c r="E5" s="20" t="s">
        <v>9</v>
      </c>
      <c r="F5" s="20" t="s">
        <v>10</v>
      </c>
      <c r="G5" s="20">
        <v>1</v>
      </c>
      <c r="H5" s="20">
        <v>0</v>
      </c>
      <c r="I5" s="21">
        <f>VLOOKUP($A5,tabCustoUnit[],COLUMN(CUSTO_GLOBAL[[#Headers],[Salário Base]])-2,0)*($G5-$H5)</f>
        <v>798.14</v>
      </c>
      <c r="J5" s="21">
        <f>VLOOKUP($A5,tabCustoUnit[],COLUMN(CUSTO_GLOBAL[[#Headers],[Adicional Periculosidade]])-2,0)*($G5-$H5)</f>
        <v>0</v>
      </c>
      <c r="K5" s="21">
        <f>VLOOKUP($A5,tabCustoUnit[],COLUMN(CUSTO_GLOBAL[[#Headers],[Adicional Insalubridade]])-2,0)*($G5-$H5)</f>
        <v>0</v>
      </c>
      <c r="L5" s="21">
        <f>VLOOKUP($A5,tabCustoUnit[],COLUMN(CUSTO_GLOBAL[[#Headers],[Adicional Noturno]])-2,0)*($G5-$H5)</f>
        <v>0</v>
      </c>
      <c r="M5" s="21">
        <f>VLOOKUP($A5,tabCustoUnit[],COLUMN(CUSTO_GLOBAL[[#Headers],[Adicional Motorista II (Gratificação)]])-2,0)*($G5-$H5)</f>
        <v>0</v>
      </c>
      <c r="N5" s="21">
        <f>VLOOKUP($A5,tabCustoUnit[],COLUMN(CUSTO_GLOBAL[[#Headers],[Adicional de Sobreaviso]])-2,0)*($G5-$H5)</f>
        <v>0</v>
      </c>
      <c r="O5" s="21">
        <f>VLOOKUP($A5,tabCustoUnit[],COLUMN(CUSTO_GLOBAL[[#Headers],[Horas Extras TI]])-2,0)*($G5-$H5)</f>
        <v>0</v>
      </c>
      <c r="P5" s="21">
        <f>VLOOKUP($A5,tabCustoUnit[],COLUMN(CUSTO_GLOBAL[[#Headers],[Adicional de Acúmulo de função]])-2,0)*($G5-$H5)</f>
        <v>26.120899999999999</v>
      </c>
      <c r="Q5" s="21">
        <f>VLOOKUP($A5,tabCustoUnit[],COLUMN(CUSTO_GLOBAL[[#Headers],[MODULO 1 - REMUNERAÇÃO ]])-2,0)*($G5-$H5)</f>
        <v>824.26089999999999</v>
      </c>
      <c r="R5" s="21">
        <f>VLOOKUP($A5,tabCustoUnit[],COLUMN(CUSTO_GLOBAL[[#Headers],[INSS]])-2,0)*($G5-$H5)</f>
        <v>164.85218</v>
      </c>
      <c r="S5" s="21">
        <f>VLOOKUP($A5,tabCustoUnit[],COLUMN(CUSTO_GLOBAL[[#Headers],[SESI OU SESC]])-2,0)*($G5-$H5)</f>
        <v>12.363913499999999</v>
      </c>
      <c r="T5" s="21">
        <f>VLOOKUP($A5,tabCustoUnit[],COLUMN(CUSTO_GLOBAL[[#Headers],[SENAI OU SENAC]])-2,0)*($G5-$H5)</f>
        <v>8.2426089999999999</v>
      </c>
      <c r="U5" s="21">
        <f>VLOOKUP($A5,tabCustoUnit[],COLUMN(CUSTO_GLOBAL[[#Headers],[INCRA]])-2,0)*($G5-$H5)</f>
        <v>1.6485217999999999</v>
      </c>
      <c r="V5" s="21">
        <f>VLOOKUP($A5,tabCustoUnit[],COLUMN(CUSTO_GLOBAL[[#Headers],[Salário Educação]])-2,0)*($G5-$H5)</f>
        <v>20.606522500000001</v>
      </c>
      <c r="W5" s="21">
        <f>VLOOKUP($A5,tabCustoUnit[],COLUMN(CUSTO_GLOBAL[[#Headers],[FGTS]])-2,0)*($G5-$H5)</f>
        <v>65.940871999999999</v>
      </c>
      <c r="X5" s="21">
        <f>VLOOKUP($A5,tabCustoUnit[],COLUMN(CUSTO_GLOBAL[[#Headers],[RAT Ajustado]])-2,0)*($G5-$H5)</f>
        <v>32.970435999999999</v>
      </c>
      <c r="Y5" s="21">
        <f>VLOOKUP($A5,tabCustoUnit[],COLUMN(CUSTO_GLOBAL[[#Headers],[SEBRAE]])-2,0)*($G5-$H5)</f>
        <v>4.9455654000000004</v>
      </c>
      <c r="Z5" s="21">
        <f>VLOOKUP($A5,tabCustoUnit[],COLUMN(CUSTO_GLOBAL[[#Headers],[Submódulo 2.1]])-2,0)*($G5-$H5)</f>
        <v>311.57062020000001</v>
      </c>
      <c r="AA5" s="21">
        <f>VLOOKUP($A5,tabCustoUnit[],COLUMN(CUSTO_GLOBAL[[#Headers],[13º salário (titular)]])-2,0)*($G5-$H5)</f>
        <v>68.688408333333328</v>
      </c>
      <c r="AB5" s="21">
        <f>VLOOKUP($A5,tabCustoUnit[],COLUMN(CUSTO_GLOBAL[[#Headers],[Férias e Adicional de Férias (titular)]])-2,0)*($G5-$H5)</f>
        <v>91.584544444444433</v>
      </c>
      <c r="AC5" s="21">
        <f>VLOOKUP($A5,tabCustoUnit[],COLUMN(CUSTO_GLOBAL[[#Headers],[Incidência do Submódulo 2.1 sobre 13º Salário, Férias e Adicional de Férias]])-2,0)*($G5-$H5)</f>
        <v>60.583176149999993</v>
      </c>
      <c r="AD5" s="21">
        <f>VLOOKUP($A5,tabCustoUnit[],COLUMN(CUSTO_GLOBAL[[#Headers],[Submódulo 2.2]])-2,0)*($G5-$H5)</f>
        <v>220.85612892777775</v>
      </c>
      <c r="AE5" s="22">
        <f>VLOOKUP($A5,tabCustoUnit[],COLUMN(CUSTO_GLOBAL[[#Headers],[Vale - Transporte (Descontada parcela do empregado)]])-2,0)*($G5-$H5)</f>
        <v>208.11160000000001</v>
      </c>
      <c r="AF5" s="22">
        <f>VLOOKUP($A5,tabCustoUnit[],COLUMN(CUSTO_GLOBAL[[#Headers],[Vale - Alimentação (Descontada parcela do empregado)]])-2,0)*($G5-$H5)</f>
        <v>582</v>
      </c>
      <c r="AG5" s="22">
        <f>VLOOKUP($A5,tabCustoUnit[],COLUMN(CUSTO_GLOBAL[[#Headers],[Cesta Básica]])-2,0)*($G5-$H5)</f>
        <v>0</v>
      </c>
      <c r="AH5" s="22">
        <f>VLOOKUP($A5,tabCustoUnit[],COLUMN(CUSTO_GLOBAL[[#Headers],[PAF]])-2,0)*($G5-$H5)</f>
        <v>0</v>
      </c>
      <c r="AI5" s="22">
        <f>VLOOKUP($A5,tabCustoUnit[],COLUMN(CUSTO_GLOBAL[[#Headers],[PQM]])-2,0)*($G5-$H5)</f>
        <v>15.07</v>
      </c>
      <c r="AJ5" s="22">
        <v>0</v>
      </c>
      <c r="AK5" s="22">
        <f>VLOOKUP($A5,tabCustoUnit[],COLUMN(CUSTO_GLOBAL[[#Headers],[Seguro de Vida]])-2,0)*($G5-$H5)</f>
        <v>3.36</v>
      </c>
      <c r="AL5" s="22">
        <f>VLOOKUP($A5,tabCustoUnit[],COLUMN(CUSTO_GLOBAL[[#Headers],[Despesas de Viagem]])-2,0)*($G5-$H5)</f>
        <v>0</v>
      </c>
      <c r="AM5" s="22">
        <f>VLOOKUP($A5,tabCustoUnit[],COLUMN(CUSTO_GLOBAL[[#Headers],[Submódulo 2.3]])-2,0)*($G5-$H5)</f>
        <v>808.54160000000002</v>
      </c>
      <c r="AN5" s="22">
        <f>VLOOKUP($A5,tabCustoUnit[],COLUMN(CUSTO_GLOBAL[[#Headers],[MÓDULO 2 - Total Encargos e Benefícios mensais e diários]])-2,0)*($G5-$H5)</f>
        <v>1340.9683491277779</v>
      </c>
      <c r="AO5" s="22">
        <f>VLOOKUP($A5,tabCustoUnit[],COLUMN(CUSTO_GLOBAL[[#Headers],[Aviso Prévio Indenizado (API) e Reflexo do Aviso Prévio Indenizado]])-2,0)*($G5-$H5)</f>
        <v>5.7795253576581791</v>
      </c>
      <c r="AP5" s="22">
        <f>VLOOKUP($A5,tabCustoUnit[],COLUMN(CUSTO_GLOBAL[[#Headers],[Incidência do FGTS sobre API e Reflexo do API]])-2,0)*($G5-$H5)</f>
        <v>0.46236202861265435</v>
      </c>
      <c r="AQ5" s="22">
        <f>VLOOKUP($A5,tabCustoUnit[],COLUMN(CUSTO_GLOBAL[[#Headers],[Multa Rescisória do FGTS sobre o Aviso Prévio Indenizado]])-2,0)*($G5-$H5)</f>
        <v>0.18494481144506175</v>
      </c>
      <c r="AR5" s="22">
        <f>VLOOKUP($A5,tabCustoUnit[],COLUMN(CUSTO_GLOBAL[[#Headers],[Aviso Prévio Trabalhado - APT]])-2,0)*($G5-$H5)</f>
        <v>2.8849131500000005</v>
      </c>
      <c r="AS5" s="22">
        <f>VLOOKUP($A5,tabCustoUnit[],COLUMN(CUSTO_GLOBAL[[#Headers],[Incidência dos encargos do submódulo 2.1 sobre Aviso Prévio Trabalhado]])-2,0)*($G5-$H5)</f>
        <v>1.0904971707000004</v>
      </c>
      <c r="AT5" s="22">
        <f>VLOOKUP($A5,tabCustoUnit[],COLUMN(CUSTO_GLOBAL[[#Headers],[Multa Rescisória do FGTS]])-2,0)*($G5-$H5)</f>
        <v>25.204066631111107</v>
      </c>
      <c r="AU5" s="22">
        <f>VLOOKUP($A5,tabCustoUnit[],COLUMN(CUSTO_GLOBAL[[#Headers],[Indenização Adicional (Art. 9º da Lei nº 7.238/84)]])-2,0)*($G5-$H5)</f>
        <v>0.6868840833333334</v>
      </c>
      <c r="AV5" s="22">
        <f>VLOOKUP($A5,tabCustoUnit[],COLUMN(CUSTO_GLOBAL[[#Headers],[MÓDULO 3 – PROVISÃO PARA RESCISÃO]])-2,0)*($G5-$H5)</f>
        <v>36.293193232860339</v>
      </c>
      <c r="AW5" s="22">
        <f>VLOOKUP($A5,tabCustoUnit[],COLUMN(CUSTO_GLOBAL[[#Headers],[Ausência por Doença]])-2,0)*($G5-$H5)</f>
        <v>6.9604253777777769</v>
      </c>
      <c r="AX5" s="22">
        <f>VLOOKUP($A5,tabCustoUnit[],COLUMN(CUSTO_GLOBAL[[#Headers],[Ausências Legais]])-2,0)*($G5-$H5)</f>
        <v>1.671417936111111</v>
      </c>
      <c r="AY5" s="22">
        <f>VLOOKUP($A5,tabCustoUnit[],COLUMN(CUSTO_GLOBAL[[#Headers],[Licença Paternidade]])-2,0)*($G5-$H5)</f>
        <v>0.14081123708333332</v>
      </c>
      <c r="AZ5" s="22">
        <f>VLOOKUP($A5,tabCustoUnit[],COLUMN(CUSTO_GLOBAL[[#Headers],[Ausência por Acidente de Trabalho]])-2,0)*($G5-$H5)</f>
        <v>0.17172102083333335</v>
      </c>
      <c r="BA5" s="22">
        <f>VLOOKUP($A5,tabCustoUnit[],COLUMN(CUSTO_GLOBAL[[#Headers],[Férias, Adicional de Férias e 13º  com empregada em gozo de Licença Maternidade]])-2,0)*($G5-$H5)</f>
        <v>1.0684863518518517</v>
      </c>
      <c r="BB5" s="22">
        <f>VLOOKUP($A5,tabCustoUnit[],COLUMN(CUSTO_GLOBAL[[#Headers],[Incidência do Submódulo 2.1 sobre Ausências Legais]])-2,0)*($G5-$H5)</f>
        <v>3.7848618071425006</v>
      </c>
      <c r="BC5" s="22">
        <f>VLOOKUP($A5,tabCustoUnit[],COLUMN(CUSTO_GLOBAL[[#Headers],[Submódulo 4.1]])-2,0)*($G5-$H5)</f>
        <v>13.797723730799909</v>
      </c>
      <c r="BD5" s="22">
        <f>VLOOKUP($A5,tabCustoUnit[],COLUMN(CUSTO_GLOBAL[[#Headers],[Intervalo para Repouso ou Alimentação]])-2,0)*($G5-$H5)</f>
        <v>0</v>
      </c>
      <c r="BE5" s="22">
        <f>VLOOKUP($A5,tabCustoUnit[],COLUMN(CUSTO_GLOBAL[[#Headers],[Submódulo 4.2]])-2,0)*($G5-$H5)</f>
        <v>0</v>
      </c>
      <c r="BF5" s="22">
        <f>VLOOKUP($A5,tabCustoUnit[],COLUMN(CUSTO_GLOBAL[[#Headers],[Suspensão Temporária do Contrato de Trabalho]])-2,0)*($G5-$H5)</f>
        <v>0</v>
      </c>
      <c r="BG5" s="22">
        <f>VLOOKUP($A5,tabCustoUnit[],COLUMN(CUSTO_GLOBAL[[#Headers],[Submódulo 4.3]])-2,0)*($G5-$H5)</f>
        <v>0</v>
      </c>
      <c r="BH5" s="22">
        <f>VLOOKUP($A5,tabCustoUnit[],COLUMN(CUSTO_GLOBAL[[#Headers],[MÓDULO 4 – CUSTO DE REPOSIÇÃO DO PROFISSIONAL AUSENTE]])-2,0)*($G5-$H5)</f>
        <v>13.797723730799909</v>
      </c>
      <c r="BI5" s="22">
        <f>VLOOKUP($A5,tabCustoUnit[],COLUMN(CUSTO_GLOBAL[[#Headers],[Uniformes e EPIs]])-2,0)*($G5-$H5)</f>
        <v>62.806666666666665</v>
      </c>
      <c r="BJ5" s="22">
        <f>VLOOKUP($A5,tabCustoUnit[],COLUMN(CUSTO_GLOBAL[[#Headers],[Materiais de Consumo]])-2,0)*($G5-$H5)</f>
        <v>17.759106479291944</v>
      </c>
      <c r="BK5" s="22">
        <f>VLOOKUP($A5,tabCustoUnit[],COLUMN(CUSTO_GLOBAL[[#Headers],[Máquinas e Equipamentos (depreciação)]])-2,0)*($G5-$H5)</f>
        <v>32.264696957412788</v>
      </c>
      <c r="BL5" s="22">
        <f>VLOOKUP($A5,tabCustoUnit[],COLUMN(CUSTO_GLOBAL[[#Headers],[Produtos de Limpeza e Materiais de Higiene Pessoal]])-2,0)*($G5-$H5)</f>
        <v>345.13576638965827</v>
      </c>
      <c r="BM5" s="22">
        <f>VLOOKUP($A5,tabCustoUnit[],COLUMN(CUSTO_GLOBAL[[#Headers],[Outros (especificar)]])-2,0)*($G5-$H5)</f>
        <v>0</v>
      </c>
      <c r="BN5" s="22">
        <f>VLOOKUP($A5,tabCustoUnit[],COLUMN(CUSTO_GLOBAL[[#Headers],[MÓDULO 5 – INSUMOS DIVERSOS]])-2,0)*($G5-$H5)</f>
        <v>457.96623649302967</v>
      </c>
      <c r="BO5" s="22">
        <f>VLOOKUP($A5,tabCustoUnit[],COLUMN(CUSTO_GLOBAL[[#Headers],[TOTAL MÓDULOS 1+2+3+4+5]])-2,0)*($G5-$H5)</f>
        <v>2673.2864025844674</v>
      </c>
      <c r="BP5" s="22">
        <f>VLOOKUP($A5,tabCustoUnit[],COLUMN(CUSTO_GLOBAL[[#Headers],[Custos Indiretos]])-2,0)*($G5-$H5)</f>
        <v>189.64880140242613</v>
      </c>
      <c r="BQ5" s="22">
        <f>VLOOKUP($A5,tabCustoUnit[],COLUMN(CUSTO_GLOBAL[[#Headers],[Lucro]])-2,0)*($G5-$H5)</f>
        <v>159.30499317803796</v>
      </c>
      <c r="BR5" s="26">
        <f>VLOOKUP($A5,tabCustoUnit[],COLUMN(CUSTO_GLOBAL[[#Headers],[COFINS]])-2,0)</f>
        <v>8.5633802816901458E-2</v>
      </c>
      <c r="BS5" s="26">
        <f>VLOOKUP($A5,tabCustoUnit[],COLUMN(CUSTO_GLOBAL[[#Headers],[PIS]])-2,0)</f>
        <v>1.8591549295774657E-2</v>
      </c>
      <c r="BT5" s="28">
        <f>VLOOKUP($A5,tabCustoUnit[],COLUMN(CUSTO_GLOBAL[[#Headers],[ISS]])-2,0)</f>
        <v>0.02</v>
      </c>
      <c r="BU5" s="26">
        <f>VLOOKUP($A5,tabCustoUnit[],COLUMN(CUSTO_GLOBAL[[#Headers],[ISS (Conversão Alíquota s/ fatura)]])-2,0)</f>
        <v>2.2535211267605645E-2</v>
      </c>
      <c r="BV5" s="26">
        <f>VLOOKUP($A5,tabCustoUnit[],COLUMN(CUSTO_GLOBAL[[#Headers],[Resumo de Alíquotas (PIS+CONFINS+ISS)]])-2,0)</f>
        <v>0.1125</v>
      </c>
      <c r="BW5" s="138">
        <f>VLOOKUP($A5,tabCustoUnit[],COLUMN(CUSTO_GLOBAL[[#Headers],[PIS + COFINS + ISS (Total Conversão  Alíquota s/ Fatura)]])-2,0)</f>
        <v>0.12676056338028174</v>
      </c>
      <c r="BX5" s="22">
        <f>VLOOKUP($A5,tabCustoUnit[],COLUMN(CUSTO_GLOBAL[[#Headers],[Valor dos Tributos (ISS, PIS, CONFINS)]])-2,0)*($G5-$H5)</f>
        <v>383.10087006316047</v>
      </c>
      <c r="BY5" s="22">
        <f>VLOOKUP($A5,tabCustoUnit[],COLUMN(CUSTO_GLOBAL[[#Headers],[MÓDULO 6 – CUSTOS INDIRETOS, TRIBUTOS E LUCRO]])-2,0)*($G5-$H5)</f>
        <v>732.05466464362462</v>
      </c>
      <c r="BZ5" s="22">
        <f>VLOOKUP($A5,tabCustoUnit[],COLUMN(CUSTO_GLOBAL[[#Headers],[CUSTO TOTAL MENSAL]])-2,0)*($G5-$H5)</f>
        <v>3405.341067228092</v>
      </c>
      <c r="CA5" s="22">
        <f>CUSTO_GLOBAL[[#This Row],[CUSTO TOTAL MENSAL]]*12</f>
        <v>40864.092806737106</v>
      </c>
      <c r="CB5" s="24">
        <f>VLOOKUP($A5,tabCustoUnit[],COLUMN(CUSTO_GLOBAL[[#Headers],[ANO DA CCT]])-2,0)</f>
        <v>45658</v>
      </c>
      <c r="CC5" s="25" t="str">
        <f>VLOOKUP($A5,tabCustoUnit[],COLUMN(CUSTO_GLOBAL[[#Headers],[Nº DE PEDIDO DA CCT]])-2,0)</f>
        <v>-</v>
      </c>
      <c r="CD5" s="25" t="str">
        <f>VLOOKUP($A5,tabCustoUnit[],COLUMN(CUSTO_GLOBAL[[#Headers],[TERMO ADITIVO  ALTERAÇÃO DA CCT]])-2,0)</f>
        <v>-</v>
      </c>
      <c r="CF5" s="22"/>
      <c r="CG5" s="22"/>
    </row>
    <row r="6" spans="1:85" x14ac:dyDescent="0.25">
      <c r="A6" s="20" t="s">
        <v>1352</v>
      </c>
      <c r="B6" t="s">
        <v>12</v>
      </c>
      <c r="C6" t="s">
        <v>1245</v>
      </c>
      <c r="D6" t="s">
        <v>1026</v>
      </c>
      <c r="E6" s="20" t="s">
        <v>9</v>
      </c>
      <c r="F6" s="20" t="s">
        <v>10</v>
      </c>
      <c r="G6" s="20">
        <v>1</v>
      </c>
      <c r="H6" s="20">
        <v>0</v>
      </c>
      <c r="I6" s="21">
        <f>VLOOKUP($A6,tabCustoUnit[],COLUMN(CUSTO_GLOBAL[[#Headers],[Salário Base]])-2,0)*($G6-$H6)</f>
        <v>1596.28</v>
      </c>
      <c r="J6" s="21">
        <f>VLOOKUP($A6,tabCustoUnit[],COLUMN(CUSTO_GLOBAL[[#Headers],[Adicional Periculosidade]])-2,0)*($G6-$H6)</f>
        <v>0</v>
      </c>
      <c r="K6" s="21">
        <f>VLOOKUP($A6,tabCustoUnit[],COLUMN(CUSTO_GLOBAL[[#Headers],[Adicional Insalubridade]])-2,0)*($G6-$H6)</f>
        <v>0</v>
      </c>
      <c r="L6" s="21">
        <f>VLOOKUP($A6,tabCustoUnit[],COLUMN(CUSTO_GLOBAL[[#Headers],[Adicional Noturno]])-2,0)*($G6-$H6)</f>
        <v>0</v>
      </c>
      <c r="M6" s="21">
        <f>VLOOKUP($A6,tabCustoUnit[],COLUMN(CUSTO_GLOBAL[[#Headers],[Adicional Motorista II (Gratificação)]])-2,0)*($G6-$H6)</f>
        <v>0</v>
      </c>
      <c r="N6" s="21">
        <f>VLOOKUP($A6,tabCustoUnit[],COLUMN(CUSTO_GLOBAL[[#Headers],[Adicional de Sobreaviso]])-2,0)*($G6-$H6)</f>
        <v>0</v>
      </c>
      <c r="O6" s="21">
        <f>VLOOKUP($A6,tabCustoUnit[],COLUMN(CUSTO_GLOBAL[[#Headers],[Horas Extras TI]])-2,0)*($G6-$H6)</f>
        <v>0</v>
      </c>
      <c r="P6" s="21">
        <f>VLOOKUP($A6,tabCustoUnit[],COLUMN(CUSTO_GLOBAL[[#Headers],[Adicional de Acúmulo de função]])-2,0)*($G6-$H6)</f>
        <v>52.241900000000001</v>
      </c>
      <c r="Q6" s="21">
        <f>VLOOKUP($A6,tabCustoUnit[],COLUMN(CUSTO_GLOBAL[[#Headers],[MODULO 1 - REMUNERAÇÃO ]])-2,0)*($G6-$H6)</f>
        <v>1648.5219</v>
      </c>
      <c r="R6" s="21">
        <f>VLOOKUP($A6,tabCustoUnit[],COLUMN(CUSTO_GLOBAL[[#Headers],[INSS]])-2,0)*($G6-$H6)</f>
        <v>329.70438000000001</v>
      </c>
      <c r="S6" s="21">
        <f>VLOOKUP($A6,tabCustoUnit[],COLUMN(CUSTO_GLOBAL[[#Headers],[SESI OU SESC]])-2,0)*($G6-$H6)</f>
        <v>24.727828499999998</v>
      </c>
      <c r="T6" s="21">
        <f>VLOOKUP($A6,tabCustoUnit[],COLUMN(CUSTO_GLOBAL[[#Headers],[SENAI OU SENAC]])-2,0)*($G6-$H6)</f>
        <v>16.485219000000001</v>
      </c>
      <c r="U6" s="21">
        <f>VLOOKUP($A6,tabCustoUnit[],COLUMN(CUSTO_GLOBAL[[#Headers],[INCRA]])-2,0)*($G6-$H6)</f>
        <v>3.2970438</v>
      </c>
      <c r="V6" s="21">
        <f>VLOOKUP($A6,tabCustoUnit[],COLUMN(CUSTO_GLOBAL[[#Headers],[Salário Educação]])-2,0)*($G6-$H6)</f>
        <v>41.213047500000002</v>
      </c>
      <c r="W6" s="21">
        <f>VLOOKUP($A6,tabCustoUnit[],COLUMN(CUSTO_GLOBAL[[#Headers],[FGTS]])-2,0)*($G6-$H6)</f>
        <v>131.88175200000001</v>
      </c>
      <c r="X6" s="21">
        <f>VLOOKUP($A6,tabCustoUnit[],COLUMN(CUSTO_GLOBAL[[#Headers],[RAT Ajustado]])-2,0)*($G6-$H6)</f>
        <v>65.940876000000003</v>
      </c>
      <c r="Y6" s="21">
        <f>VLOOKUP($A6,tabCustoUnit[],COLUMN(CUSTO_GLOBAL[[#Headers],[SEBRAE]])-2,0)*($G6-$H6)</f>
        <v>9.8911314000000008</v>
      </c>
      <c r="Z6" s="21">
        <f>VLOOKUP($A6,tabCustoUnit[],COLUMN(CUSTO_GLOBAL[[#Headers],[Submódulo 2.1]])-2,0)*($G6-$H6)</f>
        <v>623.14127819999999</v>
      </c>
      <c r="AA6" s="21">
        <f>VLOOKUP($A6,tabCustoUnit[],COLUMN(CUSTO_GLOBAL[[#Headers],[13º salário (titular)]])-2,0)*($G6-$H6)</f>
        <v>137.376825</v>
      </c>
      <c r="AB6" s="21">
        <f>VLOOKUP($A6,tabCustoUnit[],COLUMN(CUSTO_GLOBAL[[#Headers],[Férias e Adicional de Férias (titular)]])-2,0)*($G6-$H6)</f>
        <v>183.16909999999999</v>
      </c>
      <c r="AC6" s="21">
        <f>VLOOKUP($A6,tabCustoUnit[],COLUMN(CUSTO_GLOBAL[[#Headers],[Incidência do Submódulo 2.1 sobre 13º Salário, Férias e Adicional de Férias]])-2,0)*($G6-$H6)</f>
        <v>121.16635965</v>
      </c>
      <c r="AD6" s="21">
        <f>VLOOKUP($A6,tabCustoUnit[],COLUMN(CUSTO_GLOBAL[[#Headers],[Submódulo 2.2]])-2,0)*($G6-$H6)</f>
        <v>441.71228465000002</v>
      </c>
      <c r="AE6" s="22">
        <f>VLOOKUP($A6,tabCustoUnit[],COLUMN(CUSTO_GLOBAL[[#Headers],[Vale - Transporte (Descontada parcela do empregado)]])-2,0)*($G6-$H6)</f>
        <v>160.22320000000002</v>
      </c>
      <c r="AF6" s="22">
        <f>VLOOKUP($A6,tabCustoUnit[],COLUMN(CUSTO_GLOBAL[[#Headers],[Vale - Alimentação (Descontada parcela do empregado)]])-2,0)*($G6-$H6)</f>
        <v>582</v>
      </c>
      <c r="AG6" s="22">
        <f>VLOOKUP($A6,tabCustoUnit[],COLUMN(CUSTO_GLOBAL[[#Headers],[Cesta Básica]])-2,0)*($G6-$H6)</f>
        <v>0</v>
      </c>
      <c r="AH6" s="22">
        <f>VLOOKUP($A6,tabCustoUnit[],COLUMN(CUSTO_GLOBAL[[#Headers],[PAF]])-2,0)*($G6-$H6)</f>
        <v>0</v>
      </c>
      <c r="AI6" s="22">
        <f>VLOOKUP($A6,tabCustoUnit[],COLUMN(CUSTO_GLOBAL[[#Headers],[PQM]])-2,0)*($G6-$H6)</f>
        <v>15.07</v>
      </c>
      <c r="AJ6" s="22">
        <v>0</v>
      </c>
      <c r="AK6" s="22">
        <f>VLOOKUP($A6,tabCustoUnit[],COLUMN(CUSTO_GLOBAL[[#Headers],[Seguro de Vida]])-2,0)*($G6-$H6)</f>
        <v>3.36</v>
      </c>
      <c r="AL6" s="22">
        <f>VLOOKUP($A6,tabCustoUnit[],COLUMN(CUSTO_GLOBAL[[#Headers],[Despesas de Viagem]])-2,0)*($G6-$H6)</f>
        <v>0</v>
      </c>
      <c r="AM6" s="22">
        <f>VLOOKUP($A6,tabCustoUnit[],COLUMN(CUSTO_GLOBAL[[#Headers],[Submódulo 2.3]])-2,0)*($G6-$H6)</f>
        <v>760.65320000000008</v>
      </c>
      <c r="AN6" s="22">
        <f>VLOOKUP($A6,tabCustoUnit[],COLUMN(CUSTO_GLOBAL[[#Headers],[MÓDULO 2 - Total Encargos e Benefícios mensais e diários]])-2,0)*($G6-$H6)</f>
        <v>1825.5067628500001</v>
      </c>
      <c r="AO6" s="22">
        <f>VLOOKUP($A6,tabCustoUnit[],COLUMN(CUSTO_GLOBAL[[#Headers],[Aviso Prévio Indenizado (API) e Reflexo do Aviso Prévio Indenizado]])-2,0)*($G6-$H6)</f>
        <v>11.559051416493055</v>
      </c>
      <c r="AP6" s="22">
        <f>VLOOKUP($A6,tabCustoUnit[],COLUMN(CUSTO_GLOBAL[[#Headers],[Incidência do FGTS sobre API e Reflexo do API]])-2,0)*($G6-$H6)</f>
        <v>0.92472411331944449</v>
      </c>
      <c r="AQ6" s="22">
        <f>VLOOKUP($A6,tabCustoUnit[],COLUMN(CUSTO_GLOBAL[[#Headers],[Multa Rescisória do FGTS sobre o Aviso Prévio Indenizado]])-2,0)*($G6-$H6)</f>
        <v>0.36988964532777785</v>
      </c>
      <c r="AR6" s="22">
        <f>VLOOKUP($A6,tabCustoUnit[],COLUMN(CUSTO_GLOBAL[[#Headers],[Aviso Prévio Trabalhado - APT]])-2,0)*($G6-$H6)</f>
        <v>5.7698266500000006</v>
      </c>
      <c r="AS6" s="22">
        <f>VLOOKUP($A6,tabCustoUnit[],COLUMN(CUSTO_GLOBAL[[#Headers],[Incidência dos encargos do submódulo 2.1 sobre Aviso Prévio Trabalhado]])-2,0)*($G6-$H6)</f>
        <v>2.1809944737000007</v>
      </c>
      <c r="AT6" s="22">
        <f>VLOOKUP($A6,tabCustoUnit[],COLUMN(CUSTO_GLOBAL[[#Headers],[Multa Rescisória do FGTS]])-2,0)*($G6-$H6)</f>
        <v>50.40813631999999</v>
      </c>
      <c r="AU6" s="22">
        <f>VLOOKUP($A6,tabCustoUnit[],COLUMN(CUSTO_GLOBAL[[#Headers],[Indenização Adicional (Art. 9º da Lei nº 7.238/84)]])-2,0)*($G6-$H6)</f>
        <v>1.3737682500000001</v>
      </c>
      <c r="AV6" s="22">
        <f>VLOOKUP($A6,tabCustoUnit[],COLUMN(CUSTO_GLOBAL[[#Headers],[MÓDULO 3 – PROVISÃO PARA RESCISÃO]])-2,0)*($G6-$H6)</f>
        <v>72.586390868840269</v>
      </c>
      <c r="AW6" s="22">
        <f>VLOOKUP($A6,tabCustoUnit[],COLUMN(CUSTO_GLOBAL[[#Headers],[Ausência por Doença]])-2,0)*($G6-$H6)</f>
        <v>13.920851599999999</v>
      </c>
      <c r="AX6" s="22">
        <f>VLOOKUP($A6,tabCustoUnit[],COLUMN(CUSTO_GLOBAL[[#Headers],[Ausências Legais]])-2,0)*($G6-$H6)</f>
        <v>3.3428360749999997</v>
      </c>
      <c r="AY6" s="22">
        <f>VLOOKUP($A6,tabCustoUnit[],COLUMN(CUSTO_GLOBAL[[#Headers],[Licença Paternidade]])-2,0)*($G6-$H6)</f>
        <v>0.28162249125</v>
      </c>
      <c r="AZ6" s="22">
        <f>VLOOKUP($A6,tabCustoUnit[],COLUMN(CUSTO_GLOBAL[[#Headers],[Ausência por Acidente de Trabalho]])-2,0)*($G6-$H6)</f>
        <v>0.34344206250000003</v>
      </c>
      <c r="BA6" s="22">
        <f>VLOOKUP($A6,tabCustoUnit[],COLUMN(CUSTO_GLOBAL[[#Headers],[Férias, Adicional de Férias e 13º  com empregada em gozo de Licença Maternidade]])-2,0)*($G6-$H6)</f>
        <v>2.1369728333333331</v>
      </c>
      <c r="BB6" s="22">
        <f>VLOOKUP($A6,tabCustoUnit[],COLUMN(CUSTO_GLOBAL[[#Headers],[Incidência do Submódulo 2.1 sobre Ausências Legais]])-2,0)*($G6-$H6)</f>
        <v>7.5697240734675013</v>
      </c>
      <c r="BC6" s="22">
        <f>VLOOKUP($A6,tabCustoUnit[],COLUMN(CUSTO_GLOBAL[[#Headers],[Submódulo 4.1]])-2,0)*($G6-$H6)</f>
        <v>27.595449135550833</v>
      </c>
      <c r="BD6" s="22">
        <f>VLOOKUP($A6,tabCustoUnit[],COLUMN(CUSTO_GLOBAL[[#Headers],[Intervalo para Repouso ou Alimentação]])-2,0)*($G6-$H6)</f>
        <v>0</v>
      </c>
      <c r="BE6" s="22">
        <f>VLOOKUP($A6,tabCustoUnit[],COLUMN(CUSTO_GLOBAL[[#Headers],[Submódulo 4.2]])-2,0)*($G6-$H6)</f>
        <v>0</v>
      </c>
      <c r="BF6" s="22">
        <f>VLOOKUP($A6,tabCustoUnit[],COLUMN(CUSTO_GLOBAL[[#Headers],[Suspensão Temporária do Contrato de Trabalho]])-2,0)*($G6-$H6)</f>
        <v>0</v>
      </c>
      <c r="BG6" s="22">
        <f>VLOOKUP($A6,tabCustoUnit[],COLUMN(CUSTO_GLOBAL[[#Headers],[Submódulo 4.3]])-2,0)*($G6-$H6)</f>
        <v>0</v>
      </c>
      <c r="BH6" s="22">
        <f>VLOOKUP($A6,tabCustoUnit[],COLUMN(CUSTO_GLOBAL[[#Headers],[MÓDULO 4 – CUSTO DE REPOSIÇÃO DO PROFISSIONAL AUSENTE]])-2,0)*($G6-$H6)</f>
        <v>27.595449135550833</v>
      </c>
      <c r="BI6" s="22">
        <f>VLOOKUP($A6,tabCustoUnit[],COLUMN(CUSTO_GLOBAL[[#Headers],[Uniformes e EPIs]])-2,0)*($G6-$H6)</f>
        <v>100.80916666666666</v>
      </c>
      <c r="BJ6" s="22">
        <f>VLOOKUP($A6,tabCustoUnit[],COLUMN(CUSTO_GLOBAL[[#Headers],[Materiais de Consumo]])-2,0)*($G6-$H6)</f>
        <v>35.518212958583888</v>
      </c>
      <c r="BK6" s="22">
        <f>VLOOKUP($A6,tabCustoUnit[],COLUMN(CUSTO_GLOBAL[[#Headers],[Máquinas e Equipamentos (depreciação)]])-2,0)*($G6-$H6)</f>
        <v>64.529393914825576</v>
      </c>
      <c r="BL6" s="22">
        <f>VLOOKUP($A6,tabCustoUnit[],COLUMN(CUSTO_GLOBAL[[#Headers],[Produtos de Limpeza e Materiais de Higiene Pessoal]])-2,0)*($G6-$H6)</f>
        <v>690.27153277931654</v>
      </c>
      <c r="BM6" s="22">
        <f>VLOOKUP($A6,tabCustoUnit[],COLUMN(CUSTO_GLOBAL[[#Headers],[Outros (especificar)]])-2,0)*($G6-$H6)</f>
        <v>0</v>
      </c>
      <c r="BN6" s="22">
        <f>VLOOKUP($A6,tabCustoUnit[],COLUMN(CUSTO_GLOBAL[[#Headers],[MÓDULO 5 – INSUMOS DIVERSOS]])-2,0)*($G6-$H6)</f>
        <v>891.12830631939266</v>
      </c>
      <c r="BO6" s="22">
        <f>VLOOKUP($A6,tabCustoUnit[],COLUMN(CUSTO_GLOBAL[[#Headers],[TOTAL MÓDULOS 1+2+3+4+5]])-2,0)*($G6-$H6)</f>
        <v>4465.3388091737834</v>
      </c>
      <c r="BP6" s="22">
        <f>VLOOKUP($A6,tabCustoUnit[],COLUMN(CUSTO_GLOBAL[[#Headers],[Custos Indiretos]])-2,0)*($G6-$H6)</f>
        <v>189.64880140242613</v>
      </c>
      <c r="BQ6" s="22">
        <f>VLOOKUP($A6,tabCustoUnit[],COLUMN(CUSTO_GLOBAL[[#Headers],[Lucro]])-2,0)*($G6-$H6)</f>
        <v>159.30499317803796</v>
      </c>
      <c r="BR6" s="26">
        <f>VLOOKUP($A6,tabCustoUnit[],COLUMN(CUSTO_GLOBAL[[#Headers],[COFINS]])-2,0)</f>
        <v>8.8629737609329504E-2</v>
      </c>
      <c r="BS6" s="26">
        <f>VLOOKUP($A6,tabCustoUnit[],COLUMN(CUSTO_GLOBAL[[#Headers],[PIS]])-2,0)</f>
        <v>1.9241982507288629E-2</v>
      </c>
      <c r="BT6" s="28">
        <f>VLOOKUP($A6,tabCustoUnit[],COLUMN(CUSTO_GLOBAL[[#Headers],[ISS]])-2,0)</f>
        <v>0.05</v>
      </c>
      <c r="BU6" s="26">
        <f>VLOOKUP($A6,tabCustoUnit[],COLUMN(CUSTO_GLOBAL[[#Headers],[ISS (Conversão Alíquota s/ fatura)]])-2,0)</f>
        <v>5.8309037900874633E-2</v>
      </c>
      <c r="BV6" s="26">
        <f>VLOOKUP($A6,tabCustoUnit[],COLUMN(CUSTO_GLOBAL[[#Headers],[Resumo de Alíquotas (PIS+CONFINS+ISS)]])-2,0)</f>
        <v>0.14250000000000002</v>
      </c>
      <c r="BW6" s="138">
        <f>VLOOKUP($A6,tabCustoUnit[],COLUMN(CUSTO_GLOBAL[[#Headers],[PIS + COFINS + ISS (Total Conversão  Alíquota s/ Fatura)]])-2,0)</f>
        <v>0.16618075801749277</v>
      </c>
      <c r="BX6" s="22">
        <f>VLOOKUP($A6,tabCustoUnit[],COLUMN(CUSTO_GLOBAL[[#Headers],[Valor dos Tributos (ISS, PIS, CONFINS)]])-2,0)*($G6-$H6)</f>
        <v>800.04279420988985</v>
      </c>
      <c r="BY6" s="22">
        <f>VLOOKUP($A6,tabCustoUnit[],COLUMN(CUSTO_GLOBAL[[#Headers],[MÓDULO 6 – CUSTOS INDIRETOS, TRIBUTOS E LUCRO]])-2,0)*($G6-$H6)</f>
        <v>1148.9965887903541</v>
      </c>
      <c r="BZ6" s="22">
        <f>VLOOKUP($A6,tabCustoUnit[],COLUMN(CUSTO_GLOBAL[[#Headers],[CUSTO TOTAL MENSAL]])-2,0)*($G6-$H6)</f>
        <v>5614.3353979641379</v>
      </c>
      <c r="CA6" s="22">
        <f>CUSTO_GLOBAL[[#This Row],[CUSTO TOTAL MENSAL]]*12</f>
        <v>67372.024775569647</v>
      </c>
      <c r="CB6" s="24">
        <f>VLOOKUP($A6,tabCustoUnit[],COLUMN(CUSTO_GLOBAL[[#Headers],[ANO DA CCT]])-2,0)</f>
        <v>45658</v>
      </c>
      <c r="CC6" s="25" t="str">
        <f>VLOOKUP($A6,tabCustoUnit[],COLUMN(CUSTO_GLOBAL[[#Headers],[Nº DE PEDIDO DA CCT]])-2,0)</f>
        <v>-</v>
      </c>
      <c r="CD6" s="25" t="str">
        <f>VLOOKUP($A6,tabCustoUnit[],COLUMN(CUSTO_GLOBAL[[#Headers],[TERMO ADITIVO  ALTERAÇÃO DA CCT]])-2,0)</f>
        <v>-</v>
      </c>
      <c r="CF6" s="22"/>
      <c r="CG6" s="22"/>
    </row>
    <row r="7" spans="1:85" x14ac:dyDescent="0.25">
      <c r="A7" s="20" t="s">
        <v>1353</v>
      </c>
      <c r="B7" t="s">
        <v>13</v>
      </c>
      <c r="C7" t="s">
        <v>1247</v>
      </c>
      <c r="D7" t="s">
        <v>1000</v>
      </c>
      <c r="E7" s="20" t="s">
        <v>9</v>
      </c>
      <c r="F7" s="20" t="s">
        <v>10</v>
      </c>
      <c r="G7" s="20">
        <v>1</v>
      </c>
      <c r="H7" s="20">
        <v>0</v>
      </c>
      <c r="I7" s="21">
        <f>VLOOKUP($A7,tabCustoUnit[],COLUMN(CUSTO_GLOBAL[[#Headers],[Salário Base]])-2,0)*($G7-$H7)</f>
        <v>544.17999999999995</v>
      </c>
      <c r="J7" s="21">
        <f>VLOOKUP($A7,tabCustoUnit[],COLUMN(CUSTO_GLOBAL[[#Headers],[Adicional Periculosidade]])-2,0)*($G7-$H7)</f>
        <v>0</v>
      </c>
      <c r="K7" s="21">
        <f>VLOOKUP($A7,tabCustoUnit[],COLUMN(CUSTO_GLOBAL[[#Headers],[Adicional Insalubridade]])-2,0)*($G7-$H7)</f>
        <v>0</v>
      </c>
      <c r="L7" s="21">
        <f>VLOOKUP($A7,tabCustoUnit[],COLUMN(CUSTO_GLOBAL[[#Headers],[Adicional Noturno]])-2,0)*($G7-$H7)</f>
        <v>0</v>
      </c>
      <c r="M7" s="21">
        <f>VLOOKUP($A7,tabCustoUnit[],COLUMN(CUSTO_GLOBAL[[#Headers],[Adicional Motorista II (Gratificação)]])-2,0)*($G7-$H7)</f>
        <v>0</v>
      </c>
      <c r="N7" s="21">
        <f>VLOOKUP($A7,tabCustoUnit[],COLUMN(CUSTO_GLOBAL[[#Headers],[Adicional de Sobreaviso]])-2,0)*($G7-$H7)</f>
        <v>0</v>
      </c>
      <c r="O7" s="21">
        <f>VLOOKUP($A7,tabCustoUnit[],COLUMN(CUSTO_GLOBAL[[#Headers],[Horas Extras TI]])-2,0)*($G7-$H7)</f>
        <v>0</v>
      </c>
      <c r="P7" s="21">
        <f>VLOOKUP($A7,tabCustoUnit[],COLUMN(CUSTO_GLOBAL[[#Headers],[Adicional de Acúmulo de função]])-2,0)*($G7-$H7)</f>
        <v>19.590499999999999</v>
      </c>
      <c r="Q7" s="21">
        <f>VLOOKUP($A7,tabCustoUnit[],COLUMN(CUSTO_GLOBAL[[#Headers],[MODULO 1 - REMUNERAÇÃO ]])-2,0)*($G7-$H7)</f>
        <v>563.77049999999997</v>
      </c>
      <c r="R7" s="21">
        <f>VLOOKUP($A7,tabCustoUnit[],COLUMN(CUSTO_GLOBAL[[#Headers],[INSS]])-2,0)*($G7-$H7)</f>
        <v>112.75409999999999</v>
      </c>
      <c r="S7" s="21">
        <f>VLOOKUP($A7,tabCustoUnit[],COLUMN(CUSTO_GLOBAL[[#Headers],[SESI OU SESC]])-2,0)*($G7-$H7)</f>
        <v>8.4565574999999988</v>
      </c>
      <c r="T7" s="21">
        <f>VLOOKUP($A7,tabCustoUnit[],COLUMN(CUSTO_GLOBAL[[#Headers],[SENAI OU SENAC]])-2,0)*($G7-$H7)</f>
        <v>5.6377049999999995</v>
      </c>
      <c r="U7" s="21">
        <f>VLOOKUP($A7,tabCustoUnit[],COLUMN(CUSTO_GLOBAL[[#Headers],[INCRA]])-2,0)*($G7-$H7)</f>
        <v>1.1275409999999999</v>
      </c>
      <c r="V7" s="21">
        <f>VLOOKUP($A7,tabCustoUnit[],COLUMN(CUSTO_GLOBAL[[#Headers],[Salário Educação]])-2,0)*($G7-$H7)</f>
        <v>14.094262499999999</v>
      </c>
      <c r="W7" s="21">
        <f>VLOOKUP($A7,tabCustoUnit[],COLUMN(CUSTO_GLOBAL[[#Headers],[FGTS]])-2,0)*($G7-$H7)</f>
        <v>45.101639999999996</v>
      </c>
      <c r="X7" s="21">
        <f>VLOOKUP($A7,tabCustoUnit[],COLUMN(CUSTO_GLOBAL[[#Headers],[RAT Ajustado]])-2,0)*($G7-$H7)</f>
        <v>22.550819999999998</v>
      </c>
      <c r="Y7" s="21">
        <f>VLOOKUP($A7,tabCustoUnit[],COLUMN(CUSTO_GLOBAL[[#Headers],[SEBRAE]])-2,0)*($G7-$H7)</f>
        <v>3.3826229999999997</v>
      </c>
      <c r="Z7" s="21">
        <f>VLOOKUP($A7,tabCustoUnit[],COLUMN(CUSTO_GLOBAL[[#Headers],[Submódulo 2.1]])-2,0)*($G7-$H7)</f>
        <v>213.10524899999996</v>
      </c>
      <c r="AA7" s="21">
        <f>VLOOKUP($A7,tabCustoUnit[],COLUMN(CUSTO_GLOBAL[[#Headers],[13º salário (titular)]])-2,0)*($G7-$H7)</f>
        <v>46.980874999999997</v>
      </c>
      <c r="AB7" s="21">
        <f>VLOOKUP($A7,tabCustoUnit[],COLUMN(CUSTO_GLOBAL[[#Headers],[Férias e Adicional de Férias (titular)]])-2,0)*($G7-$H7)</f>
        <v>62.641166666666663</v>
      </c>
      <c r="AC7" s="21">
        <f>VLOOKUP($A7,tabCustoUnit[],COLUMN(CUSTO_GLOBAL[[#Headers],[Incidência do Submódulo 2.1 sobre 13º Salário, Férias e Adicional de Férias]])-2,0)*($G7-$H7)</f>
        <v>41.437131749999992</v>
      </c>
      <c r="AD7" s="21">
        <f>VLOOKUP($A7,tabCustoUnit[],COLUMN(CUSTO_GLOBAL[[#Headers],[Submódulo 2.2]])-2,0)*($G7-$H7)</f>
        <v>151.05917341666665</v>
      </c>
      <c r="AE7" s="22">
        <f>VLOOKUP($A7,tabCustoUnit[],COLUMN(CUSTO_GLOBAL[[#Headers],[Vale - Transporte (Descontada parcela do empregado)]])-2,0)*($G7-$H7)</f>
        <v>223.3492</v>
      </c>
      <c r="AF7" s="22">
        <f>VLOOKUP($A7,tabCustoUnit[],COLUMN(CUSTO_GLOBAL[[#Headers],[Vale - Alimentação (Descontada parcela do empregado)]])-2,0)*($G7-$H7)</f>
        <v>582</v>
      </c>
      <c r="AG7" s="22">
        <f>VLOOKUP($A7,tabCustoUnit[],COLUMN(CUSTO_GLOBAL[[#Headers],[Cesta Básica]])-2,0)*($G7-$H7)</f>
        <v>0</v>
      </c>
      <c r="AH7" s="22">
        <f>VLOOKUP($A7,tabCustoUnit[],COLUMN(CUSTO_GLOBAL[[#Headers],[PAF]])-2,0)*($G7-$H7)</f>
        <v>0</v>
      </c>
      <c r="AI7" s="22">
        <f>VLOOKUP($A7,tabCustoUnit[],COLUMN(CUSTO_GLOBAL[[#Headers],[PQM]])-2,0)*($G7-$H7)</f>
        <v>15.07</v>
      </c>
      <c r="AJ7" s="22">
        <v>0</v>
      </c>
      <c r="AK7" s="22">
        <f>VLOOKUP($A7,tabCustoUnit[],COLUMN(CUSTO_GLOBAL[[#Headers],[Seguro de Vida]])-2,0)*($G7-$H7)</f>
        <v>3.36</v>
      </c>
      <c r="AL7" s="22">
        <f>VLOOKUP($A7,tabCustoUnit[],COLUMN(CUSTO_GLOBAL[[#Headers],[Despesas de Viagem]])-2,0)*($G7-$H7)</f>
        <v>0</v>
      </c>
      <c r="AM7" s="22">
        <f>VLOOKUP($A7,tabCustoUnit[],COLUMN(CUSTO_GLOBAL[[#Headers],[Submódulo 2.3]])-2,0)*($G7-$H7)</f>
        <v>823.77920000000006</v>
      </c>
      <c r="AN7" s="22">
        <f>VLOOKUP($A7,tabCustoUnit[],COLUMN(CUSTO_GLOBAL[[#Headers],[MÓDULO 2 - Total Encargos e Benefícios mensais e diários]])-2,0)*($G7-$H7)</f>
        <v>1187.9436224166666</v>
      </c>
      <c r="AO7" s="22">
        <f>VLOOKUP($A7,tabCustoUnit[],COLUMN(CUSTO_GLOBAL[[#Headers],[Aviso Prévio Indenizado (API) e Reflexo do Aviso Prévio Indenizado]])-2,0)*($G7-$H7)</f>
        <v>3.9530273735532404</v>
      </c>
      <c r="AP7" s="22">
        <f>VLOOKUP($A7,tabCustoUnit[],COLUMN(CUSTO_GLOBAL[[#Headers],[Incidência do FGTS sobre API e Reflexo do API]])-2,0)*($G7-$H7)</f>
        <v>0.31624218988425928</v>
      </c>
      <c r="AQ7" s="22">
        <f>VLOOKUP($A7,tabCustoUnit[],COLUMN(CUSTO_GLOBAL[[#Headers],[Multa Rescisória do FGTS sobre o Aviso Prévio Indenizado]])-2,0)*($G7-$H7)</f>
        <v>0.12649687595370371</v>
      </c>
      <c r="AR7" s="22">
        <f>VLOOKUP($A7,tabCustoUnit[],COLUMN(CUSTO_GLOBAL[[#Headers],[Aviso Prévio Trabalhado - APT]])-2,0)*($G7-$H7)</f>
        <v>1.9731967500000003</v>
      </c>
      <c r="AS7" s="22">
        <f>VLOOKUP($A7,tabCustoUnit[],COLUMN(CUSTO_GLOBAL[[#Headers],[Incidência dos encargos do submódulo 2.1 sobre Aviso Prévio Trabalhado]])-2,0)*($G7-$H7)</f>
        <v>0.74586837150000018</v>
      </c>
      <c r="AT7" s="22">
        <f>VLOOKUP($A7,tabCustoUnit[],COLUMN(CUSTO_GLOBAL[[#Headers],[Multa Rescisória do FGTS]])-2,0)*($G7-$H7)</f>
        <v>17.238849066666663</v>
      </c>
      <c r="AU7" s="22">
        <f>VLOOKUP($A7,tabCustoUnit[],COLUMN(CUSTO_GLOBAL[[#Headers],[Indenização Adicional (Art. 9º da Lei nº 7.238/84)]])-2,0)*($G7-$H7)</f>
        <v>0.46980875</v>
      </c>
      <c r="AV7" s="22">
        <f>VLOOKUP($A7,tabCustoUnit[],COLUMN(CUSTO_GLOBAL[[#Headers],[MÓDULO 3 – PROVISÃO PARA RESCISÃO]])-2,0)*($G7-$H7)</f>
        <v>24.823489377557866</v>
      </c>
      <c r="AW7" s="22">
        <f>VLOOKUP($A7,tabCustoUnit[],COLUMN(CUSTO_GLOBAL[[#Headers],[Ausência por Doença]])-2,0)*($G7-$H7)</f>
        <v>4.7607286666666662</v>
      </c>
      <c r="AX7" s="22">
        <f>VLOOKUP($A7,tabCustoUnit[],COLUMN(CUSTO_GLOBAL[[#Headers],[Ausências Legais]])-2,0)*($G7-$H7)</f>
        <v>1.1432012916666665</v>
      </c>
      <c r="AY7" s="22">
        <f>VLOOKUP($A7,tabCustoUnit[],COLUMN(CUSTO_GLOBAL[[#Headers],[Licença Paternidade]])-2,0)*($G7-$H7)</f>
        <v>9.6310793749999998E-2</v>
      </c>
      <c r="AZ7" s="22">
        <f>VLOOKUP($A7,tabCustoUnit[],COLUMN(CUSTO_GLOBAL[[#Headers],[Ausência por Acidente de Trabalho]])-2,0)*($G7-$H7)</f>
        <v>0.1174521875</v>
      </c>
      <c r="BA7" s="22">
        <f>VLOOKUP($A7,tabCustoUnit[],COLUMN(CUSTO_GLOBAL[[#Headers],[Férias, Adicional de Férias e 13º  com empregada em gozo de Licença Maternidade]])-2,0)*($G7-$H7)</f>
        <v>0.73081361111111109</v>
      </c>
      <c r="BB7" s="22">
        <f>VLOOKUP($A7,tabCustoUnit[],COLUMN(CUSTO_GLOBAL[[#Headers],[Incidência do Submódulo 2.1 sobre Ausências Legais]])-2,0)*($G7-$H7)</f>
        <v>2.5887354761625003</v>
      </c>
      <c r="BC7" s="22">
        <f>VLOOKUP($A7,tabCustoUnit[],COLUMN(CUSTO_GLOBAL[[#Headers],[Submódulo 4.1]])-2,0)*($G7-$H7)</f>
        <v>9.4372420268569428</v>
      </c>
      <c r="BD7" s="22">
        <f>VLOOKUP($A7,tabCustoUnit[],COLUMN(CUSTO_GLOBAL[[#Headers],[Intervalo para Repouso ou Alimentação]])-2,0)*($G7-$H7)</f>
        <v>0</v>
      </c>
      <c r="BE7" s="22">
        <f>VLOOKUP($A7,tabCustoUnit[],COLUMN(CUSTO_GLOBAL[[#Headers],[Submódulo 4.2]])-2,0)*($G7-$H7)</f>
        <v>0</v>
      </c>
      <c r="BF7" s="22">
        <f>VLOOKUP($A7,tabCustoUnit[],COLUMN(CUSTO_GLOBAL[[#Headers],[Suspensão Temporária do Contrato de Trabalho]])-2,0)*($G7-$H7)</f>
        <v>0</v>
      </c>
      <c r="BG7" s="22">
        <f>VLOOKUP($A7,tabCustoUnit[],COLUMN(CUSTO_GLOBAL[[#Headers],[Submódulo 4.3]])-2,0)*($G7-$H7)</f>
        <v>0</v>
      </c>
      <c r="BH7" s="22">
        <f>VLOOKUP($A7,tabCustoUnit[],COLUMN(CUSTO_GLOBAL[[#Headers],[MÓDULO 4 – CUSTO DE REPOSIÇÃO DO PROFISSIONAL AUSENTE]])-2,0)*($G7-$H7)</f>
        <v>9.4372420268569428</v>
      </c>
      <c r="BI7" s="22">
        <f>VLOOKUP($A7,tabCustoUnit[],COLUMN(CUSTO_GLOBAL[[#Headers],[Uniformes e EPIs]])-2,0)*($G7-$H7)</f>
        <v>62.806666666666665</v>
      </c>
      <c r="BJ7" s="22">
        <f>VLOOKUP($A7,tabCustoUnit[],COLUMN(CUSTO_GLOBAL[[#Headers],[Materiais de Consumo]])-2,0)*($G7-$H7)</f>
        <v>12.108481690426325</v>
      </c>
      <c r="BK7" s="22">
        <f>VLOOKUP($A7,tabCustoUnit[],COLUMN(CUSTO_GLOBAL[[#Headers],[Máquinas e Equipamentos (depreciação)]])-2,0)*($G7-$H7)</f>
        <v>21.998657016417809</v>
      </c>
      <c r="BL7" s="22">
        <f>VLOOKUP($A7,tabCustoUnit[],COLUMN(CUSTO_GLOBAL[[#Headers],[Produtos de Limpeza e Materiais de Higiene Pessoal]])-2,0)*($G7-$H7)</f>
        <v>235.31984072022155</v>
      </c>
      <c r="BM7" s="22">
        <f>VLOOKUP($A7,tabCustoUnit[],COLUMN(CUSTO_GLOBAL[[#Headers],[Outros (especificar)]])-2,0)*($G7-$H7)</f>
        <v>0</v>
      </c>
      <c r="BN7" s="22">
        <f>VLOOKUP($A7,tabCustoUnit[],COLUMN(CUSTO_GLOBAL[[#Headers],[MÓDULO 5 – INSUMOS DIVERSOS]])-2,0)*($G7-$H7)</f>
        <v>332.23364609373232</v>
      </c>
      <c r="BO7" s="22">
        <f>VLOOKUP($A7,tabCustoUnit[],COLUMN(CUSTO_GLOBAL[[#Headers],[TOTAL MÓDULOS 1+2+3+4+5]])-2,0)*($G7-$H7)</f>
        <v>2118.2084999148137</v>
      </c>
      <c r="BP7" s="22">
        <f>VLOOKUP($A7,tabCustoUnit[],COLUMN(CUSTO_GLOBAL[[#Headers],[Custos Indiretos]])-2,0)*($G7-$H7)</f>
        <v>189.64880140242613</v>
      </c>
      <c r="BQ7" s="22">
        <f>VLOOKUP($A7,tabCustoUnit[],COLUMN(CUSTO_GLOBAL[[#Headers],[Lucro]])-2,0)*($G7-$H7)</f>
        <v>159.30499317803796</v>
      </c>
      <c r="BR7" s="26">
        <f>VLOOKUP($A7,tabCustoUnit[],COLUMN(CUSTO_GLOBAL[[#Headers],[COFINS]])-2,0)</f>
        <v>8.8629737609329504E-2</v>
      </c>
      <c r="BS7" s="26">
        <f>VLOOKUP($A7,tabCustoUnit[],COLUMN(CUSTO_GLOBAL[[#Headers],[PIS]])-2,0)</f>
        <v>1.9241982507288629E-2</v>
      </c>
      <c r="BT7" s="28">
        <f>VLOOKUP($A7,tabCustoUnit[],COLUMN(CUSTO_GLOBAL[[#Headers],[ISS]])-2,0)</f>
        <v>0.05</v>
      </c>
      <c r="BU7" s="26">
        <f>VLOOKUP($A7,tabCustoUnit[],COLUMN(CUSTO_GLOBAL[[#Headers],[ISS (Conversão Alíquota s/ fatura)]])-2,0)</f>
        <v>5.8309037900874633E-2</v>
      </c>
      <c r="BV7" s="26">
        <f>VLOOKUP($A7,tabCustoUnit[],COLUMN(CUSTO_GLOBAL[[#Headers],[Resumo de Alíquotas (PIS+CONFINS+ISS)]])-2,0)</f>
        <v>0.14250000000000002</v>
      </c>
      <c r="BW7" s="138">
        <f>VLOOKUP($A7,tabCustoUnit[],COLUMN(CUSTO_GLOBAL[[#Headers],[PIS + COFINS + ISS (Total Conversão  Alíquota s/ Fatura)]])-2,0)</f>
        <v>0.16618075801749277</v>
      </c>
      <c r="BX7" s="22">
        <f>VLOOKUP($A7,tabCustoUnit[],COLUMN(CUSTO_GLOBAL[[#Headers],[Valor dos Tributos (ISS, PIS, CONFINS)]])-2,0)*($G7-$H7)</f>
        <v>409.99490025140199</v>
      </c>
      <c r="BY7" s="22">
        <f>VLOOKUP($A7,tabCustoUnit[],COLUMN(CUSTO_GLOBAL[[#Headers],[MÓDULO 6 – CUSTOS INDIRETOS, TRIBUTOS E LUCRO]])-2,0)*($G7-$H7)</f>
        <v>758.94869483186608</v>
      </c>
      <c r="BZ7" s="22">
        <f>VLOOKUP($A7,tabCustoUnit[],COLUMN(CUSTO_GLOBAL[[#Headers],[CUSTO TOTAL MENSAL]])-2,0)*($G7-$H7)</f>
        <v>2877.15719474668</v>
      </c>
      <c r="CA7" s="22">
        <f>CUSTO_GLOBAL[[#This Row],[CUSTO TOTAL MENSAL]]*12</f>
        <v>34525.88633696016</v>
      </c>
      <c r="CB7" s="24">
        <f>VLOOKUP($A7,tabCustoUnit[],COLUMN(CUSTO_GLOBAL[[#Headers],[ANO DA CCT]])-2,0)</f>
        <v>45658</v>
      </c>
      <c r="CC7" s="25" t="str">
        <f>VLOOKUP($A7,tabCustoUnit[],COLUMN(CUSTO_GLOBAL[[#Headers],[Nº DE PEDIDO DA CCT]])-2,0)</f>
        <v>-</v>
      </c>
      <c r="CD7" s="25" t="str">
        <f>VLOOKUP($A7,tabCustoUnit[],COLUMN(CUSTO_GLOBAL[[#Headers],[TERMO ADITIVO  ALTERAÇÃO DA CCT]])-2,0)</f>
        <v>-</v>
      </c>
      <c r="CF7" s="22"/>
      <c r="CG7" s="22"/>
    </row>
    <row r="8" spans="1:85" x14ac:dyDescent="0.25">
      <c r="A8" s="20" t="s">
        <v>1354</v>
      </c>
      <c r="B8" t="s">
        <v>14</v>
      </c>
      <c r="C8" t="s">
        <v>1244</v>
      </c>
      <c r="D8" t="s">
        <v>1023</v>
      </c>
      <c r="E8" s="20" t="s">
        <v>9</v>
      </c>
      <c r="F8" s="20" t="s">
        <v>10</v>
      </c>
      <c r="G8" s="20">
        <v>1</v>
      </c>
      <c r="H8" s="20">
        <v>0</v>
      </c>
      <c r="I8" s="21">
        <f>VLOOKUP($A8,tabCustoUnit[],COLUMN(CUSTO_GLOBAL[[#Headers],[Salário Base]])-2,0)*($G8-$H8)</f>
        <v>798.14</v>
      </c>
      <c r="J8" s="21">
        <f>VLOOKUP($A8,tabCustoUnit[],COLUMN(CUSTO_GLOBAL[[#Headers],[Adicional Periculosidade]])-2,0)*($G8-$H8)</f>
        <v>0</v>
      </c>
      <c r="K8" s="21">
        <f>VLOOKUP($A8,tabCustoUnit[],COLUMN(CUSTO_GLOBAL[[#Headers],[Adicional Insalubridade]])-2,0)*($G8-$H8)</f>
        <v>0</v>
      </c>
      <c r="L8" s="21">
        <f>VLOOKUP($A8,tabCustoUnit[],COLUMN(CUSTO_GLOBAL[[#Headers],[Adicional Noturno]])-2,0)*($G8-$H8)</f>
        <v>0</v>
      </c>
      <c r="M8" s="21">
        <f>VLOOKUP($A8,tabCustoUnit[],COLUMN(CUSTO_GLOBAL[[#Headers],[Adicional Motorista II (Gratificação)]])-2,0)*($G8-$H8)</f>
        <v>0</v>
      </c>
      <c r="N8" s="21">
        <f>VLOOKUP($A8,tabCustoUnit[],COLUMN(CUSTO_GLOBAL[[#Headers],[Adicional de Sobreaviso]])-2,0)*($G8-$H8)</f>
        <v>0</v>
      </c>
      <c r="O8" s="21">
        <f>VLOOKUP($A8,tabCustoUnit[],COLUMN(CUSTO_GLOBAL[[#Headers],[Horas Extras TI]])-2,0)*($G8-$H8)</f>
        <v>0</v>
      </c>
      <c r="P8" s="21">
        <f>VLOOKUP($A8,tabCustoUnit[],COLUMN(CUSTO_GLOBAL[[#Headers],[Adicional de Acúmulo de função]])-2,0)*($G8-$H8)</f>
        <v>26.120899999999999</v>
      </c>
      <c r="Q8" s="21">
        <f>VLOOKUP($A8,tabCustoUnit[],COLUMN(CUSTO_GLOBAL[[#Headers],[MODULO 1 - REMUNERAÇÃO ]])-2,0)*($G8-$H8)</f>
        <v>824.26089999999999</v>
      </c>
      <c r="R8" s="21">
        <f>VLOOKUP($A8,tabCustoUnit[],COLUMN(CUSTO_GLOBAL[[#Headers],[INSS]])-2,0)*($G8-$H8)</f>
        <v>164.85218</v>
      </c>
      <c r="S8" s="21">
        <f>VLOOKUP($A8,tabCustoUnit[],COLUMN(CUSTO_GLOBAL[[#Headers],[SESI OU SESC]])-2,0)*($G8-$H8)</f>
        <v>12.363913499999999</v>
      </c>
      <c r="T8" s="21">
        <f>VLOOKUP($A8,tabCustoUnit[],COLUMN(CUSTO_GLOBAL[[#Headers],[SENAI OU SENAC]])-2,0)*($G8-$H8)</f>
        <v>8.2426089999999999</v>
      </c>
      <c r="U8" s="21">
        <f>VLOOKUP($A8,tabCustoUnit[],COLUMN(CUSTO_GLOBAL[[#Headers],[INCRA]])-2,0)*($G8-$H8)</f>
        <v>1.6485217999999999</v>
      </c>
      <c r="V8" s="21">
        <f>VLOOKUP($A8,tabCustoUnit[],COLUMN(CUSTO_GLOBAL[[#Headers],[Salário Educação]])-2,0)*($G8-$H8)</f>
        <v>20.606522500000001</v>
      </c>
      <c r="W8" s="21">
        <f>VLOOKUP($A8,tabCustoUnit[],COLUMN(CUSTO_GLOBAL[[#Headers],[FGTS]])-2,0)*($G8-$H8)</f>
        <v>65.940871999999999</v>
      </c>
      <c r="X8" s="21">
        <f>VLOOKUP($A8,tabCustoUnit[],COLUMN(CUSTO_GLOBAL[[#Headers],[RAT Ajustado]])-2,0)*($G8-$H8)</f>
        <v>32.970435999999999</v>
      </c>
      <c r="Y8" s="21">
        <f>VLOOKUP($A8,tabCustoUnit[],COLUMN(CUSTO_GLOBAL[[#Headers],[SEBRAE]])-2,0)*($G8-$H8)</f>
        <v>4.9455654000000004</v>
      </c>
      <c r="Z8" s="21">
        <f>VLOOKUP($A8,tabCustoUnit[],COLUMN(CUSTO_GLOBAL[[#Headers],[Submódulo 2.1]])-2,0)*($G8-$H8)</f>
        <v>311.57062020000001</v>
      </c>
      <c r="AA8" s="21">
        <f>VLOOKUP($A8,tabCustoUnit[],COLUMN(CUSTO_GLOBAL[[#Headers],[13º salário (titular)]])-2,0)*($G8-$H8)</f>
        <v>68.688408333333328</v>
      </c>
      <c r="AB8" s="21">
        <f>VLOOKUP($A8,tabCustoUnit[],COLUMN(CUSTO_GLOBAL[[#Headers],[Férias e Adicional de Férias (titular)]])-2,0)*($G8-$H8)</f>
        <v>91.584544444444433</v>
      </c>
      <c r="AC8" s="21">
        <f>VLOOKUP($A8,tabCustoUnit[],COLUMN(CUSTO_GLOBAL[[#Headers],[Incidência do Submódulo 2.1 sobre 13º Salário, Férias e Adicional de Férias]])-2,0)*($G8-$H8)</f>
        <v>60.583176149999993</v>
      </c>
      <c r="AD8" s="21">
        <f>VLOOKUP($A8,tabCustoUnit[],COLUMN(CUSTO_GLOBAL[[#Headers],[Submódulo 2.2]])-2,0)*($G8-$H8)</f>
        <v>220.85612892777775</v>
      </c>
      <c r="AE8" s="22">
        <f>VLOOKUP($A8,tabCustoUnit[],COLUMN(CUSTO_GLOBAL[[#Headers],[Vale - Transporte (Descontada parcela do empregado)]])-2,0)*($G8-$H8)</f>
        <v>208.11160000000001</v>
      </c>
      <c r="AF8" s="22">
        <f>VLOOKUP($A8,tabCustoUnit[],COLUMN(CUSTO_GLOBAL[[#Headers],[Vale - Alimentação (Descontada parcela do empregado)]])-2,0)*($G8-$H8)</f>
        <v>582</v>
      </c>
      <c r="AG8" s="22">
        <f>VLOOKUP($A8,tabCustoUnit[],COLUMN(CUSTO_GLOBAL[[#Headers],[Cesta Básica]])-2,0)*($G8-$H8)</f>
        <v>0</v>
      </c>
      <c r="AH8" s="22">
        <f>VLOOKUP($A8,tabCustoUnit[],COLUMN(CUSTO_GLOBAL[[#Headers],[PAF]])-2,0)*($G8-$H8)</f>
        <v>0</v>
      </c>
      <c r="AI8" s="22">
        <f>VLOOKUP($A8,tabCustoUnit[],COLUMN(CUSTO_GLOBAL[[#Headers],[PQM]])-2,0)*($G8-$H8)</f>
        <v>0</v>
      </c>
      <c r="AJ8" s="22">
        <v>0</v>
      </c>
      <c r="AK8" s="22">
        <f>VLOOKUP($A8,tabCustoUnit[],COLUMN(CUSTO_GLOBAL[[#Headers],[Seguro de Vida]])-2,0)*($G8-$H8)</f>
        <v>3.36</v>
      </c>
      <c r="AL8" s="22">
        <f>VLOOKUP($A8,tabCustoUnit[],COLUMN(CUSTO_GLOBAL[[#Headers],[Despesas de Viagem]])-2,0)*($G8-$H8)</f>
        <v>0</v>
      </c>
      <c r="AM8" s="22">
        <f>VLOOKUP($A8,tabCustoUnit[],COLUMN(CUSTO_GLOBAL[[#Headers],[Submódulo 2.3]])-2,0)*($G8-$H8)</f>
        <v>793.47159999999997</v>
      </c>
      <c r="AN8" s="22">
        <f>VLOOKUP($A8,tabCustoUnit[],COLUMN(CUSTO_GLOBAL[[#Headers],[MÓDULO 2 - Total Encargos e Benefícios mensais e diários]])-2,0)*($G8-$H8)</f>
        <v>1325.8983491277777</v>
      </c>
      <c r="AO8" s="22">
        <f>VLOOKUP($A8,tabCustoUnit[],COLUMN(CUSTO_GLOBAL[[#Headers],[Aviso Prévio Indenizado (API) e Reflexo do Aviso Prévio Indenizado]])-2,0)*($G8-$H8)</f>
        <v>5.7795253576581791</v>
      </c>
      <c r="AP8" s="22">
        <f>VLOOKUP($A8,tabCustoUnit[],COLUMN(CUSTO_GLOBAL[[#Headers],[Incidência do FGTS sobre API e Reflexo do API]])-2,0)*($G8-$H8)</f>
        <v>0.46236202861265435</v>
      </c>
      <c r="AQ8" s="22">
        <f>VLOOKUP($A8,tabCustoUnit[],COLUMN(CUSTO_GLOBAL[[#Headers],[Multa Rescisória do FGTS sobre o Aviso Prévio Indenizado]])-2,0)*($G8-$H8)</f>
        <v>0.18494481144506175</v>
      </c>
      <c r="AR8" s="22">
        <f>VLOOKUP($A8,tabCustoUnit[],COLUMN(CUSTO_GLOBAL[[#Headers],[Aviso Prévio Trabalhado - APT]])-2,0)*($G8-$H8)</f>
        <v>2.8849131500000005</v>
      </c>
      <c r="AS8" s="22">
        <f>VLOOKUP($A8,tabCustoUnit[],COLUMN(CUSTO_GLOBAL[[#Headers],[Incidência dos encargos do submódulo 2.1 sobre Aviso Prévio Trabalhado]])-2,0)*($G8-$H8)</f>
        <v>1.0904971707000004</v>
      </c>
      <c r="AT8" s="22">
        <f>VLOOKUP($A8,tabCustoUnit[],COLUMN(CUSTO_GLOBAL[[#Headers],[Multa Rescisória do FGTS]])-2,0)*($G8-$H8)</f>
        <v>25.204066631111107</v>
      </c>
      <c r="AU8" s="22">
        <f>VLOOKUP($A8,tabCustoUnit[],COLUMN(CUSTO_GLOBAL[[#Headers],[Indenização Adicional (Art. 9º da Lei nº 7.238/84)]])-2,0)*($G8-$H8)</f>
        <v>0.6868840833333334</v>
      </c>
      <c r="AV8" s="22">
        <f>VLOOKUP($A8,tabCustoUnit[],COLUMN(CUSTO_GLOBAL[[#Headers],[MÓDULO 3 – PROVISÃO PARA RESCISÃO]])-2,0)*($G8-$H8)</f>
        <v>36.293193232860339</v>
      </c>
      <c r="AW8" s="22">
        <f>VLOOKUP($A8,tabCustoUnit[],COLUMN(CUSTO_GLOBAL[[#Headers],[Ausência por Doença]])-2,0)*($G8-$H8)</f>
        <v>6.9604253777777769</v>
      </c>
      <c r="AX8" s="22">
        <f>VLOOKUP($A8,tabCustoUnit[],COLUMN(CUSTO_GLOBAL[[#Headers],[Ausências Legais]])-2,0)*($G8-$H8)</f>
        <v>1.671417936111111</v>
      </c>
      <c r="AY8" s="22">
        <f>VLOOKUP($A8,tabCustoUnit[],COLUMN(CUSTO_GLOBAL[[#Headers],[Licença Paternidade]])-2,0)*($G8-$H8)</f>
        <v>0.14081123708333332</v>
      </c>
      <c r="AZ8" s="22">
        <f>VLOOKUP($A8,tabCustoUnit[],COLUMN(CUSTO_GLOBAL[[#Headers],[Ausência por Acidente de Trabalho]])-2,0)*($G8-$H8)</f>
        <v>0.17172102083333335</v>
      </c>
      <c r="BA8" s="22">
        <f>VLOOKUP($A8,tabCustoUnit[],COLUMN(CUSTO_GLOBAL[[#Headers],[Férias, Adicional de Férias e 13º  com empregada em gozo de Licença Maternidade]])-2,0)*($G8-$H8)</f>
        <v>1.0684863518518517</v>
      </c>
      <c r="BB8" s="22">
        <f>VLOOKUP($A8,tabCustoUnit[],COLUMN(CUSTO_GLOBAL[[#Headers],[Incidência do Submódulo 2.1 sobre Ausências Legais]])-2,0)*($G8-$H8)</f>
        <v>3.7848618071425006</v>
      </c>
      <c r="BC8" s="22">
        <f>VLOOKUP($A8,tabCustoUnit[],COLUMN(CUSTO_GLOBAL[[#Headers],[Submódulo 4.1]])-2,0)*($G8-$H8)</f>
        <v>13.797723730799909</v>
      </c>
      <c r="BD8" s="22">
        <f>VLOOKUP($A8,tabCustoUnit[],COLUMN(CUSTO_GLOBAL[[#Headers],[Intervalo para Repouso ou Alimentação]])-2,0)*($G8-$H8)</f>
        <v>0</v>
      </c>
      <c r="BE8" s="22">
        <f>VLOOKUP($A8,tabCustoUnit[],COLUMN(CUSTO_GLOBAL[[#Headers],[Submódulo 4.2]])-2,0)*($G8-$H8)</f>
        <v>0</v>
      </c>
      <c r="BF8" s="22">
        <f>VLOOKUP($A8,tabCustoUnit[],COLUMN(CUSTO_GLOBAL[[#Headers],[Suspensão Temporária do Contrato de Trabalho]])-2,0)*($G8-$H8)</f>
        <v>0</v>
      </c>
      <c r="BG8" s="22">
        <f>VLOOKUP($A8,tabCustoUnit[],COLUMN(CUSTO_GLOBAL[[#Headers],[Submódulo 4.3]])-2,0)*($G8-$H8)</f>
        <v>0</v>
      </c>
      <c r="BH8" s="22">
        <f>VLOOKUP($A8,tabCustoUnit[],COLUMN(CUSTO_GLOBAL[[#Headers],[MÓDULO 4 – CUSTO DE REPOSIÇÃO DO PROFISSIONAL AUSENTE]])-2,0)*($G8-$H8)</f>
        <v>13.797723730799909</v>
      </c>
      <c r="BI8" s="22">
        <f>VLOOKUP($A8,tabCustoUnit[],COLUMN(CUSTO_GLOBAL[[#Headers],[Uniformes e EPIs]])-2,0)*($G8-$H8)</f>
        <v>62.806666666666665</v>
      </c>
      <c r="BJ8" s="22">
        <f>VLOOKUP($A8,tabCustoUnit[],COLUMN(CUSTO_GLOBAL[[#Headers],[Materiais de Consumo]])-2,0)*($G8-$H8)</f>
        <v>17.759106479291944</v>
      </c>
      <c r="BK8" s="22">
        <f>VLOOKUP($A8,tabCustoUnit[],COLUMN(CUSTO_GLOBAL[[#Headers],[Máquinas e Equipamentos (depreciação)]])-2,0)*($G8-$H8)</f>
        <v>32.264696957412788</v>
      </c>
      <c r="BL8" s="22">
        <f>VLOOKUP($A8,tabCustoUnit[],COLUMN(CUSTO_GLOBAL[[#Headers],[Produtos de Limpeza e Materiais de Higiene Pessoal]])-2,0)*($G8-$H8)</f>
        <v>345.13576638965827</v>
      </c>
      <c r="BM8" s="22">
        <f>VLOOKUP($A8,tabCustoUnit[],COLUMN(CUSTO_GLOBAL[[#Headers],[Outros (especificar)]])-2,0)*($G8-$H8)</f>
        <v>0</v>
      </c>
      <c r="BN8" s="22">
        <f>VLOOKUP($A8,tabCustoUnit[],COLUMN(CUSTO_GLOBAL[[#Headers],[MÓDULO 5 – INSUMOS DIVERSOS]])-2,0)*($G8-$H8)</f>
        <v>457.96623649302967</v>
      </c>
      <c r="BO8" s="22">
        <f>VLOOKUP($A8,tabCustoUnit[],COLUMN(CUSTO_GLOBAL[[#Headers],[TOTAL MÓDULOS 1+2+3+4+5]])-2,0)*($G8-$H8)</f>
        <v>2658.2164025844677</v>
      </c>
      <c r="BP8" s="22">
        <f>VLOOKUP($A8,tabCustoUnit[],COLUMN(CUSTO_GLOBAL[[#Headers],[Custos Indiretos]])-2,0)*($G8-$H8)</f>
        <v>189.64880140242613</v>
      </c>
      <c r="BQ8" s="22">
        <f>VLOOKUP($A8,tabCustoUnit[],COLUMN(CUSTO_GLOBAL[[#Headers],[Lucro]])-2,0)*($G8-$H8)</f>
        <v>159.30499317803796</v>
      </c>
      <c r="BR8" s="26">
        <f>VLOOKUP($A8,tabCustoUnit[],COLUMN(CUSTO_GLOBAL[[#Headers],[COFINS]])-2,0)</f>
        <v>8.6609686609686695E-2</v>
      </c>
      <c r="BS8" s="26">
        <f>VLOOKUP($A8,tabCustoUnit[],COLUMN(CUSTO_GLOBAL[[#Headers],[PIS]])-2,0)</f>
        <v>1.880341880341882E-2</v>
      </c>
      <c r="BT8" s="28">
        <f>VLOOKUP($A8,tabCustoUnit[],COLUMN(CUSTO_GLOBAL[[#Headers],[ISS]])-2,0)</f>
        <v>0.03</v>
      </c>
      <c r="BU8" s="26">
        <f>VLOOKUP($A8,tabCustoUnit[],COLUMN(CUSTO_GLOBAL[[#Headers],[ISS (Conversão Alíquota s/ fatura)]])-2,0)</f>
        <v>3.4188034188034219E-2</v>
      </c>
      <c r="BV8" s="26">
        <f>VLOOKUP($A8,tabCustoUnit[],COLUMN(CUSTO_GLOBAL[[#Headers],[Resumo de Alíquotas (PIS+CONFINS+ISS)]])-2,0)</f>
        <v>0.1225</v>
      </c>
      <c r="BW8" s="138">
        <f>VLOOKUP($A8,tabCustoUnit[],COLUMN(CUSTO_GLOBAL[[#Headers],[PIS + COFINS + ISS (Total Conversão  Alíquota s/ Fatura)]])-2,0)</f>
        <v>0.13960113960113973</v>
      </c>
      <c r="BX8" s="22">
        <f>VLOOKUP($A8,tabCustoUnit[],COLUMN(CUSTO_GLOBAL[[#Headers],[Valor dos Tributos (ISS, PIS, CONFINS)]])-2,0)*($G8-$H8)</f>
        <v>419.80438649880853</v>
      </c>
      <c r="BY8" s="22">
        <f>VLOOKUP($A8,tabCustoUnit[],COLUMN(CUSTO_GLOBAL[[#Headers],[MÓDULO 6 – CUSTOS INDIRETOS, TRIBUTOS E LUCRO]])-2,0)*($G8-$H8)</f>
        <v>768.75818107927262</v>
      </c>
      <c r="BZ8" s="22">
        <f>VLOOKUP($A8,tabCustoUnit[],COLUMN(CUSTO_GLOBAL[[#Headers],[CUSTO TOTAL MENSAL]])-2,0)*($G8-$H8)</f>
        <v>3426.9745836637403</v>
      </c>
      <c r="CA8" s="22">
        <f>CUSTO_GLOBAL[[#This Row],[CUSTO TOTAL MENSAL]]*12</f>
        <v>41123.69500396488</v>
      </c>
      <c r="CB8" s="24">
        <f>VLOOKUP($A8,tabCustoUnit[],COLUMN(CUSTO_GLOBAL[[#Headers],[ANO DA CCT]])-2,0)</f>
        <v>45658</v>
      </c>
      <c r="CC8" s="25" t="str">
        <f>VLOOKUP($A8,tabCustoUnit[],COLUMN(CUSTO_GLOBAL[[#Headers],[Nº DE PEDIDO DA CCT]])-2,0)</f>
        <v>-</v>
      </c>
      <c r="CD8" s="25" t="str">
        <f>VLOOKUP($A8,tabCustoUnit[],COLUMN(CUSTO_GLOBAL[[#Headers],[TERMO ADITIVO  ALTERAÇÃO DA CCT]])-2,0)</f>
        <v>-</v>
      </c>
      <c r="CF8" s="22"/>
      <c r="CG8" s="22"/>
    </row>
    <row r="9" spans="1:85" x14ac:dyDescent="0.25">
      <c r="A9" s="20" t="s">
        <v>1355</v>
      </c>
      <c r="B9" t="s">
        <v>15</v>
      </c>
      <c r="C9" t="s">
        <v>1246</v>
      </c>
      <c r="D9" t="s">
        <v>66</v>
      </c>
      <c r="E9" s="20" t="s">
        <v>9</v>
      </c>
      <c r="F9" s="20" t="s">
        <v>10</v>
      </c>
      <c r="G9" s="20">
        <v>1</v>
      </c>
      <c r="H9" s="20">
        <v>0</v>
      </c>
      <c r="I9" s="21">
        <f>VLOOKUP($A9,tabCustoUnit[],COLUMN(CUSTO_GLOBAL[[#Headers],[Salário Base]])-2,0)*($G9-$H9)</f>
        <v>1088.3699999999999</v>
      </c>
      <c r="J9" s="21">
        <f>VLOOKUP($A9,tabCustoUnit[],COLUMN(CUSTO_GLOBAL[[#Headers],[Adicional Periculosidade]])-2,0)*($G9-$H9)</f>
        <v>0</v>
      </c>
      <c r="K9" s="21">
        <f>VLOOKUP($A9,tabCustoUnit[],COLUMN(CUSTO_GLOBAL[[#Headers],[Adicional Insalubridade]])-2,0)*($G9-$H9)</f>
        <v>0</v>
      </c>
      <c r="L9" s="21">
        <f>VLOOKUP($A9,tabCustoUnit[],COLUMN(CUSTO_GLOBAL[[#Headers],[Adicional Noturno]])-2,0)*($G9-$H9)</f>
        <v>0</v>
      </c>
      <c r="M9" s="21">
        <f>VLOOKUP($A9,tabCustoUnit[],COLUMN(CUSTO_GLOBAL[[#Headers],[Adicional Motorista II (Gratificação)]])-2,0)*($G9-$H9)</f>
        <v>0</v>
      </c>
      <c r="N9" s="21">
        <f>VLOOKUP($A9,tabCustoUnit[],COLUMN(CUSTO_GLOBAL[[#Headers],[Adicional de Sobreaviso]])-2,0)*($G9-$H9)</f>
        <v>0</v>
      </c>
      <c r="O9" s="21">
        <f>VLOOKUP($A9,tabCustoUnit[],COLUMN(CUSTO_GLOBAL[[#Headers],[Horas Extras TI]])-2,0)*($G9-$H9)</f>
        <v>0</v>
      </c>
      <c r="P9" s="21">
        <f>VLOOKUP($A9,tabCustoUnit[],COLUMN(CUSTO_GLOBAL[[#Headers],[Adicional de Acúmulo de função]])-2,0)*($G9-$H9)</f>
        <v>39.1813</v>
      </c>
      <c r="Q9" s="21">
        <f>VLOOKUP($A9,tabCustoUnit[],COLUMN(CUSTO_GLOBAL[[#Headers],[MODULO 1 - REMUNERAÇÃO ]])-2,0)*($G9-$H9)</f>
        <v>1127.5512999999999</v>
      </c>
      <c r="R9" s="21">
        <f>VLOOKUP($A9,tabCustoUnit[],COLUMN(CUSTO_GLOBAL[[#Headers],[INSS]])-2,0)*($G9-$H9)</f>
        <v>225.51025999999999</v>
      </c>
      <c r="S9" s="21">
        <f>VLOOKUP($A9,tabCustoUnit[],COLUMN(CUSTO_GLOBAL[[#Headers],[SESI OU SESC]])-2,0)*($G9-$H9)</f>
        <v>16.913269499999998</v>
      </c>
      <c r="T9" s="21">
        <f>VLOOKUP($A9,tabCustoUnit[],COLUMN(CUSTO_GLOBAL[[#Headers],[SENAI OU SENAC]])-2,0)*($G9-$H9)</f>
        <v>11.275512999999998</v>
      </c>
      <c r="U9" s="21">
        <f>VLOOKUP($A9,tabCustoUnit[],COLUMN(CUSTO_GLOBAL[[#Headers],[INCRA]])-2,0)*($G9-$H9)</f>
        <v>2.2551025999999998</v>
      </c>
      <c r="V9" s="21">
        <f>VLOOKUP($A9,tabCustoUnit[],COLUMN(CUSTO_GLOBAL[[#Headers],[Salário Educação]])-2,0)*($G9-$H9)</f>
        <v>28.188782499999999</v>
      </c>
      <c r="W9" s="21">
        <f>VLOOKUP($A9,tabCustoUnit[],COLUMN(CUSTO_GLOBAL[[#Headers],[FGTS]])-2,0)*($G9-$H9)</f>
        <v>90.204103999999987</v>
      </c>
      <c r="X9" s="21">
        <f>VLOOKUP($A9,tabCustoUnit[],COLUMN(CUSTO_GLOBAL[[#Headers],[RAT Ajustado]])-2,0)*($G9-$H9)</f>
        <v>45.102051999999993</v>
      </c>
      <c r="Y9" s="21">
        <f>VLOOKUP($A9,tabCustoUnit[],COLUMN(CUSTO_GLOBAL[[#Headers],[SEBRAE]])-2,0)*($G9-$H9)</f>
        <v>6.7653077999999995</v>
      </c>
      <c r="Z9" s="21">
        <f>VLOOKUP($A9,tabCustoUnit[],COLUMN(CUSTO_GLOBAL[[#Headers],[Submódulo 2.1]])-2,0)*($G9-$H9)</f>
        <v>426.21439139999995</v>
      </c>
      <c r="AA9" s="21">
        <f>VLOOKUP($A9,tabCustoUnit[],COLUMN(CUSTO_GLOBAL[[#Headers],[13º salário (titular)]])-2,0)*($G9-$H9)</f>
        <v>93.962608333333321</v>
      </c>
      <c r="AB9" s="21">
        <f>VLOOKUP($A9,tabCustoUnit[],COLUMN(CUSTO_GLOBAL[[#Headers],[Férias e Adicional de Férias (titular)]])-2,0)*($G9-$H9)</f>
        <v>125.28347777777776</v>
      </c>
      <c r="AC9" s="21">
        <f>VLOOKUP($A9,tabCustoUnit[],COLUMN(CUSTO_GLOBAL[[#Headers],[Incidência do Submódulo 2.1 sobre 13º Salário, Férias e Adicional de Férias]])-2,0)*($G9-$H9)</f>
        <v>82.875020549999988</v>
      </c>
      <c r="AD9" s="21">
        <f>VLOOKUP($A9,tabCustoUnit[],COLUMN(CUSTO_GLOBAL[[#Headers],[Submódulo 2.2]])-2,0)*($G9-$H9)</f>
        <v>302.12110666111107</v>
      </c>
      <c r="AE9" s="22">
        <f>VLOOKUP($A9,tabCustoUnit[],COLUMN(CUSTO_GLOBAL[[#Headers],[Vale - Transporte (Descontada parcela do empregado)]])-2,0)*($G9-$H9)</f>
        <v>190.69780000000003</v>
      </c>
      <c r="AF9" s="22">
        <f>VLOOKUP($A9,tabCustoUnit[],COLUMN(CUSTO_GLOBAL[[#Headers],[Vale - Alimentação (Descontada parcela do empregado)]])-2,0)*($G9-$H9)</f>
        <v>582</v>
      </c>
      <c r="AG9" s="22">
        <f>VLOOKUP($A9,tabCustoUnit[],COLUMN(CUSTO_GLOBAL[[#Headers],[Cesta Básica]])-2,0)*($G9-$H9)</f>
        <v>0</v>
      </c>
      <c r="AH9" s="22">
        <f>VLOOKUP($A9,tabCustoUnit[],COLUMN(CUSTO_GLOBAL[[#Headers],[PAF]])-2,0)*($G9-$H9)</f>
        <v>57.07</v>
      </c>
      <c r="AI9" s="22">
        <f>VLOOKUP($A9,tabCustoUnit[],COLUMN(CUSTO_GLOBAL[[#Headers],[PQM]])-2,0)*($G9-$H9)</f>
        <v>0</v>
      </c>
      <c r="AJ9" s="22">
        <v>0</v>
      </c>
      <c r="AK9" s="22">
        <f>VLOOKUP($A9,tabCustoUnit[],COLUMN(CUSTO_GLOBAL[[#Headers],[Seguro de Vida]])-2,0)*($G9-$H9)</f>
        <v>3.36</v>
      </c>
      <c r="AL9" s="22">
        <f>VLOOKUP($A9,tabCustoUnit[],COLUMN(CUSTO_GLOBAL[[#Headers],[Despesas de Viagem]])-2,0)*($G9-$H9)</f>
        <v>0</v>
      </c>
      <c r="AM9" s="22">
        <f>VLOOKUP($A9,tabCustoUnit[],COLUMN(CUSTO_GLOBAL[[#Headers],[Submódulo 2.3]])-2,0)*($G9-$H9)</f>
        <v>833.12780000000009</v>
      </c>
      <c r="AN9" s="22">
        <f>VLOOKUP($A9,tabCustoUnit[],COLUMN(CUSTO_GLOBAL[[#Headers],[MÓDULO 2 - Total Encargos e Benefícios mensais e diários]])-2,0)*($G9-$H9)</f>
        <v>1561.4632980611111</v>
      </c>
      <c r="AO9" s="22">
        <f>VLOOKUP($A9,tabCustoUnit[],COLUMN(CUSTO_GLOBAL[[#Headers],[Aviso Prévio Indenizado (API) e Reflexo do Aviso Prévio Indenizado]])-2,0)*($G9-$H9)</f>
        <v>7.9061269683063262</v>
      </c>
      <c r="AP9" s="22">
        <f>VLOOKUP($A9,tabCustoUnit[],COLUMN(CUSTO_GLOBAL[[#Headers],[Incidência do FGTS sobre API e Reflexo do API]])-2,0)*($G9-$H9)</f>
        <v>0.6324901574645061</v>
      </c>
      <c r="AQ9" s="22">
        <f>VLOOKUP($A9,tabCustoUnit[],COLUMN(CUSTO_GLOBAL[[#Headers],[Multa Rescisória do FGTS sobre o Aviso Prévio Indenizado]])-2,0)*($G9-$H9)</f>
        <v>0.25299606298580246</v>
      </c>
      <c r="AR9" s="22">
        <f>VLOOKUP($A9,tabCustoUnit[],COLUMN(CUSTO_GLOBAL[[#Headers],[Aviso Prévio Trabalhado - APT]])-2,0)*($G9-$H9)</f>
        <v>3.94642955</v>
      </c>
      <c r="AS9" s="22">
        <f>VLOOKUP($A9,tabCustoUnit[],COLUMN(CUSTO_GLOBAL[[#Headers],[Incidência dos encargos do submódulo 2.1 sobre Aviso Prévio Trabalhado]])-2,0)*($G9-$H9)</f>
        <v>1.4917503699000003</v>
      </c>
      <c r="AT9" s="22">
        <f>VLOOKUP($A9,tabCustoUnit[],COLUMN(CUSTO_GLOBAL[[#Headers],[Multa Rescisória do FGTS]])-2,0)*($G9-$H9)</f>
        <v>34.478013084444434</v>
      </c>
      <c r="AU9" s="22">
        <f>VLOOKUP($A9,tabCustoUnit[],COLUMN(CUSTO_GLOBAL[[#Headers],[Indenização Adicional (Art. 9º da Lei nº 7.238/84)]])-2,0)*($G9-$H9)</f>
        <v>0.93962608333333331</v>
      </c>
      <c r="AV9" s="22">
        <f>VLOOKUP($A9,tabCustoUnit[],COLUMN(CUSTO_GLOBAL[[#Headers],[MÓDULO 3 – PROVISÃO PARA RESCISÃO]])-2,0)*($G9-$H9)</f>
        <v>49.647432276434401</v>
      </c>
      <c r="AW9" s="22">
        <f>VLOOKUP($A9,tabCustoUnit[],COLUMN(CUSTO_GLOBAL[[#Headers],[Ausência por Doença]])-2,0)*($G9-$H9)</f>
        <v>9.5215443111111089</v>
      </c>
      <c r="AX9" s="22">
        <f>VLOOKUP($A9,tabCustoUnit[],COLUMN(CUSTO_GLOBAL[[#Headers],[Ausências Legais]])-2,0)*($G9-$H9)</f>
        <v>2.2864234694444439</v>
      </c>
      <c r="AY9" s="22">
        <f>VLOOKUP($A9,tabCustoUnit[],COLUMN(CUSTO_GLOBAL[[#Headers],[Licença Paternidade]])-2,0)*($G9-$H9)</f>
        <v>0.19262334708333331</v>
      </c>
      <c r="AZ9" s="22">
        <f>VLOOKUP($A9,tabCustoUnit[],COLUMN(CUSTO_GLOBAL[[#Headers],[Ausência por Acidente de Trabalho]])-2,0)*($G9-$H9)</f>
        <v>0.23490652083333333</v>
      </c>
      <c r="BA9" s="22">
        <f>VLOOKUP($A9,tabCustoUnit[],COLUMN(CUSTO_GLOBAL[[#Headers],[Férias, Adicional de Férias e 13º  com empregada em gozo de Licença Maternidade]])-2,0)*($G9-$H9)</f>
        <v>1.4616405740740739</v>
      </c>
      <c r="BB9" s="22">
        <f>VLOOKUP($A9,tabCustoUnit[],COLUMN(CUSTO_GLOBAL[[#Headers],[Incidência do Submódulo 2.1 sobre Ausências Legais]])-2,0)*($G9-$H9)</f>
        <v>5.1775182481225004</v>
      </c>
      <c r="BC9" s="22">
        <f>VLOOKUP($A9,tabCustoUnit[],COLUMN(CUSTO_GLOBAL[[#Headers],[Submódulo 4.1]])-2,0)*($G9-$H9)</f>
        <v>18.874656470668793</v>
      </c>
      <c r="BD9" s="22">
        <f>VLOOKUP($A9,tabCustoUnit[],COLUMN(CUSTO_GLOBAL[[#Headers],[Intervalo para Repouso ou Alimentação]])-2,0)*($G9-$H9)</f>
        <v>0</v>
      </c>
      <c r="BE9" s="22">
        <f>VLOOKUP($A9,tabCustoUnit[],COLUMN(CUSTO_GLOBAL[[#Headers],[Submódulo 4.2]])-2,0)*($G9-$H9)</f>
        <v>0</v>
      </c>
      <c r="BF9" s="22">
        <f>VLOOKUP($A9,tabCustoUnit[],COLUMN(CUSTO_GLOBAL[[#Headers],[Suspensão Temporária do Contrato de Trabalho]])-2,0)*($G9-$H9)</f>
        <v>0</v>
      </c>
      <c r="BG9" s="22">
        <f>VLOOKUP($A9,tabCustoUnit[],COLUMN(CUSTO_GLOBAL[[#Headers],[Submódulo 4.3]])-2,0)*($G9-$H9)</f>
        <v>0</v>
      </c>
      <c r="BH9" s="22">
        <f>VLOOKUP($A9,tabCustoUnit[],COLUMN(CUSTO_GLOBAL[[#Headers],[MÓDULO 4 – CUSTO DE REPOSIÇÃO DO PROFISSIONAL AUSENTE]])-2,0)*($G9-$H9)</f>
        <v>18.874656470668793</v>
      </c>
      <c r="BI9" s="22">
        <f>VLOOKUP($A9,tabCustoUnit[],COLUMN(CUSTO_GLOBAL[[#Headers],[Uniformes e EPIs]])-2,0)*($G9-$H9)</f>
        <v>100.80916666666666</v>
      </c>
      <c r="BJ9" s="22">
        <f>VLOOKUP($A9,tabCustoUnit[],COLUMN(CUSTO_GLOBAL[[#Headers],[Materiais de Consumo]])-2,0)*($G9-$H9)</f>
        <v>24.216963380852651</v>
      </c>
      <c r="BK9" s="22">
        <f>VLOOKUP($A9,tabCustoUnit[],COLUMN(CUSTO_GLOBAL[[#Headers],[Máquinas e Equipamentos (depreciação)]])-2,0)*($G9-$H9)</f>
        <v>43.997314032835618</v>
      </c>
      <c r="BL9" s="22">
        <f>VLOOKUP($A9,tabCustoUnit[],COLUMN(CUSTO_GLOBAL[[#Headers],[Produtos de Limpeza e Materiais de Higiene Pessoal]])-2,0)*($G9-$H9)</f>
        <v>470.6396814404431</v>
      </c>
      <c r="BM9" s="22">
        <f>VLOOKUP($A9,tabCustoUnit[],COLUMN(CUSTO_GLOBAL[[#Headers],[Outros (especificar)]])-2,0)*($G9-$H9)</f>
        <v>0</v>
      </c>
      <c r="BN9" s="22">
        <f>VLOOKUP($A9,tabCustoUnit[],COLUMN(CUSTO_GLOBAL[[#Headers],[MÓDULO 5 – INSUMOS DIVERSOS]])-2,0)*($G9-$H9)</f>
        <v>639.66312552079808</v>
      </c>
      <c r="BO9" s="22">
        <f>VLOOKUP($A9,tabCustoUnit[],COLUMN(CUSTO_GLOBAL[[#Headers],[TOTAL MÓDULOS 1+2+3+4+5]])-2,0)*($G9-$H9)</f>
        <v>3397.1998123290123</v>
      </c>
      <c r="BP9" s="22">
        <f>VLOOKUP($A9,tabCustoUnit[],COLUMN(CUSTO_GLOBAL[[#Headers],[Custos Indiretos]])-2,0)*($G9-$H9)</f>
        <v>189.64880140242613</v>
      </c>
      <c r="BQ9" s="22">
        <f>VLOOKUP($A9,tabCustoUnit[],COLUMN(CUSTO_GLOBAL[[#Headers],[Lucro]])-2,0)*($G9-$H9)</f>
        <v>159.30499317803796</v>
      </c>
      <c r="BR9" s="26">
        <f>VLOOKUP($A9,tabCustoUnit[],COLUMN(CUSTO_GLOBAL[[#Headers],[COFINS]])-2,0)</f>
        <v>8.5633802816901458E-2</v>
      </c>
      <c r="BS9" s="26">
        <f>VLOOKUP($A9,tabCustoUnit[],COLUMN(CUSTO_GLOBAL[[#Headers],[PIS]])-2,0)</f>
        <v>1.8591549295774657E-2</v>
      </c>
      <c r="BT9" s="28">
        <f>VLOOKUP($A9,tabCustoUnit[],COLUMN(CUSTO_GLOBAL[[#Headers],[ISS]])-2,0)</f>
        <v>0.02</v>
      </c>
      <c r="BU9" s="26">
        <f>VLOOKUP($A9,tabCustoUnit[],COLUMN(CUSTO_GLOBAL[[#Headers],[ISS (Conversão Alíquota s/ fatura)]])-2,0)</f>
        <v>2.2535211267605645E-2</v>
      </c>
      <c r="BV9" s="26">
        <f>VLOOKUP($A9,tabCustoUnit[],COLUMN(CUSTO_GLOBAL[[#Headers],[Resumo de Alíquotas (PIS+CONFINS+ISS)]])-2,0)</f>
        <v>0.1125</v>
      </c>
      <c r="BW9" s="138">
        <f>VLOOKUP($A9,tabCustoUnit[],COLUMN(CUSTO_GLOBAL[[#Headers],[PIS + COFINS + ISS (Total Conversão  Alíquota s/ Fatura)]])-2,0)</f>
        <v>0.12676056338028174</v>
      </c>
      <c r="BX9" s="22">
        <f>VLOOKUP($A9,tabCustoUnit[],COLUMN(CUSTO_GLOBAL[[#Headers],[Valor dos Tributos (ISS, PIS, CONFINS)]])-2,0)*($G9-$H9)</f>
        <v>474.86454172091976</v>
      </c>
      <c r="BY9" s="22">
        <f>VLOOKUP($A9,tabCustoUnit[],COLUMN(CUSTO_GLOBAL[[#Headers],[MÓDULO 6 – CUSTOS INDIRETOS, TRIBUTOS E LUCRO]])-2,0)*($G9-$H9)</f>
        <v>823.81833630138385</v>
      </c>
      <c r="BZ9" s="22">
        <f>VLOOKUP($A9,tabCustoUnit[],COLUMN(CUSTO_GLOBAL[[#Headers],[CUSTO TOTAL MENSAL]])-2,0)*($G9-$H9)</f>
        <v>4221.0181486303964</v>
      </c>
      <c r="CA9" s="22">
        <f>CUSTO_GLOBAL[[#This Row],[CUSTO TOTAL MENSAL]]*12</f>
        <v>50652.21778356476</v>
      </c>
      <c r="CB9" s="24">
        <f>VLOOKUP($A9,tabCustoUnit[],COLUMN(CUSTO_GLOBAL[[#Headers],[ANO DA CCT]])-2,0)</f>
        <v>45658</v>
      </c>
      <c r="CC9" s="25" t="str">
        <f>VLOOKUP($A9,tabCustoUnit[],COLUMN(CUSTO_GLOBAL[[#Headers],[Nº DE PEDIDO DA CCT]])-2,0)</f>
        <v>-</v>
      </c>
      <c r="CD9" s="25" t="str">
        <f>VLOOKUP($A9,tabCustoUnit[],COLUMN(CUSTO_GLOBAL[[#Headers],[TERMO ADITIVO  ALTERAÇÃO DA CCT]])-2,0)</f>
        <v>-</v>
      </c>
      <c r="CF9" s="22"/>
      <c r="CG9" s="22"/>
    </row>
    <row r="10" spans="1:85" x14ac:dyDescent="0.25">
      <c r="A10" s="20" t="s">
        <v>1356</v>
      </c>
      <c r="B10" t="s">
        <v>16</v>
      </c>
      <c r="C10" t="s">
        <v>1245</v>
      </c>
      <c r="D10" t="s">
        <v>1023</v>
      </c>
      <c r="E10" s="20" t="s">
        <v>9</v>
      </c>
      <c r="F10" s="20" t="s">
        <v>10</v>
      </c>
      <c r="G10" s="20">
        <v>2</v>
      </c>
      <c r="H10" s="20">
        <v>0</v>
      </c>
      <c r="I10" s="21">
        <f>VLOOKUP($A10,tabCustoUnit[],COLUMN(CUSTO_GLOBAL[[#Headers],[Salário Base]])-2,0)*($G10-$H10)</f>
        <v>3192.56</v>
      </c>
      <c r="J10" s="21">
        <f>VLOOKUP($A10,tabCustoUnit[],COLUMN(CUSTO_GLOBAL[[#Headers],[Adicional Periculosidade]])-2,0)*($G10-$H10)</f>
        <v>0</v>
      </c>
      <c r="K10" s="21">
        <f>VLOOKUP($A10,tabCustoUnit[],COLUMN(CUSTO_GLOBAL[[#Headers],[Adicional Insalubridade]])-2,0)*($G10-$H10)</f>
        <v>0</v>
      </c>
      <c r="L10" s="21">
        <f>VLOOKUP($A10,tabCustoUnit[],COLUMN(CUSTO_GLOBAL[[#Headers],[Adicional Noturno]])-2,0)*($G10-$H10)</f>
        <v>0</v>
      </c>
      <c r="M10" s="21">
        <f>VLOOKUP($A10,tabCustoUnit[],COLUMN(CUSTO_GLOBAL[[#Headers],[Adicional Motorista II (Gratificação)]])-2,0)*($G10-$H10)</f>
        <v>0</v>
      </c>
      <c r="N10" s="21">
        <f>VLOOKUP($A10,tabCustoUnit[],COLUMN(CUSTO_GLOBAL[[#Headers],[Adicional de Sobreaviso]])-2,0)*($G10-$H10)</f>
        <v>0</v>
      </c>
      <c r="O10" s="21">
        <f>VLOOKUP($A10,tabCustoUnit[],COLUMN(CUSTO_GLOBAL[[#Headers],[Horas Extras TI]])-2,0)*($G10-$H10)</f>
        <v>0</v>
      </c>
      <c r="P10" s="21">
        <f>VLOOKUP($A10,tabCustoUnit[],COLUMN(CUSTO_GLOBAL[[#Headers],[Adicional de Acúmulo de função]])-2,0)*($G10-$H10)</f>
        <v>104.4838</v>
      </c>
      <c r="Q10" s="21">
        <f>VLOOKUP($A10,tabCustoUnit[],COLUMN(CUSTO_GLOBAL[[#Headers],[MODULO 1 - REMUNERAÇÃO ]])-2,0)*($G10-$H10)</f>
        <v>3297.0437999999999</v>
      </c>
      <c r="R10" s="21">
        <f>VLOOKUP($A10,tabCustoUnit[],COLUMN(CUSTO_GLOBAL[[#Headers],[INSS]])-2,0)*($G10-$H10)</f>
        <v>659.40876000000003</v>
      </c>
      <c r="S10" s="21">
        <f>VLOOKUP($A10,tabCustoUnit[],COLUMN(CUSTO_GLOBAL[[#Headers],[SESI OU SESC]])-2,0)*($G10-$H10)</f>
        <v>49.455656999999995</v>
      </c>
      <c r="T10" s="21">
        <f>VLOOKUP($A10,tabCustoUnit[],COLUMN(CUSTO_GLOBAL[[#Headers],[SENAI OU SENAC]])-2,0)*($G10-$H10)</f>
        <v>32.970438000000001</v>
      </c>
      <c r="U10" s="21">
        <f>VLOOKUP($A10,tabCustoUnit[],COLUMN(CUSTO_GLOBAL[[#Headers],[INCRA]])-2,0)*($G10-$H10)</f>
        <v>6.5940875999999999</v>
      </c>
      <c r="V10" s="21">
        <f>VLOOKUP($A10,tabCustoUnit[],COLUMN(CUSTO_GLOBAL[[#Headers],[Salário Educação]])-2,0)*($G10-$H10)</f>
        <v>82.426095000000004</v>
      </c>
      <c r="W10" s="21">
        <f>VLOOKUP($A10,tabCustoUnit[],COLUMN(CUSTO_GLOBAL[[#Headers],[FGTS]])-2,0)*($G10-$H10)</f>
        <v>263.76350400000001</v>
      </c>
      <c r="X10" s="21">
        <f>VLOOKUP($A10,tabCustoUnit[],COLUMN(CUSTO_GLOBAL[[#Headers],[RAT Ajustado]])-2,0)*($G10-$H10)</f>
        <v>131.88175200000001</v>
      </c>
      <c r="Y10" s="21">
        <f>VLOOKUP($A10,tabCustoUnit[],COLUMN(CUSTO_GLOBAL[[#Headers],[SEBRAE]])-2,0)*($G10-$H10)</f>
        <v>19.782262800000002</v>
      </c>
      <c r="Z10" s="21">
        <f>VLOOKUP($A10,tabCustoUnit[],COLUMN(CUSTO_GLOBAL[[#Headers],[Submódulo 2.1]])-2,0)*($G10-$H10)</f>
        <v>1246.2825564</v>
      </c>
      <c r="AA10" s="21">
        <f>VLOOKUP($A10,tabCustoUnit[],COLUMN(CUSTO_GLOBAL[[#Headers],[13º salário (titular)]])-2,0)*($G10-$H10)</f>
        <v>274.75364999999999</v>
      </c>
      <c r="AB10" s="21">
        <f>VLOOKUP($A10,tabCustoUnit[],COLUMN(CUSTO_GLOBAL[[#Headers],[Férias e Adicional de Férias (titular)]])-2,0)*($G10-$H10)</f>
        <v>366.33819999999997</v>
      </c>
      <c r="AC10" s="21">
        <f>VLOOKUP($A10,tabCustoUnit[],COLUMN(CUSTO_GLOBAL[[#Headers],[Incidência do Submódulo 2.1 sobre 13º Salário, Férias e Adicional de Férias]])-2,0)*($G10-$H10)</f>
        <v>242.33271930000001</v>
      </c>
      <c r="AD10" s="21">
        <f>VLOOKUP($A10,tabCustoUnit[],COLUMN(CUSTO_GLOBAL[[#Headers],[Submódulo 2.2]])-2,0)*($G10-$H10)</f>
        <v>883.42456930000003</v>
      </c>
      <c r="AE10" s="22">
        <f>VLOOKUP($A10,tabCustoUnit[],COLUMN(CUSTO_GLOBAL[[#Headers],[Vale - Transporte (Descontada parcela do empregado)]])-2,0)*($G10-$H10)</f>
        <v>320.44640000000004</v>
      </c>
      <c r="AF10" s="22">
        <f>VLOOKUP($A10,tabCustoUnit[],COLUMN(CUSTO_GLOBAL[[#Headers],[Vale - Alimentação (Descontada parcela do empregado)]])-2,0)*($G10-$H10)</f>
        <v>1164</v>
      </c>
      <c r="AG10" s="22">
        <f>VLOOKUP($A10,tabCustoUnit[],COLUMN(CUSTO_GLOBAL[[#Headers],[Cesta Básica]])-2,0)*($G10-$H10)</f>
        <v>0</v>
      </c>
      <c r="AH10" s="22">
        <f>VLOOKUP($A10,tabCustoUnit[],COLUMN(CUSTO_GLOBAL[[#Headers],[PAF]])-2,0)*($G10-$H10)</f>
        <v>0</v>
      </c>
      <c r="AI10" s="22">
        <f>VLOOKUP($A10,tabCustoUnit[],COLUMN(CUSTO_GLOBAL[[#Headers],[PQM]])-2,0)*($G10-$H10)</f>
        <v>0</v>
      </c>
      <c r="AJ10" s="22">
        <v>0</v>
      </c>
      <c r="AK10" s="22">
        <f>VLOOKUP($A10,tabCustoUnit[],COLUMN(CUSTO_GLOBAL[[#Headers],[Seguro de Vida]])-2,0)*($G10-$H10)</f>
        <v>6.72</v>
      </c>
      <c r="AL10" s="22">
        <f>VLOOKUP($A10,tabCustoUnit[],COLUMN(CUSTO_GLOBAL[[#Headers],[Despesas de Viagem]])-2,0)*($G10-$H10)</f>
        <v>0</v>
      </c>
      <c r="AM10" s="22">
        <f>VLOOKUP($A10,tabCustoUnit[],COLUMN(CUSTO_GLOBAL[[#Headers],[Submódulo 2.3]])-2,0)*($G10-$H10)</f>
        <v>1491.1664000000001</v>
      </c>
      <c r="AN10" s="22">
        <f>VLOOKUP($A10,tabCustoUnit[],COLUMN(CUSTO_GLOBAL[[#Headers],[MÓDULO 2 - Total Encargos e Benefícios mensais e diários]])-2,0)*($G10-$H10)</f>
        <v>3620.8735256999998</v>
      </c>
      <c r="AO10" s="22">
        <f>VLOOKUP($A10,tabCustoUnit[],COLUMN(CUSTO_GLOBAL[[#Headers],[Aviso Prévio Indenizado (API) e Reflexo do Aviso Prévio Indenizado]])-2,0)*($G10-$H10)</f>
        <v>23.118102832986111</v>
      </c>
      <c r="AP10" s="22">
        <f>VLOOKUP($A10,tabCustoUnit[],COLUMN(CUSTO_GLOBAL[[#Headers],[Incidência do FGTS sobre API e Reflexo do API]])-2,0)*($G10-$H10)</f>
        <v>1.849448226638889</v>
      </c>
      <c r="AQ10" s="22">
        <f>VLOOKUP($A10,tabCustoUnit[],COLUMN(CUSTO_GLOBAL[[#Headers],[Multa Rescisória do FGTS sobre o Aviso Prévio Indenizado]])-2,0)*($G10-$H10)</f>
        <v>0.7397792906555557</v>
      </c>
      <c r="AR10" s="22">
        <f>VLOOKUP($A10,tabCustoUnit[],COLUMN(CUSTO_GLOBAL[[#Headers],[Aviso Prévio Trabalhado - APT]])-2,0)*($G10-$H10)</f>
        <v>11.539653300000001</v>
      </c>
      <c r="AS10" s="22">
        <f>VLOOKUP($A10,tabCustoUnit[],COLUMN(CUSTO_GLOBAL[[#Headers],[Incidência dos encargos do submódulo 2.1 sobre Aviso Prévio Trabalhado]])-2,0)*($G10-$H10)</f>
        <v>4.3619889474000013</v>
      </c>
      <c r="AT10" s="22">
        <f>VLOOKUP($A10,tabCustoUnit[],COLUMN(CUSTO_GLOBAL[[#Headers],[Multa Rescisória do FGTS]])-2,0)*($G10-$H10)</f>
        <v>100.81627263999998</v>
      </c>
      <c r="AU10" s="22">
        <f>VLOOKUP($A10,tabCustoUnit[],COLUMN(CUSTO_GLOBAL[[#Headers],[Indenização Adicional (Art. 9º da Lei nº 7.238/84)]])-2,0)*($G10-$H10)</f>
        <v>2.7475365000000003</v>
      </c>
      <c r="AV10" s="22">
        <f>VLOOKUP($A10,tabCustoUnit[],COLUMN(CUSTO_GLOBAL[[#Headers],[MÓDULO 3 – PROVISÃO PARA RESCISÃO]])-2,0)*($G10-$H10)</f>
        <v>145.17278173768054</v>
      </c>
      <c r="AW10" s="22">
        <f>VLOOKUP($A10,tabCustoUnit[],COLUMN(CUSTO_GLOBAL[[#Headers],[Ausência por Doença]])-2,0)*($G10-$H10)</f>
        <v>27.841703199999998</v>
      </c>
      <c r="AX10" s="22">
        <f>VLOOKUP($A10,tabCustoUnit[],COLUMN(CUSTO_GLOBAL[[#Headers],[Ausências Legais]])-2,0)*($G10-$H10)</f>
        <v>6.6856721499999994</v>
      </c>
      <c r="AY10" s="22">
        <f>VLOOKUP($A10,tabCustoUnit[],COLUMN(CUSTO_GLOBAL[[#Headers],[Licença Paternidade]])-2,0)*($G10-$H10)</f>
        <v>0.56324498249999999</v>
      </c>
      <c r="AZ10" s="22">
        <f>VLOOKUP($A10,tabCustoUnit[],COLUMN(CUSTO_GLOBAL[[#Headers],[Ausência por Acidente de Trabalho]])-2,0)*($G10-$H10)</f>
        <v>0.68688412500000007</v>
      </c>
      <c r="BA10" s="22">
        <f>VLOOKUP($A10,tabCustoUnit[],COLUMN(CUSTO_GLOBAL[[#Headers],[Férias, Adicional de Férias e 13º  com empregada em gozo de Licença Maternidade]])-2,0)*($G10-$H10)</f>
        <v>4.2739456666666662</v>
      </c>
      <c r="BB10" s="22">
        <f>VLOOKUP($A10,tabCustoUnit[],COLUMN(CUSTO_GLOBAL[[#Headers],[Incidência do Submódulo 2.1 sobre Ausências Legais]])-2,0)*($G10-$H10)</f>
        <v>15.139448146935003</v>
      </c>
      <c r="BC10" s="22">
        <f>VLOOKUP($A10,tabCustoUnit[],COLUMN(CUSTO_GLOBAL[[#Headers],[Submódulo 4.1]])-2,0)*($G10-$H10)</f>
        <v>55.190898271101666</v>
      </c>
      <c r="BD10" s="22">
        <f>VLOOKUP($A10,tabCustoUnit[],COLUMN(CUSTO_GLOBAL[[#Headers],[Intervalo para Repouso ou Alimentação]])-2,0)*($G10-$H10)</f>
        <v>0</v>
      </c>
      <c r="BE10" s="22">
        <f>VLOOKUP($A10,tabCustoUnit[],COLUMN(CUSTO_GLOBAL[[#Headers],[Submódulo 4.2]])-2,0)*($G10-$H10)</f>
        <v>0</v>
      </c>
      <c r="BF10" s="22">
        <f>VLOOKUP($A10,tabCustoUnit[],COLUMN(CUSTO_GLOBAL[[#Headers],[Suspensão Temporária do Contrato de Trabalho]])-2,0)*($G10-$H10)</f>
        <v>0</v>
      </c>
      <c r="BG10" s="22">
        <f>VLOOKUP($A10,tabCustoUnit[],COLUMN(CUSTO_GLOBAL[[#Headers],[Submódulo 4.3]])-2,0)*($G10-$H10)</f>
        <v>0</v>
      </c>
      <c r="BH10" s="22">
        <f>VLOOKUP($A10,tabCustoUnit[],COLUMN(CUSTO_GLOBAL[[#Headers],[MÓDULO 4 – CUSTO DE REPOSIÇÃO DO PROFISSIONAL AUSENTE]])-2,0)*($G10-$H10)</f>
        <v>55.190898271101666</v>
      </c>
      <c r="BI10" s="22">
        <f>VLOOKUP($A10,tabCustoUnit[],COLUMN(CUSTO_GLOBAL[[#Headers],[Uniformes e EPIs]])-2,0)*($G10-$H10)</f>
        <v>201.61833333333331</v>
      </c>
      <c r="BJ10" s="22">
        <f>VLOOKUP($A10,tabCustoUnit[],COLUMN(CUSTO_GLOBAL[[#Headers],[Materiais de Consumo]])-2,0)*($G10-$H10)</f>
        <v>71.036425917167776</v>
      </c>
      <c r="BK10" s="22">
        <f>VLOOKUP($A10,tabCustoUnit[],COLUMN(CUSTO_GLOBAL[[#Headers],[Máquinas e Equipamentos (depreciação)]])-2,0)*($G10-$H10)</f>
        <v>129.05878782965115</v>
      </c>
      <c r="BL10" s="22">
        <f>VLOOKUP($A10,tabCustoUnit[],COLUMN(CUSTO_GLOBAL[[#Headers],[Produtos de Limpeza e Materiais de Higiene Pessoal]])-2,0)*($G10-$H10)</f>
        <v>1380.5430655586331</v>
      </c>
      <c r="BM10" s="22">
        <f>VLOOKUP($A10,tabCustoUnit[],COLUMN(CUSTO_GLOBAL[[#Headers],[Outros (especificar)]])-2,0)*($G10-$H10)</f>
        <v>0</v>
      </c>
      <c r="BN10" s="22">
        <f>VLOOKUP($A10,tabCustoUnit[],COLUMN(CUSTO_GLOBAL[[#Headers],[MÓDULO 5 – INSUMOS DIVERSOS]])-2,0)*($G10-$H10)</f>
        <v>1782.2566126387853</v>
      </c>
      <c r="BO10" s="22">
        <f>VLOOKUP($A10,tabCustoUnit[],COLUMN(CUSTO_GLOBAL[[#Headers],[TOTAL MÓDULOS 1+2+3+4+5]])-2,0)*($G10-$H10)</f>
        <v>8900.5376183475673</v>
      </c>
      <c r="BP10" s="22">
        <f>VLOOKUP($A10,tabCustoUnit[],COLUMN(CUSTO_GLOBAL[[#Headers],[Custos Indiretos]])-2,0)*($G10-$H10)</f>
        <v>379.29760280485226</v>
      </c>
      <c r="BQ10" s="22">
        <f>VLOOKUP($A10,tabCustoUnit[],COLUMN(CUSTO_GLOBAL[[#Headers],[Lucro]])-2,0)*($G10-$H10)</f>
        <v>318.60998635607592</v>
      </c>
      <c r="BR10" s="26">
        <f>VLOOKUP($A10,tabCustoUnit[],COLUMN(CUSTO_GLOBAL[[#Headers],[COFINS]])-2,0)</f>
        <v>8.8629737609329504E-2</v>
      </c>
      <c r="BS10" s="26">
        <f>VLOOKUP($A10,tabCustoUnit[],COLUMN(CUSTO_GLOBAL[[#Headers],[PIS]])-2,0)</f>
        <v>1.9241982507288629E-2</v>
      </c>
      <c r="BT10" s="28">
        <f>VLOOKUP($A10,tabCustoUnit[],COLUMN(CUSTO_GLOBAL[[#Headers],[ISS]])-2,0)</f>
        <v>0.05</v>
      </c>
      <c r="BU10" s="26">
        <f>VLOOKUP($A10,tabCustoUnit[],COLUMN(CUSTO_GLOBAL[[#Headers],[ISS (Conversão Alíquota s/ fatura)]])-2,0)</f>
        <v>5.8309037900874633E-2</v>
      </c>
      <c r="BV10" s="26">
        <f>VLOOKUP($A10,tabCustoUnit[],COLUMN(CUSTO_GLOBAL[[#Headers],[Resumo de Alíquotas (PIS+CONFINS+ISS)]])-2,0)</f>
        <v>0.14250000000000002</v>
      </c>
      <c r="BW10" s="138">
        <f>VLOOKUP($A10,tabCustoUnit[],COLUMN(CUSTO_GLOBAL[[#Headers],[PIS + COFINS + ISS (Total Conversão  Alíquota s/ Fatura)]])-2,0)</f>
        <v>0.16618075801749277</v>
      </c>
      <c r="BX10" s="22">
        <f>VLOOKUP($A10,tabCustoUnit[],COLUMN(CUSTO_GLOBAL[[#Headers],[Valor dos Tributos (ISS, PIS, CONFINS)]])-2,0)*($G10-$H10)</f>
        <v>1595.0769003731325</v>
      </c>
      <c r="BY10" s="22">
        <f>VLOOKUP($A10,tabCustoUnit[],COLUMN(CUSTO_GLOBAL[[#Headers],[MÓDULO 6 – CUSTOS INDIRETOS, TRIBUTOS E LUCRO]])-2,0)*($G10-$H10)</f>
        <v>2292.9844895340607</v>
      </c>
      <c r="BZ10" s="22">
        <f>VLOOKUP($A10,tabCustoUnit[],COLUMN(CUSTO_GLOBAL[[#Headers],[CUSTO TOTAL MENSAL]])-2,0)*($G10-$H10)</f>
        <v>11193.522107881628</v>
      </c>
      <c r="CA10" s="22">
        <f>CUSTO_GLOBAL[[#This Row],[CUSTO TOTAL MENSAL]]*12</f>
        <v>134322.26529457956</v>
      </c>
      <c r="CB10" s="24">
        <f>VLOOKUP($A10,tabCustoUnit[],COLUMN(CUSTO_GLOBAL[[#Headers],[ANO DA CCT]])-2,0)</f>
        <v>45658</v>
      </c>
      <c r="CC10" s="25" t="str">
        <f>VLOOKUP($A10,tabCustoUnit[],COLUMN(CUSTO_GLOBAL[[#Headers],[Nº DE PEDIDO DA CCT]])-2,0)</f>
        <v>-</v>
      </c>
      <c r="CD10" s="25" t="str">
        <f>VLOOKUP($A10,tabCustoUnit[],COLUMN(CUSTO_GLOBAL[[#Headers],[TERMO ADITIVO  ALTERAÇÃO DA CCT]])-2,0)</f>
        <v>-</v>
      </c>
      <c r="CF10" s="22"/>
      <c r="CG10" s="22"/>
    </row>
    <row r="11" spans="1:85" x14ac:dyDescent="0.25">
      <c r="A11" s="20" t="s">
        <v>1357</v>
      </c>
      <c r="B11" t="s">
        <v>17</v>
      </c>
      <c r="C11" t="s">
        <v>1245</v>
      </c>
      <c r="D11" t="s">
        <v>1026</v>
      </c>
      <c r="E11" s="20" t="s">
        <v>9</v>
      </c>
      <c r="F11" s="20" t="s">
        <v>10</v>
      </c>
      <c r="G11" s="20">
        <v>1</v>
      </c>
      <c r="H11" s="20">
        <v>0</v>
      </c>
      <c r="I11" s="21">
        <f>VLOOKUP($A11,tabCustoUnit[],COLUMN(CUSTO_GLOBAL[[#Headers],[Salário Base]])-2,0)*($G11-$H11)</f>
        <v>1596.28</v>
      </c>
      <c r="J11" s="21">
        <f>VLOOKUP($A11,tabCustoUnit[],COLUMN(CUSTO_GLOBAL[[#Headers],[Adicional Periculosidade]])-2,0)*($G11-$H11)</f>
        <v>0</v>
      </c>
      <c r="K11" s="21">
        <f>VLOOKUP($A11,tabCustoUnit[],COLUMN(CUSTO_GLOBAL[[#Headers],[Adicional Insalubridade]])-2,0)*($G11-$H11)</f>
        <v>0</v>
      </c>
      <c r="L11" s="21">
        <f>VLOOKUP($A11,tabCustoUnit[],COLUMN(CUSTO_GLOBAL[[#Headers],[Adicional Noturno]])-2,0)*($G11-$H11)</f>
        <v>0</v>
      </c>
      <c r="M11" s="21">
        <f>VLOOKUP($A11,tabCustoUnit[],COLUMN(CUSTO_GLOBAL[[#Headers],[Adicional Motorista II (Gratificação)]])-2,0)*($G11-$H11)</f>
        <v>0</v>
      </c>
      <c r="N11" s="21">
        <f>VLOOKUP($A11,tabCustoUnit[],COLUMN(CUSTO_GLOBAL[[#Headers],[Adicional de Sobreaviso]])-2,0)*($G11-$H11)</f>
        <v>0</v>
      </c>
      <c r="O11" s="21">
        <f>VLOOKUP($A11,tabCustoUnit[],COLUMN(CUSTO_GLOBAL[[#Headers],[Horas Extras TI]])-2,0)*($G11-$H11)</f>
        <v>0</v>
      </c>
      <c r="P11" s="21">
        <f>VLOOKUP($A11,tabCustoUnit[],COLUMN(CUSTO_GLOBAL[[#Headers],[Adicional de Acúmulo de função]])-2,0)*($G11-$H11)</f>
        <v>52.241900000000001</v>
      </c>
      <c r="Q11" s="21">
        <f>VLOOKUP($A11,tabCustoUnit[],COLUMN(CUSTO_GLOBAL[[#Headers],[MODULO 1 - REMUNERAÇÃO ]])-2,0)*($G11-$H11)</f>
        <v>1648.5219</v>
      </c>
      <c r="R11" s="21">
        <f>VLOOKUP($A11,tabCustoUnit[],COLUMN(CUSTO_GLOBAL[[#Headers],[INSS]])-2,0)*($G11-$H11)</f>
        <v>329.70438000000001</v>
      </c>
      <c r="S11" s="21">
        <f>VLOOKUP($A11,tabCustoUnit[],COLUMN(CUSTO_GLOBAL[[#Headers],[SESI OU SESC]])-2,0)*($G11-$H11)</f>
        <v>24.727828499999998</v>
      </c>
      <c r="T11" s="21">
        <f>VLOOKUP($A11,tabCustoUnit[],COLUMN(CUSTO_GLOBAL[[#Headers],[SENAI OU SENAC]])-2,0)*($G11-$H11)</f>
        <v>16.485219000000001</v>
      </c>
      <c r="U11" s="21">
        <f>VLOOKUP($A11,tabCustoUnit[],COLUMN(CUSTO_GLOBAL[[#Headers],[INCRA]])-2,0)*($G11-$H11)</f>
        <v>3.2970438</v>
      </c>
      <c r="V11" s="21">
        <f>VLOOKUP($A11,tabCustoUnit[],COLUMN(CUSTO_GLOBAL[[#Headers],[Salário Educação]])-2,0)*($G11-$H11)</f>
        <v>41.213047500000002</v>
      </c>
      <c r="W11" s="21">
        <f>VLOOKUP($A11,tabCustoUnit[],COLUMN(CUSTO_GLOBAL[[#Headers],[FGTS]])-2,0)*($G11-$H11)</f>
        <v>131.88175200000001</v>
      </c>
      <c r="X11" s="21">
        <f>VLOOKUP($A11,tabCustoUnit[],COLUMN(CUSTO_GLOBAL[[#Headers],[RAT Ajustado]])-2,0)*($G11-$H11)</f>
        <v>65.940876000000003</v>
      </c>
      <c r="Y11" s="21">
        <f>VLOOKUP($A11,tabCustoUnit[],COLUMN(CUSTO_GLOBAL[[#Headers],[SEBRAE]])-2,0)*($G11-$H11)</f>
        <v>9.8911314000000008</v>
      </c>
      <c r="Z11" s="21">
        <f>VLOOKUP($A11,tabCustoUnit[],COLUMN(CUSTO_GLOBAL[[#Headers],[Submódulo 2.1]])-2,0)*($G11-$H11)</f>
        <v>623.14127819999999</v>
      </c>
      <c r="AA11" s="21">
        <f>VLOOKUP($A11,tabCustoUnit[],COLUMN(CUSTO_GLOBAL[[#Headers],[13º salário (titular)]])-2,0)*($G11-$H11)</f>
        <v>137.376825</v>
      </c>
      <c r="AB11" s="21">
        <f>VLOOKUP($A11,tabCustoUnit[],COLUMN(CUSTO_GLOBAL[[#Headers],[Férias e Adicional de Férias (titular)]])-2,0)*($G11-$H11)</f>
        <v>183.16909999999999</v>
      </c>
      <c r="AC11" s="21">
        <f>VLOOKUP($A11,tabCustoUnit[],COLUMN(CUSTO_GLOBAL[[#Headers],[Incidência do Submódulo 2.1 sobre 13º Salário, Férias e Adicional de Férias]])-2,0)*($G11-$H11)</f>
        <v>121.16635965</v>
      </c>
      <c r="AD11" s="21">
        <f>VLOOKUP($A11,tabCustoUnit[],COLUMN(CUSTO_GLOBAL[[#Headers],[Submódulo 2.2]])-2,0)*($G11-$H11)</f>
        <v>441.71228465000002</v>
      </c>
      <c r="AE11" s="22">
        <f>VLOOKUP($A11,tabCustoUnit[],COLUMN(CUSTO_GLOBAL[[#Headers],[Vale - Transporte (Descontada parcela do empregado)]])-2,0)*($G11-$H11)</f>
        <v>160.22320000000002</v>
      </c>
      <c r="AF11" s="22">
        <f>VLOOKUP($A11,tabCustoUnit[],COLUMN(CUSTO_GLOBAL[[#Headers],[Vale - Alimentação (Descontada parcela do empregado)]])-2,0)*($G11-$H11)</f>
        <v>582</v>
      </c>
      <c r="AG11" s="22">
        <f>VLOOKUP($A11,tabCustoUnit[],COLUMN(CUSTO_GLOBAL[[#Headers],[Cesta Básica]])-2,0)*($G11-$H11)</f>
        <v>0</v>
      </c>
      <c r="AH11" s="22">
        <f>VLOOKUP($A11,tabCustoUnit[],COLUMN(CUSTO_GLOBAL[[#Headers],[PAF]])-2,0)*($G11-$H11)</f>
        <v>0</v>
      </c>
      <c r="AI11" s="22">
        <f>VLOOKUP($A11,tabCustoUnit[],COLUMN(CUSTO_GLOBAL[[#Headers],[PQM]])-2,0)*($G11-$H11)</f>
        <v>15.07</v>
      </c>
      <c r="AJ11" s="22">
        <v>0</v>
      </c>
      <c r="AK11" s="22">
        <f>VLOOKUP($A11,tabCustoUnit[],COLUMN(CUSTO_GLOBAL[[#Headers],[Seguro de Vida]])-2,0)*($G11-$H11)</f>
        <v>3.36</v>
      </c>
      <c r="AL11" s="22">
        <f>VLOOKUP($A11,tabCustoUnit[],COLUMN(CUSTO_GLOBAL[[#Headers],[Despesas de Viagem]])-2,0)*($G11-$H11)</f>
        <v>0</v>
      </c>
      <c r="AM11" s="22">
        <f>VLOOKUP($A11,tabCustoUnit[],COLUMN(CUSTO_GLOBAL[[#Headers],[Submódulo 2.3]])-2,0)*($G11-$H11)</f>
        <v>760.65320000000008</v>
      </c>
      <c r="AN11" s="22">
        <f>VLOOKUP($A11,tabCustoUnit[],COLUMN(CUSTO_GLOBAL[[#Headers],[MÓDULO 2 - Total Encargos e Benefícios mensais e diários]])-2,0)*($G11-$H11)</f>
        <v>1825.5067628500001</v>
      </c>
      <c r="AO11" s="22">
        <f>VLOOKUP($A11,tabCustoUnit[],COLUMN(CUSTO_GLOBAL[[#Headers],[Aviso Prévio Indenizado (API) e Reflexo do Aviso Prévio Indenizado]])-2,0)*($G11-$H11)</f>
        <v>11.559051416493055</v>
      </c>
      <c r="AP11" s="22">
        <f>VLOOKUP($A11,tabCustoUnit[],COLUMN(CUSTO_GLOBAL[[#Headers],[Incidência do FGTS sobre API e Reflexo do API]])-2,0)*($G11-$H11)</f>
        <v>0.92472411331944449</v>
      </c>
      <c r="AQ11" s="22">
        <f>VLOOKUP($A11,tabCustoUnit[],COLUMN(CUSTO_GLOBAL[[#Headers],[Multa Rescisória do FGTS sobre o Aviso Prévio Indenizado]])-2,0)*($G11-$H11)</f>
        <v>0.36988964532777785</v>
      </c>
      <c r="AR11" s="22">
        <f>VLOOKUP($A11,tabCustoUnit[],COLUMN(CUSTO_GLOBAL[[#Headers],[Aviso Prévio Trabalhado - APT]])-2,0)*($G11-$H11)</f>
        <v>5.7698266500000006</v>
      </c>
      <c r="AS11" s="22">
        <f>VLOOKUP($A11,tabCustoUnit[],COLUMN(CUSTO_GLOBAL[[#Headers],[Incidência dos encargos do submódulo 2.1 sobre Aviso Prévio Trabalhado]])-2,0)*($G11-$H11)</f>
        <v>2.1809944737000007</v>
      </c>
      <c r="AT11" s="22">
        <f>VLOOKUP($A11,tabCustoUnit[],COLUMN(CUSTO_GLOBAL[[#Headers],[Multa Rescisória do FGTS]])-2,0)*($G11-$H11)</f>
        <v>50.40813631999999</v>
      </c>
      <c r="AU11" s="22">
        <f>VLOOKUP($A11,tabCustoUnit[],COLUMN(CUSTO_GLOBAL[[#Headers],[Indenização Adicional (Art. 9º da Lei nº 7.238/84)]])-2,0)*($G11-$H11)</f>
        <v>1.3737682500000001</v>
      </c>
      <c r="AV11" s="22">
        <f>VLOOKUP($A11,tabCustoUnit[],COLUMN(CUSTO_GLOBAL[[#Headers],[MÓDULO 3 – PROVISÃO PARA RESCISÃO]])-2,0)*($G11-$H11)</f>
        <v>72.586390868840269</v>
      </c>
      <c r="AW11" s="22">
        <f>VLOOKUP($A11,tabCustoUnit[],COLUMN(CUSTO_GLOBAL[[#Headers],[Ausência por Doença]])-2,0)*($G11-$H11)</f>
        <v>13.920851599999999</v>
      </c>
      <c r="AX11" s="22">
        <f>VLOOKUP($A11,tabCustoUnit[],COLUMN(CUSTO_GLOBAL[[#Headers],[Ausências Legais]])-2,0)*($G11-$H11)</f>
        <v>3.3428360749999997</v>
      </c>
      <c r="AY11" s="22">
        <f>VLOOKUP($A11,tabCustoUnit[],COLUMN(CUSTO_GLOBAL[[#Headers],[Licença Paternidade]])-2,0)*($G11-$H11)</f>
        <v>0.28162249125</v>
      </c>
      <c r="AZ11" s="22">
        <f>VLOOKUP($A11,tabCustoUnit[],COLUMN(CUSTO_GLOBAL[[#Headers],[Ausência por Acidente de Trabalho]])-2,0)*($G11-$H11)</f>
        <v>0.34344206250000003</v>
      </c>
      <c r="BA11" s="22">
        <f>VLOOKUP($A11,tabCustoUnit[],COLUMN(CUSTO_GLOBAL[[#Headers],[Férias, Adicional de Férias e 13º  com empregada em gozo de Licença Maternidade]])-2,0)*($G11-$H11)</f>
        <v>2.1369728333333331</v>
      </c>
      <c r="BB11" s="22">
        <f>VLOOKUP($A11,tabCustoUnit[],COLUMN(CUSTO_GLOBAL[[#Headers],[Incidência do Submódulo 2.1 sobre Ausências Legais]])-2,0)*($G11-$H11)</f>
        <v>7.5697240734675013</v>
      </c>
      <c r="BC11" s="22">
        <f>VLOOKUP($A11,tabCustoUnit[],COLUMN(CUSTO_GLOBAL[[#Headers],[Submódulo 4.1]])-2,0)*($G11-$H11)</f>
        <v>27.595449135550833</v>
      </c>
      <c r="BD11" s="22">
        <f>VLOOKUP($A11,tabCustoUnit[],COLUMN(CUSTO_GLOBAL[[#Headers],[Intervalo para Repouso ou Alimentação]])-2,0)*($G11-$H11)</f>
        <v>0</v>
      </c>
      <c r="BE11" s="22">
        <f>VLOOKUP($A11,tabCustoUnit[],COLUMN(CUSTO_GLOBAL[[#Headers],[Submódulo 4.2]])-2,0)*($G11-$H11)</f>
        <v>0</v>
      </c>
      <c r="BF11" s="22">
        <f>VLOOKUP($A11,tabCustoUnit[],COLUMN(CUSTO_GLOBAL[[#Headers],[Suspensão Temporária do Contrato de Trabalho]])-2,0)*($G11-$H11)</f>
        <v>0</v>
      </c>
      <c r="BG11" s="22">
        <f>VLOOKUP($A11,tabCustoUnit[],COLUMN(CUSTO_GLOBAL[[#Headers],[Submódulo 4.3]])-2,0)*($G11-$H11)</f>
        <v>0</v>
      </c>
      <c r="BH11" s="22">
        <f>VLOOKUP($A11,tabCustoUnit[],COLUMN(CUSTO_GLOBAL[[#Headers],[MÓDULO 4 – CUSTO DE REPOSIÇÃO DO PROFISSIONAL AUSENTE]])-2,0)*($G11-$H11)</f>
        <v>27.595449135550833</v>
      </c>
      <c r="BI11" s="22">
        <f>VLOOKUP($A11,tabCustoUnit[],COLUMN(CUSTO_GLOBAL[[#Headers],[Uniformes e EPIs]])-2,0)*($G11-$H11)</f>
        <v>100.80916666666666</v>
      </c>
      <c r="BJ11" s="22">
        <f>VLOOKUP($A11,tabCustoUnit[],COLUMN(CUSTO_GLOBAL[[#Headers],[Materiais de Consumo]])-2,0)*($G11-$H11)</f>
        <v>35.518212958583888</v>
      </c>
      <c r="BK11" s="22">
        <f>VLOOKUP($A11,tabCustoUnit[],COLUMN(CUSTO_GLOBAL[[#Headers],[Máquinas e Equipamentos (depreciação)]])-2,0)*($G11-$H11)</f>
        <v>64.529393914825576</v>
      </c>
      <c r="BL11" s="22">
        <f>VLOOKUP($A11,tabCustoUnit[],COLUMN(CUSTO_GLOBAL[[#Headers],[Produtos de Limpeza e Materiais de Higiene Pessoal]])-2,0)*($G11-$H11)</f>
        <v>690.27153277931654</v>
      </c>
      <c r="BM11" s="22">
        <f>VLOOKUP($A11,tabCustoUnit[],COLUMN(CUSTO_GLOBAL[[#Headers],[Outros (especificar)]])-2,0)*($G11-$H11)</f>
        <v>0</v>
      </c>
      <c r="BN11" s="22">
        <f>VLOOKUP($A11,tabCustoUnit[],COLUMN(CUSTO_GLOBAL[[#Headers],[MÓDULO 5 – INSUMOS DIVERSOS]])-2,0)*($G11-$H11)</f>
        <v>891.12830631939266</v>
      </c>
      <c r="BO11" s="22">
        <f>VLOOKUP($A11,tabCustoUnit[],COLUMN(CUSTO_GLOBAL[[#Headers],[TOTAL MÓDULOS 1+2+3+4+5]])-2,0)*($G11-$H11)</f>
        <v>4465.3388091737834</v>
      </c>
      <c r="BP11" s="22">
        <f>VLOOKUP($A11,tabCustoUnit[],COLUMN(CUSTO_GLOBAL[[#Headers],[Custos Indiretos]])-2,0)*($G11-$H11)</f>
        <v>189.64880140242613</v>
      </c>
      <c r="BQ11" s="22">
        <f>VLOOKUP($A11,tabCustoUnit[],COLUMN(CUSTO_GLOBAL[[#Headers],[Lucro]])-2,0)*($G11-$H11)</f>
        <v>159.30499317803796</v>
      </c>
      <c r="BR11" s="26">
        <f>VLOOKUP($A11,tabCustoUnit[],COLUMN(CUSTO_GLOBAL[[#Headers],[COFINS]])-2,0)</f>
        <v>8.8629737609329504E-2</v>
      </c>
      <c r="BS11" s="26">
        <f>VLOOKUP($A11,tabCustoUnit[],COLUMN(CUSTO_GLOBAL[[#Headers],[PIS]])-2,0)</f>
        <v>1.9241982507288629E-2</v>
      </c>
      <c r="BT11" s="28">
        <f>VLOOKUP($A11,tabCustoUnit[],COLUMN(CUSTO_GLOBAL[[#Headers],[ISS]])-2,0)</f>
        <v>0.05</v>
      </c>
      <c r="BU11" s="26">
        <f>VLOOKUP($A11,tabCustoUnit[],COLUMN(CUSTO_GLOBAL[[#Headers],[ISS (Conversão Alíquota s/ fatura)]])-2,0)</f>
        <v>5.8309037900874633E-2</v>
      </c>
      <c r="BV11" s="26">
        <f>VLOOKUP($A11,tabCustoUnit[],COLUMN(CUSTO_GLOBAL[[#Headers],[Resumo de Alíquotas (PIS+CONFINS+ISS)]])-2,0)</f>
        <v>0.14250000000000002</v>
      </c>
      <c r="BW11" s="138">
        <f>VLOOKUP($A11,tabCustoUnit[],COLUMN(CUSTO_GLOBAL[[#Headers],[PIS + COFINS + ISS (Total Conversão  Alíquota s/ Fatura)]])-2,0)</f>
        <v>0.16618075801749277</v>
      </c>
      <c r="BX11" s="22">
        <f>VLOOKUP($A11,tabCustoUnit[],COLUMN(CUSTO_GLOBAL[[#Headers],[Valor dos Tributos (ISS, PIS, CONFINS)]])-2,0)*($G11-$H11)</f>
        <v>800.04279420988985</v>
      </c>
      <c r="BY11" s="22">
        <f>VLOOKUP($A11,tabCustoUnit[],COLUMN(CUSTO_GLOBAL[[#Headers],[MÓDULO 6 – CUSTOS INDIRETOS, TRIBUTOS E LUCRO]])-2,0)*($G11-$H11)</f>
        <v>1148.9965887903541</v>
      </c>
      <c r="BZ11" s="22">
        <f>VLOOKUP($A11,tabCustoUnit[],COLUMN(CUSTO_GLOBAL[[#Headers],[CUSTO TOTAL MENSAL]])-2,0)*($G11-$H11)</f>
        <v>5614.3353979641379</v>
      </c>
      <c r="CA11" s="22">
        <f>CUSTO_GLOBAL[[#This Row],[CUSTO TOTAL MENSAL]]*12</f>
        <v>67372.024775569647</v>
      </c>
      <c r="CB11" s="24">
        <f>VLOOKUP($A11,tabCustoUnit[],COLUMN(CUSTO_GLOBAL[[#Headers],[ANO DA CCT]])-2,0)</f>
        <v>45658</v>
      </c>
      <c r="CC11" s="25" t="str">
        <f>VLOOKUP($A11,tabCustoUnit[],COLUMN(CUSTO_GLOBAL[[#Headers],[Nº DE PEDIDO DA CCT]])-2,0)</f>
        <v>-</v>
      </c>
      <c r="CD11" s="25" t="str">
        <f>VLOOKUP($A11,tabCustoUnit[],COLUMN(CUSTO_GLOBAL[[#Headers],[TERMO ADITIVO  ALTERAÇÃO DA CCT]])-2,0)</f>
        <v>-</v>
      </c>
      <c r="CF11" s="22"/>
      <c r="CG11" s="22"/>
    </row>
    <row r="12" spans="1:85" x14ac:dyDescent="0.25">
      <c r="A12" s="20" t="s">
        <v>1358</v>
      </c>
      <c r="B12" t="s">
        <v>18</v>
      </c>
      <c r="C12" t="s">
        <v>1247</v>
      </c>
      <c r="D12" t="s">
        <v>1023</v>
      </c>
      <c r="E12" s="20" t="s">
        <v>9</v>
      </c>
      <c r="F12" s="20" t="s">
        <v>10</v>
      </c>
      <c r="G12" s="20">
        <v>1</v>
      </c>
      <c r="H12" s="20">
        <v>0</v>
      </c>
      <c r="I12" s="21">
        <f>VLOOKUP($A12,tabCustoUnit[],COLUMN(CUSTO_GLOBAL[[#Headers],[Salário Base]])-2,0)*($G12-$H12)</f>
        <v>544.17999999999995</v>
      </c>
      <c r="J12" s="21">
        <f>VLOOKUP($A12,tabCustoUnit[],COLUMN(CUSTO_GLOBAL[[#Headers],[Adicional Periculosidade]])-2,0)*($G12-$H12)</f>
        <v>0</v>
      </c>
      <c r="K12" s="21">
        <f>VLOOKUP($A12,tabCustoUnit[],COLUMN(CUSTO_GLOBAL[[#Headers],[Adicional Insalubridade]])-2,0)*($G12-$H12)</f>
        <v>0</v>
      </c>
      <c r="L12" s="21">
        <f>VLOOKUP($A12,tabCustoUnit[],COLUMN(CUSTO_GLOBAL[[#Headers],[Adicional Noturno]])-2,0)*($G12-$H12)</f>
        <v>0</v>
      </c>
      <c r="M12" s="21">
        <f>VLOOKUP($A12,tabCustoUnit[],COLUMN(CUSTO_GLOBAL[[#Headers],[Adicional Motorista II (Gratificação)]])-2,0)*($G12-$H12)</f>
        <v>0</v>
      </c>
      <c r="N12" s="21">
        <f>VLOOKUP($A12,tabCustoUnit[],COLUMN(CUSTO_GLOBAL[[#Headers],[Adicional de Sobreaviso]])-2,0)*($G12-$H12)</f>
        <v>0</v>
      </c>
      <c r="O12" s="21">
        <f>VLOOKUP($A12,tabCustoUnit[],COLUMN(CUSTO_GLOBAL[[#Headers],[Horas Extras TI]])-2,0)*($G12-$H12)</f>
        <v>0</v>
      </c>
      <c r="P12" s="21">
        <f>VLOOKUP($A12,tabCustoUnit[],COLUMN(CUSTO_GLOBAL[[#Headers],[Adicional de Acúmulo de função]])-2,0)*($G12-$H12)</f>
        <v>19.590499999999999</v>
      </c>
      <c r="Q12" s="21">
        <f>VLOOKUP($A12,tabCustoUnit[],COLUMN(CUSTO_GLOBAL[[#Headers],[MODULO 1 - REMUNERAÇÃO ]])-2,0)*($G12-$H12)</f>
        <v>563.77049999999997</v>
      </c>
      <c r="R12" s="21">
        <f>VLOOKUP($A12,tabCustoUnit[],COLUMN(CUSTO_GLOBAL[[#Headers],[INSS]])-2,0)*($G12-$H12)</f>
        <v>112.75409999999999</v>
      </c>
      <c r="S12" s="21">
        <f>VLOOKUP($A12,tabCustoUnit[],COLUMN(CUSTO_GLOBAL[[#Headers],[SESI OU SESC]])-2,0)*($G12-$H12)</f>
        <v>8.4565574999999988</v>
      </c>
      <c r="T12" s="21">
        <f>VLOOKUP($A12,tabCustoUnit[],COLUMN(CUSTO_GLOBAL[[#Headers],[SENAI OU SENAC]])-2,0)*($G12-$H12)</f>
        <v>5.6377049999999995</v>
      </c>
      <c r="U12" s="21">
        <f>VLOOKUP($A12,tabCustoUnit[],COLUMN(CUSTO_GLOBAL[[#Headers],[INCRA]])-2,0)*($G12-$H12)</f>
        <v>1.1275409999999999</v>
      </c>
      <c r="V12" s="21">
        <f>VLOOKUP($A12,tabCustoUnit[],COLUMN(CUSTO_GLOBAL[[#Headers],[Salário Educação]])-2,0)*($G12-$H12)</f>
        <v>14.094262499999999</v>
      </c>
      <c r="W12" s="21">
        <f>VLOOKUP($A12,tabCustoUnit[],COLUMN(CUSTO_GLOBAL[[#Headers],[FGTS]])-2,0)*($G12-$H12)</f>
        <v>45.101639999999996</v>
      </c>
      <c r="X12" s="21">
        <f>VLOOKUP($A12,tabCustoUnit[],COLUMN(CUSTO_GLOBAL[[#Headers],[RAT Ajustado]])-2,0)*($G12-$H12)</f>
        <v>22.550819999999998</v>
      </c>
      <c r="Y12" s="21">
        <f>VLOOKUP($A12,tabCustoUnit[],COLUMN(CUSTO_GLOBAL[[#Headers],[SEBRAE]])-2,0)*($G12-$H12)</f>
        <v>3.3826229999999997</v>
      </c>
      <c r="Z12" s="21">
        <f>VLOOKUP($A12,tabCustoUnit[],COLUMN(CUSTO_GLOBAL[[#Headers],[Submódulo 2.1]])-2,0)*($G12-$H12)</f>
        <v>213.10524899999996</v>
      </c>
      <c r="AA12" s="21">
        <f>VLOOKUP($A12,tabCustoUnit[],COLUMN(CUSTO_GLOBAL[[#Headers],[13º salário (titular)]])-2,0)*($G12-$H12)</f>
        <v>46.980874999999997</v>
      </c>
      <c r="AB12" s="21">
        <f>VLOOKUP($A12,tabCustoUnit[],COLUMN(CUSTO_GLOBAL[[#Headers],[Férias e Adicional de Férias (titular)]])-2,0)*($G12-$H12)</f>
        <v>62.641166666666663</v>
      </c>
      <c r="AC12" s="21">
        <f>VLOOKUP($A12,tabCustoUnit[],COLUMN(CUSTO_GLOBAL[[#Headers],[Incidência do Submódulo 2.1 sobre 13º Salário, Férias e Adicional de Férias]])-2,0)*($G12-$H12)</f>
        <v>41.437131749999992</v>
      </c>
      <c r="AD12" s="21">
        <f>VLOOKUP($A12,tabCustoUnit[],COLUMN(CUSTO_GLOBAL[[#Headers],[Submódulo 2.2]])-2,0)*($G12-$H12)</f>
        <v>151.05917341666665</v>
      </c>
      <c r="AE12" s="22">
        <f>VLOOKUP($A12,tabCustoUnit[],COLUMN(CUSTO_GLOBAL[[#Headers],[Vale - Transporte (Descontada parcela do empregado)]])-2,0)*($G12-$H12)</f>
        <v>223.3492</v>
      </c>
      <c r="AF12" s="22">
        <f>VLOOKUP($A12,tabCustoUnit[],COLUMN(CUSTO_GLOBAL[[#Headers],[Vale - Alimentação (Descontada parcela do empregado)]])-2,0)*($G12-$H12)</f>
        <v>582</v>
      </c>
      <c r="AG12" s="22">
        <f>VLOOKUP($A12,tabCustoUnit[],COLUMN(CUSTO_GLOBAL[[#Headers],[Cesta Básica]])-2,0)*($G12-$H12)</f>
        <v>0</v>
      </c>
      <c r="AH12" s="22">
        <f>VLOOKUP($A12,tabCustoUnit[],COLUMN(CUSTO_GLOBAL[[#Headers],[PAF]])-2,0)*($G12-$H12)</f>
        <v>0</v>
      </c>
      <c r="AI12" s="22">
        <f>VLOOKUP($A12,tabCustoUnit[],COLUMN(CUSTO_GLOBAL[[#Headers],[PQM]])-2,0)*($G12-$H12)</f>
        <v>0</v>
      </c>
      <c r="AJ12" s="22">
        <v>0</v>
      </c>
      <c r="AK12" s="22">
        <f>VLOOKUP($A12,tabCustoUnit[],COLUMN(CUSTO_GLOBAL[[#Headers],[Seguro de Vida]])-2,0)*($G12-$H12)</f>
        <v>3.36</v>
      </c>
      <c r="AL12" s="22">
        <f>VLOOKUP($A12,tabCustoUnit[],COLUMN(CUSTO_GLOBAL[[#Headers],[Despesas de Viagem]])-2,0)*($G12-$H12)</f>
        <v>0</v>
      </c>
      <c r="AM12" s="22">
        <f>VLOOKUP($A12,tabCustoUnit[],COLUMN(CUSTO_GLOBAL[[#Headers],[Submódulo 2.3]])-2,0)*($G12-$H12)</f>
        <v>808.70920000000001</v>
      </c>
      <c r="AN12" s="22">
        <f>VLOOKUP($A12,tabCustoUnit[],COLUMN(CUSTO_GLOBAL[[#Headers],[MÓDULO 2 - Total Encargos e Benefícios mensais e diários]])-2,0)*($G12-$H12)</f>
        <v>1172.8736224166666</v>
      </c>
      <c r="AO12" s="22">
        <f>VLOOKUP($A12,tabCustoUnit[],COLUMN(CUSTO_GLOBAL[[#Headers],[Aviso Prévio Indenizado (API) e Reflexo do Aviso Prévio Indenizado]])-2,0)*($G12-$H12)</f>
        <v>3.9530273735532404</v>
      </c>
      <c r="AP12" s="22">
        <f>VLOOKUP($A12,tabCustoUnit[],COLUMN(CUSTO_GLOBAL[[#Headers],[Incidência do FGTS sobre API e Reflexo do API]])-2,0)*($G12-$H12)</f>
        <v>0.31624218988425928</v>
      </c>
      <c r="AQ12" s="22">
        <f>VLOOKUP($A12,tabCustoUnit[],COLUMN(CUSTO_GLOBAL[[#Headers],[Multa Rescisória do FGTS sobre o Aviso Prévio Indenizado]])-2,0)*($G12-$H12)</f>
        <v>0.12649687595370371</v>
      </c>
      <c r="AR12" s="22">
        <f>VLOOKUP($A12,tabCustoUnit[],COLUMN(CUSTO_GLOBAL[[#Headers],[Aviso Prévio Trabalhado - APT]])-2,0)*($G12-$H12)</f>
        <v>1.9731967500000003</v>
      </c>
      <c r="AS12" s="22">
        <f>VLOOKUP($A12,tabCustoUnit[],COLUMN(CUSTO_GLOBAL[[#Headers],[Incidência dos encargos do submódulo 2.1 sobre Aviso Prévio Trabalhado]])-2,0)*($G12-$H12)</f>
        <v>0.74586837150000018</v>
      </c>
      <c r="AT12" s="22">
        <f>VLOOKUP($A12,tabCustoUnit[],COLUMN(CUSTO_GLOBAL[[#Headers],[Multa Rescisória do FGTS]])-2,0)*($G12-$H12)</f>
        <v>17.238849066666663</v>
      </c>
      <c r="AU12" s="22">
        <f>VLOOKUP($A12,tabCustoUnit[],COLUMN(CUSTO_GLOBAL[[#Headers],[Indenização Adicional (Art. 9º da Lei nº 7.238/84)]])-2,0)*($G12-$H12)</f>
        <v>0.46980875</v>
      </c>
      <c r="AV12" s="22">
        <f>VLOOKUP($A12,tabCustoUnit[],COLUMN(CUSTO_GLOBAL[[#Headers],[MÓDULO 3 – PROVISÃO PARA RESCISÃO]])-2,0)*($G12-$H12)</f>
        <v>24.823489377557866</v>
      </c>
      <c r="AW12" s="22">
        <f>VLOOKUP($A12,tabCustoUnit[],COLUMN(CUSTO_GLOBAL[[#Headers],[Ausência por Doença]])-2,0)*($G12-$H12)</f>
        <v>4.7607286666666662</v>
      </c>
      <c r="AX12" s="22">
        <f>VLOOKUP($A12,tabCustoUnit[],COLUMN(CUSTO_GLOBAL[[#Headers],[Ausências Legais]])-2,0)*($G12-$H12)</f>
        <v>1.1432012916666665</v>
      </c>
      <c r="AY12" s="22">
        <f>VLOOKUP($A12,tabCustoUnit[],COLUMN(CUSTO_GLOBAL[[#Headers],[Licença Paternidade]])-2,0)*($G12-$H12)</f>
        <v>9.6310793749999998E-2</v>
      </c>
      <c r="AZ12" s="22">
        <f>VLOOKUP($A12,tabCustoUnit[],COLUMN(CUSTO_GLOBAL[[#Headers],[Ausência por Acidente de Trabalho]])-2,0)*($G12-$H12)</f>
        <v>0.1174521875</v>
      </c>
      <c r="BA12" s="22">
        <f>VLOOKUP($A12,tabCustoUnit[],COLUMN(CUSTO_GLOBAL[[#Headers],[Férias, Adicional de Férias e 13º  com empregada em gozo de Licença Maternidade]])-2,0)*($G12-$H12)</f>
        <v>0.73081361111111109</v>
      </c>
      <c r="BB12" s="22">
        <f>VLOOKUP($A12,tabCustoUnit[],COLUMN(CUSTO_GLOBAL[[#Headers],[Incidência do Submódulo 2.1 sobre Ausências Legais]])-2,0)*($G12-$H12)</f>
        <v>2.5887354761625003</v>
      </c>
      <c r="BC12" s="22">
        <f>VLOOKUP($A12,tabCustoUnit[],COLUMN(CUSTO_GLOBAL[[#Headers],[Submódulo 4.1]])-2,0)*($G12-$H12)</f>
        <v>9.4372420268569428</v>
      </c>
      <c r="BD12" s="22">
        <f>VLOOKUP($A12,tabCustoUnit[],COLUMN(CUSTO_GLOBAL[[#Headers],[Intervalo para Repouso ou Alimentação]])-2,0)*($G12-$H12)</f>
        <v>0</v>
      </c>
      <c r="BE12" s="22">
        <f>VLOOKUP($A12,tabCustoUnit[],COLUMN(CUSTO_GLOBAL[[#Headers],[Submódulo 4.2]])-2,0)*($G12-$H12)</f>
        <v>0</v>
      </c>
      <c r="BF12" s="22">
        <f>VLOOKUP($A12,tabCustoUnit[],COLUMN(CUSTO_GLOBAL[[#Headers],[Suspensão Temporária do Contrato de Trabalho]])-2,0)*($G12-$H12)</f>
        <v>0</v>
      </c>
      <c r="BG12" s="22">
        <f>VLOOKUP($A12,tabCustoUnit[],COLUMN(CUSTO_GLOBAL[[#Headers],[Submódulo 4.3]])-2,0)*($G12-$H12)</f>
        <v>0</v>
      </c>
      <c r="BH12" s="22">
        <f>VLOOKUP($A12,tabCustoUnit[],COLUMN(CUSTO_GLOBAL[[#Headers],[MÓDULO 4 – CUSTO DE REPOSIÇÃO DO PROFISSIONAL AUSENTE]])-2,0)*($G12-$H12)</f>
        <v>9.4372420268569428</v>
      </c>
      <c r="BI12" s="22">
        <f>VLOOKUP($A12,tabCustoUnit[],COLUMN(CUSTO_GLOBAL[[#Headers],[Uniformes e EPIs]])-2,0)*($G12-$H12)</f>
        <v>62.806666666666665</v>
      </c>
      <c r="BJ12" s="22">
        <f>VLOOKUP($A12,tabCustoUnit[],COLUMN(CUSTO_GLOBAL[[#Headers],[Materiais de Consumo]])-2,0)*($G12-$H12)</f>
        <v>12.108481690426325</v>
      </c>
      <c r="BK12" s="22">
        <f>VLOOKUP($A12,tabCustoUnit[],COLUMN(CUSTO_GLOBAL[[#Headers],[Máquinas e Equipamentos (depreciação)]])-2,0)*($G12-$H12)</f>
        <v>21.998657016417809</v>
      </c>
      <c r="BL12" s="22">
        <f>VLOOKUP($A12,tabCustoUnit[],COLUMN(CUSTO_GLOBAL[[#Headers],[Produtos de Limpeza e Materiais de Higiene Pessoal]])-2,0)*($G12-$H12)</f>
        <v>235.31984072022155</v>
      </c>
      <c r="BM12" s="22">
        <f>VLOOKUP($A12,tabCustoUnit[],COLUMN(CUSTO_GLOBAL[[#Headers],[Outros (especificar)]])-2,0)*($G12-$H12)</f>
        <v>0</v>
      </c>
      <c r="BN12" s="22">
        <f>VLOOKUP($A12,tabCustoUnit[],COLUMN(CUSTO_GLOBAL[[#Headers],[MÓDULO 5 – INSUMOS DIVERSOS]])-2,0)*($G12-$H12)</f>
        <v>332.23364609373232</v>
      </c>
      <c r="BO12" s="22">
        <f>VLOOKUP($A12,tabCustoUnit[],COLUMN(CUSTO_GLOBAL[[#Headers],[TOTAL MÓDULOS 1+2+3+4+5]])-2,0)*($G12-$H12)</f>
        <v>2103.1384999148136</v>
      </c>
      <c r="BP12" s="22">
        <f>VLOOKUP($A12,tabCustoUnit[],COLUMN(CUSTO_GLOBAL[[#Headers],[Custos Indiretos]])-2,0)*($G12-$H12)</f>
        <v>189.64880140242613</v>
      </c>
      <c r="BQ12" s="22">
        <f>VLOOKUP($A12,tabCustoUnit[],COLUMN(CUSTO_GLOBAL[[#Headers],[Lucro]])-2,0)*($G12-$H12)</f>
        <v>159.30499317803796</v>
      </c>
      <c r="BR12" s="26">
        <f>VLOOKUP($A12,tabCustoUnit[],COLUMN(CUSTO_GLOBAL[[#Headers],[COFINS]])-2,0)</f>
        <v>8.5633802816901458E-2</v>
      </c>
      <c r="BS12" s="26">
        <f>VLOOKUP($A12,tabCustoUnit[],COLUMN(CUSTO_GLOBAL[[#Headers],[PIS]])-2,0)</f>
        <v>1.8591549295774657E-2</v>
      </c>
      <c r="BT12" s="28">
        <f>VLOOKUP($A12,tabCustoUnit[],COLUMN(CUSTO_GLOBAL[[#Headers],[ISS]])-2,0)</f>
        <v>0.02</v>
      </c>
      <c r="BU12" s="26">
        <f>VLOOKUP($A12,tabCustoUnit[],COLUMN(CUSTO_GLOBAL[[#Headers],[ISS (Conversão Alíquota s/ fatura)]])-2,0)</f>
        <v>2.2535211267605645E-2</v>
      </c>
      <c r="BV12" s="26">
        <f>VLOOKUP($A12,tabCustoUnit[],COLUMN(CUSTO_GLOBAL[[#Headers],[Resumo de Alíquotas (PIS+CONFINS+ISS)]])-2,0)</f>
        <v>0.1125</v>
      </c>
      <c r="BW12" s="138">
        <f>VLOOKUP($A12,tabCustoUnit[],COLUMN(CUSTO_GLOBAL[[#Headers],[PIS + COFINS + ISS (Total Conversão  Alíquota s/ Fatura)]])-2,0)</f>
        <v>0.12676056338028174</v>
      </c>
      <c r="BX12" s="22">
        <f>VLOOKUP($A12,tabCustoUnit[],COLUMN(CUSTO_GLOBAL[[#Headers],[Valor dos Tributos (ISS, PIS, CONFINS)]])-2,0)*($G12-$H12)</f>
        <v>310.82860071066915</v>
      </c>
      <c r="BY12" s="22">
        <f>VLOOKUP($A12,tabCustoUnit[],COLUMN(CUSTO_GLOBAL[[#Headers],[MÓDULO 6 – CUSTOS INDIRETOS, TRIBUTOS E LUCRO]])-2,0)*($G12-$H12)</f>
        <v>659.7823952911333</v>
      </c>
      <c r="BZ12" s="22">
        <f>VLOOKUP($A12,tabCustoUnit[],COLUMN(CUSTO_GLOBAL[[#Headers],[CUSTO TOTAL MENSAL]])-2,0)*($G12-$H12)</f>
        <v>2762.9208952059471</v>
      </c>
      <c r="CA12" s="22">
        <f>CUSTO_GLOBAL[[#This Row],[CUSTO TOTAL MENSAL]]*12</f>
        <v>33155.050742471365</v>
      </c>
      <c r="CB12" s="24">
        <f>VLOOKUP($A12,tabCustoUnit[],COLUMN(CUSTO_GLOBAL[[#Headers],[ANO DA CCT]])-2,0)</f>
        <v>45658</v>
      </c>
      <c r="CC12" s="25" t="str">
        <f>VLOOKUP($A12,tabCustoUnit[],COLUMN(CUSTO_GLOBAL[[#Headers],[Nº DE PEDIDO DA CCT]])-2,0)</f>
        <v>-</v>
      </c>
      <c r="CD12" s="25" t="str">
        <f>VLOOKUP($A12,tabCustoUnit[],COLUMN(CUSTO_GLOBAL[[#Headers],[TERMO ADITIVO  ALTERAÇÃO DA CCT]])-2,0)</f>
        <v>-</v>
      </c>
      <c r="CF12" s="22"/>
      <c r="CG12" s="22"/>
    </row>
    <row r="13" spans="1:85" x14ac:dyDescent="0.25">
      <c r="A13" s="20" t="s">
        <v>1359</v>
      </c>
      <c r="B13" t="s">
        <v>19</v>
      </c>
      <c r="C13" t="s">
        <v>1247</v>
      </c>
      <c r="D13" t="s">
        <v>1015</v>
      </c>
      <c r="E13" s="20" t="s">
        <v>9</v>
      </c>
      <c r="F13" s="20" t="s">
        <v>10</v>
      </c>
      <c r="G13" s="20">
        <v>1</v>
      </c>
      <c r="H13" s="20">
        <v>0</v>
      </c>
      <c r="I13" s="21">
        <f>VLOOKUP($A13,tabCustoUnit[],COLUMN(CUSTO_GLOBAL[[#Headers],[Salário Base]])-2,0)*($G13-$H13)</f>
        <v>544.17999999999995</v>
      </c>
      <c r="J13" s="21">
        <f>VLOOKUP($A13,tabCustoUnit[],COLUMN(CUSTO_GLOBAL[[#Headers],[Adicional Periculosidade]])-2,0)*($G13-$H13)</f>
        <v>0</v>
      </c>
      <c r="K13" s="21">
        <f>VLOOKUP($A13,tabCustoUnit[],COLUMN(CUSTO_GLOBAL[[#Headers],[Adicional Insalubridade]])-2,0)*($G13-$H13)</f>
        <v>0</v>
      </c>
      <c r="L13" s="21">
        <f>VLOOKUP($A13,tabCustoUnit[],COLUMN(CUSTO_GLOBAL[[#Headers],[Adicional Noturno]])-2,0)*($G13-$H13)</f>
        <v>0</v>
      </c>
      <c r="M13" s="21">
        <f>VLOOKUP($A13,tabCustoUnit[],COLUMN(CUSTO_GLOBAL[[#Headers],[Adicional Motorista II (Gratificação)]])-2,0)*($G13-$H13)</f>
        <v>0</v>
      </c>
      <c r="N13" s="21">
        <f>VLOOKUP($A13,tabCustoUnit[],COLUMN(CUSTO_GLOBAL[[#Headers],[Adicional de Sobreaviso]])-2,0)*($G13-$H13)</f>
        <v>0</v>
      </c>
      <c r="O13" s="21">
        <f>VLOOKUP($A13,tabCustoUnit[],COLUMN(CUSTO_GLOBAL[[#Headers],[Horas Extras TI]])-2,0)*($G13-$H13)</f>
        <v>0</v>
      </c>
      <c r="P13" s="21">
        <f>VLOOKUP($A13,tabCustoUnit[],COLUMN(CUSTO_GLOBAL[[#Headers],[Adicional de Acúmulo de função]])-2,0)*($G13-$H13)</f>
        <v>19.590499999999999</v>
      </c>
      <c r="Q13" s="21">
        <f>VLOOKUP($A13,tabCustoUnit[],COLUMN(CUSTO_GLOBAL[[#Headers],[MODULO 1 - REMUNERAÇÃO ]])-2,0)*($G13-$H13)</f>
        <v>563.77049999999997</v>
      </c>
      <c r="R13" s="21">
        <f>VLOOKUP($A13,tabCustoUnit[],COLUMN(CUSTO_GLOBAL[[#Headers],[INSS]])-2,0)*($G13-$H13)</f>
        <v>112.75409999999999</v>
      </c>
      <c r="S13" s="21">
        <f>VLOOKUP($A13,tabCustoUnit[],COLUMN(CUSTO_GLOBAL[[#Headers],[SESI OU SESC]])-2,0)*($G13-$H13)</f>
        <v>8.4565574999999988</v>
      </c>
      <c r="T13" s="21">
        <f>VLOOKUP($A13,tabCustoUnit[],COLUMN(CUSTO_GLOBAL[[#Headers],[SENAI OU SENAC]])-2,0)*($G13-$H13)</f>
        <v>5.6377049999999995</v>
      </c>
      <c r="U13" s="21">
        <f>VLOOKUP($A13,tabCustoUnit[],COLUMN(CUSTO_GLOBAL[[#Headers],[INCRA]])-2,0)*($G13-$H13)</f>
        <v>1.1275409999999999</v>
      </c>
      <c r="V13" s="21">
        <f>VLOOKUP($A13,tabCustoUnit[],COLUMN(CUSTO_GLOBAL[[#Headers],[Salário Educação]])-2,0)*($G13-$H13)</f>
        <v>14.094262499999999</v>
      </c>
      <c r="W13" s="21">
        <f>VLOOKUP($A13,tabCustoUnit[],COLUMN(CUSTO_GLOBAL[[#Headers],[FGTS]])-2,0)*($G13-$H13)</f>
        <v>45.101639999999996</v>
      </c>
      <c r="X13" s="21">
        <f>VLOOKUP($A13,tabCustoUnit[],COLUMN(CUSTO_GLOBAL[[#Headers],[RAT Ajustado]])-2,0)*($G13-$H13)</f>
        <v>22.550819999999998</v>
      </c>
      <c r="Y13" s="21">
        <f>VLOOKUP($A13,tabCustoUnit[],COLUMN(CUSTO_GLOBAL[[#Headers],[SEBRAE]])-2,0)*($G13-$H13)</f>
        <v>3.3826229999999997</v>
      </c>
      <c r="Z13" s="21">
        <f>VLOOKUP($A13,tabCustoUnit[],COLUMN(CUSTO_GLOBAL[[#Headers],[Submódulo 2.1]])-2,0)*($G13-$H13)</f>
        <v>213.10524899999996</v>
      </c>
      <c r="AA13" s="21">
        <f>VLOOKUP($A13,tabCustoUnit[],COLUMN(CUSTO_GLOBAL[[#Headers],[13º salário (titular)]])-2,0)*($G13-$H13)</f>
        <v>46.980874999999997</v>
      </c>
      <c r="AB13" s="21">
        <f>VLOOKUP($A13,tabCustoUnit[],COLUMN(CUSTO_GLOBAL[[#Headers],[Férias e Adicional de Férias (titular)]])-2,0)*($G13-$H13)</f>
        <v>62.641166666666663</v>
      </c>
      <c r="AC13" s="21">
        <f>VLOOKUP($A13,tabCustoUnit[],COLUMN(CUSTO_GLOBAL[[#Headers],[Incidência do Submódulo 2.1 sobre 13º Salário, Férias e Adicional de Férias]])-2,0)*($G13-$H13)</f>
        <v>41.437131749999992</v>
      </c>
      <c r="AD13" s="21">
        <f>VLOOKUP($A13,tabCustoUnit[],COLUMN(CUSTO_GLOBAL[[#Headers],[Submódulo 2.2]])-2,0)*($G13-$H13)</f>
        <v>151.05917341666665</v>
      </c>
      <c r="AE13" s="22">
        <f>VLOOKUP($A13,tabCustoUnit[],COLUMN(CUSTO_GLOBAL[[#Headers],[Vale - Transporte (Descontada parcela do empregado)]])-2,0)*($G13-$H13)</f>
        <v>223.3492</v>
      </c>
      <c r="AF13" s="22">
        <f>VLOOKUP($A13,tabCustoUnit[],COLUMN(CUSTO_GLOBAL[[#Headers],[Vale - Alimentação (Descontada parcela do empregado)]])-2,0)*($G13-$H13)</f>
        <v>582</v>
      </c>
      <c r="AG13" s="22">
        <f>VLOOKUP($A13,tabCustoUnit[],COLUMN(CUSTO_GLOBAL[[#Headers],[Cesta Básica]])-2,0)*($G13-$H13)</f>
        <v>0</v>
      </c>
      <c r="AH13" s="22">
        <f>VLOOKUP($A13,tabCustoUnit[],COLUMN(CUSTO_GLOBAL[[#Headers],[PAF]])-2,0)*($G13-$H13)</f>
        <v>0</v>
      </c>
      <c r="AI13" s="22">
        <f>VLOOKUP($A13,tabCustoUnit[],COLUMN(CUSTO_GLOBAL[[#Headers],[PQM]])-2,0)*($G13-$H13)</f>
        <v>0</v>
      </c>
      <c r="AJ13" s="22">
        <v>0</v>
      </c>
      <c r="AK13" s="22">
        <f>VLOOKUP($A13,tabCustoUnit[],COLUMN(CUSTO_GLOBAL[[#Headers],[Seguro de Vida]])-2,0)*($G13-$H13)</f>
        <v>3.36</v>
      </c>
      <c r="AL13" s="22">
        <f>VLOOKUP($A13,tabCustoUnit[],COLUMN(CUSTO_GLOBAL[[#Headers],[Despesas de Viagem]])-2,0)*($G13-$H13)</f>
        <v>0</v>
      </c>
      <c r="AM13" s="22">
        <f>VLOOKUP($A13,tabCustoUnit[],COLUMN(CUSTO_GLOBAL[[#Headers],[Submódulo 2.3]])-2,0)*($G13-$H13)</f>
        <v>808.70920000000001</v>
      </c>
      <c r="AN13" s="22">
        <f>VLOOKUP($A13,tabCustoUnit[],COLUMN(CUSTO_GLOBAL[[#Headers],[MÓDULO 2 - Total Encargos e Benefícios mensais e diários]])-2,0)*($G13-$H13)</f>
        <v>1172.8736224166666</v>
      </c>
      <c r="AO13" s="22">
        <f>VLOOKUP($A13,tabCustoUnit[],COLUMN(CUSTO_GLOBAL[[#Headers],[Aviso Prévio Indenizado (API) e Reflexo do Aviso Prévio Indenizado]])-2,0)*($G13-$H13)</f>
        <v>3.9530273735532404</v>
      </c>
      <c r="AP13" s="22">
        <f>VLOOKUP($A13,tabCustoUnit[],COLUMN(CUSTO_GLOBAL[[#Headers],[Incidência do FGTS sobre API e Reflexo do API]])-2,0)*($G13-$H13)</f>
        <v>0.31624218988425928</v>
      </c>
      <c r="AQ13" s="22">
        <f>VLOOKUP($A13,tabCustoUnit[],COLUMN(CUSTO_GLOBAL[[#Headers],[Multa Rescisória do FGTS sobre o Aviso Prévio Indenizado]])-2,0)*($G13-$H13)</f>
        <v>0.12649687595370371</v>
      </c>
      <c r="AR13" s="22">
        <f>VLOOKUP($A13,tabCustoUnit[],COLUMN(CUSTO_GLOBAL[[#Headers],[Aviso Prévio Trabalhado - APT]])-2,0)*($G13-$H13)</f>
        <v>1.9731967500000003</v>
      </c>
      <c r="AS13" s="22">
        <f>VLOOKUP($A13,tabCustoUnit[],COLUMN(CUSTO_GLOBAL[[#Headers],[Incidência dos encargos do submódulo 2.1 sobre Aviso Prévio Trabalhado]])-2,0)*($G13-$H13)</f>
        <v>0.74586837150000018</v>
      </c>
      <c r="AT13" s="22">
        <f>VLOOKUP($A13,tabCustoUnit[],COLUMN(CUSTO_GLOBAL[[#Headers],[Multa Rescisória do FGTS]])-2,0)*($G13-$H13)</f>
        <v>17.238849066666663</v>
      </c>
      <c r="AU13" s="22">
        <f>VLOOKUP($A13,tabCustoUnit[],COLUMN(CUSTO_GLOBAL[[#Headers],[Indenização Adicional (Art. 9º da Lei nº 7.238/84)]])-2,0)*($G13-$H13)</f>
        <v>0.46980875</v>
      </c>
      <c r="AV13" s="22">
        <f>VLOOKUP($A13,tabCustoUnit[],COLUMN(CUSTO_GLOBAL[[#Headers],[MÓDULO 3 – PROVISÃO PARA RESCISÃO]])-2,0)*($G13-$H13)</f>
        <v>24.823489377557866</v>
      </c>
      <c r="AW13" s="22">
        <f>VLOOKUP($A13,tabCustoUnit[],COLUMN(CUSTO_GLOBAL[[#Headers],[Ausência por Doença]])-2,0)*($G13-$H13)</f>
        <v>4.7607286666666662</v>
      </c>
      <c r="AX13" s="22">
        <f>VLOOKUP($A13,tabCustoUnit[],COLUMN(CUSTO_GLOBAL[[#Headers],[Ausências Legais]])-2,0)*($G13-$H13)</f>
        <v>1.1432012916666665</v>
      </c>
      <c r="AY13" s="22">
        <f>VLOOKUP($A13,tabCustoUnit[],COLUMN(CUSTO_GLOBAL[[#Headers],[Licença Paternidade]])-2,0)*($G13-$H13)</f>
        <v>9.6310793749999998E-2</v>
      </c>
      <c r="AZ13" s="22">
        <f>VLOOKUP($A13,tabCustoUnit[],COLUMN(CUSTO_GLOBAL[[#Headers],[Ausência por Acidente de Trabalho]])-2,0)*($G13-$H13)</f>
        <v>0.1174521875</v>
      </c>
      <c r="BA13" s="22">
        <f>VLOOKUP($A13,tabCustoUnit[],COLUMN(CUSTO_GLOBAL[[#Headers],[Férias, Adicional de Férias e 13º  com empregada em gozo de Licença Maternidade]])-2,0)*($G13-$H13)</f>
        <v>0.73081361111111109</v>
      </c>
      <c r="BB13" s="22">
        <f>VLOOKUP($A13,tabCustoUnit[],COLUMN(CUSTO_GLOBAL[[#Headers],[Incidência do Submódulo 2.1 sobre Ausências Legais]])-2,0)*($G13-$H13)</f>
        <v>2.5887354761625003</v>
      </c>
      <c r="BC13" s="22">
        <f>VLOOKUP($A13,tabCustoUnit[],COLUMN(CUSTO_GLOBAL[[#Headers],[Submódulo 4.1]])-2,0)*($G13-$H13)</f>
        <v>9.4372420268569428</v>
      </c>
      <c r="BD13" s="22">
        <f>VLOOKUP($A13,tabCustoUnit[],COLUMN(CUSTO_GLOBAL[[#Headers],[Intervalo para Repouso ou Alimentação]])-2,0)*($G13-$H13)</f>
        <v>0</v>
      </c>
      <c r="BE13" s="22">
        <f>VLOOKUP($A13,tabCustoUnit[],COLUMN(CUSTO_GLOBAL[[#Headers],[Submódulo 4.2]])-2,0)*($G13-$H13)</f>
        <v>0</v>
      </c>
      <c r="BF13" s="22">
        <f>VLOOKUP($A13,tabCustoUnit[],COLUMN(CUSTO_GLOBAL[[#Headers],[Suspensão Temporária do Contrato de Trabalho]])-2,0)*($G13-$H13)</f>
        <v>0</v>
      </c>
      <c r="BG13" s="22">
        <f>VLOOKUP($A13,tabCustoUnit[],COLUMN(CUSTO_GLOBAL[[#Headers],[Submódulo 4.3]])-2,0)*($G13-$H13)</f>
        <v>0</v>
      </c>
      <c r="BH13" s="22">
        <f>VLOOKUP($A13,tabCustoUnit[],COLUMN(CUSTO_GLOBAL[[#Headers],[MÓDULO 4 – CUSTO DE REPOSIÇÃO DO PROFISSIONAL AUSENTE]])-2,0)*($G13-$H13)</f>
        <v>9.4372420268569428</v>
      </c>
      <c r="BI13" s="22">
        <f>VLOOKUP($A13,tabCustoUnit[],COLUMN(CUSTO_GLOBAL[[#Headers],[Uniformes e EPIs]])-2,0)*($G13-$H13)</f>
        <v>62.806666666666665</v>
      </c>
      <c r="BJ13" s="22">
        <f>VLOOKUP($A13,tabCustoUnit[],COLUMN(CUSTO_GLOBAL[[#Headers],[Materiais de Consumo]])-2,0)*($G13-$H13)</f>
        <v>12.108481690426325</v>
      </c>
      <c r="BK13" s="22">
        <f>VLOOKUP($A13,tabCustoUnit[],COLUMN(CUSTO_GLOBAL[[#Headers],[Máquinas e Equipamentos (depreciação)]])-2,0)*($G13-$H13)</f>
        <v>21.998657016417809</v>
      </c>
      <c r="BL13" s="22">
        <f>VLOOKUP($A13,tabCustoUnit[],COLUMN(CUSTO_GLOBAL[[#Headers],[Produtos de Limpeza e Materiais de Higiene Pessoal]])-2,0)*($G13-$H13)</f>
        <v>235.31984072022155</v>
      </c>
      <c r="BM13" s="22">
        <f>VLOOKUP($A13,tabCustoUnit[],COLUMN(CUSTO_GLOBAL[[#Headers],[Outros (especificar)]])-2,0)*($G13-$H13)</f>
        <v>0</v>
      </c>
      <c r="BN13" s="22">
        <f>VLOOKUP($A13,tabCustoUnit[],COLUMN(CUSTO_GLOBAL[[#Headers],[MÓDULO 5 – INSUMOS DIVERSOS]])-2,0)*($G13-$H13)</f>
        <v>332.23364609373232</v>
      </c>
      <c r="BO13" s="22">
        <f>VLOOKUP($A13,tabCustoUnit[],COLUMN(CUSTO_GLOBAL[[#Headers],[TOTAL MÓDULOS 1+2+3+4+5]])-2,0)*($G13-$H13)</f>
        <v>2103.1384999148136</v>
      </c>
      <c r="BP13" s="22">
        <f>VLOOKUP($A13,tabCustoUnit[],COLUMN(CUSTO_GLOBAL[[#Headers],[Custos Indiretos]])-2,0)*($G13-$H13)</f>
        <v>189.64880140242613</v>
      </c>
      <c r="BQ13" s="22">
        <f>VLOOKUP($A13,tabCustoUnit[],COLUMN(CUSTO_GLOBAL[[#Headers],[Lucro]])-2,0)*($G13-$H13)</f>
        <v>159.30499317803796</v>
      </c>
      <c r="BR13" s="26">
        <f>VLOOKUP($A13,tabCustoUnit[],COLUMN(CUSTO_GLOBAL[[#Headers],[COFINS]])-2,0)</f>
        <v>8.8629737609329504E-2</v>
      </c>
      <c r="BS13" s="26">
        <f>VLOOKUP($A13,tabCustoUnit[],COLUMN(CUSTO_GLOBAL[[#Headers],[PIS]])-2,0)</f>
        <v>1.9241982507288629E-2</v>
      </c>
      <c r="BT13" s="28">
        <f>VLOOKUP($A13,tabCustoUnit[],COLUMN(CUSTO_GLOBAL[[#Headers],[ISS]])-2,0)</f>
        <v>0.05</v>
      </c>
      <c r="BU13" s="26">
        <f>VLOOKUP($A13,tabCustoUnit[],COLUMN(CUSTO_GLOBAL[[#Headers],[ISS (Conversão Alíquota s/ fatura)]])-2,0)</f>
        <v>5.8309037900874633E-2</v>
      </c>
      <c r="BV13" s="26">
        <f>VLOOKUP($A13,tabCustoUnit[],COLUMN(CUSTO_GLOBAL[[#Headers],[Resumo de Alíquotas (PIS+CONFINS+ISS)]])-2,0)</f>
        <v>0.14250000000000002</v>
      </c>
      <c r="BW13" s="138">
        <f>VLOOKUP($A13,tabCustoUnit[],COLUMN(CUSTO_GLOBAL[[#Headers],[PIS + COFINS + ISS (Total Conversão  Alíquota s/ Fatura)]])-2,0)</f>
        <v>0.16618075801749277</v>
      </c>
      <c r="BX13" s="22">
        <f>VLOOKUP($A13,tabCustoUnit[],COLUMN(CUSTO_GLOBAL[[#Headers],[Valor dos Tributos (ISS, PIS, CONFINS)]])-2,0)*($G13-$H13)</f>
        <v>407.49055622807833</v>
      </c>
      <c r="BY13" s="22">
        <f>VLOOKUP($A13,tabCustoUnit[],COLUMN(CUSTO_GLOBAL[[#Headers],[MÓDULO 6 – CUSTOS INDIRETOS, TRIBUTOS E LUCRO]])-2,0)*($G13-$H13)</f>
        <v>756.44435080854237</v>
      </c>
      <c r="BZ13" s="22">
        <f>VLOOKUP($A13,tabCustoUnit[],COLUMN(CUSTO_GLOBAL[[#Headers],[CUSTO TOTAL MENSAL]])-2,0)*($G13-$H13)</f>
        <v>2859.5828507233559</v>
      </c>
      <c r="CA13" s="22">
        <f>CUSTO_GLOBAL[[#This Row],[CUSTO TOTAL MENSAL]]*12</f>
        <v>34314.994208680269</v>
      </c>
      <c r="CB13" s="24">
        <f>VLOOKUP($A13,tabCustoUnit[],COLUMN(CUSTO_GLOBAL[[#Headers],[ANO DA CCT]])-2,0)</f>
        <v>45658</v>
      </c>
      <c r="CC13" s="25" t="str">
        <f>VLOOKUP($A13,tabCustoUnit[],COLUMN(CUSTO_GLOBAL[[#Headers],[Nº DE PEDIDO DA CCT]])-2,0)</f>
        <v>-</v>
      </c>
      <c r="CD13" s="25" t="str">
        <f>VLOOKUP($A13,tabCustoUnit[],COLUMN(CUSTO_GLOBAL[[#Headers],[TERMO ADITIVO  ALTERAÇÃO DA CCT]])-2,0)</f>
        <v>-</v>
      </c>
      <c r="CF13" s="22"/>
      <c r="CG13" s="22"/>
    </row>
    <row r="14" spans="1:85" x14ac:dyDescent="0.25">
      <c r="A14" s="20" t="s">
        <v>1360</v>
      </c>
      <c r="B14" t="s">
        <v>20</v>
      </c>
      <c r="C14" t="s">
        <v>1244</v>
      </c>
      <c r="D14" t="s">
        <v>1023</v>
      </c>
      <c r="E14" s="20" t="s">
        <v>9</v>
      </c>
      <c r="F14" s="20" t="s">
        <v>10</v>
      </c>
      <c r="G14" s="20">
        <v>1</v>
      </c>
      <c r="H14" s="20">
        <v>0</v>
      </c>
      <c r="I14" s="21">
        <f>VLOOKUP($A14,tabCustoUnit[],COLUMN(CUSTO_GLOBAL[[#Headers],[Salário Base]])-2,0)*($G14-$H14)</f>
        <v>798.14</v>
      </c>
      <c r="J14" s="21">
        <f>VLOOKUP($A14,tabCustoUnit[],COLUMN(CUSTO_GLOBAL[[#Headers],[Adicional Periculosidade]])-2,0)*($G14-$H14)</f>
        <v>0</v>
      </c>
      <c r="K14" s="21">
        <f>VLOOKUP($A14,tabCustoUnit[],COLUMN(CUSTO_GLOBAL[[#Headers],[Adicional Insalubridade]])-2,0)*($G14-$H14)</f>
        <v>0</v>
      </c>
      <c r="L14" s="21">
        <f>VLOOKUP($A14,tabCustoUnit[],COLUMN(CUSTO_GLOBAL[[#Headers],[Adicional Noturno]])-2,0)*($G14-$H14)</f>
        <v>0</v>
      </c>
      <c r="M14" s="21">
        <f>VLOOKUP($A14,tabCustoUnit[],COLUMN(CUSTO_GLOBAL[[#Headers],[Adicional Motorista II (Gratificação)]])-2,0)*($G14-$H14)</f>
        <v>0</v>
      </c>
      <c r="N14" s="21">
        <f>VLOOKUP($A14,tabCustoUnit[],COLUMN(CUSTO_GLOBAL[[#Headers],[Adicional de Sobreaviso]])-2,0)*($G14-$H14)</f>
        <v>0</v>
      </c>
      <c r="O14" s="21">
        <f>VLOOKUP($A14,tabCustoUnit[],COLUMN(CUSTO_GLOBAL[[#Headers],[Horas Extras TI]])-2,0)*($G14-$H14)</f>
        <v>0</v>
      </c>
      <c r="P14" s="21">
        <f>VLOOKUP($A14,tabCustoUnit[],COLUMN(CUSTO_GLOBAL[[#Headers],[Adicional de Acúmulo de função]])-2,0)*($G14-$H14)</f>
        <v>26.120899999999999</v>
      </c>
      <c r="Q14" s="21">
        <f>VLOOKUP($A14,tabCustoUnit[],COLUMN(CUSTO_GLOBAL[[#Headers],[MODULO 1 - REMUNERAÇÃO ]])-2,0)*($G14-$H14)</f>
        <v>824.26089999999999</v>
      </c>
      <c r="R14" s="21">
        <f>VLOOKUP($A14,tabCustoUnit[],COLUMN(CUSTO_GLOBAL[[#Headers],[INSS]])-2,0)*($G14-$H14)</f>
        <v>164.85218</v>
      </c>
      <c r="S14" s="21">
        <f>VLOOKUP($A14,tabCustoUnit[],COLUMN(CUSTO_GLOBAL[[#Headers],[SESI OU SESC]])-2,0)*($G14-$H14)</f>
        <v>12.363913499999999</v>
      </c>
      <c r="T14" s="21">
        <f>VLOOKUP($A14,tabCustoUnit[],COLUMN(CUSTO_GLOBAL[[#Headers],[SENAI OU SENAC]])-2,0)*($G14-$H14)</f>
        <v>8.2426089999999999</v>
      </c>
      <c r="U14" s="21">
        <f>VLOOKUP($A14,tabCustoUnit[],COLUMN(CUSTO_GLOBAL[[#Headers],[INCRA]])-2,0)*($G14-$H14)</f>
        <v>1.6485217999999999</v>
      </c>
      <c r="V14" s="21">
        <f>VLOOKUP($A14,tabCustoUnit[],COLUMN(CUSTO_GLOBAL[[#Headers],[Salário Educação]])-2,0)*($G14-$H14)</f>
        <v>20.606522500000001</v>
      </c>
      <c r="W14" s="21">
        <f>VLOOKUP($A14,tabCustoUnit[],COLUMN(CUSTO_GLOBAL[[#Headers],[FGTS]])-2,0)*($G14-$H14)</f>
        <v>65.940871999999999</v>
      </c>
      <c r="X14" s="21">
        <f>VLOOKUP($A14,tabCustoUnit[],COLUMN(CUSTO_GLOBAL[[#Headers],[RAT Ajustado]])-2,0)*($G14-$H14)</f>
        <v>32.970435999999999</v>
      </c>
      <c r="Y14" s="21">
        <f>VLOOKUP($A14,tabCustoUnit[],COLUMN(CUSTO_GLOBAL[[#Headers],[SEBRAE]])-2,0)*($G14-$H14)</f>
        <v>4.9455654000000004</v>
      </c>
      <c r="Z14" s="21">
        <f>VLOOKUP($A14,tabCustoUnit[],COLUMN(CUSTO_GLOBAL[[#Headers],[Submódulo 2.1]])-2,0)*($G14-$H14)</f>
        <v>311.57062020000001</v>
      </c>
      <c r="AA14" s="21">
        <f>VLOOKUP($A14,tabCustoUnit[],COLUMN(CUSTO_GLOBAL[[#Headers],[13º salário (titular)]])-2,0)*($G14-$H14)</f>
        <v>68.688408333333328</v>
      </c>
      <c r="AB14" s="21">
        <f>VLOOKUP($A14,tabCustoUnit[],COLUMN(CUSTO_GLOBAL[[#Headers],[Férias e Adicional de Férias (titular)]])-2,0)*($G14-$H14)</f>
        <v>91.584544444444433</v>
      </c>
      <c r="AC14" s="21">
        <f>VLOOKUP($A14,tabCustoUnit[],COLUMN(CUSTO_GLOBAL[[#Headers],[Incidência do Submódulo 2.1 sobre 13º Salário, Férias e Adicional de Férias]])-2,0)*($G14-$H14)</f>
        <v>60.583176149999993</v>
      </c>
      <c r="AD14" s="21">
        <f>VLOOKUP($A14,tabCustoUnit[],COLUMN(CUSTO_GLOBAL[[#Headers],[Submódulo 2.2]])-2,0)*($G14-$H14)</f>
        <v>220.85612892777775</v>
      </c>
      <c r="AE14" s="22">
        <f>VLOOKUP($A14,tabCustoUnit[],COLUMN(CUSTO_GLOBAL[[#Headers],[Vale - Transporte (Descontada parcela do empregado)]])-2,0)*($G14-$H14)</f>
        <v>208.11160000000001</v>
      </c>
      <c r="AF14" s="22">
        <f>VLOOKUP($A14,tabCustoUnit[],COLUMN(CUSTO_GLOBAL[[#Headers],[Vale - Alimentação (Descontada parcela do empregado)]])-2,0)*($G14-$H14)</f>
        <v>582</v>
      </c>
      <c r="AG14" s="22">
        <f>VLOOKUP($A14,tabCustoUnit[],COLUMN(CUSTO_GLOBAL[[#Headers],[Cesta Básica]])-2,0)*($G14-$H14)</f>
        <v>0</v>
      </c>
      <c r="AH14" s="22">
        <f>VLOOKUP($A14,tabCustoUnit[],COLUMN(CUSTO_GLOBAL[[#Headers],[PAF]])-2,0)*($G14-$H14)</f>
        <v>0</v>
      </c>
      <c r="AI14" s="22">
        <f>VLOOKUP($A14,tabCustoUnit[],COLUMN(CUSTO_GLOBAL[[#Headers],[PQM]])-2,0)*($G14-$H14)</f>
        <v>0</v>
      </c>
      <c r="AJ14" s="22">
        <v>0</v>
      </c>
      <c r="AK14" s="22">
        <f>VLOOKUP($A14,tabCustoUnit[],COLUMN(CUSTO_GLOBAL[[#Headers],[Seguro de Vida]])-2,0)*($G14-$H14)</f>
        <v>3.36</v>
      </c>
      <c r="AL14" s="22">
        <f>VLOOKUP($A14,tabCustoUnit[],COLUMN(CUSTO_GLOBAL[[#Headers],[Despesas de Viagem]])-2,0)*($G14-$H14)</f>
        <v>0</v>
      </c>
      <c r="AM14" s="22">
        <f>VLOOKUP($A14,tabCustoUnit[],COLUMN(CUSTO_GLOBAL[[#Headers],[Submódulo 2.3]])-2,0)*($G14-$H14)</f>
        <v>793.47159999999997</v>
      </c>
      <c r="AN14" s="22">
        <f>VLOOKUP($A14,tabCustoUnit[],COLUMN(CUSTO_GLOBAL[[#Headers],[MÓDULO 2 - Total Encargos e Benefícios mensais e diários]])-2,0)*($G14-$H14)</f>
        <v>1325.8983491277777</v>
      </c>
      <c r="AO14" s="22">
        <f>VLOOKUP($A14,tabCustoUnit[],COLUMN(CUSTO_GLOBAL[[#Headers],[Aviso Prévio Indenizado (API) e Reflexo do Aviso Prévio Indenizado]])-2,0)*($G14-$H14)</f>
        <v>5.7795253576581791</v>
      </c>
      <c r="AP14" s="22">
        <f>VLOOKUP($A14,tabCustoUnit[],COLUMN(CUSTO_GLOBAL[[#Headers],[Incidência do FGTS sobre API e Reflexo do API]])-2,0)*($G14-$H14)</f>
        <v>0.46236202861265435</v>
      </c>
      <c r="AQ14" s="22">
        <f>VLOOKUP($A14,tabCustoUnit[],COLUMN(CUSTO_GLOBAL[[#Headers],[Multa Rescisória do FGTS sobre o Aviso Prévio Indenizado]])-2,0)*($G14-$H14)</f>
        <v>0.18494481144506175</v>
      </c>
      <c r="AR14" s="22">
        <f>VLOOKUP($A14,tabCustoUnit[],COLUMN(CUSTO_GLOBAL[[#Headers],[Aviso Prévio Trabalhado - APT]])-2,0)*($G14-$H14)</f>
        <v>2.8849131500000005</v>
      </c>
      <c r="AS14" s="22">
        <f>VLOOKUP($A14,tabCustoUnit[],COLUMN(CUSTO_GLOBAL[[#Headers],[Incidência dos encargos do submódulo 2.1 sobre Aviso Prévio Trabalhado]])-2,0)*($G14-$H14)</f>
        <v>1.0904971707000004</v>
      </c>
      <c r="AT14" s="22">
        <f>VLOOKUP($A14,tabCustoUnit[],COLUMN(CUSTO_GLOBAL[[#Headers],[Multa Rescisória do FGTS]])-2,0)*($G14-$H14)</f>
        <v>25.204066631111107</v>
      </c>
      <c r="AU14" s="22">
        <f>VLOOKUP($A14,tabCustoUnit[],COLUMN(CUSTO_GLOBAL[[#Headers],[Indenização Adicional (Art. 9º da Lei nº 7.238/84)]])-2,0)*($G14-$H14)</f>
        <v>0.6868840833333334</v>
      </c>
      <c r="AV14" s="22">
        <f>VLOOKUP($A14,tabCustoUnit[],COLUMN(CUSTO_GLOBAL[[#Headers],[MÓDULO 3 – PROVISÃO PARA RESCISÃO]])-2,0)*($G14-$H14)</f>
        <v>36.293193232860339</v>
      </c>
      <c r="AW14" s="22">
        <f>VLOOKUP($A14,tabCustoUnit[],COLUMN(CUSTO_GLOBAL[[#Headers],[Ausência por Doença]])-2,0)*($G14-$H14)</f>
        <v>6.9604253777777769</v>
      </c>
      <c r="AX14" s="22">
        <f>VLOOKUP($A14,tabCustoUnit[],COLUMN(CUSTO_GLOBAL[[#Headers],[Ausências Legais]])-2,0)*($G14-$H14)</f>
        <v>1.671417936111111</v>
      </c>
      <c r="AY14" s="22">
        <f>VLOOKUP($A14,tabCustoUnit[],COLUMN(CUSTO_GLOBAL[[#Headers],[Licença Paternidade]])-2,0)*($G14-$H14)</f>
        <v>0.14081123708333332</v>
      </c>
      <c r="AZ14" s="22">
        <f>VLOOKUP($A14,tabCustoUnit[],COLUMN(CUSTO_GLOBAL[[#Headers],[Ausência por Acidente de Trabalho]])-2,0)*($G14-$H14)</f>
        <v>0.17172102083333335</v>
      </c>
      <c r="BA14" s="22">
        <f>VLOOKUP($A14,tabCustoUnit[],COLUMN(CUSTO_GLOBAL[[#Headers],[Férias, Adicional de Férias e 13º  com empregada em gozo de Licença Maternidade]])-2,0)*($G14-$H14)</f>
        <v>1.0684863518518517</v>
      </c>
      <c r="BB14" s="22">
        <f>VLOOKUP($A14,tabCustoUnit[],COLUMN(CUSTO_GLOBAL[[#Headers],[Incidência do Submódulo 2.1 sobre Ausências Legais]])-2,0)*($G14-$H14)</f>
        <v>3.7848618071425006</v>
      </c>
      <c r="BC14" s="22">
        <f>VLOOKUP($A14,tabCustoUnit[],COLUMN(CUSTO_GLOBAL[[#Headers],[Submódulo 4.1]])-2,0)*($G14-$H14)</f>
        <v>13.797723730799909</v>
      </c>
      <c r="BD14" s="22">
        <f>VLOOKUP($A14,tabCustoUnit[],COLUMN(CUSTO_GLOBAL[[#Headers],[Intervalo para Repouso ou Alimentação]])-2,0)*($G14-$H14)</f>
        <v>0</v>
      </c>
      <c r="BE14" s="22">
        <f>VLOOKUP($A14,tabCustoUnit[],COLUMN(CUSTO_GLOBAL[[#Headers],[Submódulo 4.2]])-2,0)*($G14-$H14)</f>
        <v>0</v>
      </c>
      <c r="BF14" s="22">
        <f>VLOOKUP($A14,tabCustoUnit[],COLUMN(CUSTO_GLOBAL[[#Headers],[Suspensão Temporária do Contrato de Trabalho]])-2,0)*($G14-$H14)</f>
        <v>0</v>
      </c>
      <c r="BG14" s="22">
        <f>VLOOKUP($A14,tabCustoUnit[],COLUMN(CUSTO_GLOBAL[[#Headers],[Submódulo 4.3]])-2,0)*($G14-$H14)</f>
        <v>0</v>
      </c>
      <c r="BH14" s="22">
        <f>VLOOKUP($A14,tabCustoUnit[],COLUMN(CUSTO_GLOBAL[[#Headers],[MÓDULO 4 – CUSTO DE REPOSIÇÃO DO PROFISSIONAL AUSENTE]])-2,0)*($G14-$H14)</f>
        <v>13.797723730799909</v>
      </c>
      <c r="BI14" s="22">
        <f>VLOOKUP($A14,tabCustoUnit[],COLUMN(CUSTO_GLOBAL[[#Headers],[Uniformes e EPIs]])-2,0)*($G14-$H14)</f>
        <v>62.806666666666665</v>
      </c>
      <c r="BJ14" s="22">
        <f>VLOOKUP($A14,tabCustoUnit[],COLUMN(CUSTO_GLOBAL[[#Headers],[Materiais de Consumo]])-2,0)*($G14-$H14)</f>
        <v>17.759106479291944</v>
      </c>
      <c r="BK14" s="22">
        <f>VLOOKUP($A14,tabCustoUnit[],COLUMN(CUSTO_GLOBAL[[#Headers],[Máquinas e Equipamentos (depreciação)]])-2,0)*($G14-$H14)</f>
        <v>32.264696957412788</v>
      </c>
      <c r="BL14" s="22">
        <f>VLOOKUP($A14,tabCustoUnit[],COLUMN(CUSTO_GLOBAL[[#Headers],[Produtos de Limpeza e Materiais de Higiene Pessoal]])-2,0)*($G14-$H14)</f>
        <v>345.13576638965827</v>
      </c>
      <c r="BM14" s="22">
        <f>VLOOKUP($A14,tabCustoUnit[],COLUMN(CUSTO_GLOBAL[[#Headers],[Outros (especificar)]])-2,0)*($G14-$H14)</f>
        <v>0</v>
      </c>
      <c r="BN14" s="22">
        <f>VLOOKUP($A14,tabCustoUnit[],COLUMN(CUSTO_GLOBAL[[#Headers],[MÓDULO 5 – INSUMOS DIVERSOS]])-2,0)*($G14-$H14)</f>
        <v>457.96623649302967</v>
      </c>
      <c r="BO14" s="22">
        <f>VLOOKUP($A14,tabCustoUnit[],COLUMN(CUSTO_GLOBAL[[#Headers],[TOTAL MÓDULOS 1+2+3+4+5]])-2,0)*($G14-$H14)</f>
        <v>2658.2164025844677</v>
      </c>
      <c r="BP14" s="22">
        <f>VLOOKUP($A14,tabCustoUnit[],COLUMN(CUSTO_GLOBAL[[#Headers],[Custos Indiretos]])-2,0)*($G14-$H14)</f>
        <v>189.64880140242613</v>
      </c>
      <c r="BQ14" s="22">
        <f>VLOOKUP($A14,tabCustoUnit[],COLUMN(CUSTO_GLOBAL[[#Headers],[Lucro]])-2,0)*($G14-$H14)</f>
        <v>159.30499317803796</v>
      </c>
      <c r="BR14" s="26">
        <f>VLOOKUP($A14,tabCustoUnit[],COLUMN(CUSTO_GLOBAL[[#Headers],[COFINS]])-2,0)</f>
        <v>8.8629737609329504E-2</v>
      </c>
      <c r="BS14" s="26">
        <f>VLOOKUP($A14,tabCustoUnit[],COLUMN(CUSTO_GLOBAL[[#Headers],[PIS]])-2,0)</f>
        <v>1.9241982507288629E-2</v>
      </c>
      <c r="BT14" s="28">
        <f>VLOOKUP($A14,tabCustoUnit[],COLUMN(CUSTO_GLOBAL[[#Headers],[ISS]])-2,0)</f>
        <v>0.05</v>
      </c>
      <c r="BU14" s="26">
        <f>VLOOKUP($A14,tabCustoUnit[],COLUMN(CUSTO_GLOBAL[[#Headers],[ISS (Conversão Alíquota s/ fatura)]])-2,0)</f>
        <v>5.8309037900874633E-2</v>
      </c>
      <c r="BV14" s="26">
        <f>VLOOKUP($A14,tabCustoUnit[],COLUMN(CUSTO_GLOBAL[[#Headers],[Resumo de Alíquotas (PIS+CONFINS+ISS)]])-2,0)</f>
        <v>0.14250000000000002</v>
      </c>
      <c r="BW14" s="138">
        <f>VLOOKUP($A14,tabCustoUnit[],COLUMN(CUSTO_GLOBAL[[#Headers],[PIS + COFINS + ISS (Total Conversão  Alíquota s/ Fatura)]])-2,0)</f>
        <v>0.16618075801749277</v>
      </c>
      <c r="BX14" s="22">
        <f>VLOOKUP($A14,tabCustoUnit[],COLUMN(CUSTO_GLOBAL[[#Headers],[Valor dos Tributos (ISS, PIS, CONFINS)]])-2,0)*($G14-$H14)</f>
        <v>499.73382285248152</v>
      </c>
      <c r="BY14" s="22">
        <f>VLOOKUP($A14,tabCustoUnit[],COLUMN(CUSTO_GLOBAL[[#Headers],[MÓDULO 6 – CUSTOS INDIRETOS, TRIBUTOS E LUCRO]])-2,0)*($G14-$H14)</f>
        <v>848.68761743294567</v>
      </c>
      <c r="BZ14" s="22">
        <f>VLOOKUP($A14,tabCustoUnit[],COLUMN(CUSTO_GLOBAL[[#Headers],[CUSTO TOTAL MENSAL]])-2,0)*($G14-$H14)</f>
        <v>3506.9040200174131</v>
      </c>
      <c r="CA14" s="22">
        <f>CUSTO_GLOBAL[[#This Row],[CUSTO TOTAL MENSAL]]*12</f>
        <v>42082.848240208958</v>
      </c>
      <c r="CB14" s="24">
        <f>VLOOKUP($A14,tabCustoUnit[],COLUMN(CUSTO_GLOBAL[[#Headers],[ANO DA CCT]])-2,0)</f>
        <v>45658</v>
      </c>
      <c r="CC14" s="25" t="str">
        <f>VLOOKUP($A14,tabCustoUnit[],COLUMN(CUSTO_GLOBAL[[#Headers],[Nº DE PEDIDO DA CCT]])-2,0)</f>
        <v>-</v>
      </c>
      <c r="CD14" s="25" t="str">
        <f>VLOOKUP($A14,tabCustoUnit[],COLUMN(CUSTO_GLOBAL[[#Headers],[TERMO ADITIVO  ALTERAÇÃO DA CCT]])-2,0)</f>
        <v>-</v>
      </c>
      <c r="CF14" s="22"/>
      <c r="CG14" s="22"/>
    </row>
    <row r="15" spans="1:85" x14ac:dyDescent="0.25">
      <c r="A15" s="20" t="s">
        <v>1361</v>
      </c>
      <c r="B15" t="s">
        <v>21</v>
      </c>
      <c r="C15" t="s">
        <v>1244</v>
      </c>
      <c r="D15" t="s">
        <v>1023</v>
      </c>
      <c r="E15" s="20" t="s">
        <v>9</v>
      </c>
      <c r="F15" s="20" t="s">
        <v>10</v>
      </c>
      <c r="G15" s="20">
        <v>1</v>
      </c>
      <c r="H15" s="20">
        <v>0</v>
      </c>
      <c r="I15" s="21">
        <f>VLOOKUP($A15,tabCustoUnit[],COLUMN(CUSTO_GLOBAL[[#Headers],[Salário Base]])-2,0)*($G15-$H15)</f>
        <v>798.14</v>
      </c>
      <c r="J15" s="21">
        <f>VLOOKUP($A15,tabCustoUnit[],COLUMN(CUSTO_GLOBAL[[#Headers],[Adicional Periculosidade]])-2,0)*($G15-$H15)</f>
        <v>0</v>
      </c>
      <c r="K15" s="21">
        <f>VLOOKUP($A15,tabCustoUnit[],COLUMN(CUSTO_GLOBAL[[#Headers],[Adicional Insalubridade]])-2,0)*($G15-$H15)</f>
        <v>0</v>
      </c>
      <c r="L15" s="21">
        <f>VLOOKUP($A15,tabCustoUnit[],COLUMN(CUSTO_GLOBAL[[#Headers],[Adicional Noturno]])-2,0)*($G15-$H15)</f>
        <v>0</v>
      </c>
      <c r="M15" s="21">
        <f>VLOOKUP($A15,tabCustoUnit[],COLUMN(CUSTO_GLOBAL[[#Headers],[Adicional Motorista II (Gratificação)]])-2,0)*($G15-$H15)</f>
        <v>0</v>
      </c>
      <c r="N15" s="21">
        <f>VLOOKUP($A15,tabCustoUnit[],COLUMN(CUSTO_GLOBAL[[#Headers],[Adicional de Sobreaviso]])-2,0)*($G15-$H15)</f>
        <v>0</v>
      </c>
      <c r="O15" s="21">
        <f>VLOOKUP($A15,tabCustoUnit[],COLUMN(CUSTO_GLOBAL[[#Headers],[Horas Extras TI]])-2,0)*($G15-$H15)</f>
        <v>0</v>
      </c>
      <c r="P15" s="21">
        <f>VLOOKUP($A15,tabCustoUnit[],COLUMN(CUSTO_GLOBAL[[#Headers],[Adicional de Acúmulo de função]])-2,0)*($G15-$H15)</f>
        <v>26.120899999999999</v>
      </c>
      <c r="Q15" s="21">
        <f>VLOOKUP($A15,tabCustoUnit[],COLUMN(CUSTO_GLOBAL[[#Headers],[MODULO 1 - REMUNERAÇÃO ]])-2,0)*($G15-$H15)</f>
        <v>824.26089999999999</v>
      </c>
      <c r="R15" s="21">
        <f>VLOOKUP($A15,tabCustoUnit[],COLUMN(CUSTO_GLOBAL[[#Headers],[INSS]])-2,0)*($G15-$H15)</f>
        <v>164.85218</v>
      </c>
      <c r="S15" s="21">
        <f>VLOOKUP($A15,tabCustoUnit[],COLUMN(CUSTO_GLOBAL[[#Headers],[SESI OU SESC]])-2,0)*($G15-$H15)</f>
        <v>12.363913499999999</v>
      </c>
      <c r="T15" s="21">
        <f>VLOOKUP($A15,tabCustoUnit[],COLUMN(CUSTO_GLOBAL[[#Headers],[SENAI OU SENAC]])-2,0)*($G15-$H15)</f>
        <v>8.2426089999999999</v>
      </c>
      <c r="U15" s="21">
        <f>VLOOKUP($A15,tabCustoUnit[],COLUMN(CUSTO_GLOBAL[[#Headers],[INCRA]])-2,0)*($G15-$H15)</f>
        <v>1.6485217999999999</v>
      </c>
      <c r="V15" s="21">
        <f>VLOOKUP($A15,tabCustoUnit[],COLUMN(CUSTO_GLOBAL[[#Headers],[Salário Educação]])-2,0)*($G15-$H15)</f>
        <v>20.606522500000001</v>
      </c>
      <c r="W15" s="21">
        <f>VLOOKUP($A15,tabCustoUnit[],COLUMN(CUSTO_GLOBAL[[#Headers],[FGTS]])-2,0)*($G15-$H15)</f>
        <v>65.940871999999999</v>
      </c>
      <c r="X15" s="21">
        <f>VLOOKUP($A15,tabCustoUnit[],COLUMN(CUSTO_GLOBAL[[#Headers],[RAT Ajustado]])-2,0)*($G15-$H15)</f>
        <v>32.970435999999999</v>
      </c>
      <c r="Y15" s="21">
        <f>VLOOKUP($A15,tabCustoUnit[],COLUMN(CUSTO_GLOBAL[[#Headers],[SEBRAE]])-2,0)*($G15-$H15)</f>
        <v>4.9455654000000004</v>
      </c>
      <c r="Z15" s="21">
        <f>VLOOKUP($A15,tabCustoUnit[],COLUMN(CUSTO_GLOBAL[[#Headers],[Submódulo 2.1]])-2,0)*($G15-$H15)</f>
        <v>311.57062020000001</v>
      </c>
      <c r="AA15" s="21">
        <f>VLOOKUP($A15,tabCustoUnit[],COLUMN(CUSTO_GLOBAL[[#Headers],[13º salário (titular)]])-2,0)*($G15-$H15)</f>
        <v>68.688408333333328</v>
      </c>
      <c r="AB15" s="21">
        <f>VLOOKUP($A15,tabCustoUnit[],COLUMN(CUSTO_GLOBAL[[#Headers],[Férias e Adicional de Férias (titular)]])-2,0)*($G15-$H15)</f>
        <v>91.584544444444433</v>
      </c>
      <c r="AC15" s="21">
        <f>VLOOKUP($A15,tabCustoUnit[],COLUMN(CUSTO_GLOBAL[[#Headers],[Incidência do Submódulo 2.1 sobre 13º Salário, Férias e Adicional de Férias]])-2,0)*($G15-$H15)</f>
        <v>60.583176149999993</v>
      </c>
      <c r="AD15" s="21">
        <f>VLOOKUP($A15,tabCustoUnit[],COLUMN(CUSTO_GLOBAL[[#Headers],[Submódulo 2.2]])-2,0)*($G15-$H15)</f>
        <v>220.85612892777775</v>
      </c>
      <c r="AE15" s="22">
        <f>VLOOKUP($A15,tabCustoUnit[],COLUMN(CUSTO_GLOBAL[[#Headers],[Vale - Transporte (Descontada parcela do empregado)]])-2,0)*($G15-$H15)</f>
        <v>208.11160000000001</v>
      </c>
      <c r="AF15" s="22">
        <f>VLOOKUP($A15,tabCustoUnit[],COLUMN(CUSTO_GLOBAL[[#Headers],[Vale - Alimentação (Descontada parcela do empregado)]])-2,0)*($G15-$H15)</f>
        <v>582</v>
      </c>
      <c r="AG15" s="22">
        <f>VLOOKUP($A15,tabCustoUnit[],COLUMN(CUSTO_GLOBAL[[#Headers],[Cesta Básica]])-2,0)*($G15-$H15)</f>
        <v>0</v>
      </c>
      <c r="AH15" s="22">
        <f>VLOOKUP($A15,tabCustoUnit[],COLUMN(CUSTO_GLOBAL[[#Headers],[PAF]])-2,0)*($G15-$H15)</f>
        <v>0</v>
      </c>
      <c r="AI15" s="22">
        <f>VLOOKUP($A15,tabCustoUnit[],COLUMN(CUSTO_GLOBAL[[#Headers],[PQM]])-2,0)*($G15-$H15)</f>
        <v>0</v>
      </c>
      <c r="AJ15" s="22">
        <v>0</v>
      </c>
      <c r="AK15" s="22">
        <f>VLOOKUP($A15,tabCustoUnit[],COLUMN(CUSTO_GLOBAL[[#Headers],[Seguro de Vida]])-2,0)*($G15-$H15)</f>
        <v>3.36</v>
      </c>
      <c r="AL15" s="22">
        <f>VLOOKUP($A15,tabCustoUnit[],COLUMN(CUSTO_GLOBAL[[#Headers],[Despesas de Viagem]])-2,0)*($G15-$H15)</f>
        <v>0</v>
      </c>
      <c r="AM15" s="22">
        <f>VLOOKUP($A15,tabCustoUnit[],COLUMN(CUSTO_GLOBAL[[#Headers],[Submódulo 2.3]])-2,0)*($G15-$H15)</f>
        <v>793.47159999999997</v>
      </c>
      <c r="AN15" s="22">
        <f>VLOOKUP($A15,tabCustoUnit[],COLUMN(CUSTO_GLOBAL[[#Headers],[MÓDULO 2 - Total Encargos e Benefícios mensais e diários]])-2,0)*($G15-$H15)</f>
        <v>1325.8983491277777</v>
      </c>
      <c r="AO15" s="22">
        <f>VLOOKUP($A15,tabCustoUnit[],COLUMN(CUSTO_GLOBAL[[#Headers],[Aviso Prévio Indenizado (API) e Reflexo do Aviso Prévio Indenizado]])-2,0)*($G15-$H15)</f>
        <v>5.7795253576581791</v>
      </c>
      <c r="AP15" s="22">
        <f>VLOOKUP($A15,tabCustoUnit[],COLUMN(CUSTO_GLOBAL[[#Headers],[Incidência do FGTS sobre API e Reflexo do API]])-2,0)*($G15-$H15)</f>
        <v>0.46236202861265435</v>
      </c>
      <c r="AQ15" s="22">
        <f>VLOOKUP($A15,tabCustoUnit[],COLUMN(CUSTO_GLOBAL[[#Headers],[Multa Rescisória do FGTS sobre o Aviso Prévio Indenizado]])-2,0)*($G15-$H15)</f>
        <v>0.18494481144506175</v>
      </c>
      <c r="AR15" s="22">
        <f>VLOOKUP($A15,tabCustoUnit[],COLUMN(CUSTO_GLOBAL[[#Headers],[Aviso Prévio Trabalhado - APT]])-2,0)*($G15-$H15)</f>
        <v>2.8849131500000005</v>
      </c>
      <c r="AS15" s="22">
        <f>VLOOKUP($A15,tabCustoUnit[],COLUMN(CUSTO_GLOBAL[[#Headers],[Incidência dos encargos do submódulo 2.1 sobre Aviso Prévio Trabalhado]])-2,0)*($G15-$H15)</f>
        <v>1.0904971707000004</v>
      </c>
      <c r="AT15" s="22">
        <f>VLOOKUP($A15,tabCustoUnit[],COLUMN(CUSTO_GLOBAL[[#Headers],[Multa Rescisória do FGTS]])-2,0)*($G15-$H15)</f>
        <v>25.204066631111107</v>
      </c>
      <c r="AU15" s="22">
        <f>VLOOKUP($A15,tabCustoUnit[],COLUMN(CUSTO_GLOBAL[[#Headers],[Indenização Adicional (Art. 9º da Lei nº 7.238/84)]])-2,0)*($G15-$H15)</f>
        <v>0.6868840833333334</v>
      </c>
      <c r="AV15" s="22">
        <f>VLOOKUP($A15,tabCustoUnit[],COLUMN(CUSTO_GLOBAL[[#Headers],[MÓDULO 3 – PROVISÃO PARA RESCISÃO]])-2,0)*($G15-$H15)</f>
        <v>36.293193232860339</v>
      </c>
      <c r="AW15" s="22">
        <f>VLOOKUP($A15,tabCustoUnit[],COLUMN(CUSTO_GLOBAL[[#Headers],[Ausência por Doença]])-2,0)*($G15-$H15)</f>
        <v>6.9604253777777769</v>
      </c>
      <c r="AX15" s="22">
        <f>VLOOKUP($A15,tabCustoUnit[],COLUMN(CUSTO_GLOBAL[[#Headers],[Ausências Legais]])-2,0)*($G15-$H15)</f>
        <v>1.671417936111111</v>
      </c>
      <c r="AY15" s="22">
        <f>VLOOKUP($A15,tabCustoUnit[],COLUMN(CUSTO_GLOBAL[[#Headers],[Licença Paternidade]])-2,0)*($G15-$H15)</f>
        <v>0.14081123708333332</v>
      </c>
      <c r="AZ15" s="22">
        <f>VLOOKUP($A15,tabCustoUnit[],COLUMN(CUSTO_GLOBAL[[#Headers],[Ausência por Acidente de Trabalho]])-2,0)*($G15-$H15)</f>
        <v>0.17172102083333335</v>
      </c>
      <c r="BA15" s="22">
        <f>VLOOKUP($A15,tabCustoUnit[],COLUMN(CUSTO_GLOBAL[[#Headers],[Férias, Adicional de Férias e 13º  com empregada em gozo de Licença Maternidade]])-2,0)*($G15-$H15)</f>
        <v>1.0684863518518517</v>
      </c>
      <c r="BB15" s="22">
        <f>VLOOKUP($A15,tabCustoUnit[],COLUMN(CUSTO_GLOBAL[[#Headers],[Incidência do Submódulo 2.1 sobre Ausências Legais]])-2,0)*($G15-$H15)</f>
        <v>3.7848618071425006</v>
      </c>
      <c r="BC15" s="22">
        <f>VLOOKUP($A15,tabCustoUnit[],COLUMN(CUSTO_GLOBAL[[#Headers],[Submódulo 4.1]])-2,0)*($G15-$H15)</f>
        <v>13.797723730799909</v>
      </c>
      <c r="BD15" s="22">
        <f>VLOOKUP($A15,tabCustoUnit[],COLUMN(CUSTO_GLOBAL[[#Headers],[Intervalo para Repouso ou Alimentação]])-2,0)*($G15-$H15)</f>
        <v>0</v>
      </c>
      <c r="BE15" s="22">
        <f>VLOOKUP($A15,tabCustoUnit[],COLUMN(CUSTO_GLOBAL[[#Headers],[Submódulo 4.2]])-2,0)*($G15-$H15)</f>
        <v>0</v>
      </c>
      <c r="BF15" s="22">
        <f>VLOOKUP($A15,tabCustoUnit[],COLUMN(CUSTO_GLOBAL[[#Headers],[Suspensão Temporária do Contrato de Trabalho]])-2,0)*($G15-$H15)</f>
        <v>0</v>
      </c>
      <c r="BG15" s="22">
        <f>VLOOKUP($A15,tabCustoUnit[],COLUMN(CUSTO_GLOBAL[[#Headers],[Submódulo 4.3]])-2,0)*($G15-$H15)</f>
        <v>0</v>
      </c>
      <c r="BH15" s="22">
        <f>VLOOKUP($A15,tabCustoUnit[],COLUMN(CUSTO_GLOBAL[[#Headers],[MÓDULO 4 – CUSTO DE REPOSIÇÃO DO PROFISSIONAL AUSENTE]])-2,0)*($G15-$H15)</f>
        <v>13.797723730799909</v>
      </c>
      <c r="BI15" s="22">
        <f>VLOOKUP($A15,tabCustoUnit[],COLUMN(CUSTO_GLOBAL[[#Headers],[Uniformes e EPIs]])-2,0)*($G15-$H15)</f>
        <v>62.806666666666665</v>
      </c>
      <c r="BJ15" s="22">
        <f>VLOOKUP($A15,tabCustoUnit[],COLUMN(CUSTO_GLOBAL[[#Headers],[Materiais de Consumo]])-2,0)*($G15-$H15)</f>
        <v>17.759106479291944</v>
      </c>
      <c r="BK15" s="22">
        <f>VLOOKUP($A15,tabCustoUnit[],COLUMN(CUSTO_GLOBAL[[#Headers],[Máquinas e Equipamentos (depreciação)]])-2,0)*($G15-$H15)</f>
        <v>32.264696957412788</v>
      </c>
      <c r="BL15" s="22">
        <f>VLOOKUP($A15,tabCustoUnit[],COLUMN(CUSTO_GLOBAL[[#Headers],[Produtos de Limpeza e Materiais de Higiene Pessoal]])-2,0)*($G15-$H15)</f>
        <v>345.13576638965827</v>
      </c>
      <c r="BM15" s="22">
        <f>VLOOKUP($A15,tabCustoUnit[],COLUMN(CUSTO_GLOBAL[[#Headers],[Outros (especificar)]])-2,0)*($G15-$H15)</f>
        <v>0</v>
      </c>
      <c r="BN15" s="22">
        <f>VLOOKUP($A15,tabCustoUnit[],COLUMN(CUSTO_GLOBAL[[#Headers],[MÓDULO 5 – INSUMOS DIVERSOS]])-2,0)*($G15-$H15)</f>
        <v>457.96623649302967</v>
      </c>
      <c r="BO15" s="22">
        <f>VLOOKUP($A15,tabCustoUnit[],COLUMN(CUSTO_GLOBAL[[#Headers],[TOTAL MÓDULOS 1+2+3+4+5]])-2,0)*($G15-$H15)</f>
        <v>2658.2164025844677</v>
      </c>
      <c r="BP15" s="22">
        <f>VLOOKUP($A15,tabCustoUnit[],COLUMN(CUSTO_GLOBAL[[#Headers],[Custos Indiretos]])-2,0)*($G15-$H15)</f>
        <v>189.64880140242613</v>
      </c>
      <c r="BQ15" s="22">
        <f>VLOOKUP($A15,tabCustoUnit[],COLUMN(CUSTO_GLOBAL[[#Headers],[Lucro]])-2,0)*($G15-$H15)</f>
        <v>159.30499317803796</v>
      </c>
      <c r="BR15" s="26">
        <f>VLOOKUP($A15,tabCustoUnit[],COLUMN(CUSTO_GLOBAL[[#Headers],[COFINS]])-2,0)</f>
        <v>8.6609686609686695E-2</v>
      </c>
      <c r="BS15" s="26">
        <f>VLOOKUP($A15,tabCustoUnit[],COLUMN(CUSTO_GLOBAL[[#Headers],[PIS]])-2,0)</f>
        <v>1.880341880341882E-2</v>
      </c>
      <c r="BT15" s="28">
        <f>VLOOKUP($A15,tabCustoUnit[],COLUMN(CUSTO_GLOBAL[[#Headers],[ISS]])-2,0)</f>
        <v>0.03</v>
      </c>
      <c r="BU15" s="26">
        <f>VLOOKUP($A15,tabCustoUnit[],COLUMN(CUSTO_GLOBAL[[#Headers],[ISS (Conversão Alíquota s/ fatura)]])-2,0)</f>
        <v>3.4188034188034219E-2</v>
      </c>
      <c r="BV15" s="26">
        <f>VLOOKUP($A15,tabCustoUnit[],COLUMN(CUSTO_GLOBAL[[#Headers],[Resumo de Alíquotas (PIS+CONFINS+ISS)]])-2,0)</f>
        <v>0.1225</v>
      </c>
      <c r="BW15" s="138">
        <f>VLOOKUP($A15,tabCustoUnit[],COLUMN(CUSTO_GLOBAL[[#Headers],[PIS + COFINS + ISS (Total Conversão  Alíquota s/ Fatura)]])-2,0)</f>
        <v>0.13960113960113973</v>
      </c>
      <c r="BX15" s="22">
        <f>VLOOKUP($A15,tabCustoUnit[],COLUMN(CUSTO_GLOBAL[[#Headers],[Valor dos Tributos (ISS, PIS, CONFINS)]])-2,0)*($G15-$H15)</f>
        <v>419.80438649880853</v>
      </c>
      <c r="BY15" s="22">
        <f>VLOOKUP($A15,tabCustoUnit[],COLUMN(CUSTO_GLOBAL[[#Headers],[MÓDULO 6 – CUSTOS INDIRETOS, TRIBUTOS E LUCRO]])-2,0)*($G15-$H15)</f>
        <v>768.75818107927262</v>
      </c>
      <c r="BZ15" s="22">
        <f>VLOOKUP($A15,tabCustoUnit[],COLUMN(CUSTO_GLOBAL[[#Headers],[CUSTO TOTAL MENSAL]])-2,0)*($G15-$H15)</f>
        <v>3426.9745836637403</v>
      </c>
      <c r="CA15" s="22">
        <f>CUSTO_GLOBAL[[#This Row],[CUSTO TOTAL MENSAL]]*12</f>
        <v>41123.69500396488</v>
      </c>
      <c r="CB15" s="24">
        <f>VLOOKUP($A15,tabCustoUnit[],COLUMN(CUSTO_GLOBAL[[#Headers],[ANO DA CCT]])-2,0)</f>
        <v>45658</v>
      </c>
      <c r="CC15" s="25" t="str">
        <f>VLOOKUP($A15,tabCustoUnit[],COLUMN(CUSTO_GLOBAL[[#Headers],[Nº DE PEDIDO DA CCT]])-2,0)</f>
        <v>-</v>
      </c>
      <c r="CD15" s="25" t="str">
        <f>VLOOKUP($A15,tabCustoUnit[],COLUMN(CUSTO_GLOBAL[[#Headers],[TERMO ADITIVO  ALTERAÇÃO DA CCT]])-2,0)</f>
        <v>-</v>
      </c>
      <c r="CF15" s="22"/>
      <c r="CG15" s="22"/>
    </row>
    <row r="16" spans="1:85" x14ac:dyDescent="0.25">
      <c r="A16" s="20" t="s">
        <v>1362</v>
      </c>
      <c r="B16" t="s">
        <v>22</v>
      </c>
      <c r="C16" t="s">
        <v>1244</v>
      </c>
      <c r="D16" t="s">
        <v>1000</v>
      </c>
      <c r="E16" s="20" t="s">
        <v>9</v>
      </c>
      <c r="F16" s="20" t="s">
        <v>10</v>
      </c>
      <c r="G16" s="20">
        <v>1</v>
      </c>
      <c r="H16" s="20">
        <v>0</v>
      </c>
      <c r="I16" s="21">
        <f>VLOOKUP($A16,tabCustoUnit[],COLUMN(CUSTO_GLOBAL[[#Headers],[Salário Base]])-2,0)*($G16-$H16)</f>
        <v>798.14</v>
      </c>
      <c r="J16" s="21">
        <f>VLOOKUP($A16,tabCustoUnit[],COLUMN(CUSTO_GLOBAL[[#Headers],[Adicional Periculosidade]])-2,0)*($G16-$H16)</f>
        <v>0</v>
      </c>
      <c r="K16" s="21">
        <f>VLOOKUP($A16,tabCustoUnit[],COLUMN(CUSTO_GLOBAL[[#Headers],[Adicional Insalubridade]])-2,0)*($G16-$H16)</f>
        <v>0</v>
      </c>
      <c r="L16" s="21">
        <f>VLOOKUP($A16,tabCustoUnit[],COLUMN(CUSTO_GLOBAL[[#Headers],[Adicional Noturno]])-2,0)*($G16-$H16)</f>
        <v>0</v>
      </c>
      <c r="M16" s="21">
        <f>VLOOKUP($A16,tabCustoUnit[],COLUMN(CUSTO_GLOBAL[[#Headers],[Adicional Motorista II (Gratificação)]])-2,0)*($G16-$H16)</f>
        <v>0</v>
      </c>
      <c r="N16" s="21">
        <f>VLOOKUP($A16,tabCustoUnit[],COLUMN(CUSTO_GLOBAL[[#Headers],[Adicional de Sobreaviso]])-2,0)*($G16-$H16)</f>
        <v>0</v>
      </c>
      <c r="O16" s="21">
        <f>VLOOKUP($A16,tabCustoUnit[],COLUMN(CUSTO_GLOBAL[[#Headers],[Horas Extras TI]])-2,0)*($G16-$H16)</f>
        <v>0</v>
      </c>
      <c r="P16" s="21">
        <f>VLOOKUP($A16,tabCustoUnit[],COLUMN(CUSTO_GLOBAL[[#Headers],[Adicional de Acúmulo de função]])-2,0)*($G16-$H16)</f>
        <v>26.120899999999999</v>
      </c>
      <c r="Q16" s="21">
        <f>VLOOKUP($A16,tabCustoUnit[],COLUMN(CUSTO_GLOBAL[[#Headers],[MODULO 1 - REMUNERAÇÃO ]])-2,0)*($G16-$H16)</f>
        <v>824.26089999999999</v>
      </c>
      <c r="R16" s="21">
        <f>VLOOKUP($A16,tabCustoUnit[],COLUMN(CUSTO_GLOBAL[[#Headers],[INSS]])-2,0)*($G16-$H16)</f>
        <v>164.85218</v>
      </c>
      <c r="S16" s="21">
        <f>VLOOKUP($A16,tabCustoUnit[],COLUMN(CUSTO_GLOBAL[[#Headers],[SESI OU SESC]])-2,0)*($G16-$H16)</f>
        <v>12.363913499999999</v>
      </c>
      <c r="T16" s="21">
        <f>VLOOKUP($A16,tabCustoUnit[],COLUMN(CUSTO_GLOBAL[[#Headers],[SENAI OU SENAC]])-2,0)*($G16-$H16)</f>
        <v>8.2426089999999999</v>
      </c>
      <c r="U16" s="21">
        <f>VLOOKUP($A16,tabCustoUnit[],COLUMN(CUSTO_GLOBAL[[#Headers],[INCRA]])-2,0)*($G16-$H16)</f>
        <v>1.6485217999999999</v>
      </c>
      <c r="V16" s="21">
        <f>VLOOKUP($A16,tabCustoUnit[],COLUMN(CUSTO_GLOBAL[[#Headers],[Salário Educação]])-2,0)*($G16-$H16)</f>
        <v>20.606522500000001</v>
      </c>
      <c r="W16" s="21">
        <f>VLOOKUP($A16,tabCustoUnit[],COLUMN(CUSTO_GLOBAL[[#Headers],[FGTS]])-2,0)*($G16-$H16)</f>
        <v>65.940871999999999</v>
      </c>
      <c r="X16" s="21">
        <f>VLOOKUP($A16,tabCustoUnit[],COLUMN(CUSTO_GLOBAL[[#Headers],[RAT Ajustado]])-2,0)*($G16-$H16)</f>
        <v>32.970435999999999</v>
      </c>
      <c r="Y16" s="21">
        <f>VLOOKUP($A16,tabCustoUnit[],COLUMN(CUSTO_GLOBAL[[#Headers],[SEBRAE]])-2,0)*($G16-$H16)</f>
        <v>4.9455654000000004</v>
      </c>
      <c r="Z16" s="21">
        <f>VLOOKUP($A16,tabCustoUnit[],COLUMN(CUSTO_GLOBAL[[#Headers],[Submódulo 2.1]])-2,0)*($G16-$H16)</f>
        <v>311.57062020000001</v>
      </c>
      <c r="AA16" s="21">
        <f>VLOOKUP($A16,tabCustoUnit[],COLUMN(CUSTO_GLOBAL[[#Headers],[13º salário (titular)]])-2,0)*($G16-$H16)</f>
        <v>68.688408333333328</v>
      </c>
      <c r="AB16" s="21">
        <f>VLOOKUP($A16,tabCustoUnit[],COLUMN(CUSTO_GLOBAL[[#Headers],[Férias e Adicional de Férias (titular)]])-2,0)*($G16-$H16)</f>
        <v>91.584544444444433</v>
      </c>
      <c r="AC16" s="21">
        <f>VLOOKUP($A16,tabCustoUnit[],COLUMN(CUSTO_GLOBAL[[#Headers],[Incidência do Submódulo 2.1 sobre 13º Salário, Férias e Adicional de Férias]])-2,0)*($G16-$H16)</f>
        <v>60.583176149999993</v>
      </c>
      <c r="AD16" s="21">
        <f>VLOOKUP($A16,tabCustoUnit[],COLUMN(CUSTO_GLOBAL[[#Headers],[Submódulo 2.2]])-2,0)*($G16-$H16)</f>
        <v>220.85612892777775</v>
      </c>
      <c r="AE16" s="22">
        <f>VLOOKUP($A16,tabCustoUnit[],COLUMN(CUSTO_GLOBAL[[#Headers],[Vale - Transporte (Descontada parcela do empregado)]])-2,0)*($G16-$H16)</f>
        <v>208.11160000000001</v>
      </c>
      <c r="AF16" s="22">
        <f>VLOOKUP($A16,tabCustoUnit[],COLUMN(CUSTO_GLOBAL[[#Headers],[Vale - Alimentação (Descontada parcela do empregado)]])-2,0)*($G16-$H16)</f>
        <v>582</v>
      </c>
      <c r="AG16" s="22">
        <f>VLOOKUP($A16,tabCustoUnit[],COLUMN(CUSTO_GLOBAL[[#Headers],[Cesta Básica]])-2,0)*($G16-$H16)</f>
        <v>0</v>
      </c>
      <c r="AH16" s="22">
        <f>VLOOKUP($A16,tabCustoUnit[],COLUMN(CUSTO_GLOBAL[[#Headers],[PAF]])-2,0)*($G16-$H16)</f>
        <v>0</v>
      </c>
      <c r="AI16" s="22">
        <f>VLOOKUP($A16,tabCustoUnit[],COLUMN(CUSTO_GLOBAL[[#Headers],[PQM]])-2,0)*($G16-$H16)</f>
        <v>15.07</v>
      </c>
      <c r="AJ16" s="22">
        <v>0</v>
      </c>
      <c r="AK16" s="22">
        <f>VLOOKUP($A16,tabCustoUnit[],COLUMN(CUSTO_GLOBAL[[#Headers],[Seguro de Vida]])-2,0)*($G16-$H16)</f>
        <v>3.36</v>
      </c>
      <c r="AL16" s="22">
        <f>VLOOKUP($A16,tabCustoUnit[],COLUMN(CUSTO_GLOBAL[[#Headers],[Despesas de Viagem]])-2,0)*($G16-$H16)</f>
        <v>0</v>
      </c>
      <c r="AM16" s="22">
        <f>VLOOKUP($A16,tabCustoUnit[],COLUMN(CUSTO_GLOBAL[[#Headers],[Submódulo 2.3]])-2,0)*($G16-$H16)</f>
        <v>808.54160000000002</v>
      </c>
      <c r="AN16" s="22">
        <f>VLOOKUP($A16,tabCustoUnit[],COLUMN(CUSTO_GLOBAL[[#Headers],[MÓDULO 2 - Total Encargos e Benefícios mensais e diários]])-2,0)*($G16-$H16)</f>
        <v>1340.9683491277779</v>
      </c>
      <c r="AO16" s="22">
        <f>VLOOKUP($A16,tabCustoUnit[],COLUMN(CUSTO_GLOBAL[[#Headers],[Aviso Prévio Indenizado (API) e Reflexo do Aviso Prévio Indenizado]])-2,0)*($G16-$H16)</f>
        <v>5.7795253576581791</v>
      </c>
      <c r="AP16" s="22">
        <f>VLOOKUP($A16,tabCustoUnit[],COLUMN(CUSTO_GLOBAL[[#Headers],[Incidência do FGTS sobre API e Reflexo do API]])-2,0)*($G16-$H16)</f>
        <v>0.46236202861265435</v>
      </c>
      <c r="AQ16" s="22">
        <f>VLOOKUP($A16,tabCustoUnit[],COLUMN(CUSTO_GLOBAL[[#Headers],[Multa Rescisória do FGTS sobre o Aviso Prévio Indenizado]])-2,0)*($G16-$H16)</f>
        <v>0.18494481144506175</v>
      </c>
      <c r="AR16" s="22">
        <f>VLOOKUP($A16,tabCustoUnit[],COLUMN(CUSTO_GLOBAL[[#Headers],[Aviso Prévio Trabalhado - APT]])-2,0)*($G16-$H16)</f>
        <v>2.8849131500000005</v>
      </c>
      <c r="AS16" s="22">
        <f>VLOOKUP($A16,tabCustoUnit[],COLUMN(CUSTO_GLOBAL[[#Headers],[Incidência dos encargos do submódulo 2.1 sobre Aviso Prévio Trabalhado]])-2,0)*($G16-$H16)</f>
        <v>1.0904971707000004</v>
      </c>
      <c r="AT16" s="22">
        <f>VLOOKUP($A16,tabCustoUnit[],COLUMN(CUSTO_GLOBAL[[#Headers],[Multa Rescisória do FGTS]])-2,0)*($G16-$H16)</f>
        <v>25.204066631111107</v>
      </c>
      <c r="AU16" s="22">
        <f>VLOOKUP($A16,tabCustoUnit[],COLUMN(CUSTO_GLOBAL[[#Headers],[Indenização Adicional (Art. 9º da Lei nº 7.238/84)]])-2,0)*($G16-$H16)</f>
        <v>0.6868840833333334</v>
      </c>
      <c r="AV16" s="22">
        <f>VLOOKUP($A16,tabCustoUnit[],COLUMN(CUSTO_GLOBAL[[#Headers],[MÓDULO 3 – PROVISÃO PARA RESCISÃO]])-2,0)*($G16-$H16)</f>
        <v>36.293193232860339</v>
      </c>
      <c r="AW16" s="22">
        <f>VLOOKUP($A16,tabCustoUnit[],COLUMN(CUSTO_GLOBAL[[#Headers],[Ausência por Doença]])-2,0)*($G16-$H16)</f>
        <v>6.9604253777777769</v>
      </c>
      <c r="AX16" s="22">
        <f>VLOOKUP($A16,tabCustoUnit[],COLUMN(CUSTO_GLOBAL[[#Headers],[Ausências Legais]])-2,0)*($G16-$H16)</f>
        <v>1.671417936111111</v>
      </c>
      <c r="AY16" s="22">
        <f>VLOOKUP($A16,tabCustoUnit[],COLUMN(CUSTO_GLOBAL[[#Headers],[Licença Paternidade]])-2,0)*($G16-$H16)</f>
        <v>0.14081123708333332</v>
      </c>
      <c r="AZ16" s="22">
        <f>VLOOKUP($A16,tabCustoUnit[],COLUMN(CUSTO_GLOBAL[[#Headers],[Ausência por Acidente de Trabalho]])-2,0)*($G16-$H16)</f>
        <v>0.17172102083333335</v>
      </c>
      <c r="BA16" s="22">
        <f>VLOOKUP($A16,tabCustoUnit[],COLUMN(CUSTO_GLOBAL[[#Headers],[Férias, Adicional de Férias e 13º  com empregada em gozo de Licença Maternidade]])-2,0)*($G16-$H16)</f>
        <v>1.0684863518518517</v>
      </c>
      <c r="BB16" s="22">
        <f>VLOOKUP($A16,tabCustoUnit[],COLUMN(CUSTO_GLOBAL[[#Headers],[Incidência do Submódulo 2.1 sobre Ausências Legais]])-2,0)*($G16-$H16)</f>
        <v>3.7848618071425006</v>
      </c>
      <c r="BC16" s="22">
        <f>VLOOKUP($A16,tabCustoUnit[],COLUMN(CUSTO_GLOBAL[[#Headers],[Submódulo 4.1]])-2,0)*($G16-$H16)</f>
        <v>13.797723730799909</v>
      </c>
      <c r="BD16" s="22">
        <f>VLOOKUP($A16,tabCustoUnit[],COLUMN(CUSTO_GLOBAL[[#Headers],[Intervalo para Repouso ou Alimentação]])-2,0)*($G16-$H16)</f>
        <v>0</v>
      </c>
      <c r="BE16" s="22">
        <f>VLOOKUP($A16,tabCustoUnit[],COLUMN(CUSTO_GLOBAL[[#Headers],[Submódulo 4.2]])-2,0)*($G16-$H16)</f>
        <v>0</v>
      </c>
      <c r="BF16" s="22">
        <f>VLOOKUP($A16,tabCustoUnit[],COLUMN(CUSTO_GLOBAL[[#Headers],[Suspensão Temporária do Contrato de Trabalho]])-2,0)*($G16-$H16)</f>
        <v>0</v>
      </c>
      <c r="BG16" s="22">
        <f>VLOOKUP($A16,tabCustoUnit[],COLUMN(CUSTO_GLOBAL[[#Headers],[Submódulo 4.3]])-2,0)*($G16-$H16)</f>
        <v>0</v>
      </c>
      <c r="BH16" s="22">
        <f>VLOOKUP($A16,tabCustoUnit[],COLUMN(CUSTO_GLOBAL[[#Headers],[MÓDULO 4 – CUSTO DE REPOSIÇÃO DO PROFISSIONAL AUSENTE]])-2,0)*($G16-$H16)</f>
        <v>13.797723730799909</v>
      </c>
      <c r="BI16" s="22">
        <f>VLOOKUP($A16,tabCustoUnit[],COLUMN(CUSTO_GLOBAL[[#Headers],[Uniformes e EPIs]])-2,0)*($G16-$H16)</f>
        <v>62.806666666666665</v>
      </c>
      <c r="BJ16" s="22">
        <f>VLOOKUP($A16,tabCustoUnit[],COLUMN(CUSTO_GLOBAL[[#Headers],[Materiais de Consumo]])-2,0)*($G16-$H16)</f>
        <v>17.759106479291944</v>
      </c>
      <c r="BK16" s="22">
        <f>VLOOKUP($A16,tabCustoUnit[],COLUMN(CUSTO_GLOBAL[[#Headers],[Máquinas e Equipamentos (depreciação)]])-2,0)*($G16-$H16)</f>
        <v>32.264696957412788</v>
      </c>
      <c r="BL16" s="22">
        <f>VLOOKUP($A16,tabCustoUnit[],COLUMN(CUSTO_GLOBAL[[#Headers],[Produtos de Limpeza e Materiais de Higiene Pessoal]])-2,0)*($G16-$H16)</f>
        <v>345.13576638965827</v>
      </c>
      <c r="BM16" s="22">
        <f>VLOOKUP($A16,tabCustoUnit[],COLUMN(CUSTO_GLOBAL[[#Headers],[Outros (especificar)]])-2,0)*($G16-$H16)</f>
        <v>0</v>
      </c>
      <c r="BN16" s="22">
        <f>VLOOKUP($A16,tabCustoUnit[],COLUMN(CUSTO_GLOBAL[[#Headers],[MÓDULO 5 – INSUMOS DIVERSOS]])-2,0)*($G16-$H16)</f>
        <v>457.96623649302967</v>
      </c>
      <c r="BO16" s="22">
        <f>VLOOKUP($A16,tabCustoUnit[],COLUMN(CUSTO_GLOBAL[[#Headers],[TOTAL MÓDULOS 1+2+3+4+5]])-2,0)*($G16-$H16)</f>
        <v>2673.2864025844674</v>
      </c>
      <c r="BP16" s="22">
        <f>VLOOKUP($A16,tabCustoUnit[],COLUMN(CUSTO_GLOBAL[[#Headers],[Custos Indiretos]])-2,0)*($G16-$H16)</f>
        <v>189.64880140242613</v>
      </c>
      <c r="BQ16" s="22">
        <f>VLOOKUP($A16,tabCustoUnit[],COLUMN(CUSTO_GLOBAL[[#Headers],[Lucro]])-2,0)*($G16-$H16)</f>
        <v>159.30499317803796</v>
      </c>
      <c r="BR16" s="26">
        <f>VLOOKUP($A16,tabCustoUnit[],COLUMN(CUSTO_GLOBAL[[#Headers],[COFINS]])-2,0)</f>
        <v>8.6609686609686695E-2</v>
      </c>
      <c r="BS16" s="26">
        <f>VLOOKUP($A16,tabCustoUnit[],COLUMN(CUSTO_GLOBAL[[#Headers],[PIS]])-2,0)</f>
        <v>1.880341880341882E-2</v>
      </c>
      <c r="BT16" s="28">
        <f>VLOOKUP($A16,tabCustoUnit[],COLUMN(CUSTO_GLOBAL[[#Headers],[ISS]])-2,0)</f>
        <v>0.03</v>
      </c>
      <c r="BU16" s="26">
        <f>VLOOKUP($A16,tabCustoUnit[],COLUMN(CUSTO_GLOBAL[[#Headers],[ISS (Conversão Alíquota s/ fatura)]])-2,0)</f>
        <v>3.4188034188034219E-2</v>
      </c>
      <c r="BV16" s="26">
        <f>VLOOKUP($A16,tabCustoUnit[],COLUMN(CUSTO_GLOBAL[[#Headers],[Resumo de Alíquotas (PIS+CONFINS+ISS)]])-2,0)</f>
        <v>0.1225</v>
      </c>
      <c r="BW16" s="138">
        <f>VLOOKUP($A16,tabCustoUnit[],COLUMN(CUSTO_GLOBAL[[#Headers],[PIS + COFINS + ISS (Total Conversão  Alíquota s/ Fatura)]])-2,0)</f>
        <v>0.13960113960113973</v>
      </c>
      <c r="BX16" s="22">
        <f>VLOOKUP($A16,tabCustoUnit[],COLUMN(CUSTO_GLOBAL[[#Headers],[Valor dos Tributos (ISS, PIS, CONFINS)]])-2,0)*($G16-$H16)</f>
        <v>421.90817567259768</v>
      </c>
      <c r="BY16" s="22">
        <f>VLOOKUP($A16,tabCustoUnit[],COLUMN(CUSTO_GLOBAL[[#Headers],[MÓDULO 6 – CUSTOS INDIRETOS, TRIBUTOS E LUCRO]])-2,0)*($G16-$H16)</f>
        <v>770.86197025306183</v>
      </c>
      <c r="BZ16" s="22">
        <f>VLOOKUP($A16,tabCustoUnit[],COLUMN(CUSTO_GLOBAL[[#Headers],[CUSTO TOTAL MENSAL]])-2,0)*($G16-$H16)</f>
        <v>3444.1483728375292</v>
      </c>
      <c r="CA16" s="22">
        <f>CUSTO_GLOBAL[[#This Row],[CUSTO TOTAL MENSAL]]*12</f>
        <v>41329.780474050349</v>
      </c>
      <c r="CB16" s="24">
        <f>VLOOKUP($A16,tabCustoUnit[],COLUMN(CUSTO_GLOBAL[[#Headers],[ANO DA CCT]])-2,0)</f>
        <v>45658</v>
      </c>
      <c r="CC16" s="25" t="str">
        <f>VLOOKUP($A16,tabCustoUnit[],COLUMN(CUSTO_GLOBAL[[#Headers],[Nº DE PEDIDO DA CCT]])-2,0)</f>
        <v>-</v>
      </c>
      <c r="CD16" s="25" t="str">
        <f>VLOOKUP($A16,tabCustoUnit[],COLUMN(CUSTO_GLOBAL[[#Headers],[TERMO ADITIVO  ALTERAÇÃO DA CCT]])-2,0)</f>
        <v>-</v>
      </c>
      <c r="CF16" s="22"/>
      <c r="CG16" s="22"/>
    </row>
    <row r="17" spans="1:85" x14ac:dyDescent="0.25">
      <c r="A17" s="20" t="s">
        <v>1363</v>
      </c>
      <c r="B17" t="s">
        <v>23</v>
      </c>
      <c r="C17" t="s">
        <v>1245</v>
      </c>
      <c r="D17" t="s">
        <v>992</v>
      </c>
      <c r="E17" s="20" t="s">
        <v>9</v>
      </c>
      <c r="F17" s="20" t="s">
        <v>10</v>
      </c>
      <c r="G17" s="20">
        <v>2</v>
      </c>
      <c r="H17" s="20">
        <v>0</v>
      </c>
      <c r="I17" s="21">
        <f>VLOOKUP($A17,tabCustoUnit[],COLUMN(CUSTO_GLOBAL[[#Headers],[Salário Base]])-2,0)*($G17-$H17)</f>
        <v>3192.56</v>
      </c>
      <c r="J17" s="21">
        <f>VLOOKUP($A17,tabCustoUnit[],COLUMN(CUSTO_GLOBAL[[#Headers],[Adicional Periculosidade]])-2,0)*($G17-$H17)</f>
        <v>0</v>
      </c>
      <c r="K17" s="21">
        <f>VLOOKUP($A17,tabCustoUnit[],COLUMN(CUSTO_GLOBAL[[#Headers],[Adicional Insalubridade]])-2,0)*($G17-$H17)</f>
        <v>0</v>
      </c>
      <c r="L17" s="21">
        <f>VLOOKUP($A17,tabCustoUnit[],COLUMN(CUSTO_GLOBAL[[#Headers],[Adicional Noturno]])-2,0)*($G17-$H17)</f>
        <v>0</v>
      </c>
      <c r="M17" s="21">
        <f>VLOOKUP($A17,tabCustoUnit[],COLUMN(CUSTO_GLOBAL[[#Headers],[Adicional Motorista II (Gratificação)]])-2,0)*($G17-$H17)</f>
        <v>0</v>
      </c>
      <c r="N17" s="21">
        <f>VLOOKUP($A17,tabCustoUnit[],COLUMN(CUSTO_GLOBAL[[#Headers],[Adicional de Sobreaviso]])-2,0)*($G17-$H17)</f>
        <v>0</v>
      </c>
      <c r="O17" s="21">
        <f>VLOOKUP($A17,tabCustoUnit[],COLUMN(CUSTO_GLOBAL[[#Headers],[Horas Extras TI]])-2,0)*($G17-$H17)</f>
        <v>0</v>
      </c>
      <c r="P17" s="21">
        <f>VLOOKUP($A17,tabCustoUnit[],COLUMN(CUSTO_GLOBAL[[#Headers],[Adicional de Acúmulo de função]])-2,0)*($G17-$H17)</f>
        <v>104.4838</v>
      </c>
      <c r="Q17" s="21">
        <f>VLOOKUP($A17,tabCustoUnit[],COLUMN(CUSTO_GLOBAL[[#Headers],[MODULO 1 - REMUNERAÇÃO ]])-2,0)*($G17-$H17)</f>
        <v>3297.0437999999999</v>
      </c>
      <c r="R17" s="21">
        <f>VLOOKUP($A17,tabCustoUnit[],COLUMN(CUSTO_GLOBAL[[#Headers],[INSS]])-2,0)*($G17-$H17)</f>
        <v>659.40876000000003</v>
      </c>
      <c r="S17" s="21">
        <f>VLOOKUP($A17,tabCustoUnit[],COLUMN(CUSTO_GLOBAL[[#Headers],[SESI OU SESC]])-2,0)*($G17-$H17)</f>
        <v>49.455656999999995</v>
      </c>
      <c r="T17" s="21">
        <f>VLOOKUP($A17,tabCustoUnit[],COLUMN(CUSTO_GLOBAL[[#Headers],[SENAI OU SENAC]])-2,0)*($G17-$H17)</f>
        <v>32.970438000000001</v>
      </c>
      <c r="U17" s="21">
        <f>VLOOKUP($A17,tabCustoUnit[],COLUMN(CUSTO_GLOBAL[[#Headers],[INCRA]])-2,0)*($G17-$H17)</f>
        <v>6.5940875999999999</v>
      </c>
      <c r="V17" s="21">
        <f>VLOOKUP($A17,tabCustoUnit[],COLUMN(CUSTO_GLOBAL[[#Headers],[Salário Educação]])-2,0)*($G17-$H17)</f>
        <v>82.426095000000004</v>
      </c>
      <c r="W17" s="21">
        <f>VLOOKUP($A17,tabCustoUnit[],COLUMN(CUSTO_GLOBAL[[#Headers],[FGTS]])-2,0)*($G17-$H17)</f>
        <v>263.76350400000001</v>
      </c>
      <c r="X17" s="21">
        <f>VLOOKUP($A17,tabCustoUnit[],COLUMN(CUSTO_GLOBAL[[#Headers],[RAT Ajustado]])-2,0)*($G17-$H17)</f>
        <v>131.88175200000001</v>
      </c>
      <c r="Y17" s="21">
        <f>VLOOKUP($A17,tabCustoUnit[],COLUMN(CUSTO_GLOBAL[[#Headers],[SEBRAE]])-2,0)*($G17-$H17)</f>
        <v>19.782262800000002</v>
      </c>
      <c r="Z17" s="21">
        <f>VLOOKUP($A17,tabCustoUnit[],COLUMN(CUSTO_GLOBAL[[#Headers],[Submódulo 2.1]])-2,0)*($G17-$H17)</f>
        <v>1246.2825564</v>
      </c>
      <c r="AA17" s="21">
        <f>VLOOKUP($A17,tabCustoUnit[],COLUMN(CUSTO_GLOBAL[[#Headers],[13º salário (titular)]])-2,0)*($G17-$H17)</f>
        <v>274.75364999999999</v>
      </c>
      <c r="AB17" s="21">
        <f>VLOOKUP($A17,tabCustoUnit[],COLUMN(CUSTO_GLOBAL[[#Headers],[Férias e Adicional de Férias (titular)]])-2,0)*($G17-$H17)</f>
        <v>366.33819999999997</v>
      </c>
      <c r="AC17" s="21">
        <f>VLOOKUP($A17,tabCustoUnit[],COLUMN(CUSTO_GLOBAL[[#Headers],[Incidência do Submódulo 2.1 sobre 13º Salário, Férias e Adicional de Férias]])-2,0)*($G17-$H17)</f>
        <v>242.33271930000001</v>
      </c>
      <c r="AD17" s="21">
        <f>VLOOKUP($A17,tabCustoUnit[],COLUMN(CUSTO_GLOBAL[[#Headers],[Submódulo 2.2]])-2,0)*($G17-$H17)</f>
        <v>883.42456930000003</v>
      </c>
      <c r="AE17" s="22">
        <f>VLOOKUP($A17,tabCustoUnit[],COLUMN(CUSTO_GLOBAL[[#Headers],[Vale - Transporte (Descontada parcela do empregado)]])-2,0)*($G17-$H17)</f>
        <v>320.44640000000004</v>
      </c>
      <c r="AF17" s="22">
        <f>VLOOKUP($A17,tabCustoUnit[],COLUMN(CUSTO_GLOBAL[[#Headers],[Vale - Alimentação (Descontada parcela do empregado)]])-2,0)*($G17-$H17)</f>
        <v>0</v>
      </c>
      <c r="AG17" s="22">
        <f>VLOOKUP($A17,tabCustoUnit[],COLUMN(CUSTO_GLOBAL[[#Headers],[Cesta Básica]])-2,0)*($G17-$H17)</f>
        <v>775.58</v>
      </c>
      <c r="AH17" s="22">
        <f>VLOOKUP($A17,tabCustoUnit[],COLUMN(CUSTO_GLOBAL[[#Headers],[PAF]])-2,0)*($G17-$H17)</f>
        <v>85.94</v>
      </c>
      <c r="AI17" s="22">
        <f>VLOOKUP($A17,tabCustoUnit[],COLUMN(CUSTO_GLOBAL[[#Headers],[PQM]])-2,0)*($G17-$H17)</f>
        <v>0</v>
      </c>
      <c r="AJ17" s="22">
        <v>0</v>
      </c>
      <c r="AK17" s="22">
        <f>VLOOKUP($A17,tabCustoUnit[],COLUMN(CUSTO_GLOBAL[[#Headers],[Seguro de Vida]])-2,0)*($G17-$H17)</f>
        <v>6.72</v>
      </c>
      <c r="AL17" s="22">
        <f>VLOOKUP($A17,tabCustoUnit[],COLUMN(CUSTO_GLOBAL[[#Headers],[Despesas de Viagem]])-2,0)*($G17-$H17)</f>
        <v>0</v>
      </c>
      <c r="AM17" s="22">
        <f>VLOOKUP($A17,tabCustoUnit[],COLUMN(CUSTO_GLOBAL[[#Headers],[Submódulo 2.3]])-2,0)*($G17-$H17)</f>
        <v>1188.6864000000003</v>
      </c>
      <c r="AN17" s="22">
        <f>VLOOKUP($A17,tabCustoUnit[],COLUMN(CUSTO_GLOBAL[[#Headers],[MÓDULO 2 - Total Encargos e Benefícios mensais e diários]])-2,0)*($G17-$H17)</f>
        <v>3318.3935257000003</v>
      </c>
      <c r="AO17" s="22">
        <f>VLOOKUP($A17,tabCustoUnit[],COLUMN(CUSTO_GLOBAL[[#Headers],[Aviso Prévio Indenizado (API) e Reflexo do Aviso Prévio Indenizado]])-2,0)*($G17-$H17)</f>
        <v>23.118102832986111</v>
      </c>
      <c r="AP17" s="22">
        <f>VLOOKUP($A17,tabCustoUnit[],COLUMN(CUSTO_GLOBAL[[#Headers],[Incidência do FGTS sobre API e Reflexo do API]])-2,0)*($G17-$H17)</f>
        <v>1.849448226638889</v>
      </c>
      <c r="AQ17" s="22">
        <f>VLOOKUP($A17,tabCustoUnit[],COLUMN(CUSTO_GLOBAL[[#Headers],[Multa Rescisória do FGTS sobre o Aviso Prévio Indenizado]])-2,0)*($G17-$H17)</f>
        <v>0.7397792906555557</v>
      </c>
      <c r="AR17" s="22">
        <f>VLOOKUP($A17,tabCustoUnit[],COLUMN(CUSTO_GLOBAL[[#Headers],[Aviso Prévio Trabalhado - APT]])-2,0)*($G17-$H17)</f>
        <v>11.539653300000001</v>
      </c>
      <c r="AS17" s="22">
        <f>VLOOKUP($A17,tabCustoUnit[],COLUMN(CUSTO_GLOBAL[[#Headers],[Incidência dos encargos do submódulo 2.1 sobre Aviso Prévio Trabalhado]])-2,0)*($G17-$H17)</f>
        <v>4.3619889474000013</v>
      </c>
      <c r="AT17" s="22">
        <f>VLOOKUP($A17,tabCustoUnit[],COLUMN(CUSTO_GLOBAL[[#Headers],[Multa Rescisória do FGTS]])-2,0)*($G17-$H17)</f>
        <v>100.81627263999998</v>
      </c>
      <c r="AU17" s="22">
        <f>VLOOKUP($A17,tabCustoUnit[],COLUMN(CUSTO_GLOBAL[[#Headers],[Indenização Adicional (Art. 9º da Lei nº 7.238/84)]])-2,0)*($G17-$H17)</f>
        <v>2.7475365000000003</v>
      </c>
      <c r="AV17" s="22">
        <f>VLOOKUP($A17,tabCustoUnit[],COLUMN(CUSTO_GLOBAL[[#Headers],[MÓDULO 3 – PROVISÃO PARA RESCISÃO]])-2,0)*($G17-$H17)</f>
        <v>145.17278173768054</v>
      </c>
      <c r="AW17" s="22">
        <f>VLOOKUP($A17,tabCustoUnit[],COLUMN(CUSTO_GLOBAL[[#Headers],[Ausência por Doença]])-2,0)*($G17-$H17)</f>
        <v>27.841703199999998</v>
      </c>
      <c r="AX17" s="22">
        <f>VLOOKUP($A17,tabCustoUnit[],COLUMN(CUSTO_GLOBAL[[#Headers],[Ausências Legais]])-2,0)*($G17-$H17)</f>
        <v>6.6856721499999994</v>
      </c>
      <c r="AY17" s="22">
        <f>VLOOKUP($A17,tabCustoUnit[],COLUMN(CUSTO_GLOBAL[[#Headers],[Licença Paternidade]])-2,0)*($G17-$H17)</f>
        <v>0.56324498249999999</v>
      </c>
      <c r="AZ17" s="22">
        <f>VLOOKUP($A17,tabCustoUnit[],COLUMN(CUSTO_GLOBAL[[#Headers],[Ausência por Acidente de Trabalho]])-2,0)*($G17-$H17)</f>
        <v>0.68688412500000007</v>
      </c>
      <c r="BA17" s="22">
        <f>VLOOKUP($A17,tabCustoUnit[],COLUMN(CUSTO_GLOBAL[[#Headers],[Férias, Adicional de Férias e 13º  com empregada em gozo de Licença Maternidade]])-2,0)*($G17-$H17)</f>
        <v>4.2739456666666662</v>
      </c>
      <c r="BB17" s="22">
        <f>VLOOKUP($A17,tabCustoUnit[],COLUMN(CUSTO_GLOBAL[[#Headers],[Incidência do Submódulo 2.1 sobre Ausências Legais]])-2,0)*($G17-$H17)</f>
        <v>15.139448146935003</v>
      </c>
      <c r="BC17" s="22">
        <f>VLOOKUP($A17,tabCustoUnit[],COLUMN(CUSTO_GLOBAL[[#Headers],[Submódulo 4.1]])-2,0)*($G17-$H17)</f>
        <v>55.190898271101666</v>
      </c>
      <c r="BD17" s="22">
        <f>VLOOKUP($A17,tabCustoUnit[],COLUMN(CUSTO_GLOBAL[[#Headers],[Intervalo para Repouso ou Alimentação]])-2,0)*($G17-$H17)</f>
        <v>0</v>
      </c>
      <c r="BE17" s="22">
        <f>VLOOKUP($A17,tabCustoUnit[],COLUMN(CUSTO_GLOBAL[[#Headers],[Submódulo 4.2]])-2,0)*($G17-$H17)</f>
        <v>0</v>
      </c>
      <c r="BF17" s="22">
        <f>VLOOKUP($A17,tabCustoUnit[],COLUMN(CUSTO_GLOBAL[[#Headers],[Suspensão Temporária do Contrato de Trabalho]])-2,0)*($G17-$H17)</f>
        <v>0</v>
      </c>
      <c r="BG17" s="22">
        <f>VLOOKUP($A17,tabCustoUnit[],COLUMN(CUSTO_GLOBAL[[#Headers],[Submódulo 4.3]])-2,0)*($G17-$H17)</f>
        <v>0</v>
      </c>
      <c r="BH17" s="22">
        <f>VLOOKUP($A17,tabCustoUnit[],COLUMN(CUSTO_GLOBAL[[#Headers],[MÓDULO 4 – CUSTO DE REPOSIÇÃO DO PROFISSIONAL AUSENTE]])-2,0)*($G17-$H17)</f>
        <v>55.190898271101666</v>
      </c>
      <c r="BI17" s="22">
        <f>VLOOKUP($A17,tabCustoUnit[],COLUMN(CUSTO_GLOBAL[[#Headers],[Uniformes e EPIs]])-2,0)*($G17-$H17)</f>
        <v>201.61833333333331</v>
      </c>
      <c r="BJ17" s="22">
        <f>VLOOKUP($A17,tabCustoUnit[],COLUMN(CUSTO_GLOBAL[[#Headers],[Materiais de Consumo]])-2,0)*($G17-$H17)</f>
        <v>71.036425917167776</v>
      </c>
      <c r="BK17" s="22">
        <f>VLOOKUP($A17,tabCustoUnit[],COLUMN(CUSTO_GLOBAL[[#Headers],[Máquinas e Equipamentos (depreciação)]])-2,0)*($G17-$H17)</f>
        <v>129.05878782965115</v>
      </c>
      <c r="BL17" s="22">
        <f>VLOOKUP($A17,tabCustoUnit[],COLUMN(CUSTO_GLOBAL[[#Headers],[Produtos de Limpeza e Materiais de Higiene Pessoal]])-2,0)*($G17-$H17)</f>
        <v>1380.5430655586331</v>
      </c>
      <c r="BM17" s="22">
        <f>VLOOKUP($A17,tabCustoUnit[],COLUMN(CUSTO_GLOBAL[[#Headers],[Outros (especificar)]])-2,0)*($G17-$H17)</f>
        <v>0</v>
      </c>
      <c r="BN17" s="22">
        <f>VLOOKUP($A17,tabCustoUnit[],COLUMN(CUSTO_GLOBAL[[#Headers],[MÓDULO 5 – INSUMOS DIVERSOS]])-2,0)*($G17-$H17)</f>
        <v>1782.2566126387853</v>
      </c>
      <c r="BO17" s="22">
        <f>VLOOKUP($A17,tabCustoUnit[],COLUMN(CUSTO_GLOBAL[[#Headers],[TOTAL MÓDULOS 1+2+3+4+5]])-2,0)*($G17-$H17)</f>
        <v>8598.0576183475678</v>
      </c>
      <c r="BP17" s="22">
        <f>VLOOKUP($A17,tabCustoUnit[],COLUMN(CUSTO_GLOBAL[[#Headers],[Custos Indiretos]])-2,0)*($G17-$H17)</f>
        <v>379.29760280485226</v>
      </c>
      <c r="BQ17" s="22">
        <f>VLOOKUP($A17,tabCustoUnit[],COLUMN(CUSTO_GLOBAL[[#Headers],[Lucro]])-2,0)*($G17-$H17)</f>
        <v>318.60998635607592</v>
      </c>
      <c r="BR17" s="26">
        <f>VLOOKUP($A17,tabCustoUnit[],COLUMN(CUSTO_GLOBAL[[#Headers],[COFINS]])-2,0)</f>
        <v>8.6609686609686695E-2</v>
      </c>
      <c r="BS17" s="26">
        <f>VLOOKUP($A17,tabCustoUnit[],COLUMN(CUSTO_GLOBAL[[#Headers],[PIS]])-2,0)</f>
        <v>1.880341880341882E-2</v>
      </c>
      <c r="BT17" s="28">
        <f>VLOOKUP($A17,tabCustoUnit[],COLUMN(CUSTO_GLOBAL[[#Headers],[ISS]])-2,0)</f>
        <v>0.03</v>
      </c>
      <c r="BU17" s="26">
        <f>VLOOKUP($A17,tabCustoUnit[],COLUMN(CUSTO_GLOBAL[[#Headers],[ISS (Conversão Alíquota s/ fatura)]])-2,0)</f>
        <v>3.4188034188034219E-2</v>
      </c>
      <c r="BV17" s="26">
        <f>VLOOKUP($A17,tabCustoUnit[],COLUMN(CUSTO_GLOBAL[[#Headers],[Resumo de Alíquotas (PIS+CONFINS+ISS)]])-2,0)</f>
        <v>0.1225</v>
      </c>
      <c r="BW17" s="138">
        <f>VLOOKUP($A17,tabCustoUnit[],COLUMN(CUSTO_GLOBAL[[#Headers],[PIS + COFINS + ISS (Total Conversão  Alíquota s/ Fatura)]])-2,0)</f>
        <v>0.13960113960113973</v>
      </c>
      <c r="BX17" s="22">
        <f>VLOOKUP($A17,tabCustoUnit[],COLUMN(CUSTO_GLOBAL[[#Headers],[Valor dos Tributos (ISS, PIS, CONFINS)]])-2,0)*($G17-$H17)</f>
        <v>1297.7273366607315</v>
      </c>
      <c r="BY17" s="22">
        <f>VLOOKUP($A17,tabCustoUnit[],COLUMN(CUSTO_GLOBAL[[#Headers],[MÓDULO 6 – CUSTOS INDIRETOS, TRIBUTOS E LUCRO]])-2,0)*($G17-$H17)</f>
        <v>1995.6349258216596</v>
      </c>
      <c r="BZ17" s="22">
        <f>VLOOKUP($A17,tabCustoUnit[],COLUMN(CUSTO_GLOBAL[[#Headers],[CUSTO TOTAL MENSAL]])-2,0)*($G17-$H17)</f>
        <v>10593.692544169227</v>
      </c>
      <c r="CA17" s="22">
        <f>CUSTO_GLOBAL[[#This Row],[CUSTO TOTAL MENSAL]]*12</f>
        <v>127124.31053003072</v>
      </c>
      <c r="CB17" s="24">
        <f>VLOOKUP($A17,tabCustoUnit[],COLUMN(CUSTO_GLOBAL[[#Headers],[ANO DA CCT]])-2,0)</f>
        <v>45658</v>
      </c>
      <c r="CC17" s="25" t="str">
        <f>VLOOKUP($A17,tabCustoUnit[],COLUMN(CUSTO_GLOBAL[[#Headers],[Nº DE PEDIDO DA CCT]])-2,0)</f>
        <v>-</v>
      </c>
      <c r="CD17" s="25" t="str">
        <f>VLOOKUP($A17,tabCustoUnit[],COLUMN(CUSTO_GLOBAL[[#Headers],[TERMO ADITIVO  ALTERAÇÃO DA CCT]])-2,0)</f>
        <v>-</v>
      </c>
      <c r="CF17" s="22"/>
      <c r="CG17" s="22"/>
    </row>
    <row r="18" spans="1:85" x14ac:dyDescent="0.25">
      <c r="A18" s="20" t="s">
        <v>1364</v>
      </c>
      <c r="B18" t="s">
        <v>24</v>
      </c>
      <c r="C18" t="s">
        <v>1245</v>
      </c>
      <c r="D18" t="s">
        <v>24</v>
      </c>
      <c r="E18" s="20" t="s">
        <v>9</v>
      </c>
      <c r="F18" s="20" t="s">
        <v>10</v>
      </c>
      <c r="G18" s="20">
        <v>2</v>
      </c>
      <c r="H18" s="20">
        <v>0</v>
      </c>
      <c r="I18" s="21">
        <f>VLOOKUP($A18,tabCustoUnit[],COLUMN(CUSTO_GLOBAL[[#Headers],[Salário Base]])-2,0)*($G18-$H18)</f>
        <v>3298.24</v>
      </c>
      <c r="J18" s="21">
        <f>VLOOKUP($A18,tabCustoUnit[],COLUMN(CUSTO_GLOBAL[[#Headers],[Adicional Periculosidade]])-2,0)*($G18-$H18)</f>
        <v>0</v>
      </c>
      <c r="K18" s="21">
        <f>VLOOKUP($A18,tabCustoUnit[],COLUMN(CUSTO_GLOBAL[[#Headers],[Adicional Insalubridade]])-2,0)*($G18-$H18)</f>
        <v>0</v>
      </c>
      <c r="L18" s="21">
        <f>VLOOKUP($A18,tabCustoUnit[],COLUMN(CUSTO_GLOBAL[[#Headers],[Adicional Noturno]])-2,0)*($G18-$H18)</f>
        <v>0</v>
      </c>
      <c r="M18" s="21">
        <f>VLOOKUP($A18,tabCustoUnit[],COLUMN(CUSTO_GLOBAL[[#Headers],[Adicional Motorista II (Gratificação)]])-2,0)*($G18-$H18)</f>
        <v>0</v>
      </c>
      <c r="N18" s="21">
        <f>VLOOKUP($A18,tabCustoUnit[],COLUMN(CUSTO_GLOBAL[[#Headers],[Adicional de Sobreaviso]])-2,0)*($G18-$H18)</f>
        <v>0</v>
      </c>
      <c r="O18" s="21">
        <f>VLOOKUP($A18,tabCustoUnit[],COLUMN(CUSTO_GLOBAL[[#Headers],[Horas Extras TI]])-2,0)*($G18-$H18)</f>
        <v>0</v>
      </c>
      <c r="P18" s="21">
        <f>VLOOKUP($A18,tabCustoUnit[],COLUMN(CUSTO_GLOBAL[[#Headers],[Adicional de Acúmulo de função]])-2,0)*($G18-$H18)</f>
        <v>107.94240000000001</v>
      </c>
      <c r="Q18" s="21">
        <f>VLOOKUP($A18,tabCustoUnit[],COLUMN(CUSTO_GLOBAL[[#Headers],[MODULO 1 - REMUNERAÇÃO ]])-2,0)*($G18-$H18)</f>
        <v>3406.1823999999997</v>
      </c>
      <c r="R18" s="21">
        <f>VLOOKUP($A18,tabCustoUnit[],COLUMN(CUSTO_GLOBAL[[#Headers],[INSS]])-2,0)*($G18-$H18)</f>
        <v>681.23648000000003</v>
      </c>
      <c r="S18" s="21">
        <f>VLOOKUP($A18,tabCustoUnit[],COLUMN(CUSTO_GLOBAL[[#Headers],[SESI OU SESC]])-2,0)*($G18-$H18)</f>
        <v>51.092735999999995</v>
      </c>
      <c r="T18" s="21">
        <f>VLOOKUP($A18,tabCustoUnit[],COLUMN(CUSTO_GLOBAL[[#Headers],[SENAI OU SENAC]])-2,0)*($G18-$H18)</f>
        <v>34.061823999999994</v>
      </c>
      <c r="U18" s="21">
        <f>VLOOKUP($A18,tabCustoUnit[],COLUMN(CUSTO_GLOBAL[[#Headers],[INCRA]])-2,0)*($G18-$H18)</f>
        <v>6.8123647999999992</v>
      </c>
      <c r="V18" s="21">
        <f>VLOOKUP($A18,tabCustoUnit[],COLUMN(CUSTO_GLOBAL[[#Headers],[Salário Educação]])-2,0)*($G18-$H18)</f>
        <v>85.154560000000004</v>
      </c>
      <c r="W18" s="21">
        <f>VLOOKUP($A18,tabCustoUnit[],COLUMN(CUSTO_GLOBAL[[#Headers],[FGTS]])-2,0)*($G18-$H18)</f>
        <v>272.49459199999995</v>
      </c>
      <c r="X18" s="21">
        <f>VLOOKUP($A18,tabCustoUnit[],COLUMN(CUSTO_GLOBAL[[#Headers],[RAT Ajustado]])-2,0)*($G18-$H18)</f>
        <v>136.24729599999998</v>
      </c>
      <c r="Y18" s="21">
        <f>VLOOKUP($A18,tabCustoUnit[],COLUMN(CUSTO_GLOBAL[[#Headers],[SEBRAE]])-2,0)*($G18-$H18)</f>
        <v>20.437094399999999</v>
      </c>
      <c r="Z18" s="21">
        <f>VLOOKUP($A18,tabCustoUnit[],COLUMN(CUSTO_GLOBAL[[#Headers],[Submódulo 2.1]])-2,0)*($G18-$H18)</f>
        <v>1287.5369472</v>
      </c>
      <c r="AA18" s="21">
        <f>VLOOKUP($A18,tabCustoUnit[],COLUMN(CUSTO_GLOBAL[[#Headers],[13º salário (titular)]])-2,0)*($G18-$H18)</f>
        <v>283.84853333333331</v>
      </c>
      <c r="AB18" s="21">
        <f>VLOOKUP($A18,tabCustoUnit[],COLUMN(CUSTO_GLOBAL[[#Headers],[Férias e Adicional de Férias (titular)]])-2,0)*($G18-$H18)</f>
        <v>378.46471111111106</v>
      </c>
      <c r="AC18" s="21">
        <f>VLOOKUP($A18,tabCustoUnit[],COLUMN(CUSTO_GLOBAL[[#Headers],[Incidência do Submódulo 2.1 sobre 13º Salário, Férias e Adicional de Férias]])-2,0)*($G18-$H18)</f>
        <v>250.35440639999999</v>
      </c>
      <c r="AD18" s="21">
        <f>VLOOKUP($A18,tabCustoUnit[],COLUMN(CUSTO_GLOBAL[[#Headers],[Submódulo 2.2]])-2,0)*($G18-$H18)</f>
        <v>912.66765084444432</v>
      </c>
      <c r="AE18" s="22">
        <f>VLOOKUP($A18,tabCustoUnit[],COLUMN(CUSTO_GLOBAL[[#Headers],[Vale - Transporte (Descontada parcela do empregado)]])-2,0)*($G18-$H18)</f>
        <v>314.10559999999998</v>
      </c>
      <c r="AF18" s="22">
        <f>VLOOKUP($A18,tabCustoUnit[],COLUMN(CUSTO_GLOBAL[[#Headers],[Vale - Alimentação (Descontada parcela do empregado)]])-2,0)*($G18-$H18)</f>
        <v>1164</v>
      </c>
      <c r="AG18" s="22">
        <f>VLOOKUP($A18,tabCustoUnit[],COLUMN(CUSTO_GLOBAL[[#Headers],[Cesta Básica]])-2,0)*($G18-$H18)</f>
        <v>0</v>
      </c>
      <c r="AH18" s="22">
        <f>VLOOKUP($A18,tabCustoUnit[],COLUMN(CUSTO_GLOBAL[[#Headers],[PAF]])-2,0)*($G18-$H18)</f>
        <v>117.92</v>
      </c>
      <c r="AI18" s="22">
        <f>VLOOKUP($A18,tabCustoUnit[],COLUMN(CUSTO_GLOBAL[[#Headers],[PQM]])-2,0)*($G18-$H18)</f>
        <v>0</v>
      </c>
      <c r="AJ18" s="22">
        <v>0</v>
      </c>
      <c r="AK18" s="22">
        <f>VLOOKUP($A18,tabCustoUnit[],COLUMN(CUSTO_GLOBAL[[#Headers],[Seguro de Vida]])-2,0)*($G18-$H18)</f>
        <v>6.72</v>
      </c>
      <c r="AL18" s="22">
        <f>VLOOKUP($A18,tabCustoUnit[],COLUMN(CUSTO_GLOBAL[[#Headers],[Despesas de Viagem]])-2,0)*($G18-$H18)</f>
        <v>0</v>
      </c>
      <c r="AM18" s="22">
        <f>VLOOKUP($A18,tabCustoUnit[],COLUMN(CUSTO_GLOBAL[[#Headers],[Submódulo 2.3]])-2,0)*($G18-$H18)</f>
        <v>1602.7456</v>
      </c>
      <c r="AN18" s="22">
        <f>VLOOKUP($A18,tabCustoUnit[],COLUMN(CUSTO_GLOBAL[[#Headers],[MÓDULO 2 - Total Encargos e Benefícios mensais e diários]])-2,0)*($G18-$H18)</f>
        <v>3802.9501980444447</v>
      </c>
      <c r="AO18" s="22">
        <f>VLOOKUP($A18,tabCustoUnit[],COLUMN(CUSTO_GLOBAL[[#Headers],[Aviso Prévio Indenizado (API) e Reflexo do Aviso Prévio Indenizado]])-2,0)*($G18-$H18)</f>
        <v>23.883357264197528</v>
      </c>
      <c r="AP18" s="22">
        <f>VLOOKUP($A18,tabCustoUnit[],COLUMN(CUSTO_GLOBAL[[#Headers],[Incidência do FGTS sobre API e Reflexo do API]])-2,0)*($G18-$H18)</f>
        <v>1.9106685811358024</v>
      </c>
      <c r="AQ18" s="22">
        <f>VLOOKUP($A18,tabCustoUnit[],COLUMN(CUSTO_GLOBAL[[#Headers],[Multa Rescisória do FGTS sobre o Aviso Prévio Indenizado]])-2,0)*($G18-$H18)</f>
        <v>0.76426743245432105</v>
      </c>
      <c r="AR18" s="22">
        <f>VLOOKUP($A18,tabCustoUnit[],COLUMN(CUSTO_GLOBAL[[#Headers],[Aviso Prévio Trabalhado - APT]])-2,0)*($G18-$H18)</f>
        <v>11.921638400000001</v>
      </c>
      <c r="AS18" s="22">
        <f>VLOOKUP($A18,tabCustoUnit[],COLUMN(CUSTO_GLOBAL[[#Headers],[Incidência dos encargos do submódulo 2.1 sobre Aviso Prévio Trabalhado]])-2,0)*($G18-$H18)</f>
        <v>4.5063793152000011</v>
      </c>
      <c r="AT18" s="22">
        <f>VLOOKUP($A18,tabCustoUnit[],COLUMN(CUSTO_GLOBAL[[#Headers],[Multa Rescisória do FGTS]])-2,0)*($G18-$H18)</f>
        <v>104.15348849777776</v>
      </c>
      <c r="AU18" s="22">
        <f>VLOOKUP($A18,tabCustoUnit[],COLUMN(CUSTO_GLOBAL[[#Headers],[Indenização Adicional (Art. 9º da Lei nº 7.238/84)]])-2,0)*($G18-$H18)</f>
        <v>2.8384853333333333</v>
      </c>
      <c r="AV18" s="22">
        <f>VLOOKUP($A18,tabCustoUnit[],COLUMN(CUSTO_GLOBAL[[#Headers],[MÓDULO 3 – PROVISÃO PARA RESCISÃO]])-2,0)*($G18-$H18)</f>
        <v>149.97828482409875</v>
      </c>
      <c r="AW18" s="22">
        <f>VLOOKUP($A18,tabCustoUnit[],COLUMN(CUSTO_GLOBAL[[#Headers],[Ausência por Doença]])-2,0)*($G18-$H18)</f>
        <v>28.763318044444439</v>
      </c>
      <c r="AX18" s="22">
        <f>VLOOKUP($A18,tabCustoUnit[],COLUMN(CUSTO_GLOBAL[[#Headers],[Ausências Legais]])-2,0)*($G18-$H18)</f>
        <v>6.9069809777777769</v>
      </c>
      <c r="AY18" s="22">
        <f>VLOOKUP($A18,tabCustoUnit[],COLUMN(CUSTO_GLOBAL[[#Headers],[Licença Paternidade]])-2,0)*($G18-$H18)</f>
        <v>0.58188949333333329</v>
      </c>
      <c r="AZ18" s="22">
        <f>VLOOKUP($A18,tabCustoUnit[],COLUMN(CUSTO_GLOBAL[[#Headers],[Ausência por Acidente de Trabalho]])-2,0)*($G18-$H18)</f>
        <v>0.70962133333333333</v>
      </c>
      <c r="BA18" s="22">
        <f>VLOOKUP($A18,tabCustoUnit[],COLUMN(CUSTO_GLOBAL[[#Headers],[Férias, Adicional de Férias e 13º  com empregada em gozo de Licença Maternidade]])-2,0)*($G18-$H18)</f>
        <v>4.4154216296296287</v>
      </c>
      <c r="BB18" s="22">
        <f>VLOOKUP($A18,tabCustoUnit[],COLUMN(CUSTO_GLOBAL[[#Headers],[Incidência do Submódulo 2.1 sobre Ausências Legais]])-2,0)*($G18-$H18)</f>
        <v>15.640593498880001</v>
      </c>
      <c r="BC18" s="22">
        <f>VLOOKUP($A18,tabCustoUnit[],COLUMN(CUSTO_GLOBAL[[#Headers],[Submódulo 4.1]])-2,0)*($G18-$H18)</f>
        <v>57.017824977398512</v>
      </c>
      <c r="BD18" s="22">
        <f>VLOOKUP($A18,tabCustoUnit[],COLUMN(CUSTO_GLOBAL[[#Headers],[Intervalo para Repouso ou Alimentação]])-2,0)*($G18-$H18)</f>
        <v>0</v>
      </c>
      <c r="BE18" s="22">
        <f>VLOOKUP($A18,tabCustoUnit[],COLUMN(CUSTO_GLOBAL[[#Headers],[Submódulo 4.2]])-2,0)*($G18-$H18)</f>
        <v>0</v>
      </c>
      <c r="BF18" s="22">
        <f>VLOOKUP($A18,tabCustoUnit[],COLUMN(CUSTO_GLOBAL[[#Headers],[Suspensão Temporária do Contrato de Trabalho]])-2,0)*($G18-$H18)</f>
        <v>0</v>
      </c>
      <c r="BG18" s="22">
        <f>VLOOKUP($A18,tabCustoUnit[],COLUMN(CUSTO_GLOBAL[[#Headers],[Submódulo 4.3]])-2,0)*($G18-$H18)</f>
        <v>0</v>
      </c>
      <c r="BH18" s="22">
        <f>VLOOKUP($A18,tabCustoUnit[],COLUMN(CUSTO_GLOBAL[[#Headers],[MÓDULO 4 – CUSTO DE REPOSIÇÃO DO PROFISSIONAL AUSENTE]])-2,0)*($G18-$H18)</f>
        <v>57.017824977398512</v>
      </c>
      <c r="BI18" s="22">
        <f>VLOOKUP($A18,tabCustoUnit[],COLUMN(CUSTO_GLOBAL[[#Headers],[Uniformes e EPIs]])-2,0)*($G18-$H18)</f>
        <v>201.61833333333331</v>
      </c>
      <c r="BJ18" s="22">
        <f>VLOOKUP($A18,tabCustoUnit[],COLUMN(CUSTO_GLOBAL[[#Headers],[Materiais de Consumo]])-2,0)*($G18-$H18)</f>
        <v>71.036425917167776</v>
      </c>
      <c r="BK18" s="22">
        <f>VLOOKUP($A18,tabCustoUnit[],COLUMN(CUSTO_GLOBAL[[#Headers],[Máquinas e Equipamentos (depreciação)]])-2,0)*($G18-$H18)</f>
        <v>129.05878782965115</v>
      </c>
      <c r="BL18" s="22">
        <f>VLOOKUP($A18,tabCustoUnit[],COLUMN(CUSTO_GLOBAL[[#Headers],[Produtos de Limpeza e Materiais de Higiene Pessoal]])-2,0)*($G18-$H18)</f>
        <v>1380.5430655586331</v>
      </c>
      <c r="BM18" s="22">
        <f>VLOOKUP($A18,tabCustoUnit[],COLUMN(CUSTO_GLOBAL[[#Headers],[Outros (especificar)]])-2,0)*($G18-$H18)</f>
        <v>0</v>
      </c>
      <c r="BN18" s="22">
        <f>VLOOKUP($A18,tabCustoUnit[],COLUMN(CUSTO_GLOBAL[[#Headers],[MÓDULO 5 – INSUMOS DIVERSOS]])-2,0)*($G18-$H18)</f>
        <v>1782.2566126387853</v>
      </c>
      <c r="BO18" s="22">
        <f>VLOOKUP($A18,tabCustoUnit[],COLUMN(CUSTO_GLOBAL[[#Headers],[TOTAL MÓDULOS 1+2+3+4+5]])-2,0)*($G18-$H18)</f>
        <v>9198.3853204847273</v>
      </c>
      <c r="BP18" s="22">
        <f>VLOOKUP($A18,tabCustoUnit[],COLUMN(CUSTO_GLOBAL[[#Headers],[Custos Indiretos]])-2,0)*($G18-$H18)</f>
        <v>379.29760280485226</v>
      </c>
      <c r="BQ18" s="22">
        <f>VLOOKUP($A18,tabCustoUnit[],COLUMN(CUSTO_GLOBAL[[#Headers],[Lucro]])-2,0)*($G18-$H18)</f>
        <v>318.60998635607592</v>
      </c>
      <c r="BR18" s="26">
        <f>VLOOKUP($A18,tabCustoUnit[],COLUMN(CUSTO_GLOBAL[[#Headers],[COFINS]])-2,0)</f>
        <v>8.5633802816901458E-2</v>
      </c>
      <c r="BS18" s="26">
        <f>VLOOKUP($A18,tabCustoUnit[],COLUMN(CUSTO_GLOBAL[[#Headers],[PIS]])-2,0)</f>
        <v>1.8591549295774657E-2</v>
      </c>
      <c r="BT18" s="28">
        <f>VLOOKUP($A18,tabCustoUnit[],COLUMN(CUSTO_GLOBAL[[#Headers],[ISS]])-2,0)</f>
        <v>0.02</v>
      </c>
      <c r="BU18" s="26">
        <f>VLOOKUP($A18,tabCustoUnit[],COLUMN(CUSTO_GLOBAL[[#Headers],[ISS (Conversão Alíquota s/ fatura)]])-2,0)</f>
        <v>2.2535211267605645E-2</v>
      </c>
      <c r="BV18" s="26">
        <f>VLOOKUP($A18,tabCustoUnit[],COLUMN(CUSTO_GLOBAL[[#Headers],[Resumo de Alíquotas (PIS+CONFINS+ISS)]])-2,0)</f>
        <v>0.1125</v>
      </c>
      <c r="BW18" s="138">
        <f>VLOOKUP($A18,tabCustoUnit[],COLUMN(CUSTO_GLOBAL[[#Headers],[PIS + COFINS + ISS (Total Conversão  Alíquota s/ Fatura)]])-2,0)</f>
        <v>0.12676056338028174</v>
      </c>
      <c r="BX18" s="22">
        <f>VLOOKUP($A18,tabCustoUnit[],COLUMN(CUSTO_GLOBAL[[#Headers],[Valor dos Tributos (ISS, PIS, CONFINS)]])-2,0)*($G18-$H18)</f>
        <v>1254.4596646029709</v>
      </c>
      <c r="BY18" s="22">
        <f>VLOOKUP($A18,tabCustoUnit[],COLUMN(CUSTO_GLOBAL[[#Headers],[MÓDULO 6 – CUSTOS INDIRETOS, TRIBUTOS E LUCRO]])-2,0)*($G18-$H18)</f>
        <v>1952.367253763899</v>
      </c>
      <c r="BZ18" s="22">
        <f>VLOOKUP($A18,tabCustoUnit[],COLUMN(CUSTO_GLOBAL[[#Headers],[CUSTO TOTAL MENSAL]])-2,0)*($G18-$H18)</f>
        <v>11150.752574248627</v>
      </c>
      <c r="CA18" s="22">
        <f>CUSTO_GLOBAL[[#This Row],[CUSTO TOTAL MENSAL]]*12</f>
        <v>133809.03089098353</v>
      </c>
      <c r="CB18" s="24">
        <f>VLOOKUP($A18,tabCustoUnit[],COLUMN(CUSTO_GLOBAL[[#Headers],[ANO DA CCT]])-2,0)</f>
        <v>45658</v>
      </c>
      <c r="CC18" s="25" t="str">
        <f>VLOOKUP($A18,tabCustoUnit[],COLUMN(CUSTO_GLOBAL[[#Headers],[Nº DE PEDIDO DA CCT]])-2,0)</f>
        <v>-</v>
      </c>
      <c r="CD18" s="25" t="str">
        <f>VLOOKUP($A18,tabCustoUnit[],COLUMN(CUSTO_GLOBAL[[#Headers],[TERMO ADITIVO  ALTERAÇÃO DA CCT]])-2,0)</f>
        <v>-</v>
      </c>
      <c r="CF18" s="22"/>
      <c r="CG18" s="22"/>
    </row>
    <row r="19" spans="1:85" x14ac:dyDescent="0.25">
      <c r="A19" s="20" t="s">
        <v>1365</v>
      </c>
      <c r="B19" t="s">
        <v>25</v>
      </c>
      <c r="C19" t="s">
        <v>1247</v>
      </c>
      <c r="D19" t="s">
        <v>1010</v>
      </c>
      <c r="E19" s="20" t="s">
        <v>9</v>
      </c>
      <c r="F19" s="20" t="s">
        <v>10</v>
      </c>
      <c r="G19" s="20">
        <v>1</v>
      </c>
      <c r="H19" s="20">
        <v>0</v>
      </c>
      <c r="I19" s="21">
        <f>VLOOKUP($A19,tabCustoUnit[],COLUMN(CUSTO_GLOBAL[[#Headers],[Salário Base]])-2,0)*($G19-$H19)</f>
        <v>544.17999999999995</v>
      </c>
      <c r="J19" s="21">
        <f>VLOOKUP($A19,tabCustoUnit[],COLUMN(CUSTO_GLOBAL[[#Headers],[Adicional Periculosidade]])-2,0)*($G19-$H19)</f>
        <v>0</v>
      </c>
      <c r="K19" s="21">
        <f>VLOOKUP($A19,tabCustoUnit[],COLUMN(CUSTO_GLOBAL[[#Headers],[Adicional Insalubridade]])-2,0)*($G19-$H19)</f>
        <v>0</v>
      </c>
      <c r="L19" s="21">
        <f>VLOOKUP($A19,tabCustoUnit[],COLUMN(CUSTO_GLOBAL[[#Headers],[Adicional Noturno]])-2,0)*($G19-$H19)</f>
        <v>0</v>
      </c>
      <c r="M19" s="21">
        <f>VLOOKUP($A19,tabCustoUnit[],COLUMN(CUSTO_GLOBAL[[#Headers],[Adicional Motorista II (Gratificação)]])-2,0)*($G19-$H19)</f>
        <v>0</v>
      </c>
      <c r="N19" s="21">
        <f>VLOOKUP($A19,tabCustoUnit[],COLUMN(CUSTO_GLOBAL[[#Headers],[Adicional de Sobreaviso]])-2,0)*($G19-$H19)</f>
        <v>0</v>
      </c>
      <c r="O19" s="21">
        <f>VLOOKUP($A19,tabCustoUnit[],COLUMN(CUSTO_GLOBAL[[#Headers],[Horas Extras TI]])-2,0)*($G19-$H19)</f>
        <v>0</v>
      </c>
      <c r="P19" s="21">
        <f>VLOOKUP($A19,tabCustoUnit[],COLUMN(CUSTO_GLOBAL[[#Headers],[Adicional de Acúmulo de função]])-2,0)*($G19-$H19)</f>
        <v>19.590499999999999</v>
      </c>
      <c r="Q19" s="21">
        <f>VLOOKUP($A19,tabCustoUnit[],COLUMN(CUSTO_GLOBAL[[#Headers],[MODULO 1 - REMUNERAÇÃO ]])-2,0)*($G19-$H19)</f>
        <v>563.77049999999997</v>
      </c>
      <c r="R19" s="21">
        <f>VLOOKUP($A19,tabCustoUnit[],COLUMN(CUSTO_GLOBAL[[#Headers],[INSS]])-2,0)*($G19-$H19)</f>
        <v>112.75409999999999</v>
      </c>
      <c r="S19" s="21">
        <f>VLOOKUP($A19,tabCustoUnit[],COLUMN(CUSTO_GLOBAL[[#Headers],[SESI OU SESC]])-2,0)*($G19-$H19)</f>
        <v>8.4565574999999988</v>
      </c>
      <c r="T19" s="21">
        <f>VLOOKUP($A19,tabCustoUnit[],COLUMN(CUSTO_GLOBAL[[#Headers],[SENAI OU SENAC]])-2,0)*($G19-$H19)</f>
        <v>5.6377049999999995</v>
      </c>
      <c r="U19" s="21">
        <f>VLOOKUP($A19,tabCustoUnit[],COLUMN(CUSTO_GLOBAL[[#Headers],[INCRA]])-2,0)*($G19-$H19)</f>
        <v>1.1275409999999999</v>
      </c>
      <c r="V19" s="21">
        <f>VLOOKUP($A19,tabCustoUnit[],COLUMN(CUSTO_GLOBAL[[#Headers],[Salário Educação]])-2,0)*($G19-$H19)</f>
        <v>14.094262499999999</v>
      </c>
      <c r="W19" s="21">
        <f>VLOOKUP($A19,tabCustoUnit[],COLUMN(CUSTO_GLOBAL[[#Headers],[FGTS]])-2,0)*($G19-$H19)</f>
        <v>45.101639999999996</v>
      </c>
      <c r="X19" s="21">
        <f>VLOOKUP($A19,tabCustoUnit[],COLUMN(CUSTO_GLOBAL[[#Headers],[RAT Ajustado]])-2,0)*($G19-$H19)</f>
        <v>22.550819999999998</v>
      </c>
      <c r="Y19" s="21">
        <f>VLOOKUP($A19,tabCustoUnit[],COLUMN(CUSTO_GLOBAL[[#Headers],[SEBRAE]])-2,0)*($G19-$H19)</f>
        <v>3.3826229999999997</v>
      </c>
      <c r="Z19" s="21">
        <f>VLOOKUP($A19,tabCustoUnit[],COLUMN(CUSTO_GLOBAL[[#Headers],[Submódulo 2.1]])-2,0)*($G19-$H19)</f>
        <v>213.10524899999996</v>
      </c>
      <c r="AA19" s="21">
        <f>VLOOKUP($A19,tabCustoUnit[],COLUMN(CUSTO_GLOBAL[[#Headers],[13º salário (titular)]])-2,0)*($G19-$H19)</f>
        <v>46.980874999999997</v>
      </c>
      <c r="AB19" s="21">
        <f>VLOOKUP($A19,tabCustoUnit[],COLUMN(CUSTO_GLOBAL[[#Headers],[Férias e Adicional de Férias (titular)]])-2,0)*($G19-$H19)</f>
        <v>62.641166666666663</v>
      </c>
      <c r="AC19" s="21">
        <f>VLOOKUP($A19,tabCustoUnit[],COLUMN(CUSTO_GLOBAL[[#Headers],[Incidência do Submódulo 2.1 sobre 13º Salário, Férias e Adicional de Férias]])-2,0)*($G19-$H19)</f>
        <v>41.437131749999992</v>
      </c>
      <c r="AD19" s="21">
        <f>VLOOKUP($A19,tabCustoUnit[],COLUMN(CUSTO_GLOBAL[[#Headers],[Submódulo 2.2]])-2,0)*($G19-$H19)</f>
        <v>151.05917341666665</v>
      </c>
      <c r="AE19" s="22">
        <f>VLOOKUP($A19,tabCustoUnit[],COLUMN(CUSTO_GLOBAL[[#Headers],[Vale - Transporte (Descontada parcela do empregado)]])-2,0)*($G19-$H19)</f>
        <v>223.3492</v>
      </c>
      <c r="AF19" s="22">
        <f>VLOOKUP($A19,tabCustoUnit[],COLUMN(CUSTO_GLOBAL[[#Headers],[Vale - Alimentação (Descontada parcela do empregado)]])-2,0)*($G19-$H19)</f>
        <v>582</v>
      </c>
      <c r="AG19" s="22">
        <f>VLOOKUP($A19,tabCustoUnit[],COLUMN(CUSTO_GLOBAL[[#Headers],[Cesta Básica]])-2,0)*($G19-$H19)</f>
        <v>0</v>
      </c>
      <c r="AH19" s="22">
        <f>VLOOKUP($A19,tabCustoUnit[],COLUMN(CUSTO_GLOBAL[[#Headers],[PAF]])-2,0)*($G19-$H19)</f>
        <v>51.88</v>
      </c>
      <c r="AI19" s="22">
        <f>VLOOKUP($A19,tabCustoUnit[],COLUMN(CUSTO_GLOBAL[[#Headers],[PQM]])-2,0)*($G19-$H19)</f>
        <v>0</v>
      </c>
      <c r="AJ19" s="22">
        <v>0</v>
      </c>
      <c r="AK19" s="22">
        <f>VLOOKUP($A19,tabCustoUnit[],COLUMN(CUSTO_GLOBAL[[#Headers],[Seguro de Vida]])-2,0)*($G19-$H19)</f>
        <v>3.36</v>
      </c>
      <c r="AL19" s="22">
        <f>VLOOKUP($A19,tabCustoUnit[],COLUMN(CUSTO_GLOBAL[[#Headers],[Despesas de Viagem]])-2,0)*($G19-$H19)</f>
        <v>0</v>
      </c>
      <c r="AM19" s="22">
        <f>VLOOKUP($A19,tabCustoUnit[],COLUMN(CUSTO_GLOBAL[[#Headers],[Submódulo 2.3]])-2,0)*($G19-$H19)</f>
        <v>860.58920000000001</v>
      </c>
      <c r="AN19" s="22">
        <f>VLOOKUP($A19,tabCustoUnit[],COLUMN(CUSTO_GLOBAL[[#Headers],[MÓDULO 2 - Total Encargos e Benefícios mensais e diários]])-2,0)*($G19-$H19)</f>
        <v>1224.7536224166665</v>
      </c>
      <c r="AO19" s="22">
        <f>VLOOKUP($A19,tabCustoUnit[],COLUMN(CUSTO_GLOBAL[[#Headers],[Aviso Prévio Indenizado (API) e Reflexo do Aviso Prévio Indenizado]])-2,0)*($G19-$H19)</f>
        <v>3.9530273735532404</v>
      </c>
      <c r="AP19" s="22">
        <f>VLOOKUP($A19,tabCustoUnit[],COLUMN(CUSTO_GLOBAL[[#Headers],[Incidência do FGTS sobre API e Reflexo do API]])-2,0)*($G19-$H19)</f>
        <v>0.31624218988425928</v>
      </c>
      <c r="AQ19" s="22">
        <f>VLOOKUP($A19,tabCustoUnit[],COLUMN(CUSTO_GLOBAL[[#Headers],[Multa Rescisória do FGTS sobre o Aviso Prévio Indenizado]])-2,0)*($G19-$H19)</f>
        <v>0.12649687595370371</v>
      </c>
      <c r="AR19" s="22">
        <f>VLOOKUP($A19,tabCustoUnit[],COLUMN(CUSTO_GLOBAL[[#Headers],[Aviso Prévio Trabalhado - APT]])-2,0)*($G19-$H19)</f>
        <v>1.9731967500000003</v>
      </c>
      <c r="AS19" s="22">
        <f>VLOOKUP($A19,tabCustoUnit[],COLUMN(CUSTO_GLOBAL[[#Headers],[Incidência dos encargos do submódulo 2.1 sobre Aviso Prévio Trabalhado]])-2,0)*($G19-$H19)</f>
        <v>0.74586837150000018</v>
      </c>
      <c r="AT19" s="22">
        <f>VLOOKUP($A19,tabCustoUnit[],COLUMN(CUSTO_GLOBAL[[#Headers],[Multa Rescisória do FGTS]])-2,0)*($G19-$H19)</f>
        <v>17.238849066666663</v>
      </c>
      <c r="AU19" s="22">
        <f>VLOOKUP($A19,tabCustoUnit[],COLUMN(CUSTO_GLOBAL[[#Headers],[Indenização Adicional (Art. 9º da Lei nº 7.238/84)]])-2,0)*($G19-$H19)</f>
        <v>0.46980875</v>
      </c>
      <c r="AV19" s="22">
        <f>VLOOKUP($A19,tabCustoUnit[],COLUMN(CUSTO_GLOBAL[[#Headers],[MÓDULO 3 – PROVISÃO PARA RESCISÃO]])-2,0)*($G19-$H19)</f>
        <v>24.823489377557866</v>
      </c>
      <c r="AW19" s="22">
        <f>VLOOKUP($A19,tabCustoUnit[],COLUMN(CUSTO_GLOBAL[[#Headers],[Ausência por Doença]])-2,0)*($G19-$H19)</f>
        <v>4.7607286666666662</v>
      </c>
      <c r="AX19" s="22">
        <f>VLOOKUP($A19,tabCustoUnit[],COLUMN(CUSTO_GLOBAL[[#Headers],[Ausências Legais]])-2,0)*($G19-$H19)</f>
        <v>1.1432012916666665</v>
      </c>
      <c r="AY19" s="22">
        <f>VLOOKUP($A19,tabCustoUnit[],COLUMN(CUSTO_GLOBAL[[#Headers],[Licença Paternidade]])-2,0)*($G19-$H19)</f>
        <v>9.6310793749999998E-2</v>
      </c>
      <c r="AZ19" s="22">
        <f>VLOOKUP($A19,tabCustoUnit[],COLUMN(CUSTO_GLOBAL[[#Headers],[Ausência por Acidente de Trabalho]])-2,0)*($G19-$H19)</f>
        <v>0.1174521875</v>
      </c>
      <c r="BA19" s="22">
        <f>VLOOKUP($A19,tabCustoUnit[],COLUMN(CUSTO_GLOBAL[[#Headers],[Férias, Adicional de Férias e 13º  com empregada em gozo de Licença Maternidade]])-2,0)*($G19-$H19)</f>
        <v>0.73081361111111109</v>
      </c>
      <c r="BB19" s="22">
        <f>VLOOKUP($A19,tabCustoUnit[],COLUMN(CUSTO_GLOBAL[[#Headers],[Incidência do Submódulo 2.1 sobre Ausências Legais]])-2,0)*($G19-$H19)</f>
        <v>2.5887354761625003</v>
      </c>
      <c r="BC19" s="22">
        <f>VLOOKUP($A19,tabCustoUnit[],COLUMN(CUSTO_GLOBAL[[#Headers],[Submódulo 4.1]])-2,0)*($G19-$H19)</f>
        <v>9.4372420268569428</v>
      </c>
      <c r="BD19" s="22">
        <f>VLOOKUP($A19,tabCustoUnit[],COLUMN(CUSTO_GLOBAL[[#Headers],[Intervalo para Repouso ou Alimentação]])-2,0)*($G19-$H19)</f>
        <v>0</v>
      </c>
      <c r="BE19" s="22">
        <f>VLOOKUP($A19,tabCustoUnit[],COLUMN(CUSTO_GLOBAL[[#Headers],[Submódulo 4.2]])-2,0)*($G19-$H19)</f>
        <v>0</v>
      </c>
      <c r="BF19" s="22">
        <f>VLOOKUP($A19,tabCustoUnit[],COLUMN(CUSTO_GLOBAL[[#Headers],[Suspensão Temporária do Contrato de Trabalho]])-2,0)*($G19-$H19)</f>
        <v>0</v>
      </c>
      <c r="BG19" s="22">
        <f>VLOOKUP($A19,tabCustoUnit[],COLUMN(CUSTO_GLOBAL[[#Headers],[Submódulo 4.3]])-2,0)*($G19-$H19)</f>
        <v>0</v>
      </c>
      <c r="BH19" s="22">
        <f>VLOOKUP($A19,tabCustoUnit[],COLUMN(CUSTO_GLOBAL[[#Headers],[MÓDULO 4 – CUSTO DE REPOSIÇÃO DO PROFISSIONAL AUSENTE]])-2,0)*($G19-$H19)</f>
        <v>9.4372420268569428</v>
      </c>
      <c r="BI19" s="22">
        <f>VLOOKUP($A19,tabCustoUnit[],COLUMN(CUSTO_GLOBAL[[#Headers],[Uniformes e EPIs]])-2,0)*($G19-$H19)</f>
        <v>62.806666666666665</v>
      </c>
      <c r="BJ19" s="22">
        <f>VLOOKUP($A19,tabCustoUnit[],COLUMN(CUSTO_GLOBAL[[#Headers],[Materiais de Consumo]])-2,0)*($G19-$H19)</f>
        <v>12.108481690426325</v>
      </c>
      <c r="BK19" s="22">
        <f>VLOOKUP($A19,tabCustoUnit[],COLUMN(CUSTO_GLOBAL[[#Headers],[Máquinas e Equipamentos (depreciação)]])-2,0)*($G19-$H19)</f>
        <v>21.998657016417809</v>
      </c>
      <c r="BL19" s="22">
        <f>VLOOKUP($A19,tabCustoUnit[],COLUMN(CUSTO_GLOBAL[[#Headers],[Produtos de Limpeza e Materiais de Higiene Pessoal]])-2,0)*($G19-$H19)</f>
        <v>235.31984072022155</v>
      </c>
      <c r="BM19" s="22">
        <f>VLOOKUP($A19,tabCustoUnit[],COLUMN(CUSTO_GLOBAL[[#Headers],[Outros (especificar)]])-2,0)*($G19-$H19)</f>
        <v>0</v>
      </c>
      <c r="BN19" s="22">
        <f>VLOOKUP($A19,tabCustoUnit[],COLUMN(CUSTO_GLOBAL[[#Headers],[MÓDULO 5 – INSUMOS DIVERSOS]])-2,0)*($G19-$H19)</f>
        <v>332.23364609373232</v>
      </c>
      <c r="BO19" s="22">
        <f>VLOOKUP($A19,tabCustoUnit[],COLUMN(CUSTO_GLOBAL[[#Headers],[TOTAL MÓDULOS 1+2+3+4+5]])-2,0)*($G19-$H19)</f>
        <v>2155.0184999148137</v>
      </c>
      <c r="BP19" s="22">
        <f>VLOOKUP($A19,tabCustoUnit[],COLUMN(CUSTO_GLOBAL[[#Headers],[Custos Indiretos]])-2,0)*($G19-$H19)</f>
        <v>189.64880140242613</v>
      </c>
      <c r="BQ19" s="22">
        <f>VLOOKUP($A19,tabCustoUnit[],COLUMN(CUSTO_GLOBAL[[#Headers],[Lucro]])-2,0)*($G19-$H19)</f>
        <v>159.30499317803796</v>
      </c>
      <c r="BR19" s="26">
        <f>VLOOKUP($A19,tabCustoUnit[],COLUMN(CUSTO_GLOBAL[[#Headers],[COFINS]])-2,0)</f>
        <v>8.5633802816901458E-2</v>
      </c>
      <c r="BS19" s="26">
        <f>VLOOKUP($A19,tabCustoUnit[],COLUMN(CUSTO_GLOBAL[[#Headers],[PIS]])-2,0)</f>
        <v>1.8591549295774657E-2</v>
      </c>
      <c r="BT19" s="28">
        <f>VLOOKUP($A19,tabCustoUnit[],COLUMN(CUSTO_GLOBAL[[#Headers],[ISS]])-2,0)</f>
        <v>0.02</v>
      </c>
      <c r="BU19" s="26">
        <f>VLOOKUP($A19,tabCustoUnit[],COLUMN(CUSTO_GLOBAL[[#Headers],[ISS (Conversão Alíquota s/ fatura)]])-2,0)</f>
        <v>2.2535211267605645E-2</v>
      </c>
      <c r="BV19" s="26">
        <f>VLOOKUP($A19,tabCustoUnit[],COLUMN(CUSTO_GLOBAL[[#Headers],[Resumo de Alíquotas (PIS+CONFINS+ISS)]])-2,0)</f>
        <v>0.1125</v>
      </c>
      <c r="BW19" s="138">
        <f>VLOOKUP($A19,tabCustoUnit[],COLUMN(CUSTO_GLOBAL[[#Headers],[PIS + COFINS + ISS (Total Conversão  Alíquota s/ Fatura)]])-2,0)</f>
        <v>0.12676056338028174</v>
      </c>
      <c r="BX19" s="22">
        <f>VLOOKUP($A19,tabCustoUnit[],COLUMN(CUSTO_GLOBAL[[#Headers],[Valor dos Tributos (ISS, PIS, CONFINS)]])-2,0)*($G19-$H19)</f>
        <v>317.40493873883815</v>
      </c>
      <c r="BY19" s="22">
        <f>VLOOKUP($A19,tabCustoUnit[],COLUMN(CUSTO_GLOBAL[[#Headers],[MÓDULO 6 – CUSTOS INDIRETOS, TRIBUTOS E LUCRO]])-2,0)*($G19-$H19)</f>
        <v>666.35873331930225</v>
      </c>
      <c r="BZ19" s="22">
        <f>VLOOKUP($A19,tabCustoUnit[],COLUMN(CUSTO_GLOBAL[[#Headers],[CUSTO TOTAL MENSAL]])-2,0)*($G19-$H19)</f>
        <v>2821.3772332341159</v>
      </c>
      <c r="CA19" s="22">
        <f>CUSTO_GLOBAL[[#This Row],[CUSTO TOTAL MENSAL]]*12</f>
        <v>33856.526798809391</v>
      </c>
      <c r="CB19" s="24">
        <f>VLOOKUP($A19,tabCustoUnit[],COLUMN(CUSTO_GLOBAL[[#Headers],[ANO DA CCT]])-2,0)</f>
        <v>45658</v>
      </c>
      <c r="CC19" s="25" t="str">
        <f>VLOOKUP($A19,tabCustoUnit[],COLUMN(CUSTO_GLOBAL[[#Headers],[Nº DE PEDIDO DA CCT]])-2,0)</f>
        <v>-</v>
      </c>
      <c r="CD19" s="25" t="str">
        <f>VLOOKUP($A19,tabCustoUnit[],COLUMN(CUSTO_GLOBAL[[#Headers],[TERMO ADITIVO  ALTERAÇÃO DA CCT]])-2,0)</f>
        <v>-</v>
      </c>
      <c r="CF19" s="22"/>
      <c r="CG19" s="22"/>
    </row>
    <row r="20" spans="1:85" x14ac:dyDescent="0.25">
      <c r="A20" s="20" t="s">
        <v>1366</v>
      </c>
      <c r="B20" t="s">
        <v>26</v>
      </c>
      <c r="C20" t="s">
        <v>1244</v>
      </c>
      <c r="D20" t="s">
        <v>1023</v>
      </c>
      <c r="E20" s="20" t="s">
        <v>9</v>
      </c>
      <c r="F20" s="20" t="s">
        <v>10</v>
      </c>
      <c r="G20" s="20">
        <v>1</v>
      </c>
      <c r="H20" s="20">
        <v>0</v>
      </c>
      <c r="I20" s="21">
        <f>VLOOKUP($A20,tabCustoUnit[],COLUMN(CUSTO_GLOBAL[[#Headers],[Salário Base]])-2,0)*($G20-$H20)</f>
        <v>798.14</v>
      </c>
      <c r="J20" s="21">
        <f>VLOOKUP($A20,tabCustoUnit[],COLUMN(CUSTO_GLOBAL[[#Headers],[Adicional Periculosidade]])-2,0)*($G20-$H20)</f>
        <v>0</v>
      </c>
      <c r="K20" s="21">
        <f>VLOOKUP($A20,tabCustoUnit[],COLUMN(CUSTO_GLOBAL[[#Headers],[Adicional Insalubridade]])-2,0)*($G20-$H20)</f>
        <v>0</v>
      </c>
      <c r="L20" s="21">
        <f>VLOOKUP($A20,tabCustoUnit[],COLUMN(CUSTO_GLOBAL[[#Headers],[Adicional Noturno]])-2,0)*($G20-$H20)</f>
        <v>0</v>
      </c>
      <c r="M20" s="21">
        <f>VLOOKUP($A20,tabCustoUnit[],COLUMN(CUSTO_GLOBAL[[#Headers],[Adicional Motorista II (Gratificação)]])-2,0)*($G20-$H20)</f>
        <v>0</v>
      </c>
      <c r="N20" s="21">
        <f>VLOOKUP($A20,tabCustoUnit[],COLUMN(CUSTO_GLOBAL[[#Headers],[Adicional de Sobreaviso]])-2,0)*($G20-$H20)</f>
        <v>0</v>
      </c>
      <c r="O20" s="21">
        <f>VLOOKUP($A20,tabCustoUnit[],COLUMN(CUSTO_GLOBAL[[#Headers],[Horas Extras TI]])-2,0)*($G20-$H20)</f>
        <v>0</v>
      </c>
      <c r="P20" s="21">
        <f>VLOOKUP($A20,tabCustoUnit[],COLUMN(CUSTO_GLOBAL[[#Headers],[Adicional de Acúmulo de função]])-2,0)*($G20-$H20)</f>
        <v>26.120899999999999</v>
      </c>
      <c r="Q20" s="21">
        <f>VLOOKUP($A20,tabCustoUnit[],COLUMN(CUSTO_GLOBAL[[#Headers],[MODULO 1 - REMUNERAÇÃO ]])-2,0)*($G20-$H20)</f>
        <v>824.26089999999999</v>
      </c>
      <c r="R20" s="21">
        <f>VLOOKUP($A20,tabCustoUnit[],COLUMN(CUSTO_GLOBAL[[#Headers],[INSS]])-2,0)*($G20-$H20)</f>
        <v>164.85218</v>
      </c>
      <c r="S20" s="21">
        <f>VLOOKUP($A20,tabCustoUnit[],COLUMN(CUSTO_GLOBAL[[#Headers],[SESI OU SESC]])-2,0)*($G20-$H20)</f>
        <v>12.363913499999999</v>
      </c>
      <c r="T20" s="21">
        <f>VLOOKUP($A20,tabCustoUnit[],COLUMN(CUSTO_GLOBAL[[#Headers],[SENAI OU SENAC]])-2,0)*($G20-$H20)</f>
        <v>8.2426089999999999</v>
      </c>
      <c r="U20" s="21">
        <f>VLOOKUP($A20,tabCustoUnit[],COLUMN(CUSTO_GLOBAL[[#Headers],[INCRA]])-2,0)*($G20-$H20)</f>
        <v>1.6485217999999999</v>
      </c>
      <c r="V20" s="21">
        <f>VLOOKUP($A20,tabCustoUnit[],COLUMN(CUSTO_GLOBAL[[#Headers],[Salário Educação]])-2,0)*($G20-$H20)</f>
        <v>20.606522500000001</v>
      </c>
      <c r="W20" s="21">
        <f>VLOOKUP($A20,tabCustoUnit[],COLUMN(CUSTO_GLOBAL[[#Headers],[FGTS]])-2,0)*($G20-$H20)</f>
        <v>65.940871999999999</v>
      </c>
      <c r="X20" s="21">
        <f>VLOOKUP($A20,tabCustoUnit[],COLUMN(CUSTO_GLOBAL[[#Headers],[RAT Ajustado]])-2,0)*($G20-$H20)</f>
        <v>32.970435999999999</v>
      </c>
      <c r="Y20" s="21">
        <f>VLOOKUP($A20,tabCustoUnit[],COLUMN(CUSTO_GLOBAL[[#Headers],[SEBRAE]])-2,0)*($G20-$H20)</f>
        <v>4.9455654000000004</v>
      </c>
      <c r="Z20" s="21">
        <f>VLOOKUP($A20,tabCustoUnit[],COLUMN(CUSTO_GLOBAL[[#Headers],[Submódulo 2.1]])-2,0)*($G20-$H20)</f>
        <v>311.57062020000001</v>
      </c>
      <c r="AA20" s="21">
        <f>VLOOKUP($A20,tabCustoUnit[],COLUMN(CUSTO_GLOBAL[[#Headers],[13º salário (titular)]])-2,0)*($G20-$H20)</f>
        <v>68.688408333333328</v>
      </c>
      <c r="AB20" s="21">
        <f>VLOOKUP($A20,tabCustoUnit[],COLUMN(CUSTO_GLOBAL[[#Headers],[Férias e Adicional de Férias (titular)]])-2,0)*($G20-$H20)</f>
        <v>91.584544444444433</v>
      </c>
      <c r="AC20" s="21">
        <f>VLOOKUP($A20,tabCustoUnit[],COLUMN(CUSTO_GLOBAL[[#Headers],[Incidência do Submódulo 2.1 sobre 13º Salário, Férias e Adicional de Férias]])-2,0)*($G20-$H20)</f>
        <v>60.583176149999993</v>
      </c>
      <c r="AD20" s="21">
        <f>VLOOKUP($A20,tabCustoUnit[],COLUMN(CUSTO_GLOBAL[[#Headers],[Submódulo 2.2]])-2,0)*($G20-$H20)</f>
        <v>220.85612892777775</v>
      </c>
      <c r="AE20" s="22">
        <f>VLOOKUP($A20,tabCustoUnit[],COLUMN(CUSTO_GLOBAL[[#Headers],[Vale - Transporte (Descontada parcela do empregado)]])-2,0)*($G20-$H20)</f>
        <v>208.11160000000001</v>
      </c>
      <c r="AF20" s="22">
        <f>VLOOKUP($A20,tabCustoUnit[],COLUMN(CUSTO_GLOBAL[[#Headers],[Vale - Alimentação (Descontada parcela do empregado)]])-2,0)*($G20-$H20)</f>
        <v>582</v>
      </c>
      <c r="AG20" s="22">
        <f>VLOOKUP($A20,tabCustoUnit[],COLUMN(CUSTO_GLOBAL[[#Headers],[Cesta Básica]])-2,0)*($G20-$H20)</f>
        <v>0</v>
      </c>
      <c r="AH20" s="22">
        <f>VLOOKUP($A20,tabCustoUnit[],COLUMN(CUSTO_GLOBAL[[#Headers],[PAF]])-2,0)*($G20-$H20)</f>
        <v>0</v>
      </c>
      <c r="AI20" s="22">
        <f>VLOOKUP($A20,tabCustoUnit[],COLUMN(CUSTO_GLOBAL[[#Headers],[PQM]])-2,0)*($G20-$H20)</f>
        <v>0</v>
      </c>
      <c r="AJ20" s="22">
        <v>0</v>
      </c>
      <c r="AK20" s="22">
        <f>VLOOKUP($A20,tabCustoUnit[],COLUMN(CUSTO_GLOBAL[[#Headers],[Seguro de Vida]])-2,0)*($G20-$H20)</f>
        <v>3.36</v>
      </c>
      <c r="AL20" s="22">
        <f>VLOOKUP($A20,tabCustoUnit[],COLUMN(CUSTO_GLOBAL[[#Headers],[Despesas de Viagem]])-2,0)*($G20-$H20)</f>
        <v>0</v>
      </c>
      <c r="AM20" s="22">
        <f>VLOOKUP($A20,tabCustoUnit[],COLUMN(CUSTO_GLOBAL[[#Headers],[Submódulo 2.3]])-2,0)*($G20-$H20)</f>
        <v>793.47159999999997</v>
      </c>
      <c r="AN20" s="22">
        <f>VLOOKUP($A20,tabCustoUnit[],COLUMN(CUSTO_GLOBAL[[#Headers],[MÓDULO 2 - Total Encargos e Benefícios mensais e diários]])-2,0)*($G20-$H20)</f>
        <v>1325.8983491277777</v>
      </c>
      <c r="AO20" s="22">
        <f>VLOOKUP($A20,tabCustoUnit[],COLUMN(CUSTO_GLOBAL[[#Headers],[Aviso Prévio Indenizado (API) e Reflexo do Aviso Prévio Indenizado]])-2,0)*($G20-$H20)</f>
        <v>5.7795253576581791</v>
      </c>
      <c r="AP20" s="22">
        <f>VLOOKUP($A20,tabCustoUnit[],COLUMN(CUSTO_GLOBAL[[#Headers],[Incidência do FGTS sobre API e Reflexo do API]])-2,0)*($G20-$H20)</f>
        <v>0.46236202861265435</v>
      </c>
      <c r="AQ20" s="22">
        <f>VLOOKUP($A20,tabCustoUnit[],COLUMN(CUSTO_GLOBAL[[#Headers],[Multa Rescisória do FGTS sobre o Aviso Prévio Indenizado]])-2,0)*($G20-$H20)</f>
        <v>0.18494481144506175</v>
      </c>
      <c r="AR20" s="22">
        <f>VLOOKUP($A20,tabCustoUnit[],COLUMN(CUSTO_GLOBAL[[#Headers],[Aviso Prévio Trabalhado - APT]])-2,0)*($G20-$H20)</f>
        <v>2.8849131500000005</v>
      </c>
      <c r="AS20" s="22">
        <f>VLOOKUP($A20,tabCustoUnit[],COLUMN(CUSTO_GLOBAL[[#Headers],[Incidência dos encargos do submódulo 2.1 sobre Aviso Prévio Trabalhado]])-2,0)*($G20-$H20)</f>
        <v>1.0904971707000004</v>
      </c>
      <c r="AT20" s="22">
        <f>VLOOKUP($A20,tabCustoUnit[],COLUMN(CUSTO_GLOBAL[[#Headers],[Multa Rescisória do FGTS]])-2,0)*($G20-$H20)</f>
        <v>25.204066631111107</v>
      </c>
      <c r="AU20" s="22">
        <f>VLOOKUP($A20,tabCustoUnit[],COLUMN(CUSTO_GLOBAL[[#Headers],[Indenização Adicional (Art. 9º da Lei nº 7.238/84)]])-2,0)*($G20-$H20)</f>
        <v>0.6868840833333334</v>
      </c>
      <c r="AV20" s="22">
        <f>VLOOKUP($A20,tabCustoUnit[],COLUMN(CUSTO_GLOBAL[[#Headers],[MÓDULO 3 – PROVISÃO PARA RESCISÃO]])-2,0)*($G20-$H20)</f>
        <v>36.293193232860339</v>
      </c>
      <c r="AW20" s="22">
        <f>VLOOKUP($A20,tabCustoUnit[],COLUMN(CUSTO_GLOBAL[[#Headers],[Ausência por Doença]])-2,0)*($G20-$H20)</f>
        <v>6.9604253777777769</v>
      </c>
      <c r="AX20" s="22">
        <f>VLOOKUP($A20,tabCustoUnit[],COLUMN(CUSTO_GLOBAL[[#Headers],[Ausências Legais]])-2,0)*($G20-$H20)</f>
        <v>1.671417936111111</v>
      </c>
      <c r="AY20" s="22">
        <f>VLOOKUP($A20,tabCustoUnit[],COLUMN(CUSTO_GLOBAL[[#Headers],[Licença Paternidade]])-2,0)*($G20-$H20)</f>
        <v>0.14081123708333332</v>
      </c>
      <c r="AZ20" s="22">
        <f>VLOOKUP($A20,tabCustoUnit[],COLUMN(CUSTO_GLOBAL[[#Headers],[Ausência por Acidente de Trabalho]])-2,0)*($G20-$H20)</f>
        <v>0.17172102083333335</v>
      </c>
      <c r="BA20" s="22">
        <f>VLOOKUP($A20,tabCustoUnit[],COLUMN(CUSTO_GLOBAL[[#Headers],[Férias, Adicional de Férias e 13º  com empregada em gozo de Licença Maternidade]])-2,0)*($G20-$H20)</f>
        <v>1.0684863518518517</v>
      </c>
      <c r="BB20" s="22">
        <f>VLOOKUP($A20,tabCustoUnit[],COLUMN(CUSTO_GLOBAL[[#Headers],[Incidência do Submódulo 2.1 sobre Ausências Legais]])-2,0)*($G20-$H20)</f>
        <v>3.7848618071425006</v>
      </c>
      <c r="BC20" s="22">
        <f>VLOOKUP($A20,tabCustoUnit[],COLUMN(CUSTO_GLOBAL[[#Headers],[Submódulo 4.1]])-2,0)*($G20-$H20)</f>
        <v>13.797723730799909</v>
      </c>
      <c r="BD20" s="22">
        <f>VLOOKUP($A20,tabCustoUnit[],COLUMN(CUSTO_GLOBAL[[#Headers],[Intervalo para Repouso ou Alimentação]])-2,0)*($G20-$H20)</f>
        <v>0</v>
      </c>
      <c r="BE20" s="22">
        <f>VLOOKUP($A20,tabCustoUnit[],COLUMN(CUSTO_GLOBAL[[#Headers],[Submódulo 4.2]])-2,0)*($G20-$H20)</f>
        <v>0</v>
      </c>
      <c r="BF20" s="22">
        <f>VLOOKUP($A20,tabCustoUnit[],COLUMN(CUSTO_GLOBAL[[#Headers],[Suspensão Temporária do Contrato de Trabalho]])-2,0)*($G20-$H20)</f>
        <v>0</v>
      </c>
      <c r="BG20" s="22">
        <f>VLOOKUP($A20,tabCustoUnit[],COLUMN(CUSTO_GLOBAL[[#Headers],[Submódulo 4.3]])-2,0)*($G20-$H20)</f>
        <v>0</v>
      </c>
      <c r="BH20" s="22">
        <f>VLOOKUP($A20,tabCustoUnit[],COLUMN(CUSTO_GLOBAL[[#Headers],[MÓDULO 4 – CUSTO DE REPOSIÇÃO DO PROFISSIONAL AUSENTE]])-2,0)*($G20-$H20)</f>
        <v>13.797723730799909</v>
      </c>
      <c r="BI20" s="22">
        <f>VLOOKUP($A20,tabCustoUnit[],COLUMN(CUSTO_GLOBAL[[#Headers],[Uniformes e EPIs]])-2,0)*($G20-$H20)</f>
        <v>62.806666666666665</v>
      </c>
      <c r="BJ20" s="22">
        <f>VLOOKUP($A20,tabCustoUnit[],COLUMN(CUSTO_GLOBAL[[#Headers],[Materiais de Consumo]])-2,0)*($G20-$H20)</f>
        <v>17.759106479291944</v>
      </c>
      <c r="BK20" s="22">
        <f>VLOOKUP($A20,tabCustoUnit[],COLUMN(CUSTO_GLOBAL[[#Headers],[Máquinas e Equipamentos (depreciação)]])-2,0)*($G20-$H20)</f>
        <v>32.264696957412788</v>
      </c>
      <c r="BL20" s="22">
        <f>VLOOKUP($A20,tabCustoUnit[],COLUMN(CUSTO_GLOBAL[[#Headers],[Produtos de Limpeza e Materiais de Higiene Pessoal]])-2,0)*($G20-$H20)</f>
        <v>345.13576638965827</v>
      </c>
      <c r="BM20" s="22">
        <f>VLOOKUP($A20,tabCustoUnit[],COLUMN(CUSTO_GLOBAL[[#Headers],[Outros (especificar)]])-2,0)*($G20-$H20)</f>
        <v>0</v>
      </c>
      <c r="BN20" s="22">
        <f>VLOOKUP($A20,tabCustoUnit[],COLUMN(CUSTO_GLOBAL[[#Headers],[MÓDULO 5 – INSUMOS DIVERSOS]])-2,0)*($G20-$H20)</f>
        <v>457.96623649302967</v>
      </c>
      <c r="BO20" s="22">
        <f>VLOOKUP($A20,tabCustoUnit[],COLUMN(CUSTO_GLOBAL[[#Headers],[TOTAL MÓDULOS 1+2+3+4+5]])-2,0)*($G20-$H20)</f>
        <v>2658.2164025844677</v>
      </c>
      <c r="BP20" s="22">
        <f>VLOOKUP($A20,tabCustoUnit[],COLUMN(CUSTO_GLOBAL[[#Headers],[Custos Indiretos]])-2,0)*($G20-$H20)</f>
        <v>189.64880140242613</v>
      </c>
      <c r="BQ20" s="22">
        <f>VLOOKUP($A20,tabCustoUnit[],COLUMN(CUSTO_GLOBAL[[#Headers],[Lucro]])-2,0)*($G20-$H20)</f>
        <v>159.30499317803796</v>
      </c>
      <c r="BR20" s="26">
        <f>VLOOKUP($A20,tabCustoUnit[],COLUMN(CUSTO_GLOBAL[[#Headers],[COFINS]])-2,0)</f>
        <v>8.7608069164265154E-2</v>
      </c>
      <c r="BS20" s="26">
        <f>VLOOKUP($A20,tabCustoUnit[],COLUMN(CUSTO_GLOBAL[[#Headers],[PIS]])-2,0)</f>
        <v>1.9020172910662814E-2</v>
      </c>
      <c r="BT20" s="28">
        <f>VLOOKUP($A20,tabCustoUnit[],COLUMN(CUSTO_GLOBAL[[#Headers],[ISS]])-2,0)</f>
        <v>0.04</v>
      </c>
      <c r="BU20" s="26">
        <f>VLOOKUP($A20,tabCustoUnit[],COLUMN(CUSTO_GLOBAL[[#Headers],[ISS (Conversão Alíquota s/ fatura)]])-2,0)</f>
        <v>4.6109510086455294E-2</v>
      </c>
      <c r="BV20" s="26">
        <f>VLOOKUP($A20,tabCustoUnit[],COLUMN(CUSTO_GLOBAL[[#Headers],[Resumo de Alíquotas (PIS+CONFINS+ISS)]])-2,0)</f>
        <v>0.13250000000000001</v>
      </c>
      <c r="BW20" s="138">
        <f>VLOOKUP($A20,tabCustoUnit[],COLUMN(CUSTO_GLOBAL[[#Headers],[PIS + COFINS + ISS (Total Conversão  Alíquota s/ Fatura)]])-2,0)</f>
        <v>0.15273775216138324</v>
      </c>
      <c r="BX20" s="22">
        <f>VLOOKUP($A20,tabCustoUnit[],COLUMN(CUSTO_GLOBAL[[#Headers],[Valor dos Tributos (ISS, PIS, CONFINS)]])-2,0)*($G20-$H20)</f>
        <v>459.30841628167536</v>
      </c>
      <c r="BY20" s="22">
        <f>VLOOKUP($A20,tabCustoUnit[],COLUMN(CUSTO_GLOBAL[[#Headers],[MÓDULO 6 – CUSTOS INDIRETOS, TRIBUTOS E LUCRO]])-2,0)*($G20-$H20)</f>
        <v>808.26221086213945</v>
      </c>
      <c r="BZ20" s="22">
        <f>VLOOKUP($A20,tabCustoUnit[],COLUMN(CUSTO_GLOBAL[[#Headers],[CUSTO TOTAL MENSAL]])-2,0)*($G20-$H20)</f>
        <v>3466.4786134466071</v>
      </c>
      <c r="CA20" s="22">
        <f>CUSTO_GLOBAL[[#This Row],[CUSTO TOTAL MENSAL]]*12</f>
        <v>41597.743361359288</v>
      </c>
      <c r="CB20" s="24">
        <f>VLOOKUP($A20,tabCustoUnit[],COLUMN(CUSTO_GLOBAL[[#Headers],[ANO DA CCT]])-2,0)</f>
        <v>45658</v>
      </c>
      <c r="CC20" s="25" t="str">
        <f>VLOOKUP($A20,tabCustoUnit[],COLUMN(CUSTO_GLOBAL[[#Headers],[Nº DE PEDIDO DA CCT]])-2,0)</f>
        <v>-</v>
      </c>
      <c r="CD20" s="25" t="str">
        <f>VLOOKUP($A20,tabCustoUnit[],COLUMN(CUSTO_GLOBAL[[#Headers],[TERMO ADITIVO  ALTERAÇÃO DA CCT]])-2,0)</f>
        <v>-</v>
      </c>
      <c r="CF20" s="22"/>
      <c r="CG20" s="22"/>
    </row>
    <row r="21" spans="1:85" x14ac:dyDescent="0.25">
      <c r="A21" s="20" t="s">
        <v>1367</v>
      </c>
      <c r="B21" t="s">
        <v>27</v>
      </c>
      <c r="C21" t="s">
        <v>1247</v>
      </c>
      <c r="D21" t="s">
        <v>1000</v>
      </c>
      <c r="E21" s="20" t="s">
        <v>9</v>
      </c>
      <c r="F21" s="20" t="s">
        <v>10</v>
      </c>
      <c r="G21" s="20">
        <v>1</v>
      </c>
      <c r="H21" s="20">
        <v>0</v>
      </c>
      <c r="I21" s="21">
        <f>VLOOKUP($A21,tabCustoUnit[],COLUMN(CUSTO_GLOBAL[[#Headers],[Salário Base]])-2,0)*($G21-$H21)</f>
        <v>544.17999999999995</v>
      </c>
      <c r="J21" s="21">
        <f>VLOOKUP($A21,tabCustoUnit[],COLUMN(CUSTO_GLOBAL[[#Headers],[Adicional Periculosidade]])-2,0)*($G21-$H21)</f>
        <v>0</v>
      </c>
      <c r="K21" s="21">
        <f>VLOOKUP($A21,tabCustoUnit[],COLUMN(CUSTO_GLOBAL[[#Headers],[Adicional Insalubridade]])-2,0)*($G21-$H21)</f>
        <v>0</v>
      </c>
      <c r="L21" s="21">
        <f>VLOOKUP($A21,tabCustoUnit[],COLUMN(CUSTO_GLOBAL[[#Headers],[Adicional Noturno]])-2,0)*($G21-$H21)</f>
        <v>0</v>
      </c>
      <c r="M21" s="21">
        <f>VLOOKUP($A21,tabCustoUnit[],COLUMN(CUSTO_GLOBAL[[#Headers],[Adicional Motorista II (Gratificação)]])-2,0)*($G21-$H21)</f>
        <v>0</v>
      </c>
      <c r="N21" s="21">
        <f>VLOOKUP($A21,tabCustoUnit[],COLUMN(CUSTO_GLOBAL[[#Headers],[Adicional de Sobreaviso]])-2,0)*($G21-$H21)</f>
        <v>0</v>
      </c>
      <c r="O21" s="21">
        <f>VLOOKUP($A21,tabCustoUnit[],COLUMN(CUSTO_GLOBAL[[#Headers],[Horas Extras TI]])-2,0)*($G21-$H21)</f>
        <v>0</v>
      </c>
      <c r="P21" s="21">
        <f>VLOOKUP($A21,tabCustoUnit[],COLUMN(CUSTO_GLOBAL[[#Headers],[Adicional de Acúmulo de função]])-2,0)*($G21-$H21)</f>
        <v>19.590499999999999</v>
      </c>
      <c r="Q21" s="21">
        <f>VLOOKUP($A21,tabCustoUnit[],COLUMN(CUSTO_GLOBAL[[#Headers],[MODULO 1 - REMUNERAÇÃO ]])-2,0)*($G21-$H21)</f>
        <v>563.77049999999997</v>
      </c>
      <c r="R21" s="21">
        <f>VLOOKUP($A21,tabCustoUnit[],COLUMN(CUSTO_GLOBAL[[#Headers],[INSS]])-2,0)*($G21-$H21)</f>
        <v>112.75409999999999</v>
      </c>
      <c r="S21" s="21">
        <f>VLOOKUP($A21,tabCustoUnit[],COLUMN(CUSTO_GLOBAL[[#Headers],[SESI OU SESC]])-2,0)*($G21-$H21)</f>
        <v>8.4565574999999988</v>
      </c>
      <c r="T21" s="21">
        <f>VLOOKUP($A21,tabCustoUnit[],COLUMN(CUSTO_GLOBAL[[#Headers],[SENAI OU SENAC]])-2,0)*($G21-$H21)</f>
        <v>5.6377049999999995</v>
      </c>
      <c r="U21" s="21">
        <f>VLOOKUP($A21,tabCustoUnit[],COLUMN(CUSTO_GLOBAL[[#Headers],[INCRA]])-2,0)*($G21-$H21)</f>
        <v>1.1275409999999999</v>
      </c>
      <c r="V21" s="21">
        <f>VLOOKUP($A21,tabCustoUnit[],COLUMN(CUSTO_GLOBAL[[#Headers],[Salário Educação]])-2,0)*($G21-$H21)</f>
        <v>14.094262499999999</v>
      </c>
      <c r="W21" s="21">
        <f>VLOOKUP($A21,tabCustoUnit[],COLUMN(CUSTO_GLOBAL[[#Headers],[FGTS]])-2,0)*($G21-$H21)</f>
        <v>45.101639999999996</v>
      </c>
      <c r="X21" s="21">
        <f>VLOOKUP($A21,tabCustoUnit[],COLUMN(CUSTO_GLOBAL[[#Headers],[RAT Ajustado]])-2,0)*($G21-$H21)</f>
        <v>22.550819999999998</v>
      </c>
      <c r="Y21" s="21">
        <f>VLOOKUP($A21,tabCustoUnit[],COLUMN(CUSTO_GLOBAL[[#Headers],[SEBRAE]])-2,0)*($G21-$H21)</f>
        <v>3.3826229999999997</v>
      </c>
      <c r="Z21" s="21">
        <f>VLOOKUP($A21,tabCustoUnit[],COLUMN(CUSTO_GLOBAL[[#Headers],[Submódulo 2.1]])-2,0)*($G21-$H21)</f>
        <v>213.10524899999996</v>
      </c>
      <c r="AA21" s="21">
        <f>VLOOKUP($A21,tabCustoUnit[],COLUMN(CUSTO_GLOBAL[[#Headers],[13º salário (titular)]])-2,0)*($G21-$H21)</f>
        <v>46.980874999999997</v>
      </c>
      <c r="AB21" s="21">
        <f>VLOOKUP($A21,tabCustoUnit[],COLUMN(CUSTO_GLOBAL[[#Headers],[Férias e Adicional de Férias (titular)]])-2,0)*($G21-$H21)</f>
        <v>62.641166666666663</v>
      </c>
      <c r="AC21" s="21">
        <f>VLOOKUP($A21,tabCustoUnit[],COLUMN(CUSTO_GLOBAL[[#Headers],[Incidência do Submódulo 2.1 sobre 13º Salário, Férias e Adicional de Férias]])-2,0)*($G21-$H21)</f>
        <v>41.437131749999992</v>
      </c>
      <c r="AD21" s="21">
        <f>VLOOKUP($A21,tabCustoUnit[],COLUMN(CUSTO_GLOBAL[[#Headers],[Submódulo 2.2]])-2,0)*($G21-$H21)</f>
        <v>151.05917341666665</v>
      </c>
      <c r="AE21" s="22">
        <f>VLOOKUP($A21,tabCustoUnit[],COLUMN(CUSTO_GLOBAL[[#Headers],[Vale - Transporte (Descontada parcela do empregado)]])-2,0)*($G21-$H21)</f>
        <v>223.3492</v>
      </c>
      <c r="AF21" s="22">
        <f>VLOOKUP($A21,tabCustoUnit[],COLUMN(CUSTO_GLOBAL[[#Headers],[Vale - Alimentação (Descontada parcela do empregado)]])-2,0)*($G21-$H21)</f>
        <v>582</v>
      </c>
      <c r="AG21" s="22">
        <f>VLOOKUP($A21,tabCustoUnit[],COLUMN(CUSTO_GLOBAL[[#Headers],[Cesta Básica]])-2,0)*($G21-$H21)</f>
        <v>0</v>
      </c>
      <c r="AH21" s="22">
        <f>VLOOKUP($A21,tabCustoUnit[],COLUMN(CUSTO_GLOBAL[[#Headers],[PAF]])-2,0)*($G21-$H21)</f>
        <v>0</v>
      </c>
      <c r="AI21" s="22">
        <f>VLOOKUP($A21,tabCustoUnit[],COLUMN(CUSTO_GLOBAL[[#Headers],[PQM]])-2,0)*($G21-$H21)</f>
        <v>15.07</v>
      </c>
      <c r="AJ21" s="22">
        <v>0</v>
      </c>
      <c r="AK21" s="22">
        <f>VLOOKUP($A21,tabCustoUnit[],COLUMN(CUSTO_GLOBAL[[#Headers],[Seguro de Vida]])-2,0)*($G21-$H21)</f>
        <v>3.36</v>
      </c>
      <c r="AL21" s="22">
        <f>VLOOKUP($A21,tabCustoUnit[],COLUMN(CUSTO_GLOBAL[[#Headers],[Despesas de Viagem]])-2,0)*($G21-$H21)</f>
        <v>0</v>
      </c>
      <c r="AM21" s="22">
        <f>VLOOKUP($A21,tabCustoUnit[],COLUMN(CUSTO_GLOBAL[[#Headers],[Submódulo 2.3]])-2,0)*($G21-$H21)</f>
        <v>823.77920000000006</v>
      </c>
      <c r="AN21" s="22">
        <f>VLOOKUP($A21,tabCustoUnit[],COLUMN(CUSTO_GLOBAL[[#Headers],[MÓDULO 2 - Total Encargos e Benefícios mensais e diários]])-2,0)*($G21-$H21)</f>
        <v>1187.9436224166666</v>
      </c>
      <c r="AO21" s="22">
        <f>VLOOKUP($A21,tabCustoUnit[],COLUMN(CUSTO_GLOBAL[[#Headers],[Aviso Prévio Indenizado (API) e Reflexo do Aviso Prévio Indenizado]])-2,0)*($G21-$H21)</f>
        <v>3.9530273735532404</v>
      </c>
      <c r="AP21" s="22">
        <f>VLOOKUP($A21,tabCustoUnit[],COLUMN(CUSTO_GLOBAL[[#Headers],[Incidência do FGTS sobre API e Reflexo do API]])-2,0)*($G21-$H21)</f>
        <v>0.31624218988425928</v>
      </c>
      <c r="AQ21" s="22">
        <f>VLOOKUP($A21,tabCustoUnit[],COLUMN(CUSTO_GLOBAL[[#Headers],[Multa Rescisória do FGTS sobre o Aviso Prévio Indenizado]])-2,0)*($G21-$H21)</f>
        <v>0.12649687595370371</v>
      </c>
      <c r="AR21" s="22">
        <f>VLOOKUP($A21,tabCustoUnit[],COLUMN(CUSTO_GLOBAL[[#Headers],[Aviso Prévio Trabalhado - APT]])-2,0)*($G21-$H21)</f>
        <v>1.9731967500000003</v>
      </c>
      <c r="AS21" s="22">
        <f>VLOOKUP($A21,tabCustoUnit[],COLUMN(CUSTO_GLOBAL[[#Headers],[Incidência dos encargos do submódulo 2.1 sobre Aviso Prévio Trabalhado]])-2,0)*($G21-$H21)</f>
        <v>0.74586837150000018</v>
      </c>
      <c r="AT21" s="22">
        <f>VLOOKUP($A21,tabCustoUnit[],COLUMN(CUSTO_GLOBAL[[#Headers],[Multa Rescisória do FGTS]])-2,0)*($G21-$H21)</f>
        <v>17.238849066666663</v>
      </c>
      <c r="AU21" s="22">
        <f>VLOOKUP($A21,tabCustoUnit[],COLUMN(CUSTO_GLOBAL[[#Headers],[Indenização Adicional (Art. 9º da Lei nº 7.238/84)]])-2,0)*($G21-$H21)</f>
        <v>0.46980875</v>
      </c>
      <c r="AV21" s="22">
        <f>VLOOKUP($A21,tabCustoUnit[],COLUMN(CUSTO_GLOBAL[[#Headers],[MÓDULO 3 – PROVISÃO PARA RESCISÃO]])-2,0)*($G21-$H21)</f>
        <v>24.823489377557866</v>
      </c>
      <c r="AW21" s="22">
        <f>VLOOKUP($A21,tabCustoUnit[],COLUMN(CUSTO_GLOBAL[[#Headers],[Ausência por Doença]])-2,0)*($G21-$H21)</f>
        <v>4.7607286666666662</v>
      </c>
      <c r="AX21" s="22">
        <f>VLOOKUP($A21,tabCustoUnit[],COLUMN(CUSTO_GLOBAL[[#Headers],[Ausências Legais]])-2,0)*($G21-$H21)</f>
        <v>1.1432012916666665</v>
      </c>
      <c r="AY21" s="22">
        <f>VLOOKUP($A21,tabCustoUnit[],COLUMN(CUSTO_GLOBAL[[#Headers],[Licença Paternidade]])-2,0)*($G21-$H21)</f>
        <v>9.6310793749999998E-2</v>
      </c>
      <c r="AZ21" s="22">
        <f>VLOOKUP($A21,tabCustoUnit[],COLUMN(CUSTO_GLOBAL[[#Headers],[Ausência por Acidente de Trabalho]])-2,0)*($G21-$H21)</f>
        <v>0.1174521875</v>
      </c>
      <c r="BA21" s="22">
        <f>VLOOKUP($A21,tabCustoUnit[],COLUMN(CUSTO_GLOBAL[[#Headers],[Férias, Adicional de Férias e 13º  com empregada em gozo de Licença Maternidade]])-2,0)*($G21-$H21)</f>
        <v>0.73081361111111109</v>
      </c>
      <c r="BB21" s="22">
        <f>VLOOKUP($A21,tabCustoUnit[],COLUMN(CUSTO_GLOBAL[[#Headers],[Incidência do Submódulo 2.1 sobre Ausências Legais]])-2,0)*($G21-$H21)</f>
        <v>2.5887354761625003</v>
      </c>
      <c r="BC21" s="22">
        <f>VLOOKUP($A21,tabCustoUnit[],COLUMN(CUSTO_GLOBAL[[#Headers],[Submódulo 4.1]])-2,0)*($G21-$H21)</f>
        <v>9.4372420268569428</v>
      </c>
      <c r="BD21" s="22">
        <f>VLOOKUP($A21,tabCustoUnit[],COLUMN(CUSTO_GLOBAL[[#Headers],[Intervalo para Repouso ou Alimentação]])-2,0)*($G21-$H21)</f>
        <v>0</v>
      </c>
      <c r="BE21" s="22">
        <f>VLOOKUP($A21,tabCustoUnit[],COLUMN(CUSTO_GLOBAL[[#Headers],[Submódulo 4.2]])-2,0)*($G21-$H21)</f>
        <v>0</v>
      </c>
      <c r="BF21" s="22">
        <f>VLOOKUP($A21,tabCustoUnit[],COLUMN(CUSTO_GLOBAL[[#Headers],[Suspensão Temporária do Contrato de Trabalho]])-2,0)*($G21-$H21)</f>
        <v>0</v>
      </c>
      <c r="BG21" s="22">
        <f>VLOOKUP($A21,tabCustoUnit[],COLUMN(CUSTO_GLOBAL[[#Headers],[Submódulo 4.3]])-2,0)*($G21-$H21)</f>
        <v>0</v>
      </c>
      <c r="BH21" s="22">
        <f>VLOOKUP($A21,tabCustoUnit[],COLUMN(CUSTO_GLOBAL[[#Headers],[MÓDULO 4 – CUSTO DE REPOSIÇÃO DO PROFISSIONAL AUSENTE]])-2,0)*($G21-$H21)</f>
        <v>9.4372420268569428</v>
      </c>
      <c r="BI21" s="22">
        <f>VLOOKUP($A21,tabCustoUnit[],COLUMN(CUSTO_GLOBAL[[#Headers],[Uniformes e EPIs]])-2,0)*($G21-$H21)</f>
        <v>62.806666666666665</v>
      </c>
      <c r="BJ21" s="22">
        <f>VLOOKUP($A21,tabCustoUnit[],COLUMN(CUSTO_GLOBAL[[#Headers],[Materiais de Consumo]])-2,0)*($G21-$H21)</f>
        <v>12.108481690426325</v>
      </c>
      <c r="BK21" s="22">
        <f>VLOOKUP($A21,tabCustoUnit[],COLUMN(CUSTO_GLOBAL[[#Headers],[Máquinas e Equipamentos (depreciação)]])-2,0)*($G21-$H21)</f>
        <v>21.998657016417809</v>
      </c>
      <c r="BL21" s="22">
        <f>VLOOKUP($A21,tabCustoUnit[],COLUMN(CUSTO_GLOBAL[[#Headers],[Produtos de Limpeza e Materiais de Higiene Pessoal]])-2,0)*($G21-$H21)</f>
        <v>235.31984072022155</v>
      </c>
      <c r="BM21" s="22">
        <f>VLOOKUP($A21,tabCustoUnit[],COLUMN(CUSTO_GLOBAL[[#Headers],[Outros (especificar)]])-2,0)*($G21-$H21)</f>
        <v>0</v>
      </c>
      <c r="BN21" s="22">
        <f>VLOOKUP($A21,tabCustoUnit[],COLUMN(CUSTO_GLOBAL[[#Headers],[MÓDULO 5 – INSUMOS DIVERSOS]])-2,0)*($G21-$H21)</f>
        <v>332.23364609373232</v>
      </c>
      <c r="BO21" s="22">
        <f>VLOOKUP($A21,tabCustoUnit[],COLUMN(CUSTO_GLOBAL[[#Headers],[TOTAL MÓDULOS 1+2+3+4+5]])-2,0)*($G21-$H21)</f>
        <v>2118.2084999148137</v>
      </c>
      <c r="BP21" s="22">
        <f>VLOOKUP($A21,tabCustoUnit[],COLUMN(CUSTO_GLOBAL[[#Headers],[Custos Indiretos]])-2,0)*($G21-$H21)</f>
        <v>189.64880140242613</v>
      </c>
      <c r="BQ21" s="22">
        <f>VLOOKUP($A21,tabCustoUnit[],COLUMN(CUSTO_GLOBAL[[#Headers],[Lucro]])-2,0)*($G21-$H21)</f>
        <v>159.30499317803796</v>
      </c>
      <c r="BR21" s="26">
        <f>VLOOKUP($A21,tabCustoUnit[],COLUMN(CUSTO_GLOBAL[[#Headers],[COFINS]])-2,0)</f>
        <v>8.6609686609686695E-2</v>
      </c>
      <c r="BS21" s="26">
        <f>VLOOKUP($A21,tabCustoUnit[],COLUMN(CUSTO_GLOBAL[[#Headers],[PIS]])-2,0)</f>
        <v>1.880341880341882E-2</v>
      </c>
      <c r="BT21" s="28">
        <f>VLOOKUP($A21,tabCustoUnit[],COLUMN(CUSTO_GLOBAL[[#Headers],[ISS]])-2,0)</f>
        <v>0.03</v>
      </c>
      <c r="BU21" s="26">
        <f>VLOOKUP($A21,tabCustoUnit[],COLUMN(CUSTO_GLOBAL[[#Headers],[ISS (Conversão Alíquota s/ fatura)]])-2,0)</f>
        <v>3.4188034188034219E-2</v>
      </c>
      <c r="BV21" s="26">
        <f>VLOOKUP($A21,tabCustoUnit[],COLUMN(CUSTO_GLOBAL[[#Headers],[Resumo de Alíquotas (PIS+CONFINS+ISS)]])-2,0)</f>
        <v>0.1225</v>
      </c>
      <c r="BW21" s="138">
        <f>VLOOKUP($A21,tabCustoUnit[],COLUMN(CUSTO_GLOBAL[[#Headers],[PIS + COFINS + ISS (Total Conversão  Alíquota s/ Fatura)]])-2,0)</f>
        <v>0.13960113960113973</v>
      </c>
      <c r="BX21" s="22">
        <f>VLOOKUP($A21,tabCustoUnit[],COLUMN(CUSTO_GLOBAL[[#Headers],[Valor dos Tributos (ISS, PIS, CONFINS)]])-2,0)*($G21-$H21)</f>
        <v>344.41866789250349</v>
      </c>
      <c r="BY21" s="22">
        <f>VLOOKUP($A21,tabCustoUnit[],COLUMN(CUSTO_GLOBAL[[#Headers],[MÓDULO 6 – CUSTOS INDIRETOS, TRIBUTOS E LUCRO]])-2,0)*($G21-$H21)</f>
        <v>693.37246247296753</v>
      </c>
      <c r="BZ21" s="22">
        <f>VLOOKUP($A21,tabCustoUnit[],COLUMN(CUSTO_GLOBAL[[#Headers],[CUSTO TOTAL MENSAL]])-2,0)*($G21-$H21)</f>
        <v>2811.5809623877813</v>
      </c>
      <c r="CA21" s="22">
        <f>CUSTO_GLOBAL[[#This Row],[CUSTO TOTAL MENSAL]]*12</f>
        <v>33738.971548653375</v>
      </c>
      <c r="CB21" s="24">
        <f>VLOOKUP($A21,tabCustoUnit[],COLUMN(CUSTO_GLOBAL[[#Headers],[ANO DA CCT]])-2,0)</f>
        <v>45658</v>
      </c>
      <c r="CC21" s="25" t="str">
        <f>VLOOKUP($A21,tabCustoUnit[],COLUMN(CUSTO_GLOBAL[[#Headers],[Nº DE PEDIDO DA CCT]])-2,0)</f>
        <v>-</v>
      </c>
      <c r="CD21" s="25" t="str">
        <f>VLOOKUP($A21,tabCustoUnit[],COLUMN(CUSTO_GLOBAL[[#Headers],[TERMO ADITIVO  ALTERAÇÃO DA CCT]])-2,0)</f>
        <v>-</v>
      </c>
      <c r="CF21" s="22"/>
      <c r="CG21" s="22"/>
    </row>
    <row r="22" spans="1:85" x14ac:dyDescent="0.25">
      <c r="A22" s="20" t="s">
        <v>1368</v>
      </c>
      <c r="B22" t="s">
        <v>28</v>
      </c>
      <c r="C22" t="s">
        <v>1247</v>
      </c>
      <c r="D22" t="s">
        <v>1023</v>
      </c>
      <c r="E22" s="20" t="s">
        <v>9</v>
      </c>
      <c r="F22" s="20" t="s">
        <v>10</v>
      </c>
      <c r="G22" s="20">
        <v>1</v>
      </c>
      <c r="H22" s="20">
        <v>0</v>
      </c>
      <c r="I22" s="21">
        <f>VLOOKUP($A22,tabCustoUnit[],COLUMN(CUSTO_GLOBAL[[#Headers],[Salário Base]])-2,0)*($G22-$H22)</f>
        <v>544.17999999999995</v>
      </c>
      <c r="J22" s="21">
        <f>VLOOKUP($A22,tabCustoUnit[],COLUMN(CUSTO_GLOBAL[[#Headers],[Adicional Periculosidade]])-2,0)*($G22-$H22)</f>
        <v>0</v>
      </c>
      <c r="K22" s="21">
        <f>VLOOKUP($A22,tabCustoUnit[],COLUMN(CUSTO_GLOBAL[[#Headers],[Adicional Insalubridade]])-2,0)*($G22-$H22)</f>
        <v>0</v>
      </c>
      <c r="L22" s="21">
        <f>VLOOKUP($A22,tabCustoUnit[],COLUMN(CUSTO_GLOBAL[[#Headers],[Adicional Noturno]])-2,0)*($G22-$H22)</f>
        <v>0</v>
      </c>
      <c r="M22" s="21">
        <f>VLOOKUP($A22,tabCustoUnit[],COLUMN(CUSTO_GLOBAL[[#Headers],[Adicional Motorista II (Gratificação)]])-2,0)*($G22-$H22)</f>
        <v>0</v>
      </c>
      <c r="N22" s="21">
        <f>VLOOKUP($A22,tabCustoUnit[],COLUMN(CUSTO_GLOBAL[[#Headers],[Adicional de Sobreaviso]])-2,0)*($G22-$H22)</f>
        <v>0</v>
      </c>
      <c r="O22" s="21">
        <f>VLOOKUP($A22,tabCustoUnit[],COLUMN(CUSTO_GLOBAL[[#Headers],[Horas Extras TI]])-2,0)*($G22-$H22)</f>
        <v>0</v>
      </c>
      <c r="P22" s="21">
        <f>VLOOKUP($A22,tabCustoUnit[],COLUMN(CUSTO_GLOBAL[[#Headers],[Adicional de Acúmulo de função]])-2,0)*($G22-$H22)</f>
        <v>19.590499999999999</v>
      </c>
      <c r="Q22" s="21">
        <f>VLOOKUP($A22,tabCustoUnit[],COLUMN(CUSTO_GLOBAL[[#Headers],[MODULO 1 - REMUNERAÇÃO ]])-2,0)*($G22-$H22)</f>
        <v>563.77049999999997</v>
      </c>
      <c r="R22" s="21">
        <f>VLOOKUP($A22,tabCustoUnit[],COLUMN(CUSTO_GLOBAL[[#Headers],[INSS]])-2,0)*($G22-$H22)</f>
        <v>112.75409999999999</v>
      </c>
      <c r="S22" s="21">
        <f>VLOOKUP($A22,tabCustoUnit[],COLUMN(CUSTO_GLOBAL[[#Headers],[SESI OU SESC]])-2,0)*($G22-$H22)</f>
        <v>8.4565574999999988</v>
      </c>
      <c r="T22" s="21">
        <f>VLOOKUP($A22,tabCustoUnit[],COLUMN(CUSTO_GLOBAL[[#Headers],[SENAI OU SENAC]])-2,0)*($G22-$H22)</f>
        <v>5.6377049999999995</v>
      </c>
      <c r="U22" s="21">
        <f>VLOOKUP($A22,tabCustoUnit[],COLUMN(CUSTO_GLOBAL[[#Headers],[INCRA]])-2,0)*($G22-$H22)</f>
        <v>1.1275409999999999</v>
      </c>
      <c r="V22" s="21">
        <f>VLOOKUP($A22,tabCustoUnit[],COLUMN(CUSTO_GLOBAL[[#Headers],[Salário Educação]])-2,0)*($G22-$H22)</f>
        <v>14.094262499999999</v>
      </c>
      <c r="W22" s="21">
        <f>VLOOKUP($A22,tabCustoUnit[],COLUMN(CUSTO_GLOBAL[[#Headers],[FGTS]])-2,0)*($G22-$H22)</f>
        <v>45.101639999999996</v>
      </c>
      <c r="X22" s="21">
        <f>VLOOKUP($A22,tabCustoUnit[],COLUMN(CUSTO_GLOBAL[[#Headers],[RAT Ajustado]])-2,0)*($G22-$H22)</f>
        <v>22.550819999999998</v>
      </c>
      <c r="Y22" s="21">
        <f>VLOOKUP($A22,tabCustoUnit[],COLUMN(CUSTO_GLOBAL[[#Headers],[SEBRAE]])-2,0)*($G22-$H22)</f>
        <v>3.3826229999999997</v>
      </c>
      <c r="Z22" s="21">
        <f>VLOOKUP($A22,tabCustoUnit[],COLUMN(CUSTO_GLOBAL[[#Headers],[Submódulo 2.1]])-2,0)*($G22-$H22)</f>
        <v>213.10524899999996</v>
      </c>
      <c r="AA22" s="21">
        <f>VLOOKUP($A22,tabCustoUnit[],COLUMN(CUSTO_GLOBAL[[#Headers],[13º salário (titular)]])-2,0)*($G22-$H22)</f>
        <v>46.980874999999997</v>
      </c>
      <c r="AB22" s="21">
        <f>VLOOKUP($A22,tabCustoUnit[],COLUMN(CUSTO_GLOBAL[[#Headers],[Férias e Adicional de Férias (titular)]])-2,0)*($G22-$H22)</f>
        <v>62.641166666666663</v>
      </c>
      <c r="AC22" s="21">
        <f>VLOOKUP($A22,tabCustoUnit[],COLUMN(CUSTO_GLOBAL[[#Headers],[Incidência do Submódulo 2.1 sobre 13º Salário, Férias e Adicional de Férias]])-2,0)*($G22-$H22)</f>
        <v>41.437131749999992</v>
      </c>
      <c r="AD22" s="21">
        <f>VLOOKUP($A22,tabCustoUnit[],COLUMN(CUSTO_GLOBAL[[#Headers],[Submódulo 2.2]])-2,0)*($G22-$H22)</f>
        <v>151.05917341666665</v>
      </c>
      <c r="AE22" s="22">
        <f>VLOOKUP($A22,tabCustoUnit[],COLUMN(CUSTO_GLOBAL[[#Headers],[Vale - Transporte (Descontada parcela do empregado)]])-2,0)*($G22-$H22)</f>
        <v>223.3492</v>
      </c>
      <c r="AF22" s="22">
        <f>VLOOKUP($A22,tabCustoUnit[],COLUMN(CUSTO_GLOBAL[[#Headers],[Vale - Alimentação (Descontada parcela do empregado)]])-2,0)*($G22-$H22)</f>
        <v>582</v>
      </c>
      <c r="AG22" s="22">
        <f>VLOOKUP($A22,tabCustoUnit[],COLUMN(CUSTO_GLOBAL[[#Headers],[Cesta Básica]])-2,0)*($G22-$H22)</f>
        <v>0</v>
      </c>
      <c r="AH22" s="22">
        <f>VLOOKUP($A22,tabCustoUnit[],COLUMN(CUSTO_GLOBAL[[#Headers],[PAF]])-2,0)*($G22-$H22)</f>
        <v>0</v>
      </c>
      <c r="AI22" s="22">
        <f>VLOOKUP($A22,tabCustoUnit[],COLUMN(CUSTO_GLOBAL[[#Headers],[PQM]])-2,0)*($G22-$H22)</f>
        <v>0</v>
      </c>
      <c r="AJ22" s="22">
        <v>0</v>
      </c>
      <c r="AK22" s="22">
        <f>VLOOKUP($A22,tabCustoUnit[],COLUMN(CUSTO_GLOBAL[[#Headers],[Seguro de Vida]])-2,0)*($G22-$H22)</f>
        <v>3.36</v>
      </c>
      <c r="AL22" s="22">
        <f>VLOOKUP($A22,tabCustoUnit[],COLUMN(CUSTO_GLOBAL[[#Headers],[Despesas de Viagem]])-2,0)*($G22-$H22)</f>
        <v>0</v>
      </c>
      <c r="AM22" s="22">
        <f>VLOOKUP($A22,tabCustoUnit[],COLUMN(CUSTO_GLOBAL[[#Headers],[Submódulo 2.3]])-2,0)*($G22-$H22)</f>
        <v>808.70920000000001</v>
      </c>
      <c r="AN22" s="22">
        <f>VLOOKUP($A22,tabCustoUnit[],COLUMN(CUSTO_GLOBAL[[#Headers],[MÓDULO 2 - Total Encargos e Benefícios mensais e diários]])-2,0)*($G22-$H22)</f>
        <v>1172.8736224166666</v>
      </c>
      <c r="AO22" s="22">
        <f>VLOOKUP($A22,tabCustoUnit[],COLUMN(CUSTO_GLOBAL[[#Headers],[Aviso Prévio Indenizado (API) e Reflexo do Aviso Prévio Indenizado]])-2,0)*($G22-$H22)</f>
        <v>3.9530273735532404</v>
      </c>
      <c r="AP22" s="22">
        <f>VLOOKUP($A22,tabCustoUnit[],COLUMN(CUSTO_GLOBAL[[#Headers],[Incidência do FGTS sobre API e Reflexo do API]])-2,0)*($G22-$H22)</f>
        <v>0.31624218988425928</v>
      </c>
      <c r="AQ22" s="22">
        <f>VLOOKUP($A22,tabCustoUnit[],COLUMN(CUSTO_GLOBAL[[#Headers],[Multa Rescisória do FGTS sobre o Aviso Prévio Indenizado]])-2,0)*($G22-$H22)</f>
        <v>0.12649687595370371</v>
      </c>
      <c r="AR22" s="22">
        <f>VLOOKUP($A22,tabCustoUnit[],COLUMN(CUSTO_GLOBAL[[#Headers],[Aviso Prévio Trabalhado - APT]])-2,0)*($G22-$H22)</f>
        <v>1.9731967500000003</v>
      </c>
      <c r="AS22" s="22">
        <f>VLOOKUP($A22,tabCustoUnit[],COLUMN(CUSTO_GLOBAL[[#Headers],[Incidência dos encargos do submódulo 2.1 sobre Aviso Prévio Trabalhado]])-2,0)*($G22-$H22)</f>
        <v>0.74586837150000018</v>
      </c>
      <c r="AT22" s="22">
        <f>VLOOKUP($A22,tabCustoUnit[],COLUMN(CUSTO_GLOBAL[[#Headers],[Multa Rescisória do FGTS]])-2,0)*($G22-$H22)</f>
        <v>17.238849066666663</v>
      </c>
      <c r="AU22" s="22">
        <f>VLOOKUP($A22,tabCustoUnit[],COLUMN(CUSTO_GLOBAL[[#Headers],[Indenização Adicional (Art. 9º da Lei nº 7.238/84)]])-2,0)*($G22-$H22)</f>
        <v>0.46980875</v>
      </c>
      <c r="AV22" s="22">
        <f>VLOOKUP($A22,tabCustoUnit[],COLUMN(CUSTO_GLOBAL[[#Headers],[MÓDULO 3 – PROVISÃO PARA RESCISÃO]])-2,0)*($G22-$H22)</f>
        <v>24.823489377557866</v>
      </c>
      <c r="AW22" s="22">
        <f>VLOOKUP($A22,tabCustoUnit[],COLUMN(CUSTO_GLOBAL[[#Headers],[Ausência por Doença]])-2,0)*($G22-$H22)</f>
        <v>4.7607286666666662</v>
      </c>
      <c r="AX22" s="22">
        <f>VLOOKUP($A22,tabCustoUnit[],COLUMN(CUSTO_GLOBAL[[#Headers],[Ausências Legais]])-2,0)*($G22-$H22)</f>
        <v>1.1432012916666665</v>
      </c>
      <c r="AY22" s="22">
        <f>VLOOKUP($A22,tabCustoUnit[],COLUMN(CUSTO_GLOBAL[[#Headers],[Licença Paternidade]])-2,0)*($G22-$H22)</f>
        <v>9.6310793749999998E-2</v>
      </c>
      <c r="AZ22" s="22">
        <f>VLOOKUP($A22,tabCustoUnit[],COLUMN(CUSTO_GLOBAL[[#Headers],[Ausência por Acidente de Trabalho]])-2,0)*($G22-$H22)</f>
        <v>0.1174521875</v>
      </c>
      <c r="BA22" s="22">
        <f>VLOOKUP($A22,tabCustoUnit[],COLUMN(CUSTO_GLOBAL[[#Headers],[Férias, Adicional de Férias e 13º  com empregada em gozo de Licença Maternidade]])-2,0)*($G22-$H22)</f>
        <v>0.73081361111111109</v>
      </c>
      <c r="BB22" s="22">
        <f>VLOOKUP($A22,tabCustoUnit[],COLUMN(CUSTO_GLOBAL[[#Headers],[Incidência do Submódulo 2.1 sobre Ausências Legais]])-2,0)*($G22-$H22)</f>
        <v>2.5887354761625003</v>
      </c>
      <c r="BC22" s="22">
        <f>VLOOKUP($A22,tabCustoUnit[],COLUMN(CUSTO_GLOBAL[[#Headers],[Submódulo 4.1]])-2,0)*($G22-$H22)</f>
        <v>9.4372420268569428</v>
      </c>
      <c r="BD22" s="22">
        <f>VLOOKUP($A22,tabCustoUnit[],COLUMN(CUSTO_GLOBAL[[#Headers],[Intervalo para Repouso ou Alimentação]])-2,0)*($G22-$H22)</f>
        <v>0</v>
      </c>
      <c r="BE22" s="22">
        <f>VLOOKUP($A22,tabCustoUnit[],COLUMN(CUSTO_GLOBAL[[#Headers],[Submódulo 4.2]])-2,0)*($G22-$H22)</f>
        <v>0</v>
      </c>
      <c r="BF22" s="22">
        <f>VLOOKUP($A22,tabCustoUnit[],COLUMN(CUSTO_GLOBAL[[#Headers],[Suspensão Temporária do Contrato de Trabalho]])-2,0)*($G22-$H22)</f>
        <v>0</v>
      </c>
      <c r="BG22" s="22">
        <f>VLOOKUP($A22,tabCustoUnit[],COLUMN(CUSTO_GLOBAL[[#Headers],[Submódulo 4.3]])-2,0)*($G22-$H22)</f>
        <v>0</v>
      </c>
      <c r="BH22" s="22">
        <f>VLOOKUP($A22,tabCustoUnit[],COLUMN(CUSTO_GLOBAL[[#Headers],[MÓDULO 4 – CUSTO DE REPOSIÇÃO DO PROFISSIONAL AUSENTE]])-2,0)*($G22-$H22)</f>
        <v>9.4372420268569428</v>
      </c>
      <c r="BI22" s="22">
        <f>VLOOKUP($A22,tabCustoUnit[],COLUMN(CUSTO_GLOBAL[[#Headers],[Uniformes e EPIs]])-2,0)*($G22-$H22)</f>
        <v>62.806666666666665</v>
      </c>
      <c r="BJ22" s="22">
        <f>VLOOKUP($A22,tabCustoUnit[],COLUMN(CUSTO_GLOBAL[[#Headers],[Materiais de Consumo]])-2,0)*($G22-$H22)</f>
        <v>12.108481690426325</v>
      </c>
      <c r="BK22" s="22">
        <f>VLOOKUP($A22,tabCustoUnit[],COLUMN(CUSTO_GLOBAL[[#Headers],[Máquinas e Equipamentos (depreciação)]])-2,0)*($G22-$H22)</f>
        <v>21.998657016417809</v>
      </c>
      <c r="BL22" s="22">
        <f>VLOOKUP($A22,tabCustoUnit[],COLUMN(CUSTO_GLOBAL[[#Headers],[Produtos de Limpeza e Materiais de Higiene Pessoal]])-2,0)*($G22-$H22)</f>
        <v>235.31984072022155</v>
      </c>
      <c r="BM22" s="22">
        <f>VLOOKUP($A22,tabCustoUnit[],COLUMN(CUSTO_GLOBAL[[#Headers],[Outros (especificar)]])-2,0)*($G22-$H22)</f>
        <v>0</v>
      </c>
      <c r="BN22" s="22">
        <f>VLOOKUP($A22,tabCustoUnit[],COLUMN(CUSTO_GLOBAL[[#Headers],[MÓDULO 5 – INSUMOS DIVERSOS]])-2,0)*($G22-$H22)</f>
        <v>332.23364609373232</v>
      </c>
      <c r="BO22" s="22">
        <f>VLOOKUP($A22,tabCustoUnit[],COLUMN(CUSTO_GLOBAL[[#Headers],[TOTAL MÓDULOS 1+2+3+4+5]])-2,0)*($G22-$H22)</f>
        <v>2103.1384999148136</v>
      </c>
      <c r="BP22" s="22">
        <f>VLOOKUP($A22,tabCustoUnit[],COLUMN(CUSTO_GLOBAL[[#Headers],[Custos Indiretos]])-2,0)*($G22-$H22)</f>
        <v>189.64880140242613</v>
      </c>
      <c r="BQ22" s="22">
        <f>VLOOKUP($A22,tabCustoUnit[],COLUMN(CUSTO_GLOBAL[[#Headers],[Lucro]])-2,0)*($G22-$H22)</f>
        <v>159.30499317803796</v>
      </c>
      <c r="BR22" s="26">
        <f>VLOOKUP($A22,tabCustoUnit[],COLUMN(CUSTO_GLOBAL[[#Headers],[COFINS]])-2,0)</f>
        <v>8.6609686609686695E-2</v>
      </c>
      <c r="BS22" s="26">
        <f>VLOOKUP($A22,tabCustoUnit[],COLUMN(CUSTO_GLOBAL[[#Headers],[PIS]])-2,0)</f>
        <v>1.880341880341882E-2</v>
      </c>
      <c r="BT22" s="28">
        <f>VLOOKUP($A22,tabCustoUnit[],COLUMN(CUSTO_GLOBAL[[#Headers],[ISS]])-2,0)</f>
        <v>0.03</v>
      </c>
      <c r="BU22" s="26">
        <f>VLOOKUP($A22,tabCustoUnit[],COLUMN(CUSTO_GLOBAL[[#Headers],[ISS (Conversão Alíquota s/ fatura)]])-2,0)</f>
        <v>3.4188034188034219E-2</v>
      </c>
      <c r="BV22" s="26">
        <f>VLOOKUP($A22,tabCustoUnit[],COLUMN(CUSTO_GLOBAL[[#Headers],[Resumo de Alíquotas (PIS+CONFINS+ISS)]])-2,0)</f>
        <v>0.1225</v>
      </c>
      <c r="BW22" s="138">
        <f>VLOOKUP($A22,tabCustoUnit[],COLUMN(CUSTO_GLOBAL[[#Headers],[PIS + COFINS + ISS (Total Conversão  Alíquota s/ Fatura)]])-2,0)</f>
        <v>0.13960113960113973</v>
      </c>
      <c r="BX22" s="22">
        <f>VLOOKUP($A22,tabCustoUnit[],COLUMN(CUSTO_GLOBAL[[#Headers],[Valor dos Tributos (ISS, PIS, CONFINS)]])-2,0)*($G22-$H22)</f>
        <v>342.31487871871428</v>
      </c>
      <c r="BY22" s="22">
        <f>VLOOKUP($A22,tabCustoUnit[],COLUMN(CUSTO_GLOBAL[[#Headers],[MÓDULO 6 – CUSTOS INDIRETOS, TRIBUTOS E LUCRO]])-2,0)*($G22-$H22)</f>
        <v>691.26867329917832</v>
      </c>
      <c r="BZ22" s="22">
        <f>VLOOKUP($A22,tabCustoUnit[],COLUMN(CUSTO_GLOBAL[[#Headers],[CUSTO TOTAL MENSAL]])-2,0)*($G22-$H22)</f>
        <v>2794.4071732139919</v>
      </c>
      <c r="CA22" s="22">
        <f>CUSTO_GLOBAL[[#This Row],[CUSTO TOTAL MENSAL]]*12</f>
        <v>33532.886078567899</v>
      </c>
      <c r="CB22" s="24">
        <f>VLOOKUP($A22,tabCustoUnit[],COLUMN(CUSTO_GLOBAL[[#Headers],[ANO DA CCT]])-2,0)</f>
        <v>45658</v>
      </c>
      <c r="CC22" s="25" t="str">
        <f>VLOOKUP($A22,tabCustoUnit[],COLUMN(CUSTO_GLOBAL[[#Headers],[Nº DE PEDIDO DA CCT]])-2,0)</f>
        <v>-</v>
      </c>
      <c r="CD22" s="25" t="str">
        <f>VLOOKUP($A22,tabCustoUnit[],COLUMN(CUSTO_GLOBAL[[#Headers],[TERMO ADITIVO  ALTERAÇÃO DA CCT]])-2,0)</f>
        <v>-</v>
      </c>
      <c r="CF22" s="22"/>
      <c r="CG22" s="22"/>
    </row>
    <row r="23" spans="1:85" x14ac:dyDescent="0.25">
      <c r="A23" s="20" t="s">
        <v>1369</v>
      </c>
      <c r="B23" t="s">
        <v>29</v>
      </c>
      <c r="C23" t="s">
        <v>1244</v>
      </c>
      <c r="D23" t="s">
        <v>1015</v>
      </c>
      <c r="E23" s="20" t="s">
        <v>9</v>
      </c>
      <c r="F23" s="20" t="s">
        <v>10</v>
      </c>
      <c r="G23" s="20">
        <v>1</v>
      </c>
      <c r="H23" s="20">
        <v>0</v>
      </c>
      <c r="I23" s="21">
        <f>VLOOKUP($A23,tabCustoUnit[],COLUMN(CUSTO_GLOBAL[[#Headers],[Salário Base]])-2,0)*($G23-$H23)</f>
        <v>798.14</v>
      </c>
      <c r="J23" s="21">
        <f>VLOOKUP($A23,tabCustoUnit[],COLUMN(CUSTO_GLOBAL[[#Headers],[Adicional Periculosidade]])-2,0)*($G23-$H23)</f>
        <v>0</v>
      </c>
      <c r="K23" s="21">
        <f>VLOOKUP($A23,tabCustoUnit[],COLUMN(CUSTO_GLOBAL[[#Headers],[Adicional Insalubridade]])-2,0)*($G23-$H23)</f>
        <v>0</v>
      </c>
      <c r="L23" s="21">
        <f>VLOOKUP($A23,tabCustoUnit[],COLUMN(CUSTO_GLOBAL[[#Headers],[Adicional Noturno]])-2,0)*($G23-$H23)</f>
        <v>0</v>
      </c>
      <c r="M23" s="21">
        <f>VLOOKUP($A23,tabCustoUnit[],COLUMN(CUSTO_GLOBAL[[#Headers],[Adicional Motorista II (Gratificação)]])-2,0)*($G23-$H23)</f>
        <v>0</v>
      </c>
      <c r="N23" s="21">
        <f>VLOOKUP($A23,tabCustoUnit[],COLUMN(CUSTO_GLOBAL[[#Headers],[Adicional de Sobreaviso]])-2,0)*($G23-$H23)</f>
        <v>0</v>
      </c>
      <c r="O23" s="21">
        <f>VLOOKUP($A23,tabCustoUnit[],COLUMN(CUSTO_GLOBAL[[#Headers],[Horas Extras TI]])-2,0)*($G23-$H23)</f>
        <v>0</v>
      </c>
      <c r="P23" s="21">
        <f>VLOOKUP($A23,tabCustoUnit[],COLUMN(CUSTO_GLOBAL[[#Headers],[Adicional de Acúmulo de função]])-2,0)*($G23-$H23)</f>
        <v>26.120899999999999</v>
      </c>
      <c r="Q23" s="21">
        <f>VLOOKUP($A23,tabCustoUnit[],COLUMN(CUSTO_GLOBAL[[#Headers],[MODULO 1 - REMUNERAÇÃO ]])-2,0)*($G23-$H23)</f>
        <v>824.26089999999999</v>
      </c>
      <c r="R23" s="21">
        <f>VLOOKUP($A23,tabCustoUnit[],COLUMN(CUSTO_GLOBAL[[#Headers],[INSS]])-2,0)*($G23-$H23)</f>
        <v>164.85218</v>
      </c>
      <c r="S23" s="21">
        <f>VLOOKUP($A23,tabCustoUnit[],COLUMN(CUSTO_GLOBAL[[#Headers],[SESI OU SESC]])-2,0)*($G23-$H23)</f>
        <v>12.363913499999999</v>
      </c>
      <c r="T23" s="21">
        <f>VLOOKUP($A23,tabCustoUnit[],COLUMN(CUSTO_GLOBAL[[#Headers],[SENAI OU SENAC]])-2,0)*($G23-$H23)</f>
        <v>8.2426089999999999</v>
      </c>
      <c r="U23" s="21">
        <f>VLOOKUP($A23,tabCustoUnit[],COLUMN(CUSTO_GLOBAL[[#Headers],[INCRA]])-2,0)*($G23-$H23)</f>
        <v>1.6485217999999999</v>
      </c>
      <c r="V23" s="21">
        <f>VLOOKUP($A23,tabCustoUnit[],COLUMN(CUSTO_GLOBAL[[#Headers],[Salário Educação]])-2,0)*($G23-$H23)</f>
        <v>20.606522500000001</v>
      </c>
      <c r="W23" s="21">
        <f>VLOOKUP($A23,tabCustoUnit[],COLUMN(CUSTO_GLOBAL[[#Headers],[FGTS]])-2,0)*($G23-$H23)</f>
        <v>65.940871999999999</v>
      </c>
      <c r="X23" s="21">
        <f>VLOOKUP($A23,tabCustoUnit[],COLUMN(CUSTO_GLOBAL[[#Headers],[RAT Ajustado]])-2,0)*($G23-$H23)</f>
        <v>32.970435999999999</v>
      </c>
      <c r="Y23" s="21">
        <f>VLOOKUP($A23,tabCustoUnit[],COLUMN(CUSTO_GLOBAL[[#Headers],[SEBRAE]])-2,0)*($G23-$H23)</f>
        <v>4.9455654000000004</v>
      </c>
      <c r="Z23" s="21">
        <f>VLOOKUP($A23,tabCustoUnit[],COLUMN(CUSTO_GLOBAL[[#Headers],[Submódulo 2.1]])-2,0)*($G23-$H23)</f>
        <v>311.57062020000001</v>
      </c>
      <c r="AA23" s="21">
        <f>VLOOKUP($A23,tabCustoUnit[],COLUMN(CUSTO_GLOBAL[[#Headers],[13º salário (titular)]])-2,0)*($G23-$H23)</f>
        <v>68.688408333333328</v>
      </c>
      <c r="AB23" s="21">
        <f>VLOOKUP($A23,tabCustoUnit[],COLUMN(CUSTO_GLOBAL[[#Headers],[Férias e Adicional de Férias (titular)]])-2,0)*($G23-$H23)</f>
        <v>91.584544444444433</v>
      </c>
      <c r="AC23" s="21">
        <f>VLOOKUP($A23,tabCustoUnit[],COLUMN(CUSTO_GLOBAL[[#Headers],[Incidência do Submódulo 2.1 sobre 13º Salário, Férias e Adicional de Férias]])-2,0)*($G23-$H23)</f>
        <v>60.583176149999993</v>
      </c>
      <c r="AD23" s="21">
        <f>VLOOKUP($A23,tabCustoUnit[],COLUMN(CUSTO_GLOBAL[[#Headers],[Submódulo 2.2]])-2,0)*($G23-$H23)</f>
        <v>220.85612892777775</v>
      </c>
      <c r="AE23" s="22">
        <f>VLOOKUP($A23,tabCustoUnit[],COLUMN(CUSTO_GLOBAL[[#Headers],[Vale - Transporte (Descontada parcela do empregado)]])-2,0)*($G23-$H23)</f>
        <v>208.11160000000001</v>
      </c>
      <c r="AF23" s="22">
        <f>VLOOKUP($A23,tabCustoUnit[],COLUMN(CUSTO_GLOBAL[[#Headers],[Vale - Alimentação (Descontada parcela do empregado)]])-2,0)*($G23-$H23)</f>
        <v>582</v>
      </c>
      <c r="AG23" s="22">
        <f>VLOOKUP($A23,tabCustoUnit[],COLUMN(CUSTO_GLOBAL[[#Headers],[Cesta Básica]])-2,0)*($G23-$H23)</f>
        <v>0</v>
      </c>
      <c r="AH23" s="22">
        <f>VLOOKUP($A23,tabCustoUnit[],COLUMN(CUSTO_GLOBAL[[#Headers],[PAF]])-2,0)*($G23-$H23)</f>
        <v>50.74</v>
      </c>
      <c r="AI23" s="22">
        <f>VLOOKUP($A23,tabCustoUnit[],COLUMN(CUSTO_GLOBAL[[#Headers],[PQM]])-2,0)*($G23-$H23)</f>
        <v>0</v>
      </c>
      <c r="AJ23" s="22">
        <v>0</v>
      </c>
      <c r="AK23" s="22">
        <f>VLOOKUP($A23,tabCustoUnit[],COLUMN(CUSTO_GLOBAL[[#Headers],[Seguro de Vida]])-2,0)*($G23-$H23)</f>
        <v>3.36</v>
      </c>
      <c r="AL23" s="22">
        <f>VLOOKUP($A23,tabCustoUnit[],COLUMN(CUSTO_GLOBAL[[#Headers],[Despesas de Viagem]])-2,0)*($G23-$H23)</f>
        <v>0</v>
      </c>
      <c r="AM23" s="22">
        <f>VLOOKUP($A23,tabCustoUnit[],COLUMN(CUSTO_GLOBAL[[#Headers],[Submódulo 2.3]])-2,0)*($G23-$H23)</f>
        <v>844.21159999999998</v>
      </c>
      <c r="AN23" s="22">
        <f>VLOOKUP($A23,tabCustoUnit[],COLUMN(CUSTO_GLOBAL[[#Headers],[MÓDULO 2 - Total Encargos e Benefícios mensais e diários]])-2,0)*($G23-$H23)</f>
        <v>1376.6383491277777</v>
      </c>
      <c r="AO23" s="22">
        <f>VLOOKUP($A23,tabCustoUnit[],COLUMN(CUSTO_GLOBAL[[#Headers],[Aviso Prévio Indenizado (API) e Reflexo do Aviso Prévio Indenizado]])-2,0)*($G23-$H23)</f>
        <v>5.7795253576581791</v>
      </c>
      <c r="AP23" s="22">
        <f>VLOOKUP($A23,tabCustoUnit[],COLUMN(CUSTO_GLOBAL[[#Headers],[Incidência do FGTS sobre API e Reflexo do API]])-2,0)*($G23-$H23)</f>
        <v>0.46236202861265435</v>
      </c>
      <c r="AQ23" s="22">
        <f>VLOOKUP($A23,tabCustoUnit[],COLUMN(CUSTO_GLOBAL[[#Headers],[Multa Rescisória do FGTS sobre o Aviso Prévio Indenizado]])-2,0)*($G23-$H23)</f>
        <v>0.18494481144506175</v>
      </c>
      <c r="AR23" s="22">
        <f>VLOOKUP($A23,tabCustoUnit[],COLUMN(CUSTO_GLOBAL[[#Headers],[Aviso Prévio Trabalhado - APT]])-2,0)*($G23-$H23)</f>
        <v>2.8849131500000005</v>
      </c>
      <c r="AS23" s="22">
        <f>VLOOKUP($A23,tabCustoUnit[],COLUMN(CUSTO_GLOBAL[[#Headers],[Incidência dos encargos do submódulo 2.1 sobre Aviso Prévio Trabalhado]])-2,0)*($G23-$H23)</f>
        <v>1.0904971707000004</v>
      </c>
      <c r="AT23" s="22">
        <f>VLOOKUP($A23,tabCustoUnit[],COLUMN(CUSTO_GLOBAL[[#Headers],[Multa Rescisória do FGTS]])-2,0)*($G23-$H23)</f>
        <v>25.204066631111107</v>
      </c>
      <c r="AU23" s="22">
        <f>VLOOKUP($A23,tabCustoUnit[],COLUMN(CUSTO_GLOBAL[[#Headers],[Indenização Adicional (Art. 9º da Lei nº 7.238/84)]])-2,0)*($G23-$H23)</f>
        <v>0.6868840833333334</v>
      </c>
      <c r="AV23" s="22">
        <f>VLOOKUP($A23,tabCustoUnit[],COLUMN(CUSTO_GLOBAL[[#Headers],[MÓDULO 3 – PROVISÃO PARA RESCISÃO]])-2,0)*($G23-$H23)</f>
        <v>36.293193232860339</v>
      </c>
      <c r="AW23" s="22">
        <f>VLOOKUP($A23,tabCustoUnit[],COLUMN(CUSTO_GLOBAL[[#Headers],[Ausência por Doença]])-2,0)*($G23-$H23)</f>
        <v>6.9604253777777769</v>
      </c>
      <c r="AX23" s="22">
        <f>VLOOKUP($A23,tabCustoUnit[],COLUMN(CUSTO_GLOBAL[[#Headers],[Ausências Legais]])-2,0)*($G23-$H23)</f>
        <v>1.671417936111111</v>
      </c>
      <c r="AY23" s="22">
        <f>VLOOKUP($A23,tabCustoUnit[],COLUMN(CUSTO_GLOBAL[[#Headers],[Licença Paternidade]])-2,0)*($G23-$H23)</f>
        <v>0.14081123708333332</v>
      </c>
      <c r="AZ23" s="22">
        <f>VLOOKUP($A23,tabCustoUnit[],COLUMN(CUSTO_GLOBAL[[#Headers],[Ausência por Acidente de Trabalho]])-2,0)*($G23-$H23)</f>
        <v>0.17172102083333335</v>
      </c>
      <c r="BA23" s="22">
        <f>VLOOKUP($A23,tabCustoUnit[],COLUMN(CUSTO_GLOBAL[[#Headers],[Férias, Adicional de Férias e 13º  com empregada em gozo de Licença Maternidade]])-2,0)*($G23-$H23)</f>
        <v>1.0684863518518517</v>
      </c>
      <c r="BB23" s="22">
        <f>VLOOKUP($A23,tabCustoUnit[],COLUMN(CUSTO_GLOBAL[[#Headers],[Incidência do Submódulo 2.1 sobre Ausências Legais]])-2,0)*($G23-$H23)</f>
        <v>3.7848618071425006</v>
      </c>
      <c r="BC23" s="22">
        <f>VLOOKUP($A23,tabCustoUnit[],COLUMN(CUSTO_GLOBAL[[#Headers],[Submódulo 4.1]])-2,0)*($G23-$H23)</f>
        <v>13.797723730799909</v>
      </c>
      <c r="BD23" s="22">
        <f>VLOOKUP($A23,tabCustoUnit[],COLUMN(CUSTO_GLOBAL[[#Headers],[Intervalo para Repouso ou Alimentação]])-2,0)*($G23-$H23)</f>
        <v>0</v>
      </c>
      <c r="BE23" s="22">
        <f>VLOOKUP($A23,tabCustoUnit[],COLUMN(CUSTO_GLOBAL[[#Headers],[Submódulo 4.2]])-2,0)*($G23-$H23)</f>
        <v>0</v>
      </c>
      <c r="BF23" s="22">
        <f>VLOOKUP($A23,tabCustoUnit[],COLUMN(CUSTO_GLOBAL[[#Headers],[Suspensão Temporária do Contrato de Trabalho]])-2,0)*($G23-$H23)</f>
        <v>0</v>
      </c>
      <c r="BG23" s="22">
        <f>VLOOKUP($A23,tabCustoUnit[],COLUMN(CUSTO_GLOBAL[[#Headers],[Submódulo 4.3]])-2,0)*($G23-$H23)</f>
        <v>0</v>
      </c>
      <c r="BH23" s="22">
        <f>VLOOKUP($A23,tabCustoUnit[],COLUMN(CUSTO_GLOBAL[[#Headers],[MÓDULO 4 – CUSTO DE REPOSIÇÃO DO PROFISSIONAL AUSENTE]])-2,0)*($G23-$H23)</f>
        <v>13.797723730799909</v>
      </c>
      <c r="BI23" s="22">
        <f>VLOOKUP($A23,tabCustoUnit[],COLUMN(CUSTO_GLOBAL[[#Headers],[Uniformes e EPIs]])-2,0)*($G23-$H23)</f>
        <v>62.806666666666665</v>
      </c>
      <c r="BJ23" s="22">
        <f>VLOOKUP($A23,tabCustoUnit[],COLUMN(CUSTO_GLOBAL[[#Headers],[Materiais de Consumo]])-2,0)*($G23-$H23)</f>
        <v>17.759106479291944</v>
      </c>
      <c r="BK23" s="22">
        <f>VLOOKUP($A23,tabCustoUnit[],COLUMN(CUSTO_GLOBAL[[#Headers],[Máquinas e Equipamentos (depreciação)]])-2,0)*($G23-$H23)</f>
        <v>32.264696957412788</v>
      </c>
      <c r="BL23" s="22">
        <f>VLOOKUP($A23,tabCustoUnit[],COLUMN(CUSTO_GLOBAL[[#Headers],[Produtos de Limpeza e Materiais de Higiene Pessoal]])-2,0)*($G23-$H23)</f>
        <v>345.13576638965827</v>
      </c>
      <c r="BM23" s="22">
        <f>VLOOKUP($A23,tabCustoUnit[],COLUMN(CUSTO_GLOBAL[[#Headers],[Outros (especificar)]])-2,0)*($G23-$H23)</f>
        <v>0</v>
      </c>
      <c r="BN23" s="22">
        <f>VLOOKUP($A23,tabCustoUnit[],COLUMN(CUSTO_GLOBAL[[#Headers],[MÓDULO 5 – INSUMOS DIVERSOS]])-2,0)*($G23-$H23)</f>
        <v>457.96623649302967</v>
      </c>
      <c r="BO23" s="22">
        <f>VLOOKUP($A23,tabCustoUnit[],COLUMN(CUSTO_GLOBAL[[#Headers],[TOTAL MÓDULOS 1+2+3+4+5]])-2,0)*($G23-$H23)</f>
        <v>2708.9564025844675</v>
      </c>
      <c r="BP23" s="22">
        <f>VLOOKUP($A23,tabCustoUnit[],COLUMN(CUSTO_GLOBAL[[#Headers],[Custos Indiretos]])-2,0)*($G23-$H23)</f>
        <v>189.64880140242613</v>
      </c>
      <c r="BQ23" s="22">
        <f>VLOOKUP($A23,tabCustoUnit[],COLUMN(CUSTO_GLOBAL[[#Headers],[Lucro]])-2,0)*($G23-$H23)</f>
        <v>159.30499317803796</v>
      </c>
      <c r="BR23" s="26">
        <f>VLOOKUP($A23,tabCustoUnit[],COLUMN(CUSTO_GLOBAL[[#Headers],[COFINS]])-2,0)</f>
        <v>8.8629737609329504E-2</v>
      </c>
      <c r="BS23" s="26">
        <f>VLOOKUP($A23,tabCustoUnit[],COLUMN(CUSTO_GLOBAL[[#Headers],[PIS]])-2,0)</f>
        <v>1.9241982507288629E-2</v>
      </c>
      <c r="BT23" s="28">
        <f>VLOOKUP($A23,tabCustoUnit[],COLUMN(CUSTO_GLOBAL[[#Headers],[ISS]])-2,0)</f>
        <v>0.05</v>
      </c>
      <c r="BU23" s="26">
        <f>VLOOKUP($A23,tabCustoUnit[],COLUMN(CUSTO_GLOBAL[[#Headers],[ISS (Conversão Alíquota s/ fatura)]])-2,0)</f>
        <v>5.8309037900874633E-2</v>
      </c>
      <c r="BV23" s="26">
        <f>VLOOKUP($A23,tabCustoUnit[],COLUMN(CUSTO_GLOBAL[[#Headers],[Resumo de Alíquotas (PIS+CONFINS+ISS)]])-2,0)</f>
        <v>0.14250000000000002</v>
      </c>
      <c r="BW23" s="138">
        <f>VLOOKUP($A23,tabCustoUnit[],COLUMN(CUSTO_GLOBAL[[#Headers],[PIS + COFINS + ISS (Total Conversão  Alíquota s/ Fatura)]])-2,0)</f>
        <v>0.16618075801749277</v>
      </c>
      <c r="BX23" s="22">
        <f>VLOOKUP($A23,tabCustoUnit[],COLUMN(CUSTO_GLOBAL[[#Headers],[Valor dos Tributos (ISS, PIS, CONFINS)]])-2,0)*($G23-$H23)</f>
        <v>508.16583451428909</v>
      </c>
      <c r="BY23" s="22">
        <f>VLOOKUP($A23,tabCustoUnit[],COLUMN(CUSTO_GLOBAL[[#Headers],[MÓDULO 6 – CUSTOS INDIRETOS, TRIBUTOS E LUCRO]])-2,0)*($G23-$H23)</f>
        <v>857.11962909475324</v>
      </c>
      <c r="BZ23" s="22">
        <f>VLOOKUP($A23,tabCustoUnit[],COLUMN(CUSTO_GLOBAL[[#Headers],[CUSTO TOTAL MENSAL]])-2,0)*($G23-$H23)</f>
        <v>3566.0760316792207</v>
      </c>
      <c r="CA23" s="22">
        <f>CUSTO_GLOBAL[[#This Row],[CUSTO TOTAL MENSAL]]*12</f>
        <v>42792.91238015065</v>
      </c>
      <c r="CB23" s="24">
        <f>VLOOKUP($A23,tabCustoUnit[],COLUMN(CUSTO_GLOBAL[[#Headers],[ANO DA CCT]])-2,0)</f>
        <v>45658</v>
      </c>
      <c r="CC23" s="25" t="str">
        <f>VLOOKUP($A23,tabCustoUnit[],COLUMN(CUSTO_GLOBAL[[#Headers],[Nº DE PEDIDO DA CCT]])-2,0)</f>
        <v>-</v>
      </c>
      <c r="CD23" s="25" t="str">
        <f>VLOOKUP($A23,tabCustoUnit[],COLUMN(CUSTO_GLOBAL[[#Headers],[TERMO ADITIVO  ALTERAÇÃO DA CCT]])-2,0)</f>
        <v>-</v>
      </c>
      <c r="CF23" s="22"/>
      <c r="CG23" s="22"/>
    </row>
    <row r="24" spans="1:85" x14ac:dyDescent="0.25">
      <c r="A24" s="20" t="s">
        <v>1370</v>
      </c>
      <c r="B24" t="s">
        <v>30</v>
      </c>
      <c r="C24" t="s">
        <v>1245</v>
      </c>
      <c r="D24" t="s">
        <v>1018</v>
      </c>
      <c r="E24" s="20" t="s">
        <v>9</v>
      </c>
      <c r="F24" s="20" t="s">
        <v>10</v>
      </c>
      <c r="G24" s="20">
        <v>2</v>
      </c>
      <c r="H24" s="20">
        <v>0</v>
      </c>
      <c r="I24" s="21">
        <f>VLOOKUP($A24,tabCustoUnit[],COLUMN(CUSTO_GLOBAL[[#Headers],[Salário Base]])-2,0)*($G24-$H24)</f>
        <v>3192.56</v>
      </c>
      <c r="J24" s="21">
        <f>VLOOKUP($A24,tabCustoUnit[],COLUMN(CUSTO_GLOBAL[[#Headers],[Adicional Periculosidade]])-2,0)*($G24-$H24)</f>
        <v>0</v>
      </c>
      <c r="K24" s="21">
        <f>VLOOKUP($A24,tabCustoUnit[],COLUMN(CUSTO_GLOBAL[[#Headers],[Adicional Insalubridade]])-2,0)*($G24-$H24)</f>
        <v>0</v>
      </c>
      <c r="L24" s="21">
        <f>VLOOKUP($A24,tabCustoUnit[],COLUMN(CUSTO_GLOBAL[[#Headers],[Adicional Noturno]])-2,0)*($G24-$H24)</f>
        <v>0</v>
      </c>
      <c r="M24" s="21">
        <f>VLOOKUP($A24,tabCustoUnit[],COLUMN(CUSTO_GLOBAL[[#Headers],[Adicional Motorista II (Gratificação)]])-2,0)*($G24-$H24)</f>
        <v>0</v>
      </c>
      <c r="N24" s="21">
        <f>VLOOKUP($A24,tabCustoUnit[],COLUMN(CUSTO_GLOBAL[[#Headers],[Adicional de Sobreaviso]])-2,0)*($G24-$H24)</f>
        <v>0</v>
      </c>
      <c r="O24" s="21">
        <f>VLOOKUP($A24,tabCustoUnit[],COLUMN(CUSTO_GLOBAL[[#Headers],[Horas Extras TI]])-2,0)*($G24-$H24)</f>
        <v>0</v>
      </c>
      <c r="P24" s="21">
        <f>VLOOKUP($A24,tabCustoUnit[],COLUMN(CUSTO_GLOBAL[[#Headers],[Adicional de Acúmulo de função]])-2,0)*($G24-$H24)</f>
        <v>104.4838</v>
      </c>
      <c r="Q24" s="21">
        <f>VLOOKUP($A24,tabCustoUnit[],COLUMN(CUSTO_GLOBAL[[#Headers],[MODULO 1 - REMUNERAÇÃO ]])-2,0)*($G24-$H24)</f>
        <v>3297.0437999999999</v>
      </c>
      <c r="R24" s="21">
        <f>VLOOKUP($A24,tabCustoUnit[],COLUMN(CUSTO_GLOBAL[[#Headers],[INSS]])-2,0)*($G24-$H24)</f>
        <v>659.40876000000003</v>
      </c>
      <c r="S24" s="21">
        <f>VLOOKUP($A24,tabCustoUnit[],COLUMN(CUSTO_GLOBAL[[#Headers],[SESI OU SESC]])-2,0)*($G24-$H24)</f>
        <v>49.455656999999995</v>
      </c>
      <c r="T24" s="21">
        <f>VLOOKUP($A24,tabCustoUnit[],COLUMN(CUSTO_GLOBAL[[#Headers],[SENAI OU SENAC]])-2,0)*($G24-$H24)</f>
        <v>32.970438000000001</v>
      </c>
      <c r="U24" s="21">
        <f>VLOOKUP($A24,tabCustoUnit[],COLUMN(CUSTO_GLOBAL[[#Headers],[INCRA]])-2,0)*($G24-$H24)</f>
        <v>6.5940875999999999</v>
      </c>
      <c r="V24" s="21">
        <f>VLOOKUP($A24,tabCustoUnit[],COLUMN(CUSTO_GLOBAL[[#Headers],[Salário Educação]])-2,0)*($G24-$H24)</f>
        <v>82.426095000000004</v>
      </c>
      <c r="W24" s="21">
        <f>VLOOKUP($A24,tabCustoUnit[],COLUMN(CUSTO_GLOBAL[[#Headers],[FGTS]])-2,0)*($G24-$H24)</f>
        <v>263.76350400000001</v>
      </c>
      <c r="X24" s="21">
        <f>VLOOKUP($A24,tabCustoUnit[],COLUMN(CUSTO_GLOBAL[[#Headers],[RAT Ajustado]])-2,0)*($G24-$H24)</f>
        <v>131.88175200000001</v>
      </c>
      <c r="Y24" s="21">
        <f>VLOOKUP($A24,tabCustoUnit[],COLUMN(CUSTO_GLOBAL[[#Headers],[SEBRAE]])-2,0)*($G24-$H24)</f>
        <v>19.782262800000002</v>
      </c>
      <c r="Z24" s="21">
        <f>VLOOKUP($A24,tabCustoUnit[],COLUMN(CUSTO_GLOBAL[[#Headers],[Submódulo 2.1]])-2,0)*($G24-$H24)</f>
        <v>1246.2825564</v>
      </c>
      <c r="AA24" s="21">
        <f>VLOOKUP($A24,tabCustoUnit[],COLUMN(CUSTO_GLOBAL[[#Headers],[13º salário (titular)]])-2,0)*($G24-$H24)</f>
        <v>274.75364999999999</v>
      </c>
      <c r="AB24" s="21">
        <f>VLOOKUP($A24,tabCustoUnit[],COLUMN(CUSTO_GLOBAL[[#Headers],[Férias e Adicional de Férias (titular)]])-2,0)*($G24-$H24)</f>
        <v>366.33819999999997</v>
      </c>
      <c r="AC24" s="21">
        <f>VLOOKUP($A24,tabCustoUnit[],COLUMN(CUSTO_GLOBAL[[#Headers],[Incidência do Submódulo 2.1 sobre 13º Salário, Férias e Adicional de Férias]])-2,0)*($G24-$H24)</f>
        <v>242.33271930000001</v>
      </c>
      <c r="AD24" s="21">
        <f>VLOOKUP($A24,tabCustoUnit[],COLUMN(CUSTO_GLOBAL[[#Headers],[Submódulo 2.2]])-2,0)*($G24-$H24)</f>
        <v>883.42456930000003</v>
      </c>
      <c r="AE24" s="22">
        <f>VLOOKUP($A24,tabCustoUnit[],COLUMN(CUSTO_GLOBAL[[#Headers],[Vale - Transporte (Descontada parcela do empregado)]])-2,0)*($G24-$H24)</f>
        <v>320.44640000000004</v>
      </c>
      <c r="AF24" s="22">
        <f>VLOOKUP($A24,tabCustoUnit[],COLUMN(CUSTO_GLOBAL[[#Headers],[Vale - Alimentação (Descontada parcela do empregado)]])-2,0)*($G24-$H24)</f>
        <v>1164</v>
      </c>
      <c r="AG24" s="22">
        <f>VLOOKUP($A24,tabCustoUnit[],COLUMN(CUSTO_GLOBAL[[#Headers],[Cesta Básica]])-2,0)*($G24-$H24)</f>
        <v>0</v>
      </c>
      <c r="AH24" s="22">
        <f>VLOOKUP($A24,tabCustoUnit[],COLUMN(CUSTO_GLOBAL[[#Headers],[PAF]])-2,0)*($G24-$H24)</f>
        <v>103.76</v>
      </c>
      <c r="AI24" s="22">
        <f>VLOOKUP($A24,tabCustoUnit[],COLUMN(CUSTO_GLOBAL[[#Headers],[PQM]])-2,0)*($G24-$H24)</f>
        <v>0</v>
      </c>
      <c r="AJ24" s="22">
        <v>0</v>
      </c>
      <c r="AK24" s="22">
        <f>VLOOKUP($A24,tabCustoUnit[],COLUMN(CUSTO_GLOBAL[[#Headers],[Seguro de Vida]])-2,0)*($G24-$H24)</f>
        <v>6.72</v>
      </c>
      <c r="AL24" s="22">
        <f>VLOOKUP($A24,tabCustoUnit[],COLUMN(CUSTO_GLOBAL[[#Headers],[Despesas de Viagem]])-2,0)*($G24-$H24)</f>
        <v>0</v>
      </c>
      <c r="AM24" s="22">
        <f>VLOOKUP($A24,tabCustoUnit[],COLUMN(CUSTO_GLOBAL[[#Headers],[Submódulo 2.3]])-2,0)*($G24-$H24)</f>
        <v>1594.9264000000001</v>
      </c>
      <c r="AN24" s="22">
        <f>VLOOKUP($A24,tabCustoUnit[],COLUMN(CUSTO_GLOBAL[[#Headers],[MÓDULO 2 - Total Encargos e Benefícios mensais e diários]])-2,0)*($G24-$H24)</f>
        <v>3724.6335257000001</v>
      </c>
      <c r="AO24" s="22">
        <f>VLOOKUP($A24,tabCustoUnit[],COLUMN(CUSTO_GLOBAL[[#Headers],[Aviso Prévio Indenizado (API) e Reflexo do Aviso Prévio Indenizado]])-2,0)*($G24-$H24)</f>
        <v>23.118102832986111</v>
      </c>
      <c r="AP24" s="22">
        <f>VLOOKUP($A24,tabCustoUnit[],COLUMN(CUSTO_GLOBAL[[#Headers],[Incidência do FGTS sobre API e Reflexo do API]])-2,0)*($G24-$H24)</f>
        <v>1.849448226638889</v>
      </c>
      <c r="AQ24" s="22">
        <f>VLOOKUP($A24,tabCustoUnit[],COLUMN(CUSTO_GLOBAL[[#Headers],[Multa Rescisória do FGTS sobre o Aviso Prévio Indenizado]])-2,0)*($G24-$H24)</f>
        <v>0.7397792906555557</v>
      </c>
      <c r="AR24" s="22">
        <f>VLOOKUP($A24,tabCustoUnit[],COLUMN(CUSTO_GLOBAL[[#Headers],[Aviso Prévio Trabalhado - APT]])-2,0)*($G24-$H24)</f>
        <v>11.539653300000001</v>
      </c>
      <c r="AS24" s="22">
        <f>VLOOKUP($A24,tabCustoUnit[],COLUMN(CUSTO_GLOBAL[[#Headers],[Incidência dos encargos do submódulo 2.1 sobre Aviso Prévio Trabalhado]])-2,0)*($G24-$H24)</f>
        <v>4.3619889474000013</v>
      </c>
      <c r="AT24" s="22">
        <f>VLOOKUP($A24,tabCustoUnit[],COLUMN(CUSTO_GLOBAL[[#Headers],[Multa Rescisória do FGTS]])-2,0)*($G24-$H24)</f>
        <v>100.81627263999998</v>
      </c>
      <c r="AU24" s="22">
        <f>VLOOKUP($A24,tabCustoUnit[],COLUMN(CUSTO_GLOBAL[[#Headers],[Indenização Adicional (Art. 9º da Lei nº 7.238/84)]])-2,0)*($G24-$H24)</f>
        <v>2.7475365000000003</v>
      </c>
      <c r="AV24" s="22">
        <f>VLOOKUP($A24,tabCustoUnit[],COLUMN(CUSTO_GLOBAL[[#Headers],[MÓDULO 3 – PROVISÃO PARA RESCISÃO]])-2,0)*($G24-$H24)</f>
        <v>145.17278173768054</v>
      </c>
      <c r="AW24" s="22">
        <f>VLOOKUP($A24,tabCustoUnit[],COLUMN(CUSTO_GLOBAL[[#Headers],[Ausência por Doença]])-2,0)*($G24-$H24)</f>
        <v>27.841703199999998</v>
      </c>
      <c r="AX24" s="22">
        <f>VLOOKUP($A24,tabCustoUnit[],COLUMN(CUSTO_GLOBAL[[#Headers],[Ausências Legais]])-2,0)*($G24-$H24)</f>
        <v>6.6856721499999994</v>
      </c>
      <c r="AY24" s="22">
        <f>VLOOKUP($A24,tabCustoUnit[],COLUMN(CUSTO_GLOBAL[[#Headers],[Licença Paternidade]])-2,0)*($G24-$H24)</f>
        <v>0.56324498249999999</v>
      </c>
      <c r="AZ24" s="22">
        <f>VLOOKUP($A24,tabCustoUnit[],COLUMN(CUSTO_GLOBAL[[#Headers],[Ausência por Acidente de Trabalho]])-2,0)*($G24-$H24)</f>
        <v>0.68688412500000007</v>
      </c>
      <c r="BA24" s="22">
        <f>VLOOKUP($A24,tabCustoUnit[],COLUMN(CUSTO_GLOBAL[[#Headers],[Férias, Adicional de Férias e 13º  com empregada em gozo de Licença Maternidade]])-2,0)*($G24-$H24)</f>
        <v>4.2739456666666662</v>
      </c>
      <c r="BB24" s="22">
        <f>VLOOKUP($A24,tabCustoUnit[],COLUMN(CUSTO_GLOBAL[[#Headers],[Incidência do Submódulo 2.1 sobre Ausências Legais]])-2,0)*($G24-$H24)</f>
        <v>15.139448146935003</v>
      </c>
      <c r="BC24" s="22">
        <f>VLOOKUP($A24,tabCustoUnit[],COLUMN(CUSTO_GLOBAL[[#Headers],[Submódulo 4.1]])-2,0)*($G24-$H24)</f>
        <v>55.190898271101666</v>
      </c>
      <c r="BD24" s="22">
        <f>VLOOKUP($A24,tabCustoUnit[],COLUMN(CUSTO_GLOBAL[[#Headers],[Intervalo para Repouso ou Alimentação]])-2,0)*($G24-$H24)</f>
        <v>0</v>
      </c>
      <c r="BE24" s="22">
        <f>VLOOKUP($A24,tabCustoUnit[],COLUMN(CUSTO_GLOBAL[[#Headers],[Submódulo 4.2]])-2,0)*($G24-$H24)</f>
        <v>0</v>
      </c>
      <c r="BF24" s="22">
        <f>VLOOKUP($A24,tabCustoUnit[],COLUMN(CUSTO_GLOBAL[[#Headers],[Suspensão Temporária do Contrato de Trabalho]])-2,0)*($G24-$H24)</f>
        <v>0</v>
      </c>
      <c r="BG24" s="22">
        <f>VLOOKUP($A24,tabCustoUnit[],COLUMN(CUSTO_GLOBAL[[#Headers],[Submódulo 4.3]])-2,0)*($G24-$H24)</f>
        <v>0</v>
      </c>
      <c r="BH24" s="22">
        <f>VLOOKUP($A24,tabCustoUnit[],COLUMN(CUSTO_GLOBAL[[#Headers],[MÓDULO 4 – CUSTO DE REPOSIÇÃO DO PROFISSIONAL AUSENTE]])-2,0)*($G24-$H24)</f>
        <v>55.190898271101666</v>
      </c>
      <c r="BI24" s="22">
        <f>VLOOKUP($A24,tabCustoUnit[],COLUMN(CUSTO_GLOBAL[[#Headers],[Uniformes e EPIs]])-2,0)*($G24-$H24)</f>
        <v>201.61833333333331</v>
      </c>
      <c r="BJ24" s="22">
        <f>VLOOKUP($A24,tabCustoUnit[],COLUMN(CUSTO_GLOBAL[[#Headers],[Materiais de Consumo]])-2,0)*($G24-$H24)</f>
        <v>71.036425917167776</v>
      </c>
      <c r="BK24" s="22">
        <f>VLOOKUP($A24,tabCustoUnit[],COLUMN(CUSTO_GLOBAL[[#Headers],[Máquinas e Equipamentos (depreciação)]])-2,0)*($G24-$H24)</f>
        <v>129.05878782965115</v>
      </c>
      <c r="BL24" s="22">
        <f>VLOOKUP($A24,tabCustoUnit[],COLUMN(CUSTO_GLOBAL[[#Headers],[Produtos de Limpeza e Materiais de Higiene Pessoal]])-2,0)*($G24-$H24)</f>
        <v>1380.5430655586331</v>
      </c>
      <c r="BM24" s="22">
        <f>VLOOKUP($A24,tabCustoUnit[],COLUMN(CUSTO_GLOBAL[[#Headers],[Outros (especificar)]])-2,0)*($G24-$H24)</f>
        <v>0</v>
      </c>
      <c r="BN24" s="22">
        <f>VLOOKUP($A24,tabCustoUnit[],COLUMN(CUSTO_GLOBAL[[#Headers],[MÓDULO 5 – INSUMOS DIVERSOS]])-2,0)*($G24-$H24)</f>
        <v>1782.2566126387853</v>
      </c>
      <c r="BO24" s="22">
        <f>VLOOKUP($A24,tabCustoUnit[],COLUMN(CUSTO_GLOBAL[[#Headers],[TOTAL MÓDULOS 1+2+3+4+5]])-2,0)*($G24-$H24)</f>
        <v>9004.2976183475675</v>
      </c>
      <c r="BP24" s="22">
        <f>VLOOKUP($A24,tabCustoUnit[],COLUMN(CUSTO_GLOBAL[[#Headers],[Custos Indiretos]])-2,0)*($G24-$H24)</f>
        <v>379.29760280485226</v>
      </c>
      <c r="BQ24" s="22">
        <f>VLOOKUP($A24,tabCustoUnit[],COLUMN(CUSTO_GLOBAL[[#Headers],[Lucro]])-2,0)*($G24-$H24)</f>
        <v>318.60998635607592</v>
      </c>
      <c r="BR24" s="26">
        <f>VLOOKUP($A24,tabCustoUnit[],COLUMN(CUSTO_GLOBAL[[#Headers],[COFINS]])-2,0)</f>
        <v>8.6118980169971604E-2</v>
      </c>
      <c r="BS24" s="26">
        <f>VLOOKUP($A24,tabCustoUnit[],COLUMN(CUSTO_GLOBAL[[#Headers],[PIS]])-2,0)</f>
        <v>1.8696883852691224E-2</v>
      </c>
      <c r="BT24" s="28">
        <f>VLOOKUP($A24,tabCustoUnit[],COLUMN(CUSTO_GLOBAL[[#Headers],[ISS]])-2,0)</f>
        <v>2.5000000000000001E-2</v>
      </c>
      <c r="BU24" s="26">
        <f>VLOOKUP($A24,tabCustoUnit[],COLUMN(CUSTO_GLOBAL[[#Headers],[ISS (Conversão Alíquota s/ fatura)]])-2,0)</f>
        <v>2.8328611898017008E-2</v>
      </c>
      <c r="BV24" s="26">
        <f>VLOOKUP($A24,tabCustoUnit[],COLUMN(CUSTO_GLOBAL[[#Headers],[Resumo de Alíquotas (PIS+CONFINS+ISS)]])-2,0)</f>
        <v>0.11749999999999999</v>
      </c>
      <c r="BW24" s="138">
        <f>VLOOKUP($A24,tabCustoUnit[],COLUMN(CUSTO_GLOBAL[[#Headers],[PIS + COFINS + ISS (Total Conversão  Alíquota s/ Fatura)]])-2,0)</f>
        <v>0.13314447592067982</v>
      </c>
      <c r="BX24" s="22">
        <f>VLOOKUP($A24,tabCustoUnit[],COLUMN(CUSTO_GLOBAL[[#Headers],[Valor dos Tributos (ISS, PIS, CONFINS)]])-2,0)*($G24-$H24)</f>
        <v>1291.7950276286092</v>
      </c>
      <c r="BY24" s="22">
        <f>VLOOKUP($A24,tabCustoUnit[],COLUMN(CUSTO_GLOBAL[[#Headers],[MÓDULO 6 – CUSTOS INDIRETOS, TRIBUTOS E LUCRO]])-2,0)*($G24-$H24)</f>
        <v>1989.7026167895374</v>
      </c>
      <c r="BZ24" s="22">
        <f>VLOOKUP($A24,tabCustoUnit[],COLUMN(CUSTO_GLOBAL[[#Headers],[CUSTO TOTAL MENSAL]])-2,0)*($G24-$H24)</f>
        <v>10994.000235137104</v>
      </c>
      <c r="CA24" s="22">
        <f>CUSTO_GLOBAL[[#This Row],[CUSTO TOTAL MENSAL]]*12</f>
        <v>131928.00282164523</v>
      </c>
      <c r="CB24" s="24">
        <f>VLOOKUP($A24,tabCustoUnit[],COLUMN(CUSTO_GLOBAL[[#Headers],[ANO DA CCT]])-2,0)</f>
        <v>45658</v>
      </c>
      <c r="CC24" s="25" t="str">
        <f>VLOOKUP($A24,tabCustoUnit[],COLUMN(CUSTO_GLOBAL[[#Headers],[Nº DE PEDIDO DA CCT]])-2,0)</f>
        <v>-</v>
      </c>
      <c r="CD24" s="25" t="str">
        <f>VLOOKUP($A24,tabCustoUnit[],COLUMN(CUSTO_GLOBAL[[#Headers],[TERMO ADITIVO  ALTERAÇÃO DA CCT]])-2,0)</f>
        <v>-</v>
      </c>
      <c r="CF24" s="22"/>
      <c r="CG24" s="22"/>
    </row>
    <row r="25" spans="1:85" x14ac:dyDescent="0.25">
      <c r="A25" s="20" t="s">
        <v>1085</v>
      </c>
      <c r="B25" t="s">
        <v>31</v>
      </c>
      <c r="C25" t="s">
        <v>1267</v>
      </c>
      <c r="D25" t="s">
        <v>1033</v>
      </c>
      <c r="E25" s="20" t="s">
        <v>9</v>
      </c>
      <c r="F25" s="20" t="s">
        <v>10</v>
      </c>
      <c r="G25" s="20">
        <v>2</v>
      </c>
      <c r="H25" s="20">
        <v>0</v>
      </c>
      <c r="I25" s="21">
        <f>VLOOKUP($A25,tabCustoUnit[],COLUMN(CUSTO_GLOBAL[[#Headers],[Salário Base]])-2,0)*($G25-$H25)</f>
        <v>3298.24</v>
      </c>
      <c r="J25" s="21">
        <f>VLOOKUP($A25,tabCustoUnit[],COLUMN(CUSTO_GLOBAL[[#Headers],[Adicional Periculosidade]])-2,0)*($G25-$H25)</f>
        <v>0</v>
      </c>
      <c r="K25" s="21">
        <f>VLOOKUP($A25,tabCustoUnit[],COLUMN(CUSTO_GLOBAL[[#Headers],[Adicional Insalubridade]])-2,0)*($G25-$H25)</f>
        <v>0</v>
      </c>
      <c r="L25" s="21">
        <f>VLOOKUP($A25,tabCustoUnit[],COLUMN(CUSTO_GLOBAL[[#Headers],[Adicional Noturno]])-2,0)*($G25-$H25)</f>
        <v>0</v>
      </c>
      <c r="M25" s="21">
        <f>VLOOKUP($A25,tabCustoUnit[],COLUMN(CUSTO_GLOBAL[[#Headers],[Adicional Motorista II (Gratificação)]])-2,0)*($G25-$H25)</f>
        <v>0</v>
      </c>
      <c r="N25" s="21">
        <f>VLOOKUP($A25,tabCustoUnit[],COLUMN(CUSTO_GLOBAL[[#Headers],[Adicional de Sobreaviso]])-2,0)*($G25-$H25)</f>
        <v>0</v>
      </c>
      <c r="O25" s="21">
        <f>VLOOKUP($A25,tabCustoUnit[],COLUMN(CUSTO_GLOBAL[[#Headers],[Horas Extras TI]])-2,0)*($G25-$H25)</f>
        <v>0</v>
      </c>
      <c r="P25" s="21">
        <f>VLOOKUP($A25,tabCustoUnit[],COLUMN(CUSTO_GLOBAL[[#Headers],[Adicional de Acúmulo de função]])-2,0)*($G25-$H25)</f>
        <v>107.94240000000001</v>
      </c>
      <c r="Q25" s="21">
        <f>VLOOKUP($A25,tabCustoUnit[],COLUMN(CUSTO_GLOBAL[[#Headers],[MODULO 1 - REMUNERAÇÃO ]])-2,0)*($G25-$H25)</f>
        <v>3406.1823999999997</v>
      </c>
      <c r="R25" s="21">
        <f>VLOOKUP($A25,tabCustoUnit[],COLUMN(CUSTO_GLOBAL[[#Headers],[INSS]])-2,0)*($G25-$H25)</f>
        <v>681.23648000000003</v>
      </c>
      <c r="S25" s="21">
        <f>VLOOKUP($A25,tabCustoUnit[],COLUMN(CUSTO_GLOBAL[[#Headers],[SESI OU SESC]])-2,0)*($G25-$H25)</f>
        <v>51.092735999999995</v>
      </c>
      <c r="T25" s="21">
        <f>VLOOKUP($A25,tabCustoUnit[],COLUMN(CUSTO_GLOBAL[[#Headers],[SENAI OU SENAC]])-2,0)*($G25-$H25)</f>
        <v>34.061823999999994</v>
      </c>
      <c r="U25" s="21">
        <f>VLOOKUP($A25,tabCustoUnit[],COLUMN(CUSTO_GLOBAL[[#Headers],[INCRA]])-2,0)*($G25-$H25)</f>
        <v>6.8123647999999992</v>
      </c>
      <c r="V25" s="21">
        <f>VLOOKUP($A25,tabCustoUnit[],COLUMN(CUSTO_GLOBAL[[#Headers],[Salário Educação]])-2,0)*($G25-$H25)</f>
        <v>85.154560000000004</v>
      </c>
      <c r="W25" s="21">
        <f>VLOOKUP($A25,tabCustoUnit[],COLUMN(CUSTO_GLOBAL[[#Headers],[FGTS]])-2,0)*($G25-$H25)</f>
        <v>272.49459199999995</v>
      </c>
      <c r="X25" s="21">
        <f>VLOOKUP($A25,tabCustoUnit[],COLUMN(CUSTO_GLOBAL[[#Headers],[RAT Ajustado]])-2,0)*($G25-$H25)</f>
        <v>136.24729599999998</v>
      </c>
      <c r="Y25" s="21">
        <f>VLOOKUP($A25,tabCustoUnit[],COLUMN(CUSTO_GLOBAL[[#Headers],[SEBRAE]])-2,0)*($G25-$H25)</f>
        <v>20.437094399999999</v>
      </c>
      <c r="Z25" s="21">
        <f>VLOOKUP($A25,tabCustoUnit[],COLUMN(CUSTO_GLOBAL[[#Headers],[Submódulo 2.1]])-2,0)*($G25-$H25)</f>
        <v>1287.5369472</v>
      </c>
      <c r="AA25" s="21">
        <f>VLOOKUP($A25,tabCustoUnit[],COLUMN(CUSTO_GLOBAL[[#Headers],[13º salário (titular)]])-2,0)*($G25-$H25)</f>
        <v>283.84853333333331</v>
      </c>
      <c r="AB25" s="21">
        <f>VLOOKUP($A25,tabCustoUnit[],COLUMN(CUSTO_GLOBAL[[#Headers],[Férias e Adicional de Férias (titular)]])-2,0)*($G25-$H25)</f>
        <v>378.46471111111106</v>
      </c>
      <c r="AC25" s="21">
        <f>VLOOKUP($A25,tabCustoUnit[],COLUMN(CUSTO_GLOBAL[[#Headers],[Incidência do Submódulo 2.1 sobre 13º Salário, Férias e Adicional de Férias]])-2,0)*($G25-$H25)</f>
        <v>250.35440639999999</v>
      </c>
      <c r="AD25" s="21">
        <f>VLOOKUP($A25,tabCustoUnit[],COLUMN(CUSTO_GLOBAL[[#Headers],[Submódulo 2.2]])-2,0)*($G25-$H25)</f>
        <v>912.66765084444432</v>
      </c>
      <c r="AE25" s="22">
        <f>VLOOKUP($A25,tabCustoUnit[],COLUMN(CUSTO_GLOBAL[[#Headers],[Vale - Transporte (Descontada parcela do empregado)]])-2,0)*($G25-$H25)</f>
        <v>702.10559999999998</v>
      </c>
      <c r="AF25" s="22">
        <f>VLOOKUP($A25,tabCustoUnit[],COLUMN(CUSTO_GLOBAL[[#Headers],[Vale - Alimentação (Descontada parcela do empregado)]])-2,0)*($G25-$H25)</f>
        <v>1164</v>
      </c>
      <c r="AG25" s="22">
        <f>VLOOKUP($A25,tabCustoUnit[],COLUMN(CUSTO_GLOBAL[[#Headers],[Cesta Básica]])-2,0)*($G25-$H25)</f>
        <v>0</v>
      </c>
      <c r="AH25" s="22">
        <f>VLOOKUP($A25,tabCustoUnit[],COLUMN(CUSTO_GLOBAL[[#Headers],[PAF]])-2,0)*($G25-$H25)</f>
        <v>191.8</v>
      </c>
      <c r="AI25" s="22">
        <f>VLOOKUP($A25,tabCustoUnit[],COLUMN(CUSTO_GLOBAL[[#Headers],[PQM]])-2,0)*($G25-$H25)</f>
        <v>0</v>
      </c>
      <c r="AJ25" s="22">
        <v>0</v>
      </c>
      <c r="AK25" s="22">
        <f>VLOOKUP($A25,tabCustoUnit[],COLUMN(CUSTO_GLOBAL[[#Headers],[Seguro de Vida]])-2,0)*($G25-$H25)</f>
        <v>6.72</v>
      </c>
      <c r="AL25" s="22">
        <f>VLOOKUP($A25,tabCustoUnit[],COLUMN(CUSTO_GLOBAL[[#Headers],[Despesas de Viagem]])-2,0)*($G25-$H25)</f>
        <v>20.38</v>
      </c>
      <c r="AM25" s="22">
        <f>VLOOKUP($A25,tabCustoUnit[],COLUMN(CUSTO_GLOBAL[[#Headers],[Submódulo 2.3]])-2,0)*($G25-$H25)</f>
        <v>2085.0056</v>
      </c>
      <c r="AN25" s="22">
        <f>VLOOKUP($A25,tabCustoUnit[],COLUMN(CUSTO_GLOBAL[[#Headers],[MÓDULO 2 - Total Encargos e Benefícios mensais e diários]])-2,0)*($G25-$H25)</f>
        <v>4285.210198044444</v>
      </c>
      <c r="AO25" s="22">
        <f>VLOOKUP($A25,tabCustoUnit[],COLUMN(CUSTO_GLOBAL[[#Headers],[Aviso Prévio Indenizado (API) e Reflexo do Aviso Prévio Indenizado]])-2,0)*($G25-$H25)</f>
        <v>23.883357264197528</v>
      </c>
      <c r="AP25" s="22">
        <f>VLOOKUP($A25,tabCustoUnit[],COLUMN(CUSTO_GLOBAL[[#Headers],[Incidência do FGTS sobre API e Reflexo do API]])-2,0)*($G25-$H25)</f>
        <v>1.9106685811358024</v>
      </c>
      <c r="AQ25" s="22">
        <f>VLOOKUP($A25,tabCustoUnit[],COLUMN(CUSTO_GLOBAL[[#Headers],[Multa Rescisória do FGTS sobre o Aviso Prévio Indenizado]])-2,0)*($G25-$H25)</f>
        <v>0.76426743245432105</v>
      </c>
      <c r="AR25" s="22">
        <f>VLOOKUP($A25,tabCustoUnit[],COLUMN(CUSTO_GLOBAL[[#Headers],[Aviso Prévio Trabalhado - APT]])-2,0)*($G25-$H25)</f>
        <v>11.921638400000001</v>
      </c>
      <c r="AS25" s="22">
        <f>VLOOKUP($A25,tabCustoUnit[],COLUMN(CUSTO_GLOBAL[[#Headers],[Incidência dos encargos do submódulo 2.1 sobre Aviso Prévio Trabalhado]])-2,0)*($G25-$H25)</f>
        <v>4.5063793152000011</v>
      </c>
      <c r="AT25" s="22">
        <f>VLOOKUP($A25,tabCustoUnit[],COLUMN(CUSTO_GLOBAL[[#Headers],[Multa Rescisória do FGTS]])-2,0)*($G25-$H25)</f>
        <v>104.15348849777776</v>
      </c>
      <c r="AU25" s="22">
        <f>VLOOKUP($A25,tabCustoUnit[],COLUMN(CUSTO_GLOBAL[[#Headers],[Indenização Adicional (Art. 9º da Lei nº 7.238/84)]])-2,0)*($G25-$H25)</f>
        <v>2.8384853333333333</v>
      </c>
      <c r="AV25" s="22">
        <f>VLOOKUP($A25,tabCustoUnit[],COLUMN(CUSTO_GLOBAL[[#Headers],[MÓDULO 3 – PROVISÃO PARA RESCISÃO]])-2,0)*($G25-$H25)</f>
        <v>149.97828482409875</v>
      </c>
      <c r="AW25" s="22">
        <f>VLOOKUP($A25,tabCustoUnit[],COLUMN(CUSTO_GLOBAL[[#Headers],[Ausência por Doença]])-2,0)*($G25-$H25)</f>
        <v>28.763318044444439</v>
      </c>
      <c r="AX25" s="22">
        <f>VLOOKUP($A25,tabCustoUnit[],COLUMN(CUSTO_GLOBAL[[#Headers],[Ausências Legais]])-2,0)*($G25-$H25)</f>
        <v>6.9069809777777769</v>
      </c>
      <c r="AY25" s="22">
        <f>VLOOKUP($A25,tabCustoUnit[],COLUMN(CUSTO_GLOBAL[[#Headers],[Licença Paternidade]])-2,0)*($G25-$H25)</f>
        <v>0.58188949333333329</v>
      </c>
      <c r="AZ25" s="22">
        <f>VLOOKUP($A25,tabCustoUnit[],COLUMN(CUSTO_GLOBAL[[#Headers],[Ausência por Acidente de Trabalho]])-2,0)*($G25-$H25)</f>
        <v>0.70962133333333333</v>
      </c>
      <c r="BA25" s="22">
        <f>VLOOKUP($A25,tabCustoUnit[],COLUMN(CUSTO_GLOBAL[[#Headers],[Férias, Adicional de Férias e 13º  com empregada em gozo de Licença Maternidade]])-2,0)*($G25-$H25)</f>
        <v>4.4154216296296287</v>
      </c>
      <c r="BB25" s="22">
        <f>VLOOKUP($A25,tabCustoUnit[],COLUMN(CUSTO_GLOBAL[[#Headers],[Incidência do Submódulo 2.1 sobre Ausências Legais]])-2,0)*($G25-$H25)</f>
        <v>15.640593498880001</v>
      </c>
      <c r="BC25" s="22">
        <f>VLOOKUP($A25,tabCustoUnit[],COLUMN(CUSTO_GLOBAL[[#Headers],[Submódulo 4.1]])-2,0)*($G25-$H25)</f>
        <v>57.017824977398512</v>
      </c>
      <c r="BD25" s="22">
        <f>VLOOKUP($A25,tabCustoUnit[],COLUMN(CUSTO_GLOBAL[[#Headers],[Intervalo para Repouso ou Alimentação]])-2,0)*($G25-$H25)</f>
        <v>377.11305142857134</v>
      </c>
      <c r="BE25" s="22">
        <f>VLOOKUP($A25,tabCustoUnit[],COLUMN(CUSTO_GLOBAL[[#Headers],[Submódulo 4.2]])-2,0)*($G25-$H25)</f>
        <v>377.11305142857134</v>
      </c>
      <c r="BF25" s="22">
        <f>VLOOKUP($A25,tabCustoUnit[],COLUMN(CUSTO_GLOBAL[[#Headers],[Suspensão Temporária do Contrato de Trabalho]])-2,0)*($G25-$H25)</f>
        <v>0</v>
      </c>
      <c r="BG25" s="22">
        <f>VLOOKUP($A25,tabCustoUnit[],COLUMN(CUSTO_GLOBAL[[#Headers],[Submódulo 4.3]])-2,0)*($G25-$H25)</f>
        <v>0</v>
      </c>
      <c r="BH25" s="22">
        <f>VLOOKUP($A25,tabCustoUnit[],COLUMN(CUSTO_GLOBAL[[#Headers],[MÓDULO 4 – CUSTO DE REPOSIÇÃO DO PROFISSIONAL AUSENTE]])-2,0)*($G25-$H25)</f>
        <v>434.13087640596984</v>
      </c>
      <c r="BI25" s="22">
        <f>VLOOKUP($A25,tabCustoUnit[],COLUMN(CUSTO_GLOBAL[[#Headers],[Uniformes e EPIs]])-2,0)*($G25-$H25)</f>
        <v>201.61833333333337</v>
      </c>
      <c r="BJ25" s="22">
        <f>VLOOKUP($A25,tabCustoUnit[],COLUMN(CUSTO_GLOBAL[[#Headers],[Materiais de Consumo]])-2,0)*($G25-$H25)</f>
        <v>71.036425917167776</v>
      </c>
      <c r="BK25" s="22">
        <f>VLOOKUP($A25,tabCustoUnit[],COLUMN(CUSTO_GLOBAL[[#Headers],[Máquinas e Equipamentos (depreciação)]])-2,0)*($G25-$H25)</f>
        <v>129.05878782965115</v>
      </c>
      <c r="BL25" s="22">
        <f>VLOOKUP($A25,tabCustoUnit[],COLUMN(CUSTO_GLOBAL[[#Headers],[Produtos de Limpeza e Materiais de Higiene Pessoal]])-2,0)*($G25-$H25)</f>
        <v>1380.5430655586331</v>
      </c>
      <c r="BM25" s="22">
        <f>VLOOKUP($A25,tabCustoUnit[],COLUMN(CUSTO_GLOBAL[[#Headers],[Outros (especificar)]])-2,0)*($G25-$H25)</f>
        <v>0</v>
      </c>
      <c r="BN25" s="22">
        <f>VLOOKUP($A25,tabCustoUnit[],COLUMN(CUSTO_GLOBAL[[#Headers],[MÓDULO 5 – INSUMOS DIVERSOS]])-2,0)*($G25-$H25)</f>
        <v>1782.2566126387853</v>
      </c>
      <c r="BO25" s="22">
        <f>VLOOKUP($A25,tabCustoUnit[],COLUMN(CUSTO_GLOBAL[[#Headers],[TOTAL MÓDULOS 1+2+3+4+5]])-2,0)*($G25-$H25)</f>
        <v>10057.758371913296</v>
      </c>
      <c r="BP25" s="22">
        <f>VLOOKUP($A25,tabCustoUnit[],COLUMN(CUSTO_GLOBAL[[#Headers],[Custos Indiretos]])-2,0)*($G25-$H25)</f>
        <v>379.29760280485226</v>
      </c>
      <c r="BQ25" s="22">
        <f>VLOOKUP($A25,tabCustoUnit[],COLUMN(CUSTO_GLOBAL[[#Headers],[Lucro]])-2,0)*($G25-$H25)</f>
        <v>318.60998635607592</v>
      </c>
      <c r="BR25" s="26">
        <f>VLOOKUP($A25,tabCustoUnit[],COLUMN(CUSTO_GLOBAL[[#Headers],[COFINS]])-2,0)</f>
        <v>8.8629737609329504E-2</v>
      </c>
      <c r="BS25" s="26">
        <f>VLOOKUP($A25,tabCustoUnit[],COLUMN(CUSTO_GLOBAL[[#Headers],[PIS]])-2,0)</f>
        <v>1.9241982507288629E-2</v>
      </c>
      <c r="BT25" s="28">
        <f>VLOOKUP($A25,tabCustoUnit[],COLUMN(CUSTO_GLOBAL[[#Headers],[ISS]])-2,0)</f>
        <v>0.05</v>
      </c>
      <c r="BU25" s="26">
        <f>VLOOKUP($A25,tabCustoUnit[],COLUMN(CUSTO_GLOBAL[[#Headers],[ISS (Conversão Alíquota s/ fatura)]])-2,0)</f>
        <v>5.8309037900874633E-2</v>
      </c>
      <c r="BV25" s="26">
        <f>VLOOKUP($A25,tabCustoUnit[],COLUMN(CUSTO_GLOBAL[[#Headers],[Resumo de Alíquotas (PIS+CONFINS+ISS)]])-2,0)</f>
        <v>0.14250000000000002</v>
      </c>
      <c r="BW25" s="138">
        <f>VLOOKUP($A25,tabCustoUnit[],COLUMN(CUSTO_GLOBAL[[#Headers],[PIS + COFINS + ISS (Total Conversão  Alíquota s/ Fatura)]])-2,0)</f>
        <v>0.16618075801749277</v>
      </c>
      <c r="BX25" s="22">
        <f>VLOOKUP($A25,tabCustoUnit[],COLUMN(CUSTO_GLOBAL[[#Headers],[Valor dos Tributos (ISS, PIS, CONFINS)]])-2,0)*($G25-$H25)</f>
        <v>1787.3847223942596</v>
      </c>
      <c r="BY25" s="22">
        <f>VLOOKUP($A25,tabCustoUnit[],COLUMN(CUSTO_GLOBAL[[#Headers],[MÓDULO 6 – CUSTOS INDIRETOS, TRIBUTOS E LUCRO]])-2,0)*($G25-$H25)</f>
        <v>2485.2923115551876</v>
      </c>
      <c r="BZ25" s="22">
        <f>VLOOKUP($A25,tabCustoUnit[],COLUMN(CUSTO_GLOBAL[[#Headers],[CUSTO TOTAL MENSAL]])-2,0)*($G25-$H25)</f>
        <v>12543.050683468484</v>
      </c>
      <c r="CA25" s="22">
        <f>CUSTO_GLOBAL[[#This Row],[CUSTO TOTAL MENSAL]]*12</f>
        <v>150516.6082016218</v>
      </c>
      <c r="CB25" s="24">
        <f>VLOOKUP($A25,tabCustoUnit[],COLUMN(CUSTO_GLOBAL[[#Headers],[ANO DA CCT]])-2,0)</f>
        <v>45658</v>
      </c>
      <c r="CC25" s="25" t="str">
        <f>VLOOKUP($A25,tabCustoUnit[],COLUMN(CUSTO_GLOBAL[[#Headers],[Nº DE PEDIDO DA CCT]])-2,0)</f>
        <v>-</v>
      </c>
      <c r="CD25" s="25" t="str">
        <f>VLOOKUP($A25,tabCustoUnit[],COLUMN(CUSTO_GLOBAL[[#Headers],[TERMO ADITIVO  ALTERAÇÃO DA CCT]])-2,0)</f>
        <v>-</v>
      </c>
      <c r="CF25" s="22"/>
      <c r="CG25" s="22"/>
    </row>
    <row r="26" spans="1:85" x14ac:dyDescent="0.25">
      <c r="A26" s="20" t="s">
        <v>1087</v>
      </c>
      <c r="B26" t="s">
        <v>31</v>
      </c>
      <c r="C26" t="s">
        <v>1278</v>
      </c>
      <c r="D26" t="s">
        <v>1033</v>
      </c>
      <c r="E26" s="20" t="s">
        <v>9</v>
      </c>
      <c r="F26" s="20" t="s">
        <v>10</v>
      </c>
      <c r="G26" s="20">
        <v>2</v>
      </c>
      <c r="H26" s="20">
        <v>0</v>
      </c>
      <c r="I26" s="21">
        <f>VLOOKUP($A26,tabCustoUnit[],COLUMN(CUSTO_GLOBAL[[#Headers],[Salário Base]])-2,0)*($G26-$H26)</f>
        <v>3298.24</v>
      </c>
      <c r="J26" s="21">
        <f>VLOOKUP($A26,tabCustoUnit[],COLUMN(CUSTO_GLOBAL[[#Headers],[Adicional Periculosidade]])-2,0)*($G26-$H26)</f>
        <v>0</v>
      </c>
      <c r="K26" s="21">
        <f>VLOOKUP($A26,tabCustoUnit[],COLUMN(CUSTO_GLOBAL[[#Headers],[Adicional Insalubridade]])-2,0)*($G26-$H26)</f>
        <v>0</v>
      </c>
      <c r="L26" s="21">
        <f>VLOOKUP($A26,tabCustoUnit[],COLUMN(CUSTO_GLOBAL[[#Headers],[Adicional Noturno]])-2,0)*($G26-$H26)</f>
        <v>664.59540000000004</v>
      </c>
      <c r="M26" s="21">
        <f>VLOOKUP($A26,tabCustoUnit[],COLUMN(CUSTO_GLOBAL[[#Headers],[Adicional Motorista II (Gratificação)]])-2,0)*($G26-$H26)</f>
        <v>0</v>
      </c>
      <c r="N26" s="21">
        <f>VLOOKUP($A26,tabCustoUnit[],COLUMN(CUSTO_GLOBAL[[#Headers],[Adicional de Sobreaviso]])-2,0)*($G26-$H26)</f>
        <v>0</v>
      </c>
      <c r="O26" s="21">
        <f>VLOOKUP($A26,tabCustoUnit[],COLUMN(CUSTO_GLOBAL[[#Headers],[Horas Extras TI]])-2,0)*($G26-$H26)</f>
        <v>0</v>
      </c>
      <c r="P26" s="21">
        <f>VLOOKUP($A26,tabCustoUnit[],COLUMN(CUSTO_GLOBAL[[#Headers],[Adicional de Acúmulo de função]])-2,0)*($G26-$H26)</f>
        <v>107.94240000000001</v>
      </c>
      <c r="Q26" s="21">
        <f>VLOOKUP($A26,tabCustoUnit[],COLUMN(CUSTO_GLOBAL[[#Headers],[MODULO 1 - REMUNERAÇÃO ]])-2,0)*($G26-$H26)</f>
        <v>4070.7777999999998</v>
      </c>
      <c r="R26" s="21">
        <f>VLOOKUP($A26,tabCustoUnit[],COLUMN(CUSTO_GLOBAL[[#Headers],[INSS]])-2,0)*($G26-$H26)</f>
        <v>814.15556000000004</v>
      </c>
      <c r="S26" s="21">
        <f>VLOOKUP($A26,tabCustoUnit[],COLUMN(CUSTO_GLOBAL[[#Headers],[SESI OU SESC]])-2,0)*($G26-$H26)</f>
        <v>61.061666999999993</v>
      </c>
      <c r="T26" s="21">
        <f>VLOOKUP($A26,tabCustoUnit[],COLUMN(CUSTO_GLOBAL[[#Headers],[SENAI OU SENAC]])-2,0)*($G26-$H26)</f>
        <v>40.707777999999998</v>
      </c>
      <c r="U26" s="21">
        <f>VLOOKUP($A26,tabCustoUnit[],COLUMN(CUSTO_GLOBAL[[#Headers],[INCRA]])-2,0)*($G26-$H26)</f>
        <v>8.1415556000000002</v>
      </c>
      <c r="V26" s="21">
        <f>VLOOKUP($A26,tabCustoUnit[],COLUMN(CUSTO_GLOBAL[[#Headers],[Salário Educação]])-2,0)*($G26-$H26)</f>
        <v>101.769445</v>
      </c>
      <c r="W26" s="21">
        <f>VLOOKUP($A26,tabCustoUnit[],COLUMN(CUSTO_GLOBAL[[#Headers],[FGTS]])-2,0)*($G26-$H26)</f>
        <v>325.66222399999998</v>
      </c>
      <c r="X26" s="21">
        <f>VLOOKUP($A26,tabCustoUnit[],COLUMN(CUSTO_GLOBAL[[#Headers],[RAT Ajustado]])-2,0)*($G26-$H26)</f>
        <v>162.83111199999999</v>
      </c>
      <c r="Y26" s="21">
        <f>VLOOKUP($A26,tabCustoUnit[],COLUMN(CUSTO_GLOBAL[[#Headers],[SEBRAE]])-2,0)*($G26-$H26)</f>
        <v>24.424666800000001</v>
      </c>
      <c r="Z26" s="21">
        <f>VLOOKUP($A26,tabCustoUnit[],COLUMN(CUSTO_GLOBAL[[#Headers],[Submódulo 2.1]])-2,0)*($G26-$H26)</f>
        <v>1538.7540084</v>
      </c>
      <c r="AA26" s="21">
        <f>VLOOKUP($A26,tabCustoUnit[],COLUMN(CUSTO_GLOBAL[[#Headers],[13º salário (titular)]])-2,0)*($G26-$H26)</f>
        <v>339.2314833333333</v>
      </c>
      <c r="AB26" s="21">
        <f>VLOOKUP($A26,tabCustoUnit[],COLUMN(CUSTO_GLOBAL[[#Headers],[Férias e Adicional de Férias (titular)]])-2,0)*($G26-$H26)</f>
        <v>452.30864444444438</v>
      </c>
      <c r="AC26" s="21">
        <f>VLOOKUP($A26,tabCustoUnit[],COLUMN(CUSTO_GLOBAL[[#Headers],[Incidência do Submódulo 2.1 sobre 13º Salário, Férias e Adicional de Férias]])-2,0)*($G26-$H26)</f>
        <v>299.20216829999998</v>
      </c>
      <c r="AD26" s="21">
        <f>VLOOKUP($A26,tabCustoUnit[],COLUMN(CUSTO_GLOBAL[[#Headers],[Submódulo 2.2]])-2,0)*($G26-$H26)</f>
        <v>1090.7422960777776</v>
      </c>
      <c r="AE26" s="22">
        <f>VLOOKUP($A26,tabCustoUnit[],COLUMN(CUSTO_GLOBAL[[#Headers],[Vale - Transporte (Descontada parcela do empregado)]])-2,0)*($G26-$H26)</f>
        <v>702.10559999999998</v>
      </c>
      <c r="AF26" s="22">
        <f>VLOOKUP($A26,tabCustoUnit[],COLUMN(CUSTO_GLOBAL[[#Headers],[Vale - Alimentação (Descontada parcela do empregado)]])-2,0)*($G26-$H26)</f>
        <v>1164</v>
      </c>
      <c r="AG26" s="22">
        <f>VLOOKUP($A26,tabCustoUnit[],COLUMN(CUSTO_GLOBAL[[#Headers],[Cesta Básica]])-2,0)*($G26-$H26)</f>
        <v>0</v>
      </c>
      <c r="AH26" s="22">
        <f>VLOOKUP($A26,tabCustoUnit[],COLUMN(CUSTO_GLOBAL[[#Headers],[PAF]])-2,0)*($G26-$H26)</f>
        <v>191.8</v>
      </c>
      <c r="AI26" s="22">
        <f>VLOOKUP($A26,tabCustoUnit[],COLUMN(CUSTO_GLOBAL[[#Headers],[PQM]])-2,0)*($G26-$H26)</f>
        <v>0</v>
      </c>
      <c r="AJ26" s="22">
        <v>0</v>
      </c>
      <c r="AK26" s="22">
        <f>VLOOKUP($A26,tabCustoUnit[],COLUMN(CUSTO_GLOBAL[[#Headers],[Seguro de Vida]])-2,0)*($G26-$H26)</f>
        <v>6.72</v>
      </c>
      <c r="AL26" s="22">
        <f>VLOOKUP($A26,tabCustoUnit[],COLUMN(CUSTO_GLOBAL[[#Headers],[Despesas de Viagem]])-2,0)*($G26-$H26)</f>
        <v>20.38</v>
      </c>
      <c r="AM26" s="22">
        <f>VLOOKUP($A26,tabCustoUnit[],COLUMN(CUSTO_GLOBAL[[#Headers],[Submódulo 2.3]])-2,0)*($G26-$H26)</f>
        <v>2085.0056</v>
      </c>
      <c r="AN26" s="22">
        <f>VLOOKUP($A26,tabCustoUnit[],COLUMN(CUSTO_GLOBAL[[#Headers],[MÓDULO 2 - Total Encargos e Benefícios mensais e diários]])-2,0)*($G26-$H26)</f>
        <v>4714.5019044777782</v>
      </c>
      <c r="AO26" s="22">
        <f>VLOOKUP($A26,tabCustoUnit[],COLUMN(CUSTO_GLOBAL[[#Headers],[Aviso Prévio Indenizado (API) e Reflexo do Aviso Prévio Indenizado]])-2,0)*($G26-$H26)</f>
        <v>28.543345341859567</v>
      </c>
      <c r="AP26" s="22">
        <f>VLOOKUP($A26,tabCustoUnit[],COLUMN(CUSTO_GLOBAL[[#Headers],[Incidência do FGTS sobre API e Reflexo do API]])-2,0)*($G26-$H26)</f>
        <v>2.2834676273487657</v>
      </c>
      <c r="AQ26" s="22">
        <f>VLOOKUP($A26,tabCustoUnit[],COLUMN(CUSTO_GLOBAL[[#Headers],[Multa Rescisória do FGTS sobre o Aviso Prévio Indenizado]])-2,0)*($G26-$H26)</f>
        <v>0.91338705093950634</v>
      </c>
      <c r="AR26" s="22">
        <f>VLOOKUP($A26,tabCustoUnit[],COLUMN(CUSTO_GLOBAL[[#Headers],[Aviso Prévio Trabalhado - APT]])-2,0)*($G26-$H26)</f>
        <v>14.247722300000001</v>
      </c>
      <c r="AS26" s="22">
        <f>VLOOKUP($A26,tabCustoUnit[],COLUMN(CUSTO_GLOBAL[[#Headers],[Incidência dos encargos do submódulo 2.1 sobre Aviso Prévio Trabalhado]])-2,0)*($G26-$H26)</f>
        <v>5.3856390294000009</v>
      </c>
      <c r="AT26" s="22">
        <f>VLOOKUP($A26,tabCustoUnit[],COLUMN(CUSTO_GLOBAL[[#Headers],[Multa Rescisória do FGTS]])-2,0)*($G26-$H26)</f>
        <v>124.47533895111108</v>
      </c>
      <c r="AU26" s="22">
        <f>VLOOKUP($A26,tabCustoUnit[],COLUMN(CUSTO_GLOBAL[[#Headers],[Indenização Adicional (Art. 9º da Lei nº 7.238/84)]])-2,0)*($G26-$H26)</f>
        <v>3.3923148333333333</v>
      </c>
      <c r="AV26" s="22">
        <f>VLOOKUP($A26,tabCustoUnit[],COLUMN(CUSTO_GLOBAL[[#Headers],[MÓDULO 3 – PROVISÃO PARA RESCISÃO]])-2,0)*($G26-$H26)</f>
        <v>179.24121513399226</v>
      </c>
      <c r="AW26" s="22">
        <f>VLOOKUP($A26,tabCustoUnit[],COLUMN(CUSTO_GLOBAL[[#Headers],[Ausência por Doença]])-2,0)*($G26-$H26)</f>
        <v>34.375456977777773</v>
      </c>
      <c r="AX26" s="22">
        <f>VLOOKUP($A26,tabCustoUnit[],COLUMN(CUSTO_GLOBAL[[#Headers],[Ausências Legais]])-2,0)*($G26-$H26)</f>
        <v>8.254632761111111</v>
      </c>
      <c r="AY26" s="22">
        <f>VLOOKUP($A26,tabCustoUnit[],COLUMN(CUSTO_GLOBAL[[#Headers],[Licença Paternidade]])-2,0)*($G26-$H26)</f>
        <v>0.69542454083333327</v>
      </c>
      <c r="AZ26" s="22">
        <f>VLOOKUP($A26,tabCustoUnit[],COLUMN(CUSTO_GLOBAL[[#Headers],[Ausência por Acidente de Trabalho]])-2,0)*($G26-$H26)</f>
        <v>0.84807870833333332</v>
      </c>
      <c r="BA26" s="22">
        <f>VLOOKUP($A26,tabCustoUnit[],COLUMN(CUSTO_GLOBAL[[#Headers],[Férias, Adicional de Férias e 13º  com empregada em gozo de Licença Maternidade]])-2,0)*($G26-$H26)</f>
        <v>5.2769341851851852</v>
      </c>
      <c r="BB26" s="22">
        <f>VLOOKUP($A26,tabCustoUnit[],COLUMN(CUSTO_GLOBAL[[#Headers],[Incidência do Submódulo 2.1 sobre Ausências Legais]])-2,0)*($G26-$H26)</f>
        <v>18.692299271485002</v>
      </c>
      <c r="BC26" s="22">
        <f>VLOOKUP($A26,tabCustoUnit[],COLUMN(CUSTO_GLOBAL[[#Headers],[Submódulo 4.1]])-2,0)*($G26-$H26)</f>
        <v>68.142826444725742</v>
      </c>
      <c r="BD26" s="22">
        <f>VLOOKUP($A26,tabCustoUnit[],COLUMN(CUSTO_GLOBAL[[#Headers],[Intervalo para Repouso ou Alimentação]])-2,0)*($G26-$H26)</f>
        <v>450.69325199999992</v>
      </c>
      <c r="BE26" s="22">
        <f>VLOOKUP($A26,tabCustoUnit[],COLUMN(CUSTO_GLOBAL[[#Headers],[Submódulo 4.2]])-2,0)*($G26-$H26)</f>
        <v>450.69325199999992</v>
      </c>
      <c r="BF26" s="22">
        <f>VLOOKUP($A26,tabCustoUnit[],COLUMN(CUSTO_GLOBAL[[#Headers],[Suspensão Temporária do Contrato de Trabalho]])-2,0)*($G26-$H26)</f>
        <v>0</v>
      </c>
      <c r="BG26" s="22">
        <f>VLOOKUP($A26,tabCustoUnit[],COLUMN(CUSTO_GLOBAL[[#Headers],[Submódulo 4.3]])-2,0)*($G26-$H26)</f>
        <v>0</v>
      </c>
      <c r="BH26" s="22">
        <f>VLOOKUP($A26,tabCustoUnit[],COLUMN(CUSTO_GLOBAL[[#Headers],[MÓDULO 4 – CUSTO DE REPOSIÇÃO DO PROFISSIONAL AUSENTE]])-2,0)*($G26-$H26)</f>
        <v>518.83607844472567</v>
      </c>
      <c r="BI26" s="22">
        <f>VLOOKUP($A26,tabCustoUnit[],COLUMN(CUSTO_GLOBAL[[#Headers],[Uniformes e EPIs]])-2,0)*($G26-$H26)</f>
        <v>201.61833333333337</v>
      </c>
      <c r="BJ26" s="22">
        <f>VLOOKUP($A26,tabCustoUnit[],COLUMN(CUSTO_GLOBAL[[#Headers],[Materiais de Consumo]])-2,0)*($G26-$H26)</f>
        <v>71.036425917167776</v>
      </c>
      <c r="BK26" s="22">
        <f>VLOOKUP($A26,tabCustoUnit[],COLUMN(CUSTO_GLOBAL[[#Headers],[Máquinas e Equipamentos (depreciação)]])-2,0)*($G26-$H26)</f>
        <v>129.05878782965115</v>
      </c>
      <c r="BL26" s="22">
        <f>VLOOKUP($A26,tabCustoUnit[],COLUMN(CUSTO_GLOBAL[[#Headers],[Produtos de Limpeza e Materiais de Higiene Pessoal]])-2,0)*($G26-$H26)</f>
        <v>1380.5430655586331</v>
      </c>
      <c r="BM26" s="22">
        <f>VLOOKUP($A26,tabCustoUnit[],COLUMN(CUSTO_GLOBAL[[#Headers],[Outros (especificar)]])-2,0)*($G26-$H26)</f>
        <v>0</v>
      </c>
      <c r="BN26" s="22">
        <f>VLOOKUP($A26,tabCustoUnit[],COLUMN(CUSTO_GLOBAL[[#Headers],[MÓDULO 5 – INSUMOS DIVERSOS]])-2,0)*($G26-$H26)</f>
        <v>1782.2566126387853</v>
      </c>
      <c r="BO26" s="22">
        <f>VLOOKUP($A26,tabCustoUnit[],COLUMN(CUSTO_GLOBAL[[#Headers],[TOTAL MÓDULOS 1+2+3+4+5]])-2,0)*($G26-$H26)</f>
        <v>11265.61361069528</v>
      </c>
      <c r="BP26" s="22">
        <f>VLOOKUP($A26,tabCustoUnit[],COLUMN(CUSTO_GLOBAL[[#Headers],[Custos Indiretos]])-2,0)*($G26-$H26)</f>
        <v>379.29760280485226</v>
      </c>
      <c r="BQ26" s="22">
        <f>VLOOKUP($A26,tabCustoUnit[],COLUMN(CUSTO_GLOBAL[[#Headers],[Lucro]])-2,0)*($G26-$H26)</f>
        <v>318.60998635607592</v>
      </c>
      <c r="BR26" s="26">
        <f>VLOOKUP($A26,tabCustoUnit[],COLUMN(CUSTO_GLOBAL[[#Headers],[COFINS]])-2,0)</f>
        <v>8.8629737609329504E-2</v>
      </c>
      <c r="BS26" s="26">
        <f>VLOOKUP($A26,tabCustoUnit[],COLUMN(CUSTO_GLOBAL[[#Headers],[PIS]])-2,0)</f>
        <v>1.9241982507288629E-2</v>
      </c>
      <c r="BT26" s="28">
        <f>VLOOKUP($A26,tabCustoUnit[],COLUMN(CUSTO_GLOBAL[[#Headers],[ISS]])-2,0)</f>
        <v>0.05</v>
      </c>
      <c r="BU26" s="26">
        <f>VLOOKUP($A26,tabCustoUnit[],COLUMN(CUSTO_GLOBAL[[#Headers],[ISS (Conversão Alíquota s/ fatura)]])-2,0)</f>
        <v>5.8309037900874633E-2</v>
      </c>
      <c r="BV26" s="26">
        <f>VLOOKUP($A26,tabCustoUnit[],COLUMN(CUSTO_GLOBAL[[#Headers],[Resumo de Alíquotas (PIS+CONFINS+ISS)]])-2,0)</f>
        <v>0.14250000000000002</v>
      </c>
      <c r="BW26" s="138">
        <f>VLOOKUP($A26,tabCustoUnit[],COLUMN(CUSTO_GLOBAL[[#Headers],[PIS + COFINS + ISS (Total Conversão  Alíquota s/ Fatura)]])-2,0)</f>
        <v>0.16618075801749277</v>
      </c>
      <c r="BX26" s="22">
        <f>VLOOKUP($A26,tabCustoUnit[],COLUMN(CUSTO_GLOBAL[[#Headers],[Valor dos Tributos (ISS, PIS, CONFINS)]])-2,0)*($G26-$H26)</f>
        <v>1988.1070215504492</v>
      </c>
      <c r="BY26" s="22">
        <f>VLOOKUP($A26,tabCustoUnit[],COLUMN(CUSTO_GLOBAL[[#Headers],[MÓDULO 6 – CUSTOS INDIRETOS, TRIBUTOS E LUCRO]])-2,0)*($G26-$H26)</f>
        <v>2686.0146107113774</v>
      </c>
      <c r="BZ26" s="22">
        <f>VLOOKUP($A26,tabCustoUnit[],COLUMN(CUSTO_GLOBAL[[#Headers],[CUSTO TOTAL MENSAL]])-2,0)*($G26-$H26)</f>
        <v>13951.628221406658</v>
      </c>
      <c r="CA26" s="22">
        <f>CUSTO_GLOBAL[[#This Row],[CUSTO TOTAL MENSAL]]*12</f>
        <v>167419.53865687989</v>
      </c>
      <c r="CB26" s="24">
        <f>VLOOKUP($A26,tabCustoUnit[],COLUMN(CUSTO_GLOBAL[[#Headers],[ANO DA CCT]])-2,0)</f>
        <v>45658</v>
      </c>
      <c r="CC26" s="25" t="str">
        <f>VLOOKUP($A26,tabCustoUnit[],COLUMN(CUSTO_GLOBAL[[#Headers],[Nº DE PEDIDO DA CCT]])-2,0)</f>
        <v>-</v>
      </c>
      <c r="CD26" s="25" t="str">
        <f>VLOOKUP($A26,tabCustoUnit[],COLUMN(CUSTO_GLOBAL[[#Headers],[TERMO ADITIVO  ALTERAÇÃO DA CCT]])-2,0)</f>
        <v>-</v>
      </c>
      <c r="CF26" s="22"/>
      <c r="CG26" s="22"/>
    </row>
    <row r="27" spans="1:85" x14ac:dyDescent="0.25">
      <c r="A27" s="20" t="s">
        <v>1088</v>
      </c>
      <c r="B27" t="s">
        <v>31</v>
      </c>
      <c r="C27" t="s">
        <v>1247</v>
      </c>
      <c r="D27" t="s">
        <v>1033</v>
      </c>
      <c r="E27" s="20" t="s">
        <v>9</v>
      </c>
      <c r="F27" s="20" t="s">
        <v>10</v>
      </c>
      <c r="G27" s="20">
        <v>1</v>
      </c>
      <c r="H27" s="20">
        <v>0</v>
      </c>
      <c r="I27" s="21">
        <f>VLOOKUP($A27,tabCustoUnit[],COLUMN(CUSTO_GLOBAL[[#Headers],[Salário Base]])-2,0)*($G27-$H27)</f>
        <v>562.20000000000005</v>
      </c>
      <c r="J27" s="21">
        <f>VLOOKUP($A27,tabCustoUnit[],COLUMN(CUSTO_GLOBAL[[#Headers],[Adicional Periculosidade]])-2,0)*($G27-$H27)</f>
        <v>0</v>
      </c>
      <c r="K27" s="21">
        <f>VLOOKUP($A27,tabCustoUnit[],COLUMN(CUSTO_GLOBAL[[#Headers],[Adicional Insalubridade]])-2,0)*($G27-$H27)</f>
        <v>0</v>
      </c>
      <c r="L27" s="21">
        <f>VLOOKUP($A27,tabCustoUnit[],COLUMN(CUSTO_GLOBAL[[#Headers],[Adicional Noturno]])-2,0)*($G27-$H27)</f>
        <v>0</v>
      </c>
      <c r="M27" s="21">
        <f>VLOOKUP($A27,tabCustoUnit[],COLUMN(CUSTO_GLOBAL[[#Headers],[Adicional Motorista II (Gratificação)]])-2,0)*($G27-$H27)</f>
        <v>0</v>
      </c>
      <c r="N27" s="21">
        <f>VLOOKUP($A27,tabCustoUnit[],COLUMN(CUSTO_GLOBAL[[#Headers],[Adicional de Sobreaviso]])-2,0)*($G27-$H27)</f>
        <v>0</v>
      </c>
      <c r="O27" s="21">
        <f>VLOOKUP($A27,tabCustoUnit[],COLUMN(CUSTO_GLOBAL[[#Headers],[Horas Extras TI]])-2,0)*($G27-$H27)</f>
        <v>0</v>
      </c>
      <c r="P27" s="21">
        <f>VLOOKUP($A27,tabCustoUnit[],COLUMN(CUSTO_GLOBAL[[#Headers],[Adicional de Acúmulo de função]])-2,0)*($G27-$H27)</f>
        <v>20.2392</v>
      </c>
      <c r="Q27" s="21">
        <f>VLOOKUP($A27,tabCustoUnit[],COLUMN(CUSTO_GLOBAL[[#Headers],[MODULO 1 - REMUNERAÇÃO ]])-2,0)*($G27-$H27)</f>
        <v>582.43920000000003</v>
      </c>
      <c r="R27" s="21">
        <f>VLOOKUP($A27,tabCustoUnit[],COLUMN(CUSTO_GLOBAL[[#Headers],[INSS]])-2,0)*($G27-$H27)</f>
        <v>116.48784000000001</v>
      </c>
      <c r="S27" s="21">
        <f>VLOOKUP($A27,tabCustoUnit[],COLUMN(CUSTO_GLOBAL[[#Headers],[SESI OU SESC]])-2,0)*($G27-$H27)</f>
        <v>8.7365879999999994</v>
      </c>
      <c r="T27" s="21">
        <f>VLOOKUP($A27,tabCustoUnit[],COLUMN(CUSTO_GLOBAL[[#Headers],[SENAI OU SENAC]])-2,0)*($G27-$H27)</f>
        <v>5.8243920000000005</v>
      </c>
      <c r="U27" s="21">
        <f>VLOOKUP($A27,tabCustoUnit[],COLUMN(CUSTO_GLOBAL[[#Headers],[INCRA]])-2,0)*($G27-$H27)</f>
        <v>1.1648784000000001</v>
      </c>
      <c r="V27" s="21">
        <f>VLOOKUP($A27,tabCustoUnit[],COLUMN(CUSTO_GLOBAL[[#Headers],[Salário Educação]])-2,0)*($G27-$H27)</f>
        <v>14.560980000000001</v>
      </c>
      <c r="W27" s="21">
        <f>VLOOKUP($A27,tabCustoUnit[],COLUMN(CUSTO_GLOBAL[[#Headers],[FGTS]])-2,0)*($G27-$H27)</f>
        <v>46.595136000000004</v>
      </c>
      <c r="X27" s="21">
        <f>VLOOKUP($A27,tabCustoUnit[],COLUMN(CUSTO_GLOBAL[[#Headers],[RAT Ajustado]])-2,0)*($G27-$H27)</f>
        <v>23.297568000000002</v>
      </c>
      <c r="Y27" s="21">
        <f>VLOOKUP($A27,tabCustoUnit[],COLUMN(CUSTO_GLOBAL[[#Headers],[SEBRAE]])-2,0)*($G27-$H27)</f>
        <v>3.4946352000000003</v>
      </c>
      <c r="Z27" s="21">
        <f>VLOOKUP($A27,tabCustoUnit[],COLUMN(CUSTO_GLOBAL[[#Headers],[Submódulo 2.1]])-2,0)*($G27-$H27)</f>
        <v>220.16201760000001</v>
      </c>
      <c r="AA27" s="21">
        <f>VLOOKUP($A27,tabCustoUnit[],COLUMN(CUSTO_GLOBAL[[#Headers],[13º salário (titular)]])-2,0)*($G27-$H27)</f>
        <v>48.5366</v>
      </c>
      <c r="AB27" s="21">
        <f>VLOOKUP($A27,tabCustoUnit[],COLUMN(CUSTO_GLOBAL[[#Headers],[Férias e Adicional de Férias (titular)]])-2,0)*($G27-$H27)</f>
        <v>64.715466666666671</v>
      </c>
      <c r="AC27" s="21">
        <f>VLOOKUP($A27,tabCustoUnit[],COLUMN(CUSTO_GLOBAL[[#Headers],[Incidência do Submódulo 2.1 sobre 13º Salário, Férias e Adicional de Férias]])-2,0)*($G27-$H27)</f>
        <v>42.809281200000008</v>
      </c>
      <c r="AD27" s="21">
        <f>VLOOKUP($A27,tabCustoUnit[],COLUMN(CUSTO_GLOBAL[[#Headers],[Submódulo 2.2]])-2,0)*($G27-$H27)</f>
        <v>156.06134786666669</v>
      </c>
      <c r="AE27" s="22">
        <f>VLOOKUP($A27,tabCustoUnit[],COLUMN(CUSTO_GLOBAL[[#Headers],[Vale - Transporte (Descontada parcela do empregado)]])-2,0)*($G27-$H27)</f>
        <v>416.26800000000003</v>
      </c>
      <c r="AF27" s="22">
        <f>VLOOKUP($A27,tabCustoUnit[],COLUMN(CUSTO_GLOBAL[[#Headers],[Vale - Alimentação (Descontada parcela do empregado)]])-2,0)*($G27-$H27)</f>
        <v>582</v>
      </c>
      <c r="AG27" s="22">
        <f>VLOOKUP($A27,tabCustoUnit[],COLUMN(CUSTO_GLOBAL[[#Headers],[Cesta Básica]])-2,0)*($G27-$H27)</f>
        <v>0</v>
      </c>
      <c r="AH27" s="22">
        <f>VLOOKUP($A27,tabCustoUnit[],COLUMN(CUSTO_GLOBAL[[#Headers],[PAF]])-2,0)*($G27-$H27)</f>
        <v>95.9</v>
      </c>
      <c r="AI27" s="22">
        <f>VLOOKUP($A27,tabCustoUnit[],COLUMN(CUSTO_GLOBAL[[#Headers],[PQM]])-2,0)*($G27-$H27)</f>
        <v>0</v>
      </c>
      <c r="AJ27" s="22">
        <v>0</v>
      </c>
      <c r="AK27" s="22">
        <f>VLOOKUP($A27,tabCustoUnit[],COLUMN(CUSTO_GLOBAL[[#Headers],[Seguro de Vida]])-2,0)*($G27-$H27)</f>
        <v>3.36</v>
      </c>
      <c r="AL27" s="22">
        <f>VLOOKUP($A27,tabCustoUnit[],COLUMN(CUSTO_GLOBAL[[#Headers],[Despesas de Viagem]])-2,0)*($G27-$H27)</f>
        <v>10.19</v>
      </c>
      <c r="AM27" s="22">
        <f>VLOOKUP($A27,tabCustoUnit[],COLUMN(CUSTO_GLOBAL[[#Headers],[Submódulo 2.3]])-2,0)*($G27-$H27)</f>
        <v>1107.7180000000001</v>
      </c>
      <c r="AN27" s="22">
        <f>VLOOKUP($A27,tabCustoUnit[],COLUMN(CUSTO_GLOBAL[[#Headers],[MÓDULO 2 - Total Encargos e Benefícios mensais e diários]])-2,0)*($G27-$H27)</f>
        <v>1483.9413654666669</v>
      </c>
      <c r="AO27" s="22">
        <f>VLOOKUP($A27,tabCustoUnit[],COLUMN(CUSTO_GLOBAL[[#Headers],[Aviso Prévio Indenizado (API) e Reflexo do Aviso Prévio Indenizado]])-2,0)*($G27-$H27)</f>
        <v>4.0839279476851855</v>
      </c>
      <c r="AP27" s="22">
        <f>VLOOKUP($A27,tabCustoUnit[],COLUMN(CUSTO_GLOBAL[[#Headers],[Incidência do FGTS sobre API e Reflexo do API]])-2,0)*($G27-$H27)</f>
        <v>0.32671423581481485</v>
      </c>
      <c r="AQ27" s="22">
        <f>VLOOKUP($A27,tabCustoUnit[],COLUMN(CUSTO_GLOBAL[[#Headers],[Multa Rescisória do FGTS sobre o Aviso Prévio Indenizado]])-2,0)*($G27-$H27)</f>
        <v>0.13068569432592594</v>
      </c>
      <c r="AR27" s="22">
        <f>VLOOKUP($A27,tabCustoUnit[],COLUMN(CUSTO_GLOBAL[[#Headers],[Aviso Prévio Trabalhado - APT]])-2,0)*($G27-$H27)</f>
        <v>2.0385372000000004</v>
      </c>
      <c r="AS27" s="22">
        <f>VLOOKUP($A27,tabCustoUnit[],COLUMN(CUSTO_GLOBAL[[#Headers],[Incidência dos encargos do submódulo 2.1 sobre Aviso Prévio Trabalhado]])-2,0)*($G27-$H27)</f>
        <v>0.77056706160000021</v>
      </c>
      <c r="AT27" s="22">
        <f>VLOOKUP($A27,tabCustoUnit[],COLUMN(CUSTO_GLOBAL[[#Headers],[Multa Rescisória do FGTS]])-2,0)*($G27-$H27)</f>
        <v>17.809696426666665</v>
      </c>
      <c r="AU27" s="22">
        <f>VLOOKUP($A27,tabCustoUnit[],COLUMN(CUSTO_GLOBAL[[#Headers],[Indenização Adicional (Art. 9º da Lei nº 7.238/84)]])-2,0)*($G27-$H27)</f>
        <v>0.48536600000000008</v>
      </c>
      <c r="AV27" s="22">
        <f>VLOOKUP($A27,tabCustoUnit[],COLUMN(CUSTO_GLOBAL[[#Headers],[MÓDULO 3 – PROVISÃO PARA RESCISÃO]])-2,0)*($G27-$H27)</f>
        <v>25.645494566092591</v>
      </c>
      <c r="AW27" s="22">
        <f>VLOOKUP($A27,tabCustoUnit[],COLUMN(CUSTO_GLOBAL[[#Headers],[Ausência por Doença]])-2,0)*($G27-$H27)</f>
        <v>4.9183754666666664</v>
      </c>
      <c r="AX27" s="22">
        <f>VLOOKUP($A27,tabCustoUnit[],COLUMN(CUSTO_GLOBAL[[#Headers],[Ausências Legais]])-2,0)*($G27-$H27)</f>
        <v>1.1810572666666665</v>
      </c>
      <c r="AY27" s="22">
        <f>VLOOKUP($A27,tabCustoUnit[],COLUMN(CUSTO_GLOBAL[[#Headers],[Licença Paternidade]])-2,0)*($G27-$H27)</f>
        <v>9.9500030000000003E-2</v>
      </c>
      <c r="AZ27" s="22">
        <f>VLOOKUP($A27,tabCustoUnit[],COLUMN(CUSTO_GLOBAL[[#Headers],[Ausência por Acidente de Trabalho]])-2,0)*($G27-$H27)</f>
        <v>0.12134150000000002</v>
      </c>
      <c r="BA27" s="22">
        <f>VLOOKUP($A27,tabCustoUnit[],COLUMN(CUSTO_GLOBAL[[#Headers],[Férias, Adicional de Férias e 13º  com empregada em gozo de Licença Maternidade]])-2,0)*($G27-$H27)</f>
        <v>0.75501377777777778</v>
      </c>
      <c r="BB27" s="22">
        <f>VLOOKUP($A27,tabCustoUnit[],COLUMN(CUSTO_GLOBAL[[#Headers],[Incidência do Submódulo 2.1 sobre Ausências Legais]])-2,0)*($G27-$H27)</f>
        <v>2.6744588795400004</v>
      </c>
      <c r="BC27" s="22">
        <f>VLOOKUP($A27,tabCustoUnit[],COLUMN(CUSTO_GLOBAL[[#Headers],[Submódulo 4.1]])-2,0)*($G27-$H27)</f>
        <v>9.7497469206511109</v>
      </c>
      <c r="BD27" s="22">
        <f>VLOOKUP($A27,tabCustoUnit[],COLUMN(CUSTO_GLOBAL[[#Headers],[Intervalo para Repouso ou Alimentação]])-2,0)*($G27-$H27)</f>
        <v>0</v>
      </c>
      <c r="BE27" s="22">
        <f>VLOOKUP($A27,tabCustoUnit[],COLUMN(CUSTO_GLOBAL[[#Headers],[Submódulo 4.2]])-2,0)*($G27-$H27)</f>
        <v>0</v>
      </c>
      <c r="BF27" s="22">
        <f>VLOOKUP($A27,tabCustoUnit[],COLUMN(CUSTO_GLOBAL[[#Headers],[Suspensão Temporária do Contrato de Trabalho]])-2,0)*($G27-$H27)</f>
        <v>0</v>
      </c>
      <c r="BG27" s="22">
        <f>VLOOKUP($A27,tabCustoUnit[],COLUMN(CUSTO_GLOBAL[[#Headers],[Submódulo 4.3]])-2,0)*($G27-$H27)</f>
        <v>0</v>
      </c>
      <c r="BH27" s="22">
        <f>VLOOKUP($A27,tabCustoUnit[],COLUMN(CUSTO_GLOBAL[[#Headers],[MÓDULO 4 – CUSTO DE REPOSIÇÃO DO PROFISSIONAL AUSENTE]])-2,0)*($G27-$H27)</f>
        <v>9.7497469206511109</v>
      </c>
      <c r="BI27" s="22">
        <f>VLOOKUP($A27,tabCustoUnit[],COLUMN(CUSTO_GLOBAL[[#Headers],[Uniformes e EPIs]])-2,0)*($G27-$H27)</f>
        <v>62.806666666666665</v>
      </c>
      <c r="BJ27" s="22">
        <f>VLOOKUP($A27,tabCustoUnit[],COLUMN(CUSTO_GLOBAL[[#Headers],[Materiais de Consumo]])-2,0)*($G27-$H27)</f>
        <v>12.108481690426325</v>
      </c>
      <c r="BK27" s="22">
        <f>VLOOKUP($A27,tabCustoUnit[],COLUMN(CUSTO_GLOBAL[[#Headers],[Máquinas e Equipamentos (depreciação)]])-2,0)*($G27-$H27)</f>
        <v>21.998657016417809</v>
      </c>
      <c r="BL27" s="22">
        <f>VLOOKUP($A27,tabCustoUnit[],COLUMN(CUSTO_GLOBAL[[#Headers],[Produtos de Limpeza e Materiais de Higiene Pessoal]])-2,0)*($G27-$H27)</f>
        <v>235.31984072022155</v>
      </c>
      <c r="BM27" s="22">
        <f>VLOOKUP($A27,tabCustoUnit[],COLUMN(CUSTO_GLOBAL[[#Headers],[Outros (especificar)]])-2,0)*($G27-$H27)</f>
        <v>0</v>
      </c>
      <c r="BN27" s="22">
        <f>VLOOKUP($A27,tabCustoUnit[],COLUMN(CUSTO_GLOBAL[[#Headers],[MÓDULO 5 – INSUMOS DIVERSOS]])-2,0)*($G27-$H27)</f>
        <v>332.23364609373232</v>
      </c>
      <c r="BO27" s="22">
        <f>VLOOKUP($A27,tabCustoUnit[],COLUMN(CUSTO_GLOBAL[[#Headers],[TOTAL MÓDULOS 1+2+3+4+5]])-2,0)*($G27-$H27)</f>
        <v>2434.0094530471424</v>
      </c>
      <c r="BP27" s="22">
        <f>VLOOKUP($A27,tabCustoUnit[],COLUMN(CUSTO_GLOBAL[[#Headers],[Custos Indiretos]])-2,0)*($G27-$H27)</f>
        <v>189.64880140242613</v>
      </c>
      <c r="BQ27" s="22">
        <f>VLOOKUP($A27,tabCustoUnit[],COLUMN(CUSTO_GLOBAL[[#Headers],[Lucro]])-2,0)*($G27-$H27)</f>
        <v>159.30499317803796</v>
      </c>
      <c r="BR27" s="26">
        <f>VLOOKUP($A27,tabCustoUnit[],COLUMN(CUSTO_GLOBAL[[#Headers],[COFINS]])-2,0)</f>
        <v>8.8629737609329504E-2</v>
      </c>
      <c r="BS27" s="26">
        <f>VLOOKUP($A27,tabCustoUnit[],COLUMN(CUSTO_GLOBAL[[#Headers],[PIS]])-2,0)</f>
        <v>1.9241982507288629E-2</v>
      </c>
      <c r="BT27" s="28">
        <f>VLOOKUP($A27,tabCustoUnit[],COLUMN(CUSTO_GLOBAL[[#Headers],[ISS]])-2,0)</f>
        <v>0.05</v>
      </c>
      <c r="BU27" s="26">
        <f>VLOOKUP($A27,tabCustoUnit[],COLUMN(CUSTO_GLOBAL[[#Headers],[ISS (Conversão Alíquota s/ fatura)]])-2,0)</f>
        <v>5.8309037900874633E-2</v>
      </c>
      <c r="BV27" s="26">
        <f>VLOOKUP($A27,tabCustoUnit[],COLUMN(CUSTO_GLOBAL[[#Headers],[Resumo de Alíquotas (PIS+CONFINS+ISS)]])-2,0)</f>
        <v>0.14250000000000002</v>
      </c>
      <c r="BW27" s="138">
        <f>VLOOKUP($A27,tabCustoUnit[],COLUMN(CUSTO_GLOBAL[[#Headers],[PIS + COFINS + ISS (Total Conversão  Alíquota s/ Fatura)]])-2,0)</f>
        <v>0.16618075801749277</v>
      </c>
      <c r="BX27" s="22">
        <f>VLOOKUP($A27,tabCustoUnit[],COLUMN(CUSTO_GLOBAL[[#Headers],[Valor dos Tributos (ISS, PIS, CONFINS)]])-2,0)*($G27-$H27)</f>
        <v>462.47494202557908</v>
      </c>
      <c r="BY27" s="22">
        <f>VLOOKUP($A27,tabCustoUnit[],COLUMN(CUSTO_GLOBAL[[#Headers],[MÓDULO 6 – CUSTOS INDIRETOS, TRIBUTOS E LUCRO]])-2,0)*($G27-$H27)</f>
        <v>811.42873660604323</v>
      </c>
      <c r="BZ27" s="22">
        <f>VLOOKUP($A27,tabCustoUnit[],COLUMN(CUSTO_GLOBAL[[#Headers],[CUSTO TOTAL MENSAL]])-2,0)*($G27-$H27)</f>
        <v>3245.4381896531859</v>
      </c>
      <c r="CA27" s="22">
        <f>CUSTO_GLOBAL[[#This Row],[CUSTO TOTAL MENSAL]]*12</f>
        <v>38945.258275838234</v>
      </c>
      <c r="CB27" s="24">
        <f>VLOOKUP($A27,tabCustoUnit[],COLUMN(CUSTO_GLOBAL[[#Headers],[ANO DA CCT]])-2,0)</f>
        <v>45658</v>
      </c>
      <c r="CC27" s="25" t="str">
        <f>VLOOKUP($A27,tabCustoUnit[],COLUMN(CUSTO_GLOBAL[[#Headers],[Nº DE PEDIDO DA CCT]])-2,0)</f>
        <v>-</v>
      </c>
      <c r="CD27" s="25" t="str">
        <f>VLOOKUP($A27,tabCustoUnit[],COLUMN(CUSTO_GLOBAL[[#Headers],[TERMO ADITIVO  ALTERAÇÃO DA CCT]])-2,0)</f>
        <v>-</v>
      </c>
      <c r="CF27" s="22"/>
      <c r="CG27" s="22"/>
    </row>
    <row r="28" spans="1:85" x14ac:dyDescent="0.25">
      <c r="A28" s="20" t="s">
        <v>1089</v>
      </c>
      <c r="B28" t="s">
        <v>31</v>
      </c>
      <c r="C28" t="s">
        <v>1244</v>
      </c>
      <c r="D28" t="s">
        <v>1033</v>
      </c>
      <c r="E28" s="20" t="s">
        <v>9</v>
      </c>
      <c r="F28" s="20" t="s">
        <v>10</v>
      </c>
      <c r="G28" s="20">
        <v>6</v>
      </c>
      <c r="H28" s="20">
        <v>0</v>
      </c>
      <c r="I28" s="21">
        <f>VLOOKUP($A28,tabCustoUnit[],COLUMN(CUSTO_GLOBAL[[#Headers],[Salário Base]])-2,0)*($G28-$H28)</f>
        <v>4947.3599999999997</v>
      </c>
      <c r="J28" s="21">
        <f>VLOOKUP($A28,tabCustoUnit[],COLUMN(CUSTO_GLOBAL[[#Headers],[Adicional Periculosidade]])-2,0)*($G28-$H28)</f>
        <v>0</v>
      </c>
      <c r="K28" s="21">
        <f>VLOOKUP($A28,tabCustoUnit[],COLUMN(CUSTO_GLOBAL[[#Headers],[Adicional Insalubridade]])-2,0)*($G28-$H28)</f>
        <v>0</v>
      </c>
      <c r="L28" s="21">
        <f>VLOOKUP($A28,tabCustoUnit[],COLUMN(CUSTO_GLOBAL[[#Headers],[Adicional Noturno]])-2,0)*($G28-$H28)</f>
        <v>0</v>
      </c>
      <c r="M28" s="21">
        <f>VLOOKUP($A28,tabCustoUnit[],COLUMN(CUSTO_GLOBAL[[#Headers],[Adicional Motorista II (Gratificação)]])-2,0)*($G28-$H28)</f>
        <v>0</v>
      </c>
      <c r="N28" s="21">
        <f>VLOOKUP($A28,tabCustoUnit[],COLUMN(CUSTO_GLOBAL[[#Headers],[Adicional de Sobreaviso]])-2,0)*($G28-$H28)</f>
        <v>0</v>
      </c>
      <c r="O28" s="21">
        <f>VLOOKUP($A28,tabCustoUnit[],COLUMN(CUSTO_GLOBAL[[#Headers],[Horas Extras TI]])-2,0)*($G28-$H28)</f>
        <v>0</v>
      </c>
      <c r="P28" s="21">
        <f>VLOOKUP($A28,tabCustoUnit[],COLUMN(CUSTO_GLOBAL[[#Headers],[Adicional de Acúmulo de função]])-2,0)*($G28-$H28)</f>
        <v>161.9136</v>
      </c>
      <c r="Q28" s="21">
        <f>VLOOKUP($A28,tabCustoUnit[],COLUMN(CUSTO_GLOBAL[[#Headers],[MODULO 1 - REMUNERAÇÃO ]])-2,0)*($G28-$H28)</f>
        <v>5109.2735999999995</v>
      </c>
      <c r="R28" s="21">
        <f>VLOOKUP($A28,tabCustoUnit[],COLUMN(CUSTO_GLOBAL[[#Headers],[INSS]])-2,0)*($G28-$H28)</f>
        <v>1021.85472</v>
      </c>
      <c r="S28" s="21">
        <f>VLOOKUP($A28,tabCustoUnit[],COLUMN(CUSTO_GLOBAL[[#Headers],[SESI OU SESC]])-2,0)*($G28-$H28)</f>
        <v>76.639103999999989</v>
      </c>
      <c r="T28" s="21">
        <f>VLOOKUP($A28,tabCustoUnit[],COLUMN(CUSTO_GLOBAL[[#Headers],[SENAI OU SENAC]])-2,0)*($G28-$H28)</f>
        <v>51.092735999999988</v>
      </c>
      <c r="U28" s="21">
        <f>VLOOKUP($A28,tabCustoUnit[],COLUMN(CUSTO_GLOBAL[[#Headers],[INCRA]])-2,0)*($G28-$H28)</f>
        <v>10.2185472</v>
      </c>
      <c r="V28" s="21">
        <f>VLOOKUP($A28,tabCustoUnit[],COLUMN(CUSTO_GLOBAL[[#Headers],[Salário Educação]])-2,0)*($G28-$H28)</f>
        <v>127.73184000000001</v>
      </c>
      <c r="W28" s="21">
        <f>VLOOKUP($A28,tabCustoUnit[],COLUMN(CUSTO_GLOBAL[[#Headers],[FGTS]])-2,0)*($G28-$H28)</f>
        <v>408.7418879999999</v>
      </c>
      <c r="X28" s="21">
        <f>VLOOKUP($A28,tabCustoUnit[],COLUMN(CUSTO_GLOBAL[[#Headers],[RAT Ajustado]])-2,0)*($G28-$H28)</f>
        <v>204.37094399999995</v>
      </c>
      <c r="Y28" s="21">
        <f>VLOOKUP($A28,tabCustoUnit[],COLUMN(CUSTO_GLOBAL[[#Headers],[SEBRAE]])-2,0)*($G28-$H28)</f>
        <v>30.655641599999999</v>
      </c>
      <c r="Z28" s="21">
        <f>VLOOKUP($A28,tabCustoUnit[],COLUMN(CUSTO_GLOBAL[[#Headers],[Submódulo 2.1]])-2,0)*($G28-$H28)</f>
        <v>1931.3054207999999</v>
      </c>
      <c r="AA28" s="21">
        <f>VLOOKUP($A28,tabCustoUnit[],COLUMN(CUSTO_GLOBAL[[#Headers],[13º salário (titular)]])-2,0)*($G28-$H28)</f>
        <v>425.77279999999996</v>
      </c>
      <c r="AB28" s="21">
        <f>VLOOKUP($A28,tabCustoUnit[],COLUMN(CUSTO_GLOBAL[[#Headers],[Férias e Adicional de Férias (titular)]])-2,0)*($G28-$H28)</f>
        <v>567.69706666666661</v>
      </c>
      <c r="AC28" s="21">
        <f>VLOOKUP($A28,tabCustoUnit[],COLUMN(CUSTO_GLOBAL[[#Headers],[Incidência do Submódulo 2.1 sobre 13º Salário, Férias e Adicional de Férias]])-2,0)*($G28-$H28)</f>
        <v>375.53160959999997</v>
      </c>
      <c r="AD28" s="21">
        <f>VLOOKUP($A28,tabCustoUnit[],COLUMN(CUSTO_GLOBAL[[#Headers],[Submódulo 2.2]])-2,0)*($G28-$H28)</f>
        <v>1369.0014762666665</v>
      </c>
      <c r="AE28" s="22">
        <f>VLOOKUP($A28,tabCustoUnit[],COLUMN(CUSTO_GLOBAL[[#Headers],[Vale - Transporte (Descontada parcela do empregado)]])-2,0)*($G28-$H28)</f>
        <v>2403.1584000000003</v>
      </c>
      <c r="AF28" s="22">
        <f>VLOOKUP($A28,tabCustoUnit[],COLUMN(CUSTO_GLOBAL[[#Headers],[Vale - Alimentação (Descontada parcela do empregado)]])-2,0)*($G28-$H28)</f>
        <v>3492</v>
      </c>
      <c r="AG28" s="22">
        <f>VLOOKUP($A28,tabCustoUnit[],COLUMN(CUSTO_GLOBAL[[#Headers],[Cesta Básica]])-2,0)*($G28-$H28)</f>
        <v>0</v>
      </c>
      <c r="AH28" s="22">
        <f>VLOOKUP($A28,tabCustoUnit[],COLUMN(CUSTO_GLOBAL[[#Headers],[PAF]])-2,0)*($G28-$H28)</f>
        <v>575.40000000000009</v>
      </c>
      <c r="AI28" s="22">
        <f>VLOOKUP($A28,tabCustoUnit[],COLUMN(CUSTO_GLOBAL[[#Headers],[PQM]])-2,0)*($G28-$H28)</f>
        <v>0</v>
      </c>
      <c r="AJ28" s="22">
        <v>0</v>
      </c>
      <c r="AK28" s="22">
        <f>VLOOKUP($A28,tabCustoUnit[],COLUMN(CUSTO_GLOBAL[[#Headers],[Seguro de Vida]])-2,0)*($G28-$H28)</f>
        <v>20.16</v>
      </c>
      <c r="AL28" s="22">
        <f>VLOOKUP($A28,tabCustoUnit[],COLUMN(CUSTO_GLOBAL[[#Headers],[Despesas de Viagem]])-2,0)*($G28-$H28)</f>
        <v>61.14</v>
      </c>
      <c r="AM28" s="22">
        <f>VLOOKUP($A28,tabCustoUnit[],COLUMN(CUSTO_GLOBAL[[#Headers],[Submódulo 2.3]])-2,0)*($G28-$H28)</f>
        <v>6551.8584000000001</v>
      </c>
      <c r="AN28" s="22">
        <f>VLOOKUP($A28,tabCustoUnit[],COLUMN(CUSTO_GLOBAL[[#Headers],[MÓDULO 2 - Total Encargos e Benefícios mensais e diários]])-2,0)*($G28-$H28)</f>
        <v>9852.1652970666673</v>
      </c>
      <c r="AO28" s="22">
        <f>VLOOKUP($A28,tabCustoUnit[],COLUMN(CUSTO_GLOBAL[[#Headers],[Aviso Prévio Indenizado (API) e Reflexo do Aviso Prévio Indenizado]])-2,0)*($G28-$H28)</f>
        <v>35.825035896296292</v>
      </c>
      <c r="AP28" s="22">
        <f>VLOOKUP($A28,tabCustoUnit[],COLUMN(CUSTO_GLOBAL[[#Headers],[Incidência do FGTS sobre API e Reflexo do API]])-2,0)*($G28-$H28)</f>
        <v>2.8660028717037038</v>
      </c>
      <c r="AQ28" s="22">
        <f>VLOOKUP($A28,tabCustoUnit[],COLUMN(CUSTO_GLOBAL[[#Headers],[Multa Rescisória do FGTS sobre o Aviso Prévio Indenizado]])-2,0)*($G28-$H28)</f>
        <v>1.1464011486814816</v>
      </c>
      <c r="AR28" s="22">
        <f>VLOOKUP($A28,tabCustoUnit[],COLUMN(CUSTO_GLOBAL[[#Headers],[Aviso Prévio Trabalhado - APT]])-2,0)*($G28-$H28)</f>
        <v>17.882457600000002</v>
      </c>
      <c r="AS28" s="22">
        <f>VLOOKUP($A28,tabCustoUnit[],COLUMN(CUSTO_GLOBAL[[#Headers],[Incidência dos encargos do submódulo 2.1 sobre Aviso Prévio Trabalhado]])-2,0)*($G28-$H28)</f>
        <v>6.7595689728000021</v>
      </c>
      <c r="AT28" s="22">
        <f>VLOOKUP($A28,tabCustoUnit[],COLUMN(CUSTO_GLOBAL[[#Headers],[Multa Rescisória do FGTS]])-2,0)*($G28-$H28)</f>
        <v>156.23023274666664</v>
      </c>
      <c r="AU28" s="22">
        <f>VLOOKUP($A28,tabCustoUnit[],COLUMN(CUSTO_GLOBAL[[#Headers],[Indenização Adicional (Art. 9º da Lei nº 7.238/84)]])-2,0)*($G28-$H28)</f>
        <v>4.2577280000000002</v>
      </c>
      <c r="AV28" s="22">
        <f>VLOOKUP($A28,tabCustoUnit[],COLUMN(CUSTO_GLOBAL[[#Headers],[MÓDULO 3 – PROVISÃO PARA RESCISÃO]])-2,0)*($G28-$H28)</f>
        <v>224.96742723614813</v>
      </c>
      <c r="AW28" s="22">
        <f>VLOOKUP($A28,tabCustoUnit[],COLUMN(CUSTO_GLOBAL[[#Headers],[Ausência por Doença]])-2,0)*($G28-$H28)</f>
        <v>43.144977066666655</v>
      </c>
      <c r="AX28" s="22">
        <f>VLOOKUP($A28,tabCustoUnit[],COLUMN(CUSTO_GLOBAL[[#Headers],[Ausências Legais]])-2,0)*($G28-$H28)</f>
        <v>10.360471466666665</v>
      </c>
      <c r="AY28" s="22">
        <f>VLOOKUP($A28,tabCustoUnit[],COLUMN(CUSTO_GLOBAL[[#Headers],[Licença Paternidade]])-2,0)*($G28-$H28)</f>
        <v>0.87283423999999998</v>
      </c>
      <c r="AZ28" s="22">
        <f>VLOOKUP($A28,tabCustoUnit[],COLUMN(CUSTO_GLOBAL[[#Headers],[Ausência por Acidente de Trabalho]])-2,0)*($G28-$H28)</f>
        <v>1.064432</v>
      </c>
      <c r="BA28" s="22">
        <f>VLOOKUP($A28,tabCustoUnit[],COLUMN(CUSTO_GLOBAL[[#Headers],[Férias, Adicional de Férias e 13º  com empregada em gozo de Licença Maternidade]])-2,0)*($G28-$H28)</f>
        <v>6.623132444444443</v>
      </c>
      <c r="BB28" s="22">
        <f>VLOOKUP($A28,tabCustoUnit[],COLUMN(CUSTO_GLOBAL[[#Headers],[Incidência do Submódulo 2.1 sobre Ausências Legais]])-2,0)*($G28-$H28)</f>
        <v>23.460890248320002</v>
      </c>
      <c r="BC28" s="22">
        <f>VLOOKUP($A28,tabCustoUnit[],COLUMN(CUSTO_GLOBAL[[#Headers],[Submódulo 4.1]])-2,0)*($G28-$H28)</f>
        <v>85.526737466097771</v>
      </c>
      <c r="BD28" s="22">
        <f>VLOOKUP($A28,tabCustoUnit[],COLUMN(CUSTO_GLOBAL[[#Headers],[Intervalo para Repouso ou Alimentação]])-2,0)*($G28-$H28)</f>
        <v>0</v>
      </c>
      <c r="BE28" s="22">
        <f>VLOOKUP($A28,tabCustoUnit[],COLUMN(CUSTO_GLOBAL[[#Headers],[Submódulo 4.2]])-2,0)*($G28-$H28)</f>
        <v>0</v>
      </c>
      <c r="BF28" s="22">
        <f>VLOOKUP($A28,tabCustoUnit[],COLUMN(CUSTO_GLOBAL[[#Headers],[Suspensão Temporária do Contrato de Trabalho]])-2,0)*($G28-$H28)</f>
        <v>0</v>
      </c>
      <c r="BG28" s="22">
        <f>VLOOKUP($A28,tabCustoUnit[],COLUMN(CUSTO_GLOBAL[[#Headers],[Submódulo 4.3]])-2,0)*($G28-$H28)</f>
        <v>0</v>
      </c>
      <c r="BH28" s="22">
        <f>VLOOKUP($A28,tabCustoUnit[],COLUMN(CUSTO_GLOBAL[[#Headers],[MÓDULO 4 – CUSTO DE REPOSIÇÃO DO PROFISSIONAL AUSENTE]])-2,0)*($G28-$H28)</f>
        <v>85.526737466097771</v>
      </c>
      <c r="BI28" s="22">
        <f>VLOOKUP($A28,tabCustoUnit[],COLUMN(CUSTO_GLOBAL[[#Headers],[Uniformes e EPIs]])-2,0)*($G28-$H28)</f>
        <v>376.84</v>
      </c>
      <c r="BJ28" s="22">
        <f>VLOOKUP($A28,tabCustoUnit[],COLUMN(CUSTO_GLOBAL[[#Headers],[Materiais de Consumo]])-2,0)*($G28-$H28)</f>
        <v>106.55463887575166</v>
      </c>
      <c r="BK28" s="22">
        <f>VLOOKUP($A28,tabCustoUnit[],COLUMN(CUSTO_GLOBAL[[#Headers],[Máquinas e Equipamentos (depreciação)]])-2,0)*($G28-$H28)</f>
        <v>193.58818174447674</v>
      </c>
      <c r="BL28" s="22">
        <f>VLOOKUP($A28,tabCustoUnit[],COLUMN(CUSTO_GLOBAL[[#Headers],[Produtos de Limpeza e Materiais de Higiene Pessoal]])-2,0)*($G28-$H28)</f>
        <v>2070.8145983379495</v>
      </c>
      <c r="BM28" s="22">
        <f>VLOOKUP($A28,tabCustoUnit[],COLUMN(CUSTO_GLOBAL[[#Headers],[Outros (especificar)]])-2,0)*($G28-$H28)</f>
        <v>0</v>
      </c>
      <c r="BN28" s="22">
        <f>VLOOKUP($A28,tabCustoUnit[],COLUMN(CUSTO_GLOBAL[[#Headers],[MÓDULO 5 – INSUMOS DIVERSOS]])-2,0)*($G28-$H28)</f>
        <v>2747.7974189581782</v>
      </c>
      <c r="BO28" s="22">
        <f>VLOOKUP($A28,tabCustoUnit[],COLUMN(CUSTO_GLOBAL[[#Headers],[TOTAL MÓDULOS 1+2+3+4+5]])-2,0)*($G28-$H28)</f>
        <v>18019.730480727092</v>
      </c>
      <c r="BP28" s="22">
        <f>VLOOKUP($A28,tabCustoUnit[],COLUMN(CUSTO_GLOBAL[[#Headers],[Custos Indiretos]])-2,0)*($G28-$H28)</f>
        <v>1137.8928084145568</v>
      </c>
      <c r="BQ28" s="22">
        <f>VLOOKUP($A28,tabCustoUnit[],COLUMN(CUSTO_GLOBAL[[#Headers],[Lucro]])-2,0)*($G28-$H28)</f>
        <v>955.82995906822771</v>
      </c>
      <c r="BR28" s="26">
        <f>VLOOKUP($A28,tabCustoUnit[],COLUMN(CUSTO_GLOBAL[[#Headers],[COFINS]])-2,0)</f>
        <v>8.8629737609329504E-2</v>
      </c>
      <c r="BS28" s="26">
        <f>VLOOKUP($A28,tabCustoUnit[],COLUMN(CUSTO_GLOBAL[[#Headers],[PIS]])-2,0)</f>
        <v>1.9241982507288629E-2</v>
      </c>
      <c r="BT28" s="28">
        <f>VLOOKUP($A28,tabCustoUnit[],COLUMN(CUSTO_GLOBAL[[#Headers],[ISS]])-2,0)</f>
        <v>0.05</v>
      </c>
      <c r="BU28" s="26">
        <f>VLOOKUP($A28,tabCustoUnit[],COLUMN(CUSTO_GLOBAL[[#Headers],[ISS (Conversão Alíquota s/ fatura)]])-2,0)</f>
        <v>5.8309037900874633E-2</v>
      </c>
      <c r="BV28" s="26">
        <f>VLOOKUP($A28,tabCustoUnit[],COLUMN(CUSTO_GLOBAL[[#Headers],[Resumo de Alíquotas (PIS+CONFINS+ISS)]])-2,0)</f>
        <v>0.14250000000000002</v>
      </c>
      <c r="BW28" s="138">
        <f>VLOOKUP($A28,tabCustoUnit[],COLUMN(CUSTO_GLOBAL[[#Headers],[PIS + COFINS + ISS (Total Conversão  Alíquota s/ Fatura)]])-2,0)</f>
        <v>0.16618075801749277</v>
      </c>
      <c r="BX28" s="22">
        <f>VLOOKUP($A28,tabCustoUnit[],COLUMN(CUSTO_GLOBAL[[#Headers],[Valor dos Tributos (ISS, PIS, CONFINS)]])-2,0)*($G28-$H28)</f>
        <v>3342.4689071369194</v>
      </c>
      <c r="BY28" s="22">
        <f>VLOOKUP($A28,tabCustoUnit[],COLUMN(CUSTO_GLOBAL[[#Headers],[MÓDULO 6 – CUSTOS INDIRETOS, TRIBUTOS E LUCRO]])-2,0)*($G28-$H28)</f>
        <v>5436.1916746197039</v>
      </c>
      <c r="BZ28" s="22">
        <f>VLOOKUP($A28,tabCustoUnit[],COLUMN(CUSTO_GLOBAL[[#Headers],[CUSTO TOTAL MENSAL]])-2,0)*($G28-$H28)</f>
        <v>23455.922155346794</v>
      </c>
      <c r="CA28" s="22">
        <f>CUSTO_GLOBAL[[#This Row],[CUSTO TOTAL MENSAL]]*12</f>
        <v>281471.06586416153</v>
      </c>
      <c r="CB28" s="24">
        <f>VLOOKUP($A28,tabCustoUnit[],COLUMN(CUSTO_GLOBAL[[#Headers],[ANO DA CCT]])-2,0)</f>
        <v>45658</v>
      </c>
      <c r="CC28" s="25" t="str">
        <f>VLOOKUP($A28,tabCustoUnit[],COLUMN(CUSTO_GLOBAL[[#Headers],[Nº DE PEDIDO DA CCT]])-2,0)</f>
        <v>-</v>
      </c>
      <c r="CD28" s="25" t="str">
        <f>VLOOKUP($A28,tabCustoUnit[],COLUMN(CUSTO_GLOBAL[[#Headers],[TERMO ADITIVO  ALTERAÇÃO DA CCT]])-2,0)</f>
        <v>-</v>
      </c>
      <c r="CF28" s="22"/>
      <c r="CG28" s="22"/>
    </row>
    <row r="29" spans="1:85" x14ac:dyDescent="0.25">
      <c r="A29" s="20" t="s">
        <v>1086</v>
      </c>
      <c r="B29" t="s">
        <v>31</v>
      </c>
      <c r="C29" t="s">
        <v>1246</v>
      </c>
      <c r="D29" t="s">
        <v>1033</v>
      </c>
      <c r="E29" s="20" t="s">
        <v>9</v>
      </c>
      <c r="F29" s="20" t="s">
        <v>10</v>
      </c>
      <c r="G29" s="20">
        <v>2</v>
      </c>
      <c r="H29" s="20">
        <v>0</v>
      </c>
      <c r="I29" s="21">
        <f>VLOOKUP($A29,tabCustoUnit[],COLUMN(CUSTO_GLOBAL[[#Headers],[Salário Base]])-2,0)*($G29-$H29)</f>
        <v>2248.7800000000002</v>
      </c>
      <c r="J29" s="21">
        <f>VLOOKUP($A29,tabCustoUnit[],COLUMN(CUSTO_GLOBAL[[#Headers],[Adicional Periculosidade]])-2,0)*($G29-$H29)</f>
        <v>0</v>
      </c>
      <c r="K29" s="21">
        <f>VLOOKUP($A29,tabCustoUnit[],COLUMN(CUSTO_GLOBAL[[#Headers],[Adicional Insalubridade]])-2,0)*($G29-$H29)</f>
        <v>0</v>
      </c>
      <c r="L29" s="21">
        <f>VLOOKUP($A29,tabCustoUnit[],COLUMN(CUSTO_GLOBAL[[#Headers],[Adicional Noturno]])-2,0)*($G29-$H29)</f>
        <v>0</v>
      </c>
      <c r="M29" s="21">
        <f>VLOOKUP($A29,tabCustoUnit[],COLUMN(CUSTO_GLOBAL[[#Headers],[Adicional Motorista II (Gratificação)]])-2,0)*($G29-$H29)</f>
        <v>0</v>
      </c>
      <c r="N29" s="21">
        <f>VLOOKUP($A29,tabCustoUnit[],COLUMN(CUSTO_GLOBAL[[#Headers],[Adicional de Sobreaviso]])-2,0)*($G29-$H29)</f>
        <v>0</v>
      </c>
      <c r="O29" s="21">
        <f>VLOOKUP($A29,tabCustoUnit[],COLUMN(CUSTO_GLOBAL[[#Headers],[Horas Extras TI]])-2,0)*($G29-$H29)</f>
        <v>0</v>
      </c>
      <c r="P29" s="21">
        <f>VLOOKUP($A29,tabCustoUnit[],COLUMN(CUSTO_GLOBAL[[#Headers],[Adicional de Acúmulo de função]])-2,0)*($G29-$H29)</f>
        <v>80.956000000000003</v>
      </c>
      <c r="Q29" s="21">
        <f>VLOOKUP($A29,tabCustoUnit[],COLUMN(CUSTO_GLOBAL[[#Headers],[MODULO 1 - REMUNERAÇÃO ]])-2,0)*($G29-$H29)</f>
        <v>2329.7360000000003</v>
      </c>
      <c r="R29" s="21">
        <f>VLOOKUP($A29,tabCustoUnit[],COLUMN(CUSTO_GLOBAL[[#Headers],[INSS]])-2,0)*($G29-$H29)</f>
        <v>465.94720000000007</v>
      </c>
      <c r="S29" s="21">
        <f>VLOOKUP($A29,tabCustoUnit[],COLUMN(CUSTO_GLOBAL[[#Headers],[SESI OU SESC]])-2,0)*($G29-$H29)</f>
        <v>34.946040000000004</v>
      </c>
      <c r="T29" s="21">
        <f>VLOOKUP($A29,tabCustoUnit[],COLUMN(CUSTO_GLOBAL[[#Headers],[SENAI OU SENAC]])-2,0)*($G29-$H29)</f>
        <v>23.297360000000005</v>
      </c>
      <c r="U29" s="21">
        <f>VLOOKUP($A29,tabCustoUnit[],COLUMN(CUSTO_GLOBAL[[#Headers],[INCRA]])-2,0)*($G29-$H29)</f>
        <v>4.6594720000000009</v>
      </c>
      <c r="V29" s="21">
        <f>VLOOKUP($A29,tabCustoUnit[],COLUMN(CUSTO_GLOBAL[[#Headers],[Salário Educação]])-2,0)*($G29-$H29)</f>
        <v>58.243400000000008</v>
      </c>
      <c r="W29" s="21">
        <f>VLOOKUP($A29,tabCustoUnit[],COLUMN(CUSTO_GLOBAL[[#Headers],[FGTS]])-2,0)*($G29-$H29)</f>
        <v>186.37888000000004</v>
      </c>
      <c r="X29" s="21">
        <f>VLOOKUP($A29,tabCustoUnit[],COLUMN(CUSTO_GLOBAL[[#Headers],[RAT Ajustado]])-2,0)*($G29-$H29)</f>
        <v>93.189440000000019</v>
      </c>
      <c r="Y29" s="21">
        <f>VLOOKUP($A29,tabCustoUnit[],COLUMN(CUSTO_GLOBAL[[#Headers],[SEBRAE]])-2,0)*($G29-$H29)</f>
        <v>13.978416000000003</v>
      </c>
      <c r="Z29" s="21">
        <f>VLOOKUP($A29,tabCustoUnit[],COLUMN(CUSTO_GLOBAL[[#Headers],[Submódulo 2.1]])-2,0)*($G29-$H29)</f>
        <v>880.64020800000003</v>
      </c>
      <c r="AA29" s="21">
        <f>VLOOKUP($A29,tabCustoUnit[],COLUMN(CUSTO_GLOBAL[[#Headers],[13º salário (titular)]])-2,0)*($G29-$H29)</f>
        <v>194.14466666666669</v>
      </c>
      <c r="AB29" s="21">
        <f>VLOOKUP($A29,tabCustoUnit[],COLUMN(CUSTO_GLOBAL[[#Headers],[Férias e Adicional de Férias (titular)]])-2,0)*($G29-$H29)</f>
        <v>258.85955555555557</v>
      </c>
      <c r="AC29" s="21">
        <f>VLOOKUP($A29,tabCustoUnit[],COLUMN(CUSTO_GLOBAL[[#Headers],[Incidência do Submódulo 2.1 sobre 13º Salário, Férias e Adicional de Férias]])-2,0)*($G29-$H29)</f>
        <v>171.23559599999999</v>
      </c>
      <c r="AD29" s="21">
        <f>VLOOKUP($A29,tabCustoUnit[],COLUMN(CUSTO_GLOBAL[[#Headers],[Submódulo 2.2]])-2,0)*($G29-$H29)</f>
        <v>624.23981822222231</v>
      </c>
      <c r="AE29" s="22">
        <f>VLOOKUP($A29,tabCustoUnit[],COLUMN(CUSTO_GLOBAL[[#Headers],[Vale - Transporte (Descontada parcela do empregado)]])-2,0)*($G29-$H29)</f>
        <v>765.07320000000004</v>
      </c>
      <c r="AF29" s="22">
        <f>VLOOKUP($A29,tabCustoUnit[],COLUMN(CUSTO_GLOBAL[[#Headers],[Vale - Alimentação (Descontada parcela do empregado)]])-2,0)*($G29-$H29)</f>
        <v>1164</v>
      </c>
      <c r="AG29" s="22">
        <f>VLOOKUP($A29,tabCustoUnit[],COLUMN(CUSTO_GLOBAL[[#Headers],[Cesta Básica]])-2,0)*($G29-$H29)</f>
        <v>0</v>
      </c>
      <c r="AH29" s="22">
        <f>VLOOKUP($A29,tabCustoUnit[],COLUMN(CUSTO_GLOBAL[[#Headers],[PAF]])-2,0)*($G29-$H29)</f>
        <v>191.8</v>
      </c>
      <c r="AI29" s="22">
        <f>VLOOKUP($A29,tabCustoUnit[],COLUMN(CUSTO_GLOBAL[[#Headers],[PQM]])-2,0)*($G29-$H29)</f>
        <v>0</v>
      </c>
      <c r="AJ29" s="22">
        <v>0</v>
      </c>
      <c r="AK29" s="22">
        <f>VLOOKUP($A29,tabCustoUnit[],COLUMN(CUSTO_GLOBAL[[#Headers],[Seguro de Vida]])-2,0)*($G29-$H29)</f>
        <v>6.72</v>
      </c>
      <c r="AL29" s="22">
        <f>VLOOKUP($A29,tabCustoUnit[],COLUMN(CUSTO_GLOBAL[[#Headers],[Despesas de Viagem]])-2,0)*($G29-$H29)</f>
        <v>20.38</v>
      </c>
      <c r="AM29" s="22">
        <f>VLOOKUP($A29,tabCustoUnit[],COLUMN(CUSTO_GLOBAL[[#Headers],[Submódulo 2.3]])-2,0)*($G29-$H29)</f>
        <v>2147.9731999999999</v>
      </c>
      <c r="AN29" s="22">
        <f>VLOOKUP($A29,tabCustoUnit[],COLUMN(CUSTO_GLOBAL[[#Headers],[MÓDULO 2 - Total Encargos e Benefícios mensais e diários]])-2,0)*($G29-$H29)</f>
        <v>3652.8532262222225</v>
      </c>
      <c r="AO29" s="22">
        <f>VLOOKUP($A29,tabCustoUnit[],COLUMN(CUSTO_GLOBAL[[#Headers],[Aviso Prévio Indenizado (API) e Reflexo do Aviso Prévio Indenizado]])-2,0)*($G29-$H29)</f>
        <v>16.335565945987657</v>
      </c>
      <c r="AP29" s="22">
        <f>VLOOKUP($A29,tabCustoUnit[],COLUMN(CUSTO_GLOBAL[[#Headers],[Incidência do FGTS sobre API e Reflexo do API]])-2,0)*($G29-$H29)</f>
        <v>1.3068452756790125</v>
      </c>
      <c r="AQ29" s="22">
        <f>VLOOKUP($A29,tabCustoUnit[],COLUMN(CUSTO_GLOBAL[[#Headers],[Multa Rescisória do FGTS sobre o Aviso Prévio Indenizado]])-2,0)*($G29-$H29)</f>
        <v>0.52273811027160511</v>
      </c>
      <c r="AR29" s="22">
        <f>VLOOKUP($A29,tabCustoUnit[],COLUMN(CUSTO_GLOBAL[[#Headers],[Aviso Prévio Trabalhado - APT]])-2,0)*($G29-$H29)</f>
        <v>8.1540760000000017</v>
      </c>
      <c r="AS29" s="22">
        <f>VLOOKUP($A29,tabCustoUnit[],COLUMN(CUSTO_GLOBAL[[#Headers],[Incidência dos encargos do submódulo 2.1 sobre Aviso Prévio Trabalhado]])-2,0)*($G29-$H29)</f>
        <v>3.0822407280000013</v>
      </c>
      <c r="AT29" s="22">
        <f>VLOOKUP($A29,tabCustoUnit[],COLUMN(CUSTO_GLOBAL[[#Headers],[Multa Rescisória do FGTS]])-2,0)*($G29-$H29)</f>
        <v>71.238149688888882</v>
      </c>
      <c r="AU29" s="22">
        <f>VLOOKUP($A29,tabCustoUnit[],COLUMN(CUSTO_GLOBAL[[#Headers],[Indenização Adicional (Art. 9º da Lei nº 7.238/84)]])-2,0)*($G29-$H29)</f>
        <v>1.941446666666667</v>
      </c>
      <c r="AV29" s="22">
        <f>VLOOKUP($A29,tabCustoUnit[],COLUMN(CUSTO_GLOBAL[[#Headers],[MÓDULO 3 – PROVISÃO PARA RESCISÃO]])-2,0)*($G29-$H29)</f>
        <v>102.58106241549383</v>
      </c>
      <c r="AW29" s="22">
        <f>VLOOKUP($A29,tabCustoUnit[],COLUMN(CUSTO_GLOBAL[[#Headers],[Ausência por Doença]])-2,0)*($G29-$H29)</f>
        <v>19.673326222222222</v>
      </c>
      <c r="AX29" s="22">
        <f>VLOOKUP($A29,tabCustoUnit[],COLUMN(CUSTO_GLOBAL[[#Headers],[Ausências Legais]])-2,0)*($G29-$H29)</f>
        <v>4.7241868888888892</v>
      </c>
      <c r="AY29" s="22">
        <f>VLOOKUP($A29,tabCustoUnit[],COLUMN(CUSTO_GLOBAL[[#Headers],[Licença Paternidade]])-2,0)*($G29-$H29)</f>
        <v>0.39799656666666672</v>
      </c>
      <c r="AZ29" s="22">
        <f>VLOOKUP($A29,tabCustoUnit[],COLUMN(CUSTO_GLOBAL[[#Headers],[Ausência por Acidente de Trabalho]])-2,0)*($G29-$H29)</f>
        <v>0.48536166666666675</v>
      </c>
      <c r="BA29" s="22">
        <f>VLOOKUP($A29,tabCustoUnit[],COLUMN(CUSTO_GLOBAL[[#Headers],[Férias, Adicional de Férias e 13º  com empregada em gozo de Licença Maternidade]])-2,0)*($G29-$H29)</f>
        <v>3.0200281481481484</v>
      </c>
      <c r="BB29" s="22">
        <f>VLOOKUP($A29,tabCustoUnit[],COLUMN(CUSTO_GLOBAL[[#Headers],[Incidência do Submódulo 2.1 sobre Ausências Legais]])-2,0)*($G29-$H29)</f>
        <v>10.697740008200004</v>
      </c>
      <c r="BC29" s="22">
        <f>VLOOKUP($A29,tabCustoUnit[],COLUMN(CUSTO_GLOBAL[[#Headers],[Submódulo 4.1]])-2,0)*($G29-$H29)</f>
        <v>38.998639500792592</v>
      </c>
      <c r="BD29" s="22">
        <f>VLOOKUP($A29,tabCustoUnit[],COLUMN(CUSTO_GLOBAL[[#Headers],[Intervalo para Repouso ou Alimentação]])-2,0)*($G29-$H29)</f>
        <v>0</v>
      </c>
      <c r="BE29" s="22">
        <f>VLOOKUP($A29,tabCustoUnit[],COLUMN(CUSTO_GLOBAL[[#Headers],[Submódulo 4.2]])-2,0)*($G29-$H29)</f>
        <v>0</v>
      </c>
      <c r="BF29" s="22">
        <f>VLOOKUP($A29,tabCustoUnit[],COLUMN(CUSTO_GLOBAL[[#Headers],[Suspensão Temporária do Contrato de Trabalho]])-2,0)*($G29-$H29)</f>
        <v>0</v>
      </c>
      <c r="BG29" s="22">
        <f>VLOOKUP($A29,tabCustoUnit[],COLUMN(CUSTO_GLOBAL[[#Headers],[Submódulo 4.3]])-2,0)*($G29-$H29)</f>
        <v>0</v>
      </c>
      <c r="BH29" s="22">
        <f>VLOOKUP($A29,tabCustoUnit[],COLUMN(CUSTO_GLOBAL[[#Headers],[MÓDULO 4 – CUSTO DE REPOSIÇÃO DO PROFISSIONAL AUSENTE]])-2,0)*($G29-$H29)</f>
        <v>38.998639500792592</v>
      </c>
      <c r="BI29" s="22">
        <f>VLOOKUP($A29,tabCustoUnit[],COLUMN(CUSTO_GLOBAL[[#Headers],[Uniformes e EPIs]])-2,0)*($G29-$H29)</f>
        <v>201.61833333333331</v>
      </c>
      <c r="BJ29" s="22">
        <f>VLOOKUP($A29,tabCustoUnit[],COLUMN(CUSTO_GLOBAL[[#Headers],[Materiais de Consumo]])-2,0)*($G29-$H29)</f>
        <v>48.433926761705301</v>
      </c>
      <c r="BK29" s="22">
        <f>VLOOKUP($A29,tabCustoUnit[],COLUMN(CUSTO_GLOBAL[[#Headers],[Máquinas e Equipamentos (depreciação)]])-2,0)*($G29-$H29)</f>
        <v>87.994628065671236</v>
      </c>
      <c r="BL29" s="22">
        <f>VLOOKUP($A29,tabCustoUnit[],COLUMN(CUSTO_GLOBAL[[#Headers],[Produtos de Limpeza e Materiais de Higiene Pessoal]])-2,0)*($G29-$H29)</f>
        <v>941.2793628808862</v>
      </c>
      <c r="BM29" s="22">
        <f>VLOOKUP($A29,tabCustoUnit[],COLUMN(CUSTO_GLOBAL[[#Headers],[Outros (especificar)]])-2,0)*($G29-$H29)</f>
        <v>0</v>
      </c>
      <c r="BN29" s="22">
        <f>VLOOKUP($A29,tabCustoUnit[],COLUMN(CUSTO_GLOBAL[[#Headers],[MÓDULO 5 – INSUMOS DIVERSOS]])-2,0)*($G29-$H29)</f>
        <v>1279.3262510415962</v>
      </c>
      <c r="BO29" s="22">
        <f>VLOOKUP($A29,tabCustoUnit[],COLUMN(CUSTO_GLOBAL[[#Headers],[TOTAL MÓDULOS 1+2+3+4+5]])-2,0)*($G29-$H29)</f>
        <v>7403.495179180105</v>
      </c>
      <c r="BP29" s="22">
        <f>VLOOKUP($A29,tabCustoUnit[],COLUMN(CUSTO_GLOBAL[[#Headers],[Custos Indiretos]])-2,0)*($G29-$H29)</f>
        <v>379.29760280485226</v>
      </c>
      <c r="BQ29" s="22">
        <f>VLOOKUP($A29,tabCustoUnit[],COLUMN(CUSTO_GLOBAL[[#Headers],[Lucro]])-2,0)*($G29-$H29)</f>
        <v>318.60998635607592</v>
      </c>
      <c r="BR29" s="26">
        <f>VLOOKUP($A29,tabCustoUnit[],COLUMN(CUSTO_GLOBAL[[#Headers],[COFINS]])-2,0)</f>
        <v>8.8629737609329504E-2</v>
      </c>
      <c r="BS29" s="26">
        <f>VLOOKUP($A29,tabCustoUnit[],COLUMN(CUSTO_GLOBAL[[#Headers],[PIS]])-2,0)</f>
        <v>1.9241982507288629E-2</v>
      </c>
      <c r="BT29" s="28">
        <f>VLOOKUP($A29,tabCustoUnit[],COLUMN(CUSTO_GLOBAL[[#Headers],[ISS]])-2,0)</f>
        <v>0.05</v>
      </c>
      <c r="BU29" s="26">
        <f>VLOOKUP($A29,tabCustoUnit[],COLUMN(CUSTO_GLOBAL[[#Headers],[ISS (Conversão Alíquota s/ fatura)]])-2,0)</f>
        <v>5.8309037900874633E-2</v>
      </c>
      <c r="BV29" s="26">
        <f>VLOOKUP($A29,tabCustoUnit[],COLUMN(CUSTO_GLOBAL[[#Headers],[Resumo de Alíquotas (PIS+CONFINS+ISS)]])-2,0)</f>
        <v>0.14250000000000002</v>
      </c>
      <c r="BW29" s="138">
        <f>VLOOKUP($A29,tabCustoUnit[],COLUMN(CUSTO_GLOBAL[[#Headers],[PIS + COFINS + ISS (Total Conversão  Alíquota s/ Fatura)]])-2,0)</f>
        <v>0.16618075801749277</v>
      </c>
      <c r="BX29" s="22">
        <f>VLOOKUP($A29,tabCustoUnit[],COLUMN(CUSTO_GLOBAL[[#Headers],[Valor dos Tributos (ISS, PIS, CONFINS)]])-2,0)*($G29-$H29)</f>
        <v>1346.2972530479274</v>
      </c>
      <c r="BY29" s="22">
        <f>VLOOKUP($A29,tabCustoUnit[],COLUMN(CUSTO_GLOBAL[[#Headers],[MÓDULO 6 – CUSTOS INDIRETOS, TRIBUTOS E LUCRO]])-2,0)*($G29-$H29)</f>
        <v>2044.2048422088556</v>
      </c>
      <c r="BZ29" s="22">
        <f>VLOOKUP($A29,tabCustoUnit[],COLUMN(CUSTO_GLOBAL[[#Headers],[CUSTO TOTAL MENSAL]])-2,0)*($G29-$H29)</f>
        <v>9447.7000213889605</v>
      </c>
      <c r="CA29" s="22">
        <f>CUSTO_GLOBAL[[#This Row],[CUSTO TOTAL MENSAL]]*12</f>
        <v>113372.40025666752</v>
      </c>
      <c r="CB29" s="24">
        <f>VLOOKUP($A29,tabCustoUnit[],COLUMN(CUSTO_GLOBAL[[#Headers],[ANO DA CCT]])-2,0)</f>
        <v>45658</v>
      </c>
      <c r="CC29" s="25" t="str">
        <f>VLOOKUP($A29,tabCustoUnit[],COLUMN(CUSTO_GLOBAL[[#Headers],[Nº DE PEDIDO DA CCT]])-2,0)</f>
        <v>-</v>
      </c>
      <c r="CD29" s="25" t="str">
        <f>VLOOKUP($A29,tabCustoUnit[],COLUMN(CUSTO_GLOBAL[[#Headers],[TERMO ADITIVO  ALTERAÇÃO DA CCT]])-2,0)</f>
        <v>-</v>
      </c>
      <c r="CF29" s="22"/>
      <c r="CG29" s="22"/>
    </row>
    <row r="30" spans="1:85" x14ac:dyDescent="0.25">
      <c r="A30" s="20" t="s">
        <v>1270</v>
      </c>
      <c r="B30" t="s">
        <v>31</v>
      </c>
      <c r="C30" t="s">
        <v>1245</v>
      </c>
      <c r="D30" t="s">
        <v>1033</v>
      </c>
      <c r="E30" s="20" t="s">
        <v>9</v>
      </c>
      <c r="F30" s="20" t="s">
        <v>10</v>
      </c>
      <c r="G30" s="20">
        <v>101</v>
      </c>
      <c r="H30" s="20">
        <v>0</v>
      </c>
      <c r="I30" s="21">
        <f>VLOOKUP($A30,tabCustoUnit[],COLUMN(CUSTO_GLOBAL[[#Headers],[Salário Base]])-2,0)*($G30-$H30)</f>
        <v>166561.12</v>
      </c>
      <c r="J30" s="21">
        <f>VLOOKUP($A30,tabCustoUnit[],COLUMN(CUSTO_GLOBAL[[#Headers],[Adicional Periculosidade]])-2,0)*($G30-$H30)</f>
        <v>0</v>
      </c>
      <c r="K30" s="21">
        <f>VLOOKUP($A30,tabCustoUnit[],COLUMN(CUSTO_GLOBAL[[#Headers],[Adicional Insalubridade]])-2,0)*($G30-$H30)</f>
        <v>0</v>
      </c>
      <c r="L30" s="21">
        <f>VLOOKUP($A30,tabCustoUnit[],COLUMN(CUSTO_GLOBAL[[#Headers],[Adicional Noturno]])-2,0)*($G30-$H30)</f>
        <v>0</v>
      </c>
      <c r="M30" s="21">
        <f>VLOOKUP($A30,tabCustoUnit[],COLUMN(CUSTO_GLOBAL[[#Headers],[Adicional Motorista II (Gratificação)]])-2,0)*($G30-$H30)</f>
        <v>0</v>
      </c>
      <c r="N30" s="21">
        <f>VLOOKUP($A30,tabCustoUnit[],COLUMN(CUSTO_GLOBAL[[#Headers],[Adicional de Sobreaviso]])-2,0)*($G30-$H30)</f>
        <v>0</v>
      </c>
      <c r="O30" s="21">
        <f>VLOOKUP($A30,tabCustoUnit[],COLUMN(CUSTO_GLOBAL[[#Headers],[Horas Extras TI]])-2,0)*($G30-$H30)</f>
        <v>0</v>
      </c>
      <c r="P30" s="21">
        <f>VLOOKUP($A30,tabCustoUnit[],COLUMN(CUSTO_GLOBAL[[#Headers],[Adicional de Acúmulo de função]])-2,0)*($G30-$H30)</f>
        <v>5451.0912000000008</v>
      </c>
      <c r="Q30" s="21">
        <f>VLOOKUP($A30,tabCustoUnit[],COLUMN(CUSTO_GLOBAL[[#Headers],[MODULO 1 - REMUNERAÇÃO ]])-2,0)*($G30-$H30)</f>
        <v>172012.21119999999</v>
      </c>
      <c r="R30" s="21">
        <f>VLOOKUP($A30,tabCustoUnit[],COLUMN(CUSTO_GLOBAL[[#Headers],[INSS]])-2,0)*($G30-$H30)</f>
        <v>34402.442240000004</v>
      </c>
      <c r="S30" s="21">
        <f>VLOOKUP($A30,tabCustoUnit[],COLUMN(CUSTO_GLOBAL[[#Headers],[SESI OU SESC]])-2,0)*($G30-$H30)</f>
        <v>2580.1831679999996</v>
      </c>
      <c r="T30" s="21">
        <f>VLOOKUP($A30,tabCustoUnit[],COLUMN(CUSTO_GLOBAL[[#Headers],[SENAI OU SENAC]])-2,0)*($G30-$H30)</f>
        <v>1720.1221119999998</v>
      </c>
      <c r="U30" s="21">
        <f>VLOOKUP($A30,tabCustoUnit[],COLUMN(CUSTO_GLOBAL[[#Headers],[INCRA]])-2,0)*($G30-$H30)</f>
        <v>344.02442239999993</v>
      </c>
      <c r="V30" s="21">
        <f>VLOOKUP($A30,tabCustoUnit[],COLUMN(CUSTO_GLOBAL[[#Headers],[Salário Educação]])-2,0)*($G30-$H30)</f>
        <v>4300.3052800000005</v>
      </c>
      <c r="W30" s="21">
        <f>VLOOKUP($A30,tabCustoUnit[],COLUMN(CUSTO_GLOBAL[[#Headers],[FGTS]])-2,0)*($G30-$H30)</f>
        <v>13760.976895999998</v>
      </c>
      <c r="X30" s="21">
        <f>VLOOKUP($A30,tabCustoUnit[],COLUMN(CUSTO_GLOBAL[[#Headers],[RAT Ajustado]])-2,0)*($G30-$H30)</f>
        <v>6880.4884479999992</v>
      </c>
      <c r="Y30" s="21">
        <f>VLOOKUP($A30,tabCustoUnit[],COLUMN(CUSTO_GLOBAL[[#Headers],[SEBRAE]])-2,0)*($G30-$H30)</f>
        <v>1032.0732671999999</v>
      </c>
      <c r="Z30" s="21">
        <f>VLOOKUP($A30,tabCustoUnit[],COLUMN(CUSTO_GLOBAL[[#Headers],[Submódulo 2.1]])-2,0)*($G30-$H30)</f>
        <v>65020.615833600001</v>
      </c>
      <c r="AA30" s="21">
        <f>VLOOKUP($A30,tabCustoUnit[],COLUMN(CUSTO_GLOBAL[[#Headers],[13º salário (titular)]])-2,0)*($G30-$H30)</f>
        <v>14334.350933333331</v>
      </c>
      <c r="AB30" s="21">
        <f>VLOOKUP($A30,tabCustoUnit[],COLUMN(CUSTO_GLOBAL[[#Headers],[Férias e Adicional de Férias (titular)]])-2,0)*($G30-$H30)</f>
        <v>19112.467911111107</v>
      </c>
      <c r="AC30" s="21">
        <f>VLOOKUP($A30,tabCustoUnit[],COLUMN(CUSTO_GLOBAL[[#Headers],[Incidência do Submódulo 2.1 sobre 13º Salário, Férias e Adicional de Férias]])-2,0)*($G30-$H30)</f>
        <v>12642.897523199999</v>
      </c>
      <c r="AD30" s="21">
        <f>VLOOKUP($A30,tabCustoUnit[],COLUMN(CUSTO_GLOBAL[[#Headers],[Submódulo 2.2]])-2,0)*($G30-$H30)</f>
        <v>46089.71636764444</v>
      </c>
      <c r="AE30" s="22">
        <f>VLOOKUP($A30,tabCustoUnit[],COLUMN(CUSTO_GLOBAL[[#Headers],[Vale - Transporte (Descontada parcela do empregado)]])-2,0)*($G30-$H30)</f>
        <v>35456.332799999996</v>
      </c>
      <c r="AF30" s="22">
        <f>VLOOKUP($A30,tabCustoUnit[],COLUMN(CUSTO_GLOBAL[[#Headers],[Vale - Alimentação (Descontada parcela do empregado)]])-2,0)*($G30-$H30)</f>
        <v>58782</v>
      </c>
      <c r="AG30" s="22">
        <f>VLOOKUP($A30,tabCustoUnit[],COLUMN(CUSTO_GLOBAL[[#Headers],[Cesta Básica]])-2,0)*($G30-$H30)</f>
        <v>0</v>
      </c>
      <c r="AH30" s="22">
        <f>VLOOKUP($A30,tabCustoUnit[],COLUMN(CUSTO_GLOBAL[[#Headers],[PAF]])-2,0)*($G30-$H30)</f>
        <v>9685.9000000000015</v>
      </c>
      <c r="AI30" s="22">
        <f>VLOOKUP($A30,tabCustoUnit[],COLUMN(CUSTO_GLOBAL[[#Headers],[PQM]])-2,0)*($G30-$H30)</f>
        <v>0</v>
      </c>
      <c r="AJ30" s="22">
        <v>0</v>
      </c>
      <c r="AK30" s="22">
        <f>VLOOKUP($A30,tabCustoUnit[],COLUMN(CUSTO_GLOBAL[[#Headers],[Seguro de Vida]])-2,0)*($G30-$H30)</f>
        <v>339.36</v>
      </c>
      <c r="AL30" s="22">
        <f>VLOOKUP($A30,tabCustoUnit[],COLUMN(CUSTO_GLOBAL[[#Headers],[Despesas de Viagem]])-2,0)*($G30-$H30)</f>
        <v>1029.19</v>
      </c>
      <c r="AM30" s="22">
        <f>VLOOKUP($A30,tabCustoUnit[],COLUMN(CUSTO_GLOBAL[[#Headers],[Submódulo 2.3]])-2,0)*($G30-$H30)</f>
        <v>105292.7828</v>
      </c>
      <c r="AN30" s="22">
        <f>VLOOKUP($A30,tabCustoUnit[],COLUMN(CUSTO_GLOBAL[[#Headers],[MÓDULO 2 - Total Encargos e Benefícios mensais e diários]])-2,0)*($G30-$H30)</f>
        <v>216403.11500124441</v>
      </c>
      <c r="AO30" s="22">
        <f>VLOOKUP($A30,tabCustoUnit[],COLUMN(CUSTO_GLOBAL[[#Headers],[Aviso Prévio Indenizado (API) e Reflexo do Aviso Prévio Indenizado]])-2,0)*($G30-$H30)</f>
        <v>1206.1095418419752</v>
      </c>
      <c r="AP30" s="22">
        <f>VLOOKUP($A30,tabCustoUnit[],COLUMN(CUSTO_GLOBAL[[#Headers],[Incidência do FGTS sobre API e Reflexo do API]])-2,0)*($G30-$H30)</f>
        <v>96.488763347358017</v>
      </c>
      <c r="AQ30" s="22">
        <f>VLOOKUP($A30,tabCustoUnit[],COLUMN(CUSTO_GLOBAL[[#Headers],[Multa Rescisória do FGTS sobre o Aviso Prévio Indenizado]])-2,0)*($G30-$H30)</f>
        <v>38.595505338943212</v>
      </c>
      <c r="AR30" s="22">
        <f>VLOOKUP($A30,tabCustoUnit[],COLUMN(CUSTO_GLOBAL[[#Headers],[Aviso Prévio Trabalhado - APT]])-2,0)*($G30-$H30)</f>
        <v>602.04273920000003</v>
      </c>
      <c r="AS30" s="22">
        <f>VLOOKUP($A30,tabCustoUnit[],COLUMN(CUSTO_GLOBAL[[#Headers],[Incidência dos encargos do submódulo 2.1 sobre Aviso Prévio Trabalhado]])-2,0)*($G30-$H30)</f>
        <v>227.57215541760004</v>
      </c>
      <c r="AT30" s="22">
        <f>VLOOKUP($A30,tabCustoUnit[],COLUMN(CUSTO_GLOBAL[[#Headers],[Multa Rescisória do FGTS]])-2,0)*($G30-$H30)</f>
        <v>5259.7511691377767</v>
      </c>
      <c r="AU30" s="22">
        <f>VLOOKUP($A30,tabCustoUnit[],COLUMN(CUSTO_GLOBAL[[#Headers],[Indenização Adicional (Art. 9º da Lei nº 7.238/84)]])-2,0)*($G30-$H30)</f>
        <v>143.34350933333334</v>
      </c>
      <c r="AV30" s="22">
        <f>VLOOKUP($A30,tabCustoUnit[],COLUMN(CUSTO_GLOBAL[[#Headers],[MÓDULO 3 – PROVISÃO PARA RESCISÃO]])-2,0)*($G30-$H30)</f>
        <v>7573.9033836169865</v>
      </c>
      <c r="AW30" s="22">
        <f>VLOOKUP($A30,tabCustoUnit[],COLUMN(CUSTO_GLOBAL[[#Headers],[Ausência por Doença]])-2,0)*($G30-$H30)</f>
        <v>1452.5475612444441</v>
      </c>
      <c r="AX30" s="22">
        <f>VLOOKUP($A30,tabCustoUnit[],COLUMN(CUSTO_GLOBAL[[#Headers],[Ausências Legais]])-2,0)*($G30-$H30)</f>
        <v>348.80253937777775</v>
      </c>
      <c r="AY30" s="22">
        <f>VLOOKUP($A30,tabCustoUnit[],COLUMN(CUSTO_GLOBAL[[#Headers],[Licença Paternidade]])-2,0)*($G30-$H30)</f>
        <v>29.385419413333331</v>
      </c>
      <c r="AZ30" s="22">
        <f>VLOOKUP($A30,tabCustoUnit[],COLUMN(CUSTO_GLOBAL[[#Headers],[Ausência por Acidente de Trabalho]])-2,0)*($G30-$H30)</f>
        <v>35.835877333333336</v>
      </c>
      <c r="BA30" s="22">
        <f>VLOOKUP($A30,tabCustoUnit[],COLUMN(CUSTO_GLOBAL[[#Headers],[Férias, Adicional de Férias e 13º  com empregada em gozo de Licença Maternidade]])-2,0)*($G30-$H30)</f>
        <v>222.97879229629626</v>
      </c>
      <c r="BB30" s="22">
        <f>VLOOKUP($A30,tabCustoUnit[],COLUMN(CUSTO_GLOBAL[[#Headers],[Incidência do Submódulo 2.1 sobre Ausências Legais]])-2,0)*($G30-$H30)</f>
        <v>789.84997169344001</v>
      </c>
      <c r="BC30" s="22">
        <f>VLOOKUP($A30,tabCustoUnit[],COLUMN(CUSTO_GLOBAL[[#Headers],[Submódulo 4.1]])-2,0)*($G30-$H30)</f>
        <v>2879.4001613586247</v>
      </c>
      <c r="BD30" s="22">
        <f>VLOOKUP($A30,tabCustoUnit[],COLUMN(CUSTO_GLOBAL[[#Headers],[Intervalo para Repouso ou Alimentação]])-2,0)*($G30-$H30)</f>
        <v>0</v>
      </c>
      <c r="BE30" s="22">
        <f>VLOOKUP($A30,tabCustoUnit[],COLUMN(CUSTO_GLOBAL[[#Headers],[Submódulo 4.2]])-2,0)*($G30-$H30)</f>
        <v>0</v>
      </c>
      <c r="BF30" s="22">
        <f>VLOOKUP($A30,tabCustoUnit[],COLUMN(CUSTO_GLOBAL[[#Headers],[Suspensão Temporária do Contrato de Trabalho]])-2,0)*($G30-$H30)</f>
        <v>0</v>
      </c>
      <c r="BG30" s="22">
        <f>VLOOKUP($A30,tabCustoUnit[],COLUMN(CUSTO_GLOBAL[[#Headers],[Submódulo 4.3]])-2,0)*($G30-$H30)</f>
        <v>0</v>
      </c>
      <c r="BH30" s="22">
        <f>VLOOKUP($A30,tabCustoUnit[],COLUMN(CUSTO_GLOBAL[[#Headers],[MÓDULO 4 – CUSTO DE REPOSIÇÃO DO PROFISSIONAL AUSENTE]])-2,0)*($G30-$H30)</f>
        <v>2879.4001613586247</v>
      </c>
      <c r="BI30" s="22">
        <f>VLOOKUP($A30,tabCustoUnit[],COLUMN(CUSTO_GLOBAL[[#Headers],[Uniformes e EPIs]])-2,0)*($G30-$H30)</f>
        <v>10181.725833333332</v>
      </c>
      <c r="BJ30" s="22">
        <f>VLOOKUP($A30,tabCustoUnit[],COLUMN(CUSTO_GLOBAL[[#Headers],[Materiais de Consumo]])-2,0)*($G30-$H30)</f>
        <v>3587.3395088169727</v>
      </c>
      <c r="BK30" s="22">
        <f>VLOOKUP($A30,tabCustoUnit[],COLUMN(CUSTO_GLOBAL[[#Headers],[Máquinas e Equipamentos (depreciação)]])-2,0)*($G30-$H30)</f>
        <v>6517.4687853973828</v>
      </c>
      <c r="BL30" s="22">
        <f>VLOOKUP($A30,tabCustoUnit[],COLUMN(CUSTO_GLOBAL[[#Headers],[Produtos de Limpeza e Materiais de Higiene Pessoal]])-2,0)*($G30-$H30)</f>
        <v>69717.424810710974</v>
      </c>
      <c r="BM30" s="22">
        <f>VLOOKUP($A30,tabCustoUnit[],COLUMN(CUSTO_GLOBAL[[#Headers],[Outros (especificar)]])-2,0)*($G30-$H30)</f>
        <v>0</v>
      </c>
      <c r="BN30" s="22">
        <f>VLOOKUP($A30,tabCustoUnit[],COLUMN(CUSTO_GLOBAL[[#Headers],[MÓDULO 5 – INSUMOS DIVERSOS]])-2,0)*($G30-$H30)</f>
        <v>90003.958938258656</v>
      </c>
      <c r="BO30" s="22">
        <f>VLOOKUP($A30,tabCustoUnit[],COLUMN(CUSTO_GLOBAL[[#Headers],[TOTAL MÓDULOS 1+2+3+4+5]])-2,0)*($G30-$H30)</f>
        <v>488872.58868447866</v>
      </c>
      <c r="BP30" s="22">
        <f>VLOOKUP($A30,tabCustoUnit[],COLUMN(CUSTO_GLOBAL[[#Headers],[Custos Indiretos]])-2,0)*($G30-$H30)</f>
        <v>19154.52894164504</v>
      </c>
      <c r="BQ30" s="22">
        <f>VLOOKUP($A30,tabCustoUnit[],COLUMN(CUSTO_GLOBAL[[#Headers],[Lucro]])-2,0)*($G30-$H30)</f>
        <v>16089.804310981834</v>
      </c>
      <c r="BR30" s="26">
        <f>VLOOKUP($A30,tabCustoUnit[],COLUMN(CUSTO_GLOBAL[[#Headers],[COFINS]])-2,0)</f>
        <v>8.8629737609329504E-2</v>
      </c>
      <c r="BS30" s="26">
        <f>VLOOKUP($A30,tabCustoUnit[],COLUMN(CUSTO_GLOBAL[[#Headers],[PIS]])-2,0)</f>
        <v>1.9241982507288629E-2</v>
      </c>
      <c r="BT30" s="28">
        <f>VLOOKUP($A30,tabCustoUnit[],COLUMN(CUSTO_GLOBAL[[#Headers],[ISS]])-2,0)</f>
        <v>0.05</v>
      </c>
      <c r="BU30" s="26">
        <f>VLOOKUP($A30,tabCustoUnit[],COLUMN(CUSTO_GLOBAL[[#Headers],[ISS (Conversão Alíquota s/ fatura)]])-2,0)</f>
        <v>5.8309037900874633E-2</v>
      </c>
      <c r="BV30" s="26">
        <f>VLOOKUP($A30,tabCustoUnit[],COLUMN(CUSTO_GLOBAL[[#Headers],[Resumo de Alíquotas (PIS+CONFINS+ISS)]])-2,0)</f>
        <v>0.14250000000000002</v>
      </c>
      <c r="BW30" s="138">
        <f>VLOOKUP($A30,tabCustoUnit[],COLUMN(CUSTO_GLOBAL[[#Headers],[PIS + COFINS + ISS (Total Conversão  Alíquota s/ Fatura)]])-2,0)</f>
        <v>0.16618075801749277</v>
      </c>
      <c r="BX30" s="22">
        <f>VLOOKUP($A30,tabCustoUnit[],COLUMN(CUSTO_GLOBAL[[#Headers],[Valor dos Tributos (ISS, PIS, CONFINS)]])-2,0)*($G30-$H30)</f>
        <v>87098.147377303278</v>
      </c>
      <c r="BY30" s="22">
        <f>VLOOKUP($A30,tabCustoUnit[],COLUMN(CUSTO_GLOBAL[[#Headers],[MÓDULO 6 – CUSTOS INDIRETOS, TRIBUTOS E LUCRO]])-2,0)*($G30-$H30)</f>
        <v>122342.48062993016</v>
      </c>
      <c r="BZ30" s="22">
        <f>VLOOKUP($A30,tabCustoUnit[],COLUMN(CUSTO_GLOBAL[[#Headers],[CUSTO TOTAL MENSAL]])-2,0)*($G30-$H30)</f>
        <v>611215.06931440881</v>
      </c>
      <c r="CA30" s="22">
        <f>CUSTO_GLOBAL[[#This Row],[CUSTO TOTAL MENSAL]]*12</f>
        <v>7334580.8317729058</v>
      </c>
      <c r="CB30" s="24">
        <f>VLOOKUP($A30,tabCustoUnit[],COLUMN(CUSTO_GLOBAL[[#Headers],[ANO DA CCT]])-2,0)</f>
        <v>45658</v>
      </c>
      <c r="CC30" s="25" t="str">
        <f>VLOOKUP($A30,tabCustoUnit[],COLUMN(CUSTO_GLOBAL[[#Headers],[Nº DE PEDIDO DA CCT]])-2,0)</f>
        <v>-</v>
      </c>
      <c r="CD30" s="25" t="str">
        <f>VLOOKUP($A30,tabCustoUnit[],COLUMN(CUSTO_GLOBAL[[#Headers],[TERMO ADITIVO  ALTERAÇÃO DA CCT]])-2,0)</f>
        <v>-</v>
      </c>
      <c r="CF30" s="22"/>
      <c r="CG30" s="22"/>
    </row>
    <row r="31" spans="1:85" x14ac:dyDescent="0.25">
      <c r="A31" s="20" t="s">
        <v>1371</v>
      </c>
      <c r="B31" t="s">
        <v>31</v>
      </c>
      <c r="C31" t="s">
        <v>1245</v>
      </c>
      <c r="D31" t="s">
        <v>1033</v>
      </c>
      <c r="E31" s="20" t="s">
        <v>9</v>
      </c>
      <c r="F31" s="20" t="s">
        <v>33</v>
      </c>
      <c r="G31" s="20">
        <v>2</v>
      </c>
      <c r="H31" s="20">
        <v>0</v>
      </c>
      <c r="I31" s="21">
        <f>VLOOKUP($A31,tabCustoUnit[],COLUMN(CUSTO_GLOBAL[[#Headers],[Salário Base]])-2,0)*($G31-$H31)</f>
        <v>3298.24</v>
      </c>
      <c r="J31" s="21">
        <f>VLOOKUP($A31,tabCustoUnit[],COLUMN(CUSTO_GLOBAL[[#Headers],[Adicional Periculosidade]])-2,0)*($G31-$H31)</f>
        <v>0</v>
      </c>
      <c r="K31" s="21">
        <f>VLOOKUP($A31,tabCustoUnit[],COLUMN(CUSTO_GLOBAL[[#Headers],[Adicional Insalubridade]])-2,0)*($G31-$H31)</f>
        <v>0</v>
      </c>
      <c r="L31" s="21">
        <f>VLOOKUP($A31,tabCustoUnit[],COLUMN(CUSTO_GLOBAL[[#Headers],[Adicional Noturno]])-2,0)*($G31-$H31)</f>
        <v>0</v>
      </c>
      <c r="M31" s="21">
        <f>VLOOKUP($A31,tabCustoUnit[],COLUMN(CUSTO_GLOBAL[[#Headers],[Adicional Motorista II (Gratificação)]])-2,0)*($G31-$H31)</f>
        <v>0</v>
      </c>
      <c r="N31" s="21">
        <f>VLOOKUP($A31,tabCustoUnit[],COLUMN(CUSTO_GLOBAL[[#Headers],[Adicional de Sobreaviso]])-2,0)*($G31-$H31)</f>
        <v>0</v>
      </c>
      <c r="O31" s="21">
        <f>VLOOKUP($A31,tabCustoUnit[],COLUMN(CUSTO_GLOBAL[[#Headers],[Horas Extras TI]])-2,0)*($G31-$H31)</f>
        <v>0</v>
      </c>
      <c r="P31" s="21">
        <f>VLOOKUP($A31,tabCustoUnit[],COLUMN(CUSTO_GLOBAL[[#Headers],[Adicional de Acúmulo de função]])-2,0)*($G31-$H31)</f>
        <v>107.94240000000001</v>
      </c>
      <c r="Q31" s="21">
        <f>VLOOKUP($A31,tabCustoUnit[],COLUMN(CUSTO_GLOBAL[[#Headers],[MODULO 1 - REMUNERAÇÃO ]])-2,0)*($G31-$H31)</f>
        <v>3406.1823999999997</v>
      </c>
      <c r="R31" s="21">
        <f>VLOOKUP($A31,tabCustoUnit[],COLUMN(CUSTO_GLOBAL[[#Headers],[INSS]])-2,0)*($G31-$H31)</f>
        <v>681.23648000000003</v>
      </c>
      <c r="S31" s="21">
        <f>VLOOKUP($A31,tabCustoUnit[],COLUMN(CUSTO_GLOBAL[[#Headers],[SESI OU SESC]])-2,0)*($G31-$H31)</f>
        <v>51.092735999999995</v>
      </c>
      <c r="T31" s="21">
        <f>VLOOKUP($A31,tabCustoUnit[],COLUMN(CUSTO_GLOBAL[[#Headers],[SENAI OU SENAC]])-2,0)*($G31-$H31)</f>
        <v>34.061823999999994</v>
      </c>
      <c r="U31" s="21">
        <f>VLOOKUP($A31,tabCustoUnit[],COLUMN(CUSTO_GLOBAL[[#Headers],[INCRA]])-2,0)*($G31-$H31)</f>
        <v>6.8123647999999992</v>
      </c>
      <c r="V31" s="21">
        <f>VLOOKUP($A31,tabCustoUnit[],COLUMN(CUSTO_GLOBAL[[#Headers],[Salário Educação]])-2,0)*($G31-$H31)</f>
        <v>85.154560000000004</v>
      </c>
      <c r="W31" s="21">
        <f>VLOOKUP($A31,tabCustoUnit[],COLUMN(CUSTO_GLOBAL[[#Headers],[FGTS]])-2,0)*($G31-$H31)</f>
        <v>272.49459199999995</v>
      </c>
      <c r="X31" s="21">
        <f>VLOOKUP($A31,tabCustoUnit[],COLUMN(CUSTO_GLOBAL[[#Headers],[RAT Ajustado]])-2,0)*($G31-$H31)</f>
        <v>136.24729599999998</v>
      </c>
      <c r="Y31" s="21">
        <f>VLOOKUP($A31,tabCustoUnit[],COLUMN(CUSTO_GLOBAL[[#Headers],[SEBRAE]])-2,0)*($G31-$H31)</f>
        <v>20.437094399999999</v>
      </c>
      <c r="Z31" s="21">
        <f>VLOOKUP($A31,tabCustoUnit[],COLUMN(CUSTO_GLOBAL[[#Headers],[Submódulo 2.1]])-2,0)*($G31-$H31)</f>
        <v>1287.5369472</v>
      </c>
      <c r="AA31" s="21">
        <f>VLOOKUP($A31,tabCustoUnit[],COLUMN(CUSTO_GLOBAL[[#Headers],[13º salário (titular)]])-2,0)*($G31-$H31)</f>
        <v>283.84853333333331</v>
      </c>
      <c r="AB31" s="21">
        <f>VLOOKUP($A31,tabCustoUnit[],COLUMN(CUSTO_GLOBAL[[#Headers],[Férias e Adicional de Férias (titular)]])-2,0)*($G31-$H31)</f>
        <v>378.46471111111106</v>
      </c>
      <c r="AC31" s="21">
        <f>VLOOKUP($A31,tabCustoUnit[],COLUMN(CUSTO_GLOBAL[[#Headers],[Incidência do Submódulo 2.1 sobre 13º Salário, Férias e Adicional de Férias]])-2,0)*($G31-$H31)</f>
        <v>250.35440639999999</v>
      </c>
      <c r="AD31" s="21">
        <f>VLOOKUP($A31,tabCustoUnit[],COLUMN(CUSTO_GLOBAL[[#Headers],[Submódulo 2.2]])-2,0)*($G31-$H31)</f>
        <v>912.66765084444432</v>
      </c>
      <c r="AE31" s="22">
        <f>VLOOKUP($A31,tabCustoUnit[],COLUMN(CUSTO_GLOBAL[[#Headers],[Vale - Transporte (Descontada parcela do empregado)]])-2,0)*($G31-$H31)</f>
        <v>702.10559999999998</v>
      </c>
      <c r="AF31" s="22">
        <f>VLOOKUP($A31,tabCustoUnit[],COLUMN(CUSTO_GLOBAL[[#Headers],[Vale - Alimentação (Descontada parcela do empregado)]])-2,0)*($G31-$H31)</f>
        <v>1164</v>
      </c>
      <c r="AG31" s="22">
        <f>VLOOKUP($A31,tabCustoUnit[],COLUMN(CUSTO_GLOBAL[[#Headers],[Cesta Básica]])-2,0)*($G31-$H31)</f>
        <v>0</v>
      </c>
      <c r="AH31" s="22">
        <f>VLOOKUP($A31,tabCustoUnit[],COLUMN(CUSTO_GLOBAL[[#Headers],[PAF]])-2,0)*($G31-$H31)</f>
        <v>191.8</v>
      </c>
      <c r="AI31" s="22">
        <f>VLOOKUP($A31,tabCustoUnit[],COLUMN(CUSTO_GLOBAL[[#Headers],[PQM]])-2,0)*($G31-$H31)</f>
        <v>0</v>
      </c>
      <c r="AJ31" s="22">
        <v>0</v>
      </c>
      <c r="AK31" s="22">
        <f>VLOOKUP($A31,tabCustoUnit[],COLUMN(CUSTO_GLOBAL[[#Headers],[Seguro de Vida]])-2,0)*($G31-$H31)</f>
        <v>6.72</v>
      </c>
      <c r="AL31" s="22">
        <f>VLOOKUP($A31,tabCustoUnit[],COLUMN(CUSTO_GLOBAL[[#Headers],[Despesas de Viagem]])-2,0)*($G31-$H31)</f>
        <v>20.38</v>
      </c>
      <c r="AM31" s="22">
        <f>VLOOKUP($A31,tabCustoUnit[],COLUMN(CUSTO_GLOBAL[[#Headers],[Submódulo 2.3]])-2,0)*($G31-$H31)</f>
        <v>2085.0056</v>
      </c>
      <c r="AN31" s="22">
        <f>VLOOKUP($A31,tabCustoUnit[],COLUMN(CUSTO_GLOBAL[[#Headers],[MÓDULO 2 - Total Encargos e Benefícios mensais e diários]])-2,0)*($G31-$H31)</f>
        <v>4285.210198044444</v>
      </c>
      <c r="AO31" s="22">
        <f>VLOOKUP($A31,tabCustoUnit[],COLUMN(CUSTO_GLOBAL[[#Headers],[Aviso Prévio Indenizado (API) e Reflexo do Aviso Prévio Indenizado]])-2,0)*($G31-$H31)</f>
        <v>23.883357264197528</v>
      </c>
      <c r="AP31" s="22">
        <f>VLOOKUP($A31,tabCustoUnit[],COLUMN(CUSTO_GLOBAL[[#Headers],[Incidência do FGTS sobre API e Reflexo do API]])-2,0)*($G31-$H31)</f>
        <v>1.9106685811358024</v>
      </c>
      <c r="AQ31" s="22">
        <f>VLOOKUP($A31,tabCustoUnit[],COLUMN(CUSTO_GLOBAL[[#Headers],[Multa Rescisória do FGTS sobre o Aviso Prévio Indenizado]])-2,0)*($G31-$H31)</f>
        <v>0.76426743245432105</v>
      </c>
      <c r="AR31" s="22">
        <f>VLOOKUP($A31,tabCustoUnit[],COLUMN(CUSTO_GLOBAL[[#Headers],[Aviso Prévio Trabalhado - APT]])-2,0)*($G31-$H31)</f>
        <v>11.921638400000001</v>
      </c>
      <c r="AS31" s="22">
        <f>VLOOKUP($A31,tabCustoUnit[],COLUMN(CUSTO_GLOBAL[[#Headers],[Incidência dos encargos do submódulo 2.1 sobre Aviso Prévio Trabalhado]])-2,0)*($G31-$H31)</f>
        <v>4.5063793152000011</v>
      </c>
      <c r="AT31" s="22">
        <f>VLOOKUP($A31,tabCustoUnit[],COLUMN(CUSTO_GLOBAL[[#Headers],[Multa Rescisória do FGTS]])-2,0)*($G31-$H31)</f>
        <v>104.15348849777776</v>
      </c>
      <c r="AU31" s="22">
        <f>VLOOKUP($A31,tabCustoUnit[],COLUMN(CUSTO_GLOBAL[[#Headers],[Indenização Adicional (Art. 9º da Lei nº 7.238/84)]])-2,0)*($G31-$H31)</f>
        <v>2.8384853333333333</v>
      </c>
      <c r="AV31" s="22">
        <f>VLOOKUP($A31,tabCustoUnit[],COLUMN(CUSTO_GLOBAL[[#Headers],[MÓDULO 3 – PROVISÃO PARA RESCISÃO]])-2,0)*($G31-$H31)</f>
        <v>149.97828482409875</v>
      </c>
      <c r="AW31" s="22">
        <f>VLOOKUP($A31,tabCustoUnit[],COLUMN(CUSTO_GLOBAL[[#Headers],[Ausência por Doença]])-2,0)*($G31-$H31)</f>
        <v>28.763318044444439</v>
      </c>
      <c r="AX31" s="22">
        <f>VLOOKUP($A31,tabCustoUnit[],COLUMN(CUSTO_GLOBAL[[#Headers],[Ausências Legais]])-2,0)*($G31-$H31)</f>
        <v>6.9069809777777769</v>
      </c>
      <c r="AY31" s="22">
        <f>VLOOKUP($A31,tabCustoUnit[],COLUMN(CUSTO_GLOBAL[[#Headers],[Licença Paternidade]])-2,0)*($G31-$H31)</f>
        <v>0.58188949333333329</v>
      </c>
      <c r="AZ31" s="22">
        <f>VLOOKUP($A31,tabCustoUnit[],COLUMN(CUSTO_GLOBAL[[#Headers],[Ausência por Acidente de Trabalho]])-2,0)*($G31-$H31)</f>
        <v>0.70962133333333333</v>
      </c>
      <c r="BA31" s="22">
        <f>VLOOKUP($A31,tabCustoUnit[],COLUMN(CUSTO_GLOBAL[[#Headers],[Férias, Adicional de Férias e 13º  com empregada em gozo de Licença Maternidade]])-2,0)*($G31-$H31)</f>
        <v>4.4154216296296287</v>
      </c>
      <c r="BB31" s="22">
        <f>VLOOKUP($A31,tabCustoUnit[],COLUMN(CUSTO_GLOBAL[[#Headers],[Incidência do Submódulo 2.1 sobre Ausências Legais]])-2,0)*($G31-$H31)</f>
        <v>15.640593498880001</v>
      </c>
      <c r="BC31" s="22">
        <f>VLOOKUP($A31,tabCustoUnit[],COLUMN(CUSTO_GLOBAL[[#Headers],[Submódulo 4.1]])-2,0)*($G31-$H31)</f>
        <v>57.017824977398512</v>
      </c>
      <c r="BD31" s="22">
        <f>VLOOKUP($A31,tabCustoUnit[],COLUMN(CUSTO_GLOBAL[[#Headers],[Intervalo para Repouso ou Alimentação]])-2,0)*($G31-$H31)</f>
        <v>0</v>
      </c>
      <c r="BE31" s="22">
        <f>VLOOKUP($A31,tabCustoUnit[],COLUMN(CUSTO_GLOBAL[[#Headers],[Submódulo 4.2]])-2,0)*($G31-$H31)</f>
        <v>0</v>
      </c>
      <c r="BF31" s="22">
        <f>VLOOKUP($A31,tabCustoUnit[],COLUMN(CUSTO_GLOBAL[[#Headers],[Suspensão Temporária do Contrato de Trabalho]])-2,0)*($G31-$H31)</f>
        <v>0</v>
      </c>
      <c r="BG31" s="22">
        <f>VLOOKUP($A31,tabCustoUnit[],COLUMN(CUSTO_GLOBAL[[#Headers],[Submódulo 4.3]])-2,0)*($G31-$H31)</f>
        <v>0</v>
      </c>
      <c r="BH31" s="22">
        <f>VLOOKUP($A31,tabCustoUnit[],COLUMN(CUSTO_GLOBAL[[#Headers],[MÓDULO 4 – CUSTO DE REPOSIÇÃO DO PROFISSIONAL AUSENTE]])-2,0)*($G31-$H31)</f>
        <v>57.017824977398512</v>
      </c>
      <c r="BI31" s="22">
        <f>VLOOKUP($A31,tabCustoUnit[],COLUMN(CUSTO_GLOBAL[[#Headers],[Uniformes e EPIs]])-2,0)*($G31-$H31)</f>
        <v>201.61833333333331</v>
      </c>
      <c r="BJ31" s="22">
        <f>VLOOKUP($A31,tabCustoUnit[],COLUMN(CUSTO_GLOBAL[[#Headers],[Materiais de Consumo]])-2,0)*($G31-$H31)</f>
        <v>71.036425917167776</v>
      </c>
      <c r="BK31" s="22">
        <f>VLOOKUP($A31,tabCustoUnit[],COLUMN(CUSTO_GLOBAL[[#Headers],[Máquinas e Equipamentos (depreciação)]])-2,0)*($G31-$H31)</f>
        <v>129.05878782965115</v>
      </c>
      <c r="BL31" s="22">
        <f>VLOOKUP($A31,tabCustoUnit[],COLUMN(CUSTO_GLOBAL[[#Headers],[Produtos de Limpeza e Materiais de Higiene Pessoal]])-2,0)*($G31-$H31)</f>
        <v>1380.5430655586331</v>
      </c>
      <c r="BM31" s="22">
        <f>VLOOKUP($A31,tabCustoUnit[],COLUMN(CUSTO_GLOBAL[[#Headers],[Outros (especificar)]])-2,0)*($G31-$H31)</f>
        <v>0</v>
      </c>
      <c r="BN31" s="22">
        <f>VLOOKUP($A31,tabCustoUnit[],COLUMN(CUSTO_GLOBAL[[#Headers],[MÓDULO 5 – INSUMOS DIVERSOS]])-2,0)*($G31-$H31)</f>
        <v>1782.2566126387853</v>
      </c>
      <c r="BO31" s="22">
        <f>VLOOKUP($A31,tabCustoUnit[],COLUMN(CUSTO_GLOBAL[[#Headers],[TOTAL MÓDULOS 1+2+3+4+5]])-2,0)*($G31-$H31)</f>
        <v>9680.6453204847257</v>
      </c>
      <c r="BP31" s="22">
        <f>VLOOKUP($A31,tabCustoUnit[],COLUMN(CUSTO_GLOBAL[[#Headers],[Custos Indiretos]])-2,0)*($G31-$H31)</f>
        <v>379.29760280485226</v>
      </c>
      <c r="BQ31" s="22">
        <f>VLOOKUP($A31,tabCustoUnit[],COLUMN(CUSTO_GLOBAL[[#Headers],[Lucro]])-2,0)*($G31-$H31)</f>
        <v>318.60998635607592</v>
      </c>
      <c r="BR31" s="26">
        <f>VLOOKUP($A31,tabCustoUnit[],COLUMN(CUSTO_GLOBAL[[#Headers],[COFINS]])-2,0)</f>
        <v>8.8629737609329504E-2</v>
      </c>
      <c r="BS31" s="26">
        <f>VLOOKUP($A31,tabCustoUnit[],COLUMN(CUSTO_GLOBAL[[#Headers],[PIS]])-2,0)</f>
        <v>1.9241982507288629E-2</v>
      </c>
      <c r="BT31" s="28">
        <f>VLOOKUP($A31,tabCustoUnit[],COLUMN(CUSTO_GLOBAL[[#Headers],[ISS]])-2,0)</f>
        <v>0.05</v>
      </c>
      <c r="BU31" s="26">
        <f>VLOOKUP($A31,tabCustoUnit[],COLUMN(CUSTO_GLOBAL[[#Headers],[ISS (Conversão Alíquota s/ fatura)]])-2,0)</f>
        <v>5.8309037900874633E-2</v>
      </c>
      <c r="BV31" s="26">
        <f>VLOOKUP($A31,tabCustoUnit[],COLUMN(CUSTO_GLOBAL[[#Headers],[Resumo de Alíquotas (PIS+CONFINS+ISS)]])-2,0)</f>
        <v>0.14250000000000002</v>
      </c>
      <c r="BW31" s="138">
        <f>VLOOKUP($A31,tabCustoUnit[],COLUMN(CUSTO_GLOBAL[[#Headers],[PIS + COFINS + ISS (Total Conversão  Alíquota s/ Fatura)]])-2,0)</f>
        <v>0.16618075801749277</v>
      </c>
      <c r="BX31" s="22">
        <f>VLOOKUP($A31,tabCustoUnit[],COLUMN(CUSTO_GLOBAL[[#Headers],[Valor dos Tributos (ISS, PIS, CONFINS)]])-2,0)*($G31-$H31)</f>
        <v>1724.7157896495698</v>
      </c>
      <c r="BY31" s="22">
        <f>VLOOKUP($A31,tabCustoUnit[],COLUMN(CUSTO_GLOBAL[[#Headers],[MÓDULO 6 – CUSTOS INDIRETOS, TRIBUTOS E LUCRO]])-2,0)*($G31-$H31)</f>
        <v>2422.6233788104983</v>
      </c>
      <c r="BZ31" s="22">
        <f>VLOOKUP($A31,tabCustoUnit[],COLUMN(CUSTO_GLOBAL[[#Headers],[CUSTO TOTAL MENSAL]])-2,0)*($G31-$H31)</f>
        <v>12103.268699295224</v>
      </c>
      <c r="CA31" s="22">
        <f>CUSTO_GLOBAL[[#This Row],[CUSTO TOTAL MENSAL]]*12</f>
        <v>145239.2243915427</v>
      </c>
      <c r="CB31" s="24">
        <f>VLOOKUP($A31,tabCustoUnit[],COLUMN(CUSTO_GLOBAL[[#Headers],[ANO DA CCT]])-2,0)</f>
        <v>45658</v>
      </c>
      <c r="CC31" s="25" t="str">
        <f>VLOOKUP($A31,tabCustoUnit[],COLUMN(CUSTO_GLOBAL[[#Headers],[Nº DE PEDIDO DA CCT]])-2,0)</f>
        <v>-</v>
      </c>
      <c r="CD31" s="25" t="str">
        <f>VLOOKUP($A31,tabCustoUnit[],COLUMN(CUSTO_GLOBAL[[#Headers],[TERMO ADITIVO  ALTERAÇÃO DA CCT]])-2,0)</f>
        <v>-</v>
      </c>
      <c r="CF31" s="22"/>
      <c r="CG31" s="22"/>
    </row>
    <row r="32" spans="1:85" x14ac:dyDescent="0.25">
      <c r="A32" s="20" t="s">
        <v>1372</v>
      </c>
      <c r="B32" t="s">
        <v>31</v>
      </c>
      <c r="C32" t="s">
        <v>32</v>
      </c>
      <c r="D32" t="s">
        <v>1033</v>
      </c>
      <c r="E32" s="20" t="s">
        <v>9</v>
      </c>
      <c r="F32" s="20" t="s">
        <v>10</v>
      </c>
      <c r="G32" s="20">
        <v>4</v>
      </c>
      <c r="H32" s="20">
        <v>0</v>
      </c>
      <c r="I32" s="21">
        <f>VLOOKUP($A32,tabCustoUnit[],COLUMN(CUSTO_GLOBAL[[#Headers],[Salário Base]])-2,0)*($G32-$H32)</f>
        <v>7223.76</v>
      </c>
      <c r="J32" s="21">
        <f>VLOOKUP($A32,tabCustoUnit[],COLUMN(CUSTO_GLOBAL[[#Headers],[Adicional Periculosidade]])-2,0)*($G32-$H32)</f>
        <v>0</v>
      </c>
      <c r="K32" s="21">
        <f>VLOOKUP($A32,tabCustoUnit[],COLUMN(CUSTO_GLOBAL[[#Headers],[Adicional Insalubridade]])-2,0)*($G32-$H32)</f>
        <v>0</v>
      </c>
      <c r="L32" s="21">
        <f>VLOOKUP($A32,tabCustoUnit[],COLUMN(CUSTO_GLOBAL[[#Headers],[Adicional Noturno]])-2,0)*($G32-$H32)</f>
        <v>0</v>
      </c>
      <c r="M32" s="21">
        <f>VLOOKUP($A32,tabCustoUnit[],COLUMN(CUSTO_GLOBAL[[#Headers],[Adicional Motorista II (Gratificação)]])-2,0)*($G32-$H32)</f>
        <v>0</v>
      </c>
      <c r="N32" s="21">
        <f>VLOOKUP($A32,tabCustoUnit[],COLUMN(CUSTO_GLOBAL[[#Headers],[Adicional de Sobreaviso]])-2,0)*($G32-$H32)</f>
        <v>0</v>
      </c>
      <c r="O32" s="21">
        <f>VLOOKUP($A32,tabCustoUnit[],COLUMN(CUSTO_GLOBAL[[#Headers],[Horas Extras TI]])-2,0)*($G32-$H32)</f>
        <v>0</v>
      </c>
      <c r="P32" s="21">
        <f>VLOOKUP($A32,tabCustoUnit[],COLUMN(CUSTO_GLOBAL[[#Headers],[Adicional de Acúmulo de função]])-2,0)*($G32-$H32)</f>
        <v>0</v>
      </c>
      <c r="Q32" s="21">
        <f>VLOOKUP($A32,tabCustoUnit[],COLUMN(CUSTO_GLOBAL[[#Headers],[MODULO 1 - REMUNERAÇÃO ]])-2,0)*($G32-$H32)</f>
        <v>7223.76</v>
      </c>
      <c r="R32" s="21">
        <f>VLOOKUP($A32,tabCustoUnit[],COLUMN(CUSTO_GLOBAL[[#Headers],[INSS]])-2,0)*($G32-$H32)</f>
        <v>1444.7520000000002</v>
      </c>
      <c r="S32" s="21">
        <f>VLOOKUP($A32,tabCustoUnit[],COLUMN(CUSTO_GLOBAL[[#Headers],[SESI OU SESC]])-2,0)*($G32-$H32)</f>
        <v>108.35639999999999</v>
      </c>
      <c r="T32" s="21">
        <f>VLOOKUP($A32,tabCustoUnit[],COLUMN(CUSTO_GLOBAL[[#Headers],[SENAI OU SENAC]])-2,0)*($G32-$H32)</f>
        <v>72.2376</v>
      </c>
      <c r="U32" s="21">
        <f>VLOOKUP($A32,tabCustoUnit[],COLUMN(CUSTO_GLOBAL[[#Headers],[INCRA]])-2,0)*($G32-$H32)</f>
        <v>14.447520000000001</v>
      </c>
      <c r="V32" s="21">
        <f>VLOOKUP($A32,tabCustoUnit[],COLUMN(CUSTO_GLOBAL[[#Headers],[Salário Educação]])-2,0)*($G32-$H32)</f>
        <v>180.59400000000002</v>
      </c>
      <c r="W32" s="21">
        <f>VLOOKUP($A32,tabCustoUnit[],COLUMN(CUSTO_GLOBAL[[#Headers],[FGTS]])-2,0)*($G32-$H32)</f>
        <v>577.9008</v>
      </c>
      <c r="X32" s="21">
        <f>VLOOKUP($A32,tabCustoUnit[],COLUMN(CUSTO_GLOBAL[[#Headers],[RAT Ajustado]])-2,0)*($G32-$H32)</f>
        <v>288.9504</v>
      </c>
      <c r="Y32" s="21">
        <f>VLOOKUP($A32,tabCustoUnit[],COLUMN(CUSTO_GLOBAL[[#Headers],[SEBRAE]])-2,0)*($G32-$H32)</f>
        <v>43.342559999999999</v>
      </c>
      <c r="Z32" s="21">
        <f>VLOOKUP($A32,tabCustoUnit[],COLUMN(CUSTO_GLOBAL[[#Headers],[Submódulo 2.1]])-2,0)*($G32-$H32)</f>
        <v>2730.5812800000003</v>
      </c>
      <c r="AA32" s="21">
        <f>VLOOKUP($A32,tabCustoUnit[],COLUMN(CUSTO_GLOBAL[[#Headers],[13º salário (titular)]])-2,0)*($G32-$H32)</f>
        <v>601.98</v>
      </c>
      <c r="AB32" s="21">
        <f>VLOOKUP($A32,tabCustoUnit[],COLUMN(CUSTO_GLOBAL[[#Headers],[Férias e Adicional de Férias (titular)]])-2,0)*($G32-$H32)</f>
        <v>802.64</v>
      </c>
      <c r="AC32" s="21">
        <f>VLOOKUP($A32,tabCustoUnit[],COLUMN(CUSTO_GLOBAL[[#Headers],[Incidência do Submódulo 2.1 sobre 13º Salário, Férias e Adicional de Férias]])-2,0)*($G32-$H32)</f>
        <v>530.94636000000003</v>
      </c>
      <c r="AD32" s="21">
        <f>VLOOKUP($A32,tabCustoUnit[],COLUMN(CUSTO_GLOBAL[[#Headers],[Submódulo 2.2]])-2,0)*($G32-$H32)</f>
        <v>1935.5663599999998</v>
      </c>
      <c r="AE32" s="22">
        <f>VLOOKUP($A32,tabCustoUnit[],COLUMN(CUSTO_GLOBAL[[#Headers],[Vale - Transporte (Descontada parcela do empregado)]])-2,0)*($G32-$H32)</f>
        <v>1366.5744</v>
      </c>
      <c r="AF32" s="22">
        <f>VLOOKUP($A32,tabCustoUnit[],COLUMN(CUSTO_GLOBAL[[#Headers],[Vale - Alimentação (Descontada parcela do empregado)]])-2,0)*($G32-$H32)</f>
        <v>2328</v>
      </c>
      <c r="AG32" s="22">
        <f>VLOOKUP($A32,tabCustoUnit[],COLUMN(CUSTO_GLOBAL[[#Headers],[Cesta Básica]])-2,0)*($G32-$H32)</f>
        <v>0</v>
      </c>
      <c r="AH32" s="22">
        <f>VLOOKUP($A32,tabCustoUnit[],COLUMN(CUSTO_GLOBAL[[#Headers],[PAF]])-2,0)*($G32-$H32)</f>
        <v>383.6</v>
      </c>
      <c r="AI32" s="22">
        <f>VLOOKUP($A32,tabCustoUnit[],COLUMN(CUSTO_GLOBAL[[#Headers],[PQM]])-2,0)*($G32-$H32)</f>
        <v>0</v>
      </c>
      <c r="AJ32" s="22">
        <v>0</v>
      </c>
      <c r="AK32" s="22">
        <f>VLOOKUP($A32,tabCustoUnit[],COLUMN(CUSTO_GLOBAL[[#Headers],[Seguro de Vida]])-2,0)*($G32-$H32)</f>
        <v>13.44</v>
      </c>
      <c r="AL32" s="22">
        <f>VLOOKUP($A32,tabCustoUnit[],COLUMN(CUSTO_GLOBAL[[#Headers],[Despesas de Viagem]])-2,0)*($G32-$H32)</f>
        <v>40.76</v>
      </c>
      <c r="AM32" s="22">
        <f>VLOOKUP($A32,tabCustoUnit[],COLUMN(CUSTO_GLOBAL[[#Headers],[Submódulo 2.3]])-2,0)*($G32-$H32)</f>
        <v>4132.3743999999997</v>
      </c>
      <c r="AN32" s="22">
        <f>VLOOKUP($A32,tabCustoUnit[],COLUMN(CUSTO_GLOBAL[[#Headers],[MÓDULO 2 - Total Encargos e Benefícios mensais e diários]])-2,0)*($G32-$H32)</f>
        <v>8798.5220399999998</v>
      </c>
      <c r="AO32" s="22">
        <f>VLOOKUP($A32,tabCustoUnit[],COLUMN(CUSTO_GLOBAL[[#Headers],[Aviso Prévio Indenizado (API) e Reflexo do Aviso Prévio Indenizado]])-2,0)*($G32-$H32)</f>
        <v>50.651321805555554</v>
      </c>
      <c r="AP32" s="22">
        <f>VLOOKUP($A32,tabCustoUnit[],COLUMN(CUSTO_GLOBAL[[#Headers],[Incidência do FGTS sobre API e Reflexo do API]])-2,0)*($G32-$H32)</f>
        <v>4.0521057444444448</v>
      </c>
      <c r="AQ32" s="22">
        <f>VLOOKUP($A32,tabCustoUnit[],COLUMN(CUSTO_GLOBAL[[#Headers],[Multa Rescisória do FGTS sobre o Aviso Prévio Indenizado]])-2,0)*($G32-$H32)</f>
        <v>1.6208422977777781</v>
      </c>
      <c r="AR32" s="22">
        <f>VLOOKUP($A32,tabCustoUnit[],COLUMN(CUSTO_GLOBAL[[#Headers],[Aviso Prévio Trabalhado - APT]])-2,0)*($G32-$H32)</f>
        <v>25.283160000000006</v>
      </c>
      <c r="AS32" s="22">
        <f>VLOOKUP($A32,tabCustoUnit[],COLUMN(CUSTO_GLOBAL[[#Headers],[Incidência dos encargos do submódulo 2.1 sobre Aviso Prévio Trabalhado]])-2,0)*($G32-$H32)</f>
        <v>9.557034480000004</v>
      </c>
      <c r="AT32" s="22">
        <f>VLOOKUP($A32,tabCustoUnit[],COLUMN(CUSTO_GLOBAL[[#Headers],[Multa Rescisória do FGTS]])-2,0)*($G32-$H32)</f>
        <v>220.88652799999997</v>
      </c>
      <c r="AU32" s="22">
        <f>VLOOKUP($A32,tabCustoUnit[],COLUMN(CUSTO_GLOBAL[[#Headers],[Indenização Adicional (Art. 9º da Lei nº 7.238/84)]])-2,0)*($G32-$H32)</f>
        <v>6.0198000000000009</v>
      </c>
      <c r="AV32" s="22">
        <f>VLOOKUP($A32,tabCustoUnit[],COLUMN(CUSTO_GLOBAL[[#Headers],[MÓDULO 3 – PROVISÃO PARA RESCISÃO]])-2,0)*($G32-$H32)</f>
        <v>318.07079232777772</v>
      </c>
      <c r="AW32" s="22">
        <f>VLOOKUP($A32,tabCustoUnit[],COLUMN(CUSTO_GLOBAL[[#Headers],[Ausência por Doença]])-2,0)*($G32-$H32)</f>
        <v>61.000639999999997</v>
      </c>
      <c r="AX32" s="22">
        <f>VLOOKUP($A32,tabCustoUnit[],COLUMN(CUSTO_GLOBAL[[#Headers],[Ausências Legais]])-2,0)*($G32-$H32)</f>
        <v>14.64818</v>
      </c>
      <c r="AY32" s="22">
        <f>VLOOKUP($A32,tabCustoUnit[],COLUMN(CUSTO_GLOBAL[[#Headers],[Licença Paternidade]])-2,0)*($G32-$H32)</f>
        <v>1.234059</v>
      </c>
      <c r="AZ32" s="22">
        <f>VLOOKUP($A32,tabCustoUnit[],COLUMN(CUSTO_GLOBAL[[#Headers],[Ausência por Acidente de Trabalho]])-2,0)*($G32-$H32)</f>
        <v>1.5049500000000002</v>
      </c>
      <c r="BA32" s="22">
        <f>VLOOKUP($A32,tabCustoUnit[],COLUMN(CUSTO_GLOBAL[[#Headers],[Férias, Adicional de Férias e 13º  com empregada em gozo de Licença Maternidade]])-2,0)*($G32-$H32)</f>
        <v>9.3641333333333332</v>
      </c>
      <c r="BB32" s="22">
        <f>VLOOKUP($A32,tabCustoUnit[],COLUMN(CUSTO_GLOBAL[[#Headers],[Incidência do Submódulo 2.1 sobre Ausências Legais]])-2,0)*($G32-$H32)</f>
        <v>33.170241762000003</v>
      </c>
      <c r="BC32" s="22">
        <f>VLOOKUP($A32,tabCustoUnit[],COLUMN(CUSTO_GLOBAL[[#Headers],[Submódulo 4.1]])-2,0)*($G32-$H32)</f>
        <v>120.92220409533333</v>
      </c>
      <c r="BD32" s="22">
        <f>VLOOKUP($A32,tabCustoUnit[],COLUMN(CUSTO_GLOBAL[[#Headers],[Intervalo para Repouso ou Alimentação]])-2,0)*($G32-$H32)</f>
        <v>0</v>
      </c>
      <c r="BE32" s="22">
        <f>VLOOKUP($A32,tabCustoUnit[],COLUMN(CUSTO_GLOBAL[[#Headers],[Submódulo 4.2]])-2,0)*($G32-$H32)</f>
        <v>0</v>
      </c>
      <c r="BF32" s="22">
        <f>VLOOKUP($A32,tabCustoUnit[],COLUMN(CUSTO_GLOBAL[[#Headers],[Suspensão Temporária do Contrato de Trabalho]])-2,0)*($G32-$H32)</f>
        <v>0</v>
      </c>
      <c r="BG32" s="22">
        <f>VLOOKUP($A32,tabCustoUnit[],COLUMN(CUSTO_GLOBAL[[#Headers],[Submódulo 4.3]])-2,0)*($G32-$H32)</f>
        <v>0</v>
      </c>
      <c r="BH32" s="22">
        <f>VLOOKUP($A32,tabCustoUnit[],COLUMN(CUSTO_GLOBAL[[#Headers],[MÓDULO 4 – CUSTO DE REPOSIÇÃO DO PROFISSIONAL AUSENTE]])-2,0)*($G32-$H32)</f>
        <v>120.92220409533333</v>
      </c>
      <c r="BI32" s="22">
        <f>VLOOKUP($A32,tabCustoUnit[],COLUMN(CUSTO_GLOBAL[[#Headers],[Uniformes e EPIs]])-2,0)*($G32-$H32)</f>
        <v>457.61000000000007</v>
      </c>
      <c r="BJ32" s="22">
        <f>VLOOKUP($A32,tabCustoUnit[],COLUMN(CUSTO_GLOBAL[[#Headers],[Materiais de Consumo]])-2,0)*($G32-$H32)</f>
        <v>0</v>
      </c>
      <c r="BK32" s="22">
        <f>VLOOKUP($A32,tabCustoUnit[],COLUMN(CUSTO_GLOBAL[[#Headers],[Máquinas e Equipamentos (depreciação)]])-2,0)*($G32-$H32)</f>
        <v>24.886666666666667</v>
      </c>
      <c r="BL32" s="22">
        <f>VLOOKUP($A32,tabCustoUnit[],COLUMN(CUSTO_GLOBAL[[#Headers],[Produtos de Limpeza e Materiais de Higiene Pessoal]])-2,0)*($G32-$H32)</f>
        <v>0</v>
      </c>
      <c r="BM32" s="22">
        <f>VLOOKUP($A32,tabCustoUnit[],COLUMN(CUSTO_GLOBAL[[#Headers],[Outros (especificar)]])-2,0)*($G32-$H32)</f>
        <v>0</v>
      </c>
      <c r="BN32" s="22">
        <f>VLOOKUP($A32,tabCustoUnit[],COLUMN(CUSTO_GLOBAL[[#Headers],[MÓDULO 5 – INSUMOS DIVERSOS]])-2,0)*($G32-$H32)</f>
        <v>482.49666666666673</v>
      </c>
      <c r="BO32" s="22">
        <f>VLOOKUP($A32,tabCustoUnit[],COLUMN(CUSTO_GLOBAL[[#Headers],[TOTAL MÓDULOS 1+2+3+4+5]])-2,0)*($G32-$H32)</f>
        <v>16943.771703089777</v>
      </c>
      <c r="BP32" s="22">
        <f>VLOOKUP($A32,tabCustoUnit[],COLUMN(CUSTO_GLOBAL[[#Headers],[Custos Indiretos]])-2,0)*($G32-$H32)</f>
        <v>758.59520560970452</v>
      </c>
      <c r="BQ32" s="22">
        <f>VLOOKUP($A32,tabCustoUnit[],COLUMN(CUSTO_GLOBAL[[#Headers],[Lucro]])-2,0)*($G32-$H32)</f>
        <v>637.21997271215184</v>
      </c>
      <c r="BR32" s="26">
        <f>VLOOKUP($A32,tabCustoUnit[],COLUMN(CUSTO_GLOBAL[[#Headers],[COFINS]])-2,0)</f>
        <v>8.8629737609329504E-2</v>
      </c>
      <c r="BS32" s="26">
        <f>VLOOKUP($A32,tabCustoUnit[],COLUMN(CUSTO_GLOBAL[[#Headers],[PIS]])-2,0)</f>
        <v>1.9241982507288629E-2</v>
      </c>
      <c r="BT32" s="28">
        <f>VLOOKUP($A32,tabCustoUnit[],COLUMN(CUSTO_GLOBAL[[#Headers],[ISS]])-2,0)</f>
        <v>0.05</v>
      </c>
      <c r="BU32" s="26">
        <f>VLOOKUP($A32,tabCustoUnit[],COLUMN(CUSTO_GLOBAL[[#Headers],[ISS (Conversão Alíquota s/ fatura)]])-2,0)</f>
        <v>5.8309037900874633E-2</v>
      </c>
      <c r="BV32" s="26">
        <f>VLOOKUP($A32,tabCustoUnit[],COLUMN(CUSTO_GLOBAL[[#Headers],[Resumo de Alíquotas (PIS+CONFINS+ISS)]])-2,0)</f>
        <v>0.14250000000000002</v>
      </c>
      <c r="BW32" s="138">
        <f>VLOOKUP($A32,tabCustoUnit[],COLUMN(CUSTO_GLOBAL[[#Headers],[PIS + COFINS + ISS (Total Conversão  Alíquota s/ Fatura)]])-2,0)</f>
        <v>0.16618075801749277</v>
      </c>
      <c r="BX32" s="22">
        <f>VLOOKUP($A32,tabCustoUnit[],COLUMN(CUSTO_GLOBAL[[#Headers],[Valor dos Tributos (ISS, PIS, CONFINS)]])-2,0)*($G32-$H32)</f>
        <v>3047.6864496806515</v>
      </c>
      <c r="BY32" s="22">
        <f>VLOOKUP($A32,tabCustoUnit[],COLUMN(CUSTO_GLOBAL[[#Headers],[MÓDULO 6 – CUSTOS INDIRETOS, TRIBUTOS E LUCRO]])-2,0)*($G32-$H32)</f>
        <v>4443.5016280025084</v>
      </c>
      <c r="BZ32" s="22">
        <f>VLOOKUP($A32,tabCustoUnit[],COLUMN(CUSTO_GLOBAL[[#Headers],[CUSTO TOTAL MENSAL]])-2,0)*($G32-$H32)</f>
        <v>21387.273331092285</v>
      </c>
      <c r="CA32" s="22">
        <f>CUSTO_GLOBAL[[#This Row],[CUSTO TOTAL MENSAL]]*12</f>
        <v>256647.27997310742</v>
      </c>
      <c r="CB32" s="24">
        <f>VLOOKUP($A32,tabCustoUnit[],COLUMN(CUSTO_GLOBAL[[#Headers],[ANO DA CCT]])-2,0)</f>
        <v>45658</v>
      </c>
      <c r="CC32" s="25" t="str">
        <f>VLOOKUP($A32,tabCustoUnit[],COLUMN(CUSTO_GLOBAL[[#Headers],[Nº DE PEDIDO DA CCT]])-2,0)</f>
        <v>-</v>
      </c>
      <c r="CD32" s="25" t="str">
        <f>VLOOKUP($A32,tabCustoUnit[],COLUMN(CUSTO_GLOBAL[[#Headers],[TERMO ADITIVO  ALTERAÇÃO DA CCT]])-2,0)</f>
        <v>-</v>
      </c>
      <c r="CF32" s="22"/>
      <c r="CG32" s="22"/>
    </row>
    <row r="33" spans="1:85" x14ac:dyDescent="0.25">
      <c r="A33" s="20" t="s">
        <v>1373</v>
      </c>
      <c r="B33" t="s">
        <v>34</v>
      </c>
      <c r="C33" t="s">
        <v>1244</v>
      </c>
      <c r="D33" t="s">
        <v>1045</v>
      </c>
      <c r="E33" s="20" t="s">
        <v>9</v>
      </c>
      <c r="F33" s="20" t="s">
        <v>10</v>
      </c>
      <c r="G33" s="20">
        <v>1</v>
      </c>
      <c r="H33" s="20">
        <v>0</v>
      </c>
      <c r="I33" s="21">
        <f>VLOOKUP($A33,tabCustoUnit[],COLUMN(CUSTO_GLOBAL[[#Headers],[Salário Base]])-2,0)*($G33-$H33)</f>
        <v>824.56</v>
      </c>
      <c r="J33" s="21">
        <f>VLOOKUP($A33,tabCustoUnit[],COLUMN(CUSTO_GLOBAL[[#Headers],[Adicional Periculosidade]])-2,0)*($G33-$H33)</f>
        <v>0</v>
      </c>
      <c r="K33" s="21">
        <f>VLOOKUP($A33,tabCustoUnit[],COLUMN(CUSTO_GLOBAL[[#Headers],[Adicional Insalubridade]])-2,0)*($G33-$H33)</f>
        <v>0</v>
      </c>
      <c r="L33" s="21">
        <f>VLOOKUP($A33,tabCustoUnit[],COLUMN(CUSTO_GLOBAL[[#Headers],[Adicional Noturno]])-2,0)*($G33-$H33)</f>
        <v>0</v>
      </c>
      <c r="M33" s="21">
        <f>VLOOKUP($A33,tabCustoUnit[],COLUMN(CUSTO_GLOBAL[[#Headers],[Adicional Motorista II (Gratificação)]])-2,0)*($G33-$H33)</f>
        <v>0</v>
      </c>
      <c r="N33" s="21">
        <f>VLOOKUP($A33,tabCustoUnit[],COLUMN(CUSTO_GLOBAL[[#Headers],[Adicional de Sobreaviso]])-2,0)*($G33-$H33)</f>
        <v>0</v>
      </c>
      <c r="O33" s="21">
        <f>VLOOKUP($A33,tabCustoUnit[],COLUMN(CUSTO_GLOBAL[[#Headers],[Horas Extras TI]])-2,0)*($G33-$H33)</f>
        <v>0</v>
      </c>
      <c r="P33" s="21">
        <f>VLOOKUP($A33,tabCustoUnit[],COLUMN(CUSTO_GLOBAL[[#Headers],[Adicional de Acúmulo de função]])-2,0)*($G33-$H33)</f>
        <v>26.985600000000002</v>
      </c>
      <c r="Q33" s="21">
        <f>VLOOKUP($A33,tabCustoUnit[],COLUMN(CUSTO_GLOBAL[[#Headers],[MODULO 1 - REMUNERAÇÃO ]])-2,0)*($G33-$H33)</f>
        <v>851.54559999999992</v>
      </c>
      <c r="R33" s="21">
        <f>VLOOKUP($A33,tabCustoUnit[],COLUMN(CUSTO_GLOBAL[[#Headers],[INSS]])-2,0)*($G33-$H33)</f>
        <v>170.30912000000001</v>
      </c>
      <c r="S33" s="21">
        <f>VLOOKUP($A33,tabCustoUnit[],COLUMN(CUSTO_GLOBAL[[#Headers],[SESI OU SESC]])-2,0)*($G33-$H33)</f>
        <v>12.773183999999999</v>
      </c>
      <c r="T33" s="21">
        <f>VLOOKUP($A33,tabCustoUnit[],COLUMN(CUSTO_GLOBAL[[#Headers],[SENAI OU SENAC]])-2,0)*($G33-$H33)</f>
        <v>8.5154559999999986</v>
      </c>
      <c r="U33" s="21">
        <f>VLOOKUP($A33,tabCustoUnit[],COLUMN(CUSTO_GLOBAL[[#Headers],[INCRA]])-2,0)*($G33-$H33)</f>
        <v>1.7030911999999998</v>
      </c>
      <c r="V33" s="21">
        <f>VLOOKUP($A33,tabCustoUnit[],COLUMN(CUSTO_GLOBAL[[#Headers],[Salário Educação]])-2,0)*($G33-$H33)</f>
        <v>21.288640000000001</v>
      </c>
      <c r="W33" s="21">
        <f>VLOOKUP($A33,tabCustoUnit[],COLUMN(CUSTO_GLOBAL[[#Headers],[FGTS]])-2,0)*($G33-$H33)</f>
        <v>68.123647999999989</v>
      </c>
      <c r="X33" s="21">
        <f>VLOOKUP($A33,tabCustoUnit[],COLUMN(CUSTO_GLOBAL[[#Headers],[RAT Ajustado]])-2,0)*($G33-$H33)</f>
        <v>34.061823999999994</v>
      </c>
      <c r="Y33" s="21">
        <f>VLOOKUP($A33,tabCustoUnit[],COLUMN(CUSTO_GLOBAL[[#Headers],[SEBRAE]])-2,0)*($G33-$H33)</f>
        <v>5.1092735999999999</v>
      </c>
      <c r="Z33" s="21">
        <f>VLOOKUP($A33,tabCustoUnit[],COLUMN(CUSTO_GLOBAL[[#Headers],[Submódulo 2.1]])-2,0)*($G33-$H33)</f>
        <v>321.8842368</v>
      </c>
      <c r="AA33" s="21">
        <f>VLOOKUP($A33,tabCustoUnit[],COLUMN(CUSTO_GLOBAL[[#Headers],[13º salário (titular)]])-2,0)*($G33-$H33)</f>
        <v>70.962133333333327</v>
      </c>
      <c r="AB33" s="21">
        <f>VLOOKUP($A33,tabCustoUnit[],COLUMN(CUSTO_GLOBAL[[#Headers],[Férias e Adicional de Férias (titular)]])-2,0)*($G33-$H33)</f>
        <v>94.616177777777764</v>
      </c>
      <c r="AC33" s="21">
        <f>VLOOKUP($A33,tabCustoUnit[],COLUMN(CUSTO_GLOBAL[[#Headers],[Incidência do Submódulo 2.1 sobre 13º Salário, Férias e Adicional de Férias]])-2,0)*($G33-$H33)</f>
        <v>62.588601599999997</v>
      </c>
      <c r="AD33" s="21">
        <f>VLOOKUP($A33,tabCustoUnit[],COLUMN(CUSTO_GLOBAL[[#Headers],[Submódulo 2.2]])-2,0)*($G33-$H33)</f>
        <v>228.16691271111108</v>
      </c>
      <c r="AE33" s="22">
        <f>VLOOKUP($A33,tabCustoUnit[],COLUMN(CUSTO_GLOBAL[[#Headers],[Vale - Transporte (Descontada parcela do empregado)]])-2,0)*($G33-$H33)</f>
        <v>206.5264</v>
      </c>
      <c r="AF33" s="22">
        <f>VLOOKUP($A33,tabCustoUnit[],COLUMN(CUSTO_GLOBAL[[#Headers],[Vale - Alimentação (Descontada parcela do empregado)]])-2,0)*($G33-$H33)</f>
        <v>582</v>
      </c>
      <c r="AG33" s="22">
        <f>VLOOKUP($A33,tabCustoUnit[],COLUMN(CUSTO_GLOBAL[[#Headers],[Cesta Básica]])-2,0)*($G33-$H33)</f>
        <v>0</v>
      </c>
      <c r="AH33" s="22">
        <f>VLOOKUP($A33,tabCustoUnit[],COLUMN(CUSTO_GLOBAL[[#Headers],[PAF]])-2,0)*($G33-$H33)</f>
        <v>77.25</v>
      </c>
      <c r="AI33" s="22">
        <f>VLOOKUP($A33,tabCustoUnit[],COLUMN(CUSTO_GLOBAL[[#Headers],[PQM]])-2,0)*($G33-$H33)</f>
        <v>0</v>
      </c>
      <c r="AJ33" s="22">
        <v>0</v>
      </c>
      <c r="AK33" s="22">
        <f>VLOOKUP($A33,tabCustoUnit[],COLUMN(CUSTO_GLOBAL[[#Headers],[Seguro de Vida]])-2,0)*($G33-$H33)</f>
        <v>3.36</v>
      </c>
      <c r="AL33" s="22">
        <f>VLOOKUP($A33,tabCustoUnit[],COLUMN(CUSTO_GLOBAL[[#Headers],[Despesas de Viagem]])-2,0)*($G33-$H33)</f>
        <v>0</v>
      </c>
      <c r="AM33" s="22">
        <f>VLOOKUP($A33,tabCustoUnit[],COLUMN(CUSTO_GLOBAL[[#Headers],[Submódulo 2.3]])-2,0)*($G33-$H33)</f>
        <v>869.13639999999998</v>
      </c>
      <c r="AN33" s="22">
        <f>VLOOKUP($A33,tabCustoUnit[],COLUMN(CUSTO_GLOBAL[[#Headers],[MÓDULO 2 - Total Encargos e Benefícios mensais e diários]])-2,0)*($G33-$H33)</f>
        <v>1419.1875495111112</v>
      </c>
      <c r="AO33" s="22">
        <f>VLOOKUP($A33,tabCustoUnit[],COLUMN(CUSTO_GLOBAL[[#Headers],[Aviso Prévio Indenizado (API) e Reflexo do Aviso Prévio Indenizado]])-2,0)*($G33-$H33)</f>
        <v>5.970839316049382</v>
      </c>
      <c r="AP33" s="22">
        <f>VLOOKUP($A33,tabCustoUnit[],COLUMN(CUSTO_GLOBAL[[#Headers],[Incidência do FGTS sobre API e Reflexo do API]])-2,0)*($G33-$H33)</f>
        <v>0.4776671452839506</v>
      </c>
      <c r="AQ33" s="22">
        <f>VLOOKUP($A33,tabCustoUnit[],COLUMN(CUSTO_GLOBAL[[#Headers],[Multa Rescisória do FGTS sobre o Aviso Prévio Indenizado]])-2,0)*($G33-$H33)</f>
        <v>0.19106685811358026</v>
      </c>
      <c r="AR33" s="22">
        <f>VLOOKUP($A33,tabCustoUnit[],COLUMN(CUSTO_GLOBAL[[#Headers],[Aviso Prévio Trabalhado - APT]])-2,0)*($G33-$H33)</f>
        <v>2.9804096000000002</v>
      </c>
      <c r="AS33" s="22">
        <f>VLOOKUP($A33,tabCustoUnit[],COLUMN(CUSTO_GLOBAL[[#Headers],[Incidência dos encargos do submódulo 2.1 sobre Aviso Prévio Trabalhado]])-2,0)*($G33-$H33)</f>
        <v>1.1265948288000003</v>
      </c>
      <c r="AT33" s="22">
        <f>VLOOKUP($A33,tabCustoUnit[],COLUMN(CUSTO_GLOBAL[[#Headers],[Multa Rescisória do FGTS]])-2,0)*($G33-$H33)</f>
        <v>26.038372124444439</v>
      </c>
      <c r="AU33" s="22">
        <f>VLOOKUP($A33,tabCustoUnit[],COLUMN(CUSTO_GLOBAL[[#Headers],[Indenização Adicional (Art. 9º da Lei nº 7.238/84)]])-2,0)*($G33-$H33)</f>
        <v>0.70962133333333333</v>
      </c>
      <c r="AV33" s="22">
        <f>VLOOKUP($A33,tabCustoUnit[],COLUMN(CUSTO_GLOBAL[[#Headers],[MÓDULO 3 – PROVISÃO PARA RESCISÃO]])-2,0)*($G33-$H33)</f>
        <v>37.494571206024688</v>
      </c>
      <c r="AW33" s="22">
        <f>VLOOKUP($A33,tabCustoUnit[],COLUMN(CUSTO_GLOBAL[[#Headers],[Ausência por Doença]])-2,0)*($G33-$H33)</f>
        <v>7.1908295111111098</v>
      </c>
      <c r="AX33" s="22">
        <f>VLOOKUP($A33,tabCustoUnit[],COLUMN(CUSTO_GLOBAL[[#Headers],[Ausências Legais]])-2,0)*($G33-$H33)</f>
        <v>1.7267452444444442</v>
      </c>
      <c r="AY33" s="22">
        <f>VLOOKUP($A33,tabCustoUnit[],COLUMN(CUSTO_GLOBAL[[#Headers],[Licença Paternidade]])-2,0)*($G33-$H33)</f>
        <v>0.14547237333333332</v>
      </c>
      <c r="AZ33" s="22">
        <f>VLOOKUP($A33,tabCustoUnit[],COLUMN(CUSTO_GLOBAL[[#Headers],[Ausência por Acidente de Trabalho]])-2,0)*($G33-$H33)</f>
        <v>0.17740533333333333</v>
      </c>
      <c r="BA33" s="22">
        <f>VLOOKUP($A33,tabCustoUnit[],COLUMN(CUSTO_GLOBAL[[#Headers],[Férias, Adicional de Férias e 13º  com empregada em gozo de Licença Maternidade]])-2,0)*($G33-$H33)</f>
        <v>1.1038554074074072</v>
      </c>
      <c r="BB33" s="22">
        <f>VLOOKUP($A33,tabCustoUnit[],COLUMN(CUSTO_GLOBAL[[#Headers],[Incidência do Submódulo 2.1 sobre Ausências Legais]])-2,0)*($G33-$H33)</f>
        <v>3.9101483747200003</v>
      </c>
      <c r="BC33" s="22">
        <f>VLOOKUP($A33,tabCustoUnit[],COLUMN(CUSTO_GLOBAL[[#Headers],[Submódulo 4.1]])-2,0)*($G33-$H33)</f>
        <v>14.254456244349628</v>
      </c>
      <c r="BD33" s="22">
        <f>VLOOKUP($A33,tabCustoUnit[],COLUMN(CUSTO_GLOBAL[[#Headers],[Intervalo para Repouso ou Alimentação]])-2,0)*($G33-$H33)</f>
        <v>0</v>
      </c>
      <c r="BE33" s="22">
        <f>VLOOKUP($A33,tabCustoUnit[],COLUMN(CUSTO_GLOBAL[[#Headers],[Submódulo 4.2]])-2,0)*($G33-$H33)</f>
        <v>0</v>
      </c>
      <c r="BF33" s="22">
        <f>VLOOKUP($A33,tabCustoUnit[],COLUMN(CUSTO_GLOBAL[[#Headers],[Suspensão Temporária do Contrato de Trabalho]])-2,0)*($G33-$H33)</f>
        <v>0</v>
      </c>
      <c r="BG33" s="22">
        <f>VLOOKUP($A33,tabCustoUnit[],COLUMN(CUSTO_GLOBAL[[#Headers],[Submódulo 4.3]])-2,0)*($G33-$H33)</f>
        <v>0</v>
      </c>
      <c r="BH33" s="22">
        <f>VLOOKUP($A33,tabCustoUnit[],COLUMN(CUSTO_GLOBAL[[#Headers],[MÓDULO 4 – CUSTO DE REPOSIÇÃO DO PROFISSIONAL AUSENTE]])-2,0)*($G33-$H33)</f>
        <v>14.254456244349628</v>
      </c>
      <c r="BI33" s="22">
        <f>VLOOKUP($A33,tabCustoUnit[],COLUMN(CUSTO_GLOBAL[[#Headers],[Uniformes e EPIs]])-2,0)*($G33-$H33)</f>
        <v>62.806666666666665</v>
      </c>
      <c r="BJ33" s="22">
        <f>VLOOKUP($A33,tabCustoUnit[],COLUMN(CUSTO_GLOBAL[[#Headers],[Materiais de Consumo]])-2,0)*($G33-$H33)</f>
        <v>17.759106479291944</v>
      </c>
      <c r="BK33" s="22">
        <f>VLOOKUP($A33,tabCustoUnit[],COLUMN(CUSTO_GLOBAL[[#Headers],[Máquinas e Equipamentos (depreciação)]])-2,0)*($G33-$H33)</f>
        <v>32.264696957412788</v>
      </c>
      <c r="BL33" s="22">
        <f>VLOOKUP($A33,tabCustoUnit[],COLUMN(CUSTO_GLOBAL[[#Headers],[Produtos de Limpeza e Materiais de Higiene Pessoal]])-2,0)*($G33-$H33)</f>
        <v>345.13576638965827</v>
      </c>
      <c r="BM33" s="22">
        <f>VLOOKUP($A33,tabCustoUnit[],COLUMN(CUSTO_GLOBAL[[#Headers],[Outros (especificar)]])-2,0)*($G33-$H33)</f>
        <v>0</v>
      </c>
      <c r="BN33" s="22">
        <f>VLOOKUP($A33,tabCustoUnit[],COLUMN(CUSTO_GLOBAL[[#Headers],[MÓDULO 5 – INSUMOS DIVERSOS]])-2,0)*($G33-$H33)</f>
        <v>457.96623649302967</v>
      </c>
      <c r="BO33" s="22">
        <f>VLOOKUP($A33,tabCustoUnit[],COLUMN(CUSTO_GLOBAL[[#Headers],[TOTAL MÓDULOS 1+2+3+4+5]])-2,0)*($G33-$H33)</f>
        <v>2780.448413454515</v>
      </c>
      <c r="BP33" s="22">
        <f>VLOOKUP($A33,tabCustoUnit[],COLUMN(CUSTO_GLOBAL[[#Headers],[Custos Indiretos]])-2,0)*($G33-$H33)</f>
        <v>189.64880140242613</v>
      </c>
      <c r="BQ33" s="22">
        <f>VLOOKUP($A33,tabCustoUnit[],COLUMN(CUSTO_GLOBAL[[#Headers],[Lucro]])-2,0)*($G33-$H33)</f>
        <v>159.30499317803796</v>
      </c>
      <c r="BR33" s="26">
        <f>VLOOKUP($A33,tabCustoUnit[],COLUMN(CUSTO_GLOBAL[[#Headers],[COFINS]])-2,0)</f>
        <v>8.7406555491661944E-2</v>
      </c>
      <c r="BS33" s="26">
        <f>VLOOKUP($A33,tabCustoUnit[],COLUMN(CUSTO_GLOBAL[[#Headers],[PIS]])-2,0)</f>
        <v>1.8976423231742381E-2</v>
      </c>
      <c r="BT33" s="28">
        <f>VLOOKUP($A33,tabCustoUnit[],COLUMN(CUSTO_GLOBAL[[#Headers],[ISS]])-2,0)</f>
        <v>3.7999999999999999E-2</v>
      </c>
      <c r="BU33" s="26">
        <f>VLOOKUP($A33,tabCustoUnit[],COLUMN(CUSTO_GLOBAL[[#Headers],[ISS (Conversão Alíquota s/ fatura)]])-2,0)</f>
        <v>4.370327774583093E-2</v>
      </c>
      <c r="BV33" s="26">
        <f>VLOOKUP($A33,tabCustoUnit[],COLUMN(CUSTO_GLOBAL[[#Headers],[Resumo de Alíquotas (PIS+CONFINS+ISS)]])-2,0)</f>
        <v>0.1305</v>
      </c>
      <c r="BW33" s="138">
        <f>VLOOKUP($A33,tabCustoUnit[],COLUMN(CUSTO_GLOBAL[[#Headers],[PIS + COFINS + ISS (Total Conversão  Alíquota s/ Fatura)]])-2,0)</f>
        <v>0.15008625646923526</v>
      </c>
      <c r="BX33" s="22">
        <f>VLOOKUP($A33,tabCustoUnit[],COLUMN(CUSTO_GLOBAL[[#Headers],[Valor dos Tributos (ISS, PIS, CONFINS)]])-2,0)*($G33-$H33)</f>
        <v>469.68026239052898</v>
      </c>
      <c r="BY33" s="22">
        <f>VLOOKUP($A33,tabCustoUnit[],COLUMN(CUSTO_GLOBAL[[#Headers],[MÓDULO 6 – CUSTOS INDIRETOS, TRIBUTOS E LUCRO]])-2,0)*($G33-$H33)</f>
        <v>818.63405697099302</v>
      </c>
      <c r="BZ33" s="22">
        <f>VLOOKUP($A33,tabCustoUnit[],COLUMN(CUSTO_GLOBAL[[#Headers],[CUSTO TOTAL MENSAL]])-2,0)*($G33-$H33)</f>
        <v>3599.0824704255083</v>
      </c>
      <c r="CA33" s="22">
        <f>CUSTO_GLOBAL[[#This Row],[CUSTO TOTAL MENSAL]]*12</f>
        <v>43188.989645106099</v>
      </c>
      <c r="CB33" s="24">
        <f>VLOOKUP($A33,tabCustoUnit[],COLUMN(CUSTO_GLOBAL[[#Headers],[ANO DA CCT]])-2,0)</f>
        <v>45658</v>
      </c>
      <c r="CC33" s="25" t="str">
        <f>VLOOKUP($A33,tabCustoUnit[],COLUMN(CUSTO_GLOBAL[[#Headers],[Nº DE PEDIDO DA CCT]])-2,0)</f>
        <v>-</v>
      </c>
      <c r="CD33" s="25" t="str">
        <f>VLOOKUP($A33,tabCustoUnit[],COLUMN(CUSTO_GLOBAL[[#Headers],[TERMO ADITIVO  ALTERAÇÃO DA CCT]])-2,0)</f>
        <v>-</v>
      </c>
      <c r="CF33" s="22"/>
      <c r="CG33" s="22"/>
    </row>
    <row r="34" spans="1:85" x14ac:dyDescent="0.25">
      <c r="A34" s="20" t="s">
        <v>1374</v>
      </c>
      <c r="B34" t="s">
        <v>34</v>
      </c>
      <c r="C34" t="s">
        <v>1245</v>
      </c>
      <c r="D34" t="s">
        <v>1045</v>
      </c>
      <c r="E34" s="20" t="s">
        <v>9</v>
      </c>
      <c r="F34" s="20" t="s">
        <v>10</v>
      </c>
      <c r="G34" s="20">
        <v>3</v>
      </c>
      <c r="H34" s="20">
        <v>0</v>
      </c>
      <c r="I34" s="21">
        <f>VLOOKUP($A34,tabCustoUnit[],COLUMN(CUSTO_GLOBAL[[#Headers],[Salário Base]])-2,0)*($G34-$H34)</f>
        <v>4947.3599999999997</v>
      </c>
      <c r="J34" s="21">
        <f>VLOOKUP($A34,tabCustoUnit[],COLUMN(CUSTO_GLOBAL[[#Headers],[Adicional Periculosidade]])-2,0)*($G34-$H34)</f>
        <v>0</v>
      </c>
      <c r="K34" s="21">
        <f>VLOOKUP($A34,tabCustoUnit[],COLUMN(CUSTO_GLOBAL[[#Headers],[Adicional Insalubridade]])-2,0)*($G34-$H34)</f>
        <v>0</v>
      </c>
      <c r="L34" s="21">
        <f>VLOOKUP($A34,tabCustoUnit[],COLUMN(CUSTO_GLOBAL[[#Headers],[Adicional Noturno]])-2,0)*($G34-$H34)</f>
        <v>0</v>
      </c>
      <c r="M34" s="21">
        <f>VLOOKUP($A34,tabCustoUnit[],COLUMN(CUSTO_GLOBAL[[#Headers],[Adicional Motorista II (Gratificação)]])-2,0)*($G34-$H34)</f>
        <v>0</v>
      </c>
      <c r="N34" s="21">
        <f>VLOOKUP($A34,tabCustoUnit[],COLUMN(CUSTO_GLOBAL[[#Headers],[Adicional de Sobreaviso]])-2,0)*($G34-$H34)</f>
        <v>0</v>
      </c>
      <c r="O34" s="21">
        <f>VLOOKUP($A34,tabCustoUnit[],COLUMN(CUSTO_GLOBAL[[#Headers],[Horas Extras TI]])-2,0)*($G34-$H34)</f>
        <v>0</v>
      </c>
      <c r="P34" s="21">
        <f>VLOOKUP($A34,tabCustoUnit[],COLUMN(CUSTO_GLOBAL[[#Headers],[Adicional de Acúmulo de função]])-2,0)*($G34-$H34)</f>
        <v>161.9136</v>
      </c>
      <c r="Q34" s="21">
        <f>VLOOKUP($A34,tabCustoUnit[],COLUMN(CUSTO_GLOBAL[[#Headers],[MODULO 1 - REMUNERAÇÃO ]])-2,0)*($G34-$H34)</f>
        <v>5109.2735999999995</v>
      </c>
      <c r="R34" s="21">
        <f>VLOOKUP($A34,tabCustoUnit[],COLUMN(CUSTO_GLOBAL[[#Headers],[INSS]])-2,0)*($G34-$H34)</f>
        <v>1021.85472</v>
      </c>
      <c r="S34" s="21">
        <f>VLOOKUP($A34,tabCustoUnit[],COLUMN(CUSTO_GLOBAL[[#Headers],[SESI OU SESC]])-2,0)*($G34-$H34)</f>
        <v>76.639103999999989</v>
      </c>
      <c r="T34" s="21">
        <f>VLOOKUP($A34,tabCustoUnit[],COLUMN(CUSTO_GLOBAL[[#Headers],[SENAI OU SENAC]])-2,0)*($G34-$H34)</f>
        <v>51.092735999999988</v>
      </c>
      <c r="U34" s="21">
        <f>VLOOKUP($A34,tabCustoUnit[],COLUMN(CUSTO_GLOBAL[[#Headers],[INCRA]])-2,0)*($G34-$H34)</f>
        <v>10.2185472</v>
      </c>
      <c r="V34" s="21">
        <f>VLOOKUP($A34,tabCustoUnit[],COLUMN(CUSTO_GLOBAL[[#Headers],[Salário Educação]])-2,0)*($G34-$H34)</f>
        <v>127.73184000000001</v>
      </c>
      <c r="W34" s="21">
        <f>VLOOKUP($A34,tabCustoUnit[],COLUMN(CUSTO_GLOBAL[[#Headers],[FGTS]])-2,0)*($G34-$H34)</f>
        <v>408.7418879999999</v>
      </c>
      <c r="X34" s="21">
        <f>VLOOKUP($A34,tabCustoUnit[],COLUMN(CUSTO_GLOBAL[[#Headers],[RAT Ajustado]])-2,0)*($G34-$H34)</f>
        <v>204.37094399999995</v>
      </c>
      <c r="Y34" s="21">
        <f>VLOOKUP($A34,tabCustoUnit[],COLUMN(CUSTO_GLOBAL[[#Headers],[SEBRAE]])-2,0)*($G34-$H34)</f>
        <v>30.655641599999999</v>
      </c>
      <c r="Z34" s="21">
        <f>VLOOKUP($A34,tabCustoUnit[],COLUMN(CUSTO_GLOBAL[[#Headers],[Submódulo 2.1]])-2,0)*($G34-$H34)</f>
        <v>1931.3054207999999</v>
      </c>
      <c r="AA34" s="21">
        <f>VLOOKUP($A34,tabCustoUnit[],COLUMN(CUSTO_GLOBAL[[#Headers],[13º salário (titular)]])-2,0)*($G34-$H34)</f>
        <v>425.77279999999996</v>
      </c>
      <c r="AB34" s="21">
        <f>VLOOKUP($A34,tabCustoUnit[],COLUMN(CUSTO_GLOBAL[[#Headers],[Férias e Adicional de Férias (titular)]])-2,0)*($G34-$H34)</f>
        <v>567.69706666666661</v>
      </c>
      <c r="AC34" s="21">
        <f>VLOOKUP($A34,tabCustoUnit[],COLUMN(CUSTO_GLOBAL[[#Headers],[Incidência do Submódulo 2.1 sobre 13º Salário, Férias e Adicional de Férias]])-2,0)*($G34-$H34)</f>
        <v>375.53160959999997</v>
      </c>
      <c r="AD34" s="21">
        <f>VLOOKUP($A34,tabCustoUnit[],COLUMN(CUSTO_GLOBAL[[#Headers],[Submódulo 2.2]])-2,0)*($G34-$H34)</f>
        <v>1369.0014762666665</v>
      </c>
      <c r="AE34" s="22">
        <f>VLOOKUP($A34,tabCustoUnit[],COLUMN(CUSTO_GLOBAL[[#Headers],[Vale - Transporte (Descontada parcela do empregado)]])-2,0)*($G34-$H34)</f>
        <v>471.15839999999997</v>
      </c>
      <c r="AF34" s="22">
        <f>VLOOKUP($A34,tabCustoUnit[],COLUMN(CUSTO_GLOBAL[[#Headers],[Vale - Alimentação (Descontada parcela do empregado)]])-2,0)*($G34-$H34)</f>
        <v>1746</v>
      </c>
      <c r="AG34" s="22">
        <f>VLOOKUP($A34,tabCustoUnit[],COLUMN(CUSTO_GLOBAL[[#Headers],[Cesta Básica]])-2,0)*($G34-$H34)</f>
        <v>0</v>
      </c>
      <c r="AH34" s="22">
        <f>VLOOKUP($A34,tabCustoUnit[],COLUMN(CUSTO_GLOBAL[[#Headers],[PAF]])-2,0)*($G34-$H34)</f>
        <v>231.75</v>
      </c>
      <c r="AI34" s="22">
        <f>VLOOKUP($A34,tabCustoUnit[],COLUMN(CUSTO_GLOBAL[[#Headers],[PQM]])-2,0)*($G34-$H34)</f>
        <v>0</v>
      </c>
      <c r="AJ34" s="22">
        <v>0</v>
      </c>
      <c r="AK34" s="22">
        <f>VLOOKUP($A34,tabCustoUnit[],COLUMN(CUSTO_GLOBAL[[#Headers],[Seguro de Vida]])-2,0)*($G34-$H34)</f>
        <v>10.08</v>
      </c>
      <c r="AL34" s="22">
        <f>VLOOKUP($A34,tabCustoUnit[],COLUMN(CUSTO_GLOBAL[[#Headers],[Despesas de Viagem]])-2,0)*($G34-$H34)</f>
        <v>0</v>
      </c>
      <c r="AM34" s="22">
        <f>VLOOKUP($A34,tabCustoUnit[],COLUMN(CUSTO_GLOBAL[[#Headers],[Submódulo 2.3]])-2,0)*($G34-$H34)</f>
        <v>2458.9883999999997</v>
      </c>
      <c r="AN34" s="22">
        <f>VLOOKUP($A34,tabCustoUnit[],COLUMN(CUSTO_GLOBAL[[#Headers],[MÓDULO 2 - Total Encargos e Benefícios mensais e diários]])-2,0)*($G34-$H34)</f>
        <v>5759.2952970666665</v>
      </c>
      <c r="AO34" s="22">
        <f>VLOOKUP($A34,tabCustoUnit[],COLUMN(CUSTO_GLOBAL[[#Headers],[Aviso Prévio Indenizado (API) e Reflexo do Aviso Prévio Indenizado]])-2,0)*($G34-$H34)</f>
        <v>35.825035896296292</v>
      </c>
      <c r="AP34" s="22">
        <f>VLOOKUP($A34,tabCustoUnit[],COLUMN(CUSTO_GLOBAL[[#Headers],[Incidência do FGTS sobre API e Reflexo do API]])-2,0)*($G34-$H34)</f>
        <v>2.8660028717037038</v>
      </c>
      <c r="AQ34" s="22">
        <f>VLOOKUP($A34,tabCustoUnit[],COLUMN(CUSTO_GLOBAL[[#Headers],[Multa Rescisória do FGTS sobre o Aviso Prévio Indenizado]])-2,0)*($G34-$H34)</f>
        <v>1.1464011486814816</v>
      </c>
      <c r="AR34" s="22">
        <f>VLOOKUP($A34,tabCustoUnit[],COLUMN(CUSTO_GLOBAL[[#Headers],[Aviso Prévio Trabalhado - APT]])-2,0)*($G34-$H34)</f>
        <v>17.882457600000002</v>
      </c>
      <c r="AS34" s="22">
        <f>VLOOKUP($A34,tabCustoUnit[],COLUMN(CUSTO_GLOBAL[[#Headers],[Incidência dos encargos do submódulo 2.1 sobre Aviso Prévio Trabalhado]])-2,0)*($G34-$H34)</f>
        <v>6.7595689728000021</v>
      </c>
      <c r="AT34" s="22">
        <f>VLOOKUP($A34,tabCustoUnit[],COLUMN(CUSTO_GLOBAL[[#Headers],[Multa Rescisória do FGTS]])-2,0)*($G34-$H34)</f>
        <v>156.23023274666664</v>
      </c>
      <c r="AU34" s="22">
        <f>VLOOKUP($A34,tabCustoUnit[],COLUMN(CUSTO_GLOBAL[[#Headers],[Indenização Adicional (Art. 9º da Lei nº 7.238/84)]])-2,0)*($G34-$H34)</f>
        <v>4.2577280000000002</v>
      </c>
      <c r="AV34" s="22">
        <f>VLOOKUP($A34,tabCustoUnit[],COLUMN(CUSTO_GLOBAL[[#Headers],[MÓDULO 3 – PROVISÃO PARA RESCISÃO]])-2,0)*($G34-$H34)</f>
        <v>224.96742723614813</v>
      </c>
      <c r="AW34" s="22">
        <f>VLOOKUP($A34,tabCustoUnit[],COLUMN(CUSTO_GLOBAL[[#Headers],[Ausência por Doença]])-2,0)*($G34-$H34)</f>
        <v>43.144977066666655</v>
      </c>
      <c r="AX34" s="22">
        <f>VLOOKUP($A34,tabCustoUnit[],COLUMN(CUSTO_GLOBAL[[#Headers],[Ausências Legais]])-2,0)*($G34-$H34)</f>
        <v>10.360471466666665</v>
      </c>
      <c r="AY34" s="22">
        <f>VLOOKUP($A34,tabCustoUnit[],COLUMN(CUSTO_GLOBAL[[#Headers],[Licença Paternidade]])-2,0)*($G34-$H34)</f>
        <v>0.87283423999999998</v>
      </c>
      <c r="AZ34" s="22">
        <f>VLOOKUP($A34,tabCustoUnit[],COLUMN(CUSTO_GLOBAL[[#Headers],[Ausência por Acidente de Trabalho]])-2,0)*($G34-$H34)</f>
        <v>1.064432</v>
      </c>
      <c r="BA34" s="22">
        <f>VLOOKUP($A34,tabCustoUnit[],COLUMN(CUSTO_GLOBAL[[#Headers],[Férias, Adicional de Férias e 13º  com empregada em gozo de Licença Maternidade]])-2,0)*($G34-$H34)</f>
        <v>6.623132444444443</v>
      </c>
      <c r="BB34" s="22">
        <f>VLOOKUP($A34,tabCustoUnit[],COLUMN(CUSTO_GLOBAL[[#Headers],[Incidência do Submódulo 2.1 sobre Ausências Legais]])-2,0)*($G34-$H34)</f>
        <v>23.460890248320002</v>
      </c>
      <c r="BC34" s="22">
        <f>VLOOKUP($A34,tabCustoUnit[],COLUMN(CUSTO_GLOBAL[[#Headers],[Submódulo 4.1]])-2,0)*($G34-$H34)</f>
        <v>85.526737466097771</v>
      </c>
      <c r="BD34" s="22">
        <f>VLOOKUP($A34,tabCustoUnit[],COLUMN(CUSTO_GLOBAL[[#Headers],[Intervalo para Repouso ou Alimentação]])-2,0)*($G34-$H34)</f>
        <v>0</v>
      </c>
      <c r="BE34" s="22">
        <f>VLOOKUP($A34,tabCustoUnit[],COLUMN(CUSTO_GLOBAL[[#Headers],[Submódulo 4.2]])-2,0)*($G34-$H34)</f>
        <v>0</v>
      </c>
      <c r="BF34" s="22">
        <f>VLOOKUP($A34,tabCustoUnit[],COLUMN(CUSTO_GLOBAL[[#Headers],[Suspensão Temporária do Contrato de Trabalho]])-2,0)*($G34-$H34)</f>
        <v>0</v>
      </c>
      <c r="BG34" s="22">
        <f>VLOOKUP($A34,tabCustoUnit[],COLUMN(CUSTO_GLOBAL[[#Headers],[Submódulo 4.3]])-2,0)*($G34-$H34)</f>
        <v>0</v>
      </c>
      <c r="BH34" s="22">
        <f>VLOOKUP($A34,tabCustoUnit[],COLUMN(CUSTO_GLOBAL[[#Headers],[MÓDULO 4 – CUSTO DE REPOSIÇÃO DO PROFISSIONAL AUSENTE]])-2,0)*($G34-$H34)</f>
        <v>85.526737466097771</v>
      </c>
      <c r="BI34" s="22">
        <f>VLOOKUP($A34,tabCustoUnit[],COLUMN(CUSTO_GLOBAL[[#Headers],[Uniformes e EPIs]])-2,0)*($G34-$H34)</f>
        <v>302.42749999999995</v>
      </c>
      <c r="BJ34" s="22">
        <f>VLOOKUP($A34,tabCustoUnit[],COLUMN(CUSTO_GLOBAL[[#Headers],[Materiais de Consumo]])-2,0)*($G34-$H34)</f>
        <v>106.55463887575166</v>
      </c>
      <c r="BK34" s="22">
        <f>VLOOKUP($A34,tabCustoUnit[],COLUMN(CUSTO_GLOBAL[[#Headers],[Máquinas e Equipamentos (depreciação)]])-2,0)*($G34-$H34)</f>
        <v>193.58818174447674</v>
      </c>
      <c r="BL34" s="22">
        <f>VLOOKUP($A34,tabCustoUnit[],COLUMN(CUSTO_GLOBAL[[#Headers],[Produtos de Limpeza e Materiais de Higiene Pessoal]])-2,0)*($G34-$H34)</f>
        <v>2070.8145983379495</v>
      </c>
      <c r="BM34" s="22">
        <f>VLOOKUP($A34,tabCustoUnit[],COLUMN(CUSTO_GLOBAL[[#Headers],[Outros (especificar)]])-2,0)*($G34-$H34)</f>
        <v>0</v>
      </c>
      <c r="BN34" s="22">
        <f>VLOOKUP($A34,tabCustoUnit[],COLUMN(CUSTO_GLOBAL[[#Headers],[MÓDULO 5 – INSUMOS DIVERSOS]])-2,0)*($G34-$H34)</f>
        <v>2673.3849189581779</v>
      </c>
      <c r="BO34" s="22">
        <f>VLOOKUP($A34,tabCustoUnit[],COLUMN(CUSTO_GLOBAL[[#Headers],[TOTAL MÓDULOS 1+2+3+4+5]])-2,0)*($G34-$H34)</f>
        <v>13852.447980727091</v>
      </c>
      <c r="BP34" s="22">
        <f>VLOOKUP($A34,tabCustoUnit[],COLUMN(CUSTO_GLOBAL[[#Headers],[Custos Indiretos]])-2,0)*($G34-$H34)</f>
        <v>568.94640420727842</v>
      </c>
      <c r="BQ34" s="22">
        <f>VLOOKUP($A34,tabCustoUnit[],COLUMN(CUSTO_GLOBAL[[#Headers],[Lucro]])-2,0)*($G34-$H34)</f>
        <v>477.91497953411385</v>
      </c>
      <c r="BR34" s="26">
        <f>VLOOKUP($A34,tabCustoUnit[],COLUMN(CUSTO_GLOBAL[[#Headers],[COFINS]])-2,0)</f>
        <v>8.7406555491661944E-2</v>
      </c>
      <c r="BS34" s="26">
        <f>VLOOKUP($A34,tabCustoUnit[],COLUMN(CUSTO_GLOBAL[[#Headers],[PIS]])-2,0)</f>
        <v>1.8976423231742381E-2</v>
      </c>
      <c r="BT34" s="28">
        <f>VLOOKUP($A34,tabCustoUnit[],COLUMN(CUSTO_GLOBAL[[#Headers],[ISS]])-2,0)</f>
        <v>3.7999999999999999E-2</v>
      </c>
      <c r="BU34" s="26">
        <f>VLOOKUP($A34,tabCustoUnit[],COLUMN(CUSTO_GLOBAL[[#Headers],[ISS (Conversão Alíquota s/ fatura)]])-2,0)</f>
        <v>4.370327774583093E-2</v>
      </c>
      <c r="BV34" s="26">
        <f>VLOOKUP($A34,tabCustoUnit[],COLUMN(CUSTO_GLOBAL[[#Headers],[Resumo de Alíquotas (PIS+CONFINS+ISS)]])-2,0)</f>
        <v>0.1305</v>
      </c>
      <c r="BW34" s="138">
        <f>VLOOKUP($A34,tabCustoUnit[],COLUMN(CUSTO_GLOBAL[[#Headers],[PIS + COFINS + ISS (Total Conversão  Alíquota s/ Fatura)]])-2,0)</f>
        <v>0.15008625646923526</v>
      </c>
      <c r="BX34" s="22">
        <f>VLOOKUP($A34,tabCustoUnit[],COLUMN(CUSTO_GLOBAL[[#Headers],[Valor dos Tributos (ISS, PIS, CONFINS)]])-2,0)*($G34-$H34)</f>
        <v>2236.1815664900955</v>
      </c>
      <c r="BY34" s="22">
        <f>VLOOKUP($A34,tabCustoUnit[],COLUMN(CUSTO_GLOBAL[[#Headers],[MÓDULO 6 – CUSTOS INDIRETOS, TRIBUTOS E LUCRO]])-2,0)*($G34-$H34)</f>
        <v>3283.0429502314878</v>
      </c>
      <c r="BZ34" s="22">
        <f>VLOOKUP($A34,tabCustoUnit[],COLUMN(CUSTO_GLOBAL[[#Headers],[CUSTO TOTAL MENSAL]])-2,0)*($G34-$H34)</f>
        <v>17135.490930958578</v>
      </c>
      <c r="CA34" s="22">
        <f>CUSTO_GLOBAL[[#This Row],[CUSTO TOTAL MENSAL]]*12</f>
        <v>205625.89117150294</v>
      </c>
      <c r="CB34" s="24">
        <f>VLOOKUP($A34,tabCustoUnit[],COLUMN(CUSTO_GLOBAL[[#Headers],[ANO DA CCT]])-2,0)</f>
        <v>45658</v>
      </c>
      <c r="CC34" s="25" t="str">
        <f>VLOOKUP($A34,tabCustoUnit[],COLUMN(CUSTO_GLOBAL[[#Headers],[Nº DE PEDIDO DA CCT]])-2,0)</f>
        <v>-</v>
      </c>
      <c r="CD34" s="25" t="str">
        <f>VLOOKUP($A34,tabCustoUnit[],COLUMN(CUSTO_GLOBAL[[#Headers],[TERMO ADITIVO  ALTERAÇÃO DA CCT]])-2,0)</f>
        <v>-</v>
      </c>
      <c r="CF34" s="22"/>
      <c r="CG34" s="22"/>
    </row>
    <row r="35" spans="1:85" x14ac:dyDescent="0.25">
      <c r="A35" s="20" t="s">
        <v>1375</v>
      </c>
      <c r="B35" t="s">
        <v>35</v>
      </c>
      <c r="C35" t="s">
        <v>1247</v>
      </c>
      <c r="D35" t="s">
        <v>1018</v>
      </c>
      <c r="E35" s="20" t="s">
        <v>9</v>
      </c>
      <c r="F35" s="20" t="s">
        <v>10</v>
      </c>
      <c r="G35" s="20">
        <v>1</v>
      </c>
      <c r="H35" s="20">
        <v>0</v>
      </c>
      <c r="I35" s="21">
        <f>VLOOKUP($A35,tabCustoUnit[],COLUMN(CUSTO_GLOBAL[[#Headers],[Salário Base]])-2,0)*($G35-$H35)</f>
        <v>544.17999999999995</v>
      </c>
      <c r="J35" s="21">
        <f>VLOOKUP($A35,tabCustoUnit[],COLUMN(CUSTO_GLOBAL[[#Headers],[Adicional Periculosidade]])-2,0)*($G35-$H35)</f>
        <v>0</v>
      </c>
      <c r="K35" s="21">
        <f>VLOOKUP($A35,tabCustoUnit[],COLUMN(CUSTO_GLOBAL[[#Headers],[Adicional Insalubridade]])-2,0)*($G35-$H35)</f>
        <v>0</v>
      </c>
      <c r="L35" s="21">
        <f>VLOOKUP($A35,tabCustoUnit[],COLUMN(CUSTO_GLOBAL[[#Headers],[Adicional Noturno]])-2,0)*($G35-$H35)</f>
        <v>0</v>
      </c>
      <c r="M35" s="21">
        <f>VLOOKUP($A35,tabCustoUnit[],COLUMN(CUSTO_GLOBAL[[#Headers],[Adicional Motorista II (Gratificação)]])-2,0)*($G35-$H35)</f>
        <v>0</v>
      </c>
      <c r="N35" s="21">
        <f>VLOOKUP($A35,tabCustoUnit[],COLUMN(CUSTO_GLOBAL[[#Headers],[Adicional de Sobreaviso]])-2,0)*($G35-$H35)</f>
        <v>0</v>
      </c>
      <c r="O35" s="21">
        <f>VLOOKUP($A35,tabCustoUnit[],COLUMN(CUSTO_GLOBAL[[#Headers],[Horas Extras TI]])-2,0)*($G35-$H35)</f>
        <v>0</v>
      </c>
      <c r="P35" s="21">
        <f>VLOOKUP($A35,tabCustoUnit[],COLUMN(CUSTO_GLOBAL[[#Headers],[Adicional de Acúmulo de função]])-2,0)*($G35-$H35)</f>
        <v>19.590499999999999</v>
      </c>
      <c r="Q35" s="21">
        <f>VLOOKUP($A35,tabCustoUnit[],COLUMN(CUSTO_GLOBAL[[#Headers],[MODULO 1 - REMUNERAÇÃO ]])-2,0)*($G35-$H35)</f>
        <v>563.77049999999997</v>
      </c>
      <c r="R35" s="21">
        <f>VLOOKUP($A35,tabCustoUnit[],COLUMN(CUSTO_GLOBAL[[#Headers],[INSS]])-2,0)*($G35-$H35)</f>
        <v>112.75409999999999</v>
      </c>
      <c r="S35" s="21">
        <f>VLOOKUP($A35,tabCustoUnit[],COLUMN(CUSTO_GLOBAL[[#Headers],[SESI OU SESC]])-2,0)*($G35-$H35)</f>
        <v>8.4565574999999988</v>
      </c>
      <c r="T35" s="21">
        <f>VLOOKUP($A35,tabCustoUnit[],COLUMN(CUSTO_GLOBAL[[#Headers],[SENAI OU SENAC]])-2,0)*($G35-$H35)</f>
        <v>5.6377049999999995</v>
      </c>
      <c r="U35" s="21">
        <f>VLOOKUP($A35,tabCustoUnit[],COLUMN(CUSTO_GLOBAL[[#Headers],[INCRA]])-2,0)*($G35-$H35)</f>
        <v>1.1275409999999999</v>
      </c>
      <c r="V35" s="21">
        <f>VLOOKUP($A35,tabCustoUnit[],COLUMN(CUSTO_GLOBAL[[#Headers],[Salário Educação]])-2,0)*($G35-$H35)</f>
        <v>14.094262499999999</v>
      </c>
      <c r="W35" s="21">
        <f>VLOOKUP($A35,tabCustoUnit[],COLUMN(CUSTO_GLOBAL[[#Headers],[FGTS]])-2,0)*($G35-$H35)</f>
        <v>45.101639999999996</v>
      </c>
      <c r="X35" s="21">
        <f>VLOOKUP($A35,tabCustoUnit[],COLUMN(CUSTO_GLOBAL[[#Headers],[RAT Ajustado]])-2,0)*($G35-$H35)</f>
        <v>22.550819999999998</v>
      </c>
      <c r="Y35" s="21">
        <f>VLOOKUP($A35,tabCustoUnit[],COLUMN(CUSTO_GLOBAL[[#Headers],[SEBRAE]])-2,0)*($G35-$H35)</f>
        <v>3.3826229999999997</v>
      </c>
      <c r="Z35" s="21">
        <f>VLOOKUP($A35,tabCustoUnit[],COLUMN(CUSTO_GLOBAL[[#Headers],[Submódulo 2.1]])-2,0)*($G35-$H35)</f>
        <v>213.10524899999996</v>
      </c>
      <c r="AA35" s="21">
        <f>VLOOKUP($A35,tabCustoUnit[],COLUMN(CUSTO_GLOBAL[[#Headers],[13º salário (titular)]])-2,0)*($G35-$H35)</f>
        <v>46.980874999999997</v>
      </c>
      <c r="AB35" s="21">
        <f>VLOOKUP($A35,tabCustoUnit[],COLUMN(CUSTO_GLOBAL[[#Headers],[Férias e Adicional de Férias (titular)]])-2,0)*($G35-$H35)</f>
        <v>62.641166666666663</v>
      </c>
      <c r="AC35" s="21">
        <f>VLOOKUP($A35,tabCustoUnit[],COLUMN(CUSTO_GLOBAL[[#Headers],[Incidência do Submódulo 2.1 sobre 13º Salário, Férias e Adicional de Férias]])-2,0)*($G35-$H35)</f>
        <v>41.437131749999992</v>
      </c>
      <c r="AD35" s="21">
        <f>VLOOKUP($A35,tabCustoUnit[],COLUMN(CUSTO_GLOBAL[[#Headers],[Submódulo 2.2]])-2,0)*($G35-$H35)</f>
        <v>151.05917341666665</v>
      </c>
      <c r="AE35" s="22">
        <f>VLOOKUP($A35,tabCustoUnit[],COLUMN(CUSTO_GLOBAL[[#Headers],[Vale - Transporte (Descontada parcela do empregado)]])-2,0)*($G35-$H35)</f>
        <v>223.3492</v>
      </c>
      <c r="AF35" s="22">
        <f>VLOOKUP($A35,tabCustoUnit[],COLUMN(CUSTO_GLOBAL[[#Headers],[Vale - Alimentação (Descontada parcela do empregado)]])-2,0)*($G35-$H35)</f>
        <v>582</v>
      </c>
      <c r="AG35" s="22">
        <f>VLOOKUP($A35,tabCustoUnit[],COLUMN(CUSTO_GLOBAL[[#Headers],[Cesta Básica]])-2,0)*($G35-$H35)</f>
        <v>0</v>
      </c>
      <c r="AH35" s="22">
        <f>VLOOKUP($A35,tabCustoUnit[],COLUMN(CUSTO_GLOBAL[[#Headers],[PAF]])-2,0)*($G35-$H35)</f>
        <v>51.88</v>
      </c>
      <c r="AI35" s="22">
        <f>VLOOKUP($A35,tabCustoUnit[],COLUMN(CUSTO_GLOBAL[[#Headers],[PQM]])-2,0)*($G35-$H35)</f>
        <v>0</v>
      </c>
      <c r="AJ35" s="22">
        <v>0</v>
      </c>
      <c r="AK35" s="22">
        <f>VLOOKUP($A35,tabCustoUnit[],COLUMN(CUSTO_GLOBAL[[#Headers],[Seguro de Vida]])-2,0)*($G35-$H35)</f>
        <v>3.36</v>
      </c>
      <c r="AL35" s="22">
        <f>VLOOKUP($A35,tabCustoUnit[],COLUMN(CUSTO_GLOBAL[[#Headers],[Despesas de Viagem]])-2,0)*($G35-$H35)</f>
        <v>0</v>
      </c>
      <c r="AM35" s="22">
        <f>VLOOKUP($A35,tabCustoUnit[],COLUMN(CUSTO_GLOBAL[[#Headers],[Submódulo 2.3]])-2,0)*($G35-$H35)</f>
        <v>860.58920000000001</v>
      </c>
      <c r="AN35" s="22">
        <f>VLOOKUP($A35,tabCustoUnit[],COLUMN(CUSTO_GLOBAL[[#Headers],[MÓDULO 2 - Total Encargos e Benefícios mensais e diários]])-2,0)*($G35-$H35)</f>
        <v>1224.7536224166665</v>
      </c>
      <c r="AO35" s="22">
        <f>VLOOKUP($A35,tabCustoUnit[],COLUMN(CUSTO_GLOBAL[[#Headers],[Aviso Prévio Indenizado (API) e Reflexo do Aviso Prévio Indenizado]])-2,0)*($G35-$H35)</f>
        <v>3.9530273735532404</v>
      </c>
      <c r="AP35" s="22">
        <f>VLOOKUP($A35,tabCustoUnit[],COLUMN(CUSTO_GLOBAL[[#Headers],[Incidência do FGTS sobre API e Reflexo do API]])-2,0)*($G35-$H35)</f>
        <v>0.31624218988425928</v>
      </c>
      <c r="AQ35" s="22">
        <f>VLOOKUP($A35,tabCustoUnit[],COLUMN(CUSTO_GLOBAL[[#Headers],[Multa Rescisória do FGTS sobre o Aviso Prévio Indenizado]])-2,0)*($G35-$H35)</f>
        <v>0.12649687595370371</v>
      </c>
      <c r="AR35" s="22">
        <f>VLOOKUP($A35,tabCustoUnit[],COLUMN(CUSTO_GLOBAL[[#Headers],[Aviso Prévio Trabalhado - APT]])-2,0)*($G35-$H35)</f>
        <v>1.9731967500000003</v>
      </c>
      <c r="AS35" s="22">
        <f>VLOOKUP($A35,tabCustoUnit[],COLUMN(CUSTO_GLOBAL[[#Headers],[Incidência dos encargos do submódulo 2.1 sobre Aviso Prévio Trabalhado]])-2,0)*($G35-$H35)</f>
        <v>0.74586837150000018</v>
      </c>
      <c r="AT35" s="22">
        <f>VLOOKUP($A35,tabCustoUnit[],COLUMN(CUSTO_GLOBAL[[#Headers],[Multa Rescisória do FGTS]])-2,0)*($G35-$H35)</f>
        <v>17.238849066666663</v>
      </c>
      <c r="AU35" s="22">
        <f>VLOOKUP($A35,tabCustoUnit[],COLUMN(CUSTO_GLOBAL[[#Headers],[Indenização Adicional (Art. 9º da Lei nº 7.238/84)]])-2,0)*($G35-$H35)</f>
        <v>0.46980875</v>
      </c>
      <c r="AV35" s="22">
        <f>VLOOKUP($A35,tabCustoUnit[],COLUMN(CUSTO_GLOBAL[[#Headers],[MÓDULO 3 – PROVISÃO PARA RESCISÃO]])-2,0)*($G35-$H35)</f>
        <v>24.823489377557866</v>
      </c>
      <c r="AW35" s="22">
        <f>VLOOKUP($A35,tabCustoUnit[],COLUMN(CUSTO_GLOBAL[[#Headers],[Ausência por Doença]])-2,0)*($G35-$H35)</f>
        <v>4.7607286666666662</v>
      </c>
      <c r="AX35" s="22">
        <f>VLOOKUP($A35,tabCustoUnit[],COLUMN(CUSTO_GLOBAL[[#Headers],[Ausências Legais]])-2,0)*($G35-$H35)</f>
        <v>1.1432012916666665</v>
      </c>
      <c r="AY35" s="22">
        <f>VLOOKUP($A35,tabCustoUnit[],COLUMN(CUSTO_GLOBAL[[#Headers],[Licença Paternidade]])-2,0)*($G35-$H35)</f>
        <v>9.6310793749999998E-2</v>
      </c>
      <c r="AZ35" s="22">
        <f>VLOOKUP($A35,tabCustoUnit[],COLUMN(CUSTO_GLOBAL[[#Headers],[Ausência por Acidente de Trabalho]])-2,0)*($G35-$H35)</f>
        <v>0.1174521875</v>
      </c>
      <c r="BA35" s="22">
        <f>VLOOKUP($A35,tabCustoUnit[],COLUMN(CUSTO_GLOBAL[[#Headers],[Férias, Adicional de Férias e 13º  com empregada em gozo de Licença Maternidade]])-2,0)*($G35-$H35)</f>
        <v>0.73081361111111109</v>
      </c>
      <c r="BB35" s="22">
        <f>VLOOKUP($A35,tabCustoUnit[],COLUMN(CUSTO_GLOBAL[[#Headers],[Incidência do Submódulo 2.1 sobre Ausências Legais]])-2,0)*($G35-$H35)</f>
        <v>2.5887354761625003</v>
      </c>
      <c r="BC35" s="22">
        <f>VLOOKUP($A35,tabCustoUnit[],COLUMN(CUSTO_GLOBAL[[#Headers],[Submódulo 4.1]])-2,0)*($G35-$H35)</f>
        <v>9.4372420268569428</v>
      </c>
      <c r="BD35" s="22">
        <f>VLOOKUP($A35,tabCustoUnit[],COLUMN(CUSTO_GLOBAL[[#Headers],[Intervalo para Repouso ou Alimentação]])-2,0)*($G35-$H35)</f>
        <v>0</v>
      </c>
      <c r="BE35" s="22">
        <f>VLOOKUP($A35,tabCustoUnit[],COLUMN(CUSTO_GLOBAL[[#Headers],[Submódulo 4.2]])-2,0)*($G35-$H35)</f>
        <v>0</v>
      </c>
      <c r="BF35" s="22">
        <f>VLOOKUP($A35,tabCustoUnit[],COLUMN(CUSTO_GLOBAL[[#Headers],[Suspensão Temporária do Contrato de Trabalho]])-2,0)*($G35-$H35)</f>
        <v>0</v>
      </c>
      <c r="BG35" s="22">
        <f>VLOOKUP($A35,tabCustoUnit[],COLUMN(CUSTO_GLOBAL[[#Headers],[Submódulo 4.3]])-2,0)*($G35-$H35)</f>
        <v>0</v>
      </c>
      <c r="BH35" s="22">
        <f>VLOOKUP($A35,tabCustoUnit[],COLUMN(CUSTO_GLOBAL[[#Headers],[MÓDULO 4 – CUSTO DE REPOSIÇÃO DO PROFISSIONAL AUSENTE]])-2,0)*($G35-$H35)</f>
        <v>9.4372420268569428</v>
      </c>
      <c r="BI35" s="22">
        <f>VLOOKUP($A35,tabCustoUnit[],COLUMN(CUSTO_GLOBAL[[#Headers],[Uniformes e EPIs]])-2,0)*($G35-$H35)</f>
        <v>62.806666666666665</v>
      </c>
      <c r="BJ35" s="22">
        <f>VLOOKUP($A35,tabCustoUnit[],COLUMN(CUSTO_GLOBAL[[#Headers],[Materiais de Consumo]])-2,0)*($G35-$H35)</f>
        <v>12.108481690426325</v>
      </c>
      <c r="BK35" s="22">
        <f>VLOOKUP($A35,tabCustoUnit[],COLUMN(CUSTO_GLOBAL[[#Headers],[Máquinas e Equipamentos (depreciação)]])-2,0)*($G35-$H35)</f>
        <v>21.998657016417809</v>
      </c>
      <c r="BL35" s="22">
        <f>VLOOKUP($A35,tabCustoUnit[],COLUMN(CUSTO_GLOBAL[[#Headers],[Produtos de Limpeza e Materiais de Higiene Pessoal]])-2,0)*($G35-$H35)</f>
        <v>235.31984072022155</v>
      </c>
      <c r="BM35" s="22">
        <f>VLOOKUP($A35,tabCustoUnit[],COLUMN(CUSTO_GLOBAL[[#Headers],[Outros (especificar)]])-2,0)*($G35-$H35)</f>
        <v>0</v>
      </c>
      <c r="BN35" s="22">
        <f>VLOOKUP($A35,tabCustoUnit[],COLUMN(CUSTO_GLOBAL[[#Headers],[MÓDULO 5 – INSUMOS DIVERSOS]])-2,0)*($G35-$H35)</f>
        <v>332.23364609373232</v>
      </c>
      <c r="BO35" s="22">
        <f>VLOOKUP($A35,tabCustoUnit[],COLUMN(CUSTO_GLOBAL[[#Headers],[TOTAL MÓDULOS 1+2+3+4+5]])-2,0)*($G35-$H35)</f>
        <v>2155.0184999148137</v>
      </c>
      <c r="BP35" s="22">
        <f>VLOOKUP($A35,tabCustoUnit[],COLUMN(CUSTO_GLOBAL[[#Headers],[Custos Indiretos]])-2,0)*($G35-$H35)</f>
        <v>189.64880140242613</v>
      </c>
      <c r="BQ35" s="22">
        <f>VLOOKUP($A35,tabCustoUnit[],COLUMN(CUSTO_GLOBAL[[#Headers],[Lucro]])-2,0)*($G35-$H35)</f>
        <v>159.30499317803796</v>
      </c>
      <c r="BR35" s="26">
        <f>VLOOKUP($A35,tabCustoUnit[],COLUMN(CUSTO_GLOBAL[[#Headers],[COFINS]])-2,0)</f>
        <v>8.5633802816901458E-2</v>
      </c>
      <c r="BS35" s="26">
        <f>VLOOKUP($A35,tabCustoUnit[],COLUMN(CUSTO_GLOBAL[[#Headers],[PIS]])-2,0)</f>
        <v>1.8591549295774657E-2</v>
      </c>
      <c r="BT35" s="28">
        <f>VLOOKUP($A35,tabCustoUnit[],COLUMN(CUSTO_GLOBAL[[#Headers],[ISS]])-2,0)</f>
        <v>0.02</v>
      </c>
      <c r="BU35" s="26">
        <f>VLOOKUP($A35,tabCustoUnit[],COLUMN(CUSTO_GLOBAL[[#Headers],[ISS (Conversão Alíquota s/ fatura)]])-2,0)</f>
        <v>2.2535211267605645E-2</v>
      </c>
      <c r="BV35" s="26">
        <f>VLOOKUP($A35,tabCustoUnit[],COLUMN(CUSTO_GLOBAL[[#Headers],[Resumo de Alíquotas (PIS+CONFINS+ISS)]])-2,0)</f>
        <v>0.1125</v>
      </c>
      <c r="BW35" s="138">
        <f>VLOOKUP($A35,tabCustoUnit[],COLUMN(CUSTO_GLOBAL[[#Headers],[PIS + COFINS + ISS (Total Conversão  Alíquota s/ Fatura)]])-2,0)</f>
        <v>0.12676056338028174</v>
      </c>
      <c r="BX35" s="22">
        <f>VLOOKUP($A35,tabCustoUnit[],COLUMN(CUSTO_GLOBAL[[#Headers],[Valor dos Tributos (ISS, PIS, CONFINS)]])-2,0)*($G35-$H35)</f>
        <v>317.40493873883815</v>
      </c>
      <c r="BY35" s="22">
        <f>VLOOKUP($A35,tabCustoUnit[],COLUMN(CUSTO_GLOBAL[[#Headers],[MÓDULO 6 – CUSTOS INDIRETOS, TRIBUTOS E LUCRO]])-2,0)*($G35-$H35)</f>
        <v>666.35873331930225</v>
      </c>
      <c r="BZ35" s="22">
        <f>VLOOKUP($A35,tabCustoUnit[],COLUMN(CUSTO_GLOBAL[[#Headers],[CUSTO TOTAL MENSAL]])-2,0)*($G35-$H35)</f>
        <v>2821.3772332341159</v>
      </c>
      <c r="CA35" s="22">
        <f>CUSTO_GLOBAL[[#This Row],[CUSTO TOTAL MENSAL]]*12</f>
        <v>33856.526798809391</v>
      </c>
      <c r="CB35" s="24">
        <f>VLOOKUP($A35,tabCustoUnit[],COLUMN(CUSTO_GLOBAL[[#Headers],[ANO DA CCT]])-2,0)</f>
        <v>45658</v>
      </c>
      <c r="CC35" s="25" t="str">
        <f>VLOOKUP($A35,tabCustoUnit[],COLUMN(CUSTO_GLOBAL[[#Headers],[Nº DE PEDIDO DA CCT]])-2,0)</f>
        <v>-</v>
      </c>
      <c r="CD35" s="25" t="str">
        <f>VLOOKUP($A35,tabCustoUnit[],COLUMN(CUSTO_GLOBAL[[#Headers],[TERMO ADITIVO  ALTERAÇÃO DA CCT]])-2,0)</f>
        <v>-</v>
      </c>
      <c r="CF35" s="22"/>
      <c r="CG35" s="22"/>
    </row>
    <row r="36" spans="1:85" x14ac:dyDescent="0.25">
      <c r="A36" s="20" t="s">
        <v>1376</v>
      </c>
      <c r="B36" t="s">
        <v>36</v>
      </c>
      <c r="C36" t="s">
        <v>1244</v>
      </c>
      <c r="D36" t="s">
        <v>1023</v>
      </c>
      <c r="E36" s="20" t="s">
        <v>9</v>
      </c>
      <c r="F36" s="20" t="s">
        <v>10</v>
      </c>
      <c r="G36" s="20">
        <v>1</v>
      </c>
      <c r="H36" s="20">
        <v>0</v>
      </c>
      <c r="I36" s="21">
        <f>VLOOKUP($A36,tabCustoUnit[],COLUMN(CUSTO_GLOBAL[[#Headers],[Salário Base]])-2,0)*($G36-$H36)</f>
        <v>798.14</v>
      </c>
      <c r="J36" s="21">
        <f>VLOOKUP($A36,tabCustoUnit[],COLUMN(CUSTO_GLOBAL[[#Headers],[Adicional Periculosidade]])-2,0)*($G36-$H36)</f>
        <v>0</v>
      </c>
      <c r="K36" s="21">
        <f>VLOOKUP($A36,tabCustoUnit[],COLUMN(CUSTO_GLOBAL[[#Headers],[Adicional Insalubridade]])-2,0)*($G36-$H36)</f>
        <v>0</v>
      </c>
      <c r="L36" s="21">
        <f>VLOOKUP($A36,tabCustoUnit[],COLUMN(CUSTO_GLOBAL[[#Headers],[Adicional Noturno]])-2,0)*($G36-$H36)</f>
        <v>0</v>
      </c>
      <c r="M36" s="21">
        <f>VLOOKUP($A36,tabCustoUnit[],COLUMN(CUSTO_GLOBAL[[#Headers],[Adicional Motorista II (Gratificação)]])-2,0)*($G36-$H36)</f>
        <v>0</v>
      </c>
      <c r="N36" s="21">
        <f>VLOOKUP($A36,tabCustoUnit[],COLUMN(CUSTO_GLOBAL[[#Headers],[Adicional de Sobreaviso]])-2,0)*($G36-$H36)</f>
        <v>0</v>
      </c>
      <c r="O36" s="21">
        <f>VLOOKUP($A36,tabCustoUnit[],COLUMN(CUSTO_GLOBAL[[#Headers],[Horas Extras TI]])-2,0)*($G36-$H36)</f>
        <v>0</v>
      </c>
      <c r="P36" s="21">
        <f>VLOOKUP($A36,tabCustoUnit[],COLUMN(CUSTO_GLOBAL[[#Headers],[Adicional de Acúmulo de função]])-2,0)*($G36-$H36)</f>
        <v>26.120899999999999</v>
      </c>
      <c r="Q36" s="21">
        <f>VLOOKUP($A36,tabCustoUnit[],COLUMN(CUSTO_GLOBAL[[#Headers],[MODULO 1 - REMUNERAÇÃO ]])-2,0)*($G36-$H36)</f>
        <v>824.26089999999999</v>
      </c>
      <c r="R36" s="21">
        <f>VLOOKUP($A36,tabCustoUnit[],COLUMN(CUSTO_GLOBAL[[#Headers],[INSS]])-2,0)*($G36-$H36)</f>
        <v>164.85218</v>
      </c>
      <c r="S36" s="21">
        <f>VLOOKUP($A36,tabCustoUnit[],COLUMN(CUSTO_GLOBAL[[#Headers],[SESI OU SESC]])-2,0)*($G36-$H36)</f>
        <v>12.363913499999999</v>
      </c>
      <c r="T36" s="21">
        <f>VLOOKUP($A36,tabCustoUnit[],COLUMN(CUSTO_GLOBAL[[#Headers],[SENAI OU SENAC]])-2,0)*($G36-$H36)</f>
        <v>8.2426089999999999</v>
      </c>
      <c r="U36" s="21">
        <f>VLOOKUP($A36,tabCustoUnit[],COLUMN(CUSTO_GLOBAL[[#Headers],[INCRA]])-2,0)*($G36-$H36)</f>
        <v>1.6485217999999999</v>
      </c>
      <c r="V36" s="21">
        <f>VLOOKUP($A36,tabCustoUnit[],COLUMN(CUSTO_GLOBAL[[#Headers],[Salário Educação]])-2,0)*($G36-$H36)</f>
        <v>20.606522500000001</v>
      </c>
      <c r="W36" s="21">
        <f>VLOOKUP($A36,tabCustoUnit[],COLUMN(CUSTO_GLOBAL[[#Headers],[FGTS]])-2,0)*($G36-$H36)</f>
        <v>65.940871999999999</v>
      </c>
      <c r="X36" s="21">
        <f>VLOOKUP($A36,tabCustoUnit[],COLUMN(CUSTO_GLOBAL[[#Headers],[RAT Ajustado]])-2,0)*($G36-$H36)</f>
        <v>32.970435999999999</v>
      </c>
      <c r="Y36" s="21">
        <f>VLOOKUP($A36,tabCustoUnit[],COLUMN(CUSTO_GLOBAL[[#Headers],[SEBRAE]])-2,0)*($G36-$H36)</f>
        <v>4.9455654000000004</v>
      </c>
      <c r="Z36" s="21">
        <f>VLOOKUP($A36,tabCustoUnit[],COLUMN(CUSTO_GLOBAL[[#Headers],[Submódulo 2.1]])-2,0)*($G36-$H36)</f>
        <v>311.57062020000001</v>
      </c>
      <c r="AA36" s="21">
        <f>VLOOKUP($A36,tabCustoUnit[],COLUMN(CUSTO_GLOBAL[[#Headers],[13º salário (titular)]])-2,0)*($G36-$H36)</f>
        <v>68.688408333333328</v>
      </c>
      <c r="AB36" s="21">
        <f>VLOOKUP($A36,tabCustoUnit[],COLUMN(CUSTO_GLOBAL[[#Headers],[Férias e Adicional de Férias (titular)]])-2,0)*($G36-$H36)</f>
        <v>91.584544444444433</v>
      </c>
      <c r="AC36" s="21">
        <f>VLOOKUP($A36,tabCustoUnit[],COLUMN(CUSTO_GLOBAL[[#Headers],[Incidência do Submódulo 2.1 sobre 13º Salário, Férias e Adicional de Férias]])-2,0)*($G36-$H36)</f>
        <v>60.583176149999993</v>
      </c>
      <c r="AD36" s="21">
        <f>VLOOKUP($A36,tabCustoUnit[],COLUMN(CUSTO_GLOBAL[[#Headers],[Submódulo 2.2]])-2,0)*($G36-$H36)</f>
        <v>220.85612892777775</v>
      </c>
      <c r="AE36" s="22">
        <f>VLOOKUP($A36,tabCustoUnit[],COLUMN(CUSTO_GLOBAL[[#Headers],[Vale - Transporte (Descontada parcela do empregado)]])-2,0)*($G36-$H36)</f>
        <v>208.11160000000001</v>
      </c>
      <c r="AF36" s="22">
        <f>VLOOKUP($A36,tabCustoUnit[],COLUMN(CUSTO_GLOBAL[[#Headers],[Vale - Alimentação (Descontada parcela do empregado)]])-2,0)*($G36-$H36)</f>
        <v>582</v>
      </c>
      <c r="AG36" s="22">
        <f>VLOOKUP($A36,tabCustoUnit[],COLUMN(CUSTO_GLOBAL[[#Headers],[Cesta Básica]])-2,0)*($G36-$H36)</f>
        <v>0</v>
      </c>
      <c r="AH36" s="22">
        <f>VLOOKUP($A36,tabCustoUnit[],COLUMN(CUSTO_GLOBAL[[#Headers],[PAF]])-2,0)*($G36-$H36)</f>
        <v>0</v>
      </c>
      <c r="AI36" s="22">
        <f>VLOOKUP($A36,tabCustoUnit[],COLUMN(CUSTO_GLOBAL[[#Headers],[PQM]])-2,0)*($G36-$H36)</f>
        <v>0</v>
      </c>
      <c r="AJ36" s="22">
        <v>0</v>
      </c>
      <c r="AK36" s="22">
        <f>VLOOKUP($A36,tabCustoUnit[],COLUMN(CUSTO_GLOBAL[[#Headers],[Seguro de Vida]])-2,0)*($G36-$H36)</f>
        <v>3.36</v>
      </c>
      <c r="AL36" s="22">
        <f>VLOOKUP($A36,tabCustoUnit[],COLUMN(CUSTO_GLOBAL[[#Headers],[Despesas de Viagem]])-2,0)*($G36-$H36)</f>
        <v>0</v>
      </c>
      <c r="AM36" s="22">
        <f>VLOOKUP($A36,tabCustoUnit[],COLUMN(CUSTO_GLOBAL[[#Headers],[Submódulo 2.3]])-2,0)*($G36-$H36)</f>
        <v>793.47159999999997</v>
      </c>
      <c r="AN36" s="22">
        <f>VLOOKUP($A36,tabCustoUnit[],COLUMN(CUSTO_GLOBAL[[#Headers],[MÓDULO 2 - Total Encargos e Benefícios mensais e diários]])-2,0)*($G36-$H36)</f>
        <v>1325.8983491277777</v>
      </c>
      <c r="AO36" s="22">
        <f>VLOOKUP($A36,tabCustoUnit[],COLUMN(CUSTO_GLOBAL[[#Headers],[Aviso Prévio Indenizado (API) e Reflexo do Aviso Prévio Indenizado]])-2,0)*($G36-$H36)</f>
        <v>5.7795253576581791</v>
      </c>
      <c r="AP36" s="22">
        <f>VLOOKUP($A36,tabCustoUnit[],COLUMN(CUSTO_GLOBAL[[#Headers],[Incidência do FGTS sobre API e Reflexo do API]])-2,0)*($G36-$H36)</f>
        <v>0.46236202861265435</v>
      </c>
      <c r="AQ36" s="22">
        <f>VLOOKUP($A36,tabCustoUnit[],COLUMN(CUSTO_GLOBAL[[#Headers],[Multa Rescisória do FGTS sobre o Aviso Prévio Indenizado]])-2,0)*($G36-$H36)</f>
        <v>0.18494481144506175</v>
      </c>
      <c r="AR36" s="22">
        <f>VLOOKUP($A36,tabCustoUnit[],COLUMN(CUSTO_GLOBAL[[#Headers],[Aviso Prévio Trabalhado - APT]])-2,0)*($G36-$H36)</f>
        <v>2.8849131500000005</v>
      </c>
      <c r="AS36" s="22">
        <f>VLOOKUP($A36,tabCustoUnit[],COLUMN(CUSTO_GLOBAL[[#Headers],[Incidência dos encargos do submódulo 2.1 sobre Aviso Prévio Trabalhado]])-2,0)*($G36-$H36)</f>
        <v>1.0904971707000004</v>
      </c>
      <c r="AT36" s="22">
        <f>VLOOKUP($A36,tabCustoUnit[],COLUMN(CUSTO_GLOBAL[[#Headers],[Multa Rescisória do FGTS]])-2,0)*($G36-$H36)</f>
        <v>25.204066631111107</v>
      </c>
      <c r="AU36" s="22">
        <f>VLOOKUP($A36,tabCustoUnit[],COLUMN(CUSTO_GLOBAL[[#Headers],[Indenização Adicional (Art. 9º da Lei nº 7.238/84)]])-2,0)*($G36-$H36)</f>
        <v>0.6868840833333334</v>
      </c>
      <c r="AV36" s="22">
        <f>VLOOKUP($A36,tabCustoUnit[],COLUMN(CUSTO_GLOBAL[[#Headers],[MÓDULO 3 – PROVISÃO PARA RESCISÃO]])-2,0)*($G36-$H36)</f>
        <v>36.293193232860339</v>
      </c>
      <c r="AW36" s="22">
        <f>VLOOKUP($A36,tabCustoUnit[],COLUMN(CUSTO_GLOBAL[[#Headers],[Ausência por Doença]])-2,0)*($G36-$H36)</f>
        <v>6.9604253777777769</v>
      </c>
      <c r="AX36" s="22">
        <f>VLOOKUP($A36,tabCustoUnit[],COLUMN(CUSTO_GLOBAL[[#Headers],[Ausências Legais]])-2,0)*($G36-$H36)</f>
        <v>1.671417936111111</v>
      </c>
      <c r="AY36" s="22">
        <f>VLOOKUP($A36,tabCustoUnit[],COLUMN(CUSTO_GLOBAL[[#Headers],[Licença Paternidade]])-2,0)*($G36-$H36)</f>
        <v>0.14081123708333332</v>
      </c>
      <c r="AZ36" s="22">
        <f>VLOOKUP($A36,tabCustoUnit[],COLUMN(CUSTO_GLOBAL[[#Headers],[Ausência por Acidente de Trabalho]])-2,0)*($G36-$H36)</f>
        <v>0.17172102083333335</v>
      </c>
      <c r="BA36" s="22">
        <f>VLOOKUP($A36,tabCustoUnit[],COLUMN(CUSTO_GLOBAL[[#Headers],[Férias, Adicional de Férias e 13º  com empregada em gozo de Licença Maternidade]])-2,0)*($G36-$H36)</f>
        <v>1.0684863518518517</v>
      </c>
      <c r="BB36" s="22">
        <f>VLOOKUP($A36,tabCustoUnit[],COLUMN(CUSTO_GLOBAL[[#Headers],[Incidência do Submódulo 2.1 sobre Ausências Legais]])-2,0)*($G36-$H36)</f>
        <v>3.7848618071425006</v>
      </c>
      <c r="BC36" s="22">
        <f>VLOOKUP($A36,tabCustoUnit[],COLUMN(CUSTO_GLOBAL[[#Headers],[Submódulo 4.1]])-2,0)*($G36-$H36)</f>
        <v>13.797723730799909</v>
      </c>
      <c r="BD36" s="22">
        <f>VLOOKUP($A36,tabCustoUnit[],COLUMN(CUSTO_GLOBAL[[#Headers],[Intervalo para Repouso ou Alimentação]])-2,0)*($G36-$H36)</f>
        <v>0</v>
      </c>
      <c r="BE36" s="22">
        <f>VLOOKUP($A36,tabCustoUnit[],COLUMN(CUSTO_GLOBAL[[#Headers],[Submódulo 4.2]])-2,0)*($G36-$H36)</f>
        <v>0</v>
      </c>
      <c r="BF36" s="22">
        <f>VLOOKUP($A36,tabCustoUnit[],COLUMN(CUSTO_GLOBAL[[#Headers],[Suspensão Temporária do Contrato de Trabalho]])-2,0)*($G36-$H36)</f>
        <v>0</v>
      </c>
      <c r="BG36" s="22">
        <f>VLOOKUP($A36,tabCustoUnit[],COLUMN(CUSTO_GLOBAL[[#Headers],[Submódulo 4.3]])-2,0)*($G36-$H36)</f>
        <v>0</v>
      </c>
      <c r="BH36" s="22">
        <f>VLOOKUP($A36,tabCustoUnit[],COLUMN(CUSTO_GLOBAL[[#Headers],[MÓDULO 4 – CUSTO DE REPOSIÇÃO DO PROFISSIONAL AUSENTE]])-2,0)*($G36-$H36)</f>
        <v>13.797723730799909</v>
      </c>
      <c r="BI36" s="22">
        <f>VLOOKUP($A36,tabCustoUnit[],COLUMN(CUSTO_GLOBAL[[#Headers],[Uniformes e EPIs]])-2,0)*($G36-$H36)</f>
        <v>62.806666666666665</v>
      </c>
      <c r="BJ36" s="22">
        <f>VLOOKUP($A36,tabCustoUnit[],COLUMN(CUSTO_GLOBAL[[#Headers],[Materiais de Consumo]])-2,0)*($G36-$H36)</f>
        <v>17.759106479291944</v>
      </c>
      <c r="BK36" s="22">
        <f>VLOOKUP($A36,tabCustoUnit[],COLUMN(CUSTO_GLOBAL[[#Headers],[Máquinas e Equipamentos (depreciação)]])-2,0)*($G36-$H36)</f>
        <v>32.264696957412788</v>
      </c>
      <c r="BL36" s="22">
        <f>VLOOKUP($A36,tabCustoUnit[],COLUMN(CUSTO_GLOBAL[[#Headers],[Produtos de Limpeza e Materiais de Higiene Pessoal]])-2,0)*($G36-$H36)</f>
        <v>345.13576638965827</v>
      </c>
      <c r="BM36" s="22">
        <f>VLOOKUP($A36,tabCustoUnit[],COLUMN(CUSTO_GLOBAL[[#Headers],[Outros (especificar)]])-2,0)*($G36-$H36)</f>
        <v>0</v>
      </c>
      <c r="BN36" s="22">
        <f>VLOOKUP($A36,tabCustoUnit[],COLUMN(CUSTO_GLOBAL[[#Headers],[MÓDULO 5 – INSUMOS DIVERSOS]])-2,0)*($G36-$H36)</f>
        <v>457.96623649302967</v>
      </c>
      <c r="BO36" s="22">
        <f>VLOOKUP($A36,tabCustoUnit[],COLUMN(CUSTO_GLOBAL[[#Headers],[TOTAL MÓDULOS 1+2+3+4+5]])-2,0)*($G36-$H36)</f>
        <v>2658.2164025844677</v>
      </c>
      <c r="BP36" s="22">
        <f>VLOOKUP($A36,tabCustoUnit[],COLUMN(CUSTO_GLOBAL[[#Headers],[Custos Indiretos]])-2,0)*($G36-$H36)</f>
        <v>189.64880140242613</v>
      </c>
      <c r="BQ36" s="22">
        <f>VLOOKUP($A36,tabCustoUnit[],COLUMN(CUSTO_GLOBAL[[#Headers],[Lucro]])-2,0)*($G36-$H36)</f>
        <v>159.30499317803796</v>
      </c>
      <c r="BR36" s="26">
        <f>VLOOKUP($A36,tabCustoUnit[],COLUMN(CUSTO_GLOBAL[[#Headers],[COFINS]])-2,0)</f>
        <v>8.7608069164265154E-2</v>
      </c>
      <c r="BS36" s="26">
        <f>VLOOKUP($A36,tabCustoUnit[],COLUMN(CUSTO_GLOBAL[[#Headers],[PIS]])-2,0)</f>
        <v>1.9020172910662814E-2</v>
      </c>
      <c r="BT36" s="28">
        <f>VLOOKUP($A36,tabCustoUnit[],COLUMN(CUSTO_GLOBAL[[#Headers],[ISS]])-2,0)</f>
        <v>0.04</v>
      </c>
      <c r="BU36" s="26">
        <f>VLOOKUP($A36,tabCustoUnit[],COLUMN(CUSTO_GLOBAL[[#Headers],[ISS (Conversão Alíquota s/ fatura)]])-2,0)</f>
        <v>4.6109510086455294E-2</v>
      </c>
      <c r="BV36" s="26">
        <f>VLOOKUP($A36,tabCustoUnit[],COLUMN(CUSTO_GLOBAL[[#Headers],[Resumo de Alíquotas (PIS+CONFINS+ISS)]])-2,0)</f>
        <v>0.13250000000000001</v>
      </c>
      <c r="BW36" s="138">
        <f>VLOOKUP($A36,tabCustoUnit[],COLUMN(CUSTO_GLOBAL[[#Headers],[PIS + COFINS + ISS (Total Conversão  Alíquota s/ Fatura)]])-2,0)</f>
        <v>0.15273775216138324</v>
      </c>
      <c r="BX36" s="22">
        <f>VLOOKUP($A36,tabCustoUnit[],COLUMN(CUSTO_GLOBAL[[#Headers],[Valor dos Tributos (ISS, PIS, CONFINS)]])-2,0)*($G36-$H36)</f>
        <v>459.30841628167536</v>
      </c>
      <c r="BY36" s="22">
        <f>VLOOKUP($A36,tabCustoUnit[],COLUMN(CUSTO_GLOBAL[[#Headers],[MÓDULO 6 – CUSTOS INDIRETOS, TRIBUTOS E LUCRO]])-2,0)*($G36-$H36)</f>
        <v>808.26221086213945</v>
      </c>
      <c r="BZ36" s="22">
        <f>VLOOKUP($A36,tabCustoUnit[],COLUMN(CUSTO_GLOBAL[[#Headers],[CUSTO TOTAL MENSAL]])-2,0)*($G36-$H36)</f>
        <v>3466.4786134466071</v>
      </c>
      <c r="CA36" s="22">
        <f>CUSTO_GLOBAL[[#This Row],[CUSTO TOTAL MENSAL]]*12</f>
        <v>41597.743361359288</v>
      </c>
      <c r="CB36" s="24">
        <f>VLOOKUP($A36,tabCustoUnit[],COLUMN(CUSTO_GLOBAL[[#Headers],[ANO DA CCT]])-2,0)</f>
        <v>45658</v>
      </c>
      <c r="CC36" s="25" t="str">
        <f>VLOOKUP($A36,tabCustoUnit[],COLUMN(CUSTO_GLOBAL[[#Headers],[Nº DE PEDIDO DA CCT]])-2,0)</f>
        <v>-</v>
      </c>
      <c r="CD36" s="25" t="str">
        <f>VLOOKUP($A36,tabCustoUnit[],COLUMN(CUSTO_GLOBAL[[#Headers],[TERMO ADITIVO  ALTERAÇÃO DA CCT]])-2,0)</f>
        <v>-</v>
      </c>
      <c r="CF36" s="22"/>
      <c r="CG36" s="22"/>
    </row>
    <row r="37" spans="1:85" x14ac:dyDescent="0.25">
      <c r="A37" s="20" t="s">
        <v>1377</v>
      </c>
      <c r="B37" t="s">
        <v>37</v>
      </c>
      <c r="C37" t="s">
        <v>1245</v>
      </c>
      <c r="D37" t="s">
        <v>1041</v>
      </c>
      <c r="E37" s="20" t="s">
        <v>9</v>
      </c>
      <c r="F37" s="20" t="s">
        <v>10</v>
      </c>
      <c r="G37" s="20">
        <v>1</v>
      </c>
      <c r="H37" s="20">
        <v>0</v>
      </c>
      <c r="I37" s="21">
        <f>VLOOKUP($A37,tabCustoUnit[],COLUMN(CUSTO_GLOBAL[[#Headers],[Salário Base]])-2,0)*($G37-$H37)</f>
        <v>1596.28</v>
      </c>
      <c r="J37" s="21">
        <f>VLOOKUP($A37,tabCustoUnit[],COLUMN(CUSTO_GLOBAL[[#Headers],[Adicional Periculosidade]])-2,0)*($G37-$H37)</f>
        <v>0</v>
      </c>
      <c r="K37" s="21">
        <f>VLOOKUP($A37,tabCustoUnit[],COLUMN(CUSTO_GLOBAL[[#Headers],[Adicional Insalubridade]])-2,0)*($G37-$H37)</f>
        <v>0</v>
      </c>
      <c r="L37" s="21">
        <f>VLOOKUP($A37,tabCustoUnit[],COLUMN(CUSTO_GLOBAL[[#Headers],[Adicional Noturno]])-2,0)*($G37-$H37)</f>
        <v>0</v>
      </c>
      <c r="M37" s="21">
        <f>VLOOKUP($A37,tabCustoUnit[],COLUMN(CUSTO_GLOBAL[[#Headers],[Adicional Motorista II (Gratificação)]])-2,0)*($G37-$H37)</f>
        <v>0</v>
      </c>
      <c r="N37" s="21">
        <f>VLOOKUP($A37,tabCustoUnit[],COLUMN(CUSTO_GLOBAL[[#Headers],[Adicional de Sobreaviso]])-2,0)*($G37-$H37)</f>
        <v>0</v>
      </c>
      <c r="O37" s="21">
        <f>VLOOKUP($A37,tabCustoUnit[],COLUMN(CUSTO_GLOBAL[[#Headers],[Horas Extras TI]])-2,0)*($G37-$H37)</f>
        <v>0</v>
      </c>
      <c r="P37" s="21">
        <f>VLOOKUP($A37,tabCustoUnit[],COLUMN(CUSTO_GLOBAL[[#Headers],[Adicional de Acúmulo de função]])-2,0)*($G37-$H37)</f>
        <v>52.241900000000001</v>
      </c>
      <c r="Q37" s="21">
        <f>VLOOKUP($A37,tabCustoUnit[],COLUMN(CUSTO_GLOBAL[[#Headers],[MODULO 1 - REMUNERAÇÃO ]])-2,0)*($G37-$H37)</f>
        <v>1648.5219</v>
      </c>
      <c r="R37" s="21">
        <f>VLOOKUP($A37,tabCustoUnit[],COLUMN(CUSTO_GLOBAL[[#Headers],[INSS]])-2,0)*($G37-$H37)</f>
        <v>329.70438000000001</v>
      </c>
      <c r="S37" s="21">
        <f>VLOOKUP($A37,tabCustoUnit[],COLUMN(CUSTO_GLOBAL[[#Headers],[SESI OU SESC]])-2,0)*($G37-$H37)</f>
        <v>24.727828499999998</v>
      </c>
      <c r="T37" s="21">
        <f>VLOOKUP($A37,tabCustoUnit[],COLUMN(CUSTO_GLOBAL[[#Headers],[SENAI OU SENAC]])-2,0)*($G37-$H37)</f>
        <v>16.485219000000001</v>
      </c>
      <c r="U37" s="21">
        <f>VLOOKUP($A37,tabCustoUnit[],COLUMN(CUSTO_GLOBAL[[#Headers],[INCRA]])-2,0)*($G37-$H37)</f>
        <v>3.2970438</v>
      </c>
      <c r="V37" s="21">
        <f>VLOOKUP($A37,tabCustoUnit[],COLUMN(CUSTO_GLOBAL[[#Headers],[Salário Educação]])-2,0)*($G37-$H37)</f>
        <v>41.213047500000002</v>
      </c>
      <c r="W37" s="21">
        <f>VLOOKUP($A37,tabCustoUnit[],COLUMN(CUSTO_GLOBAL[[#Headers],[FGTS]])-2,0)*($G37-$H37)</f>
        <v>131.88175200000001</v>
      </c>
      <c r="X37" s="21">
        <f>VLOOKUP($A37,tabCustoUnit[],COLUMN(CUSTO_GLOBAL[[#Headers],[RAT Ajustado]])-2,0)*($G37-$H37)</f>
        <v>65.940876000000003</v>
      </c>
      <c r="Y37" s="21">
        <f>VLOOKUP($A37,tabCustoUnit[],COLUMN(CUSTO_GLOBAL[[#Headers],[SEBRAE]])-2,0)*($G37-$H37)</f>
        <v>9.8911314000000008</v>
      </c>
      <c r="Z37" s="21">
        <f>VLOOKUP($A37,tabCustoUnit[],COLUMN(CUSTO_GLOBAL[[#Headers],[Submódulo 2.1]])-2,0)*($G37-$H37)</f>
        <v>623.14127819999999</v>
      </c>
      <c r="AA37" s="21">
        <f>VLOOKUP($A37,tabCustoUnit[],COLUMN(CUSTO_GLOBAL[[#Headers],[13º salário (titular)]])-2,0)*($G37-$H37)</f>
        <v>137.376825</v>
      </c>
      <c r="AB37" s="21">
        <f>VLOOKUP($A37,tabCustoUnit[],COLUMN(CUSTO_GLOBAL[[#Headers],[Férias e Adicional de Férias (titular)]])-2,0)*($G37-$H37)</f>
        <v>183.16909999999999</v>
      </c>
      <c r="AC37" s="21">
        <f>VLOOKUP($A37,tabCustoUnit[],COLUMN(CUSTO_GLOBAL[[#Headers],[Incidência do Submódulo 2.1 sobre 13º Salário, Férias e Adicional de Férias]])-2,0)*($G37-$H37)</f>
        <v>121.16635965</v>
      </c>
      <c r="AD37" s="21">
        <f>VLOOKUP($A37,tabCustoUnit[],COLUMN(CUSTO_GLOBAL[[#Headers],[Submódulo 2.2]])-2,0)*($G37-$H37)</f>
        <v>441.71228465000002</v>
      </c>
      <c r="AE37" s="22">
        <f>VLOOKUP($A37,tabCustoUnit[],COLUMN(CUSTO_GLOBAL[[#Headers],[Vale - Transporte (Descontada parcela do empregado)]])-2,0)*($G37-$H37)</f>
        <v>160.22320000000002</v>
      </c>
      <c r="AF37" s="22">
        <f>VLOOKUP($A37,tabCustoUnit[],COLUMN(CUSTO_GLOBAL[[#Headers],[Vale - Alimentação (Descontada parcela do empregado)]])-2,0)*($G37-$H37)</f>
        <v>582</v>
      </c>
      <c r="AG37" s="22">
        <f>VLOOKUP($A37,tabCustoUnit[],COLUMN(CUSTO_GLOBAL[[#Headers],[Cesta Básica]])-2,0)*($G37-$H37)</f>
        <v>0</v>
      </c>
      <c r="AH37" s="22">
        <f>VLOOKUP($A37,tabCustoUnit[],COLUMN(CUSTO_GLOBAL[[#Headers],[PAF]])-2,0)*($G37-$H37)</f>
        <v>51.86</v>
      </c>
      <c r="AI37" s="22">
        <f>VLOOKUP($A37,tabCustoUnit[],COLUMN(CUSTO_GLOBAL[[#Headers],[PQM]])-2,0)*($G37-$H37)</f>
        <v>0</v>
      </c>
      <c r="AJ37" s="22">
        <v>0</v>
      </c>
      <c r="AK37" s="22">
        <f>VLOOKUP($A37,tabCustoUnit[],COLUMN(CUSTO_GLOBAL[[#Headers],[Seguro de Vida]])-2,0)*($G37-$H37)</f>
        <v>3.36</v>
      </c>
      <c r="AL37" s="22">
        <f>VLOOKUP($A37,tabCustoUnit[],COLUMN(CUSTO_GLOBAL[[#Headers],[Despesas de Viagem]])-2,0)*($G37-$H37)</f>
        <v>0</v>
      </c>
      <c r="AM37" s="22">
        <f>VLOOKUP($A37,tabCustoUnit[],COLUMN(CUSTO_GLOBAL[[#Headers],[Submódulo 2.3]])-2,0)*($G37-$H37)</f>
        <v>797.44320000000005</v>
      </c>
      <c r="AN37" s="22">
        <f>VLOOKUP($A37,tabCustoUnit[],COLUMN(CUSTO_GLOBAL[[#Headers],[MÓDULO 2 - Total Encargos e Benefícios mensais e diários]])-2,0)*($G37-$H37)</f>
        <v>1862.2967628500001</v>
      </c>
      <c r="AO37" s="22">
        <f>VLOOKUP($A37,tabCustoUnit[],COLUMN(CUSTO_GLOBAL[[#Headers],[Aviso Prévio Indenizado (API) e Reflexo do Aviso Prévio Indenizado]])-2,0)*($G37-$H37)</f>
        <v>11.559051416493055</v>
      </c>
      <c r="AP37" s="22">
        <f>VLOOKUP($A37,tabCustoUnit[],COLUMN(CUSTO_GLOBAL[[#Headers],[Incidência do FGTS sobre API e Reflexo do API]])-2,0)*($G37-$H37)</f>
        <v>0.92472411331944449</v>
      </c>
      <c r="AQ37" s="22">
        <f>VLOOKUP($A37,tabCustoUnit[],COLUMN(CUSTO_GLOBAL[[#Headers],[Multa Rescisória do FGTS sobre o Aviso Prévio Indenizado]])-2,0)*($G37-$H37)</f>
        <v>0.36988964532777785</v>
      </c>
      <c r="AR37" s="22">
        <f>VLOOKUP($A37,tabCustoUnit[],COLUMN(CUSTO_GLOBAL[[#Headers],[Aviso Prévio Trabalhado - APT]])-2,0)*($G37-$H37)</f>
        <v>5.7698266500000006</v>
      </c>
      <c r="AS37" s="22">
        <f>VLOOKUP($A37,tabCustoUnit[],COLUMN(CUSTO_GLOBAL[[#Headers],[Incidência dos encargos do submódulo 2.1 sobre Aviso Prévio Trabalhado]])-2,0)*($G37-$H37)</f>
        <v>2.1809944737000007</v>
      </c>
      <c r="AT37" s="22">
        <f>VLOOKUP($A37,tabCustoUnit[],COLUMN(CUSTO_GLOBAL[[#Headers],[Multa Rescisória do FGTS]])-2,0)*($G37-$H37)</f>
        <v>50.40813631999999</v>
      </c>
      <c r="AU37" s="22">
        <f>VLOOKUP($A37,tabCustoUnit[],COLUMN(CUSTO_GLOBAL[[#Headers],[Indenização Adicional (Art. 9º da Lei nº 7.238/84)]])-2,0)*($G37-$H37)</f>
        <v>1.3737682500000001</v>
      </c>
      <c r="AV37" s="22">
        <f>VLOOKUP($A37,tabCustoUnit[],COLUMN(CUSTO_GLOBAL[[#Headers],[MÓDULO 3 – PROVISÃO PARA RESCISÃO]])-2,0)*($G37-$H37)</f>
        <v>72.586390868840269</v>
      </c>
      <c r="AW37" s="22">
        <f>VLOOKUP($A37,tabCustoUnit[],COLUMN(CUSTO_GLOBAL[[#Headers],[Ausência por Doença]])-2,0)*($G37-$H37)</f>
        <v>13.920851599999999</v>
      </c>
      <c r="AX37" s="22">
        <f>VLOOKUP($A37,tabCustoUnit[],COLUMN(CUSTO_GLOBAL[[#Headers],[Ausências Legais]])-2,0)*($G37-$H37)</f>
        <v>3.3428360749999997</v>
      </c>
      <c r="AY37" s="22">
        <f>VLOOKUP($A37,tabCustoUnit[],COLUMN(CUSTO_GLOBAL[[#Headers],[Licença Paternidade]])-2,0)*($G37-$H37)</f>
        <v>0.28162249125</v>
      </c>
      <c r="AZ37" s="22">
        <f>VLOOKUP($A37,tabCustoUnit[],COLUMN(CUSTO_GLOBAL[[#Headers],[Ausência por Acidente de Trabalho]])-2,0)*($G37-$H37)</f>
        <v>0.34344206250000003</v>
      </c>
      <c r="BA37" s="22">
        <f>VLOOKUP($A37,tabCustoUnit[],COLUMN(CUSTO_GLOBAL[[#Headers],[Férias, Adicional de Férias e 13º  com empregada em gozo de Licença Maternidade]])-2,0)*($G37-$H37)</f>
        <v>2.1369728333333331</v>
      </c>
      <c r="BB37" s="22">
        <f>VLOOKUP($A37,tabCustoUnit[],COLUMN(CUSTO_GLOBAL[[#Headers],[Incidência do Submódulo 2.1 sobre Ausências Legais]])-2,0)*($G37-$H37)</f>
        <v>7.5697240734675013</v>
      </c>
      <c r="BC37" s="22">
        <f>VLOOKUP($A37,tabCustoUnit[],COLUMN(CUSTO_GLOBAL[[#Headers],[Submódulo 4.1]])-2,0)*($G37-$H37)</f>
        <v>27.595449135550833</v>
      </c>
      <c r="BD37" s="22">
        <f>VLOOKUP($A37,tabCustoUnit[],COLUMN(CUSTO_GLOBAL[[#Headers],[Intervalo para Repouso ou Alimentação]])-2,0)*($G37-$H37)</f>
        <v>0</v>
      </c>
      <c r="BE37" s="22">
        <f>VLOOKUP($A37,tabCustoUnit[],COLUMN(CUSTO_GLOBAL[[#Headers],[Submódulo 4.2]])-2,0)*($G37-$H37)</f>
        <v>0</v>
      </c>
      <c r="BF37" s="22">
        <f>VLOOKUP($A37,tabCustoUnit[],COLUMN(CUSTO_GLOBAL[[#Headers],[Suspensão Temporária do Contrato de Trabalho]])-2,0)*($G37-$H37)</f>
        <v>0</v>
      </c>
      <c r="BG37" s="22">
        <f>VLOOKUP($A37,tabCustoUnit[],COLUMN(CUSTO_GLOBAL[[#Headers],[Submódulo 4.3]])-2,0)*($G37-$H37)</f>
        <v>0</v>
      </c>
      <c r="BH37" s="22">
        <f>VLOOKUP($A37,tabCustoUnit[],COLUMN(CUSTO_GLOBAL[[#Headers],[MÓDULO 4 – CUSTO DE REPOSIÇÃO DO PROFISSIONAL AUSENTE]])-2,0)*($G37-$H37)</f>
        <v>27.595449135550833</v>
      </c>
      <c r="BI37" s="22">
        <f>VLOOKUP($A37,tabCustoUnit[],COLUMN(CUSTO_GLOBAL[[#Headers],[Uniformes e EPIs]])-2,0)*($G37-$H37)</f>
        <v>100.80916666666666</v>
      </c>
      <c r="BJ37" s="22">
        <f>VLOOKUP($A37,tabCustoUnit[],COLUMN(CUSTO_GLOBAL[[#Headers],[Materiais de Consumo]])-2,0)*($G37-$H37)</f>
        <v>35.518212958583888</v>
      </c>
      <c r="BK37" s="22">
        <f>VLOOKUP($A37,tabCustoUnit[],COLUMN(CUSTO_GLOBAL[[#Headers],[Máquinas e Equipamentos (depreciação)]])-2,0)*($G37-$H37)</f>
        <v>64.529393914825576</v>
      </c>
      <c r="BL37" s="22">
        <f>VLOOKUP($A37,tabCustoUnit[],COLUMN(CUSTO_GLOBAL[[#Headers],[Produtos de Limpeza e Materiais de Higiene Pessoal]])-2,0)*($G37-$H37)</f>
        <v>690.27153277931654</v>
      </c>
      <c r="BM37" s="22">
        <f>VLOOKUP($A37,tabCustoUnit[],COLUMN(CUSTO_GLOBAL[[#Headers],[Outros (especificar)]])-2,0)*($G37-$H37)</f>
        <v>0</v>
      </c>
      <c r="BN37" s="22">
        <f>VLOOKUP($A37,tabCustoUnit[],COLUMN(CUSTO_GLOBAL[[#Headers],[MÓDULO 5 – INSUMOS DIVERSOS]])-2,0)*($G37-$H37)</f>
        <v>891.12830631939266</v>
      </c>
      <c r="BO37" s="22">
        <f>VLOOKUP($A37,tabCustoUnit[],COLUMN(CUSTO_GLOBAL[[#Headers],[TOTAL MÓDULOS 1+2+3+4+5]])-2,0)*($G37-$H37)</f>
        <v>4502.1288091737833</v>
      </c>
      <c r="BP37" s="22">
        <f>VLOOKUP($A37,tabCustoUnit[],COLUMN(CUSTO_GLOBAL[[#Headers],[Custos Indiretos]])-2,0)*($G37-$H37)</f>
        <v>189.64880140242613</v>
      </c>
      <c r="BQ37" s="22">
        <f>VLOOKUP($A37,tabCustoUnit[],COLUMN(CUSTO_GLOBAL[[#Headers],[Lucro]])-2,0)*($G37-$H37)</f>
        <v>159.30499317803796</v>
      </c>
      <c r="BR37" s="26">
        <f>VLOOKUP($A37,tabCustoUnit[],COLUMN(CUSTO_GLOBAL[[#Headers],[COFINS]])-2,0)</f>
        <v>8.8629737609329504E-2</v>
      </c>
      <c r="BS37" s="26">
        <f>VLOOKUP($A37,tabCustoUnit[],COLUMN(CUSTO_GLOBAL[[#Headers],[PIS]])-2,0)</f>
        <v>1.9241982507288629E-2</v>
      </c>
      <c r="BT37" s="28">
        <f>VLOOKUP($A37,tabCustoUnit[],COLUMN(CUSTO_GLOBAL[[#Headers],[ISS]])-2,0)</f>
        <v>0.05</v>
      </c>
      <c r="BU37" s="26">
        <f>VLOOKUP($A37,tabCustoUnit[],COLUMN(CUSTO_GLOBAL[[#Headers],[ISS (Conversão Alíquota s/ fatura)]])-2,0)</f>
        <v>5.8309037900874633E-2</v>
      </c>
      <c r="BV37" s="26">
        <f>VLOOKUP($A37,tabCustoUnit[],COLUMN(CUSTO_GLOBAL[[#Headers],[Resumo de Alíquotas (PIS+CONFINS+ISS)]])-2,0)</f>
        <v>0.14250000000000002</v>
      </c>
      <c r="BW37" s="138">
        <f>VLOOKUP($A37,tabCustoUnit[],COLUMN(CUSTO_GLOBAL[[#Headers],[PIS + COFINS + ISS (Total Conversão  Alíquota s/ Fatura)]])-2,0)</f>
        <v>0.16618075801749277</v>
      </c>
      <c r="BX37" s="22">
        <f>VLOOKUP($A37,tabCustoUnit[],COLUMN(CUSTO_GLOBAL[[#Headers],[Valor dos Tributos (ISS, PIS, CONFINS)]])-2,0)*($G37-$H37)</f>
        <v>806.15658429735333</v>
      </c>
      <c r="BY37" s="22">
        <f>VLOOKUP($A37,tabCustoUnit[],COLUMN(CUSTO_GLOBAL[[#Headers],[MÓDULO 6 – CUSTOS INDIRETOS, TRIBUTOS E LUCRO]])-2,0)*($G37-$H37)</f>
        <v>1155.1103788778173</v>
      </c>
      <c r="BZ37" s="22">
        <f>VLOOKUP($A37,tabCustoUnit[],COLUMN(CUSTO_GLOBAL[[#Headers],[CUSTO TOTAL MENSAL]])-2,0)*($G37-$H37)</f>
        <v>5657.2391880516006</v>
      </c>
      <c r="CA37" s="22">
        <f>CUSTO_GLOBAL[[#This Row],[CUSTO TOTAL MENSAL]]*12</f>
        <v>67886.870256619208</v>
      </c>
      <c r="CB37" s="24">
        <f>VLOOKUP($A37,tabCustoUnit[],COLUMN(CUSTO_GLOBAL[[#Headers],[ANO DA CCT]])-2,0)</f>
        <v>45658</v>
      </c>
      <c r="CC37" s="25" t="str">
        <f>VLOOKUP($A37,tabCustoUnit[],COLUMN(CUSTO_GLOBAL[[#Headers],[Nº DE PEDIDO DA CCT]])-2,0)</f>
        <v>-</v>
      </c>
      <c r="CD37" s="25" t="str">
        <f>VLOOKUP($A37,tabCustoUnit[],COLUMN(CUSTO_GLOBAL[[#Headers],[TERMO ADITIVO  ALTERAÇÃO DA CCT]])-2,0)</f>
        <v>-</v>
      </c>
      <c r="CF37" s="22"/>
      <c r="CG37" s="22"/>
    </row>
    <row r="38" spans="1:85" x14ac:dyDescent="0.25">
      <c r="A38" s="20" t="s">
        <v>1378</v>
      </c>
      <c r="B38" t="s">
        <v>38</v>
      </c>
      <c r="C38" t="s">
        <v>1245</v>
      </c>
      <c r="D38" t="s">
        <v>1000</v>
      </c>
      <c r="E38" s="20" t="s">
        <v>9</v>
      </c>
      <c r="F38" s="20" t="s">
        <v>10</v>
      </c>
      <c r="G38" s="20">
        <v>1</v>
      </c>
      <c r="H38" s="20">
        <v>0</v>
      </c>
      <c r="I38" s="21">
        <f>VLOOKUP($A38,tabCustoUnit[],COLUMN(CUSTO_GLOBAL[[#Headers],[Salário Base]])-2,0)*($G38-$H38)</f>
        <v>1596.28</v>
      </c>
      <c r="J38" s="21">
        <f>VLOOKUP($A38,tabCustoUnit[],COLUMN(CUSTO_GLOBAL[[#Headers],[Adicional Periculosidade]])-2,0)*($G38-$H38)</f>
        <v>0</v>
      </c>
      <c r="K38" s="21">
        <f>VLOOKUP($A38,tabCustoUnit[],COLUMN(CUSTO_GLOBAL[[#Headers],[Adicional Insalubridade]])-2,0)*($G38-$H38)</f>
        <v>0</v>
      </c>
      <c r="L38" s="21">
        <f>VLOOKUP($A38,tabCustoUnit[],COLUMN(CUSTO_GLOBAL[[#Headers],[Adicional Noturno]])-2,0)*($G38-$H38)</f>
        <v>0</v>
      </c>
      <c r="M38" s="21">
        <f>VLOOKUP($A38,tabCustoUnit[],COLUMN(CUSTO_GLOBAL[[#Headers],[Adicional Motorista II (Gratificação)]])-2,0)*($G38-$H38)</f>
        <v>0</v>
      </c>
      <c r="N38" s="21">
        <f>VLOOKUP($A38,tabCustoUnit[],COLUMN(CUSTO_GLOBAL[[#Headers],[Adicional de Sobreaviso]])-2,0)*($G38-$H38)</f>
        <v>0</v>
      </c>
      <c r="O38" s="21">
        <f>VLOOKUP($A38,tabCustoUnit[],COLUMN(CUSTO_GLOBAL[[#Headers],[Horas Extras TI]])-2,0)*($G38-$H38)</f>
        <v>0</v>
      </c>
      <c r="P38" s="21">
        <f>VLOOKUP($A38,tabCustoUnit[],COLUMN(CUSTO_GLOBAL[[#Headers],[Adicional de Acúmulo de função]])-2,0)*($G38-$H38)</f>
        <v>52.241900000000001</v>
      </c>
      <c r="Q38" s="21">
        <f>VLOOKUP($A38,tabCustoUnit[],COLUMN(CUSTO_GLOBAL[[#Headers],[MODULO 1 - REMUNERAÇÃO ]])-2,0)*($G38-$H38)</f>
        <v>1648.5219</v>
      </c>
      <c r="R38" s="21">
        <f>VLOOKUP($A38,tabCustoUnit[],COLUMN(CUSTO_GLOBAL[[#Headers],[INSS]])-2,0)*($G38-$H38)</f>
        <v>329.70438000000001</v>
      </c>
      <c r="S38" s="21">
        <f>VLOOKUP($A38,tabCustoUnit[],COLUMN(CUSTO_GLOBAL[[#Headers],[SESI OU SESC]])-2,0)*($G38-$H38)</f>
        <v>24.727828499999998</v>
      </c>
      <c r="T38" s="21">
        <f>VLOOKUP($A38,tabCustoUnit[],COLUMN(CUSTO_GLOBAL[[#Headers],[SENAI OU SENAC]])-2,0)*($G38-$H38)</f>
        <v>16.485219000000001</v>
      </c>
      <c r="U38" s="21">
        <f>VLOOKUP($A38,tabCustoUnit[],COLUMN(CUSTO_GLOBAL[[#Headers],[INCRA]])-2,0)*($G38-$H38)</f>
        <v>3.2970438</v>
      </c>
      <c r="V38" s="21">
        <f>VLOOKUP($A38,tabCustoUnit[],COLUMN(CUSTO_GLOBAL[[#Headers],[Salário Educação]])-2,0)*($G38-$H38)</f>
        <v>41.213047500000002</v>
      </c>
      <c r="W38" s="21">
        <f>VLOOKUP($A38,tabCustoUnit[],COLUMN(CUSTO_GLOBAL[[#Headers],[FGTS]])-2,0)*($G38-$H38)</f>
        <v>131.88175200000001</v>
      </c>
      <c r="X38" s="21">
        <f>VLOOKUP($A38,tabCustoUnit[],COLUMN(CUSTO_GLOBAL[[#Headers],[RAT Ajustado]])-2,0)*($G38-$H38)</f>
        <v>65.940876000000003</v>
      </c>
      <c r="Y38" s="21">
        <f>VLOOKUP($A38,tabCustoUnit[],COLUMN(CUSTO_GLOBAL[[#Headers],[SEBRAE]])-2,0)*($G38-$H38)</f>
        <v>9.8911314000000008</v>
      </c>
      <c r="Z38" s="21">
        <f>VLOOKUP($A38,tabCustoUnit[],COLUMN(CUSTO_GLOBAL[[#Headers],[Submódulo 2.1]])-2,0)*($G38-$H38)</f>
        <v>623.14127819999999</v>
      </c>
      <c r="AA38" s="21">
        <f>VLOOKUP($A38,tabCustoUnit[],COLUMN(CUSTO_GLOBAL[[#Headers],[13º salário (titular)]])-2,0)*($G38-$H38)</f>
        <v>137.376825</v>
      </c>
      <c r="AB38" s="21">
        <f>VLOOKUP($A38,tabCustoUnit[],COLUMN(CUSTO_GLOBAL[[#Headers],[Férias e Adicional de Férias (titular)]])-2,0)*($G38-$H38)</f>
        <v>183.16909999999999</v>
      </c>
      <c r="AC38" s="21">
        <f>VLOOKUP($A38,tabCustoUnit[],COLUMN(CUSTO_GLOBAL[[#Headers],[Incidência do Submódulo 2.1 sobre 13º Salário, Férias e Adicional de Férias]])-2,0)*($G38-$H38)</f>
        <v>121.16635965</v>
      </c>
      <c r="AD38" s="21">
        <f>VLOOKUP($A38,tabCustoUnit[],COLUMN(CUSTO_GLOBAL[[#Headers],[Submódulo 2.2]])-2,0)*($G38-$H38)</f>
        <v>441.71228465000002</v>
      </c>
      <c r="AE38" s="22">
        <f>VLOOKUP($A38,tabCustoUnit[],COLUMN(CUSTO_GLOBAL[[#Headers],[Vale - Transporte (Descontada parcela do empregado)]])-2,0)*($G38-$H38)</f>
        <v>160.22320000000002</v>
      </c>
      <c r="AF38" s="22">
        <f>VLOOKUP($A38,tabCustoUnit[],COLUMN(CUSTO_GLOBAL[[#Headers],[Vale - Alimentação (Descontada parcela do empregado)]])-2,0)*($G38-$H38)</f>
        <v>582</v>
      </c>
      <c r="AG38" s="22">
        <f>VLOOKUP($A38,tabCustoUnit[],COLUMN(CUSTO_GLOBAL[[#Headers],[Cesta Básica]])-2,0)*($G38-$H38)</f>
        <v>0</v>
      </c>
      <c r="AH38" s="22">
        <f>VLOOKUP($A38,tabCustoUnit[],COLUMN(CUSTO_GLOBAL[[#Headers],[PAF]])-2,0)*($G38-$H38)</f>
        <v>0</v>
      </c>
      <c r="AI38" s="22">
        <f>VLOOKUP($A38,tabCustoUnit[],COLUMN(CUSTO_GLOBAL[[#Headers],[PQM]])-2,0)*($G38-$H38)</f>
        <v>15.07</v>
      </c>
      <c r="AJ38" s="22">
        <v>0</v>
      </c>
      <c r="AK38" s="22">
        <f>VLOOKUP($A38,tabCustoUnit[],COLUMN(CUSTO_GLOBAL[[#Headers],[Seguro de Vida]])-2,0)*($G38-$H38)</f>
        <v>3.36</v>
      </c>
      <c r="AL38" s="22">
        <f>VLOOKUP($A38,tabCustoUnit[],COLUMN(CUSTO_GLOBAL[[#Headers],[Despesas de Viagem]])-2,0)*($G38-$H38)</f>
        <v>0</v>
      </c>
      <c r="AM38" s="22">
        <f>VLOOKUP($A38,tabCustoUnit[],COLUMN(CUSTO_GLOBAL[[#Headers],[Submódulo 2.3]])-2,0)*($G38-$H38)</f>
        <v>760.65320000000008</v>
      </c>
      <c r="AN38" s="22">
        <f>VLOOKUP($A38,tabCustoUnit[],COLUMN(CUSTO_GLOBAL[[#Headers],[MÓDULO 2 - Total Encargos e Benefícios mensais e diários]])-2,0)*($G38-$H38)</f>
        <v>1825.5067628500001</v>
      </c>
      <c r="AO38" s="22">
        <f>VLOOKUP($A38,tabCustoUnit[],COLUMN(CUSTO_GLOBAL[[#Headers],[Aviso Prévio Indenizado (API) e Reflexo do Aviso Prévio Indenizado]])-2,0)*($G38-$H38)</f>
        <v>11.559051416493055</v>
      </c>
      <c r="AP38" s="22">
        <f>VLOOKUP($A38,tabCustoUnit[],COLUMN(CUSTO_GLOBAL[[#Headers],[Incidência do FGTS sobre API e Reflexo do API]])-2,0)*($G38-$H38)</f>
        <v>0.92472411331944449</v>
      </c>
      <c r="AQ38" s="22">
        <f>VLOOKUP($A38,tabCustoUnit[],COLUMN(CUSTO_GLOBAL[[#Headers],[Multa Rescisória do FGTS sobre o Aviso Prévio Indenizado]])-2,0)*($G38-$H38)</f>
        <v>0.36988964532777785</v>
      </c>
      <c r="AR38" s="22">
        <f>VLOOKUP($A38,tabCustoUnit[],COLUMN(CUSTO_GLOBAL[[#Headers],[Aviso Prévio Trabalhado - APT]])-2,0)*($G38-$H38)</f>
        <v>5.7698266500000006</v>
      </c>
      <c r="AS38" s="22">
        <f>VLOOKUP($A38,tabCustoUnit[],COLUMN(CUSTO_GLOBAL[[#Headers],[Incidência dos encargos do submódulo 2.1 sobre Aviso Prévio Trabalhado]])-2,0)*($G38-$H38)</f>
        <v>2.1809944737000007</v>
      </c>
      <c r="AT38" s="22">
        <f>VLOOKUP($A38,tabCustoUnit[],COLUMN(CUSTO_GLOBAL[[#Headers],[Multa Rescisória do FGTS]])-2,0)*($G38-$H38)</f>
        <v>50.40813631999999</v>
      </c>
      <c r="AU38" s="22">
        <f>VLOOKUP($A38,tabCustoUnit[],COLUMN(CUSTO_GLOBAL[[#Headers],[Indenização Adicional (Art. 9º da Lei nº 7.238/84)]])-2,0)*($G38-$H38)</f>
        <v>1.3737682500000001</v>
      </c>
      <c r="AV38" s="22">
        <f>VLOOKUP($A38,tabCustoUnit[],COLUMN(CUSTO_GLOBAL[[#Headers],[MÓDULO 3 – PROVISÃO PARA RESCISÃO]])-2,0)*($G38-$H38)</f>
        <v>72.586390868840269</v>
      </c>
      <c r="AW38" s="22">
        <f>VLOOKUP($A38,tabCustoUnit[],COLUMN(CUSTO_GLOBAL[[#Headers],[Ausência por Doença]])-2,0)*($G38-$H38)</f>
        <v>13.920851599999999</v>
      </c>
      <c r="AX38" s="22">
        <f>VLOOKUP($A38,tabCustoUnit[],COLUMN(CUSTO_GLOBAL[[#Headers],[Ausências Legais]])-2,0)*($G38-$H38)</f>
        <v>3.3428360749999997</v>
      </c>
      <c r="AY38" s="22">
        <f>VLOOKUP($A38,tabCustoUnit[],COLUMN(CUSTO_GLOBAL[[#Headers],[Licença Paternidade]])-2,0)*($G38-$H38)</f>
        <v>0.28162249125</v>
      </c>
      <c r="AZ38" s="22">
        <f>VLOOKUP($A38,tabCustoUnit[],COLUMN(CUSTO_GLOBAL[[#Headers],[Ausência por Acidente de Trabalho]])-2,0)*($G38-$H38)</f>
        <v>0.34344206250000003</v>
      </c>
      <c r="BA38" s="22">
        <f>VLOOKUP($A38,tabCustoUnit[],COLUMN(CUSTO_GLOBAL[[#Headers],[Férias, Adicional de Férias e 13º  com empregada em gozo de Licença Maternidade]])-2,0)*($G38-$H38)</f>
        <v>2.1369728333333331</v>
      </c>
      <c r="BB38" s="22">
        <f>VLOOKUP($A38,tabCustoUnit[],COLUMN(CUSTO_GLOBAL[[#Headers],[Incidência do Submódulo 2.1 sobre Ausências Legais]])-2,0)*($G38-$H38)</f>
        <v>7.5697240734675013</v>
      </c>
      <c r="BC38" s="22">
        <f>VLOOKUP($A38,tabCustoUnit[],COLUMN(CUSTO_GLOBAL[[#Headers],[Submódulo 4.1]])-2,0)*($G38-$H38)</f>
        <v>27.595449135550833</v>
      </c>
      <c r="BD38" s="22">
        <f>VLOOKUP($A38,tabCustoUnit[],COLUMN(CUSTO_GLOBAL[[#Headers],[Intervalo para Repouso ou Alimentação]])-2,0)*($G38-$H38)</f>
        <v>0</v>
      </c>
      <c r="BE38" s="22">
        <f>VLOOKUP($A38,tabCustoUnit[],COLUMN(CUSTO_GLOBAL[[#Headers],[Submódulo 4.2]])-2,0)*($G38-$H38)</f>
        <v>0</v>
      </c>
      <c r="BF38" s="22">
        <f>VLOOKUP($A38,tabCustoUnit[],COLUMN(CUSTO_GLOBAL[[#Headers],[Suspensão Temporária do Contrato de Trabalho]])-2,0)*($G38-$H38)</f>
        <v>0</v>
      </c>
      <c r="BG38" s="22">
        <f>VLOOKUP($A38,tabCustoUnit[],COLUMN(CUSTO_GLOBAL[[#Headers],[Submódulo 4.3]])-2,0)*($G38-$H38)</f>
        <v>0</v>
      </c>
      <c r="BH38" s="22">
        <f>VLOOKUP($A38,tabCustoUnit[],COLUMN(CUSTO_GLOBAL[[#Headers],[MÓDULO 4 – CUSTO DE REPOSIÇÃO DO PROFISSIONAL AUSENTE]])-2,0)*($G38-$H38)</f>
        <v>27.595449135550833</v>
      </c>
      <c r="BI38" s="22">
        <f>VLOOKUP($A38,tabCustoUnit[],COLUMN(CUSTO_GLOBAL[[#Headers],[Uniformes e EPIs]])-2,0)*($G38-$H38)</f>
        <v>100.80916666666666</v>
      </c>
      <c r="BJ38" s="22">
        <f>VLOOKUP($A38,tabCustoUnit[],COLUMN(CUSTO_GLOBAL[[#Headers],[Materiais de Consumo]])-2,0)*($G38-$H38)</f>
        <v>35.518212958583888</v>
      </c>
      <c r="BK38" s="22">
        <f>VLOOKUP($A38,tabCustoUnit[],COLUMN(CUSTO_GLOBAL[[#Headers],[Máquinas e Equipamentos (depreciação)]])-2,0)*($G38-$H38)</f>
        <v>64.529393914825576</v>
      </c>
      <c r="BL38" s="22">
        <f>VLOOKUP($A38,tabCustoUnit[],COLUMN(CUSTO_GLOBAL[[#Headers],[Produtos de Limpeza e Materiais de Higiene Pessoal]])-2,0)*($G38-$H38)</f>
        <v>690.27153277931654</v>
      </c>
      <c r="BM38" s="22">
        <f>VLOOKUP($A38,tabCustoUnit[],COLUMN(CUSTO_GLOBAL[[#Headers],[Outros (especificar)]])-2,0)*($G38-$H38)</f>
        <v>0</v>
      </c>
      <c r="BN38" s="22">
        <f>VLOOKUP($A38,tabCustoUnit[],COLUMN(CUSTO_GLOBAL[[#Headers],[MÓDULO 5 – INSUMOS DIVERSOS]])-2,0)*($G38-$H38)</f>
        <v>891.12830631939266</v>
      </c>
      <c r="BO38" s="22">
        <f>VLOOKUP($A38,tabCustoUnit[],COLUMN(CUSTO_GLOBAL[[#Headers],[TOTAL MÓDULOS 1+2+3+4+5]])-2,0)*($G38-$H38)</f>
        <v>4465.3388091737834</v>
      </c>
      <c r="BP38" s="22">
        <f>VLOOKUP($A38,tabCustoUnit[],COLUMN(CUSTO_GLOBAL[[#Headers],[Custos Indiretos]])-2,0)*($G38-$H38)</f>
        <v>189.64880140242613</v>
      </c>
      <c r="BQ38" s="22">
        <f>VLOOKUP($A38,tabCustoUnit[],COLUMN(CUSTO_GLOBAL[[#Headers],[Lucro]])-2,0)*($G38-$H38)</f>
        <v>159.30499317803796</v>
      </c>
      <c r="BR38" s="26">
        <f>VLOOKUP($A38,tabCustoUnit[],COLUMN(CUSTO_GLOBAL[[#Headers],[COFINS]])-2,0)</f>
        <v>8.6609686609686695E-2</v>
      </c>
      <c r="BS38" s="26">
        <f>VLOOKUP($A38,tabCustoUnit[],COLUMN(CUSTO_GLOBAL[[#Headers],[PIS]])-2,0)</f>
        <v>1.880341880341882E-2</v>
      </c>
      <c r="BT38" s="28">
        <f>VLOOKUP($A38,tabCustoUnit[],COLUMN(CUSTO_GLOBAL[[#Headers],[ISS]])-2,0)</f>
        <v>0.03</v>
      </c>
      <c r="BU38" s="26">
        <f>VLOOKUP($A38,tabCustoUnit[],COLUMN(CUSTO_GLOBAL[[#Headers],[ISS (Conversão Alíquota s/ fatura)]])-2,0)</f>
        <v>3.4188034188034219E-2</v>
      </c>
      <c r="BV38" s="26">
        <f>VLOOKUP($A38,tabCustoUnit[],COLUMN(CUSTO_GLOBAL[[#Headers],[Resumo de Alíquotas (PIS+CONFINS+ISS)]])-2,0)</f>
        <v>0.1225</v>
      </c>
      <c r="BW38" s="138">
        <f>VLOOKUP($A38,tabCustoUnit[],COLUMN(CUSTO_GLOBAL[[#Headers],[PIS + COFINS + ISS (Total Conversão  Alíquota s/ Fatura)]])-2,0)</f>
        <v>0.13960113960113973</v>
      </c>
      <c r="BX38" s="22">
        <f>VLOOKUP($A38,tabCustoUnit[],COLUMN(CUSTO_GLOBAL[[#Headers],[Valor dos Tributos (ISS, PIS, CONFINS)]])-2,0)*($G38-$H38)</f>
        <v>672.08073385743126</v>
      </c>
      <c r="BY38" s="22">
        <f>VLOOKUP($A38,tabCustoUnit[],COLUMN(CUSTO_GLOBAL[[#Headers],[MÓDULO 6 – CUSTOS INDIRETOS, TRIBUTOS E LUCRO]])-2,0)*($G38-$H38)</f>
        <v>1021.0345284378953</v>
      </c>
      <c r="BZ38" s="22">
        <f>VLOOKUP($A38,tabCustoUnit[],COLUMN(CUSTO_GLOBAL[[#Headers],[CUSTO TOTAL MENSAL]])-2,0)*($G38-$H38)</f>
        <v>5486.3733376116788</v>
      </c>
      <c r="CA38" s="22">
        <f>CUSTO_GLOBAL[[#This Row],[CUSTO TOTAL MENSAL]]*12</f>
        <v>65836.480051340142</v>
      </c>
      <c r="CB38" s="24">
        <f>VLOOKUP($A38,tabCustoUnit[],COLUMN(CUSTO_GLOBAL[[#Headers],[ANO DA CCT]])-2,0)</f>
        <v>45658</v>
      </c>
      <c r="CC38" s="25" t="str">
        <f>VLOOKUP($A38,tabCustoUnit[],COLUMN(CUSTO_GLOBAL[[#Headers],[Nº DE PEDIDO DA CCT]])-2,0)</f>
        <v>-</v>
      </c>
      <c r="CD38" s="25" t="str">
        <f>VLOOKUP($A38,tabCustoUnit[],COLUMN(CUSTO_GLOBAL[[#Headers],[TERMO ADITIVO  ALTERAÇÃO DA CCT]])-2,0)</f>
        <v>-</v>
      </c>
      <c r="CF38" s="22"/>
      <c r="CG38" s="22"/>
    </row>
    <row r="39" spans="1:85" x14ac:dyDescent="0.25">
      <c r="A39" s="20" t="s">
        <v>1379</v>
      </c>
      <c r="B39" t="s">
        <v>39</v>
      </c>
      <c r="C39" t="s">
        <v>1247</v>
      </c>
      <c r="D39" t="s">
        <v>1023</v>
      </c>
      <c r="E39" s="20" t="s">
        <v>9</v>
      </c>
      <c r="F39" s="20" t="s">
        <v>10</v>
      </c>
      <c r="G39" s="20">
        <v>1</v>
      </c>
      <c r="H39" s="20">
        <v>0</v>
      </c>
      <c r="I39" s="21">
        <f>VLOOKUP($A39,tabCustoUnit[],COLUMN(CUSTO_GLOBAL[[#Headers],[Salário Base]])-2,0)*($G39-$H39)</f>
        <v>544.17999999999995</v>
      </c>
      <c r="J39" s="21">
        <f>VLOOKUP($A39,tabCustoUnit[],COLUMN(CUSTO_GLOBAL[[#Headers],[Adicional Periculosidade]])-2,0)*($G39-$H39)</f>
        <v>0</v>
      </c>
      <c r="K39" s="21">
        <f>VLOOKUP($A39,tabCustoUnit[],COLUMN(CUSTO_GLOBAL[[#Headers],[Adicional Insalubridade]])-2,0)*($G39-$H39)</f>
        <v>0</v>
      </c>
      <c r="L39" s="21">
        <f>VLOOKUP($A39,tabCustoUnit[],COLUMN(CUSTO_GLOBAL[[#Headers],[Adicional Noturno]])-2,0)*($G39-$H39)</f>
        <v>0</v>
      </c>
      <c r="M39" s="21">
        <f>VLOOKUP($A39,tabCustoUnit[],COLUMN(CUSTO_GLOBAL[[#Headers],[Adicional Motorista II (Gratificação)]])-2,0)*($G39-$H39)</f>
        <v>0</v>
      </c>
      <c r="N39" s="21">
        <f>VLOOKUP($A39,tabCustoUnit[],COLUMN(CUSTO_GLOBAL[[#Headers],[Adicional de Sobreaviso]])-2,0)*($G39-$H39)</f>
        <v>0</v>
      </c>
      <c r="O39" s="21">
        <f>VLOOKUP($A39,tabCustoUnit[],COLUMN(CUSTO_GLOBAL[[#Headers],[Horas Extras TI]])-2,0)*($G39-$H39)</f>
        <v>0</v>
      </c>
      <c r="P39" s="21">
        <f>VLOOKUP($A39,tabCustoUnit[],COLUMN(CUSTO_GLOBAL[[#Headers],[Adicional de Acúmulo de função]])-2,0)*($G39-$H39)</f>
        <v>19.590499999999999</v>
      </c>
      <c r="Q39" s="21">
        <f>VLOOKUP($A39,tabCustoUnit[],COLUMN(CUSTO_GLOBAL[[#Headers],[MODULO 1 - REMUNERAÇÃO ]])-2,0)*($G39-$H39)</f>
        <v>563.77049999999997</v>
      </c>
      <c r="R39" s="21">
        <f>VLOOKUP($A39,tabCustoUnit[],COLUMN(CUSTO_GLOBAL[[#Headers],[INSS]])-2,0)*($G39-$H39)</f>
        <v>112.75409999999999</v>
      </c>
      <c r="S39" s="21">
        <f>VLOOKUP($A39,tabCustoUnit[],COLUMN(CUSTO_GLOBAL[[#Headers],[SESI OU SESC]])-2,0)*($G39-$H39)</f>
        <v>8.4565574999999988</v>
      </c>
      <c r="T39" s="21">
        <f>VLOOKUP($A39,tabCustoUnit[],COLUMN(CUSTO_GLOBAL[[#Headers],[SENAI OU SENAC]])-2,0)*($G39-$H39)</f>
        <v>5.6377049999999995</v>
      </c>
      <c r="U39" s="21">
        <f>VLOOKUP($A39,tabCustoUnit[],COLUMN(CUSTO_GLOBAL[[#Headers],[INCRA]])-2,0)*($G39-$H39)</f>
        <v>1.1275409999999999</v>
      </c>
      <c r="V39" s="21">
        <f>VLOOKUP($A39,tabCustoUnit[],COLUMN(CUSTO_GLOBAL[[#Headers],[Salário Educação]])-2,0)*($G39-$H39)</f>
        <v>14.094262499999999</v>
      </c>
      <c r="W39" s="21">
        <f>VLOOKUP($A39,tabCustoUnit[],COLUMN(CUSTO_GLOBAL[[#Headers],[FGTS]])-2,0)*($G39-$H39)</f>
        <v>45.101639999999996</v>
      </c>
      <c r="X39" s="21">
        <f>VLOOKUP($A39,tabCustoUnit[],COLUMN(CUSTO_GLOBAL[[#Headers],[RAT Ajustado]])-2,0)*($G39-$H39)</f>
        <v>22.550819999999998</v>
      </c>
      <c r="Y39" s="21">
        <f>VLOOKUP($A39,tabCustoUnit[],COLUMN(CUSTO_GLOBAL[[#Headers],[SEBRAE]])-2,0)*($G39-$H39)</f>
        <v>3.3826229999999997</v>
      </c>
      <c r="Z39" s="21">
        <f>VLOOKUP($A39,tabCustoUnit[],COLUMN(CUSTO_GLOBAL[[#Headers],[Submódulo 2.1]])-2,0)*($G39-$H39)</f>
        <v>213.10524899999996</v>
      </c>
      <c r="AA39" s="21">
        <f>VLOOKUP($A39,tabCustoUnit[],COLUMN(CUSTO_GLOBAL[[#Headers],[13º salário (titular)]])-2,0)*($G39-$H39)</f>
        <v>46.980874999999997</v>
      </c>
      <c r="AB39" s="21">
        <f>VLOOKUP($A39,tabCustoUnit[],COLUMN(CUSTO_GLOBAL[[#Headers],[Férias e Adicional de Férias (titular)]])-2,0)*($G39-$H39)</f>
        <v>62.641166666666663</v>
      </c>
      <c r="AC39" s="21">
        <f>VLOOKUP($A39,tabCustoUnit[],COLUMN(CUSTO_GLOBAL[[#Headers],[Incidência do Submódulo 2.1 sobre 13º Salário, Férias e Adicional de Férias]])-2,0)*($G39-$H39)</f>
        <v>41.437131749999992</v>
      </c>
      <c r="AD39" s="21">
        <f>VLOOKUP($A39,tabCustoUnit[],COLUMN(CUSTO_GLOBAL[[#Headers],[Submódulo 2.2]])-2,0)*($G39-$H39)</f>
        <v>151.05917341666665</v>
      </c>
      <c r="AE39" s="22">
        <f>VLOOKUP($A39,tabCustoUnit[],COLUMN(CUSTO_GLOBAL[[#Headers],[Vale - Transporte (Descontada parcela do empregado)]])-2,0)*($G39-$H39)</f>
        <v>223.3492</v>
      </c>
      <c r="AF39" s="22">
        <f>VLOOKUP($A39,tabCustoUnit[],COLUMN(CUSTO_GLOBAL[[#Headers],[Vale - Alimentação (Descontada parcela do empregado)]])-2,0)*($G39-$H39)</f>
        <v>582</v>
      </c>
      <c r="AG39" s="22">
        <f>VLOOKUP($A39,tabCustoUnit[],COLUMN(CUSTO_GLOBAL[[#Headers],[Cesta Básica]])-2,0)*($G39-$H39)</f>
        <v>0</v>
      </c>
      <c r="AH39" s="22">
        <f>VLOOKUP($A39,tabCustoUnit[],COLUMN(CUSTO_GLOBAL[[#Headers],[PAF]])-2,0)*($G39-$H39)</f>
        <v>0</v>
      </c>
      <c r="AI39" s="22">
        <f>VLOOKUP($A39,tabCustoUnit[],COLUMN(CUSTO_GLOBAL[[#Headers],[PQM]])-2,0)*($G39-$H39)</f>
        <v>0</v>
      </c>
      <c r="AJ39" s="22">
        <v>0</v>
      </c>
      <c r="AK39" s="22">
        <f>VLOOKUP($A39,tabCustoUnit[],COLUMN(CUSTO_GLOBAL[[#Headers],[Seguro de Vida]])-2,0)*($G39-$H39)</f>
        <v>3.36</v>
      </c>
      <c r="AL39" s="22">
        <f>VLOOKUP($A39,tabCustoUnit[],COLUMN(CUSTO_GLOBAL[[#Headers],[Despesas de Viagem]])-2,0)*($G39-$H39)</f>
        <v>0</v>
      </c>
      <c r="AM39" s="22">
        <f>VLOOKUP($A39,tabCustoUnit[],COLUMN(CUSTO_GLOBAL[[#Headers],[Submódulo 2.3]])-2,0)*($G39-$H39)</f>
        <v>808.70920000000001</v>
      </c>
      <c r="AN39" s="22">
        <f>VLOOKUP($A39,tabCustoUnit[],COLUMN(CUSTO_GLOBAL[[#Headers],[MÓDULO 2 - Total Encargos e Benefícios mensais e diários]])-2,0)*($G39-$H39)</f>
        <v>1172.8736224166666</v>
      </c>
      <c r="AO39" s="22">
        <f>VLOOKUP($A39,tabCustoUnit[],COLUMN(CUSTO_GLOBAL[[#Headers],[Aviso Prévio Indenizado (API) e Reflexo do Aviso Prévio Indenizado]])-2,0)*($G39-$H39)</f>
        <v>3.9530273735532404</v>
      </c>
      <c r="AP39" s="22">
        <f>VLOOKUP($A39,tabCustoUnit[],COLUMN(CUSTO_GLOBAL[[#Headers],[Incidência do FGTS sobre API e Reflexo do API]])-2,0)*($G39-$H39)</f>
        <v>0.31624218988425928</v>
      </c>
      <c r="AQ39" s="22">
        <f>VLOOKUP($A39,tabCustoUnit[],COLUMN(CUSTO_GLOBAL[[#Headers],[Multa Rescisória do FGTS sobre o Aviso Prévio Indenizado]])-2,0)*($G39-$H39)</f>
        <v>0.12649687595370371</v>
      </c>
      <c r="AR39" s="22">
        <f>VLOOKUP($A39,tabCustoUnit[],COLUMN(CUSTO_GLOBAL[[#Headers],[Aviso Prévio Trabalhado - APT]])-2,0)*($G39-$H39)</f>
        <v>1.9731967500000003</v>
      </c>
      <c r="AS39" s="22">
        <f>VLOOKUP($A39,tabCustoUnit[],COLUMN(CUSTO_GLOBAL[[#Headers],[Incidência dos encargos do submódulo 2.1 sobre Aviso Prévio Trabalhado]])-2,0)*($G39-$H39)</f>
        <v>0.74586837150000018</v>
      </c>
      <c r="AT39" s="22">
        <f>VLOOKUP($A39,tabCustoUnit[],COLUMN(CUSTO_GLOBAL[[#Headers],[Multa Rescisória do FGTS]])-2,0)*($G39-$H39)</f>
        <v>17.238849066666663</v>
      </c>
      <c r="AU39" s="22">
        <f>VLOOKUP($A39,tabCustoUnit[],COLUMN(CUSTO_GLOBAL[[#Headers],[Indenização Adicional (Art. 9º da Lei nº 7.238/84)]])-2,0)*($G39-$H39)</f>
        <v>0.46980875</v>
      </c>
      <c r="AV39" s="22">
        <f>VLOOKUP($A39,tabCustoUnit[],COLUMN(CUSTO_GLOBAL[[#Headers],[MÓDULO 3 – PROVISÃO PARA RESCISÃO]])-2,0)*($G39-$H39)</f>
        <v>24.823489377557866</v>
      </c>
      <c r="AW39" s="22">
        <f>VLOOKUP($A39,tabCustoUnit[],COLUMN(CUSTO_GLOBAL[[#Headers],[Ausência por Doença]])-2,0)*($G39-$H39)</f>
        <v>4.7607286666666662</v>
      </c>
      <c r="AX39" s="22">
        <f>VLOOKUP($A39,tabCustoUnit[],COLUMN(CUSTO_GLOBAL[[#Headers],[Ausências Legais]])-2,0)*($G39-$H39)</f>
        <v>1.1432012916666665</v>
      </c>
      <c r="AY39" s="22">
        <f>VLOOKUP($A39,tabCustoUnit[],COLUMN(CUSTO_GLOBAL[[#Headers],[Licença Paternidade]])-2,0)*($G39-$H39)</f>
        <v>9.6310793749999998E-2</v>
      </c>
      <c r="AZ39" s="22">
        <f>VLOOKUP($A39,tabCustoUnit[],COLUMN(CUSTO_GLOBAL[[#Headers],[Ausência por Acidente de Trabalho]])-2,0)*($G39-$H39)</f>
        <v>0.1174521875</v>
      </c>
      <c r="BA39" s="22">
        <f>VLOOKUP($A39,tabCustoUnit[],COLUMN(CUSTO_GLOBAL[[#Headers],[Férias, Adicional de Férias e 13º  com empregada em gozo de Licença Maternidade]])-2,0)*($G39-$H39)</f>
        <v>0.73081361111111109</v>
      </c>
      <c r="BB39" s="22">
        <f>VLOOKUP($A39,tabCustoUnit[],COLUMN(CUSTO_GLOBAL[[#Headers],[Incidência do Submódulo 2.1 sobre Ausências Legais]])-2,0)*($G39-$H39)</f>
        <v>2.5887354761625003</v>
      </c>
      <c r="BC39" s="22">
        <f>VLOOKUP($A39,tabCustoUnit[],COLUMN(CUSTO_GLOBAL[[#Headers],[Submódulo 4.1]])-2,0)*($G39-$H39)</f>
        <v>9.4372420268569428</v>
      </c>
      <c r="BD39" s="22">
        <f>VLOOKUP($A39,tabCustoUnit[],COLUMN(CUSTO_GLOBAL[[#Headers],[Intervalo para Repouso ou Alimentação]])-2,0)*($G39-$H39)</f>
        <v>0</v>
      </c>
      <c r="BE39" s="22">
        <f>VLOOKUP($A39,tabCustoUnit[],COLUMN(CUSTO_GLOBAL[[#Headers],[Submódulo 4.2]])-2,0)*($G39-$H39)</f>
        <v>0</v>
      </c>
      <c r="BF39" s="22">
        <f>VLOOKUP($A39,tabCustoUnit[],COLUMN(CUSTO_GLOBAL[[#Headers],[Suspensão Temporária do Contrato de Trabalho]])-2,0)*($G39-$H39)</f>
        <v>0</v>
      </c>
      <c r="BG39" s="22">
        <f>VLOOKUP($A39,tabCustoUnit[],COLUMN(CUSTO_GLOBAL[[#Headers],[Submódulo 4.3]])-2,0)*($G39-$H39)</f>
        <v>0</v>
      </c>
      <c r="BH39" s="22">
        <f>VLOOKUP($A39,tabCustoUnit[],COLUMN(CUSTO_GLOBAL[[#Headers],[MÓDULO 4 – CUSTO DE REPOSIÇÃO DO PROFISSIONAL AUSENTE]])-2,0)*($G39-$H39)</f>
        <v>9.4372420268569428</v>
      </c>
      <c r="BI39" s="22">
        <f>VLOOKUP($A39,tabCustoUnit[],COLUMN(CUSTO_GLOBAL[[#Headers],[Uniformes e EPIs]])-2,0)*($G39-$H39)</f>
        <v>62.806666666666665</v>
      </c>
      <c r="BJ39" s="22">
        <f>VLOOKUP($A39,tabCustoUnit[],COLUMN(CUSTO_GLOBAL[[#Headers],[Materiais de Consumo]])-2,0)*($G39-$H39)</f>
        <v>12.108481690426325</v>
      </c>
      <c r="BK39" s="22">
        <f>VLOOKUP($A39,tabCustoUnit[],COLUMN(CUSTO_GLOBAL[[#Headers],[Máquinas e Equipamentos (depreciação)]])-2,0)*($G39-$H39)</f>
        <v>21.998657016417809</v>
      </c>
      <c r="BL39" s="22">
        <f>VLOOKUP($A39,tabCustoUnit[],COLUMN(CUSTO_GLOBAL[[#Headers],[Produtos de Limpeza e Materiais de Higiene Pessoal]])-2,0)*($G39-$H39)</f>
        <v>235.31984072022155</v>
      </c>
      <c r="BM39" s="22">
        <f>VLOOKUP($A39,tabCustoUnit[],COLUMN(CUSTO_GLOBAL[[#Headers],[Outros (especificar)]])-2,0)*($G39-$H39)</f>
        <v>0</v>
      </c>
      <c r="BN39" s="22">
        <f>VLOOKUP($A39,tabCustoUnit[],COLUMN(CUSTO_GLOBAL[[#Headers],[MÓDULO 5 – INSUMOS DIVERSOS]])-2,0)*($G39-$H39)</f>
        <v>332.23364609373232</v>
      </c>
      <c r="BO39" s="22">
        <f>VLOOKUP($A39,tabCustoUnit[],COLUMN(CUSTO_GLOBAL[[#Headers],[TOTAL MÓDULOS 1+2+3+4+5]])-2,0)*($G39-$H39)</f>
        <v>2103.1384999148136</v>
      </c>
      <c r="BP39" s="22">
        <f>VLOOKUP($A39,tabCustoUnit[],COLUMN(CUSTO_GLOBAL[[#Headers],[Custos Indiretos]])-2,0)*($G39-$H39)</f>
        <v>189.64880140242613</v>
      </c>
      <c r="BQ39" s="22">
        <f>VLOOKUP($A39,tabCustoUnit[],COLUMN(CUSTO_GLOBAL[[#Headers],[Lucro]])-2,0)*($G39-$H39)</f>
        <v>159.30499317803796</v>
      </c>
      <c r="BR39" s="26">
        <f>VLOOKUP($A39,tabCustoUnit[],COLUMN(CUSTO_GLOBAL[[#Headers],[COFINS]])-2,0)</f>
        <v>8.6609686609686695E-2</v>
      </c>
      <c r="BS39" s="26">
        <f>VLOOKUP($A39,tabCustoUnit[],COLUMN(CUSTO_GLOBAL[[#Headers],[PIS]])-2,0)</f>
        <v>1.880341880341882E-2</v>
      </c>
      <c r="BT39" s="28">
        <f>VLOOKUP($A39,tabCustoUnit[],COLUMN(CUSTO_GLOBAL[[#Headers],[ISS]])-2,0)</f>
        <v>0.03</v>
      </c>
      <c r="BU39" s="26">
        <f>VLOOKUP($A39,tabCustoUnit[],COLUMN(CUSTO_GLOBAL[[#Headers],[ISS (Conversão Alíquota s/ fatura)]])-2,0)</f>
        <v>3.4188034188034219E-2</v>
      </c>
      <c r="BV39" s="26">
        <f>VLOOKUP($A39,tabCustoUnit[],COLUMN(CUSTO_GLOBAL[[#Headers],[Resumo de Alíquotas (PIS+CONFINS+ISS)]])-2,0)</f>
        <v>0.1225</v>
      </c>
      <c r="BW39" s="138">
        <f>VLOOKUP($A39,tabCustoUnit[],COLUMN(CUSTO_GLOBAL[[#Headers],[PIS + COFINS + ISS (Total Conversão  Alíquota s/ Fatura)]])-2,0)</f>
        <v>0.13960113960113973</v>
      </c>
      <c r="BX39" s="22">
        <f>VLOOKUP($A39,tabCustoUnit[],COLUMN(CUSTO_GLOBAL[[#Headers],[Valor dos Tributos (ISS, PIS, CONFINS)]])-2,0)*($G39-$H39)</f>
        <v>342.31487871871428</v>
      </c>
      <c r="BY39" s="22">
        <f>VLOOKUP($A39,tabCustoUnit[],COLUMN(CUSTO_GLOBAL[[#Headers],[MÓDULO 6 – CUSTOS INDIRETOS, TRIBUTOS E LUCRO]])-2,0)*($G39-$H39)</f>
        <v>691.26867329917832</v>
      </c>
      <c r="BZ39" s="22">
        <f>VLOOKUP($A39,tabCustoUnit[],COLUMN(CUSTO_GLOBAL[[#Headers],[CUSTO TOTAL MENSAL]])-2,0)*($G39-$H39)</f>
        <v>2794.4071732139919</v>
      </c>
      <c r="CA39" s="22">
        <f>CUSTO_GLOBAL[[#This Row],[CUSTO TOTAL MENSAL]]*12</f>
        <v>33532.886078567899</v>
      </c>
      <c r="CB39" s="24">
        <f>VLOOKUP($A39,tabCustoUnit[],COLUMN(CUSTO_GLOBAL[[#Headers],[ANO DA CCT]])-2,0)</f>
        <v>45658</v>
      </c>
      <c r="CC39" s="25" t="str">
        <f>VLOOKUP($A39,tabCustoUnit[],COLUMN(CUSTO_GLOBAL[[#Headers],[Nº DE PEDIDO DA CCT]])-2,0)</f>
        <v>-</v>
      </c>
      <c r="CD39" s="25" t="str">
        <f>VLOOKUP($A39,tabCustoUnit[],COLUMN(CUSTO_GLOBAL[[#Headers],[TERMO ADITIVO  ALTERAÇÃO DA CCT]])-2,0)</f>
        <v>-</v>
      </c>
      <c r="CF39" s="22"/>
      <c r="CG39" s="22"/>
    </row>
    <row r="40" spans="1:85" x14ac:dyDescent="0.25">
      <c r="A40" s="20" t="s">
        <v>1380</v>
      </c>
      <c r="B40" t="s">
        <v>40</v>
      </c>
      <c r="C40" t="s">
        <v>1247</v>
      </c>
      <c r="D40" t="s">
        <v>1010</v>
      </c>
      <c r="E40" s="20" t="s">
        <v>9</v>
      </c>
      <c r="F40" s="20" t="s">
        <v>10</v>
      </c>
      <c r="G40" s="20">
        <v>1</v>
      </c>
      <c r="H40" s="20">
        <v>0</v>
      </c>
      <c r="I40" s="21">
        <f>VLOOKUP($A40,tabCustoUnit[],COLUMN(CUSTO_GLOBAL[[#Headers],[Salário Base]])-2,0)*($G40-$H40)</f>
        <v>544.17999999999995</v>
      </c>
      <c r="J40" s="21">
        <f>VLOOKUP($A40,tabCustoUnit[],COLUMN(CUSTO_GLOBAL[[#Headers],[Adicional Periculosidade]])-2,0)*($G40-$H40)</f>
        <v>0</v>
      </c>
      <c r="K40" s="21">
        <f>VLOOKUP($A40,tabCustoUnit[],COLUMN(CUSTO_GLOBAL[[#Headers],[Adicional Insalubridade]])-2,0)*($G40-$H40)</f>
        <v>0</v>
      </c>
      <c r="L40" s="21">
        <f>VLOOKUP($A40,tabCustoUnit[],COLUMN(CUSTO_GLOBAL[[#Headers],[Adicional Noturno]])-2,0)*($G40-$H40)</f>
        <v>0</v>
      </c>
      <c r="M40" s="21">
        <f>VLOOKUP($A40,tabCustoUnit[],COLUMN(CUSTO_GLOBAL[[#Headers],[Adicional Motorista II (Gratificação)]])-2,0)*($G40-$H40)</f>
        <v>0</v>
      </c>
      <c r="N40" s="21">
        <f>VLOOKUP($A40,tabCustoUnit[],COLUMN(CUSTO_GLOBAL[[#Headers],[Adicional de Sobreaviso]])-2,0)*($G40-$H40)</f>
        <v>0</v>
      </c>
      <c r="O40" s="21">
        <f>VLOOKUP($A40,tabCustoUnit[],COLUMN(CUSTO_GLOBAL[[#Headers],[Horas Extras TI]])-2,0)*($G40-$H40)</f>
        <v>0</v>
      </c>
      <c r="P40" s="21">
        <f>VLOOKUP($A40,tabCustoUnit[],COLUMN(CUSTO_GLOBAL[[#Headers],[Adicional de Acúmulo de função]])-2,0)*($G40-$H40)</f>
        <v>19.590499999999999</v>
      </c>
      <c r="Q40" s="21">
        <f>VLOOKUP($A40,tabCustoUnit[],COLUMN(CUSTO_GLOBAL[[#Headers],[MODULO 1 - REMUNERAÇÃO ]])-2,0)*($G40-$H40)</f>
        <v>563.77049999999997</v>
      </c>
      <c r="R40" s="21">
        <f>VLOOKUP($A40,tabCustoUnit[],COLUMN(CUSTO_GLOBAL[[#Headers],[INSS]])-2,0)*($G40-$H40)</f>
        <v>112.75409999999999</v>
      </c>
      <c r="S40" s="21">
        <f>VLOOKUP($A40,tabCustoUnit[],COLUMN(CUSTO_GLOBAL[[#Headers],[SESI OU SESC]])-2,0)*($G40-$H40)</f>
        <v>8.4565574999999988</v>
      </c>
      <c r="T40" s="21">
        <f>VLOOKUP($A40,tabCustoUnit[],COLUMN(CUSTO_GLOBAL[[#Headers],[SENAI OU SENAC]])-2,0)*($G40-$H40)</f>
        <v>5.6377049999999995</v>
      </c>
      <c r="U40" s="21">
        <f>VLOOKUP($A40,tabCustoUnit[],COLUMN(CUSTO_GLOBAL[[#Headers],[INCRA]])-2,0)*($G40-$H40)</f>
        <v>1.1275409999999999</v>
      </c>
      <c r="V40" s="21">
        <f>VLOOKUP($A40,tabCustoUnit[],COLUMN(CUSTO_GLOBAL[[#Headers],[Salário Educação]])-2,0)*($G40-$H40)</f>
        <v>14.094262499999999</v>
      </c>
      <c r="W40" s="21">
        <f>VLOOKUP($A40,tabCustoUnit[],COLUMN(CUSTO_GLOBAL[[#Headers],[FGTS]])-2,0)*($G40-$H40)</f>
        <v>45.101639999999996</v>
      </c>
      <c r="X40" s="21">
        <f>VLOOKUP($A40,tabCustoUnit[],COLUMN(CUSTO_GLOBAL[[#Headers],[RAT Ajustado]])-2,0)*($G40-$H40)</f>
        <v>22.550819999999998</v>
      </c>
      <c r="Y40" s="21">
        <f>VLOOKUP($A40,tabCustoUnit[],COLUMN(CUSTO_GLOBAL[[#Headers],[SEBRAE]])-2,0)*($G40-$H40)</f>
        <v>3.3826229999999997</v>
      </c>
      <c r="Z40" s="21">
        <f>VLOOKUP($A40,tabCustoUnit[],COLUMN(CUSTO_GLOBAL[[#Headers],[Submódulo 2.1]])-2,0)*($G40-$H40)</f>
        <v>213.10524899999996</v>
      </c>
      <c r="AA40" s="21">
        <f>VLOOKUP($A40,tabCustoUnit[],COLUMN(CUSTO_GLOBAL[[#Headers],[13º salário (titular)]])-2,0)*($G40-$H40)</f>
        <v>46.980874999999997</v>
      </c>
      <c r="AB40" s="21">
        <f>VLOOKUP($A40,tabCustoUnit[],COLUMN(CUSTO_GLOBAL[[#Headers],[Férias e Adicional de Férias (titular)]])-2,0)*($G40-$H40)</f>
        <v>62.641166666666663</v>
      </c>
      <c r="AC40" s="21">
        <f>VLOOKUP($A40,tabCustoUnit[],COLUMN(CUSTO_GLOBAL[[#Headers],[Incidência do Submódulo 2.1 sobre 13º Salário, Férias e Adicional de Férias]])-2,0)*($G40-$H40)</f>
        <v>41.437131749999992</v>
      </c>
      <c r="AD40" s="21">
        <f>VLOOKUP($A40,tabCustoUnit[],COLUMN(CUSTO_GLOBAL[[#Headers],[Submódulo 2.2]])-2,0)*($G40-$H40)</f>
        <v>151.05917341666665</v>
      </c>
      <c r="AE40" s="22">
        <f>VLOOKUP($A40,tabCustoUnit[],COLUMN(CUSTO_GLOBAL[[#Headers],[Vale - Transporte (Descontada parcela do empregado)]])-2,0)*($G40-$H40)</f>
        <v>223.3492</v>
      </c>
      <c r="AF40" s="22">
        <f>VLOOKUP($A40,tabCustoUnit[],COLUMN(CUSTO_GLOBAL[[#Headers],[Vale - Alimentação (Descontada parcela do empregado)]])-2,0)*($G40-$H40)</f>
        <v>582</v>
      </c>
      <c r="AG40" s="22">
        <f>VLOOKUP($A40,tabCustoUnit[],COLUMN(CUSTO_GLOBAL[[#Headers],[Cesta Básica]])-2,0)*($G40-$H40)</f>
        <v>0</v>
      </c>
      <c r="AH40" s="22">
        <f>VLOOKUP($A40,tabCustoUnit[],COLUMN(CUSTO_GLOBAL[[#Headers],[PAF]])-2,0)*($G40-$H40)</f>
        <v>0</v>
      </c>
      <c r="AI40" s="22">
        <f>VLOOKUP($A40,tabCustoUnit[],COLUMN(CUSTO_GLOBAL[[#Headers],[PQM]])-2,0)*($G40-$H40)</f>
        <v>0</v>
      </c>
      <c r="AJ40" s="22">
        <v>0</v>
      </c>
      <c r="AK40" s="22">
        <f>VLOOKUP($A40,tabCustoUnit[],COLUMN(CUSTO_GLOBAL[[#Headers],[Seguro de Vida]])-2,0)*($G40-$H40)</f>
        <v>3.36</v>
      </c>
      <c r="AL40" s="22">
        <f>VLOOKUP($A40,tabCustoUnit[],COLUMN(CUSTO_GLOBAL[[#Headers],[Despesas de Viagem]])-2,0)*($G40-$H40)</f>
        <v>0</v>
      </c>
      <c r="AM40" s="22">
        <f>VLOOKUP($A40,tabCustoUnit[],COLUMN(CUSTO_GLOBAL[[#Headers],[Submódulo 2.3]])-2,0)*($G40-$H40)</f>
        <v>808.70920000000001</v>
      </c>
      <c r="AN40" s="22">
        <f>VLOOKUP($A40,tabCustoUnit[],COLUMN(CUSTO_GLOBAL[[#Headers],[MÓDULO 2 - Total Encargos e Benefícios mensais e diários]])-2,0)*($G40-$H40)</f>
        <v>1172.8736224166666</v>
      </c>
      <c r="AO40" s="22">
        <f>VLOOKUP($A40,tabCustoUnit[],COLUMN(CUSTO_GLOBAL[[#Headers],[Aviso Prévio Indenizado (API) e Reflexo do Aviso Prévio Indenizado]])-2,0)*($G40-$H40)</f>
        <v>3.9530273735532404</v>
      </c>
      <c r="AP40" s="22">
        <f>VLOOKUP($A40,tabCustoUnit[],COLUMN(CUSTO_GLOBAL[[#Headers],[Incidência do FGTS sobre API e Reflexo do API]])-2,0)*($G40-$H40)</f>
        <v>0.31624218988425928</v>
      </c>
      <c r="AQ40" s="22">
        <f>VLOOKUP($A40,tabCustoUnit[],COLUMN(CUSTO_GLOBAL[[#Headers],[Multa Rescisória do FGTS sobre o Aviso Prévio Indenizado]])-2,0)*($G40-$H40)</f>
        <v>0.12649687595370371</v>
      </c>
      <c r="AR40" s="22">
        <f>VLOOKUP($A40,tabCustoUnit[],COLUMN(CUSTO_GLOBAL[[#Headers],[Aviso Prévio Trabalhado - APT]])-2,0)*($G40-$H40)</f>
        <v>1.9731967500000003</v>
      </c>
      <c r="AS40" s="22">
        <f>VLOOKUP($A40,tabCustoUnit[],COLUMN(CUSTO_GLOBAL[[#Headers],[Incidência dos encargos do submódulo 2.1 sobre Aviso Prévio Trabalhado]])-2,0)*($G40-$H40)</f>
        <v>0.74586837150000018</v>
      </c>
      <c r="AT40" s="22">
        <f>VLOOKUP($A40,tabCustoUnit[],COLUMN(CUSTO_GLOBAL[[#Headers],[Multa Rescisória do FGTS]])-2,0)*($G40-$H40)</f>
        <v>17.238849066666663</v>
      </c>
      <c r="AU40" s="22">
        <f>VLOOKUP($A40,tabCustoUnit[],COLUMN(CUSTO_GLOBAL[[#Headers],[Indenização Adicional (Art. 9º da Lei nº 7.238/84)]])-2,0)*($G40-$H40)</f>
        <v>0.46980875</v>
      </c>
      <c r="AV40" s="22">
        <f>VLOOKUP($A40,tabCustoUnit[],COLUMN(CUSTO_GLOBAL[[#Headers],[MÓDULO 3 – PROVISÃO PARA RESCISÃO]])-2,0)*($G40-$H40)</f>
        <v>24.823489377557866</v>
      </c>
      <c r="AW40" s="22">
        <f>VLOOKUP($A40,tabCustoUnit[],COLUMN(CUSTO_GLOBAL[[#Headers],[Ausência por Doença]])-2,0)*($G40-$H40)</f>
        <v>4.7607286666666662</v>
      </c>
      <c r="AX40" s="22">
        <f>VLOOKUP($A40,tabCustoUnit[],COLUMN(CUSTO_GLOBAL[[#Headers],[Ausências Legais]])-2,0)*($G40-$H40)</f>
        <v>1.1432012916666665</v>
      </c>
      <c r="AY40" s="22">
        <f>VLOOKUP($A40,tabCustoUnit[],COLUMN(CUSTO_GLOBAL[[#Headers],[Licença Paternidade]])-2,0)*($G40-$H40)</f>
        <v>9.6310793749999998E-2</v>
      </c>
      <c r="AZ40" s="22">
        <f>VLOOKUP($A40,tabCustoUnit[],COLUMN(CUSTO_GLOBAL[[#Headers],[Ausência por Acidente de Trabalho]])-2,0)*($G40-$H40)</f>
        <v>0.1174521875</v>
      </c>
      <c r="BA40" s="22">
        <f>VLOOKUP($A40,tabCustoUnit[],COLUMN(CUSTO_GLOBAL[[#Headers],[Férias, Adicional de Férias e 13º  com empregada em gozo de Licença Maternidade]])-2,0)*($G40-$H40)</f>
        <v>0.73081361111111109</v>
      </c>
      <c r="BB40" s="22">
        <f>VLOOKUP($A40,tabCustoUnit[],COLUMN(CUSTO_GLOBAL[[#Headers],[Incidência do Submódulo 2.1 sobre Ausências Legais]])-2,0)*($G40-$H40)</f>
        <v>2.5887354761625003</v>
      </c>
      <c r="BC40" s="22">
        <f>VLOOKUP($A40,tabCustoUnit[],COLUMN(CUSTO_GLOBAL[[#Headers],[Submódulo 4.1]])-2,0)*($G40-$H40)</f>
        <v>9.4372420268569428</v>
      </c>
      <c r="BD40" s="22">
        <f>VLOOKUP($A40,tabCustoUnit[],COLUMN(CUSTO_GLOBAL[[#Headers],[Intervalo para Repouso ou Alimentação]])-2,0)*($G40-$H40)</f>
        <v>0</v>
      </c>
      <c r="BE40" s="22">
        <f>VLOOKUP($A40,tabCustoUnit[],COLUMN(CUSTO_GLOBAL[[#Headers],[Submódulo 4.2]])-2,0)*($G40-$H40)</f>
        <v>0</v>
      </c>
      <c r="BF40" s="22">
        <f>VLOOKUP($A40,tabCustoUnit[],COLUMN(CUSTO_GLOBAL[[#Headers],[Suspensão Temporária do Contrato de Trabalho]])-2,0)*($G40-$H40)</f>
        <v>0</v>
      </c>
      <c r="BG40" s="22">
        <f>VLOOKUP($A40,tabCustoUnit[],COLUMN(CUSTO_GLOBAL[[#Headers],[Submódulo 4.3]])-2,0)*($G40-$H40)</f>
        <v>0</v>
      </c>
      <c r="BH40" s="22">
        <f>VLOOKUP($A40,tabCustoUnit[],COLUMN(CUSTO_GLOBAL[[#Headers],[MÓDULO 4 – CUSTO DE REPOSIÇÃO DO PROFISSIONAL AUSENTE]])-2,0)*($G40-$H40)</f>
        <v>9.4372420268569428</v>
      </c>
      <c r="BI40" s="22">
        <f>VLOOKUP($A40,tabCustoUnit[],COLUMN(CUSTO_GLOBAL[[#Headers],[Uniformes e EPIs]])-2,0)*($G40-$H40)</f>
        <v>62.806666666666665</v>
      </c>
      <c r="BJ40" s="22">
        <f>VLOOKUP($A40,tabCustoUnit[],COLUMN(CUSTO_GLOBAL[[#Headers],[Materiais de Consumo]])-2,0)*($G40-$H40)</f>
        <v>12.108481690426325</v>
      </c>
      <c r="BK40" s="22">
        <f>VLOOKUP($A40,tabCustoUnit[],COLUMN(CUSTO_GLOBAL[[#Headers],[Máquinas e Equipamentos (depreciação)]])-2,0)*($G40-$H40)</f>
        <v>21.998657016417809</v>
      </c>
      <c r="BL40" s="22">
        <f>VLOOKUP($A40,tabCustoUnit[],COLUMN(CUSTO_GLOBAL[[#Headers],[Produtos de Limpeza e Materiais de Higiene Pessoal]])-2,0)*($G40-$H40)</f>
        <v>235.31984072022155</v>
      </c>
      <c r="BM40" s="22">
        <f>VLOOKUP($A40,tabCustoUnit[],COLUMN(CUSTO_GLOBAL[[#Headers],[Outros (especificar)]])-2,0)*($G40-$H40)</f>
        <v>0</v>
      </c>
      <c r="BN40" s="22">
        <f>VLOOKUP($A40,tabCustoUnit[],COLUMN(CUSTO_GLOBAL[[#Headers],[MÓDULO 5 – INSUMOS DIVERSOS]])-2,0)*($G40-$H40)</f>
        <v>332.23364609373232</v>
      </c>
      <c r="BO40" s="22">
        <f>VLOOKUP($A40,tabCustoUnit[],COLUMN(CUSTO_GLOBAL[[#Headers],[TOTAL MÓDULOS 1+2+3+4+5]])-2,0)*($G40-$H40)</f>
        <v>2103.1384999148136</v>
      </c>
      <c r="BP40" s="22">
        <f>VLOOKUP($A40,tabCustoUnit[],COLUMN(CUSTO_GLOBAL[[#Headers],[Custos Indiretos]])-2,0)*($G40-$H40)</f>
        <v>189.64880140242613</v>
      </c>
      <c r="BQ40" s="22">
        <f>VLOOKUP($A40,tabCustoUnit[],COLUMN(CUSTO_GLOBAL[[#Headers],[Lucro]])-2,0)*($G40-$H40)</f>
        <v>159.30499317803796</v>
      </c>
      <c r="BR40" s="26">
        <f>VLOOKUP($A40,tabCustoUnit[],COLUMN(CUSTO_GLOBAL[[#Headers],[COFINS]])-2,0)</f>
        <v>8.5633802816901458E-2</v>
      </c>
      <c r="BS40" s="26">
        <f>VLOOKUP($A40,tabCustoUnit[],COLUMN(CUSTO_GLOBAL[[#Headers],[PIS]])-2,0)</f>
        <v>1.8591549295774657E-2</v>
      </c>
      <c r="BT40" s="28">
        <f>VLOOKUP($A40,tabCustoUnit[],COLUMN(CUSTO_GLOBAL[[#Headers],[ISS]])-2,0)</f>
        <v>0.02</v>
      </c>
      <c r="BU40" s="26">
        <f>VLOOKUP($A40,tabCustoUnit[],COLUMN(CUSTO_GLOBAL[[#Headers],[ISS (Conversão Alíquota s/ fatura)]])-2,0)</f>
        <v>2.2535211267605645E-2</v>
      </c>
      <c r="BV40" s="26">
        <f>VLOOKUP($A40,tabCustoUnit[],COLUMN(CUSTO_GLOBAL[[#Headers],[Resumo de Alíquotas (PIS+CONFINS+ISS)]])-2,0)</f>
        <v>0.1125</v>
      </c>
      <c r="BW40" s="138">
        <f>VLOOKUP($A40,tabCustoUnit[],COLUMN(CUSTO_GLOBAL[[#Headers],[PIS + COFINS + ISS (Total Conversão  Alíquota s/ Fatura)]])-2,0)</f>
        <v>0.12676056338028174</v>
      </c>
      <c r="BX40" s="22">
        <f>VLOOKUP($A40,tabCustoUnit[],COLUMN(CUSTO_GLOBAL[[#Headers],[Valor dos Tributos (ISS, PIS, CONFINS)]])-2,0)*($G40-$H40)</f>
        <v>310.82860071066915</v>
      </c>
      <c r="BY40" s="22">
        <f>VLOOKUP($A40,tabCustoUnit[],COLUMN(CUSTO_GLOBAL[[#Headers],[MÓDULO 6 – CUSTOS INDIRETOS, TRIBUTOS E LUCRO]])-2,0)*($G40-$H40)</f>
        <v>659.7823952911333</v>
      </c>
      <c r="BZ40" s="22">
        <f>VLOOKUP($A40,tabCustoUnit[],COLUMN(CUSTO_GLOBAL[[#Headers],[CUSTO TOTAL MENSAL]])-2,0)*($G40-$H40)</f>
        <v>2762.9208952059471</v>
      </c>
      <c r="CA40" s="22">
        <f>CUSTO_GLOBAL[[#This Row],[CUSTO TOTAL MENSAL]]*12</f>
        <v>33155.050742471365</v>
      </c>
      <c r="CB40" s="24">
        <f>VLOOKUP($A40,tabCustoUnit[],COLUMN(CUSTO_GLOBAL[[#Headers],[ANO DA CCT]])-2,0)</f>
        <v>45658</v>
      </c>
      <c r="CC40" s="25" t="str">
        <f>VLOOKUP($A40,tabCustoUnit[],COLUMN(CUSTO_GLOBAL[[#Headers],[Nº DE PEDIDO DA CCT]])-2,0)</f>
        <v>-</v>
      </c>
      <c r="CD40" s="25" t="str">
        <f>VLOOKUP($A40,tabCustoUnit[],COLUMN(CUSTO_GLOBAL[[#Headers],[TERMO ADITIVO  ALTERAÇÃO DA CCT]])-2,0)</f>
        <v>-</v>
      </c>
      <c r="CF40" s="22"/>
      <c r="CG40" s="22"/>
    </row>
    <row r="41" spans="1:85" x14ac:dyDescent="0.25">
      <c r="A41" s="20" t="s">
        <v>1381</v>
      </c>
      <c r="B41" t="s">
        <v>1348</v>
      </c>
      <c r="C41" t="s">
        <v>1244</v>
      </c>
      <c r="D41" t="s">
        <v>1000</v>
      </c>
      <c r="E41" s="20" t="s">
        <v>9</v>
      </c>
      <c r="F41" s="20" t="s">
        <v>10</v>
      </c>
      <c r="G41" s="20">
        <v>1</v>
      </c>
      <c r="H41" s="20">
        <v>0</v>
      </c>
      <c r="I41" s="21">
        <f>VLOOKUP($A41,tabCustoUnit[],COLUMN(CUSTO_GLOBAL[[#Headers],[Salário Base]])-2,0)*($G41-$H41)</f>
        <v>798.14</v>
      </c>
      <c r="J41" s="21">
        <f>VLOOKUP($A41,tabCustoUnit[],COLUMN(CUSTO_GLOBAL[[#Headers],[Adicional Periculosidade]])-2,0)*($G41-$H41)</f>
        <v>0</v>
      </c>
      <c r="K41" s="21">
        <f>VLOOKUP($A41,tabCustoUnit[],COLUMN(CUSTO_GLOBAL[[#Headers],[Adicional Insalubridade]])-2,0)*($G41-$H41)</f>
        <v>0</v>
      </c>
      <c r="L41" s="21">
        <f>VLOOKUP($A41,tabCustoUnit[],COLUMN(CUSTO_GLOBAL[[#Headers],[Adicional Noturno]])-2,0)*($G41-$H41)</f>
        <v>0</v>
      </c>
      <c r="M41" s="21">
        <f>VLOOKUP($A41,tabCustoUnit[],COLUMN(CUSTO_GLOBAL[[#Headers],[Adicional Motorista II (Gratificação)]])-2,0)*($G41-$H41)</f>
        <v>0</v>
      </c>
      <c r="N41" s="21">
        <f>VLOOKUP($A41,tabCustoUnit[],COLUMN(CUSTO_GLOBAL[[#Headers],[Adicional de Sobreaviso]])-2,0)*($G41-$H41)</f>
        <v>0</v>
      </c>
      <c r="O41" s="21">
        <f>VLOOKUP($A41,tabCustoUnit[],COLUMN(CUSTO_GLOBAL[[#Headers],[Horas Extras TI]])-2,0)*($G41-$H41)</f>
        <v>0</v>
      </c>
      <c r="P41" s="21">
        <f>VLOOKUP($A41,tabCustoUnit[],COLUMN(CUSTO_GLOBAL[[#Headers],[Adicional de Acúmulo de função]])-2,0)*($G41-$H41)</f>
        <v>26.120899999999999</v>
      </c>
      <c r="Q41" s="21">
        <f>VLOOKUP($A41,tabCustoUnit[],COLUMN(CUSTO_GLOBAL[[#Headers],[MODULO 1 - REMUNERAÇÃO ]])-2,0)*($G41-$H41)</f>
        <v>824.26089999999999</v>
      </c>
      <c r="R41" s="21">
        <f>VLOOKUP($A41,tabCustoUnit[],COLUMN(CUSTO_GLOBAL[[#Headers],[INSS]])-2,0)*($G41-$H41)</f>
        <v>164.85218</v>
      </c>
      <c r="S41" s="21">
        <f>VLOOKUP($A41,tabCustoUnit[],COLUMN(CUSTO_GLOBAL[[#Headers],[SESI OU SESC]])-2,0)*($G41-$H41)</f>
        <v>12.363913499999999</v>
      </c>
      <c r="T41" s="21">
        <f>VLOOKUP($A41,tabCustoUnit[],COLUMN(CUSTO_GLOBAL[[#Headers],[SENAI OU SENAC]])-2,0)*($G41-$H41)</f>
        <v>8.2426089999999999</v>
      </c>
      <c r="U41" s="21">
        <f>VLOOKUP($A41,tabCustoUnit[],COLUMN(CUSTO_GLOBAL[[#Headers],[INCRA]])-2,0)*($G41-$H41)</f>
        <v>1.6485217999999999</v>
      </c>
      <c r="V41" s="21">
        <f>VLOOKUP($A41,tabCustoUnit[],COLUMN(CUSTO_GLOBAL[[#Headers],[Salário Educação]])-2,0)*($G41-$H41)</f>
        <v>20.606522500000001</v>
      </c>
      <c r="W41" s="21">
        <f>VLOOKUP($A41,tabCustoUnit[],COLUMN(CUSTO_GLOBAL[[#Headers],[FGTS]])-2,0)*($G41-$H41)</f>
        <v>65.940871999999999</v>
      </c>
      <c r="X41" s="21">
        <f>VLOOKUP($A41,tabCustoUnit[],COLUMN(CUSTO_GLOBAL[[#Headers],[RAT Ajustado]])-2,0)*($G41-$H41)</f>
        <v>32.970435999999999</v>
      </c>
      <c r="Y41" s="21">
        <f>VLOOKUP($A41,tabCustoUnit[],COLUMN(CUSTO_GLOBAL[[#Headers],[SEBRAE]])-2,0)*($G41-$H41)</f>
        <v>4.9455654000000004</v>
      </c>
      <c r="Z41" s="21">
        <f>VLOOKUP($A41,tabCustoUnit[],COLUMN(CUSTO_GLOBAL[[#Headers],[Submódulo 2.1]])-2,0)*($G41-$H41)</f>
        <v>311.57062020000001</v>
      </c>
      <c r="AA41" s="21">
        <f>VLOOKUP($A41,tabCustoUnit[],COLUMN(CUSTO_GLOBAL[[#Headers],[13º salário (titular)]])-2,0)*($G41-$H41)</f>
        <v>68.688408333333328</v>
      </c>
      <c r="AB41" s="21">
        <f>VLOOKUP($A41,tabCustoUnit[],COLUMN(CUSTO_GLOBAL[[#Headers],[Férias e Adicional de Férias (titular)]])-2,0)*($G41-$H41)</f>
        <v>91.584544444444433</v>
      </c>
      <c r="AC41" s="21">
        <f>VLOOKUP($A41,tabCustoUnit[],COLUMN(CUSTO_GLOBAL[[#Headers],[Incidência do Submódulo 2.1 sobre 13º Salário, Férias e Adicional de Férias]])-2,0)*($G41-$H41)</f>
        <v>60.583176149999993</v>
      </c>
      <c r="AD41" s="21">
        <f>VLOOKUP($A41,tabCustoUnit[],COLUMN(CUSTO_GLOBAL[[#Headers],[Submódulo 2.2]])-2,0)*($G41-$H41)</f>
        <v>220.85612892777775</v>
      </c>
      <c r="AE41" s="22">
        <f>VLOOKUP($A41,tabCustoUnit[],COLUMN(CUSTO_GLOBAL[[#Headers],[Vale - Transporte (Descontada parcela do empregado)]])-2,0)*($G41-$H41)</f>
        <v>208.11160000000001</v>
      </c>
      <c r="AF41" s="22">
        <f>VLOOKUP($A41,tabCustoUnit[],COLUMN(CUSTO_GLOBAL[[#Headers],[Vale - Alimentação (Descontada parcela do empregado)]])-2,0)*($G41-$H41)</f>
        <v>582</v>
      </c>
      <c r="AG41" s="22">
        <f>VLOOKUP($A41,tabCustoUnit[],COLUMN(CUSTO_GLOBAL[[#Headers],[Cesta Básica]])-2,0)*($G41-$H41)</f>
        <v>0</v>
      </c>
      <c r="AH41" s="22">
        <f>VLOOKUP($A41,tabCustoUnit[],COLUMN(CUSTO_GLOBAL[[#Headers],[PAF]])-2,0)*($G41-$H41)</f>
        <v>0</v>
      </c>
      <c r="AI41" s="22">
        <f>VLOOKUP($A41,tabCustoUnit[],COLUMN(CUSTO_GLOBAL[[#Headers],[PQM]])-2,0)*($G41-$H41)</f>
        <v>15.07</v>
      </c>
      <c r="AJ41" s="22">
        <v>0</v>
      </c>
      <c r="AK41" s="22">
        <f>VLOOKUP($A41,tabCustoUnit[],COLUMN(CUSTO_GLOBAL[[#Headers],[Seguro de Vida]])-2,0)*($G41-$H41)</f>
        <v>3.36</v>
      </c>
      <c r="AL41" s="22">
        <f>VLOOKUP($A41,tabCustoUnit[],COLUMN(CUSTO_GLOBAL[[#Headers],[Despesas de Viagem]])-2,0)*($G41-$H41)</f>
        <v>0</v>
      </c>
      <c r="AM41" s="22">
        <f>VLOOKUP($A41,tabCustoUnit[],COLUMN(CUSTO_GLOBAL[[#Headers],[Submódulo 2.3]])-2,0)*($G41-$H41)</f>
        <v>808.54160000000002</v>
      </c>
      <c r="AN41" s="22">
        <f>VLOOKUP($A41,tabCustoUnit[],COLUMN(CUSTO_GLOBAL[[#Headers],[MÓDULO 2 - Total Encargos e Benefícios mensais e diários]])-2,0)*($G41-$H41)</f>
        <v>1340.9683491277779</v>
      </c>
      <c r="AO41" s="22">
        <f>VLOOKUP($A41,tabCustoUnit[],COLUMN(CUSTO_GLOBAL[[#Headers],[Aviso Prévio Indenizado (API) e Reflexo do Aviso Prévio Indenizado]])-2,0)*($G41-$H41)</f>
        <v>5.7795253576581791</v>
      </c>
      <c r="AP41" s="22">
        <f>VLOOKUP($A41,tabCustoUnit[],COLUMN(CUSTO_GLOBAL[[#Headers],[Incidência do FGTS sobre API e Reflexo do API]])-2,0)*($G41-$H41)</f>
        <v>0.46236202861265435</v>
      </c>
      <c r="AQ41" s="22">
        <f>VLOOKUP($A41,tabCustoUnit[],COLUMN(CUSTO_GLOBAL[[#Headers],[Multa Rescisória do FGTS sobre o Aviso Prévio Indenizado]])-2,0)*($G41-$H41)</f>
        <v>0.18494481144506175</v>
      </c>
      <c r="AR41" s="22">
        <f>VLOOKUP($A41,tabCustoUnit[],COLUMN(CUSTO_GLOBAL[[#Headers],[Aviso Prévio Trabalhado - APT]])-2,0)*($G41-$H41)</f>
        <v>2.8849131500000005</v>
      </c>
      <c r="AS41" s="22">
        <f>VLOOKUP($A41,tabCustoUnit[],COLUMN(CUSTO_GLOBAL[[#Headers],[Incidência dos encargos do submódulo 2.1 sobre Aviso Prévio Trabalhado]])-2,0)*($G41-$H41)</f>
        <v>1.0904971707000004</v>
      </c>
      <c r="AT41" s="22">
        <f>VLOOKUP($A41,tabCustoUnit[],COLUMN(CUSTO_GLOBAL[[#Headers],[Multa Rescisória do FGTS]])-2,0)*($G41-$H41)</f>
        <v>25.204066631111107</v>
      </c>
      <c r="AU41" s="22">
        <f>VLOOKUP($A41,tabCustoUnit[],COLUMN(CUSTO_GLOBAL[[#Headers],[Indenização Adicional (Art. 9º da Lei nº 7.238/84)]])-2,0)*($G41-$H41)</f>
        <v>0.6868840833333334</v>
      </c>
      <c r="AV41" s="22">
        <f>VLOOKUP($A41,tabCustoUnit[],COLUMN(CUSTO_GLOBAL[[#Headers],[MÓDULO 3 – PROVISÃO PARA RESCISÃO]])-2,0)*($G41-$H41)</f>
        <v>36.293193232860339</v>
      </c>
      <c r="AW41" s="22">
        <f>VLOOKUP($A41,tabCustoUnit[],COLUMN(CUSTO_GLOBAL[[#Headers],[Ausência por Doença]])-2,0)*($G41-$H41)</f>
        <v>6.9604253777777769</v>
      </c>
      <c r="AX41" s="22">
        <f>VLOOKUP($A41,tabCustoUnit[],COLUMN(CUSTO_GLOBAL[[#Headers],[Ausências Legais]])-2,0)*($G41-$H41)</f>
        <v>1.671417936111111</v>
      </c>
      <c r="AY41" s="22">
        <f>VLOOKUP($A41,tabCustoUnit[],COLUMN(CUSTO_GLOBAL[[#Headers],[Licença Paternidade]])-2,0)*($G41-$H41)</f>
        <v>0.14081123708333332</v>
      </c>
      <c r="AZ41" s="22">
        <f>VLOOKUP($A41,tabCustoUnit[],COLUMN(CUSTO_GLOBAL[[#Headers],[Ausência por Acidente de Trabalho]])-2,0)*($G41-$H41)</f>
        <v>0.17172102083333335</v>
      </c>
      <c r="BA41" s="22">
        <f>VLOOKUP($A41,tabCustoUnit[],COLUMN(CUSTO_GLOBAL[[#Headers],[Férias, Adicional de Férias e 13º  com empregada em gozo de Licença Maternidade]])-2,0)*($G41-$H41)</f>
        <v>1.0684863518518517</v>
      </c>
      <c r="BB41" s="22">
        <f>VLOOKUP($A41,tabCustoUnit[],COLUMN(CUSTO_GLOBAL[[#Headers],[Incidência do Submódulo 2.1 sobre Ausências Legais]])-2,0)*($G41-$H41)</f>
        <v>3.7848618071425006</v>
      </c>
      <c r="BC41" s="22">
        <f>VLOOKUP($A41,tabCustoUnit[],COLUMN(CUSTO_GLOBAL[[#Headers],[Submódulo 4.1]])-2,0)*($G41-$H41)</f>
        <v>13.797723730799909</v>
      </c>
      <c r="BD41" s="22">
        <f>VLOOKUP($A41,tabCustoUnit[],COLUMN(CUSTO_GLOBAL[[#Headers],[Intervalo para Repouso ou Alimentação]])-2,0)*($G41-$H41)</f>
        <v>0</v>
      </c>
      <c r="BE41" s="22">
        <f>VLOOKUP($A41,tabCustoUnit[],COLUMN(CUSTO_GLOBAL[[#Headers],[Submódulo 4.2]])-2,0)*($G41-$H41)</f>
        <v>0</v>
      </c>
      <c r="BF41" s="22">
        <f>VLOOKUP($A41,tabCustoUnit[],COLUMN(CUSTO_GLOBAL[[#Headers],[Suspensão Temporária do Contrato de Trabalho]])-2,0)*($G41-$H41)</f>
        <v>0</v>
      </c>
      <c r="BG41" s="22">
        <f>VLOOKUP($A41,tabCustoUnit[],COLUMN(CUSTO_GLOBAL[[#Headers],[Submódulo 4.3]])-2,0)*($G41-$H41)</f>
        <v>0</v>
      </c>
      <c r="BH41" s="22">
        <f>VLOOKUP($A41,tabCustoUnit[],COLUMN(CUSTO_GLOBAL[[#Headers],[MÓDULO 4 – CUSTO DE REPOSIÇÃO DO PROFISSIONAL AUSENTE]])-2,0)*($G41-$H41)</f>
        <v>13.797723730799909</v>
      </c>
      <c r="BI41" s="22">
        <f>VLOOKUP($A41,tabCustoUnit[],COLUMN(CUSTO_GLOBAL[[#Headers],[Uniformes e EPIs]])-2,0)*($G41-$H41)</f>
        <v>62.806666666666665</v>
      </c>
      <c r="BJ41" s="22">
        <f>VLOOKUP($A41,tabCustoUnit[],COLUMN(CUSTO_GLOBAL[[#Headers],[Materiais de Consumo]])-2,0)*($G41-$H41)</f>
        <v>17.759106479291944</v>
      </c>
      <c r="BK41" s="22">
        <f>VLOOKUP($A41,tabCustoUnit[],COLUMN(CUSTO_GLOBAL[[#Headers],[Máquinas e Equipamentos (depreciação)]])-2,0)*($G41-$H41)</f>
        <v>32.264696957412788</v>
      </c>
      <c r="BL41" s="22">
        <f>VLOOKUP($A41,tabCustoUnit[],COLUMN(CUSTO_GLOBAL[[#Headers],[Produtos de Limpeza e Materiais de Higiene Pessoal]])-2,0)*($G41-$H41)</f>
        <v>345.13576638965827</v>
      </c>
      <c r="BM41" s="22">
        <f>VLOOKUP($A41,tabCustoUnit[],COLUMN(CUSTO_GLOBAL[[#Headers],[Outros (especificar)]])-2,0)*($G41-$H41)</f>
        <v>0</v>
      </c>
      <c r="BN41" s="22">
        <f>VLOOKUP($A41,tabCustoUnit[],COLUMN(CUSTO_GLOBAL[[#Headers],[MÓDULO 5 – INSUMOS DIVERSOS]])-2,0)*($G41-$H41)</f>
        <v>457.96623649302967</v>
      </c>
      <c r="BO41" s="22">
        <f>VLOOKUP($A41,tabCustoUnit[],COLUMN(CUSTO_GLOBAL[[#Headers],[TOTAL MÓDULOS 1+2+3+4+5]])-2,0)*($G41-$H41)</f>
        <v>2673.2864025844674</v>
      </c>
      <c r="BP41" s="22">
        <f>VLOOKUP($A41,tabCustoUnit[],COLUMN(CUSTO_GLOBAL[[#Headers],[Custos Indiretos]])-2,0)*($G41-$H41)</f>
        <v>189.64880140242613</v>
      </c>
      <c r="BQ41" s="22">
        <f>VLOOKUP($A41,tabCustoUnit[],COLUMN(CUSTO_GLOBAL[[#Headers],[Lucro]])-2,0)*($G41-$H41)</f>
        <v>159.30499317803796</v>
      </c>
      <c r="BR41" s="26">
        <f>VLOOKUP($A41,tabCustoUnit[],COLUMN(CUSTO_GLOBAL[[#Headers],[COFINS]])-2,0)</f>
        <v>8.5633802816901458E-2</v>
      </c>
      <c r="BS41" s="26">
        <f>VLOOKUP($A41,tabCustoUnit[],COLUMN(CUSTO_GLOBAL[[#Headers],[PIS]])-2,0)</f>
        <v>1.8591549295774657E-2</v>
      </c>
      <c r="BT41" s="28">
        <f>VLOOKUP($A41,tabCustoUnit[],COLUMN(CUSTO_GLOBAL[[#Headers],[ISS]])-2,0)</f>
        <v>0.02</v>
      </c>
      <c r="BU41" s="26">
        <f>VLOOKUP($A41,tabCustoUnit[],COLUMN(CUSTO_GLOBAL[[#Headers],[ISS (Conversão Alíquota s/ fatura)]])-2,0)</f>
        <v>2.2535211267605645E-2</v>
      </c>
      <c r="BV41" s="26">
        <f>VLOOKUP($A41,tabCustoUnit[],COLUMN(CUSTO_GLOBAL[[#Headers],[Resumo de Alíquotas (PIS+CONFINS+ISS)]])-2,0)</f>
        <v>0.1125</v>
      </c>
      <c r="BW41" s="138">
        <f>VLOOKUP($A41,tabCustoUnit[],COLUMN(CUSTO_GLOBAL[[#Headers],[PIS + COFINS + ISS (Total Conversão  Alíquota s/ Fatura)]])-2,0)</f>
        <v>0.12676056338028174</v>
      </c>
      <c r="BX41" s="22">
        <f>VLOOKUP($A41,tabCustoUnit[],COLUMN(CUSTO_GLOBAL[[#Headers],[Valor dos Tributos (ISS, PIS, CONFINS)]])-2,0)*($G41-$H41)</f>
        <v>383.10087006316047</v>
      </c>
      <c r="BY41" s="22">
        <f>VLOOKUP($A41,tabCustoUnit[],COLUMN(CUSTO_GLOBAL[[#Headers],[MÓDULO 6 – CUSTOS INDIRETOS, TRIBUTOS E LUCRO]])-2,0)*($G41-$H41)</f>
        <v>732.05466464362462</v>
      </c>
      <c r="BZ41" s="22">
        <f>VLOOKUP($A41,tabCustoUnit[],COLUMN(CUSTO_GLOBAL[[#Headers],[CUSTO TOTAL MENSAL]])-2,0)*($G41-$H41)</f>
        <v>3405.341067228092</v>
      </c>
      <c r="CA41" s="22">
        <f>CUSTO_GLOBAL[[#This Row],[CUSTO TOTAL MENSAL]]*12</f>
        <v>40864.092806737106</v>
      </c>
      <c r="CB41" s="24">
        <f>VLOOKUP($A41,tabCustoUnit[],COLUMN(CUSTO_GLOBAL[[#Headers],[ANO DA CCT]])-2,0)</f>
        <v>45658</v>
      </c>
      <c r="CC41" s="25" t="str">
        <f>VLOOKUP($A41,tabCustoUnit[],COLUMN(CUSTO_GLOBAL[[#Headers],[Nº DE PEDIDO DA CCT]])-2,0)</f>
        <v>-</v>
      </c>
      <c r="CD41" s="25" t="str">
        <f>VLOOKUP($A41,tabCustoUnit[],COLUMN(CUSTO_GLOBAL[[#Headers],[TERMO ADITIVO  ALTERAÇÃO DA CCT]])-2,0)</f>
        <v>-</v>
      </c>
      <c r="CF41" s="22"/>
      <c r="CG41" s="22"/>
    </row>
    <row r="42" spans="1:85" x14ac:dyDescent="0.25">
      <c r="A42" s="20" t="s">
        <v>1382</v>
      </c>
      <c r="B42" t="s">
        <v>41</v>
      </c>
      <c r="C42" t="s">
        <v>1244</v>
      </c>
      <c r="D42" t="s">
        <v>1041</v>
      </c>
      <c r="E42" s="20" t="s">
        <v>9</v>
      </c>
      <c r="F42" s="20" t="s">
        <v>10</v>
      </c>
      <c r="G42" s="20">
        <v>1</v>
      </c>
      <c r="H42" s="20">
        <v>0</v>
      </c>
      <c r="I42" s="21">
        <f>VLOOKUP($A42,tabCustoUnit[],COLUMN(CUSTO_GLOBAL[[#Headers],[Salário Base]])-2,0)*($G42-$H42)</f>
        <v>798.14</v>
      </c>
      <c r="J42" s="21">
        <f>VLOOKUP($A42,tabCustoUnit[],COLUMN(CUSTO_GLOBAL[[#Headers],[Adicional Periculosidade]])-2,0)*($G42-$H42)</f>
        <v>0</v>
      </c>
      <c r="K42" s="21">
        <f>VLOOKUP($A42,tabCustoUnit[],COLUMN(CUSTO_GLOBAL[[#Headers],[Adicional Insalubridade]])-2,0)*($G42-$H42)</f>
        <v>0</v>
      </c>
      <c r="L42" s="21">
        <f>VLOOKUP($A42,tabCustoUnit[],COLUMN(CUSTO_GLOBAL[[#Headers],[Adicional Noturno]])-2,0)*($G42-$H42)</f>
        <v>0</v>
      </c>
      <c r="M42" s="21">
        <f>VLOOKUP($A42,tabCustoUnit[],COLUMN(CUSTO_GLOBAL[[#Headers],[Adicional Motorista II (Gratificação)]])-2,0)*($G42-$H42)</f>
        <v>0</v>
      </c>
      <c r="N42" s="21">
        <f>VLOOKUP($A42,tabCustoUnit[],COLUMN(CUSTO_GLOBAL[[#Headers],[Adicional de Sobreaviso]])-2,0)*($G42-$H42)</f>
        <v>0</v>
      </c>
      <c r="O42" s="21">
        <f>VLOOKUP($A42,tabCustoUnit[],COLUMN(CUSTO_GLOBAL[[#Headers],[Horas Extras TI]])-2,0)*($G42-$H42)</f>
        <v>0</v>
      </c>
      <c r="P42" s="21">
        <f>VLOOKUP($A42,tabCustoUnit[],COLUMN(CUSTO_GLOBAL[[#Headers],[Adicional de Acúmulo de função]])-2,0)*($G42-$H42)</f>
        <v>26.120899999999999</v>
      </c>
      <c r="Q42" s="21">
        <f>VLOOKUP($A42,tabCustoUnit[],COLUMN(CUSTO_GLOBAL[[#Headers],[MODULO 1 - REMUNERAÇÃO ]])-2,0)*($G42-$H42)</f>
        <v>824.26089999999999</v>
      </c>
      <c r="R42" s="21">
        <f>VLOOKUP($A42,tabCustoUnit[],COLUMN(CUSTO_GLOBAL[[#Headers],[INSS]])-2,0)*($G42-$H42)</f>
        <v>164.85218</v>
      </c>
      <c r="S42" s="21">
        <f>VLOOKUP($A42,tabCustoUnit[],COLUMN(CUSTO_GLOBAL[[#Headers],[SESI OU SESC]])-2,0)*($G42-$H42)</f>
        <v>12.363913499999999</v>
      </c>
      <c r="T42" s="21">
        <f>VLOOKUP($A42,tabCustoUnit[],COLUMN(CUSTO_GLOBAL[[#Headers],[SENAI OU SENAC]])-2,0)*($G42-$H42)</f>
        <v>8.2426089999999999</v>
      </c>
      <c r="U42" s="21">
        <f>VLOOKUP($A42,tabCustoUnit[],COLUMN(CUSTO_GLOBAL[[#Headers],[INCRA]])-2,0)*($G42-$H42)</f>
        <v>1.6485217999999999</v>
      </c>
      <c r="V42" s="21">
        <f>VLOOKUP($A42,tabCustoUnit[],COLUMN(CUSTO_GLOBAL[[#Headers],[Salário Educação]])-2,0)*($G42-$H42)</f>
        <v>20.606522500000001</v>
      </c>
      <c r="W42" s="21">
        <f>VLOOKUP($A42,tabCustoUnit[],COLUMN(CUSTO_GLOBAL[[#Headers],[FGTS]])-2,0)*($G42-$H42)</f>
        <v>65.940871999999999</v>
      </c>
      <c r="X42" s="21">
        <f>VLOOKUP($A42,tabCustoUnit[],COLUMN(CUSTO_GLOBAL[[#Headers],[RAT Ajustado]])-2,0)*($G42-$H42)</f>
        <v>32.970435999999999</v>
      </c>
      <c r="Y42" s="21">
        <f>VLOOKUP($A42,tabCustoUnit[],COLUMN(CUSTO_GLOBAL[[#Headers],[SEBRAE]])-2,0)*($G42-$H42)</f>
        <v>4.9455654000000004</v>
      </c>
      <c r="Z42" s="21">
        <f>VLOOKUP($A42,tabCustoUnit[],COLUMN(CUSTO_GLOBAL[[#Headers],[Submódulo 2.1]])-2,0)*($G42-$H42)</f>
        <v>311.57062020000001</v>
      </c>
      <c r="AA42" s="21">
        <f>VLOOKUP($A42,tabCustoUnit[],COLUMN(CUSTO_GLOBAL[[#Headers],[13º salário (titular)]])-2,0)*($G42-$H42)</f>
        <v>68.688408333333328</v>
      </c>
      <c r="AB42" s="21">
        <f>VLOOKUP($A42,tabCustoUnit[],COLUMN(CUSTO_GLOBAL[[#Headers],[Férias e Adicional de Férias (titular)]])-2,0)*($G42-$H42)</f>
        <v>91.584544444444433</v>
      </c>
      <c r="AC42" s="21">
        <f>VLOOKUP($A42,tabCustoUnit[],COLUMN(CUSTO_GLOBAL[[#Headers],[Incidência do Submódulo 2.1 sobre 13º Salário, Férias e Adicional de Férias]])-2,0)*($G42-$H42)</f>
        <v>60.583176149999993</v>
      </c>
      <c r="AD42" s="21">
        <f>VLOOKUP($A42,tabCustoUnit[],COLUMN(CUSTO_GLOBAL[[#Headers],[Submódulo 2.2]])-2,0)*($G42-$H42)</f>
        <v>220.85612892777775</v>
      </c>
      <c r="AE42" s="22">
        <f>VLOOKUP($A42,tabCustoUnit[],COLUMN(CUSTO_GLOBAL[[#Headers],[Vale - Transporte (Descontada parcela do empregado)]])-2,0)*($G42-$H42)</f>
        <v>208.11160000000001</v>
      </c>
      <c r="AF42" s="22">
        <f>VLOOKUP($A42,tabCustoUnit[],COLUMN(CUSTO_GLOBAL[[#Headers],[Vale - Alimentação (Descontada parcela do empregado)]])-2,0)*($G42-$H42)</f>
        <v>582</v>
      </c>
      <c r="AG42" s="22">
        <f>VLOOKUP($A42,tabCustoUnit[],COLUMN(CUSTO_GLOBAL[[#Headers],[Cesta Básica]])-2,0)*($G42-$H42)</f>
        <v>0</v>
      </c>
      <c r="AH42" s="22">
        <f>VLOOKUP($A42,tabCustoUnit[],COLUMN(CUSTO_GLOBAL[[#Headers],[PAF]])-2,0)*($G42-$H42)</f>
        <v>0</v>
      </c>
      <c r="AI42" s="22">
        <f>VLOOKUP($A42,tabCustoUnit[],COLUMN(CUSTO_GLOBAL[[#Headers],[PQM]])-2,0)*($G42-$H42)</f>
        <v>0</v>
      </c>
      <c r="AJ42" s="22">
        <v>0</v>
      </c>
      <c r="AK42" s="22">
        <f>VLOOKUP($A42,tabCustoUnit[],COLUMN(CUSTO_GLOBAL[[#Headers],[Seguro de Vida]])-2,0)*($G42-$H42)</f>
        <v>3.36</v>
      </c>
      <c r="AL42" s="22">
        <f>VLOOKUP($A42,tabCustoUnit[],COLUMN(CUSTO_GLOBAL[[#Headers],[Despesas de Viagem]])-2,0)*($G42-$H42)</f>
        <v>0</v>
      </c>
      <c r="AM42" s="22">
        <f>VLOOKUP($A42,tabCustoUnit[],COLUMN(CUSTO_GLOBAL[[#Headers],[Submódulo 2.3]])-2,0)*($G42-$H42)</f>
        <v>793.47159999999997</v>
      </c>
      <c r="AN42" s="22">
        <f>VLOOKUP($A42,tabCustoUnit[],COLUMN(CUSTO_GLOBAL[[#Headers],[MÓDULO 2 - Total Encargos e Benefícios mensais e diários]])-2,0)*($G42-$H42)</f>
        <v>1325.8983491277777</v>
      </c>
      <c r="AO42" s="22">
        <f>VLOOKUP($A42,tabCustoUnit[],COLUMN(CUSTO_GLOBAL[[#Headers],[Aviso Prévio Indenizado (API) e Reflexo do Aviso Prévio Indenizado]])-2,0)*($G42-$H42)</f>
        <v>5.7795253576581791</v>
      </c>
      <c r="AP42" s="22">
        <f>VLOOKUP($A42,tabCustoUnit[],COLUMN(CUSTO_GLOBAL[[#Headers],[Incidência do FGTS sobre API e Reflexo do API]])-2,0)*($G42-$H42)</f>
        <v>0.46236202861265435</v>
      </c>
      <c r="AQ42" s="22">
        <f>VLOOKUP($A42,tabCustoUnit[],COLUMN(CUSTO_GLOBAL[[#Headers],[Multa Rescisória do FGTS sobre o Aviso Prévio Indenizado]])-2,0)*($G42-$H42)</f>
        <v>0.18494481144506175</v>
      </c>
      <c r="AR42" s="22">
        <f>VLOOKUP($A42,tabCustoUnit[],COLUMN(CUSTO_GLOBAL[[#Headers],[Aviso Prévio Trabalhado - APT]])-2,0)*($G42-$H42)</f>
        <v>2.8849131500000005</v>
      </c>
      <c r="AS42" s="22">
        <f>VLOOKUP($A42,tabCustoUnit[],COLUMN(CUSTO_GLOBAL[[#Headers],[Incidência dos encargos do submódulo 2.1 sobre Aviso Prévio Trabalhado]])-2,0)*($G42-$H42)</f>
        <v>1.0904971707000004</v>
      </c>
      <c r="AT42" s="22">
        <f>VLOOKUP($A42,tabCustoUnit[],COLUMN(CUSTO_GLOBAL[[#Headers],[Multa Rescisória do FGTS]])-2,0)*($G42-$H42)</f>
        <v>25.204066631111107</v>
      </c>
      <c r="AU42" s="22">
        <f>VLOOKUP($A42,tabCustoUnit[],COLUMN(CUSTO_GLOBAL[[#Headers],[Indenização Adicional (Art. 9º da Lei nº 7.238/84)]])-2,0)*($G42-$H42)</f>
        <v>0.6868840833333334</v>
      </c>
      <c r="AV42" s="22">
        <f>VLOOKUP($A42,tabCustoUnit[],COLUMN(CUSTO_GLOBAL[[#Headers],[MÓDULO 3 – PROVISÃO PARA RESCISÃO]])-2,0)*($G42-$H42)</f>
        <v>36.293193232860339</v>
      </c>
      <c r="AW42" s="22">
        <f>VLOOKUP($A42,tabCustoUnit[],COLUMN(CUSTO_GLOBAL[[#Headers],[Ausência por Doença]])-2,0)*($G42-$H42)</f>
        <v>6.9604253777777769</v>
      </c>
      <c r="AX42" s="22">
        <f>VLOOKUP($A42,tabCustoUnit[],COLUMN(CUSTO_GLOBAL[[#Headers],[Ausências Legais]])-2,0)*($G42-$H42)</f>
        <v>1.671417936111111</v>
      </c>
      <c r="AY42" s="22">
        <f>VLOOKUP($A42,tabCustoUnit[],COLUMN(CUSTO_GLOBAL[[#Headers],[Licença Paternidade]])-2,0)*($G42-$H42)</f>
        <v>0.14081123708333332</v>
      </c>
      <c r="AZ42" s="22">
        <f>VLOOKUP($A42,tabCustoUnit[],COLUMN(CUSTO_GLOBAL[[#Headers],[Ausência por Acidente de Trabalho]])-2,0)*($G42-$H42)</f>
        <v>0.17172102083333335</v>
      </c>
      <c r="BA42" s="22">
        <f>VLOOKUP($A42,tabCustoUnit[],COLUMN(CUSTO_GLOBAL[[#Headers],[Férias, Adicional de Férias e 13º  com empregada em gozo de Licença Maternidade]])-2,0)*($G42-$H42)</f>
        <v>1.0684863518518517</v>
      </c>
      <c r="BB42" s="22">
        <f>VLOOKUP($A42,tabCustoUnit[],COLUMN(CUSTO_GLOBAL[[#Headers],[Incidência do Submódulo 2.1 sobre Ausências Legais]])-2,0)*($G42-$H42)</f>
        <v>3.7848618071425006</v>
      </c>
      <c r="BC42" s="22">
        <f>VLOOKUP($A42,tabCustoUnit[],COLUMN(CUSTO_GLOBAL[[#Headers],[Submódulo 4.1]])-2,0)*($G42-$H42)</f>
        <v>13.797723730799909</v>
      </c>
      <c r="BD42" s="22">
        <f>VLOOKUP($A42,tabCustoUnit[],COLUMN(CUSTO_GLOBAL[[#Headers],[Intervalo para Repouso ou Alimentação]])-2,0)*($G42-$H42)</f>
        <v>0</v>
      </c>
      <c r="BE42" s="22">
        <f>VLOOKUP($A42,tabCustoUnit[],COLUMN(CUSTO_GLOBAL[[#Headers],[Submódulo 4.2]])-2,0)*($G42-$H42)</f>
        <v>0</v>
      </c>
      <c r="BF42" s="22">
        <f>VLOOKUP($A42,tabCustoUnit[],COLUMN(CUSTO_GLOBAL[[#Headers],[Suspensão Temporária do Contrato de Trabalho]])-2,0)*($G42-$H42)</f>
        <v>0</v>
      </c>
      <c r="BG42" s="22">
        <f>VLOOKUP($A42,tabCustoUnit[],COLUMN(CUSTO_GLOBAL[[#Headers],[Submódulo 4.3]])-2,0)*($G42-$H42)</f>
        <v>0</v>
      </c>
      <c r="BH42" s="22">
        <f>VLOOKUP($A42,tabCustoUnit[],COLUMN(CUSTO_GLOBAL[[#Headers],[MÓDULO 4 – CUSTO DE REPOSIÇÃO DO PROFISSIONAL AUSENTE]])-2,0)*($G42-$H42)</f>
        <v>13.797723730799909</v>
      </c>
      <c r="BI42" s="22">
        <f>VLOOKUP($A42,tabCustoUnit[],COLUMN(CUSTO_GLOBAL[[#Headers],[Uniformes e EPIs]])-2,0)*($G42-$H42)</f>
        <v>62.806666666666665</v>
      </c>
      <c r="BJ42" s="22">
        <f>VLOOKUP($A42,tabCustoUnit[],COLUMN(CUSTO_GLOBAL[[#Headers],[Materiais de Consumo]])-2,0)*($G42-$H42)</f>
        <v>17.759106479291944</v>
      </c>
      <c r="BK42" s="22">
        <f>VLOOKUP($A42,tabCustoUnit[],COLUMN(CUSTO_GLOBAL[[#Headers],[Máquinas e Equipamentos (depreciação)]])-2,0)*($G42-$H42)</f>
        <v>32.264696957412788</v>
      </c>
      <c r="BL42" s="22">
        <f>VLOOKUP($A42,tabCustoUnit[],COLUMN(CUSTO_GLOBAL[[#Headers],[Produtos de Limpeza e Materiais de Higiene Pessoal]])-2,0)*($G42-$H42)</f>
        <v>345.13576638965827</v>
      </c>
      <c r="BM42" s="22">
        <f>VLOOKUP($A42,tabCustoUnit[],COLUMN(CUSTO_GLOBAL[[#Headers],[Outros (especificar)]])-2,0)*($G42-$H42)</f>
        <v>0</v>
      </c>
      <c r="BN42" s="22">
        <f>VLOOKUP($A42,tabCustoUnit[],COLUMN(CUSTO_GLOBAL[[#Headers],[MÓDULO 5 – INSUMOS DIVERSOS]])-2,0)*($G42-$H42)</f>
        <v>457.96623649302967</v>
      </c>
      <c r="BO42" s="22">
        <f>VLOOKUP($A42,tabCustoUnit[],COLUMN(CUSTO_GLOBAL[[#Headers],[TOTAL MÓDULOS 1+2+3+4+5]])-2,0)*($G42-$H42)</f>
        <v>2658.2164025844677</v>
      </c>
      <c r="BP42" s="22">
        <f>VLOOKUP($A42,tabCustoUnit[],COLUMN(CUSTO_GLOBAL[[#Headers],[Custos Indiretos]])-2,0)*($G42-$H42)</f>
        <v>189.64880140242613</v>
      </c>
      <c r="BQ42" s="22">
        <f>VLOOKUP($A42,tabCustoUnit[],COLUMN(CUSTO_GLOBAL[[#Headers],[Lucro]])-2,0)*($G42-$H42)</f>
        <v>159.30499317803796</v>
      </c>
      <c r="BR42" s="26">
        <f>VLOOKUP($A42,tabCustoUnit[],COLUMN(CUSTO_GLOBAL[[#Headers],[COFINS]])-2,0)</f>
        <v>8.6609686609686695E-2</v>
      </c>
      <c r="BS42" s="26">
        <f>VLOOKUP($A42,tabCustoUnit[],COLUMN(CUSTO_GLOBAL[[#Headers],[PIS]])-2,0)</f>
        <v>1.880341880341882E-2</v>
      </c>
      <c r="BT42" s="28">
        <f>VLOOKUP($A42,tabCustoUnit[],COLUMN(CUSTO_GLOBAL[[#Headers],[ISS]])-2,0)</f>
        <v>0.03</v>
      </c>
      <c r="BU42" s="26">
        <f>VLOOKUP($A42,tabCustoUnit[],COLUMN(CUSTO_GLOBAL[[#Headers],[ISS (Conversão Alíquota s/ fatura)]])-2,0)</f>
        <v>3.4188034188034219E-2</v>
      </c>
      <c r="BV42" s="26">
        <f>VLOOKUP($A42,tabCustoUnit[],COLUMN(CUSTO_GLOBAL[[#Headers],[Resumo de Alíquotas (PIS+CONFINS+ISS)]])-2,0)</f>
        <v>0.1225</v>
      </c>
      <c r="BW42" s="138">
        <f>VLOOKUP($A42,tabCustoUnit[],COLUMN(CUSTO_GLOBAL[[#Headers],[PIS + COFINS + ISS (Total Conversão  Alíquota s/ Fatura)]])-2,0)</f>
        <v>0.13960113960113973</v>
      </c>
      <c r="BX42" s="22">
        <f>VLOOKUP($A42,tabCustoUnit[],COLUMN(CUSTO_GLOBAL[[#Headers],[Valor dos Tributos (ISS, PIS, CONFINS)]])-2,0)*($G42-$H42)</f>
        <v>419.80438649880853</v>
      </c>
      <c r="BY42" s="22">
        <f>VLOOKUP($A42,tabCustoUnit[],COLUMN(CUSTO_GLOBAL[[#Headers],[MÓDULO 6 – CUSTOS INDIRETOS, TRIBUTOS E LUCRO]])-2,0)*($G42-$H42)</f>
        <v>768.75818107927262</v>
      </c>
      <c r="BZ42" s="22">
        <f>VLOOKUP($A42,tabCustoUnit[],COLUMN(CUSTO_GLOBAL[[#Headers],[CUSTO TOTAL MENSAL]])-2,0)*($G42-$H42)</f>
        <v>3426.9745836637403</v>
      </c>
      <c r="CA42" s="22">
        <f>CUSTO_GLOBAL[[#This Row],[CUSTO TOTAL MENSAL]]*12</f>
        <v>41123.69500396488</v>
      </c>
      <c r="CB42" s="24">
        <f>VLOOKUP($A42,tabCustoUnit[],COLUMN(CUSTO_GLOBAL[[#Headers],[ANO DA CCT]])-2,0)</f>
        <v>45658</v>
      </c>
      <c r="CC42" s="25" t="str">
        <f>VLOOKUP($A42,tabCustoUnit[],COLUMN(CUSTO_GLOBAL[[#Headers],[Nº DE PEDIDO DA CCT]])-2,0)</f>
        <v>-</v>
      </c>
      <c r="CD42" s="25" t="str">
        <f>VLOOKUP($A42,tabCustoUnit[],COLUMN(CUSTO_GLOBAL[[#Headers],[TERMO ADITIVO  ALTERAÇÃO DA CCT]])-2,0)</f>
        <v>-</v>
      </c>
      <c r="CF42" s="22"/>
      <c r="CG42" s="22"/>
    </row>
    <row r="43" spans="1:85" x14ac:dyDescent="0.25">
      <c r="A43" s="20" t="s">
        <v>1383</v>
      </c>
      <c r="B43" t="s">
        <v>42</v>
      </c>
      <c r="C43" t="s">
        <v>1247</v>
      </c>
      <c r="D43" t="s">
        <v>1000</v>
      </c>
      <c r="E43" s="20" t="s">
        <v>9</v>
      </c>
      <c r="F43" s="20" t="s">
        <v>10</v>
      </c>
      <c r="G43" s="20">
        <v>1</v>
      </c>
      <c r="H43" s="20">
        <v>0</v>
      </c>
      <c r="I43" s="21">
        <f>VLOOKUP($A43,tabCustoUnit[],COLUMN(CUSTO_GLOBAL[[#Headers],[Salário Base]])-2,0)*($G43-$H43)</f>
        <v>544.17999999999995</v>
      </c>
      <c r="J43" s="21">
        <f>VLOOKUP($A43,tabCustoUnit[],COLUMN(CUSTO_GLOBAL[[#Headers],[Adicional Periculosidade]])-2,0)*($G43-$H43)</f>
        <v>0</v>
      </c>
      <c r="K43" s="21">
        <f>VLOOKUP($A43,tabCustoUnit[],COLUMN(CUSTO_GLOBAL[[#Headers],[Adicional Insalubridade]])-2,0)*($G43-$H43)</f>
        <v>0</v>
      </c>
      <c r="L43" s="21">
        <f>VLOOKUP($A43,tabCustoUnit[],COLUMN(CUSTO_GLOBAL[[#Headers],[Adicional Noturno]])-2,0)*($G43-$H43)</f>
        <v>0</v>
      </c>
      <c r="M43" s="21">
        <f>VLOOKUP($A43,tabCustoUnit[],COLUMN(CUSTO_GLOBAL[[#Headers],[Adicional Motorista II (Gratificação)]])-2,0)*($G43-$H43)</f>
        <v>0</v>
      </c>
      <c r="N43" s="21">
        <f>VLOOKUP($A43,tabCustoUnit[],COLUMN(CUSTO_GLOBAL[[#Headers],[Adicional de Sobreaviso]])-2,0)*($G43-$H43)</f>
        <v>0</v>
      </c>
      <c r="O43" s="21">
        <f>VLOOKUP($A43,tabCustoUnit[],COLUMN(CUSTO_GLOBAL[[#Headers],[Horas Extras TI]])-2,0)*($G43-$H43)</f>
        <v>0</v>
      </c>
      <c r="P43" s="21">
        <f>VLOOKUP($A43,tabCustoUnit[],COLUMN(CUSTO_GLOBAL[[#Headers],[Adicional de Acúmulo de função]])-2,0)*($G43-$H43)</f>
        <v>19.590499999999999</v>
      </c>
      <c r="Q43" s="21">
        <f>VLOOKUP($A43,tabCustoUnit[],COLUMN(CUSTO_GLOBAL[[#Headers],[MODULO 1 - REMUNERAÇÃO ]])-2,0)*($G43-$H43)</f>
        <v>563.77049999999997</v>
      </c>
      <c r="R43" s="21">
        <f>VLOOKUP($A43,tabCustoUnit[],COLUMN(CUSTO_GLOBAL[[#Headers],[INSS]])-2,0)*($G43-$H43)</f>
        <v>112.75409999999999</v>
      </c>
      <c r="S43" s="21">
        <f>VLOOKUP($A43,tabCustoUnit[],COLUMN(CUSTO_GLOBAL[[#Headers],[SESI OU SESC]])-2,0)*($G43-$H43)</f>
        <v>8.4565574999999988</v>
      </c>
      <c r="T43" s="21">
        <f>VLOOKUP($A43,tabCustoUnit[],COLUMN(CUSTO_GLOBAL[[#Headers],[SENAI OU SENAC]])-2,0)*($G43-$H43)</f>
        <v>5.6377049999999995</v>
      </c>
      <c r="U43" s="21">
        <f>VLOOKUP($A43,tabCustoUnit[],COLUMN(CUSTO_GLOBAL[[#Headers],[INCRA]])-2,0)*($G43-$H43)</f>
        <v>1.1275409999999999</v>
      </c>
      <c r="V43" s="21">
        <f>VLOOKUP($A43,tabCustoUnit[],COLUMN(CUSTO_GLOBAL[[#Headers],[Salário Educação]])-2,0)*($G43-$H43)</f>
        <v>14.094262499999999</v>
      </c>
      <c r="W43" s="21">
        <f>VLOOKUP($A43,tabCustoUnit[],COLUMN(CUSTO_GLOBAL[[#Headers],[FGTS]])-2,0)*($G43-$H43)</f>
        <v>45.101639999999996</v>
      </c>
      <c r="X43" s="21">
        <f>VLOOKUP($A43,tabCustoUnit[],COLUMN(CUSTO_GLOBAL[[#Headers],[RAT Ajustado]])-2,0)*($G43-$H43)</f>
        <v>22.550819999999998</v>
      </c>
      <c r="Y43" s="21">
        <f>VLOOKUP($A43,tabCustoUnit[],COLUMN(CUSTO_GLOBAL[[#Headers],[SEBRAE]])-2,0)*($G43-$H43)</f>
        <v>3.3826229999999997</v>
      </c>
      <c r="Z43" s="21">
        <f>VLOOKUP($A43,tabCustoUnit[],COLUMN(CUSTO_GLOBAL[[#Headers],[Submódulo 2.1]])-2,0)*($G43-$H43)</f>
        <v>213.10524899999996</v>
      </c>
      <c r="AA43" s="21">
        <f>VLOOKUP($A43,tabCustoUnit[],COLUMN(CUSTO_GLOBAL[[#Headers],[13º salário (titular)]])-2,0)*($G43-$H43)</f>
        <v>46.980874999999997</v>
      </c>
      <c r="AB43" s="21">
        <f>VLOOKUP($A43,tabCustoUnit[],COLUMN(CUSTO_GLOBAL[[#Headers],[Férias e Adicional de Férias (titular)]])-2,0)*($G43-$H43)</f>
        <v>62.641166666666663</v>
      </c>
      <c r="AC43" s="21">
        <f>VLOOKUP($A43,tabCustoUnit[],COLUMN(CUSTO_GLOBAL[[#Headers],[Incidência do Submódulo 2.1 sobre 13º Salário, Férias e Adicional de Férias]])-2,0)*($G43-$H43)</f>
        <v>41.437131749999992</v>
      </c>
      <c r="AD43" s="21">
        <f>VLOOKUP($A43,tabCustoUnit[],COLUMN(CUSTO_GLOBAL[[#Headers],[Submódulo 2.2]])-2,0)*($G43-$H43)</f>
        <v>151.05917341666665</v>
      </c>
      <c r="AE43" s="22">
        <f>VLOOKUP($A43,tabCustoUnit[],COLUMN(CUSTO_GLOBAL[[#Headers],[Vale - Transporte (Descontada parcela do empregado)]])-2,0)*($G43-$H43)</f>
        <v>223.3492</v>
      </c>
      <c r="AF43" s="22">
        <f>VLOOKUP($A43,tabCustoUnit[],COLUMN(CUSTO_GLOBAL[[#Headers],[Vale - Alimentação (Descontada parcela do empregado)]])-2,0)*($G43-$H43)</f>
        <v>582</v>
      </c>
      <c r="AG43" s="22">
        <f>VLOOKUP($A43,tabCustoUnit[],COLUMN(CUSTO_GLOBAL[[#Headers],[Cesta Básica]])-2,0)*($G43-$H43)</f>
        <v>0</v>
      </c>
      <c r="AH43" s="22">
        <f>VLOOKUP($A43,tabCustoUnit[],COLUMN(CUSTO_GLOBAL[[#Headers],[PAF]])-2,0)*($G43-$H43)</f>
        <v>0</v>
      </c>
      <c r="AI43" s="22">
        <f>VLOOKUP($A43,tabCustoUnit[],COLUMN(CUSTO_GLOBAL[[#Headers],[PQM]])-2,0)*($G43-$H43)</f>
        <v>15.07</v>
      </c>
      <c r="AJ43" s="22">
        <v>0</v>
      </c>
      <c r="AK43" s="22">
        <f>VLOOKUP($A43,tabCustoUnit[],COLUMN(CUSTO_GLOBAL[[#Headers],[Seguro de Vida]])-2,0)*($G43-$H43)</f>
        <v>3.36</v>
      </c>
      <c r="AL43" s="22">
        <f>VLOOKUP($A43,tabCustoUnit[],COLUMN(CUSTO_GLOBAL[[#Headers],[Despesas de Viagem]])-2,0)*($G43-$H43)</f>
        <v>0</v>
      </c>
      <c r="AM43" s="22">
        <f>VLOOKUP($A43,tabCustoUnit[],COLUMN(CUSTO_GLOBAL[[#Headers],[Submódulo 2.3]])-2,0)*($G43-$H43)</f>
        <v>823.77920000000006</v>
      </c>
      <c r="AN43" s="22">
        <f>VLOOKUP($A43,tabCustoUnit[],COLUMN(CUSTO_GLOBAL[[#Headers],[MÓDULO 2 - Total Encargos e Benefícios mensais e diários]])-2,0)*($G43-$H43)</f>
        <v>1187.9436224166666</v>
      </c>
      <c r="AO43" s="22">
        <f>VLOOKUP($A43,tabCustoUnit[],COLUMN(CUSTO_GLOBAL[[#Headers],[Aviso Prévio Indenizado (API) e Reflexo do Aviso Prévio Indenizado]])-2,0)*($G43-$H43)</f>
        <v>3.9530273735532404</v>
      </c>
      <c r="AP43" s="22">
        <f>VLOOKUP($A43,tabCustoUnit[],COLUMN(CUSTO_GLOBAL[[#Headers],[Incidência do FGTS sobre API e Reflexo do API]])-2,0)*($G43-$H43)</f>
        <v>0.31624218988425928</v>
      </c>
      <c r="AQ43" s="22">
        <f>VLOOKUP($A43,tabCustoUnit[],COLUMN(CUSTO_GLOBAL[[#Headers],[Multa Rescisória do FGTS sobre o Aviso Prévio Indenizado]])-2,0)*($G43-$H43)</f>
        <v>0.12649687595370371</v>
      </c>
      <c r="AR43" s="22">
        <f>VLOOKUP($A43,tabCustoUnit[],COLUMN(CUSTO_GLOBAL[[#Headers],[Aviso Prévio Trabalhado - APT]])-2,0)*($G43-$H43)</f>
        <v>1.9731967500000003</v>
      </c>
      <c r="AS43" s="22">
        <f>VLOOKUP($A43,tabCustoUnit[],COLUMN(CUSTO_GLOBAL[[#Headers],[Incidência dos encargos do submódulo 2.1 sobre Aviso Prévio Trabalhado]])-2,0)*($G43-$H43)</f>
        <v>0.74586837150000018</v>
      </c>
      <c r="AT43" s="22">
        <f>VLOOKUP($A43,tabCustoUnit[],COLUMN(CUSTO_GLOBAL[[#Headers],[Multa Rescisória do FGTS]])-2,0)*($G43-$H43)</f>
        <v>17.238849066666663</v>
      </c>
      <c r="AU43" s="22">
        <f>VLOOKUP($A43,tabCustoUnit[],COLUMN(CUSTO_GLOBAL[[#Headers],[Indenização Adicional (Art. 9º da Lei nº 7.238/84)]])-2,0)*($G43-$H43)</f>
        <v>0.46980875</v>
      </c>
      <c r="AV43" s="22">
        <f>VLOOKUP($A43,tabCustoUnit[],COLUMN(CUSTO_GLOBAL[[#Headers],[MÓDULO 3 – PROVISÃO PARA RESCISÃO]])-2,0)*($G43-$H43)</f>
        <v>24.823489377557866</v>
      </c>
      <c r="AW43" s="22">
        <f>VLOOKUP($A43,tabCustoUnit[],COLUMN(CUSTO_GLOBAL[[#Headers],[Ausência por Doença]])-2,0)*($G43-$H43)</f>
        <v>4.7607286666666662</v>
      </c>
      <c r="AX43" s="22">
        <f>VLOOKUP($A43,tabCustoUnit[],COLUMN(CUSTO_GLOBAL[[#Headers],[Ausências Legais]])-2,0)*($G43-$H43)</f>
        <v>1.1432012916666665</v>
      </c>
      <c r="AY43" s="22">
        <f>VLOOKUP($A43,tabCustoUnit[],COLUMN(CUSTO_GLOBAL[[#Headers],[Licença Paternidade]])-2,0)*($G43-$H43)</f>
        <v>9.6310793749999998E-2</v>
      </c>
      <c r="AZ43" s="22">
        <f>VLOOKUP($A43,tabCustoUnit[],COLUMN(CUSTO_GLOBAL[[#Headers],[Ausência por Acidente de Trabalho]])-2,0)*($G43-$H43)</f>
        <v>0.1174521875</v>
      </c>
      <c r="BA43" s="22">
        <f>VLOOKUP($A43,tabCustoUnit[],COLUMN(CUSTO_GLOBAL[[#Headers],[Férias, Adicional de Férias e 13º  com empregada em gozo de Licença Maternidade]])-2,0)*($G43-$H43)</f>
        <v>0.73081361111111109</v>
      </c>
      <c r="BB43" s="22">
        <f>VLOOKUP($A43,tabCustoUnit[],COLUMN(CUSTO_GLOBAL[[#Headers],[Incidência do Submódulo 2.1 sobre Ausências Legais]])-2,0)*($G43-$H43)</f>
        <v>2.5887354761625003</v>
      </c>
      <c r="BC43" s="22">
        <f>VLOOKUP($A43,tabCustoUnit[],COLUMN(CUSTO_GLOBAL[[#Headers],[Submódulo 4.1]])-2,0)*($G43-$H43)</f>
        <v>9.4372420268569428</v>
      </c>
      <c r="BD43" s="22">
        <f>VLOOKUP($A43,tabCustoUnit[],COLUMN(CUSTO_GLOBAL[[#Headers],[Intervalo para Repouso ou Alimentação]])-2,0)*($G43-$H43)</f>
        <v>0</v>
      </c>
      <c r="BE43" s="22">
        <f>VLOOKUP($A43,tabCustoUnit[],COLUMN(CUSTO_GLOBAL[[#Headers],[Submódulo 4.2]])-2,0)*($G43-$H43)</f>
        <v>0</v>
      </c>
      <c r="BF43" s="22">
        <f>VLOOKUP($A43,tabCustoUnit[],COLUMN(CUSTO_GLOBAL[[#Headers],[Suspensão Temporária do Contrato de Trabalho]])-2,0)*($G43-$H43)</f>
        <v>0</v>
      </c>
      <c r="BG43" s="22">
        <f>VLOOKUP($A43,tabCustoUnit[],COLUMN(CUSTO_GLOBAL[[#Headers],[Submódulo 4.3]])-2,0)*($G43-$H43)</f>
        <v>0</v>
      </c>
      <c r="BH43" s="22">
        <f>VLOOKUP($A43,tabCustoUnit[],COLUMN(CUSTO_GLOBAL[[#Headers],[MÓDULO 4 – CUSTO DE REPOSIÇÃO DO PROFISSIONAL AUSENTE]])-2,0)*($G43-$H43)</f>
        <v>9.4372420268569428</v>
      </c>
      <c r="BI43" s="22">
        <f>VLOOKUP($A43,tabCustoUnit[],COLUMN(CUSTO_GLOBAL[[#Headers],[Uniformes e EPIs]])-2,0)*($G43-$H43)</f>
        <v>62.806666666666665</v>
      </c>
      <c r="BJ43" s="22">
        <f>VLOOKUP($A43,tabCustoUnit[],COLUMN(CUSTO_GLOBAL[[#Headers],[Materiais de Consumo]])-2,0)*($G43-$H43)</f>
        <v>12.108481690426325</v>
      </c>
      <c r="BK43" s="22">
        <f>VLOOKUP($A43,tabCustoUnit[],COLUMN(CUSTO_GLOBAL[[#Headers],[Máquinas e Equipamentos (depreciação)]])-2,0)*($G43-$H43)</f>
        <v>21.998657016417809</v>
      </c>
      <c r="BL43" s="22">
        <f>VLOOKUP($A43,tabCustoUnit[],COLUMN(CUSTO_GLOBAL[[#Headers],[Produtos de Limpeza e Materiais de Higiene Pessoal]])-2,0)*($G43-$H43)</f>
        <v>235.31984072022155</v>
      </c>
      <c r="BM43" s="22">
        <f>VLOOKUP($A43,tabCustoUnit[],COLUMN(CUSTO_GLOBAL[[#Headers],[Outros (especificar)]])-2,0)*($G43-$H43)</f>
        <v>0</v>
      </c>
      <c r="BN43" s="22">
        <f>VLOOKUP($A43,tabCustoUnit[],COLUMN(CUSTO_GLOBAL[[#Headers],[MÓDULO 5 – INSUMOS DIVERSOS]])-2,0)*($G43-$H43)</f>
        <v>332.23364609373232</v>
      </c>
      <c r="BO43" s="22">
        <f>VLOOKUP($A43,tabCustoUnit[],COLUMN(CUSTO_GLOBAL[[#Headers],[TOTAL MÓDULOS 1+2+3+4+5]])-2,0)*($G43-$H43)</f>
        <v>2118.2084999148137</v>
      </c>
      <c r="BP43" s="22">
        <f>VLOOKUP($A43,tabCustoUnit[],COLUMN(CUSTO_GLOBAL[[#Headers],[Custos Indiretos]])-2,0)*($G43-$H43)</f>
        <v>189.64880140242613</v>
      </c>
      <c r="BQ43" s="22">
        <f>VLOOKUP($A43,tabCustoUnit[],COLUMN(CUSTO_GLOBAL[[#Headers],[Lucro]])-2,0)*($G43-$H43)</f>
        <v>159.30499317803796</v>
      </c>
      <c r="BR43" s="26">
        <f>VLOOKUP($A43,tabCustoUnit[],COLUMN(CUSTO_GLOBAL[[#Headers],[COFINS]])-2,0)</f>
        <v>8.5633802816901458E-2</v>
      </c>
      <c r="BS43" s="26">
        <f>VLOOKUP($A43,tabCustoUnit[],COLUMN(CUSTO_GLOBAL[[#Headers],[PIS]])-2,0)</f>
        <v>1.8591549295774657E-2</v>
      </c>
      <c r="BT43" s="28">
        <f>VLOOKUP($A43,tabCustoUnit[],COLUMN(CUSTO_GLOBAL[[#Headers],[ISS]])-2,0)</f>
        <v>0.02</v>
      </c>
      <c r="BU43" s="26">
        <f>VLOOKUP($A43,tabCustoUnit[],COLUMN(CUSTO_GLOBAL[[#Headers],[ISS (Conversão Alíquota s/ fatura)]])-2,0)</f>
        <v>2.2535211267605645E-2</v>
      </c>
      <c r="BV43" s="26">
        <f>VLOOKUP($A43,tabCustoUnit[],COLUMN(CUSTO_GLOBAL[[#Headers],[Resumo de Alíquotas (PIS+CONFINS+ISS)]])-2,0)</f>
        <v>0.1125</v>
      </c>
      <c r="BW43" s="138">
        <f>VLOOKUP($A43,tabCustoUnit[],COLUMN(CUSTO_GLOBAL[[#Headers],[PIS + COFINS + ISS (Total Conversão  Alíquota s/ Fatura)]])-2,0)</f>
        <v>0.12676056338028174</v>
      </c>
      <c r="BX43" s="22">
        <f>VLOOKUP($A43,tabCustoUnit[],COLUMN(CUSTO_GLOBAL[[#Headers],[Valor dos Tributos (ISS, PIS, CONFINS)]])-2,0)*($G43-$H43)</f>
        <v>312.73888240080998</v>
      </c>
      <c r="BY43" s="22">
        <f>VLOOKUP($A43,tabCustoUnit[],COLUMN(CUSTO_GLOBAL[[#Headers],[MÓDULO 6 – CUSTOS INDIRETOS, TRIBUTOS E LUCRO]])-2,0)*($G43-$H43)</f>
        <v>661.69267698127408</v>
      </c>
      <c r="BZ43" s="22">
        <f>VLOOKUP($A43,tabCustoUnit[],COLUMN(CUSTO_GLOBAL[[#Headers],[CUSTO TOTAL MENSAL]])-2,0)*($G43-$H43)</f>
        <v>2779.9011768960877</v>
      </c>
      <c r="CA43" s="22">
        <f>CUSTO_GLOBAL[[#This Row],[CUSTO TOTAL MENSAL]]*12</f>
        <v>33358.81412275305</v>
      </c>
      <c r="CB43" s="24">
        <f>VLOOKUP($A43,tabCustoUnit[],COLUMN(CUSTO_GLOBAL[[#Headers],[ANO DA CCT]])-2,0)</f>
        <v>45658</v>
      </c>
      <c r="CC43" s="25" t="str">
        <f>VLOOKUP($A43,tabCustoUnit[],COLUMN(CUSTO_GLOBAL[[#Headers],[Nº DE PEDIDO DA CCT]])-2,0)</f>
        <v>-</v>
      </c>
      <c r="CD43" s="25" t="str">
        <f>VLOOKUP($A43,tabCustoUnit[],COLUMN(CUSTO_GLOBAL[[#Headers],[TERMO ADITIVO  ALTERAÇÃO DA CCT]])-2,0)</f>
        <v>-</v>
      </c>
      <c r="CF43" s="22"/>
      <c r="CG43" s="22"/>
    </row>
    <row r="44" spans="1:85" x14ac:dyDescent="0.25">
      <c r="A44" s="20" t="s">
        <v>1384</v>
      </c>
      <c r="B44" t="s">
        <v>43</v>
      </c>
      <c r="C44" t="s">
        <v>1245</v>
      </c>
      <c r="D44" t="s">
        <v>1045</v>
      </c>
      <c r="E44" s="20" t="s">
        <v>9</v>
      </c>
      <c r="F44" s="20" t="s">
        <v>10</v>
      </c>
      <c r="G44" s="20">
        <v>1</v>
      </c>
      <c r="H44" s="20">
        <v>0</v>
      </c>
      <c r="I44" s="21">
        <f>VLOOKUP($A44,tabCustoUnit[],COLUMN(CUSTO_GLOBAL[[#Headers],[Salário Base]])-2,0)*($G44-$H44)</f>
        <v>1649.12</v>
      </c>
      <c r="J44" s="21">
        <f>VLOOKUP($A44,tabCustoUnit[],COLUMN(CUSTO_GLOBAL[[#Headers],[Adicional Periculosidade]])-2,0)*($G44-$H44)</f>
        <v>0</v>
      </c>
      <c r="K44" s="21">
        <f>VLOOKUP($A44,tabCustoUnit[],COLUMN(CUSTO_GLOBAL[[#Headers],[Adicional Insalubridade]])-2,0)*($G44-$H44)</f>
        <v>0</v>
      </c>
      <c r="L44" s="21">
        <f>VLOOKUP($A44,tabCustoUnit[],COLUMN(CUSTO_GLOBAL[[#Headers],[Adicional Noturno]])-2,0)*($G44-$H44)</f>
        <v>0</v>
      </c>
      <c r="M44" s="21">
        <f>VLOOKUP($A44,tabCustoUnit[],COLUMN(CUSTO_GLOBAL[[#Headers],[Adicional Motorista II (Gratificação)]])-2,0)*($G44-$H44)</f>
        <v>0</v>
      </c>
      <c r="N44" s="21">
        <f>VLOOKUP($A44,tabCustoUnit[],COLUMN(CUSTO_GLOBAL[[#Headers],[Adicional de Sobreaviso]])-2,0)*($G44-$H44)</f>
        <v>0</v>
      </c>
      <c r="O44" s="21">
        <f>VLOOKUP($A44,tabCustoUnit[],COLUMN(CUSTO_GLOBAL[[#Headers],[Horas Extras TI]])-2,0)*($G44-$H44)</f>
        <v>0</v>
      </c>
      <c r="P44" s="21">
        <f>VLOOKUP($A44,tabCustoUnit[],COLUMN(CUSTO_GLOBAL[[#Headers],[Adicional de Acúmulo de função]])-2,0)*($G44-$H44)</f>
        <v>53.971200000000003</v>
      </c>
      <c r="Q44" s="21">
        <f>VLOOKUP($A44,tabCustoUnit[],COLUMN(CUSTO_GLOBAL[[#Headers],[MODULO 1 - REMUNERAÇÃO ]])-2,0)*($G44-$H44)</f>
        <v>1703.0911999999998</v>
      </c>
      <c r="R44" s="21">
        <f>VLOOKUP($A44,tabCustoUnit[],COLUMN(CUSTO_GLOBAL[[#Headers],[INSS]])-2,0)*($G44-$H44)</f>
        <v>340.61824000000001</v>
      </c>
      <c r="S44" s="21">
        <f>VLOOKUP($A44,tabCustoUnit[],COLUMN(CUSTO_GLOBAL[[#Headers],[SESI OU SESC]])-2,0)*($G44-$H44)</f>
        <v>25.546367999999998</v>
      </c>
      <c r="T44" s="21">
        <f>VLOOKUP($A44,tabCustoUnit[],COLUMN(CUSTO_GLOBAL[[#Headers],[SENAI OU SENAC]])-2,0)*($G44-$H44)</f>
        <v>17.030911999999997</v>
      </c>
      <c r="U44" s="21">
        <f>VLOOKUP($A44,tabCustoUnit[],COLUMN(CUSTO_GLOBAL[[#Headers],[INCRA]])-2,0)*($G44-$H44)</f>
        <v>3.4061823999999996</v>
      </c>
      <c r="V44" s="21">
        <f>VLOOKUP($A44,tabCustoUnit[],COLUMN(CUSTO_GLOBAL[[#Headers],[Salário Educação]])-2,0)*($G44-$H44)</f>
        <v>42.577280000000002</v>
      </c>
      <c r="W44" s="21">
        <f>VLOOKUP($A44,tabCustoUnit[],COLUMN(CUSTO_GLOBAL[[#Headers],[FGTS]])-2,0)*($G44-$H44)</f>
        <v>136.24729599999998</v>
      </c>
      <c r="X44" s="21">
        <f>VLOOKUP($A44,tabCustoUnit[],COLUMN(CUSTO_GLOBAL[[#Headers],[RAT Ajustado]])-2,0)*($G44-$H44)</f>
        <v>68.123647999999989</v>
      </c>
      <c r="Y44" s="21">
        <f>VLOOKUP($A44,tabCustoUnit[],COLUMN(CUSTO_GLOBAL[[#Headers],[SEBRAE]])-2,0)*($G44-$H44)</f>
        <v>10.2185472</v>
      </c>
      <c r="Z44" s="21">
        <f>VLOOKUP($A44,tabCustoUnit[],COLUMN(CUSTO_GLOBAL[[#Headers],[Submódulo 2.1]])-2,0)*($G44-$H44)</f>
        <v>643.76847359999999</v>
      </c>
      <c r="AA44" s="21">
        <f>VLOOKUP($A44,tabCustoUnit[],COLUMN(CUSTO_GLOBAL[[#Headers],[13º salário (titular)]])-2,0)*($G44-$H44)</f>
        <v>141.92426666666665</v>
      </c>
      <c r="AB44" s="21">
        <f>VLOOKUP($A44,tabCustoUnit[],COLUMN(CUSTO_GLOBAL[[#Headers],[Férias e Adicional de Férias (titular)]])-2,0)*($G44-$H44)</f>
        <v>189.23235555555553</v>
      </c>
      <c r="AC44" s="21">
        <f>VLOOKUP($A44,tabCustoUnit[],COLUMN(CUSTO_GLOBAL[[#Headers],[Incidência do Submódulo 2.1 sobre 13º Salário, Férias e Adicional de Férias]])-2,0)*($G44-$H44)</f>
        <v>125.17720319999999</v>
      </c>
      <c r="AD44" s="21">
        <f>VLOOKUP($A44,tabCustoUnit[],COLUMN(CUSTO_GLOBAL[[#Headers],[Submódulo 2.2]])-2,0)*($G44-$H44)</f>
        <v>456.33382542222216</v>
      </c>
      <c r="AE44" s="22">
        <f>VLOOKUP($A44,tabCustoUnit[],COLUMN(CUSTO_GLOBAL[[#Headers],[Vale - Transporte (Descontada parcela do empregado)]])-2,0)*($G44-$H44)</f>
        <v>157.05279999999999</v>
      </c>
      <c r="AF44" s="22">
        <f>VLOOKUP($A44,tabCustoUnit[],COLUMN(CUSTO_GLOBAL[[#Headers],[Vale - Alimentação (Descontada parcela do empregado)]])-2,0)*($G44-$H44)</f>
        <v>582</v>
      </c>
      <c r="AG44" s="22">
        <f>VLOOKUP($A44,tabCustoUnit[],COLUMN(CUSTO_GLOBAL[[#Headers],[Cesta Básica]])-2,0)*($G44-$H44)</f>
        <v>0</v>
      </c>
      <c r="AH44" s="22">
        <f>VLOOKUP($A44,tabCustoUnit[],COLUMN(CUSTO_GLOBAL[[#Headers],[PAF]])-2,0)*($G44-$H44)</f>
        <v>77.25</v>
      </c>
      <c r="AI44" s="22">
        <f>VLOOKUP($A44,tabCustoUnit[],COLUMN(CUSTO_GLOBAL[[#Headers],[PQM]])-2,0)*($G44-$H44)</f>
        <v>0</v>
      </c>
      <c r="AJ44" s="22">
        <v>0</v>
      </c>
      <c r="AK44" s="22">
        <f>VLOOKUP($A44,tabCustoUnit[],COLUMN(CUSTO_GLOBAL[[#Headers],[Seguro de Vida]])-2,0)*($G44-$H44)</f>
        <v>3.36</v>
      </c>
      <c r="AL44" s="22">
        <f>VLOOKUP($A44,tabCustoUnit[],COLUMN(CUSTO_GLOBAL[[#Headers],[Despesas de Viagem]])-2,0)*($G44-$H44)</f>
        <v>0</v>
      </c>
      <c r="AM44" s="22">
        <f>VLOOKUP($A44,tabCustoUnit[],COLUMN(CUSTO_GLOBAL[[#Headers],[Submódulo 2.3]])-2,0)*($G44-$H44)</f>
        <v>819.66279999999995</v>
      </c>
      <c r="AN44" s="22">
        <f>VLOOKUP($A44,tabCustoUnit[],COLUMN(CUSTO_GLOBAL[[#Headers],[MÓDULO 2 - Total Encargos e Benefícios mensais e diários]])-2,0)*($G44-$H44)</f>
        <v>1919.7650990222223</v>
      </c>
      <c r="AO44" s="22">
        <f>VLOOKUP($A44,tabCustoUnit[],COLUMN(CUSTO_GLOBAL[[#Headers],[Aviso Prévio Indenizado (API) e Reflexo do Aviso Prévio Indenizado]])-2,0)*($G44-$H44)</f>
        <v>11.941678632098764</v>
      </c>
      <c r="AP44" s="22">
        <f>VLOOKUP($A44,tabCustoUnit[],COLUMN(CUSTO_GLOBAL[[#Headers],[Incidência do FGTS sobre API e Reflexo do API]])-2,0)*($G44-$H44)</f>
        <v>0.9553342905679012</v>
      </c>
      <c r="AQ44" s="22">
        <f>VLOOKUP($A44,tabCustoUnit[],COLUMN(CUSTO_GLOBAL[[#Headers],[Multa Rescisória do FGTS sobre o Aviso Prévio Indenizado]])-2,0)*($G44-$H44)</f>
        <v>0.38213371622716052</v>
      </c>
      <c r="AR44" s="22">
        <f>VLOOKUP($A44,tabCustoUnit[],COLUMN(CUSTO_GLOBAL[[#Headers],[Aviso Prévio Trabalhado - APT]])-2,0)*($G44-$H44)</f>
        <v>5.9608192000000004</v>
      </c>
      <c r="AS44" s="22">
        <f>VLOOKUP($A44,tabCustoUnit[],COLUMN(CUSTO_GLOBAL[[#Headers],[Incidência dos encargos do submódulo 2.1 sobre Aviso Prévio Trabalhado]])-2,0)*($G44-$H44)</f>
        <v>2.2531896576000006</v>
      </c>
      <c r="AT44" s="22">
        <f>VLOOKUP($A44,tabCustoUnit[],COLUMN(CUSTO_GLOBAL[[#Headers],[Multa Rescisória do FGTS]])-2,0)*($G44-$H44)</f>
        <v>52.076744248888879</v>
      </c>
      <c r="AU44" s="22">
        <f>VLOOKUP($A44,tabCustoUnit[],COLUMN(CUSTO_GLOBAL[[#Headers],[Indenização Adicional (Art. 9º da Lei nº 7.238/84)]])-2,0)*($G44-$H44)</f>
        <v>1.4192426666666667</v>
      </c>
      <c r="AV44" s="22">
        <f>VLOOKUP($A44,tabCustoUnit[],COLUMN(CUSTO_GLOBAL[[#Headers],[MÓDULO 3 – PROVISÃO PARA RESCISÃO]])-2,0)*($G44-$H44)</f>
        <v>74.989142412049375</v>
      </c>
      <c r="AW44" s="22">
        <f>VLOOKUP($A44,tabCustoUnit[],COLUMN(CUSTO_GLOBAL[[#Headers],[Ausência por Doença]])-2,0)*($G44-$H44)</f>
        <v>14.38165902222222</v>
      </c>
      <c r="AX44" s="22">
        <f>VLOOKUP($A44,tabCustoUnit[],COLUMN(CUSTO_GLOBAL[[#Headers],[Ausências Legais]])-2,0)*($G44-$H44)</f>
        <v>3.4534904888888884</v>
      </c>
      <c r="AY44" s="22">
        <f>VLOOKUP($A44,tabCustoUnit[],COLUMN(CUSTO_GLOBAL[[#Headers],[Licença Paternidade]])-2,0)*($G44-$H44)</f>
        <v>0.29094474666666664</v>
      </c>
      <c r="AZ44" s="22">
        <f>VLOOKUP($A44,tabCustoUnit[],COLUMN(CUSTO_GLOBAL[[#Headers],[Ausência por Acidente de Trabalho]])-2,0)*($G44-$H44)</f>
        <v>0.35481066666666666</v>
      </c>
      <c r="BA44" s="22">
        <f>VLOOKUP($A44,tabCustoUnit[],COLUMN(CUSTO_GLOBAL[[#Headers],[Férias, Adicional de Férias e 13º  com empregada em gozo de Licença Maternidade]])-2,0)*($G44-$H44)</f>
        <v>2.2077108148148143</v>
      </c>
      <c r="BB44" s="22">
        <f>VLOOKUP($A44,tabCustoUnit[],COLUMN(CUSTO_GLOBAL[[#Headers],[Incidência do Submódulo 2.1 sobre Ausências Legais]])-2,0)*($G44-$H44)</f>
        <v>7.8202967494400006</v>
      </c>
      <c r="BC44" s="22">
        <f>VLOOKUP($A44,tabCustoUnit[],COLUMN(CUSTO_GLOBAL[[#Headers],[Submódulo 4.1]])-2,0)*($G44-$H44)</f>
        <v>28.508912488699256</v>
      </c>
      <c r="BD44" s="22">
        <f>VLOOKUP($A44,tabCustoUnit[],COLUMN(CUSTO_GLOBAL[[#Headers],[Intervalo para Repouso ou Alimentação]])-2,0)*($G44-$H44)</f>
        <v>0</v>
      </c>
      <c r="BE44" s="22">
        <f>VLOOKUP($A44,tabCustoUnit[],COLUMN(CUSTO_GLOBAL[[#Headers],[Submódulo 4.2]])-2,0)*($G44-$H44)</f>
        <v>0</v>
      </c>
      <c r="BF44" s="22">
        <f>VLOOKUP($A44,tabCustoUnit[],COLUMN(CUSTO_GLOBAL[[#Headers],[Suspensão Temporária do Contrato de Trabalho]])-2,0)*($G44-$H44)</f>
        <v>0</v>
      </c>
      <c r="BG44" s="22">
        <f>VLOOKUP($A44,tabCustoUnit[],COLUMN(CUSTO_GLOBAL[[#Headers],[Submódulo 4.3]])-2,0)*($G44-$H44)</f>
        <v>0</v>
      </c>
      <c r="BH44" s="22">
        <f>VLOOKUP($A44,tabCustoUnit[],COLUMN(CUSTO_GLOBAL[[#Headers],[MÓDULO 4 – CUSTO DE REPOSIÇÃO DO PROFISSIONAL AUSENTE]])-2,0)*($G44-$H44)</f>
        <v>28.508912488699256</v>
      </c>
      <c r="BI44" s="22">
        <f>VLOOKUP($A44,tabCustoUnit[],COLUMN(CUSTO_GLOBAL[[#Headers],[Uniformes e EPIs]])-2,0)*($G44-$H44)</f>
        <v>100.80916666666666</v>
      </c>
      <c r="BJ44" s="22">
        <f>VLOOKUP($A44,tabCustoUnit[],COLUMN(CUSTO_GLOBAL[[#Headers],[Materiais de Consumo]])-2,0)*($G44-$H44)</f>
        <v>35.518212958583888</v>
      </c>
      <c r="BK44" s="22">
        <f>VLOOKUP($A44,tabCustoUnit[],COLUMN(CUSTO_GLOBAL[[#Headers],[Máquinas e Equipamentos (depreciação)]])-2,0)*($G44-$H44)</f>
        <v>64.529393914825576</v>
      </c>
      <c r="BL44" s="22">
        <f>VLOOKUP($A44,tabCustoUnit[],COLUMN(CUSTO_GLOBAL[[#Headers],[Produtos de Limpeza e Materiais de Higiene Pessoal]])-2,0)*($G44-$H44)</f>
        <v>690.27153277931654</v>
      </c>
      <c r="BM44" s="22">
        <f>VLOOKUP($A44,tabCustoUnit[],COLUMN(CUSTO_GLOBAL[[#Headers],[Outros (especificar)]])-2,0)*($G44-$H44)</f>
        <v>0</v>
      </c>
      <c r="BN44" s="22">
        <f>VLOOKUP($A44,tabCustoUnit[],COLUMN(CUSTO_GLOBAL[[#Headers],[MÓDULO 5 – INSUMOS DIVERSOS]])-2,0)*($G44-$H44)</f>
        <v>891.12830631939266</v>
      </c>
      <c r="BO44" s="22">
        <f>VLOOKUP($A44,tabCustoUnit[],COLUMN(CUSTO_GLOBAL[[#Headers],[TOTAL MÓDULOS 1+2+3+4+5]])-2,0)*($G44-$H44)</f>
        <v>4617.4826602423636</v>
      </c>
      <c r="BP44" s="22">
        <f>VLOOKUP($A44,tabCustoUnit[],COLUMN(CUSTO_GLOBAL[[#Headers],[Custos Indiretos]])-2,0)*($G44-$H44)</f>
        <v>189.64880140242613</v>
      </c>
      <c r="BQ44" s="22">
        <f>VLOOKUP($A44,tabCustoUnit[],COLUMN(CUSTO_GLOBAL[[#Headers],[Lucro]])-2,0)*($G44-$H44)</f>
        <v>159.30499317803796</v>
      </c>
      <c r="BR44" s="26">
        <f>VLOOKUP($A44,tabCustoUnit[],COLUMN(CUSTO_GLOBAL[[#Headers],[COFINS]])-2,0)</f>
        <v>8.8629737609329504E-2</v>
      </c>
      <c r="BS44" s="26">
        <f>VLOOKUP($A44,tabCustoUnit[],COLUMN(CUSTO_GLOBAL[[#Headers],[PIS]])-2,0)</f>
        <v>1.9241982507288629E-2</v>
      </c>
      <c r="BT44" s="28">
        <f>VLOOKUP($A44,tabCustoUnit[],COLUMN(CUSTO_GLOBAL[[#Headers],[ISS]])-2,0)</f>
        <v>0.05</v>
      </c>
      <c r="BU44" s="26">
        <f>VLOOKUP($A44,tabCustoUnit[],COLUMN(CUSTO_GLOBAL[[#Headers],[ISS (Conversão Alíquota s/ fatura)]])-2,0)</f>
        <v>5.8309037900874633E-2</v>
      </c>
      <c r="BV44" s="26">
        <f>VLOOKUP($A44,tabCustoUnit[],COLUMN(CUSTO_GLOBAL[[#Headers],[Resumo de Alíquotas (PIS+CONFINS+ISS)]])-2,0)</f>
        <v>0.14250000000000002</v>
      </c>
      <c r="BW44" s="138">
        <f>VLOOKUP($A44,tabCustoUnit[],COLUMN(CUSTO_GLOBAL[[#Headers],[PIS + COFINS + ISS (Total Conversão  Alíquota s/ Fatura)]])-2,0)</f>
        <v>0.16618075801749277</v>
      </c>
      <c r="BX44" s="22">
        <f>VLOOKUP($A44,tabCustoUnit[],COLUMN(CUSTO_GLOBAL[[#Headers],[Valor dos Tributos (ISS, PIS, CONFINS)]])-2,0)*($G44-$H44)</f>
        <v>825.32617470816695</v>
      </c>
      <c r="BY44" s="22">
        <f>VLOOKUP($A44,tabCustoUnit[],COLUMN(CUSTO_GLOBAL[[#Headers],[MÓDULO 6 – CUSTOS INDIRETOS, TRIBUTOS E LUCRO]])-2,0)*($G44-$H44)</f>
        <v>1174.279969288631</v>
      </c>
      <c r="BZ44" s="22">
        <f>VLOOKUP($A44,tabCustoUnit[],COLUMN(CUSTO_GLOBAL[[#Headers],[CUSTO TOTAL MENSAL]])-2,0)*($G44-$H44)</f>
        <v>5791.7626295309947</v>
      </c>
      <c r="CA44" s="22">
        <f>CUSTO_GLOBAL[[#This Row],[CUSTO TOTAL MENSAL]]*12</f>
        <v>69501.151554371929</v>
      </c>
      <c r="CB44" s="24">
        <f>VLOOKUP($A44,tabCustoUnit[],COLUMN(CUSTO_GLOBAL[[#Headers],[ANO DA CCT]])-2,0)</f>
        <v>45658</v>
      </c>
      <c r="CC44" s="25" t="str">
        <f>VLOOKUP($A44,tabCustoUnit[],COLUMN(CUSTO_GLOBAL[[#Headers],[Nº DE PEDIDO DA CCT]])-2,0)</f>
        <v>-</v>
      </c>
      <c r="CD44" s="25" t="str">
        <f>VLOOKUP($A44,tabCustoUnit[],COLUMN(CUSTO_GLOBAL[[#Headers],[TERMO ADITIVO  ALTERAÇÃO DA CCT]])-2,0)</f>
        <v>-</v>
      </c>
      <c r="CF44" s="22"/>
      <c r="CG44" s="22"/>
    </row>
    <row r="45" spans="1:85" x14ac:dyDescent="0.25">
      <c r="A45" s="20" t="s">
        <v>1385</v>
      </c>
      <c r="B45" t="s">
        <v>44</v>
      </c>
      <c r="C45" t="s">
        <v>1247</v>
      </c>
      <c r="D45" t="s">
        <v>1000</v>
      </c>
      <c r="E45" s="20" t="s">
        <v>9</v>
      </c>
      <c r="F45" s="20" t="s">
        <v>10</v>
      </c>
      <c r="G45" s="20">
        <v>1</v>
      </c>
      <c r="H45" s="20">
        <v>0</v>
      </c>
      <c r="I45" s="21">
        <f>VLOOKUP($A45,tabCustoUnit[],COLUMN(CUSTO_GLOBAL[[#Headers],[Salário Base]])-2,0)*($G45-$H45)</f>
        <v>544.17999999999995</v>
      </c>
      <c r="J45" s="21">
        <f>VLOOKUP($A45,tabCustoUnit[],COLUMN(CUSTO_GLOBAL[[#Headers],[Adicional Periculosidade]])-2,0)*($G45-$H45)</f>
        <v>0</v>
      </c>
      <c r="K45" s="21">
        <f>VLOOKUP($A45,tabCustoUnit[],COLUMN(CUSTO_GLOBAL[[#Headers],[Adicional Insalubridade]])-2,0)*($G45-$H45)</f>
        <v>0</v>
      </c>
      <c r="L45" s="21">
        <f>VLOOKUP($A45,tabCustoUnit[],COLUMN(CUSTO_GLOBAL[[#Headers],[Adicional Noturno]])-2,0)*($G45-$H45)</f>
        <v>0</v>
      </c>
      <c r="M45" s="21">
        <f>VLOOKUP($A45,tabCustoUnit[],COLUMN(CUSTO_GLOBAL[[#Headers],[Adicional Motorista II (Gratificação)]])-2,0)*($G45-$H45)</f>
        <v>0</v>
      </c>
      <c r="N45" s="21">
        <f>VLOOKUP($A45,tabCustoUnit[],COLUMN(CUSTO_GLOBAL[[#Headers],[Adicional de Sobreaviso]])-2,0)*($G45-$H45)</f>
        <v>0</v>
      </c>
      <c r="O45" s="21">
        <f>VLOOKUP($A45,tabCustoUnit[],COLUMN(CUSTO_GLOBAL[[#Headers],[Horas Extras TI]])-2,0)*($G45-$H45)</f>
        <v>0</v>
      </c>
      <c r="P45" s="21">
        <f>VLOOKUP($A45,tabCustoUnit[],COLUMN(CUSTO_GLOBAL[[#Headers],[Adicional de Acúmulo de função]])-2,0)*($G45-$H45)</f>
        <v>19.590499999999999</v>
      </c>
      <c r="Q45" s="21">
        <f>VLOOKUP($A45,tabCustoUnit[],COLUMN(CUSTO_GLOBAL[[#Headers],[MODULO 1 - REMUNERAÇÃO ]])-2,0)*($G45-$H45)</f>
        <v>563.77049999999997</v>
      </c>
      <c r="R45" s="21">
        <f>VLOOKUP($A45,tabCustoUnit[],COLUMN(CUSTO_GLOBAL[[#Headers],[INSS]])-2,0)*($G45-$H45)</f>
        <v>112.75409999999999</v>
      </c>
      <c r="S45" s="21">
        <f>VLOOKUP($A45,tabCustoUnit[],COLUMN(CUSTO_GLOBAL[[#Headers],[SESI OU SESC]])-2,0)*($G45-$H45)</f>
        <v>8.4565574999999988</v>
      </c>
      <c r="T45" s="21">
        <f>VLOOKUP($A45,tabCustoUnit[],COLUMN(CUSTO_GLOBAL[[#Headers],[SENAI OU SENAC]])-2,0)*($G45-$H45)</f>
        <v>5.6377049999999995</v>
      </c>
      <c r="U45" s="21">
        <f>VLOOKUP($A45,tabCustoUnit[],COLUMN(CUSTO_GLOBAL[[#Headers],[INCRA]])-2,0)*($G45-$H45)</f>
        <v>1.1275409999999999</v>
      </c>
      <c r="V45" s="21">
        <f>VLOOKUP($A45,tabCustoUnit[],COLUMN(CUSTO_GLOBAL[[#Headers],[Salário Educação]])-2,0)*($G45-$H45)</f>
        <v>14.094262499999999</v>
      </c>
      <c r="W45" s="21">
        <f>VLOOKUP($A45,tabCustoUnit[],COLUMN(CUSTO_GLOBAL[[#Headers],[FGTS]])-2,0)*($G45-$H45)</f>
        <v>45.101639999999996</v>
      </c>
      <c r="X45" s="21">
        <f>VLOOKUP($A45,tabCustoUnit[],COLUMN(CUSTO_GLOBAL[[#Headers],[RAT Ajustado]])-2,0)*($G45-$H45)</f>
        <v>22.550819999999998</v>
      </c>
      <c r="Y45" s="21">
        <f>VLOOKUP($A45,tabCustoUnit[],COLUMN(CUSTO_GLOBAL[[#Headers],[SEBRAE]])-2,0)*($G45-$H45)</f>
        <v>3.3826229999999997</v>
      </c>
      <c r="Z45" s="21">
        <f>VLOOKUP($A45,tabCustoUnit[],COLUMN(CUSTO_GLOBAL[[#Headers],[Submódulo 2.1]])-2,0)*($G45-$H45)</f>
        <v>213.10524899999996</v>
      </c>
      <c r="AA45" s="21">
        <f>VLOOKUP($A45,tabCustoUnit[],COLUMN(CUSTO_GLOBAL[[#Headers],[13º salário (titular)]])-2,0)*($G45-$H45)</f>
        <v>46.980874999999997</v>
      </c>
      <c r="AB45" s="21">
        <f>VLOOKUP($A45,tabCustoUnit[],COLUMN(CUSTO_GLOBAL[[#Headers],[Férias e Adicional de Férias (titular)]])-2,0)*($G45-$H45)</f>
        <v>62.641166666666663</v>
      </c>
      <c r="AC45" s="21">
        <f>VLOOKUP($A45,tabCustoUnit[],COLUMN(CUSTO_GLOBAL[[#Headers],[Incidência do Submódulo 2.1 sobre 13º Salário, Férias e Adicional de Férias]])-2,0)*($G45-$H45)</f>
        <v>41.437131749999992</v>
      </c>
      <c r="AD45" s="21">
        <f>VLOOKUP($A45,tabCustoUnit[],COLUMN(CUSTO_GLOBAL[[#Headers],[Submódulo 2.2]])-2,0)*($G45-$H45)</f>
        <v>151.05917341666665</v>
      </c>
      <c r="AE45" s="22">
        <f>VLOOKUP($A45,tabCustoUnit[],COLUMN(CUSTO_GLOBAL[[#Headers],[Vale - Transporte (Descontada parcela do empregado)]])-2,0)*($G45-$H45)</f>
        <v>223.3492</v>
      </c>
      <c r="AF45" s="22">
        <f>VLOOKUP($A45,tabCustoUnit[],COLUMN(CUSTO_GLOBAL[[#Headers],[Vale - Alimentação (Descontada parcela do empregado)]])-2,0)*($G45-$H45)</f>
        <v>582</v>
      </c>
      <c r="AG45" s="22">
        <f>VLOOKUP($A45,tabCustoUnit[],COLUMN(CUSTO_GLOBAL[[#Headers],[Cesta Básica]])-2,0)*($G45-$H45)</f>
        <v>0</v>
      </c>
      <c r="AH45" s="22">
        <f>VLOOKUP($A45,tabCustoUnit[],COLUMN(CUSTO_GLOBAL[[#Headers],[PAF]])-2,0)*($G45-$H45)</f>
        <v>0</v>
      </c>
      <c r="AI45" s="22">
        <f>VLOOKUP($A45,tabCustoUnit[],COLUMN(CUSTO_GLOBAL[[#Headers],[PQM]])-2,0)*($G45-$H45)</f>
        <v>15.07</v>
      </c>
      <c r="AJ45" s="22">
        <v>0</v>
      </c>
      <c r="AK45" s="22">
        <f>VLOOKUP($A45,tabCustoUnit[],COLUMN(CUSTO_GLOBAL[[#Headers],[Seguro de Vida]])-2,0)*($G45-$H45)</f>
        <v>3.36</v>
      </c>
      <c r="AL45" s="22">
        <f>VLOOKUP($A45,tabCustoUnit[],COLUMN(CUSTO_GLOBAL[[#Headers],[Despesas de Viagem]])-2,0)*($G45-$H45)</f>
        <v>0</v>
      </c>
      <c r="AM45" s="22">
        <f>VLOOKUP($A45,tabCustoUnit[],COLUMN(CUSTO_GLOBAL[[#Headers],[Submódulo 2.3]])-2,0)*($G45-$H45)</f>
        <v>823.77920000000006</v>
      </c>
      <c r="AN45" s="22">
        <f>VLOOKUP($A45,tabCustoUnit[],COLUMN(CUSTO_GLOBAL[[#Headers],[MÓDULO 2 - Total Encargos e Benefícios mensais e diários]])-2,0)*($G45-$H45)</f>
        <v>1187.9436224166666</v>
      </c>
      <c r="AO45" s="22">
        <f>VLOOKUP($A45,tabCustoUnit[],COLUMN(CUSTO_GLOBAL[[#Headers],[Aviso Prévio Indenizado (API) e Reflexo do Aviso Prévio Indenizado]])-2,0)*($G45-$H45)</f>
        <v>3.9530273735532404</v>
      </c>
      <c r="AP45" s="22">
        <f>VLOOKUP($A45,tabCustoUnit[],COLUMN(CUSTO_GLOBAL[[#Headers],[Incidência do FGTS sobre API e Reflexo do API]])-2,0)*($G45-$H45)</f>
        <v>0.31624218988425928</v>
      </c>
      <c r="AQ45" s="22">
        <f>VLOOKUP($A45,tabCustoUnit[],COLUMN(CUSTO_GLOBAL[[#Headers],[Multa Rescisória do FGTS sobre o Aviso Prévio Indenizado]])-2,0)*($G45-$H45)</f>
        <v>0.12649687595370371</v>
      </c>
      <c r="AR45" s="22">
        <f>VLOOKUP($A45,tabCustoUnit[],COLUMN(CUSTO_GLOBAL[[#Headers],[Aviso Prévio Trabalhado - APT]])-2,0)*($G45-$H45)</f>
        <v>1.9731967500000003</v>
      </c>
      <c r="AS45" s="22">
        <f>VLOOKUP($A45,tabCustoUnit[],COLUMN(CUSTO_GLOBAL[[#Headers],[Incidência dos encargos do submódulo 2.1 sobre Aviso Prévio Trabalhado]])-2,0)*($G45-$H45)</f>
        <v>0.74586837150000018</v>
      </c>
      <c r="AT45" s="22">
        <f>VLOOKUP($A45,tabCustoUnit[],COLUMN(CUSTO_GLOBAL[[#Headers],[Multa Rescisória do FGTS]])-2,0)*($G45-$H45)</f>
        <v>17.238849066666663</v>
      </c>
      <c r="AU45" s="22">
        <f>VLOOKUP($A45,tabCustoUnit[],COLUMN(CUSTO_GLOBAL[[#Headers],[Indenização Adicional (Art. 9º da Lei nº 7.238/84)]])-2,0)*($G45-$H45)</f>
        <v>0.46980875</v>
      </c>
      <c r="AV45" s="22">
        <f>VLOOKUP($A45,tabCustoUnit[],COLUMN(CUSTO_GLOBAL[[#Headers],[MÓDULO 3 – PROVISÃO PARA RESCISÃO]])-2,0)*($G45-$H45)</f>
        <v>24.823489377557866</v>
      </c>
      <c r="AW45" s="22">
        <f>VLOOKUP($A45,tabCustoUnit[],COLUMN(CUSTO_GLOBAL[[#Headers],[Ausência por Doença]])-2,0)*($G45-$H45)</f>
        <v>4.7607286666666662</v>
      </c>
      <c r="AX45" s="22">
        <f>VLOOKUP($A45,tabCustoUnit[],COLUMN(CUSTO_GLOBAL[[#Headers],[Ausências Legais]])-2,0)*($G45-$H45)</f>
        <v>1.1432012916666665</v>
      </c>
      <c r="AY45" s="22">
        <f>VLOOKUP($A45,tabCustoUnit[],COLUMN(CUSTO_GLOBAL[[#Headers],[Licença Paternidade]])-2,0)*($G45-$H45)</f>
        <v>9.6310793749999998E-2</v>
      </c>
      <c r="AZ45" s="22">
        <f>VLOOKUP($A45,tabCustoUnit[],COLUMN(CUSTO_GLOBAL[[#Headers],[Ausência por Acidente de Trabalho]])-2,0)*($G45-$H45)</f>
        <v>0.1174521875</v>
      </c>
      <c r="BA45" s="22">
        <f>VLOOKUP($A45,tabCustoUnit[],COLUMN(CUSTO_GLOBAL[[#Headers],[Férias, Adicional de Férias e 13º  com empregada em gozo de Licença Maternidade]])-2,0)*($G45-$H45)</f>
        <v>0.73081361111111109</v>
      </c>
      <c r="BB45" s="22">
        <f>VLOOKUP($A45,tabCustoUnit[],COLUMN(CUSTO_GLOBAL[[#Headers],[Incidência do Submódulo 2.1 sobre Ausências Legais]])-2,0)*($G45-$H45)</f>
        <v>2.5887354761625003</v>
      </c>
      <c r="BC45" s="22">
        <f>VLOOKUP($A45,tabCustoUnit[],COLUMN(CUSTO_GLOBAL[[#Headers],[Submódulo 4.1]])-2,0)*($G45-$H45)</f>
        <v>9.4372420268569428</v>
      </c>
      <c r="BD45" s="22">
        <f>VLOOKUP($A45,tabCustoUnit[],COLUMN(CUSTO_GLOBAL[[#Headers],[Intervalo para Repouso ou Alimentação]])-2,0)*($G45-$H45)</f>
        <v>0</v>
      </c>
      <c r="BE45" s="22">
        <f>VLOOKUP($A45,tabCustoUnit[],COLUMN(CUSTO_GLOBAL[[#Headers],[Submódulo 4.2]])-2,0)*($G45-$H45)</f>
        <v>0</v>
      </c>
      <c r="BF45" s="22">
        <f>VLOOKUP($A45,tabCustoUnit[],COLUMN(CUSTO_GLOBAL[[#Headers],[Suspensão Temporária do Contrato de Trabalho]])-2,0)*($G45-$H45)</f>
        <v>0</v>
      </c>
      <c r="BG45" s="22">
        <f>VLOOKUP($A45,tabCustoUnit[],COLUMN(CUSTO_GLOBAL[[#Headers],[Submódulo 4.3]])-2,0)*($G45-$H45)</f>
        <v>0</v>
      </c>
      <c r="BH45" s="22">
        <f>VLOOKUP($A45,tabCustoUnit[],COLUMN(CUSTO_GLOBAL[[#Headers],[MÓDULO 4 – CUSTO DE REPOSIÇÃO DO PROFISSIONAL AUSENTE]])-2,0)*($G45-$H45)</f>
        <v>9.4372420268569428</v>
      </c>
      <c r="BI45" s="22">
        <f>VLOOKUP($A45,tabCustoUnit[],COLUMN(CUSTO_GLOBAL[[#Headers],[Uniformes e EPIs]])-2,0)*($G45-$H45)</f>
        <v>62.806666666666665</v>
      </c>
      <c r="BJ45" s="22">
        <f>VLOOKUP($A45,tabCustoUnit[],COLUMN(CUSTO_GLOBAL[[#Headers],[Materiais de Consumo]])-2,0)*($G45-$H45)</f>
        <v>12.108481690426325</v>
      </c>
      <c r="BK45" s="22">
        <f>VLOOKUP($A45,tabCustoUnit[],COLUMN(CUSTO_GLOBAL[[#Headers],[Máquinas e Equipamentos (depreciação)]])-2,0)*($G45-$H45)</f>
        <v>21.998657016417809</v>
      </c>
      <c r="BL45" s="22">
        <f>VLOOKUP($A45,tabCustoUnit[],COLUMN(CUSTO_GLOBAL[[#Headers],[Produtos de Limpeza e Materiais de Higiene Pessoal]])-2,0)*($G45-$H45)</f>
        <v>235.31984072022155</v>
      </c>
      <c r="BM45" s="22">
        <f>VLOOKUP($A45,tabCustoUnit[],COLUMN(CUSTO_GLOBAL[[#Headers],[Outros (especificar)]])-2,0)*($G45-$H45)</f>
        <v>0</v>
      </c>
      <c r="BN45" s="22">
        <f>VLOOKUP($A45,tabCustoUnit[],COLUMN(CUSTO_GLOBAL[[#Headers],[MÓDULO 5 – INSUMOS DIVERSOS]])-2,0)*($G45-$H45)</f>
        <v>332.23364609373232</v>
      </c>
      <c r="BO45" s="22">
        <f>VLOOKUP($A45,tabCustoUnit[],COLUMN(CUSTO_GLOBAL[[#Headers],[TOTAL MÓDULOS 1+2+3+4+5]])-2,0)*($G45-$H45)</f>
        <v>2118.2084999148137</v>
      </c>
      <c r="BP45" s="22">
        <f>VLOOKUP($A45,tabCustoUnit[],COLUMN(CUSTO_GLOBAL[[#Headers],[Custos Indiretos]])-2,0)*($G45-$H45)</f>
        <v>189.64880140242613</v>
      </c>
      <c r="BQ45" s="22">
        <f>VLOOKUP($A45,tabCustoUnit[],COLUMN(CUSTO_GLOBAL[[#Headers],[Lucro]])-2,0)*($G45-$H45)</f>
        <v>159.30499317803796</v>
      </c>
      <c r="BR45" s="26">
        <f>VLOOKUP($A45,tabCustoUnit[],COLUMN(CUSTO_GLOBAL[[#Headers],[COFINS]])-2,0)</f>
        <v>8.5633802816901458E-2</v>
      </c>
      <c r="BS45" s="26">
        <f>VLOOKUP($A45,tabCustoUnit[],COLUMN(CUSTO_GLOBAL[[#Headers],[PIS]])-2,0)</f>
        <v>1.8591549295774657E-2</v>
      </c>
      <c r="BT45" s="28">
        <f>VLOOKUP($A45,tabCustoUnit[],COLUMN(CUSTO_GLOBAL[[#Headers],[ISS]])-2,0)</f>
        <v>0.02</v>
      </c>
      <c r="BU45" s="26">
        <f>VLOOKUP($A45,tabCustoUnit[],COLUMN(CUSTO_GLOBAL[[#Headers],[ISS (Conversão Alíquota s/ fatura)]])-2,0)</f>
        <v>2.2535211267605645E-2</v>
      </c>
      <c r="BV45" s="26">
        <f>VLOOKUP($A45,tabCustoUnit[],COLUMN(CUSTO_GLOBAL[[#Headers],[Resumo de Alíquotas (PIS+CONFINS+ISS)]])-2,0)</f>
        <v>0.1125</v>
      </c>
      <c r="BW45" s="138">
        <f>VLOOKUP($A45,tabCustoUnit[],COLUMN(CUSTO_GLOBAL[[#Headers],[PIS + COFINS + ISS (Total Conversão  Alíquota s/ Fatura)]])-2,0)</f>
        <v>0.12676056338028174</v>
      </c>
      <c r="BX45" s="22">
        <f>VLOOKUP($A45,tabCustoUnit[],COLUMN(CUSTO_GLOBAL[[#Headers],[Valor dos Tributos (ISS, PIS, CONFINS)]])-2,0)*($G45-$H45)</f>
        <v>312.73888240080998</v>
      </c>
      <c r="BY45" s="22">
        <f>VLOOKUP($A45,tabCustoUnit[],COLUMN(CUSTO_GLOBAL[[#Headers],[MÓDULO 6 – CUSTOS INDIRETOS, TRIBUTOS E LUCRO]])-2,0)*($G45-$H45)</f>
        <v>661.69267698127408</v>
      </c>
      <c r="BZ45" s="22">
        <f>VLOOKUP($A45,tabCustoUnit[],COLUMN(CUSTO_GLOBAL[[#Headers],[CUSTO TOTAL MENSAL]])-2,0)*($G45-$H45)</f>
        <v>2779.9011768960877</v>
      </c>
      <c r="CA45" s="22">
        <f>CUSTO_GLOBAL[[#This Row],[CUSTO TOTAL MENSAL]]*12</f>
        <v>33358.81412275305</v>
      </c>
      <c r="CB45" s="24">
        <f>VLOOKUP($A45,tabCustoUnit[],COLUMN(CUSTO_GLOBAL[[#Headers],[ANO DA CCT]])-2,0)</f>
        <v>45658</v>
      </c>
      <c r="CC45" s="25" t="str">
        <f>VLOOKUP($A45,tabCustoUnit[],COLUMN(CUSTO_GLOBAL[[#Headers],[Nº DE PEDIDO DA CCT]])-2,0)</f>
        <v>-</v>
      </c>
      <c r="CD45" s="25" t="str">
        <f>VLOOKUP($A45,tabCustoUnit[],COLUMN(CUSTO_GLOBAL[[#Headers],[TERMO ADITIVO  ALTERAÇÃO DA CCT]])-2,0)</f>
        <v>-</v>
      </c>
      <c r="CF45" s="22"/>
      <c r="CG45" s="22"/>
    </row>
    <row r="46" spans="1:85" x14ac:dyDescent="0.25">
      <c r="A46" s="20" t="s">
        <v>1386</v>
      </c>
      <c r="B46" t="s">
        <v>45</v>
      </c>
      <c r="C46" t="s">
        <v>1244</v>
      </c>
      <c r="D46" t="s">
        <v>1000</v>
      </c>
      <c r="E46" s="20" t="s">
        <v>9</v>
      </c>
      <c r="F46" s="20" t="s">
        <v>10</v>
      </c>
      <c r="G46" s="20">
        <v>1</v>
      </c>
      <c r="H46" s="20">
        <v>0</v>
      </c>
      <c r="I46" s="21">
        <f>VLOOKUP($A46,tabCustoUnit[],COLUMN(CUSTO_GLOBAL[[#Headers],[Salário Base]])-2,0)*($G46-$H46)</f>
        <v>798.14</v>
      </c>
      <c r="J46" s="21">
        <f>VLOOKUP($A46,tabCustoUnit[],COLUMN(CUSTO_GLOBAL[[#Headers],[Adicional Periculosidade]])-2,0)*($G46-$H46)</f>
        <v>0</v>
      </c>
      <c r="K46" s="21">
        <f>VLOOKUP($A46,tabCustoUnit[],COLUMN(CUSTO_GLOBAL[[#Headers],[Adicional Insalubridade]])-2,0)*($G46-$H46)</f>
        <v>0</v>
      </c>
      <c r="L46" s="21">
        <f>VLOOKUP($A46,tabCustoUnit[],COLUMN(CUSTO_GLOBAL[[#Headers],[Adicional Noturno]])-2,0)*($G46-$H46)</f>
        <v>0</v>
      </c>
      <c r="M46" s="21">
        <f>VLOOKUP($A46,tabCustoUnit[],COLUMN(CUSTO_GLOBAL[[#Headers],[Adicional Motorista II (Gratificação)]])-2,0)*($G46-$H46)</f>
        <v>0</v>
      </c>
      <c r="N46" s="21">
        <f>VLOOKUP($A46,tabCustoUnit[],COLUMN(CUSTO_GLOBAL[[#Headers],[Adicional de Sobreaviso]])-2,0)*($G46-$H46)</f>
        <v>0</v>
      </c>
      <c r="O46" s="21">
        <f>VLOOKUP($A46,tabCustoUnit[],COLUMN(CUSTO_GLOBAL[[#Headers],[Horas Extras TI]])-2,0)*($G46-$H46)</f>
        <v>0</v>
      </c>
      <c r="P46" s="21">
        <f>VLOOKUP($A46,tabCustoUnit[],COLUMN(CUSTO_GLOBAL[[#Headers],[Adicional de Acúmulo de função]])-2,0)*($G46-$H46)</f>
        <v>26.120899999999999</v>
      </c>
      <c r="Q46" s="21">
        <f>VLOOKUP($A46,tabCustoUnit[],COLUMN(CUSTO_GLOBAL[[#Headers],[MODULO 1 - REMUNERAÇÃO ]])-2,0)*($G46-$H46)</f>
        <v>824.26089999999999</v>
      </c>
      <c r="R46" s="21">
        <f>VLOOKUP($A46,tabCustoUnit[],COLUMN(CUSTO_GLOBAL[[#Headers],[INSS]])-2,0)*($G46-$H46)</f>
        <v>164.85218</v>
      </c>
      <c r="S46" s="21">
        <f>VLOOKUP($A46,tabCustoUnit[],COLUMN(CUSTO_GLOBAL[[#Headers],[SESI OU SESC]])-2,0)*($G46-$H46)</f>
        <v>12.363913499999999</v>
      </c>
      <c r="T46" s="21">
        <f>VLOOKUP($A46,tabCustoUnit[],COLUMN(CUSTO_GLOBAL[[#Headers],[SENAI OU SENAC]])-2,0)*($G46-$H46)</f>
        <v>8.2426089999999999</v>
      </c>
      <c r="U46" s="21">
        <f>VLOOKUP($A46,tabCustoUnit[],COLUMN(CUSTO_GLOBAL[[#Headers],[INCRA]])-2,0)*($G46-$H46)</f>
        <v>1.6485217999999999</v>
      </c>
      <c r="V46" s="21">
        <f>VLOOKUP($A46,tabCustoUnit[],COLUMN(CUSTO_GLOBAL[[#Headers],[Salário Educação]])-2,0)*($G46-$H46)</f>
        <v>20.606522500000001</v>
      </c>
      <c r="W46" s="21">
        <f>VLOOKUP($A46,tabCustoUnit[],COLUMN(CUSTO_GLOBAL[[#Headers],[FGTS]])-2,0)*($G46-$H46)</f>
        <v>65.940871999999999</v>
      </c>
      <c r="X46" s="21">
        <f>VLOOKUP($A46,tabCustoUnit[],COLUMN(CUSTO_GLOBAL[[#Headers],[RAT Ajustado]])-2,0)*($G46-$H46)</f>
        <v>32.970435999999999</v>
      </c>
      <c r="Y46" s="21">
        <f>VLOOKUP($A46,tabCustoUnit[],COLUMN(CUSTO_GLOBAL[[#Headers],[SEBRAE]])-2,0)*($G46-$H46)</f>
        <v>4.9455654000000004</v>
      </c>
      <c r="Z46" s="21">
        <f>VLOOKUP($A46,tabCustoUnit[],COLUMN(CUSTO_GLOBAL[[#Headers],[Submódulo 2.1]])-2,0)*($G46-$H46)</f>
        <v>311.57062020000001</v>
      </c>
      <c r="AA46" s="21">
        <f>VLOOKUP($A46,tabCustoUnit[],COLUMN(CUSTO_GLOBAL[[#Headers],[13º salário (titular)]])-2,0)*($G46-$H46)</f>
        <v>68.688408333333328</v>
      </c>
      <c r="AB46" s="21">
        <f>VLOOKUP($A46,tabCustoUnit[],COLUMN(CUSTO_GLOBAL[[#Headers],[Férias e Adicional de Férias (titular)]])-2,0)*($G46-$H46)</f>
        <v>91.584544444444433</v>
      </c>
      <c r="AC46" s="21">
        <f>VLOOKUP($A46,tabCustoUnit[],COLUMN(CUSTO_GLOBAL[[#Headers],[Incidência do Submódulo 2.1 sobre 13º Salário, Férias e Adicional de Férias]])-2,0)*($G46-$H46)</f>
        <v>60.583176149999993</v>
      </c>
      <c r="AD46" s="21">
        <f>VLOOKUP($A46,tabCustoUnit[],COLUMN(CUSTO_GLOBAL[[#Headers],[Submódulo 2.2]])-2,0)*($G46-$H46)</f>
        <v>220.85612892777775</v>
      </c>
      <c r="AE46" s="22">
        <f>VLOOKUP($A46,tabCustoUnit[],COLUMN(CUSTO_GLOBAL[[#Headers],[Vale - Transporte (Descontada parcela do empregado)]])-2,0)*($G46-$H46)</f>
        <v>208.11160000000001</v>
      </c>
      <c r="AF46" s="22">
        <f>VLOOKUP($A46,tabCustoUnit[],COLUMN(CUSTO_GLOBAL[[#Headers],[Vale - Alimentação (Descontada parcela do empregado)]])-2,0)*($G46-$H46)</f>
        <v>582</v>
      </c>
      <c r="AG46" s="22">
        <f>VLOOKUP($A46,tabCustoUnit[],COLUMN(CUSTO_GLOBAL[[#Headers],[Cesta Básica]])-2,0)*($G46-$H46)</f>
        <v>0</v>
      </c>
      <c r="AH46" s="22">
        <f>VLOOKUP($A46,tabCustoUnit[],COLUMN(CUSTO_GLOBAL[[#Headers],[PAF]])-2,0)*($G46-$H46)</f>
        <v>0</v>
      </c>
      <c r="AI46" s="22">
        <f>VLOOKUP($A46,tabCustoUnit[],COLUMN(CUSTO_GLOBAL[[#Headers],[PQM]])-2,0)*($G46-$H46)</f>
        <v>15.07</v>
      </c>
      <c r="AJ46" s="22">
        <v>0</v>
      </c>
      <c r="AK46" s="22">
        <f>VLOOKUP($A46,tabCustoUnit[],COLUMN(CUSTO_GLOBAL[[#Headers],[Seguro de Vida]])-2,0)*($G46-$H46)</f>
        <v>3.36</v>
      </c>
      <c r="AL46" s="22">
        <f>VLOOKUP($A46,tabCustoUnit[],COLUMN(CUSTO_GLOBAL[[#Headers],[Despesas de Viagem]])-2,0)*($G46-$H46)</f>
        <v>0</v>
      </c>
      <c r="AM46" s="22">
        <f>VLOOKUP($A46,tabCustoUnit[],COLUMN(CUSTO_GLOBAL[[#Headers],[Submódulo 2.3]])-2,0)*($G46-$H46)</f>
        <v>808.54160000000002</v>
      </c>
      <c r="AN46" s="22">
        <f>VLOOKUP($A46,tabCustoUnit[],COLUMN(CUSTO_GLOBAL[[#Headers],[MÓDULO 2 - Total Encargos e Benefícios mensais e diários]])-2,0)*($G46-$H46)</f>
        <v>1340.9683491277779</v>
      </c>
      <c r="AO46" s="22">
        <f>VLOOKUP($A46,tabCustoUnit[],COLUMN(CUSTO_GLOBAL[[#Headers],[Aviso Prévio Indenizado (API) e Reflexo do Aviso Prévio Indenizado]])-2,0)*($G46-$H46)</f>
        <v>5.7795253576581791</v>
      </c>
      <c r="AP46" s="22">
        <f>VLOOKUP($A46,tabCustoUnit[],COLUMN(CUSTO_GLOBAL[[#Headers],[Incidência do FGTS sobre API e Reflexo do API]])-2,0)*($G46-$H46)</f>
        <v>0.46236202861265435</v>
      </c>
      <c r="AQ46" s="22">
        <f>VLOOKUP($A46,tabCustoUnit[],COLUMN(CUSTO_GLOBAL[[#Headers],[Multa Rescisória do FGTS sobre o Aviso Prévio Indenizado]])-2,0)*($G46-$H46)</f>
        <v>0.18494481144506175</v>
      </c>
      <c r="AR46" s="22">
        <f>VLOOKUP($A46,tabCustoUnit[],COLUMN(CUSTO_GLOBAL[[#Headers],[Aviso Prévio Trabalhado - APT]])-2,0)*($G46-$H46)</f>
        <v>2.8849131500000005</v>
      </c>
      <c r="AS46" s="22">
        <f>VLOOKUP($A46,tabCustoUnit[],COLUMN(CUSTO_GLOBAL[[#Headers],[Incidência dos encargos do submódulo 2.1 sobre Aviso Prévio Trabalhado]])-2,0)*($G46-$H46)</f>
        <v>1.0904971707000004</v>
      </c>
      <c r="AT46" s="22">
        <f>VLOOKUP($A46,tabCustoUnit[],COLUMN(CUSTO_GLOBAL[[#Headers],[Multa Rescisória do FGTS]])-2,0)*($G46-$H46)</f>
        <v>25.204066631111107</v>
      </c>
      <c r="AU46" s="22">
        <f>VLOOKUP($A46,tabCustoUnit[],COLUMN(CUSTO_GLOBAL[[#Headers],[Indenização Adicional (Art. 9º da Lei nº 7.238/84)]])-2,0)*($G46-$H46)</f>
        <v>0.6868840833333334</v>
      </c>
      <c r="AV46" s="22">
        <f>VLOOKUP($A46,tabCustoUnit[],COLUMN(CUSTO_GLOBAL[[#Headers],[MÓDULO 3 – PROVISÃO PARA RESCISÃO]])-2,0)*($G46-$H46)</f>
        <v>36.293193232860339</v>
      </c>
      <c r="AW46" s="22">
        <f>VLOOKUP($A46,tabCustoUnit[],COLUMN(CUSTO_GLOBAL[[#Headers],[Ausência por Doença]])-2,0)*($G46-$H46)</f>
        <v>6.9604253777777769</v>
      </c>
      <c r="AX46" s="22">
        <f>VLOOKUP($A46,tabCustoUnit[],COLUMN(CUSTO_GLOBAL[[#Headers],[Ausências Legais]])-2,0)*($G46-$H46)</f>
        <v>1.671417936111111</v>
      </c>
      <c r="AY46" s="22">
        <f>VLOOKUP($A46,tabCustoUnit[],COLUMN(CUSTO_GLOBAL[[#Headers],[Licença Paternidade]])-2,0)*($G46-$H46)</f>
        <v>0.14081123708333332</v>
      </c>
      <c r="AZ46" s="22">
        <f>VLOOKUP($A46,tabCustoUnit[],COLUMN(CUSTO_GLOBAL[[#Headers],[Ausência por Acidente de Trabalho]])-2,0)*($G46-$H46)</f>
        <v>0.17172102083333335</v>
      </c>
      <c r="BA46" s="22">
        <f>VLOOKUP($A46,tabCustoUnit[],COLUMN(CUSTO_GLOBAL[[#Headers],[Férias, Adicional de Férias e 13º  com empregada em gozo de Licença Maternidade]])-2,0)*($G46-$H46)</f>
        <v>1.0684863518518517</v>
      </c>
      <c r="BB46" s="22">
        <f>VLOOKUP($A46,tabCustoUnit[],COLUMN(CUSTO_GLOBAL[[#Headers],[Incidência do Submódulo 2.1 sobre Ausências Legais]])-2,0)*($G46-$H46)</f>
        <v>3.7848618071425006</v>
      </c>
      <c r="BC46" s="22">
        <f>VLOOKUP($A46,tabCustoUnit[],COLUMN(CUSTO_GLOBAL[[#Headers],[Submódulo 4.1]])-2,0)*($G46-$H46)</f>
        <v>13.797723730799909</v>
      </c>
      <c r="BD46" s="22">
        <f>VLOOKUP($A46,tabCustoUnit[],COLUMN(CUSTO_GLOBAL[[#Headers],[Intervalo para Repouso ou Alimentação]])-2,0)*($G46-$H46)</f>
        <v>0</v>
      </c>
      <c r="BE46" s="22">
        <f>VLOOKUP($A46,tabCustoUnit[],COLUMN(CUSTO_GLOBAL[[#Headers],[Submódulo 4.2]])-2,0)*($G46-$H46)</f>
        <v>0</v>
      </c>
      <c r="BF46" s="22">
        <f>VLOOKUP($A46,tabCustoUnit[],COLUMN(CUSTO_GLOBAL[[#Headers],[Suspensão Temporária do Contrato de Trabalho]])-2,0)*($G46-$H46)</f>
        <v>0</v>
      </c>
      <c r="BG46" s="22">
        <f>VLOOKUP($A46,tabCustoUnit[],COLUMN(CUSTO_GLOBAL[[#Headers],[Submódulo 4.3]])-2,0)*($G46-$H46)</f>
        <v>0</v>
      </c>
      <c r="BH46" s="22">
        <f>VLOOKUP($A46,tabCustoUnit[],COLUMN(CUSTO_GLOBAL[[#Headers],[MÓDULO 4 – CUSTO DE REPOSIÇÃO DO PROFISSIONAL AUSENTE]])-2,0)*($G46-$H46)</f>
        <v>13.797723730799909</v>
      </c>
      <c r="BI46" s="22">
        <f>VLOOKUP($A46,tabCustoUnit[],COLUMN(CUSTO_GLOBAL[[#Headers],[Uniformes e EPIs]])-2,0)*($G46-$H46)</f>
        <v>62.806666666666665</v>
      </c>
      <c r="BJ46" s="22">
        <f>VLOOKUP($A46,tabCustoUnit[],COLUMN(CUSTO_GLOBAL[[#Headers],[Materiais de Consumo]])-2,0)*($G46-$H46)</f>
        <v>17.759106479291944</v>
      </c>
      <c r="BK46" s="22">
        <f>VLOOKUP($A46,tabCustoUnit[],COLUMN(CUSTO_GLOBAL[[#Headers],[Máquinas e Equipamentos (depreciação)]])-2,0)*($G46-$H46)</f>
        <v>32.264696957412788</v>
      </c>
      <c r="BL46" s="22">
        <f>VLOOKUP($A46,tabCustoUnit[],COLUMN(CUSTO_GLOBAL[[#Headers],[Produtos de Limpeza e Materiais de Higiene Pessoal]])-2,0)*($G46-$H46)</f>
        <v>345.13576638965827</v>
      </c>
      <c r="BM46" s="22">
        <f>VLOOKUP($A46,tabCustoUnit[],COLUMN(CUSTO_GLOBAL[[#Headers],[Outros (especificar)]])-2,0)*($G46-$H46)</f>
        <v>0</v>
      </c>
      <c r="BN46" s="22">
        <f>VLOOKUP($A46,tabCustoUnit[],COLUMN(CUSTO_GLOBAL[[#Headers],[MÓDULO 5 – INSUMOS DIVERSOS]])-2,0)*($G46-$H46)</f>
        <v>457.96623649302967</v>
      </c>
      <c r="BO46" s="22">
        <f>VLOOKUP($A46,tabCustoUnit[],COLUMN(CUSTO_GLOBAL[[#Headers],[TOTAL MÓDULOS 1+2+3+4+5]])-2,0)*($G46-$H46)</f>
        <v>2673.2864025844674</v>
      </c>
      <c r="BP46" s="22">
        <f>VLOOKUP($A46,tabCustoUnit[],COLUMN(CUSTO_GLOBAL[[#Headers],[Custos Indiretos]])-2,0)*($G46-$H46)</f>
        <v>189.64880140242613</v>
      </c>
      <c r="BQ46" s="22">
        <f>VLOOKUP($A46,tabCustoUnit[],COLUMN(CUSTO_GLOBAL[[#Headers],[Lucro]])-2,0)*($G46-$H46)</f>
        <v>159.30499317803796</v>
      </c>
      <c r="BR46" s="26">
        <f>VLOOKUP($A46,tabCustoUnit[],COLUMN(CUSTO_GLOBAL[[#Headers],[COFINS]])-2,0)</f>
        <v>8.5633802816901458E-2</v>
      </c>
      <c r="BS46" s="26">
        <f>VLOOKUP($A46,tabCustoUnit[],COLUMN(CUSTO_GLOBAL[[#Headers],[PIS]])-2,0)</f>
        <v>1.8591549295774657E-2</v>
      </c>
      <c r="BT46" s="28">
        <f>VLOOKUP($A46,tabCustoUnit[],COLUMN(CUSTO_GLOBAL[[#Headers],[ISS]])-2,0)</f>
        <v>0.02</v>
      </c>
      <c r="BU46" s="26">
        <f>VLOOKUP($A46,tabCustoUnit[],COLUMN(CUSTO_GLOBAL[[#Headers],[ISS (Conversão Alíquota s/ fatura)]])-2,0)</f>
        <v>2.2535211267605645E-2</v>
      </c>
      <c r="BV46" s="26">
        <f>VLOOKUP($A46,tabCustoUnit[],COLUMN(CUSTO_GLOBAL[[#Headers],[Resumo de Alíquotas (PIS+CONFINS+ISS)]])-2,0)</f>
        <v>0.1125</v>
      </c>
      <c r="BW46" s="138">
        <f>VLOOKUP($A46,tabCustoUnit[],COLUMN(CUSTO_GLOBAL[[#Headers],[PIS + COFINS + ISS (Total Conversão  Alíquota s/ Fatura)]])-2,0)</f>
        <v>0.12676056338028174</v>
      </c>
      <c r="BX46" s="22">
        <f>VLOOKUP($A46,tabCustoUnit[],COLUMN(CUSTO_GLOBAL[[#Headers],[Valor dos Tributos (ISS, PIS, CONFINS)]])-2,0)*($G46-$H46)</f>
        <v>383.10087006316047</v>
      </c>
      <c r="BY46" s="22">
        <f>VLOOKUP($A46,tabCustoUnit[],COLUMN(CUSTO_GLOBAL[[#Headers],[MÓDULO 6 – CUSTOS INDIRETOS, TRIBUTOS E LUCRO]])-2,0)*($G46-$H46)</f>
        <v>732.05466464362462</v>
      </c>
      <c r="BZ46" s="22">
        <f>VLOOKUP($A46,tabCustoUnit[],COLUMN(CUSTO_GLOBAL[[#Headers],[CUSTO TOTAL MENSAL]])-2,0)*($G46-$H46)</f>
        <v>3405.341067228092</v>
      </c>
      <c r="CA46" s="22">
        <f>CUSTO_GLOBAL[[#This Row],[CUSTO TOTAL MENSAL]]*12</f>
        <v>40864.092806737106</v>
      </c>
      <c r="CB46" s="24">
        <f>VLOOKUP($A46,tabCustoUnit[],COLUMN(CUSTO_GLOBAL[[#Headers],[ANO DA CCT]])-2,0)</f>
        <v>45658</v>
      </c>
      <c r="CC46" s="25" t="str">
        <f>VLOOKUP($A46,tabCustoUnit[],COLUMN(CUSTO_GLOBAL[[#Headers],[Nº DE PEDIDO DA CCT]])-2,0)</f>
        <v>-</v>
      </c>
      <c r="CD46" s="25" t="str">
        <f>VLOOKUP($A46,tabCustoUnit[],COLUMN(CUSTO_GLOBAL[[#Headers],[TERMO ADITIVO  ALTERAÇÃO DA CCT]])-2,0)</f>
        <v>-</v>
      </c>
      <c r="CF46" s="22"/>
      <c r="CG46" s="22"/>
    </row>
    <row r="47" spans="1:85" x14ac:dyDescent="0.25">
      <c r="A47" s="20" t="s">
        <v>1387</v>
      </c>
      <c r="B47" t="s">
        <v>46</v>
      </c>
      <c r="C47" t="s">
        <v>1247</v>
      </c>
      <c r="D47" t="s">
        <v>1000</v>
      </c>
      <c r="E47" s="20" t="s">
        <v>9</v>
      </c>
      <c r="F47" s="20" t="s">
        <v>10</v>
      </c>
      <c r="G47" s="20">
        <v>1</v>
      </c>
      <c r="H47" s="20">
        <v>0</v>
      </c>
      <c r="I47" s="21">
        <f>VLOOKUP($A47,tabCustoUnit[],COLUMN(CUSTO_GLOBAL[[#Headers],[Salário Base]])-2,0)*($G47-$H47)</f>
        <v>544.17999999999995</v>
      </c>
      <c r="J47" s="21">
        <f>VLOOKUP($A47,tabCustoUnit[],COLUMN(CUSTO_GLOBAL[[#Headers],[Adicional Periculosidade]])-2,0)*($G47-$H47)</f>
        <v>0</v>
      </c>
      <c r="K47" s="21">
        <f>VLOOKUP($A47,tabCustoUnit[],COLUMN(CUSTO_GLOBAL[[#Headers],[Adicional Insalubridade]])-2,0)*($G47-$H47)</f>
        <v>0</v>
      </c>
      <c r="L47" s="21">
        <f>VLOOKUP($A47,tabCustoUnit[],COLUMN(CUSTO_GLOBAL[[#Headers],[Adicional Noturno]])-2,0)*($G47-$H47)</f>
        <v>0</v>
      </c>
      <c r="M47" s="21">
        <f>VLOOKUP($A47,tabCustoUnit[],COLUMN(CUSTO_GLOBAL[[#Headers],[Adicional Motorista II (Gratificação)]])-2,0)*($G47-$H47)</f>
        <v>0</v>
      </c>
      <c r="N47" s="21">
        <f>VLOOKUP($A47,tabCustoUnit[],COLUMN(CUSTO_GLOBAL[[#Headers],[Adicional de Sobreaviso]])-2,0)*($G47-$H47)</f>
        <v>0</v>
      </c>
      <c r="O47" s="21">
        <f>VLOOKUP($A47,tabCustoUnit[],COLUMN(CUSTO_GLOBAL[[#Headers],[Horas Extras TI]])-2,0)*($G47-$H47)</f>
        <v>0</v>
      </c>
      <c r="P47" s="21">
        <f>VLOOKUP($A47,tabCustoUnit[],COLUMN(CUSTO_GLOBAL[[#Headers],[Adicional de Acúmulo de função]])-2,0)*($G47-$H47)</f>
        <v>19.590499999999999</v>
      </c>
      <c r="Q47" s="21">
        <f>VLOOKUP($A47,tabCustoUnit[],COLUMN(CUSTO_GLOBAL[[#Headers],[MODULO 1 - REMUNERAÇÃO ]])-2,0)*($G47-$H47)</f>
        <v>563.77049999999997</v>
      </c>
      <c r="R47" s="21">
        <f>VLOOKUP($A47,tabCustoUnit[],COLUMN(CUSTO_GLOBAL[[#Headers],[INSS]])-2,0)*($G47-$H47)</f>
        <v>112.75409999999999</v>
      </c>
      <c r="S47" s="21">
        <f>VLOOKUP($A47,tabCustoUnit[],COLUMN(CUSTO_GLOBAL[[#Headers],[SESI OU SESC]])-2,0)*($G47-$H47)</f>
        <v>8.4565574999999988</v>
      </c>
      <c r="T47" s="21">
        <f>VLOOKUP($A47,tabCustoUnit[],COLUMN(CUSTO_GLOBAL[[#Headers],[SENAI OU SENAC]])-2,0)*($G47-$H47)</f>
        <v>5.6377049999999995</v>
      </c>
      <c r="U47" s="21">
        <f>VLOOKUP($A47,tabCustoUnit[],COLUMN(CUSTO_GLOBAL[[#Headers],[INCRA]])-2,0)*($G47-$H47)</f>
        <v>1.1275409999999999</v>
      </c>
      <c r="V47" s="21">
        <f>VLOOKUP($A47,tabCustoUnit[],COLUMN(CUSTO_GLOBAL[[#Headers],[Salário Educação]])-2,0)*($G47-$H47)</f>
        <v>14.094262499999999</v>
      </c>
      <c r="W47" s="21">
        <f>VLOOKUP($A47,tabCustoUnit[],COLUMN(CUSTO_GLOBAL[[#Headers],[FGTS]])-2,0)*($G47-$H47)</f>
        <v>45.101639999999996</v>
      </c>
      <c r="X47" s="21">
        <f>VLOOKUP($A47,tabCustoUnit[],COLUMN(CUSTO_GLOBAL[[#Headers],[RAT Ajustado]])-2,0)*($G47-$H47)</f>
        <v>22.550819999999998</v>
      </c>
      <c r="Y47" s="21">
        <f>VLOOKUP($A47,tabCustoUnit[],COLUMN(CUSTO_GLOBAL[[#Headers],[SEBRAE]])-2,0)*($G47-$H47)</f>
        <v>3.3826229999999997</v>
      </c>
      <c r="Z47" s="21">
        <f>VLOOKUP($A47,tabCustoUnit[],COLUMN(CUSTO_GLOBAL[[#Headers],[Submódulo 2.1]])-2,0)*($G47-$H47)</f>
        <v>213.10524899999996</v>
      </c>
      <c r="AA47" s="21">
        <f>VLOOKUP($A47,tabCustoUnit[],COLUMN(CUSTO_GLOBAL[[#Headers],[13º salário (titular)]])-2,0)*($G47-$H47)</f>
        <v>46.980874999999997</v>
      </c>
      <c r="AB47" s="21">
        <f>VLOOKUP($A47,tabCustoUnit[],COLUMN(CUSTO_GLOBAL[[#Headers],[Férias e Adicional de Férias (titular)]])-2,0)*($G47-$H47)</f>
        <v>62.641166666666663</v>
      </c>
      <c r="AC47" s="21">
        <f>VLOOKUP($A47,tabCustoUnit[],COLUMN(CUSTO_GLOBAL[[#Headers],[Incidência do Submódulo 2.1 sobre 13º Salário, Férias e Adicional de Férias]])-2,0)*($G47-$H47)</f>
        <v>41.437131749999992</v>
      </c>
      <c r="AD47" s="21">
        <f>VLOOKUP($A47,tabCustoUnit[],COLUMN(CUSTO_GLOBAL[[#Headers],[Submódulo 2.2]])-2,0)*($G47-$H47)</f>
        <v>151.05917341666665</v>
      </c>
      <c r="AE47" s="22">
        <f>VLOOKUP($A47,tabCustoUnit[],COLUMN(CUSTO_GLOBAL[[#Headers],[Vale - Transporte (Descontada parcela do empregado)]])-2,0)*($G47-$H47)</f>
        <v>223.3492</v>
      </c>
      <c r="AF47" s="22">
        <f>VLOOKUP($A47,tabCustoUnit[],COLUMN(CUSTO_GLOBAL[[#Headers],[Vale - Alimentação (Descontada parcela do empregado)]])-2,0)*($G47-$H47)</f>
        <v>582</v>
      </c>
      <c r="AG47" s="22">
        <f>VLOOKUP($A47,tabCustoUnit[],COLUMN(CUSTO_GLOBAL[[#Headers],[Cesta Básica]])-2,0)*($G47-$H47)</f>
        <v>0</v>
      </c>
      <c r="AH47" s="22">
        <f>VLOOKUP($A47,tabCustoUnit[],COLUMN(CUSTO_GLOBAL[[#Headers],[PAF]])-2,0)*($G47-$H47)</f>
        <v>0</v>
      </c>
      <c r="AI47" s="22">
        <f>VLOOKUP($A47,tabCustoUnit[],COLUMN(CUSTO_GLOBAL[[#Headers],[PQM]])-2,0)*($G47-$H47)</f>
        <v>15.07</v>
      </c>
      <c r="AJ47" s="22">
        <v>0</v>
      </c>
      <c r="AK47" s="22">
        <f>VLOOKUP($A47,tabCustoUnit[],COLUMN(CUSTO_GLOBAL[[#Headers],[Seguro de Vida]])-2,0)*($G47-$H47)</f>
        <v>3.36</v>
      </c>
      <c r="AL47" s="22">
        <f>VLOOKUP($A47,tabCustoUnit[],COLUMN(CUSTO_GLOBAL[[#Headers],[Despesas de Viagem]])-2,0)*($G47-$H47)</f>
        <v>0</v>
      </c>
      <c r="AM47" s="22">
        <f>VLOOKUP($A47,tabCustoUnit[],COLUMN(CUSTO_GLOBAL[[#Headers],[Submódulo 2.3]])-2,0)*($G47-$H47)</f>
        <v>823.77920000000006</v>
      </c>
      <c r="AN47" s="22">
        <f>VLOOKUP($A47,tabCustoUnit[],COLUMN(CUSTO_GLOBAL[[#Headers],[MÓDULO 2 - Total Encargos e Benefícios mensais e diários]])-2,0)*($G47-$H47)</f>
        <v>1187.9436224166666</v>
      </c>
      <c r="AO47" s="22">
        <f>VLOOKUP($A47,tabCustoUnit[],COLUMN(CUSTO_GLOBAL[[#Headers],[Aviso Prévio Indenizado (API) e Reflexo do Aviso Prévio Indenizado]])-2,0)*($G47-$H47)</f>
        <v>3.9530273735532404</v>
      </c>
      <c r="AP47" s="22">
        <f>VLOOKUP($A47,tabCustoUnit[],COLUMN(CUSTO_GLOBAL[[#Headers],[Incidência do FGTS sobre API e Reflexo do API]])-2,0)*($G47-$H47)</f>
        <v>0.31624218988425928</v>
      </c>
      <c r="AQ47" s="22">
        <f>VLOOKUP($A47,tabCustoUnit[],COLUMN(CUSTO_GLOBAL[[#Headers],[Multa Rescisória do FGTS sobre o Aviso Prévio Indenizado]])-2,0)*($G47-$H47)</f>
        <v>0.12649687595370371</v>
      </c>
      <c r="AR47" s="22">
        <f>VLOOKUP($A47,tabCustoUnit[],COLUMN(CUSTO_GLOBAL[[#Headers],[Aviso Prévio Trabalhado - APT]])-2,0)*($G47-$H47)</f>
        <v>1.9731967500000003</v>
      </c>
      <c r="AS47" s="22">
        <f>VLOOKUP($A47,tabCustoUnit[],COLUMN(CUSTO_GLOBAL[[#Headers],[Incidência dos encargos do submódulo 2.1 sobre Aviso Prévio Trabalhado]])-2,0)*($G47-$H47)</f>
        <v>0.74586837150000018</v>
      </c>
      <c r="AT47" s="22">
        <f>VLOOKUP($A47,tabCustoUnit[],COLUMN(CUSTO_GLOBAL[[#Headers],[Multa Rescisória do FGTS]])-2,0)*($G47-$H47)</f>
        <v>17.238849066666663</v>
      </c>
      <c r="AU47" s="22">
        <f>VLOOKUP($A47,tabCustoUnit[],COLUMN(CUSTO_GLOBAL[[#Headers],[Indenização Adicional (Art. 9º da Lei nº 7.238/84)]])-2,0)*($G47-$H47)</f>
        <v>0.46980875</v>
      </c>
      <c r="AV47" s="22">
        <f>VLOOKUP($A47,tabCustoUnit[],COLUMN(CUSTO_GLOBAL[[#Headers],[MÓDULO 3 – PROVISÃO PARA RESCISÃO]])-2,0)*($G47-$H47)</f>
        <v>24.823489377557866</v>
      </c>
      <c r="AW47" s="22">
        <f>VLOOKUP($A47,tabCustoUnit[],COLUMN(CUSTO_GLOBAL[[#Headers],[Ausência por Doença]])-2,0)*($G47-$H47)</f>
        <v>4.7607286666666662</v>
      </c>
      <c r="AX47" s="22">
        <f>VLOOKUP($A47,tabCustoUnit[],COLUMN(CUSTO_GLOBAL[[#Headers],[Ausências Legais]])-2,0)*($G47-$H47)</f>
        <v>1.1432012916666665</v>
      </c>
      <c r="AY47" s="22">
        <f>VLOOKUP($A47,tabCustoUnit[],COLUMN(CUSTO_GLOBAL[[#Headers],[Licença Paternidade]])-2,0)*($G47-$H47)</f>
        <v>9.6310793749999998E-2</v>
      </c>
      <c r="AZ47" s="22">
        <f>VLOOKUP($A47,tabCustoUnit[],COLUMN(CUSTO_GLOBAL[[#Headers],[Ausência por Acidente de Trabalho]])-2,0)*($G47-$H47)</f>
        <v>0.1174521875</v>
      </c>
      <c r="BA47" s="22">
        <f>VLOOKUP($A47,tabCustoUnit[],COLUMN(CUSTO_GLOBAL[[#Headers],[Férias, Adicional de Férias e 13º  com empregada em gozo de Licença Maternidade]])-2,0)*($G47-$H47)</f>
        <v>0.73081361111111109</v>
      </c>
      <c r="BB47" s="22">
        <f>VLOOKUP($A47,tabCustoUnit[],COLUMN(CUSTO_GLOBAL[[#Headers],[Incidência do Submódulo 2.1 sobre Ausências Legais]])-2,0)*($G47-$H47)</f>
        <v>2.5887354761625003</v>
      </c>
      <c r="BC47" s="22">
        <f>VLOOKUP($A47,tabCustoUnit[],COLUMN(CUSTO_GLOBAL[[#Headers],[Submódulo 4.1]])-2,0)*($G47-$H47)</f>
        <v>9.4372420268569428</v>
      </c>
      <c r="BD47" s="22">
        <f>VLOOKUP($A47,tabCustoUnit[],COLUMN(CUSTO_GLOBAL[[#Headers],[Intervalo para Repouso ou Alimentação]])-2,0)*($G47-$H47)</f>
        <v>0</v>
      </c>
      <c r="BE47" s="22">
        <f>VLOOKUP($A47,tabCustoUnit[],COLUMN(CUSTO_GLOBAL[[#Headers],[Submódulo 4.2]])-2,0)*($G47-$H47)</f>
        <v>0</v>
      </c>
      <c r="BF47" s="22">
        <f>VLOOKUP($A47,tabCustoUnit[],COLUMN(CUSTO_GLOBAL[[#Headers],[Suspensão Temporária do Contrato de Trabalho]])-2,0)*($G47-$H47)</f>
        <v>0</v>
      </c>
      <c r="BG47" s="22">
        <f>VLOOKUP($A47,tabCustoUnit[],COLUMN(CUSTO_GLOBAL[[#Headers],[Submódulo 4.3]])-2,0)*($G47-$H47)</f>
        <v>0</v>
      </c>
      <c r="BH47" s="22">
        <f>VLOOKUP($A47,tabCustoUnit[],COLUMN(CUSTO_GLOBAL[[#Headers],[MÓDULO 4 – CUSTO DE REPOSIÇÃO DO PROFISSIONAL AUSENTE]])-2,0)*($G47-$H47)</f>
        <v>9.4372420268569428</v>
      </c>
      <c r="BI47" s="22">
        <f>VLOOKUP($A47,tabCustoUnit[],COLUMN(CUSTO_GLOBAL[[#Headers],[Uniformes e EPIs]])-2,0)*($G47-$H47)</f>
        <v>62.806666666666665</v>
      </c>
      <c r="BJ47" s="22">
        <f>VLOOKUP($A47,tabCustoUnit[],COLUMN(CUSTO_GLOBAL[[#Headers],[Materiais de Consumo]])-2,0)*($G47-$H47)</f>
        <v>12.108481690426325</v>
      </c>
      <c r="BK47" s="22">
        <f>VLOOKUP($A47,tabCustoUnit[],COLUMN(CUSTO_GLOBAL[[#Headers],[Máquinas e Equipamentos (depreciação)]])-2,0)*($G47-$H47)</f>
        <v>21.998657016417809</v>
      </c>
      <c r="BL47" s="22">
        <f>VLOOKUP($A47,tabCustoUnit[],COLUMN(CUSTO_GLOBAL[[#Headers],[Produtos de Limpeza e Materiais de Higiene Pessoal]])-2,0)*($G47-$H47)</f>
        <v>235.31984072022155</v>
      </c>
      <c r="BM47" s="22">
        <f>VLOOKUP($A47,tabCustoUnit[],COLUMN(CUSTO_GLOBAL[[#Headers],[Outros (especificar)]])-2,0)*($G47-$H47)</f>
        <v>0</v>
      </c>
      <c r="BN47" s="22">
        <f>VLOOKUP($A47,tabCustoUnit[],COLUMN(CUSTO_GLOBAL[[#Headers],[MÓDULO 5 – INSUMOS DIVERSOS]])-2,0)*($G47-$H47)</f>
        <v>332.23364609373232</v>
      </c>
      <c r="BO47" s="22">
        <f>VLOOKUP($A47,tabCustoUnit[],COLUMN(CUSTO_GLOBAL[[#Headers],[TOTAL MÓDULOS 1+2+3+4+5]])-2,0)*($G47-$H47)</f>
        <v>2118.2084999148137</v>
      </c>
      <c r="BP47" s="22">
        <f>VLOOKUP($A47,tabCustoUnit[],COLUMN(CUSTO_GLOBAL[[#Headers],[Custos Indiretos]])-2,0)*($G47-$H47)</f>
        <v>189.64880140242613</v>
      </c>
      <c r="BQ47" s="22">
        <f>VLOOKUP($A47,tabCustoUnit[],COLUMN(CUSTO_GLOBAL[[#Headers],[Lucro]])-2,0)*($G47-$H47)</f>
        <v>159.30499317803796</v>
      </c>
      <c r="BR47" s="26">
        <f>VLOOKUP($A47,tabCustoUnit[],COLUMN(CUSTO_GLOBAL[[#Headers],[COFINS]])-2,0)</f>
        <v>8.6609686609686695E-2</v>
      </c>
      <c r="BS47" s="26">
        <f>VLOOKUP($A47,tabCustoUnit[],COLUMN(CUSTO_GLOBAL[[#Headers],[PIS]])-2,0)</f>
        <v>1.880341880341882E-2</v>
      </c>
      <c r="BT47" s="28">
        <f>VLOOKUP($A47,tabCustoUnit[],COLUMN(CUSTO_GLOBAL[[#Headers],[ISS]])-2,0)</f>
        <v>0.03</v>
      </c>
      <c r="BU47" s="26">
        <f>VLOOKUP($A47,tabCustoUnit[],COLUMN(CUSTO_GLOBAL[[#Headers],[ISS (Conversão Alíquota s/ fatura)]])-2,0)</f>
        <v>3.4188034188034219E-2</v>
      </c>
      <c r="BV47" s="26">
        <f>VLOOKUP($A47,tabCustoUnit[],COLUMN(CUSTO_GLOBAL[[#Headers],[Resumo de Alíquotas (PIS+CONFINS+ISS)]])-2,0)</f>
        <v>0.1225</v>
      </c>
      <c r="BW47" s="138">
        <f>VLOOKUP($A47,tabCustoUnit[],COLUMN(CUSTO_GLOBAL[[#Headers],[PIS + COFINS + ISS (Total Conversão  Alíquota s/ Fatura)]])-2,0)</f>
        <v>0.13960113960113973</v>
      </c>
      <c r="BX47" s="22">
        <f>VLOOKUP($A47,tabCustoUnit[],COLUMN(CUSTO_GLOBAL[[#Headers],[Valor dos Tributos (ISS, PIS, CONFINS)]])-2,0)*($G47-$H47)</f>
        <v>344.41866789250349</v>
      </c>
      <c r="BY47" s="22">
        <f>VLOOKUP($A47,tabCustoUnit[],COLUMN(CUSTO_GLOBAL[[#Headers],[MÓDULO 6 – CUSTOS INDIRETOS, TRIBUTOS E LUCRO]])-2,0)*($G47-$H47)</f>
        <v>693.37246247296753</v>
      </c>
      <c r="BZ47" s="22">
        <f>VLOOKUP($A47,tabCustoUnit[],COLUMN(CUSTO_GLOBAL[[#Headers],[CUSTO TOTAL MENSAL]])-2,0)*($G47-$H47)</f>
        <v>2811.5809623877813</v>
      </c>
      <c r="CA47" s="22">
        <f>CUSTO_GLOBAL[[#This Row],[CUSTO TOTAL MENSAL]]*12</f>
        <v>33738.971548653375</v>
      </c>
      <c r="CB47" s="24">
        <f>VLOOKUP($A47,tabCustoUnit[],COLUMN(CUSTO_GLOBAL[[#Headers],[ANO DA CCT]])-2,0)</f>
        <v>45658</v>
      </c>
      <c r="CC47" s="25" t="str">
        <f>VLOOKUP($A47,tabCustoUnit[],COLUMN(CUSTO_GLOBAL[[#Headers],[Nº DE PEDIDO DA CCT]])-2,0)</f>
        <v>-</v>
      </c>
      <c r="CD47" s="25" t="str">
        <f>VLOOKUP($A47,tabCustoUnit[],COLUMN(CUSTO_GLOBAL[[#Headers],[TERMO ADITIVO  ALTERAÇÃO DA CCT]])-2,0)</f>
        <v>-</v>
      </c>
      <c r="CF47" s="22"/>
      <c r="CG47" s="22"/>
    </row>
    <row r="48" spans="1:85" x14ac:dyDescent="0.25">
      <c r="A48" s="20" t="s">
        <v>1388</v>
      </c>
      <c r="B48" t="s">
        <v>47</v>
      </c>
      <c r="C48" t="s">
        <v>1245</v>
      </c>
      <c r="D48" t="s">
        <v>1002</v>
      </c>
      <c r="E48" s="20" t="s">
        <v>9</v>
      </c>
      <c r="F48" s="20" t="s">
        <v>10</v>
      </c>
      <c r="G48" s="20">
        <v>1</v>
      </c>
      <c r="H48" s="20">
        <v>0</v>
      </c>
      <c r="I48" s="21">
        <f>VLOOKUP($A48,tabCustoUnit[],COLUMN(CUSTO_GLOBAL[[#Headers],[Salário Base]])-2,0)*($G48-$H48)</f>
        <v>1649.12</v>
      </c>
      <c r="J48" s="21">
        <f>VLOOKUP($A48,tabCustoUnit[],COLUMN(CUSTO_GLOBAL[[#Headers],[Adicional Periculosidade]])-2,0)*($G48-$H48)</f>
        <v>0</v>
      </c>
      <c r="K48" s="21">
        <f>VLOOKUP($A48,tabCustoUnit[],COLUMN(CUSTO_GLOBAL[[#Headers],[Adicional Insalubridade]])-2,0)*($G48-$H48)</f>
        <v>0</v>
      </c>
      <c r="L48" s="21">
        <f>VLOOKUP($A48,tabCustoUnit[],COLUMN(CUSTO_GLOBAL[[#Headers],[Adicional Noturno]])-2,0)*($G48-$H48)</f>
        <v>0</v>
      </c>
      <c r="M48" s="21">
        <f>VLOOKUP($A48,tabCustoUnit[],COLUMN(CUSTO_GLOBAL[[#Headers],[Adicional Motorista II (Gratificação)]])-2,0)*($G48-$H48)</f>
        <v>0</v>
      </c>
      <c r="N48" s="21">
        <f>VLOOKUP($A48,tabCustoUnit[],COLUMN(CUSTO_GLOBAL[[#Headers],[Adicional de Sobreaviso]])-2,0)*($G48-$H48)</f>
        <v>0</v>
      </c>
      <c r="O48" s="21">
        <f>VLOOKUP($A48,tabCustoUnit[],COLUMN(CUSTO_GLOBAL[[#Headers],[Horas Extras TI]])-2,0)*($G48-$H48)</f>
        <v>0</v>
      </c>
      <c r="P48" s="21">
        <f>VLOOKUP($A48,tabCustoUnit[],COLUMN(CUSTO_GLOBAL[[#Headers],[Adicional de Acúmulo de função]])-2,0)*($G48-$H48)</f>
        <v>53.971200000000003</v>
      </c>
      <c r="Q48" s="21">
        <f>VLOOKUP($A48,tabCustoUnit[],COLUMN(CUSTO_GLOBAL[[#Headers],[MODULO 1 - REMUNERAÇÃO ]])-2,0)*($G48-$H48)</f>
        <v>1703.0911999999998</v>
      </c>
      <c r="R48" s="21">
        <f>VLOOKUP($A48,tabCustoUnit[],COLUMN(CUSTO_GLOBAL[[#Headers],[INSS]])-2,0)*($G48-$H48)</f>
        <v>340.61824000000001</v>
      </c>
      <c r="S48" s="21">
        <f>VLOOKUP($A48,tabCustoUnit[],COLUMN(CUSTO_GLOBAL[[#Headers],[SESI OU SESC]])-2,0)*($G48-$H48)</f>
        <v>25.546367999999998</v>
      </c>
      <c r="T48" s="21">
        <f>VLOOKUP($A48,tabCustoUnit[],COLUMN(CUSTO_GLOBAL[[#Headers],[SENAI OU SENAC]])-2,0)*($G48-$H48)</f>
        <v>17.030911999999997</v>
      </c>
      <c r="U48" s="21">
        <f>VLOOKUP($A48,tabCustoUnit[],COLUMN(CUSTO_GLOBAL[[#Headers],[INCRA]])-2,0)*($G48-$H48)</f>
        <v>3.4061823999999996</v>
      </c>
      <c r="V48" s="21">
        <f>VLOOKUP($A48,tabCustoUnit[],COLUMN(CUSTO_GLOBAL[[#Headers],[Salário Educação]])-2,0)*($G48-$H48)</f>
        <v>42.577280000000002</v>
      </c>
      <c r="W48" s="21">
        <f>VLOOKUP($A48,tabCustoUnit[],COLUMN(CUSTO_GLOBAL[[#Headers],[FGTS]])-2,0)*($G48-$H48)</f>
        <v>136.24729599999998</v>
      </c>
      <c r="X48" s="21">
        <f>VLOOKUP($A48,tabCustoUnit[],COLUMN(CUSTO_GLOBAL[[#Headers],[RAT Ajustado]])-2,0)*($G48-$H48)</f>
        <v>68.123647999999989</v>
      </c>
      <c r="Y48" s="21">
        <f>VLOOKUP($A48,tabCustoUnit[],COLUMN(CUSTO_GLOBAL[[#Headers],[SEBRAE]])-2,0)*($G48-$H48)</f>
        <v>10.2185472</v>
      </c>
      <c r="Z48" s="21">
        <f>VLOOKUP($A48,tabCustoUnit[],COLUMN(CUSTO_GLOBAL[[#Headers],[Submódulo 2.1]])-2,0)*($G48-$H48)</f>
        <v>643.76847359999999</v>
      </c>
      <c r="AA48" s="21">
        <f>VLOOKUP($A48,tabCustoUnit[],COLUMN(CUSTO_GLOBAL[[#Headers],[13º salário (titular)]])-2,0)*($G48-$H48)</f>
        <v>141.92426666666665</v>
      </c>
      <c r="AB48" s="21">
        <f>VLOOKUP($A48,tabCustoUnit[],COLUMN(CUSTO_GLOBAL[[#Headers],[Férias e Adicional de Férias (titular)]])-2,0)*($G48-$H48)</f>
        <v>189.23235555555553</v>
      </c>
      <c r="AC48" s="21">
        <f>VLOOKUP($A48,tabCustoUnit[],COLUMN(CUSTO_GLOBAL[[#Headers],[Incidência do Submódulo 2.1 sobre 13º Salário, Férias e Adicional de Férias]])-2,0)*($G48-$H48)</f>
        <v>125.17720319999999</v>
      </c>
      <c r="AD48" s="21">
        <f>VLOOKUP($A48,tabCustoUnit[],COLUMN(CUSTO_GLOBAL[[#Headers],[Submódulo 2.2]])-2,0)*($G48-$H48)</f>
        <v>456.33382542222216</v>
      </c>
      <c r="AE48" s="22">
        <f>VLOOKUP($A48,tabCustoUnit[],COLUMN(CUSTO_GLOBAL[[#Headers],[Vale - Transporte (Descontada parcela do empregado)]])-2,0)*($G48-$H48)</f>
        <v>157.05279999999999</v>
      </c>
      <c r="AF48" s="22">
        <f>VLOOKUP($A48,tabCustoUnit[],COLUMN(CUSTO_GLOBAL[[#Headers],[Vale - Alimentação (Descontada parcela do empregado)]])-2,0)*($G48-$H48)</f>
        <v>582</v>
      </c>
      <c r="AG48" s="22">
        <f>VLOOKUP($A48,tabCustoUnit[],COLUMN(CUSTO_GLOBAL[[#Headers],[Cesta Básica]])-2,0)*($G48-$H48)</f>
        <v>0</v>
      </c>
      <c r="AH48" s="22">
        <f>VLOOKUP($A48,tabCustoUnit[],COLUMN(CUSTO_GLOBAL[[#Headers],[PAF]])-2,0)*($G48-$H48)</f>
        <v>0</v>
      </c>
      <c r="AI48" s="22">
        <f>VLOOKUP($A48,tabCustoUnit[],COLUMN(CUSTO_GLOBAL[[#Headers],[PQM]])-2,0)*($G48-$H48)</f>
        <v>15.07</v>
      </c>
      <c r="AJ48" s="22">
        <v>0</v>
      </c>
      <c r="AK48" s="22">
        <f>VLOOKUP($A48,tabCustoUnit[],COLUMN(CUSTO_GLOBAL[[#Headers],[Seguro de Vida]])-2,0)*($G48-$H48)</f>
        <v>3.36</v>
      </c>
      <c r="AL48" s="22">
        <f>VLOOKUP($A48,tabCustoUnit[],COLUMN(CUSTO_GLOBAL[[#Headers],[Despesas de Viagem]])-2,0)*($G48-$H48)</f>
        <v>0</v>
      </c>
      <c r="AM48" s="22">
        <f>VLOOKUP($A48,tabCustoUnit[],COLUMN(CUSTO_GLOBAL[[#Headers],[Submódulo 2.3]])-2,0)*($G48-$H48)</f>
        <v>757.4828</v>
      </c>
      <c r="AN48" s="22">
        <f>VLOOKUP($A48,tabCustoUnit[],COLUMN(CUSTO_GLOBAL[[#Headers],[MÓDULO 2 - Total Encargos e Benefícios mensais e diários]])-2,0)*($G48-$H48)</f>
        <v>1857.5850990222223</v>
      </c>
      <c r="AO48" s="22">
        <f>VLOOKUP($A48,tabCustoUnit[],COLUMN(CUSTO_GLOBAL[[#Headers],[Aviso Prévio Indenizado (API) e Reflexo do Aviso Prévio Indenizado]])-2,0)*($G48-$H48)</f>
        <v>11.941678632098764</v>
      </c>
      <c r="AP48" s="22">
        <f>VLOOKUP($A48,tabCustoUnit[],COLUMN(CUSTO_GLOBAL[[#Headers],[Incidência do FGTS sobre API e Reflexo do API]])-2,0)*($G48-$H48)</f>
        <v>0.9553342905679012</v>
      </c>
      <c r="AQ48" s="22">
        <f>VLOOKUP($A48,tabCustoUnit[],COLUMN(CUSTO_GLOBAL[[#Headers],[Multa Rescisória do FGTS sobre o Aviso Prévio Indenizado]])-2,0)*($G48-$H48)</f>
        <v>0.38213371622716052</v>
      </c>
      <c r="AR48" s="22">
        <f>VLOOKUP($A48,tabCustoUnit[],COLUMN(CUSTO_GLOBAL[[#Headers],[Aviso Prévio Trabalhado - APT]])-2,0)*($G48-$H48)</f>
        <v>5.9608192000000004</v>
      </c>
      <c r="AS48" s="22">
        <f>VLOOKUP($A48,tabCustoUnit[],COLUMN(CUSTO_GLOBAL[[#Headers],[Incidência dos encargos do submódulo 2.1 sobre Aviso Prévio Trabalhado]])-2,0)*($G48-$H48)</f>
        <v>2.2531896576000006</v>
      </c>
      <c r="AT48" s="22">
        <f>VLOOKUP($A48,tabCustoUnit[],COLUMN(CUSTO_GLOBAL[[#Headers],[Multa Rescisória do FGTS]])-2,0)*($G48-$H48)</f>
        <v>52.076744248888879</v>
      </c>
      <c r="AU48" s="22">
        <f>VLOOKUP($A48,tabCustoUnit[],COLUMN(CUSTO_GLOBAL[[#Headers],[Indenização Adicional (Art. 9º da Lei nº 7.238/84)]])-2,0)*($G48-$H48)</f>
        <v>1.4192426666666667</v>
      </c>
      <c r="AV48" s="22">
        <f>VLOOKUP($A48,tabCustoUnit[],COLUMN(CUSTO_GLOBAL[[#Headers],[MÓDULO 3 – PROVISÃO PARA RESCISÃO]])-2,0)*($G48-$H48)</f>
        <v>74.989142412049375</v>
      </c>
      <c r="AW48" s="22">
        <f>VLOOKUP($A48,tabCustoUnit[],COLUMN(CUSTO_GLOBAL[[#Headers],[Ausência por Doença]])-2,0)*($G48-$H48)</f>
        <v>14.38165902222222</v>
      </c>
      <c r="AX48" s="22">
        <f>VLOOKUP($A48,tabCustoUnit[],COLUMN(CUSTO_GLOBAL[[#Headers],[Ausências Legais]])-2,0)*($G48-$H48)</f>
        <v>3.4534904888888884</v>
      </c>
      <c r="AY48" s="22">
        <f>VLOOKUP($A48,tabCustoUnit[],COLUMN(CUSTO_GLOBAL[[#Headers],[Licença Paternidade]])-2,0)*($G48-$H48)</f>
        <v>0.29094474666666664</v>
      </c>
      <c r="AZ48" s="22">
        <f>VLOOKUP($A48,tabCustoUnit[],COLUMN(CUSTO_GLOBAL[[#Headers],[Ausência por Acidente de Trabalho]])-2,0)*($G48-$H48)</f>
        <v>0.35481066666666666</v>
      </c>
      <c r="BA48" s="22">
        <f>VLOOKUP($A48,tabCustoUnit[],COLUMN(CUSTO_GLOBAL[[#Headers],[Férias, Adicional de Férias e 13º  com empregada em gozo de Licença Maternidade]])-2,0)*($G48-$H48)</f>
        <v>2.2077108148148143</v>
      </c>
      <c r="BB48" s="22">
        <f>VLOOKUP($A48,tabCustoUnit[],COLUMN(CUSTO_GLOBAL[[#Headers],[Incidência do Submódulo 2.1 sobre Ausências Legais]])-2,0)*($G48-$H48)</f>
        <v>7.8202967494400006</v>
      </c>
      <c r="BC48" s="22">
        <f>VLOOKUP($A48,tabCustoUnit[],COLUMN(CUSTO_GLOBAL[[#Headers],[Submódulo 4.1]])-2,0)*($G48-$H48)</f>
        <v>28.508912488699256</v>
      </c>
      <c r="BD48" s="22">
        <f>VLOOKUP($A48,tabCustoUnit[],COLUMN(CUSTO_GLOBAL[[#Headers],[Intervalo para Repouso ou Alimentação]])-2,0)*($G48-$H48)</f>
        <v>0</v>
      </c>
      <c r="BE48" s="22">
        <f>VLOOKUP($A48,tabCustoUnit[],COLUMN(CUSTO_GLOBAL[[#Headers],[Submódulo 4.2]])-2,0)*($G48-$H48)</f>
        <v>0</v>
      </c>
      <c r="BF48" s="22">
        <f>VLOOKUP($A48,tabCustoUnit[],COLUMN(CUSTO_GLOBAL[[#Headers],[Suspensão Temporária do Contrato de Trabalho]])-2,0)*($G48-$H48)</f>
        <v>0</v>
      </c>
      <c r="BG48" s="22">
        <f>VLOOKUP($A48,tabCustoUnit[],COLUMN(CUSTO_GLOBAL[[#Headers],[Submódulo 4.3]])-2,0)*($G48-$H48)</f>
        <v>0</v>
      </c>
      <c r="BH48" s="22">
        <f>VLOOKUP($A48,tabCustoUnit[],COLUMN(CUSTO_GLOBAL[[#Headers],[MÓDULO 4 – CUSTO DE REPOSIÇÃO DO PROFISSIONAL AUSENTE]])-2,0)*($G48-$H48)</f>
        <v>28.508912488699256</v>
      </c>
      <c r="BI48" s="22">
        <f>VLOOKUP($A48,tabCustoUnit[],COLUMN(CUSTO_GLOBAL[[#Headers],[Uniformes e EPIs]])-2,0)*($G48-$H48)</f>
        <v>100.80916666666666</v>
      </c>
      <c r="BJ48" s="22">
        <f>VLOOKUP($A48,tabCustoUnit[],COLUMN(CUSTO_GLOBAL[[#Headers],[Materiais de Consumo]])-2,0)*($G48-$H48)</f>
        <v>35.518212958583888</v>
      </c>
      <c r="BK48" s="22">
        <f>VLOOKUP($A48,tabCustoUnit[],COLUMN(CUSTO_GLOBAL[[#Headers],[Máquinas e Equipamentos (depreciação)]])-2,0)*($G48-$H48)</f>
        <v>64.529393914825576</v>
      </c>
      <c r="BL48" s="22">
        <f>VLOOKUP($A48,tabCustoUnit[],COLUMN(CUSTO_GLOBAL[[#Headers],[Produtos de Limpeza e Materiais de Higiene Pessoal]])-2,0)*($G48-$H48)</f>
        <v>690.27153277931654</v>
      </c>
      <c r="BM48" s="22">
        <f>VLOOKUP($A48,tabCustoUnit[],COLUMN(CUSTO_GLOBAL[[#Headers],[Outros (especificar)]])-2,0)*($G48-$H48)</f>
        <v>0</v>
      </c>
      <c r="BN48" s="22">
        <f>VLOOKUP($A48,tabCustoUnit[],COLUMN(CUSTO_GLOBAL[[#Headers],[MÓDULO 5 – INSUMOS DIVERSOS]])-2,0)*($G48-$H48)</f>
        <v>891.12830631939266</v>
      </c>
      <c r="BO48" s="22">
        <f>VLOOKUP($A48,tabCustoUnit[],COLUMN(CUSTO_GLOBAL[[#Headers],[TOTAL MÓDULOS 1+2+3+4+5]])-2,0)*($G48-$H48)</f>
        <v>4555.3026602423633</v>
      </c>
      <c r="BP48" s="22">
        <f>VLOOKUP($A48,tabCustoUnit[],COLUMN(CUSTO_GLOBAL[[#Headers],[Custos Indiretos]])-2,0)*($G48-$H48)</f>
        <v>189.64880140242613</v>
      </c>
      <c r="BQ48" s="22">
        <f>VLOOKUP($A48,tabCustoUnit[],COLUMN(CUSTO_GLOBAL[[#Headers],[Lucro]])-2,0)*($G48-$H48)</f>
        <v>159.30499317803796</v>
      </c>
      <c r="BR48" s="26">
        <f>VLOOKUP($A48,tabCustoUnit[],COLUMN(CUSTO_GLOBAL[[#Headers],[COFINS]])-2,0)</f>
        <v>8.6609686609686695E-2</v>
      </c>
      <c r="BS48" s="26">
        <f>VLOOKUP($A48,tabCustoUnit[],COLUMN(CUSTO_GLOBAL[[#Headers],[PIS]])-2,0)</f>
        <v>1.880341880341882E-2</v>
      </c>
      <c r="BT48" s="28">
        <f>VLOOKUP($A48,tabCustoUnit[],COLUMN(CUSTO_GLOBAL[[#Headers],[ISS]])-2,0)</f>
        <v>0.03</v>
      </c>
      <c r="BU48" s="26">
        <f>VLOOKUP($A48,tabCustoUnit[],COLUMN(CUSTO_GLOBAL[[#Headers],[ISS (Conversão Alíquota s/ fatura)]])-2,0)</f>
        <v>3.4188034188034219E-2</v>
      </c>
      <c r="BV48" s="26">
        <f>VLOOKUP($A48,tabCustoUnit[],COLUMN(CUSTO_GLOBAL[[#Headers],[Resumo de Alíquotas (PIS+CONFINS+ISS)]])-2,0)</f>
        <v>0.1225</v>
      </c>
      <c r="BW48" s="138">
        <f>VLOOKUP($A48,tabCustoUnit[],COLUMN(CUSTO_GLOBAL[[#Headers],[PIS + COFINS + ISS (Total Conversão  Alíquota s/ Fatura)]])-2,0)</f>
        <v>0.13960113960113973</v>
      </c>
      <c r="BX48" s="22">
        <f>VLOOKUP($A48,tabCustoUnit[],COLUMN(CUSTO_GLOBAL[[#Headers],[Valor dos Tributos (ISS, PIS, CONFINS)]])-2,0)*($G48-$H48)</f>
        <v>684.63978998951222</v>
      </c>
      <c r="BY48" s="22">
        <f>VLOOKUP($A48,tabCustoUnit[],COLUMN(CUSTO_GLOBAL[[#Headers],[MÓDULO 6 – CUSTOS INDIRETOS, TRIBUTOS E LUCRO]])-2,0)*($G48-$H48)</f>
        <v>1033.5935845699764</v>
      </c>
      <c r="BZ48" s="22">
        <f>VLOOKUP($A48,tabCustoUnit[],COLUMN(CUSTO_GLOBAL[[#Headers],[CUSTO TOTAL MENSAL]])-2,0)*($G48-$H48)</f>
        <v>5588.8962448123402</v>
      </c>
      <c r="CA48" s="22">
        <f>CUSTO_GLOBAL[[#This Row],[CUSTO TOTAL MENSAL]]*12</f>
        <v>67066.754937748075</v>
      </c>
      <c r="CB48" s="24">
        <f>VLOOKUP($A48,tabCustoUnit[],COLUMN(CUSTO_GLOBAL[[#Headers],[ANO DA CCT]])-2,0)</f>
        <v>45658</v>
      </c>
      <c r="CC48" s="25" t="str">
        <f>VLOOKUP($A48,tabCustoUnit[],COLUMN(CUSTO_GLOBAL[[#Headers],[Nº DE PEDIDO DA CCT]])-2,0)</f>
        <v>-</v>
      </c>
      <c r="CD48" s="25" t="str">
        <f>VLOOKUP($A48,tabCustoUnit[],COLUMN(CUSTO_GLOBAL[[#Headers],[TERMO ADITIVO  ALTERAÇÃO DA CCT]])-2,0)</f>
        <v>-</v>
      </c>
      <c r="CF48" s="22"/>
      <c r="CG48" s="22"/>
    </row>
    <row r="49" spans="1:85" x14ac:dyDescent="0.25">
      <c r="A49" s="20" t="s">
        <v>1389</v>
      </c>
      <c r="B49" t="s">
        <v>48</v>
      </c>
      <c r="C49" t="s">
        <v>1247</v>
      </c>
      <c r="D49" t="s">
        <v>1023</v>
      </c>
      <c r="E49" s="20" t="s">
        <v>9</v>
      </c>
      <c r="F49" s="20" t="s">
        <v>10</v>
      </c>
      <c r="G49" s="20">
        <v>1</v>
      </c>
      <c r="H49" s="20">
        <v>0</v>
      </c>
      <c r="I49" s="21">
        <f>VLOOKUP($A49,tabCustoUnit[],COLUMN(CUSTO_GLOBAL[[#Headers],[Salário Base]])-2,0)*($G49-$H49)</f>
        <v>544.17999999999995</v>
      </c>
      <c r="J49" s="21">
        <f>VLOOKUP($A49,tabCustoUnit[],COLUMN(CUSTO_GLOBAL[[#Headers],[Adicional Periculosidade]])-2,0)*($G49-$H49)</f>
        <v>0</v>
      </c>
      <c r="K49" s="21">
        <f>VLOOKUP($A49,tabCustoUnit[],COLUMN(CUSTO_GLOBAL[[#Headers],[Adicional Insalubridade]])-2,0)*($G49-$H49)</f>
        <v>0</v>
      </c>
      <c r="L49" s="21">
        <f>VLOOKUP($A49,tabCustoUnit[],COLUMN(CUSTO_GLOBAL[[#Headers],[Adicional Noturno]])-2,0)*($G49-$H49)</f>
        <v>0</v>
      </c>
      <c r="M49" s="21">
        <f>VLOOKUP($A49,tabCustoUnit[],COLUMN(CUSTO_GLOBAL[[#Headers],[Adicional Motorista II (Gratificação)]])-2,0)*($G49-$H49)</f>
        <v>0</v>
      </c>
      <c r="N49" s="21">
        <f>VLOOKUP($A49,tabCustoUnit[],COLUMN(CUSTO_GLOBAL[[#Headers],[Adicional de Sobreaviso]])-2,0)*($G49-$H49)</f>
        <v>0</v>
      </c>
      <c r="O49" s="21">
        <f>VLOOKUP($A49,tabCustoUnit[],COLUMN(CUSTO_GLOBAL[[#Headers],[Horas Extras TI]])-2,0)*($G49-$H49)</f>
        <v>0</v>
      </c>
      <c r="P49" s="21">
        <f>VLOOKUP($A49,tabCustoUnit[],COLUMN(CUSTO_GLOBAL[[#Headers],[Adicional de Acúmulo de função]])-2,0)*($G49-$H49)</f>
        <v>19.590499999999999</v>
      </c>
      <c r="Q49" s="21">
        <f>VLOOKUP($A49,tabCustoUnit[],COLUMN(CUSTO_GLOBAL[[#Headers],[MODULO 1 - REMUNERAÇÃO ]])-2,0)*($G49-$H49)</f>
        <v>563.77049999999997</v>
      </c>
      <c r="R49" s="21">
        <f>VLOOKUP($A49,tabCustoUnit[],COLUMN(CUSTO_GLOBAL[[#Headers],[INSS]])-2,0)*($G49-$H49)</f>
        <v>112.75409999999999</v>
      </c>
      <c r="S49" s="21">
        <f>VLOOKUP($A49,tabCustoUnit[],COLUMN(CUSTO_GLOBAL[[#Headers],[SESI OU SESC]])-2,0)*($G49-$H49)</f>
        <v>8.4565574999999988</v>
      </c>
      <c r="T49" s="21">
        <f>VLOOKUP($A49,tabCustoUnit[],COLUMN(CUSTO_GLOBAL[[#Headers],[SENAI OU SENAC]])-2,0)*($G49-$H49)</f>
        <v>5.6377049999999995</v>
      </c>
      <c r="U49" s="21">
        <f>VLOOKUP($A49,tabCustoUnit[],COLUMN(CUSTO_GLOBAL[[#Headers],[INCRA]])-2,0)*($G49-$H49)</f>
        <v>1.1275409999999999</v>
      </c>
      <c r="V49" s="21">
        <f>VLOOKUP($A49,tabCustoUnit[],COLUMN(CUSTO_GLOBAL[[#Headers],[Salário Educação]])-2,0)*($G49-$H49)</f>
        <v>14.094262499999999</v>
      </c>
      <c r="W49" s="21">
        <f>VLOOKUP($A49,tabCustoUnit[],COLUMN(CUSTO_GLOBAL[[#Headers],[FGTS]])-2,0)*($G49-$H49)</f>
        <v>45.101639999999996</v>
      </c>
      <c r="X49" s="21">
        <f>VLOOKUP($A49,tabCustoUnit[],COLUMN(CUSTO_GLOBAL[[#Headers],[RAT Ajustado]])-2,0)*($G49-$H49)</f>
        <v>22.550819999999998</v>
      </c>
      <c r="Y49" s="21">
        <f>VLOOKUP($A49,tabCustoUnit[],COLUMN(CUSTO_GLOBAL[[#Headers],[SEBRAE]])-2,0)*($G49-$H49)</f>
        <v>3.3826229999999997</v>
      </c>
      <c r="Z49" s="21">
        <f>VLOOKUP($A49,tabCustoUnit[],COLUMN(CUSTO_GLOBAL[[#Headers],[Submódulo 2.1]])-2,0)*($G49-$H49)</f>
        <v>213.10524899999996</v>
      </c>
      <c r="AA49" s="21">
        <f>VLOOKUP($A49,tabCustoUnit[],COLUMN(CUSTO_GLOBAL[[#Headers],[13º salário (titular)]])-2,0)*($G49-$H49)</f>
        <v>46.980874999999997</v>
      </c>
      <c r="AB49" s="21">
        <f>VLOOKUP($A49,tabCustoUnit[],COLUMN(CUSTO_GLOBAL[[#Headers],[Férias e Adicional de Férias (titular)]])-2,0)*($G49-$H49)</f>
        <v>62.641166666666663</v>
      </c>
      <c r="AC49" s="21">
        <f>VLOOKUP($A49,tabCustoUnit[],COLUMN(CUSTO_GLOBAL[[#Headers],[Incidência do Submódulo 2.1 sobre 13º Salário, Férias e Adicional de Férias]])-2,0)*($G49-$H49)</f>
        <v>41.437131749999992</v>
      </c>
      <c r="AD49" s="21">
        <f>VLOOKUP($A49,tabCustoUnit[],COLUMN(CUSTO_GLOBAL[[#Headers],[Submódulo 2.2]])-2,0)*($G49-$H49)</f>
        <v>151.05917341666665</v>
      </c>
      <c r="AE49" s="22">
        <f>VLOOKUP($A49,tabCustoUnit[],COLUMN(CUSTO_GLOBAL[[#Headers],[Vale - Transporte (Descontada parcela do empregado)]])-2,0)*($G49-$H49)</f>
        <v>223.3492</v>
      </c>
      <c r="AF49" s="22">
        <f>VLOOKUP($A49,tabCustoUnit[],COLUMN(CUSTO_GLOBAL[[#Headers],[Vale - Alimentação (Descontada parcela do empregado)]])-2,0)*($G49-$H49)</f>
        <v>582</v>
      </c>
      <c r="AG49" s="22">
        <f>VLOOKUP($A49,tabCustoUnit[],COLUMN(CUSTO_GLOBAL[[#Headers],[Cesta Básica]])-2,0)*($G49-$H49)</f>
        <v>0</v>
      </c>
      <c r="AH49" s="22">
        <f>VLOOKUP($A49,tabCustoUnit[],COLUMN(CUSTO_GLOBAL[[#Headers],[PAF]])-2,0)*($G49-$H49)</f>
        <v>0</v>
      </c>
      <c r="AI49" s="22">
        <f>VLOOKUP($A49,tabCustoUnit[],COLUMN(CUSTO_GLOBAL[[#Headers],[PQM]])-2,0)*($G49-$H49)</f>
        <v>0</v>
      </c>
      <c r="AJ49" s="22">
        <v>0</v>
      </c>
      <c r="AK49" s="22">
        <f>VLOOKUP($A49,tabCustoUnit[],COLUMN(CUSTO_GLOBAL[[#Headers],[Seguro de Vida]])-2,0)*($G49-$H49)</f>
        <v>3.36</v>
      </c>
      <c r="AL49" s="22">
        <f>VLOOKUP($A49,tabCustoUnit[],COLUMN(CUSTO_GLOBAL[[#Headers],[Despesas de Viagem]])-2,0)*($G49-$H49)</f>
        <v>0</v>
      </c>
      <c r="AM49" s="22">
        <f>VLOOKUP($A49,tabCustoUnit[],COLUMN(CUSTO_GLOBAL[[#Headers],[Submódulo 2.3]])-2,0)*($G49-$H49)</f>
        <v>808.70920000000001</v>
      </c>
      <c r="AN49" s="22">
        <f>VLOOKUP($A49,tabCustoUnit[],COLUMN(CUSTO_GLOBAL[[#Headers],[MÓDULO 2 - Total Encargos e Benefícios mensais e diários]])-2,0)*($G49-$H49)</f>
        <v>1172.8736224166666</v>
      </c>
      <c r="AO49" s="22">
        <f>VLOOKUP($A49,tabCustoUnit[],COLUMN(CUSTO_GLOBAL[[#Headers],[Aviso Prévio Indenizado (API) e Reflexo do Aviso Prévio Indenizado]])-2,0)*($G49-$H49)</f>
        <v>3.9530273735532404</v>
      </c>
      <c r="AP49" s="22">
        <f>VLOOKUP($A49,tabCustoUnit[],COLUMN(CUSTO_GLOBAL[[#Headers],[Incidência do FGTS sobre API e Reflexo do API]])-2,0)*($G49-$H49)</f>
        <v>0.31624218988425928</v>
      </c>
      <c r="AQ49" s="22">
        <f>VLOOKUP($A49,tabCustoUnit[],COLUMN(CUSTO_GLOBAL[[#Headers],[Multa Rescisória do FGTS sobre o Aviso Prévio Indenizado]])-2,0)*($G49-$H49)</f>
        <v>0.12649687595370371</v>
      </c>
      <c r="AR49" s="22">
        <f>VLOOKUP($A49,tabCustoUnit[],COLUMN(CUSTO_GLOBAL[[#Headers],[Aviso Prévio Trabalhado - APT]])-2,0)*($G49-$H49)</f>
        <v>1.9731967500000003</v>
      </c>
      <c r="AS49" s="22">
        <f>VLOOKUP($A49,tabCustoUnit[],COLUMN(CUSTO_GLOBAL[[#Headers],[Incidência dos encargos do submódulo 2.1 sobre Aviso Prévio Trabalhado]])-2,0)*($G49-$H49)</f>
        <v>0.74586837150000018</v>
      </c>
      <c r="AT49" s="22">
        <f>VLOOKUP($A49,tabCustoUnit[],COLUMN(CUSTO_GLOBAL[[#Headers],[Multa Rescisória do FGTS]])-2,0)*($G49-$H49)</f>
        <v>17.238849066666663</v>
      </c>
      <c r="AU49" s="22">
        <f>VLOOKUP($A49,tabCustoUnit[],COLUMN(CUSTO_GLOBAL[[#Headers],[Indenização Adicional (Art. 9º da Lei nº 7.238/84)]])-2,0)*($G49-$H49)</f>
        <v>0.46980875</v>
      </c>
      <c r="AV49" s="22">
        <f>VLOOKUP($A49,tabCustoUnit[],COLUMN(CUSTO_GLOBAL[[#Headers],[MÓDULO 3 – PROVISÃO PARA RESCISÃO]])-2,0)*($G49-$H49)</f>
        <v>24.823489377557866</v>
      </c>
      <c r="AW49" s="22">
        <f>VLOOKUP($A49,tabCustoUnit[],COLUMN(CUSTO_GLOBAL[[#Headers],[Ausência por Doença]])-2,0)*($G49-$H49)</f>
        <v>4.7607286666666662</v>
      </c>
      <c r="AX49" s="22">
        <f>VLOOKUP($A49,tabCustoUnit[],COLUMN(CUSTO_GLOBAL[[#Headers],[Ausências Legais]])-2,0)*($G49-$H49)</f>
        <v>1.1432012916666665</v>
      </c>
      <c r="AY49" s="22">
        <f>VLOOKUP($A49,tabCustoUnit[],COLUMN(CUSTO_GLOBAL[[#Headers],[Licença Paternidade]])-2,0)*($G49-$H49)</f>
        <v>9.6310793749999998E-2</v>
      </c>
      <c r="AZ49" s="22">
        <f>VLOOKUP($A49,tabCustoUnit[],COLUMN(CUSTO_GLOBAL[[#Headers],[Ausência por Acidente de Trabalho]])-2,0)*($G49-$H49)</f>
        <v>0.1174521875</v>
      </c>
      <c r="BA49" s="22">
        <f>VLOOKUP($A49,tabCustoUnit[],COLUMN(CUSTO_GLOBAL[[#Headers],[Férias, Adicional de Férias e 13º  com empregada em gozo de Licença Maternidade]])-2,0)*($G49-$H49)</f>
        <v>0.73081361111111109</v>
      </c>
      <c r="BB49" s="22">
        <f>VLOOKUP($A49,tabCustoUnit[],COLUMN(CUSTO_GLOBAL[[#Headers],[Incidência do Submódulo 2.1 sobre Ausências Legais]])-2,0)*($G49-$H49)</f>
        <v>2.5887354761625003</v>
      </c>
      <c r="BC49" s="22">
        <f>VLOOKUP($A49,tabCustoUnit[],COLUMN(CUSTO_GLOBAL[[#Headers],[Submódulo 4.1]])-2,0)*($G49-$H49)</f>
        <v>9.4372420268569428</v>
      </c>
      <c r="BD49" s="22">
        <f>VLOOKUP($A49,tabCustoUnit[],COLUMN(CUSTO_GLOBAL[[#Headers],[Intervalo para Repouso ou Alimentação]])-2,0)*($G49-$H49)</f>
        <v>0</v>
      </c>
      <c r="BE49" s="22">
        <f>VLOOKUP($A49,tabCustoUnit[],COLUMN(CUSTO_GLOBAL[[#Headers],[Submódulo 4.2]])-2,0)*($G49-$H49)</f>
        <v>0</v>
      </c>
      <c r="BF49" s="22">
        <f>VLOOKUP($A49,tabCustoUnit[],COLUMN(CUSTO_GLOBAL[[#Headers],[Suspensão Temporária do Contrato de Trabalho]])-2,0)*($G49-$H49)</f>
        <v>0</v>
      </c>
      <c r="BG49" s="22">
        <f>VLOOKUP($A49,tabCustoUnit[],COLUMN(CUSTO_GLOBAL[[#Headers],[Submódulo 4.3]])-2,0)*($G49-$H49)</f>
        <v>0</v>
      </c>
      <c r="BH49" s="22">
        <f>VLOOKUP($A49,tabCustoUnit[],COLUMN(CUSTO_GLOBAL[[#Headers],[MÓDULO 4 – CUSTO DE REPOSIÇÃO DO PROFISSIONAL AUSENTE]])-2,0)*($G49-$H49)</f>
        <v>9.4372420268569428</v>
      </c>
      <c r="BI49" s="22">
        <f>VLOOKUP($A49,tabCustoUnit[],COLUMN(CUSTO_GLOBAL[[#Headers],[Uniformes e EPIs]])-2,0)*($G49-$H49)</f>
        <v>62.806666666666665</v>
      </c>
      <c r="BJ49" s="22">
        <f>VLOOKUP($A49,tabCustoUnit[],COLUMN(CUSTO_GLOBAL[[#Headers],[Materiais de Consumo]])-2,0)*($G49-$H49)</f>
        <v>12.108481690426325</v>
      </c>
      <c r="BK49" s="22">
        <f>VLOOKUP($A49,tabCustoUnit[],COLUMN(CUSTO_GLOBAL[[#Headers],[Máquinas e Equipamentos (depreciação)]])-2,0)*($G49-$H49)</f>
        <v>21.998657016417809</v>
      </c>
      <c r="BL49" s="22">
        <f>VLOOKUP($A49,tabCustoUnit[],COLUMN(CUSTO_GLOBAL[[#Headers],[Produtos de Limpeza e Materiais de Higiene Pessoal]])-2,0)*($G49-$H49)</f>
        <v>235.31984072022155</v>
      </c>
      <c r="BM49" s="22">
        <f>VLOOKUP($A49,tabCustoUnit[],COLUMN(CUSTO_GLOBAL[[#Headers],[Outros (especificar)]])-2,0)*($G49-$H49)</f>
        <v>0</v>
      </c>
      <c r="BN49" s="22">
        <f>VLOOKUP($A49,tabCustoUnit[],COLUMN(CUSTO_GLOBAL[[#Headers],[MÓDULO 5 – INSUMOS DIVERSOS]])-2,0)*($G49-$H49)</f>
        <v>332.23364609373232</v>
      </c>
      <c r="BO49" s="22">
        <f>VLOOKUP($A49,tabCustoUnit[],COLUMN(CUSTO_GLOBAL[[#Headers],[TOTAL MÓDULOS 1+2+3+4+5]])-2,0)*($G49-$H49)</f>
        <v>2103.1384999148136</v>
      </c>
      <c r="BP49" s="22">
        <f>VLOOKUP($A49,tabCustoUnit[],COLUMN(CUSTO_GLOBAL[[#Headers],[Custos Indiretos]])-2,0)*($G49-$H49)</f>
        <v>189.64880140242613</v>
      </c>
      <c r="BQ49" s="22">
        <f>VLOOKUP($A49,tabCustoUnit[],COLUMN(CUSTO_GLOBAL[[#Headers],[Lucro]])-2,0)*($G49-$H49)</f>
        <v>159.30499317803796</v>
      </c>
      <c r="BR49" s="26">
        <f>VLOOKUP($A49,tabCustoUnit[],COLUMN(CUSTO_GLOBAL[[#Headers],[COFINS]])-2,0)</f>
        <v>8.6609686609686695E-2</v>
      </c>
      <c r="BS49" s="26">
        <f>VLOOKUP($A49,tabCustoUnit[],COLUMN(CUSTO_GLOBAL[[#Headers],[PIS]])-2,0)</f>
        <v>1.880341880341882E-2</v>
      </c>
      <c r="BT49" s="28">
        <f>VLOOKUP($A49,tabCustoUnit[],COLUMN(CUSTO_GLOBAL[[#Headers],[ISS]])-2,0)</f>
        <v>0.03</v>
      </c>
      <c r="BU49" s="26">
        <f>VLOOKUP($A49,tabCustoUnit[],COLUMN(CUSTO_GLOBAL[[#Headers],[ISS (Conversão Alíquota s/ fatura)]])-2,0)</f>
        <v>3.4188034188034219E-2</v>
      </c>
      <c r="BV49" s="26">
        <f>VLOOKUP($A49,tabCustoUnit[],COLUMN(CUSTO_GLOBAL[[#Headers],[Resumo de Alíquotas (PIS+CONFINS+ISS)]])-2,0)</f>
        <v>0.1225</v>
      </c>
      <c r="BW49" s="138">
        <f>VLOOKUP($A49,tabCustoUnit[],COLUMN(CUSTO_GLOBAL[[#Headers],[PIS + COFINS + ISS (Total Conversão  Alíquota s/ Fatura)]])-2,0)</f>
        <v>0.13960113960113973</v>
      </c>
      <c r="BX49" s="22">
        <f>VLOOKUP($A49,tabCustoUnit[],COLUMN(CUSTO_GLOBAL[[#Headers],[Valor dos Tributos (ISS, PIS, CONFINS)]])-2,0)*($G49-$H49)</f>
        <v>342.31487871871428</v>
      </c>
      <c r="BY49" s="22">
        <f>VLOOKUP($A49,tabCustoUnit[],COLUMN(CUSTO_GLOBAL[[#Headers],[MÓDULO 6 – CUSTOS INDIRETOS, TRIBUTOS E LUCRO]])-2,0)*($G49-$H49)</f>
        <v>691.26867329917832</v>
      </c>
      <c r="BZ49" s="22">
        <f>VLOOKUP($A49,tabCustoUnit[],COLUMN(CUSTO_GLOBAL[[#Headers],[CUSTO TOTAL MENSAL]])-2,0)*($G49-$H49)</f>
        <v>2794.4071732139919</v>
      </c>
      <c r="CA49" s="22">
        <f>CUSTO_GLOBAL[[#This Row],[CUSTO TOTAL MENSAL]]*12</f>
        <v>33532.886078567899</v>
      </c>
      <c r="CB49" s="24">
        <f>VLOOKUP($A49,tabCustoUnit[],COLUMN(CUSTO_GLOBAL[[#Headers],[ANO DA CCT]])-2,0)</f>
        <v>45658</v>
      </c>
      <c r="CC49" s="25" t="str">
        <f>VLOOKUP($A49,tabCustoUnit[],COLUMN(CUSTO_GLOBAL[[#Headers],[Nº DE PEDIDO DA CCT]])-2,0)</f>
        <v>-</v>
      </c>
      <c r="CD49" s="25" t="str">
        <f>VLOOKUP($A49,tabCustoUnit[],COLUMN(CUSTO_GLOBAL[[#Headers],[TERMO ADITIVO  ALTERAÇÃO DA CCT]])-2,0)</f>
        <v>-</v>
      </c>
      <c r="CF49" s="22"/>
      <c r="CG49" s="22"/>
    </row>
    <row r="50" spans="1:85" x14ac:dyDescent="0.25">
      <c r="A50" s="20" t="s">
        <v>1390</v>
      </c>
      <c r="B50" t="s">
        <v>49</v>
      </c>
      <c r="C50" t="s">
        <v>1247</v>
      </c>
      <c r="D50" t="s">
        <v>1000</v>
      </c>
      <c r="E50" s="20" t="s">
        <v>9</v>
      </c>
      <c r="F50" s="20" t="s">
        <v>10</v>
      </c>
      <c r="G50" s="20">
        <v>1</v>
      </c>
      <c r="H50" s="20">
        <v>0</v>
      </c>
      <c r="I50" s="21">
        <f>VLOOKUP($A50,tabCustoUnit[],COLUMN(CUSTO_GLOBAL[[#Headers],[Salário Base]])-2,0)*($G50-$H50)</f>
        <v>544.17999999999995</v>
      </c>
      <c r="J50" s="21">
        <f>VLOOKUP($A50,tabCustoUnit[],COLUMN(CUSTO_GLOBAL[[#Headers],[Adicional Periculosidade]])-2,0)*($G50-$H50)</f>
        <v>0</v>
      </c>
      <c r="K50" s="21">
        <f>VLOOKUP($A50,tabCustoUnit[],COLUMN(CUSTO_GLOBAL[[#Headers],[Adicional Insalubridade]])-2,0)*($G50-$H50)</f>
        <v>0</v>
      </c>
      <c r="L50" s="21">
        <f>VLOOKUP($A50,tabCustoUnit[],COLUMN(CUSTO_GLOBAL[[#Headers],[Adicional Noturno]])-2,0)*($G50-$H50)</f>
        <v>0</v>
      </c>
      <c r="M50" s="21">
        <f>VLOOKUP($A50,tabCustoUnit[],COLUMN(CUSTO_GLOBAL[[#Headers],[Adicional Motorista II (Gratificação)]])-2,0)*($G50-$H50)</f>
        <v>0</v>
      </c>
      <c r="N50" s="21">
        <f>VLOOKUP($A50,tabCustoUnit[],COLUMN(CUSTO_GLOBAL[[#Headers],[Adicional de Sobreaviso]])-2,0)*($G50-$H50)</f>
        <v>0</v>
      </c>
      <c r="O50" s="21">
        <f>VLOOKUP($A50,tabCustoUnit[],COLUMN(CUSTO_GLOBAL[[#Headers],[Horas Extras TI]])-2,0)*($G50-$H50)</f>
        <v>0</v>
      </c>
      <c r="P50" s="21">
        <f>VLOOKUP($A50,tabCustoUnit[],COLUMN(CUSTO_GLOBAL[[#Headers],[Adicional de Acúmulo de função]])-2,0)*($G50-$H50)</f>
        <v>19.590499999999999</v>
      </c>
      <c r="Q50" s="21">
        <f>VLOOKUP($A50,tabCustoUnit[],COLUMN(CUSTO_GLOBAL[[#Headers],[MODULO 1 - REMUNERAÇÃO ]])-2,0)*($G50-$H50)</f>
        <v>563.77049999999997</v>
      </c>
      <c r="R50" s="21">
        <f>VLOOKUP($A50,tabCustoUnit[],COLUMN(CUSTO_GLOBAL[[#Headers],[INSS]])-2,0)*($G50-$H50)</f>
        <v>112.75409999999999</v>
      </c>
      <c r="S50" s="21">
        <f>VLOOKUP($A50,tabCustoUnit[],COLUMN(CUSTO_GLOBAL[[#Headers],[SESI OU SESC]])-2,0)*($G50-$H50)</f>
        <v>8.4565574999999988</v>
      </c>
      <c r="T50" s="21">
        <f>VLOOKUP($A50,tabCustoUnit[],COLUMN(CUSTO_GLOBAL[[#Headers],[SENAI OU SENAC]])-2,0)*($G50-$H50)</f>
        <v>5.6377049999999995</v>
      </c>
      <c r="U50" s="21">
        <f>VLOOKUP($A50,tabCustoUnit[],COLUMN(CUSTO_GLOBAL[[#Headers],[INCRA]])-2,0)*($G50-$H50)</f>
        <v>1.1275409999999999</v>
      </c>
      <c r="V50" s="21">
        <f>VLOOKUP($A50,tabCustoUnit[],COLUMN(CUSTO_GLOBAL[[#Headers],[Salário Educação]])-2,0)*($G50-$H50)</f>
        <v>14.094262499999999</v>
      </c>
      <c r="W50" s="21">
        <f>VLOOKUP($A50,tabCustoUnit[],COLUMN(CUSTO_GLOBAL[[#Headers],[FGTS]])-2,0)*($G50-$H50)</f>
        <v>45.101639999999996</v>
      </c>
      <c r="X50" s="21">
        <f>VLOOKUP($A50,tabCustoUnit[],COLUMN(CUSTO_GLOBAL[[#Headers],[RAT Ajustado]])-2,0)*($G50-$H50)</f>
        <v>22.550819999999998</v>
      </c>
      <c r="Y50" s="21">
        <f>VLOOKUP($A50,tabCustoUnit[],COLUMN(CUSTO_GLOBAL[[#Headers],[SEBRAE]])-2,0)*($G50-$H50)</f>
        <v>3.3826229999999997</v>
      </c>
      <c r="Z50" s="21">
        <f>VLOOKUP($A50,tabCustoUnit[],COLUMN(CUSTO_GLOBAL[[#Headers],[Submódulo 2.1]])-2,0)*($G50-$H50)</f>
        <v>213.10524899999996</v>
      </c>
      <c r="AA50" s="21">
        <f>VLOOKUP($A50,tabCustoUnit[],COLUMN(CUSTO_GLOBAL[[#Headers],[13º salário (titular)]])-2,0)*($G50-$H50)</f>
        <v>46.980874999999997</v>
      </c>
      <c r="AB50" s="21">
        <f>VLOOKUP($A50,tabCustoUnit[],COLUMN(CUSTO_GLOBAL[[#Headers],[Férias e Adicional de Férias (titular)]])-2,0)*($G50-$H50)</f>
        <v>62.641166666666663</v>
      </c>
      <c r="AC50" s="21">
        <f>VLOOKUP($A50,tabCustoUnit[],COLUMN(CUSTO_GLOBAL[[#Headers],[Incidência do Submódulo 2.1 sobre 13º Salário, Férias e Adicional de Férias]])-2,0)*($G50-$H50)</f>
        <v>41.437131749999992</v>
      </c>
      <c r="AD50" s="21">
        <f>VLOOKUP($A50,tabCustoUnit[],COLUMN(CUSTO_GLOBAL[[#Headers],[Submódulo 2.2]])-2,0)*($G50-$H50)</f>
        <v>151.05917341666665</v>
      </c>
      <c r="AE50" s="22">
        <f>VLOOKUP($A50,tabCustoUnit[],COLUMN(CUSTO_GLOBAL[[#Headers],[Vale - Transporte (Descontada parcela do empregado)]])-2,0)*($G50-$H50)</f>
        <v>223.3492</v>
      </c>
      <c r="AF50" s="22">
        <f>VLOOKUP($A50,tabCustoUnit[],COLUMN(CUSTO_GLOBAL[[#Headers],[Vale - Alimentação (Descontada parcela do empregado)]])-2,0)*($G50-$H50)</f>
        <v>582</v>
      </c>
      <c r="AG50" s="22">
        <f>VLOOKUP($A50,tabCustoUnit[],COLUMN(CUSTO_GLOBAL[[#Headers],[Cesta Básica]])-2,0)*($G50-$H50)</f>
        <v>0</v>
      </c>
      <c r="AH50" s="22">
        <f>VLOOKUP($A50,tabCustoUnit[],COLUMN(CUSTO_GLOBAL[[#Headers],[PAF]])-2,0)*($G50-$H50)</f>
        <v>0</v>
      </c>
      <c r="AI50" s="22">
        <f>VLOOKUP($A50,tabCustoUnit[],COLUMN(CUSTO_GLOBAL[[#Headers],[PQM]])-2,0)*($G50-$H50)</f>
        <v>15.07</v>
      </c>
      <c r="AJ50" s="22">
        <v>0</v>
      </c>
      <c r="AK50" s="22">
        <f>VLOOKUP($A50,tabCustoUnit[],COLUMN(CUSTO_GLOBAL[[#Headers],[Seguro de Vida]])-2,0)*($G50-$H50)</f>
        <v>3.36</v>
      </c>
      <c r="AL50" s="22">
        <f>VLOOKUP($A50,tabCustoUnit[],COLUMN(CUSTO_GLOBAL[[#Headers],[Despesas de Viagem]])-2,0)*($G50-$H50)</f>
        <v>0</v>
      </c>
      <c r="AM50" s="22">
        <f>VLOOKUP($A50,tabCustoUnit[],COLUMN(CUSTO_GLOBAL[[#Headers],[Submódulo 2.3]])-2,0)*($G50-$H50)</f>
        <v>823.77920000000006</v>
      </c>
      <c r="AN50" s="22">
        <f>VLOOKUP($A50,tabCustoUnit[],COLUMN(CUSTO_GLOBAL[[#Headers],[MÓDULO 2 - Total Encargos e Benefícios mensais e diários]])-2,0)*($G50-$H50)</f>
        <v>1187.9436224166666</v>
      </c>
      <c r="AO50" s="22">
        <f>VLOOKUP($A50,tabCustoUnit[],COLUMN(CUSTO_GLOBAL[[#Headers],[Aviso Prévio Indenizado (API) e Reflexo do Aviso Prévio Indenizado]])-2,0)*($G50-$H50)</f>
        <v>3.9530273735532404</v>
      </c>
      <c r="AP50" s="22">
        <f>VLOOKUP($A50,tabCustoUnit[],COLUMN(CUSTO_GLOBAL[[#Headers],[Incidência do FGTS sobre API e Reflexo do API]])-2,0)*($G50-$H50)</f>
        <v>0.31624218988425928</v>
      </c>
      <c r="AQ50" s="22">
        <f>VLOOKUP($A50,tabCustoUnit[],COLUMN(CUSTO_GLOBAL[[#Headers],[Multa Rescisória do FGTS sobre o Aviso Prévio Indenizado]])-2,0)*($G50-$H50)</f>
        <v>0.12649687595370371</v>
      </c>
      <c r="AR50" s="22">
        <f>VLOOKUP($A50,tabCustoUnit[],COLUMN(CUSTO_GLOBAL[[#Headers],[Aviso Prévio Trabalhado - APT]])-2,0)*($G50-$H50)</f>
        <v>1.9731967500000003</v>
      </c>
      <c r="AS50" s="22">
        <f>VLOOKUP($A50,tabCustoUnit[],COLUMN(CUSTO_GLOBAL[[#Headers],[Incidência dos encargos do submódulo 2.1 sobre Aviso Prévio Trabalhado]])-2,0)*($G50-$H50)</f>
        <v>0.74586837150000018</v>
      </c>
      <c r="AT50" s="22">
        <f>VLOOKUP($A50,tabCustoUnit[],COLUMN(CUSTO_GLOBAL[[#Headers],[Multa Rescisória do FGTS]])-2,0)*($G50-$H50)</f>
        <v>17.238849066666663</v>
      </c>
      <c r="AU50" s="22">
        <f>VLOOKUP($A50,tabCustoUnit[],COLUMN(CUSTO_GLOBAL[[#Headers],[Indenização Adicional (Art. 9º da Lei nº 7.238/84)]])-2,0)*($G50-$H50)</f>
        <v>0.46980875</v>
      </c>
      <c r="AV50" s="22">
        <f>VLOOKUP($A50,tabCustoUnit[],COLUMN(CUSTO_GLOBAL[[#Headers],[MÓDULO 3 – PROVISÃO PARA RESCISÃO]])-2,0)*($G50-$H50)</f>
        <v>24.823489377557866</v>
      </c>
      <c r="AW50" s="22">
        <f>VLOOKUP($A50,tabCustoUnit[],COLUMN(CUSTO_GLOBAL[[#Headers],[Ausência por Doença]])-2,0)*($G50-$H50)</f>
        <v>4.7607286666666662</v>
      </c>
      <c r="AX50" s="22">
        <f>VLOOKUP($A50,tabCustoUnit[],COLUMN(CUSTO_GLOBAL[[#Headers],[Ausências Legais]])-2,0)*($G50-$H50)</f>
        <v>1.1432012916666665</v>
      </c>
      <c r="AY50" s="22">
        <f>VLOOKUP($A50,tabCustoUnit[],COLUMN(CUSTO_GLOBAL[[#Headers],[Licença Paternidade]])-2,0)*($G50-$H50)</f>
        <v>9.6310793749999998E-2</v>
      </c>
      <c r="AZ50" s="22">
        <f>VLOOKUP($A50,tabCustoUnit[],COLUMN(CUSTO_GLOBAL[[#Headers],[Ausência por Acidente de Trabalho]])-2,0)*($G50-$H50)</f>
        <v>0.1174521875</v>
      </c>
      <c r="BA50" s="22">
        <f>VLOOKUP($A50,tabCustoUnit[],COLUMN(CUSTO_GLOBAL[[#Headers],[Férias, Adicional de Férias e 13º  com empregada em gozo de Licença Maternidade]])-2,0)*($G50-$H50)</f>
        <v>0.73081361111111109</v>
      </c>
      <c r="BB50" s="22">
        <f>VLOOKUP($A50,tabCustoUnit[],COLUMN(CUSTO_GLOBAL[[#Headers],[Incidência do Submódulo 2.1 sobre Ausências Legais]])-2,0)*($G50-$H50)</f>
        <v>2.5887354761625003</v>
      </c>
      <c r="BC50" s="22">
        <f>VLOOKUP($A50,tabCustoUnit[],COLUMN(CUSTO_GLOBAL[[#Headers],[Submódulo 4.1]])-2,0)*($G50-$H50)</f>
        <v>9.4372420268569428</v>
      </c>
      <c r="BD50" s="22">
        <f>VLOOKUP($A50,tabCustoUnit[],COLUMN(CUSTO_GLOBAL[[#Headers],[Intervalo para Repouso ou Alimentação]])-2,0)*($G50-$H50)</f>
        <v>0</v>
      </c>
      <c r="BE50" s="22">
        <f>VLOOKUP($A50,tabCustoUnit[],COLUMN(CUSTO_GLOBAL[[#Headers],[Submódulo 4.2]])-2,0)*($G50-$H50)</f>
        <v>0</v>
      </c>
      <c r="BF50" s="22">
        <f>VLOOKUP($A50,tabCustoUnit[],COLUMN(CUSTO_GLOBAL[[#Headers],[Suspensão Temporária do Contrato de Trabalho]])-2,0)*($G50-$H50)</f>
        <v>0</v>
      </c>
      <c r="BG50" s="22">
        <f>VLOOKUP($A50,tabCustoUnit[],COLUMN(CUSTO_GLOBAL[[#Headers],[Submódulo 4.3]])-2,0)*($G50-$H50)</f>
        <v>0</v>
      </c>
      <c r="BH50" s="22">
        <f>VLOOKUP($A50,tabCustoUnit[],COLUMN(CUSTO_GLOBAL[[#Headers],[MÓDULO 4 – CUSTO DE REPOSIÇÃO DO PROFISSIONAL AUSENTE]])-2,0)*($G50-$H50)</f>
        <v>9.4372420268569428</v>
      </c>
      <c r="BI50" s="22">
        <f>VLOOKUP($A50,tabCustoUnit[],COLUMN(CUSTO_GLOBAL[[#Headers],[Uniformes e EPIs]])-2,0)*($G50-$H50)</f>
        <v>62.806666666666665</v>
      </c>
      <c r="BJ50" s="22">
        <f>VLOOKUP($A50,tabCustoUnit[],COLUMN(CUSTO_GLOBAL[[#Headers],[Materiais de Consumo]])-2,0)*($G50-$H50)</f>
        <v>12.108481690426325</v>
      </c>
      <c r="BK50" s="22">
        <f>VLOOKUP($A50,tabCustoUnit[],COLUMN(CUSTO_GLOBAL[[#Headers],[Máquinas e Equipamentos (depreciação)]])-2,0)*($G50-$H50)</f>
        <v>21.998657016417809</v>
      </c>
      <c r="BL50" s="22">
        <f>VLOOKUP($A50,tabCustoUnit[],COLUMN(CUSTO_GLOBAL[[#Headers],[Produtos de Limpeza e Materiais de Higiene Pessoal]])-2,0)*($G50-$H50)</f>
        <v>235.31984072022155</v>
      </c>
      <c r="BM50" s="22">
        <f>VLOOKUP($A50,tabCustoUnit[],COLUMN(CUSTO_GLOBAL[[#Headers],[Outros (especificar)]])-2,0)*($G50-$H50)</f>
        <v>0</v>
      </c>
      <c r="BN50" s="22">
        <f>VLOOKUP($A50,tabCustoUnit[],COLUMN(CUSTO_GLOBAL[[#Headers],[MÓDULO 5 – INSUMOS DIVERSOS]])-2,0)*($G50-$H50)</f>
        <v>332.23364609373232</v>
      </c>
      <c r="BO50" s="22">
        <f>VLOOKUP($A50,tabCustoUnit[],COLUMN(CUSTO_GLOBAL[[#Headers],[TOTAL MÓDULOS 1+2+3+4+5]])-2,0)*($G50-$H50)</f>
        <v>2118.2084999148137</v>
      </c>
      <c r="BP50" s="22">
        <f>VLOOKUP($A50,tabCustoUnit[],COLUMN(CUSTO_GLOBAL[[#Headers],[Custos Indiretos]])-2,0)*($G50-$H50)</f>
        <v>189.64880140242613</v>
      </c>
      <c r="BQ50" s="22">
        <f>VLOOKUP($A50,tabCustoUnit[],COLUMN(CUSTO_GLOBAL[[#Headers],[Lucro]])-2,0)*($G50-$H50)</f>
        <v>159.30499317803796</v>
      </c>
      <c r="BR50" s="26">
        <f>VLOOKUP($A50,tabCustoUnit[],COLUMN(CUSTO_GLOBAL[[#Headers],[COFINS]])-2,0)</f>
        <v>8.5633802816901458E-2</v>
      </c>
      <c r="BS50" s="26">
        <f>VLOOKUP($A50,tabCustoUnit[],COLUMN(CUSTO_GLOBAL[[#Headers],[PIS]])-2,0)</f>
        <v>1.8591549295774657E-2</v>
      </c>
      <c r="BT50" s="28">
        <f>VLOOKUP($A50,tabCustoUnit[],COLUMN(CUSTO_GLOBAL[[#Headers],[ISS]])-2,0)</f>
        <v>0.02</v>
      </c>
      <c r="BU50" s="26">
        <f>VLOOKUP($A50,tabCustoUnit[],COLUMN(CUSTO_GLOBAL[[#Headers],[ISS (Conversão Alíquota s/ fatura)]])-2,0)</f>
        <v>2.2535211267605645E-2</v>
      </c>
      <c r="BV50" s="26">
        <f>VLOOKUP($A50,tabCustoUnit[],COLUMN(CUSTO_GLOBAL[[#Headers],[Resumo de Alíquotas (PIS+CONFINS+ISS)]])-2,0)</f>
        <v>0.1125</v>
      </c>
      <c r="BW50" s="138">
        <f>VLOOKUP($A50,tabCustoUnit[],COLUMN(CUSTO_GLOBAL[[#Headers],[PIS + COFINS + ISS (Total Conversão  Alíquota s/ Fatura)]])-2,0)</f>
        <v>0.12676056338028174</v>
      </c>
      <c r="BX50" s="22">
        <f>VLOOKUP($A50,tabCustoUnit[],COLUMN(CUSTO_GLOBAL[[#Headers],[Valor dos Tributos (ISS, PIS, CONFINS)]])-2,0)*($G50-$H50)</f>
        <v>312.73888240080998</v>
      </c>
      <c r="BY50" s="22">
        <f>VLOOKUP($A50,tabCustoUnit[],COLUMN(CUSTO_GLOBAL[[#Headers],[MÓDULO 6 – CUSTOS INDIRETOS, TRIBUTOS E LUCRO]])-2,0)*($G50-$H50)</f>
        <v>661.69267698127408</v>
      </c>
      <c r="BZ50" s="22">
        <f>VLOOKUP($A50,tabCustoUnit[],COLUMN(CUSTO_GLOBAL[[#Headers],[CUSTO TOTAL MENSAL]])-2,0)*($G50-$H50)</f>
        <v>2779.9011768960877</v>
      </c>
      <c r="CA50" s="22">
        <f>CUSTO_GLOBAL[[#This Row],[CUSTO TOTAL MENSAL]]*12</f>
        <v>33358.81412275305</v>
      </c>
      <c r="CB50" s="24">
        <f>VLOOKUP($A50,tabCustoUnit[],COLUMN(CUSTO_GLOBAL[[#Headers],[ANO DA CCT]])-2,0)</f>
        <v>45658</v>
      </c>
      <c r="CC50" s="25" t="str">
        <f>VLOOKUP($A50,tabCustoUnit[],COLUMN(CUSTO_GLOBAL[[#Headers],[Nº DE PEDIDO DA CCT]])-2,0)</f>
        <v>-</v>
      </c>
      <c r="CD50" s="25" t="str">
        <f>VLOOKUP($A50,tabCustoUnit[],COLUMN(CUSTO_GLOBAL[[#Headers],[TERMO ADITIVO  ALTERAÇÃO DA CCT]])-2,0)</f>
        <v>-</v>
      </c>
      <c r="CF50" s="22"/>
      <c r="CG50" s="22"/>
    </row>
    <row r="51" spans="1:85" x14ac:dyDescent="0.25">
      <c r="A51" s="20" t="s">
        <v>1391</v>
      </c>
      <c r="B51" t="s">
        <v>50</v>
      </c>
      <c r="C51" t="s">
        <v>1247</v>
      </c>
      <c r="D51" t="s">
        <v>1000</v>
      </c>
      <c r="E51" s="20" t="s">
        <v>9</v>
      </c>
      <c r="F51" s="20" t="s">
        <v>10</v>
      </c>
      <c r="G51" s="20">
        <v>1</v>
      </c>
      <c r="H51" s="20">
        <v>0</v>
      </c>
      <c r="I51" s="21">
        <f>VLOOKUP($A51,tabCustoUnit[],COLUMN(CUSTO_GLOBAL[[#Headers],[Salário Base]])-2,0)*($G51-$H51)</f>
        <v>544.17999999999995</v>
      </c>
      <c r="J51" s="21">
        <f>VLOOKUP($A51,tabCustoUnit[],COLUMN(CUSTO_GLOBAL[[#Headers],[Adicional Periculosidade]])-2,0)*($G51-$H51)</f>
        <v>0</v>
      </c>
      <c r="K51" s="21">
        <f>VLOOKUP($A51,tabCustoUnit[],COLUMN(CUSTO_GLOBAL[[#Headers],[Adicional Insalubridade]])-2,0)*($G51-$H51)</f>
        <v>0</v>
      </c>
      <c r="L51" s="21">
        <f>VLOOKUP($A51,tabCustoUnit[],COLUMN(CUSTO_GLOBAL[[#Headers],[Adicional Noturno]])-2,0)*($G51-$H51)</f>
        <v>0</v>
      </c>
      <c r="M51" s="21">
        <f>VLOOKUP($A51,tabCustoUnit[],COLUMN(CUSTO_GLOBAL[[#Headers],[Adicional Motorista II (Gratificação)]])-2,0)*($G51-$H51)</f>
        <v>0</v>
      </c>
      <c r="N51" s="21">
        <f>VLOOKUP($A51,tabCustoUnit[],COLUMN(CUSTO_GLOBAL[[#Headers],[Adicional de Sobreaviso]])-2,0)*($G51-$H51)</f>
        <v>0</v>
      </c>
      <c r="O51" s="21">
        <f>VLOOKUP($A51,tabCustoUnit[],COLUMN(CUSTO_GLOBAL[[#Headers],[Horas Extras TI]])-2,0)*($G51-$H51)</f>
        <v>0</v>
      </c>
      <c r="P51" s="21">
        <f>VLOOKUP($A51,tabCustoUnit[],COLUMN(CUSTO_GLOBAL[[#Headers],[Adicional de Acúmulo de função]])-2,0)*($G51-$H51)</f>
        <v>19.590499999999999</v>
      </c>
      <c r="Q51" s="21">
        <f>VLOOKUP($A51,tabCustoUnit[],COLUMN(CUSTO_GLOBAL[[#Headers],[MODULO 1 - REMUNERAÇÃO ]])-2,0)*($G51-$H51)</f>
        <v>563.77049999999997</v>
      </c>
      <c r="R51" s="21">
        <f>VLOOKUP($A51,tabCustoUnit[],COLUMN(CUSTO_GLOBAL[[#Headers],[INSS]])-2,0)*($G51-$H51)</f>
        <v>112.75409999999999</v>
      </c>
      <c r="S51" s="21">
        <f>VLOOKUP($A51,tabCustoUnit[],COLUMN(CUSTO_GLOBAL[[#Headers],[SESI OU SESC]])-2,0)*($G51-$H51)</f>
        <v>8.4565574999999988</v>
      </c>
      <c r="T51" s="21">
        <f>VLOOKUP($A51,tabCustoUnit[],COLUMN(CUSTO_GLOBAL[[#Headers],[SENAI OU SENAC]])-2,0)*($G51-$H51)</f>
        <v>5.6377049999999995</v>
      </c>
      <c r="U51" s="21">
        <f>VLOOKUP($A51,tabCustoUnit[],COLUMN(CUSTO_GLOBAL[[#Headers],[INCRA]])-2,0)*($G51-$H51)</f>
        <v>1.1275409999999999</v>
      </c>
      <c r="V51" s="21">
        <f>VLOOKUP($A51,tabCustoUnit[],COLUMN(CUSTO_GLOBAL[[#Headers],[Salário Educação]])-2,0)*($G51-$H51)</f>
        <v>14.094262499999999</v>
      </c>
      <c r="W51" s="21">
        <f>VLOOKUP($A51,tabCustoUnit[],COLUMN(CUSTO_GLOBAL[[#Headers],[FGTS]])-2,0)*($G51-$H51)</f>
        <v>45.101639999999996</v>
      </c>
      <c r="X51" s="21">
        <f>VLOOKUP($A51,tabCustoUnit[],COLUMN(CUSTO_GLOBAL[[#Headers],[RAT Ajustado]])-2,0)*($G51-$H51)</f>
        <v>22.550819999999998</v>
      </c>
      <c r="Y51" s="21">
        <f>VLOOKUP($A51,tabCustoUnit[],COLUMN(CUSTO_GLOBAL[[#Headers],[SEBRAE]])-2,0)*($G51-$H51)</f>
        <v>3.3826229999999997</v>
      </c>
      <c r="Z51" s="21">
        <f>VLOOKUP($A51,tabCustoUnit[],COLUMN(CUSTO_GLOBAL[[#Headers],[Submódulo 2.1]])-2,0)*($G51-$H51)</f>
        <v>213.10524899999996</v>
      </c>
      <c r="AA51" s="21">
        <f>VLOOKUP($A51,tabCustoUnit[],COLUMN(CUSTO_GLOBAL[[#Headers],[13º salário (titular)]])-2,0)*($G51-$H51)</f>
        <v>46.980874999999997</v>
      </c>
      <c r="AB51" s="21">
        <f>VLOOKUP($A51,tabCustoUnit[],COLUMN(CUSTO_GLOBAL[[#Headers],[Férias e Adicional de Férias (titular)]])-2,0)*($G51-$H51)</f>
        <v>62.641166666666663</v>
      </c>
      <c r="AC51" s="21">
        <f>VLOOKUP($A51,tabCustoUnit[],COLUMN(CUSTO_GLOBAL[[#Headers],[Incidência do Submódulo 2.1 sobre 13º Salário, Férias e Adicional de Férias]])-2,0)*($G51-$H51)</f>
        <v>41.437131749999992</v>
      </c>
      <c r="AD51" s="21">
        <f>VLOOKUP($A51,tabCustoUnit[],COLUMN(CUSTO_GLOBAL[[#Headers],[Submódulo 2.2]])-2,0)*($G51-$H51)</f>
        <v>151.05917341666665</v>
      </c>
      <c r="AE51" s="22">
        <f>VLOOKUP($A51,tabCustoUnit[],COLUMN(CUSTO_GLOBAL[[#Headers],[Vale - Transporte (Descontada parcela do empregado)]])-2,0)*($G51-$H51)</f>
        <v>223.3492</v>
      </c>
      <c r="AF51" s="22">
        <f>VLOOKUP($A51,tabCustoUnit[],COLUMN(CUSTO_GLOBAL[[#Headers],[Vale - Alimentação (Descontada parcela do empregado)]])-2,0)*($G51-$H51)</f>
        <v>582</v>
      </c>
      <c r="AG51" s="22">
        <f>VLOOKUP($A51,tabCustoUnit[],COLUMN(CUSTO_GLOBAL[[#Headers],[Cesta Básica]])-2,0)*($G51-$H51)</f>
        <v>0</v>
      </c>
      <c r="AH51" s="22">
        <f>VLOOKUP($A51,tabCustoUnit[],COLUMN(CUSTO_GLOBAL[[#Headers],[PAF]])-2,0)*($G51-$H51)</f>
        <v>0</v>
      </c>
      <c r="AI51" s="22">
        <f>VLOOKUP($A51,tabCustoUnit[],COLUMN(CUSTO_GLOBAL[[#Headers],[PQM]])-2,0)*($G51-$H51)</f>
        <v>15.07</v>
      </c>
      <c r="AJ51" s="22">
        <v>0</v>
      </c>
      <c r="AK51" s="22">
        <f>VLOOKUP($A51,tabCustoUnit[],COLUMN(CUSTO_GLOBAL[[#Headers],[Seguro de Vida]])-2,0)*($G51-$H51)</f>
        <v>3.36</v>
      </c>
      <c r="AL51" s="22">
        <f>VLOOKUP($A51,tabCustoUnit[],COLUMN(CUSTO_GLOBAL[[#Headers],[Despesas de Viagem]])-2,0)*($G51-$H51)</f>
        <v>0</v>
      </c>
      <c r="AM51" s="22">
        <f>VLOOKUP($A51,tabCustoUnit[],COLUMN(CUSTO_GLOBAL[[#Headers],[Submódulo 2.3]])-2,0)*($G51-$H51)</f>
        <v>823.77920000000006</v>
      </c>
      <c r="AN51" s="22">
        <f>VLOOKUP($A51,tabCustoUnit[],COLUMN(CUSTO_GLOBAL[[#Headers],[MÓDULO 2 - Total Encargos e Benefícios mensais e diários]])-2,0)*($G51-$H51)</f>
        <v>1187.9436224166666</v>
      </c>
      <c r="AO51" s="22">
        <f>VLOOKUP($A51,tabCustoUnit[],COLUMN(CUSTO_GLOBAL[[#Headers],[Aviso Prévio Indenizado (API) e Reflexo do Aviso Prévio Indenizado]])-2,0)*($G51-$H51)</f>
        <v>3.9530273735532404</v>
      </c>
      <c r="AP51" s="22">
        <f>VLOOKUP($A51,tabCustoUnit[],COLUMN(CUSTO_GLOBAL[[#Headers],[Incidência do FGTS sobre API e Reflexo do API]])-2,0)*($G51-$H51)</f>
        <v>0.31624218988425928</v>
      </c>
      <c r="AQ51" s="22">
        <f>VLOOKUP($A51,tabCustoUnit[],COLUMN(CUSTO_GLOBAL[[#Headers],[Multa Rescisória do FGTS sobre o Aviso Prévio Indenizado]])-2,0)*($G51-$H51)</f>
        <v>0.12649687595370371</v>
      </c>
      <c r="AR51" s="22">
        <f>VLOOKUP($A51,tabCustoUnit[],COLUMN(CUSTO_GLOBAL[[#Headers],[Aviso Prévio Trabalhado - APT]])-2,0)*($G51-$H51)</f>
        <v>1.9731967500000003</v>
      </c>
      <c r="AS51" s="22">
        <f>VLOOKUP($A51,tabCustoUnit[],COLUMN(CUSTO_GLOBAL[[#Headers],[Incidência dos encargos do submódulo 2.1 sobre Aviso Prévio Trabalhado]])-2,0)*($G51-$H51)</f>
        <v>0.74586837150000018</v>
      </c>
      <c r="AT51" s="22">
        <f>VLOOKUP($A51,tabCustoUnit[],COLUMN(CUSTO_GLOBAL[[#Headers],[Multa Rescisória do FGTS]])-2,0)*($G51-$H51)</f>
        <v>17.238849066666663</v>
      </c>
      <c r="AU51" s="22">
        <f>VLOOKUP($A51,tabCustoUnit[],COLUMN(CUSTO_GLOBAL[[#Headers],[Indenização Adicional (Art. 9º da Lei nº 7.238/84)]])-2,0)*($G51-$H51)</f>
        <v>0.46980875</v>
      </c>
      <c r="AV51" s="22">
        <f>VLOOKUP($A51,tabCustoUnit[],COLUMN(CUSTO_GLOBAL[[#Headers],[MÓDULO 3 – PROVISÃO PARA RESCISÃO]])-2,0)*($G51-$H51)</f>
        <v>24.823489377557866</v>
      </c>
      <c r="AW51" s="22">
        <f>VLOOKUP($A51,tabCustoUnit[],COLUMN(CUSTO_GLOBAL[[#Headers],[Ausência por Doença]])-2,0)*($G51-$H51)</f>
        <v>4.7607286666666662</v>
      </c>
      <c r="AX51" s="22">
        <f>VLOOKUP($A51,tabCustoUnit[],COLUMN(CUSTO_GLOBAL[[#Headers],[Ausências Legais]])-2,0)*($G51-$H51)</f>
        <v>1.1432012916666665</v>
      </c>
      <c r="AY51" s="22">
        <f>VLOOKUP($A51,tabCustoUnit[],COLUMN(CUSTO_GLOBAL[[#Headers],[Licença Paternidade]])-2,0)*($G51-$H51)</f>
        <v>9.6310793749999998E-2</v>
      </c>
      <c r="AZ51" s="22">
        <f>VLOOKUP($A51,tabCustoUnit[],COLUMN(CUSTO_GLOBAL[[#Headers],[Ausência por Acidente de Trabalho]])-2,0)*($G51-$H51)</f>
        <v>0.1174521875</v>
      </c>
      <c r="BA51" s="22">
        <f>VLOOKUP($A51,tabCustoUnit[],COLUMN(CUSTO_GLOBAL[[#Headers],[Férias, Adicional de Férias e 13º  com empregada em gozo de Licença Maternidade]])-2,0)*($G51-$H51)</f>
        <v>0.73081361111111109</v>
      </c>
      <c r="BB51" s="22">
        <f>VLOOKUP($A51,tabCustoUnit[],COLUMN(CUSTO_GLOBAL[[#Headers],[Incidência do Submódulo 2.1 sobre Ausências Legais]])-2,0)*($G51-$H51)</f>
        <v>2.5887354761625003</v>
      </c>
      <c r="BC51" s="22">
        <f>VLOOKUP($A51,tabCustoUnit[],COLUMN(CUSTO_GLOBAL[[#Headers],[Submódulo 4.1]])-2,0)*($G51-$H51)</f>
        <v>9.4372420268569428</v>
      </c>
      <c r="BD51" s="22">
        <f>VLOOKUP($A51,tabCustoUnit[],COLUMN(CUSTO_GLOBAL[[#Headers],[Intervalo para Repouso ou Alimentação]])-2,0)*($G51-$H51)</f>
        <v>0</v>
      </c>
      <c r="BE51" s="22">
        <f>VLOOKUP($A51,tabCustoUnit[],COLUMN(CUSTO_GLOBAL[[#Headers],[Submódulo 4.2]])-2,0)*($G51-$H51)</f>
        <v>0</v>
      </c>
      <c r="BF51" s="22">
        <f>VLOOKUP($A51,tabCustoUnit[],COLUMN(CUSTO_GLOBAL[[#Headers],[Suspensão Temporária do Contrato de Trabalho]])-2,0)*($G51-$H51)</f>
        <v>0</v>
      </c>
      <c r="BG51" s="22">
        <f>VLOOKUP($A51,tabCustoUnit[],COLUMN(CUSTO_GLOBAL[[#Headers],[Submódulo 4.3]])-2,0)*($G51-$H51)</f>
        <v>0</v>
      </c>
      <c r="BH51" s="22">
        <f>VLOOKUP($A51,tabCustoUnit[],COLUMN(CUSTO_GLOBAL[[#Headers],[MÓDULO 4 – CUSTO DE REPOSIÇÃO DO PROFISSIONAL AUSENTE]])-2,0)*($G51-$H51)</f>
        <v>9.4372420268569428</v>
      </c>
      <c r="BI51" s="22">
        <f>VLOOKUP($A51,tabCustoUnit[],COLUMN(CUSTO_GLOBAL[[#Headers],[Uniformes e EPIs]])-2,0)*($G51-$H51)</f>
        <v>62.806666666666665</v>
      </c>
      <c r="BJ51" s="22">
        <f>VLOOKUP($A51,tabCustoUnit[],COLUMN(CUSTO_GLOBAL[[#Headers],[Materiais de Consumo]])-2,0)*($G51-$H51)</f>
        <v>12.108481690426325</v>
      </c>
      <c r="BK51" s="22">
        <f>VLOOKUP($A51,tabCustoUnit[],COLUMN(CUSTO_GLOBAL[[#Headers],[Máquinas e Equipamentos (depreciação)]])-2,0)*($G51-$H51)</f>
        <v>21.998657016417809</v>
      </c>
      <c r="BL51" s="22">
        <f>VLOOKUP($A51,tabCustoUnit[],COLUMN(CUSTO_GLOBAL[[#Headers],[Produtos de Limpeza e Materiais de Higiene Pessoal]])-2,0)*($G51-$H51)</f>
        <v>235.31984072022155</v>
      </c>
      <c r="BM51" s="22">
        <f>VLOOKUP($A51,tabCustoUnit[],COLUMN(CUSTO_GLOBAL[[#Headers],[Outros (especificar)]])-2,0)*($G51-$H51)</f>
        <v>0</v>
      </c>
      <c r="BN51" s="22">
        <f>VLOOKUP($A51,tabCustoUnit[],COLUMN(CUSTO_GLOBAL[[#Headers],[MÓDULO 5 – INSUMOS DIVERSOS]])-2,0)*($G51-$H51)</f>
        <v>332.23364609373232</v>
      </c>
      <c r="BO51" s="22">
        <f>VLOOKUP($A51,tabCustoUnit[],COLUMN(CUSTO_GLOBAL[[#Headers],[TOTAL MÓDULOS 1+2+3+4+5]])-2,0)*($G51-$H51)</f>
        <v>2118.2084999148137</v>
      </c>
      <c r="BP51" s="22">
        <f>VLOOKUP($A51,tabCustoUnit[],COLUMN(CUSTO_GLOBAL[[#Headers],[Custos Indiretos]])-2,0)*($G51-$H51)</f>
        <v>189.64880140242613</v>
      </c>
      <c r="BQ51" s="22">
        <f>VLOOKUP($A51,tabCustoUnit[],COLUMN(CUSTO_GLOBAL[[#Headers],[Lucro]])-2,0)*($G51-$H51)</f>
        <v>159.30499317803796</v>
      </c>
      <c r="BR51" s="26">
        <f>VLOOKUP($A51,tabCustoUnit[],COLUMN(CUSTO_GLOBAL[[#Headers],[COFINS]])-2,0)</f>
        <v>8.6609686609686695E-2</v>
      </c>
      <c r="BS51" s="26">
        <f>VLOOKUP($A51,tabCustoUnit[],COLUMN(CUSTO_GLOBAL[[#Headers],[PIS]])-2,0)</f>
        <v>1.880341880341882E-2</v>
      </c>
      <c r="BT51" s="28">
        <f>VLOOKUP($A51,tabCustoUnit[],COLUMN(CUSTO_GLOBAL[[#Headers],[ISS]])-2,0)</f>
        <v>0.03</v>
      </c>
      <c r="BU51" s="26">
        <f>VLOOKUP($A51,tabCustoUnit[],COLUMN(CUSTO_GLOBAL[[#Headers],[ISS (Conversão Alíquota s/ fatura)]])-2,0)</f>
        <v>3.4188034188034219E-2</v>
      </c>
      <c r="BV51" s="26">
        <f>VLOOKUP($A51,tabCustoUnit[],COLUMN(CUSTO_GLOBAL[[#Headers],[Resumo de Alíquotas (PIS+CONFINS+ISS)]])-2,0)</f>
        <v>0.1225</v>
      </c>
      <c r="BW51" s="138">
        <f>VLOOKUP($A51,tabCustoUnit[],COLUMN(CUSTO_GLOBAL[[#Headers],[PIS + COFINS + ISS (Total Conversão  Alíquota s/ Fatura)]])-2,0)</f>
        <v>0.13960113960113973</v>
      </c>
      <c r="BX51" s="22">
        <f>VLOOKUP($A51,tabCustoUnit[],COLUMN(CUSTO_GLOBAL[[#Headers],[Valor dos Tributos (ISS, PIS, CONFINS)]])-2,0)*($G51-$H51)</f>
        <v>344.41866789250349</v>
      </c>
      <c r="BY51" s="22">
        <f>VLOOKUP($A51,tabCustoUnit[],COLUMN(CUSTO_GLOBAL[[#Headers],[MÓDULO 6 – CUSTOS INDIRETOS, TRIBUTOS E LUCRO]])-2,0)*($G51-$H51)</f>
        <v>693.37246247296753</v>
      </c>
      <c r="BZ51" s="22">
        <f>VLOOKUP($A51,tabCustoUnit[],COLUMN(CUSTO_GLOBAL[[#Headers],[CUSTO TOTAL MENSAL]])-2,0)*($G51-$H51)</f>
        <v>2811.5809623877813</v>
      </c>
      <c r="CA51" s="22">
        <f>CUSTO_GLOBAL[[#This Row],[CUSTO TOTAL MENSAL]]*12</f>
        <v>33738.971548653375</v>
      </c>
      <c r="CB51" s="24">
        <f>VLOOKUP($A51,tabCustoUnit[],COLUMN(CUSTO_GLOBAL[[#Headers],[ANO DA CCT]])-2,0)</f>
        <v>45658</v>
      </c>
      <c r="CC51" s="25" t="str">
        <f>VLOOKUP($A51,tabCustoUnit[],COLUMN(CUSTO_GLOBAL[[#Headers],[Nº DE PEDIDO DA CCT]])-2,0)</f>
        <v>-</v>
      </c>
      <c r="CD51" s="25" t="str">
        <f>VLOOKUP($A51,tabCustoUnit[],COLUMN(CUSTO_GLOBAL[[#Headers],[TERMO ADITIVO  ALTERAÇÃO DA CCT]])-2,0)</f>
        <v>-</v>
      </c>
      <c r="CF51" s="22"/>
      <c r="CG51" s="22"/>
    </row>
    <row r="52" spans="1:85" x14ac:dyDescent="0.25">
      <c r="A52" s="20" t="s">
        <v>1392</v>
      </c>
      <c r="B52" t="s">
        <v>51</v>
      </c>
      <c r="C52" t="s">
        <v>1244</v>
      </c>
      <c r="D52" t="s">
        <v>1023</v>
      </c>
      <c r="E52" s="20" t="s">
        <v>9</v>
      </c>
      <c r="F52" s="20" t="s">
        <v>10</v>
      </c>
      <c r="G52" s="20">
        <v>1</v>
      </c>
      <c r="H52" s="20">
        <v>0</v>
      </c>
      <c r="I52" s="21">
        <f>VLOOKUP($A52,tabCustoUnit[],COLUMN(CUSTO_GLOBAL[[#Headers],[Salário Base]])-2,0)*($G52-$H52)</f>
        <v>798.14</v>
      </c>
      <c r="J52" s="21">
        <f>VLOOKUP($A52,tabCustoUnit[],COLUMN(CUSTO_GLOBAL[[#Headers],[Adicional Periculosidade]])-2,0)*($G52-$H52)</f>
        <v>0</v>
      </c>
      <c r="K52" s="21">
        <f>VLOOKUP($A52,tabCustoUnit[],COLUMN(CUSTO_GLOBAL[[#Headers],[Adicional Insalubridade]])-2,0)*($G52-$H52)</f>
        <v>0</v>
      </c>
      <c r="L52" s="21">
        <f>VLOOKUP($A52,tabCustoUnit[],COLUMN(CUSTO_GLOBAL[[#Headers],[Adicional Noturno]])-2,0)*($G52-$H52)</f>
        <v>0</v>
      </c>
      <c r="M52" s="21">
        <f>VLOOKUP($A52,tabCustoUnit[],COLUMN(CUSTO_GLOBAL[[#Headers],[Adicional Motorista II (Gratificação)]])-2,0)*($G52-$H52)</f>
        <v>0</v>
      </c>
      <c r="N52" s="21">
        <f>VLOOKUP($A52,tabCustoUnit[],COLUMN(CUSTO_GLOBAL[[#Headers],[Adicional de Sobreaviso]])-2,0)*($G52-$H52)</f>
        <v>0</v>
      </c>
      <c r="O52" s="21">
        <f>VLOOKUP($A52,tabCustoUnit[],COLUMN(CUSTO_GLOBAL[[#Headers],[Horas Extras TI]])-2,0)*($G52-$H52)</f>
        <v>0</v>
      </c>
      <c r="P52" s="21">
        <f>VLOOKUP($A52,tabCustoUnit[],COLUMN(CUSTO_GLOBAL[[#Headers],[Adicional de Acúmulo de função]])-2,0)*($G52-$H52)</f>
        <v>26.120899999999999</v>
      </c>
      <c r="Q52" s="21">
        <f>VLOOKUP($A52,tabCustoUnit[],COLUMN(CUSTO_GLOBAL[[#Headers],[MODULO 1 - REMUNERAÇÃO ]])-2,0)*($G52-$H52)</f>
        <v>824.26089999999999</v>
      </c>
      <c r="R52" s="21">
        <f>VLOOKUP($A52,tabCustoUnit[],COLUMN(CUSTO_GLOBAL[[#Headers],[INSS]])-2,0)*($G52-$H52)</f>
        <v>164.85218</v>
      </c>
      <c r="S52" s="21">
        <f>VLOOKUP($A52,tabCustoUnit[],COLUMN(CUSTO_GLOBAL[[#Headers],[SESI OU SESC]])-2,0)*($G52-$H52)</f>
        <v>12.363913499999999</v>
      </c>
      <c r="T52" s="21">
        <f>VLOOKUP($A52,tabCustoUnit[],COLUMN(CUSTO_GLOBAL[[#Headers],[SENAI OU SENAC]])-2,0)*($G52-$H52)</f>
        <v>8.2426089999999999</v>
      </c>
      <c r="U52" s="21">
        <f>VLOOKUP($A52,tabCustoUnit[],COLUMN(CUSTO_GLOBAL[[#Headers],[INCRA]])-2,0)*($G52-$H52)</f>
        <v>1.6485217999999999</v>
      </c>
      <c r="V52" s="21">
        <f>VLOOKUP($A52,tabCustoUnit[],COLUMN(CUSTO_GLOBAL[[#Headers],[Salário Educação]])-2,0)*($G52-$H52)</f>
        <v>20.606522500000001</v>
      </c>
      <c r="W52" s="21">
        <f>VLOOKUP($A52,tabCustoUnit[],COLUMN(CUSTO_GLOBAL[[#Headers],[FGTS]])-2,0)*($G52-$H52)</f>
        <v>65.940871999999999</v>
      </c>
      <c r="X52" s="21">
        <f>VLOOKUP($A52,tabCustoUnit[],COLUMN(CUSTO_GLOBAL[[#Headers],[RAT Ajustado]])-2,0)*($G52-$H52)</f>
        <v>32.970435999999999</v>
      </c>
      <c r="Y52" s="21">
        <f>VLOOKUP($A52,tabCustoUnit[],COLUMN(CUSTO_GLOBAL[[#Headers],[SEBRAE]])-2,0)*($G52-$H52)</f>
        <v>4.9455654000000004</v>
      </c>
      <c r="Z52" s="21">
        <f>VLOOKUP($A52,tabCustoUnit[],COLUMN(CUSTO_GLOBAL[[#Headers],[Submódulo 2.1]])-2,0)*($G52-$H52)</f>
        <v>311.57062020000001</v>
      </c>
      <c r="AA52" s="21">
        <f>VLOOKUP($A52,tabCustoUnit[],COLUMN(CUSTO_GLOBAL[[#Headers],[13º salário (titular)]])-2,0)*($G52-$H52)</f>
        <v>68.688408333333328</v>
      </c>
      <c r="AB52" s="21">
        <f>VLOOKUP($A52,tabCustoUnit[],COLUMN(CUSTO_GLOBAL[[#Headers],[Férias e Adicional de Férias (titular)]])-2,0)*($G52-$H52)</f>
        <v>91.584544444444433</v>
      </c>
      <c r="AC52" s="21">
        <f>VLOOKUP($A52,tabCustoUnit[],COLUMN(CUSTO_GLOBAL[[#Headers],[Incidência do Submódulo 2.1 sobre 13º Salário, Férias e Adicional de Férias]])-2,0)*($G52-$H52)</f>
        <v>60.583176149999993</v>
      </c>
      <c r="AD52" s="21">
        <f>VLOOKUP($A52,tabCustoUnit[],COLUMN(CUSTO_GLOBAL[[#Headers],[Submódulo 2.2]])-2,0)*($G52-$H52)</f>
        <v>220.85612892777775</v>
      </c>
      <c r="AE52" s="22">
        <f>VLOOKUP($A52,tabCustoUnit[],COLUMN(CUSTO_GLOBAL[[#Headers],[Vale - Transporte (Descontada parcela do empregado)]])-2,0)*($G52-$H52)</f>
        <v>208.11160000000001</v>
      </c>
      <c r="AF52" s="22">
        <f>VLOOKUP($A52,tabCustoUnit[],COLUMN(CUSTO_GLOBAL[[#Headers],[Vale - Alimentação (Descontada parcela do empregado)]])-2,0)*($G52-$H52)</f>
        <v>582</v>
      </c>
      <c r="AG52" s="22">
        <f>VLOOKUP($A52,tabCustoUnit[],COLUMN(CUSTO_GLOBAL[[#Headers],[Cesta Básica]])-2,0)*($G52-$H52)</f>
        <v>0</v>
      </c>
      <c r="AH52" s="22">
        <f>VLOOKUP($A52,tabCustoUnit[],COLUMN(CUSTO_GLOBAL[[#Headers],[PAF]])-2,0)*($G52-$H52)</f>
        <v>0</v>
      </c>
      <c r="AI52" s="22">
        <f>VLOOKUP($A52,tabCustoUnit[],COLUMN(CUSTO_GLOBAL[[#Headers],[PQM]])-2,0)*($G52-$H52)</f>
        <v>0</v>
      </c>
      <c r="AJ52" s="22">
        <v>0</v>
      </c>
      <c r="AK52" s="22">
        <f>VLOOKUP($A52,tabCustoUnit[],COLUMN(CUSTO_GLOBAL[[#Headers],[Seguro de Vida]])-2,0)*($G52-$H52)</f>
        <v>3.36</v>
      </c>
      <c r="AL52" s="22">
        <f>VLOOKUP($A52,tabCustoUnit[],COLUMN(CUSTO_GLOBAL[[#Headers],[Despesas de Viagem]])-2,0)*($G52-$H52)</f>
        <v>0</v>
      </c>
      <c r="AM52" s="22">
        <f>VLOOKUP($A52,tabCustoUnit[],COLUMN(CUSTO_GLOBAL[[#Headers],[Submódulo 2.3]])-2,0)*($G52-$H52)</f>
        <v>793.47159999999997</v>
      </c>
      <c r="AN52" s="22">
        <f>VLOOKUP($A52,tabCustoUnit[],COLUMN(CUSTO_GLOBAL[[#Headers],[MÓDULO 2 - Total Encargos e Benefícios mensais e diários]])-2,0)*($G52-$H52)</f>
        <v>1325.8983491277777</v>
      </c>
      <c r="AO52" s="22">
        <f>VLOOKUP($A52,tabCustoUnit[],COLUMN(CUSTO_GLOBAL[[#Headers],[Aviso Prévio Indenizado (API) e Reflexo do Aviso Prévio Indenizado]])-2,0)*($G52-$H52)</f>
        <v>5.7795253576581791</v>
      </c>
      <c r="AP52" s="22">
        <f>VLOOKUP($A52,tabCustoUnit[],COLUMN(CUSTO_GLOBAL[[#Headers],[Incidência do FGTS sobre API e Reflexo do API]])-2,0)*($G52-$H52)</f>
        <v>0.46236202861265435</v>
      </c>
      <c r="AQ52" s="22">
        <f>VLOOKUP($A52,tabCustoUnit[],COLUMN(CUSTO_GLOBAL[[#Headers],[Multa Rescisória do FGTS sobre o Aviso Prévio Indenizado]])-2,0)*($G52-$H52)</f>
        <v>0.18494481144506175</v>
      </c>
      <c r="AR52" s="22">
        <f>VLOOKUP($A52,tabCustoUnit[],COLUMN(CUSTO_GLOBAL[[#Headers],[Aviso Prévio Trabalhado - APT]])-2,0)*($G52-$H52)</f>
        <v>2.8849131500000005</v>
      </c>
      <c r="AS52" s="22">
        <f>VLOOKUP($A52,tabCustoUnit[],COLUMN(CUSTO_GLOBAL[[#Headers],[Incidência dos encargos do submódulo 2.1 sobre Aviso Prévio Trabalhado]])-2,0)*($G52-$H52)</f>
        <v>1.0904971707000004</v>
      </c>
      <c r="AT52" s="22">
        <f>VLOOKUP($A52,tabCustoUnit[],COLUMN(CUSTO_GLOBAL[[#Headers],[Multa Rescisória do FGTS]])-2,0)*($G52-$H52)</f>
        <v>25.204066631111107</v>
      </c>
      <c r="AU52" s="22">
        <f>VLOOKUP($A52,tabCustoUnit[],COLUMN(CUSTO_GLOBAL[[#Headers],[Indenização Adicional (Art. 9º da Lei nº 7.238/84)]])-2,0)*($G52-$H52)</f>
        <v>0.6868840833333334</v>
      </c>
      <c r="AV52" s="22">
        <f>VLOOKUP($A52,tabCustoUnit[],COLUMN(CUSTO_GLOBAL[[#Headers],[MÓDULO 3 – PROVISÃO PARA RESCISÃO]])-2,0)*($G52-$H52)</f>
        <v>36.293193232860339</v>
      </c>
      <c r="AW52" s="22">
        <f>VLOOKUP($A52,tabCustoUnit[],COLUMN(CUSTO_GLOBAL[[#Headers],[Ausência por Doença]])-2,0)*($G52-$H52)</f>
        <v>6.9604253777777769</v>
      </c>
      <c r="AX52" s="22">
        <f>VLOOKUP($A52,tabCustoUnit[],COLUMN(CUSTO_GLOBAL[[#Headers],[Ausências Legais]])-2,0)*($G52-$H52)</f>
        <v>1.671417936111111</v>
      </c>
      <c r="AY52" s="22">
        <f>VLOOKUP($A52,tabCustoUnit[],COLUMN(CUSTO_GLOBAL[[#Headers],[Licença Paternidade]])-2,0)*($G52-$H52)</f>
        <v>0.14081123708333332</v>
      </c>
      <c r="AZ52" s="22">
        <f>VLOOKUP($A52,tabCustoUnit[],COLUMN(CUSTO_GLOBAL[[#Headers],[Ausência por Acidente de Trabalho]])-2,0)*($G52-$H52)</f>
        <v>0.17172102083333335</v>
      </c>
      <c r="BA52" s="22">
        <f>VLOOKUP($A52,tabCustoUnit[],COLUMN(CUSTO_GLOBAL[[#Headers],[Férias, Adicional de Férias e 13º  com empregada em gozo de Licença Maternidade]])-2,0)*($G52-$H52)</f>
        <v>1.0684863518518517</v>
      </c>
      <c r="BB52" s="22">
        <f>VLOOKUP($A52,tabCustoUnit[],COLUMN(CUSTO_GLOBAL[[#Headers],[Incidência do Submódulo 2.1 sobre Ausências Legais]])-2,0)*($G52-$H52)</f>
        <v>3.7848618071425006</v>
      </c>
      <c r="BC52" s="22">
        <f>VLOOKUP($A52,tabCustoUnit[],COLUMN(CUSTO_GLOBAL[[#Headers],[Submódulo 4.1]])-2,0)*($G52-$H52)</f>
        <v>13.797723730799909</v>
      </c>
      <c r="BD52" s="22">
        <f>VLOOKUP($A52,tabCustoUnit[],COLUMN(CUSTO_GLOBAL[[#Headers],[Intervalo para Repouso ou Alimentação]])-2,0)*($G52-$H52)</f>
        <v>0</v>
      </c>
      <c r="BE52" s="22">
        <f>VLOOKUP($A52,tabCustoUnit[],COLUMN(CUSTO_GLOBAL[[#Headers],[Submódulo 4.2]])-2,0)*($G52-$H52)</f>
        <v>0</v>
      </c>
      <c r="BF52" s="22">
        <f>VLOOKUP($A52,tabCustoUnit[],COLUMN(CUSTO_GLOBAL[[#Headers],[Suspensão Temporária do Contrato de Trabalho]])-2,0)*($G52-$H52)</f>
        <v>0</v>
      </c>
      <c r="BG52" s="22">
        <f>VLOOKUP($A52,tabCustoUnit[],COLUMN(CUSTO_GLOBAL[[#Headers],[Submódulo 4.3]])-2,0)*($G52-$H52)</f>
        <v>0</v>
      </c>
      <c r="BH52" s="22">
        <f>VLOOKUP($A52,tabCustoUnit[],COLUMN(CUSTO_GLOBAL[[#Headers],[MÓDULO 4 – CUSTO DE REPOSIÇÃO DO PROFISSIONAL AUSENTE]])-2,0)*($G52-$H52)</f>
        <v>13.797723730799909</v>
      </c>
      <c r="BI52" s="22">
        <f>VLOOKUP($A52,tabCustoUnit[],COLUMN(CUSTO_GLOBAL[[#Headers],[Uniformes e EPIs]])-2,0)*($G52-$H52)</f>
        <v>62.806666666666665</v>
      </c>
      <c r="BJ52" s="22">
        <f>VLOOKUP($A52,tabCustoUnit[],COLUMN(CUSTO_GLOBAL[[#Headers],[Materiais de Consumo]])-2,0)*($G52-$H52)</f>
        <v>17.759106479291944</v>
      </c>
      <c r="BK52" s="22">
        <f>VLOOKUP($A52,tabCustoUnit[],COLUMN(CUSTO_GLOBAL[[#Headers],[Máquinas e Equipamentos (depreciação)]])-2,0)*($G52-$H52)</f>
        <v>32.264696957412788</v>
      </c>
      <c r="BL52" s="22">
        <f>VLOOKUP($A52,tabCustoUnit[],COLUMN(CUSTO_GLOBAL[[#Headers],[Produtos de Limpeza e Materiais de Higiene Pessoal]])-2,0)*($G52-$H52)</f>
        <v>345.13576638965827</v>
      </c>
      <c r="BM52" s="22">
        <f>VLOOKUP($A52,tabCustoUnit[],COLUMN(CUSTO_GLOBAL[[#Headers],[Outros (especificar)]])-2,0)*($G52-$H52)</f>
        <v>0</v>
      </c>
      <c r="BN52" s="22">
        <f>VLOOKUP($A52,tabCustoUnit[],COLUMN(CUSTO_GLOBAL[[#Headers],[MÓDULO 5 – INSUMOS DIVERSOS]])-2,0)*($G52-$H52)</f>
        <v>457.96623649302967</v>
      </c>
      <c r="BO52" s="22">
        <f>VLOOKUP($A52,tabCustoUnit[],COLUMN(CUSTO_GLOBAL[[#Headers],[TOTAL MÓDULOS 1+2+3+4+5]])-2,0)*($G52-$H52)</f>
        <v>2658.2164025844677</v>
      </c>
      <c r="BP52" s="22">
        <f>VLOOKUP($A52,tabCustoUnit[],COLUMN(CUSTO_GLOBAL[[#Headers],[Custos Indiretos]])-2,0)*($G52-$H52)</f>
        <v>189.64880140242613</v>
      </c>
      <c r="BQ52" s="22">
        <f>VLOOKUP($A52,tabCustoUnit[],COLUMN(CUSTO_GLOBAL[[#Headers],[Lucro]])-2,0)*($G52-$H52)</f>
        <v>159.30499317803796</v>
      </c>
      <c r="BR52" s="26">
        <f>VLOOKUP($A52,tabCustoUnit[],COLUMN(CUSTO_GLOBAL[[#Headers],[COFINS]])-2,0)</f>
        <v>8.6609686609686695E-2</v>
      </c>
      <c r="BS52" s="26">
        <f>VLOOKUP($A52,tabCustoUnit[],COLUMN(CUSTO_GLOBAL[[#Headers],[PIS]])-2,0)</f>
        <v>1.880341880341882E-2</v>
      </c>
      <c r="BT52" s="28">
        <f>VLOOKUP($A52,tabCustoUnit[],COLUMN(CUSTO_GLOBAL[[#Headers],[ISS]])-2,0)</f>
        <v>0.03</v>
      </c>
      <c r="BU52" s="26">
        <f>VLOOKUP($A52,tabCustoUnit[],COLUMN(CUSTO_GLOBAL[[#Headers],[ISS (Conversão Alíquota s/ fatura)]])-2,0)</f>
        <v>3.4188034188034219E-2</v>
      </c>
      <c r="BV52" s="26">
        <f>VLOOKUP($A52,tabCustoUnit[],COLUMN(CUSTO_GLOBAL[[#Headers],[Resumo de Alíquotas (PIS+CONFINS+ISS)]])-2,0)</f>
        <v>0.1225</v>
      </c>
      <c r="BW52" s="138">
        <f>VLOOKUP($A52,tabCustoUnit[],COLUMN(CUSTO_GLOBAL[[#Headers],[PIS + COFINS + ISS (Total Conversão  Alíquota s/ Fatura)]])-2,0)</f>
        <v>0.13960113960113973</v>
      </c>
      <c r="BX52" s="22">
        <f>VLOOKUP($A52,tabCustoUnit[],COLUMN(CUSTO_GLOBAL[[#Headers],[Valor dos Tributos (ISS, PIS, CONFINS)]])-2,0)*($G52-$H52)</f>
        <v>419.80438649880853</v>
      </c>
      <c r="BY52" s="22">
        <f>VLOOKUP($A52,tabCustoUnit[],COLUMN(CUSTO_GLOBAL[[#Headers],[MÓDULO 6 – CUSTOS INDIRETOS, TRIBUTOS E LUCRO]])-2,0)*($G52-$H52)</f>
        <v>768.75818107927262</v>
      </c>
      <c r="BZ52" s="22">
        <f>VLOOKUP($A52,tabCustoUnit[],COLUMN(CUSTO_GLOBAL[[#Headers],[CUSTO TOTAL MENSAL]])-2,0)*($G52-$H52)</f>
        <v>3426.9745836637403</v>
      </c>
      <c r="CA52" s="22">
        <f>CUSTO_GLOBAL[[#This Row],[CUSTO TOTAL MENSAL]]*12</f>
        <v>41123.69500396488</v>
      </c>
      <c r="CB52" s="24">
        <f>VLOOKUP($A52,tabCustoUnit[],COLUMN(CUSTO_GLOBAL[[#Headers],[ANO DA CCT]])-2,0)</f>
        <v>45658</v>
      </c>
      <c r="CC52" s="25" t="str">
        <f>VLOOKUP($A52,tabCustoUnit[],COLUMN(CUSTO_GLOBAL[[#Headers],[Nº DE PEDIDO DA CCT]])-2,0)</f>
        <v>-</v>
      </c>
      <c r="CD52" s="25" t="str">
        <f>VLOOKUP($A52,tabCustoUnit[],COLUMN(CUSTO_GLOBAL[[#Headers],[TERMO ADITIVO  ALTERAÇÃO DA CCT]])-2,0)</f>
        <v>-</v>
      </c>
      <c r="CF52" s="22"/>
      <c r="CG52" s="22"/>
    </row>
    <row r="53" spans="1:85" x14ac:dyDescent="0.25">
      <c r="A53" s="20" t="s">
        <v>1393</v>
      </c>
      <c r="B53" t="s">
        <v>52</v>
      </c>
      <c r="C53" t="s">
        <v>1244</v>
      </c>
      <c r="D53" t="s">
        <v>1023</v>
      </c>
      <c r="E53" s="20" t="s">
        <v>9</v>
      </c>
      <c r="F53" s="20" t="s">
        <v>10</v>
      </c>
      <c r="G53" s="20">
        <v>1</v>
      </c>
      <c r="H53" s="20">
        <v>0</v>
      </c>
      <c r="I53" s="21">
        <f>VLOOKUP($A53,tabCustoUnit[],COLUMN(CUSTO_GLOBAL[[#Headers],[Salário Base]])-2,0)*($G53-$H53)</f>
        <v>798.14</v>
      </c>
      <c r="J53" s="21">
        <f>VLOOKUP($A53,tabCustoUnit[],COLUMN(CUSTO_GLOBAL[[#Headers],[Adicional Periculosidade]])-2,0)*($G53-$H53)</f>
        <v>0</v>
      </c>
      <c r="K53" s="21">
        <f>VLOOKUP($A53,tabCustoUnit[],COLUMN(CUSTO_GLOBAL[[#Headers],[Adicional Insalubridade]])-2,0)*($G53-$H53)</f>
        <v>0</v>
      </c>
      <c r="L53" s="21">
        <f>VLOOKUP($A53,tabCustoUnit[],COLUMN(CUSTO_GLOBAL[[#Headers],[Adicional Noturno]])-2,0)*($G53-$H53)</f>
        <v>0</v>
      </c>
      <c r="M53" s="21">
        <f>VLOOKUP($A53,tabCustoUnit[],COLUMN(CUSTO_GLOBAL[[#Headers],[Adicional Motorista II (Gratificação)]])-2,0)*($G53-$H53)</f>
        <v>0</v>
      </c>
      <c r="N53" s="21">
        <f>VLOOKUP($A53,tabCustoUnit[],COLUMN(CUSTO_GLOBAL[[#Headers],[Adicional de Sobreaviso]])-2,0)*($G53-$H53)</f>
        <v>0</v>
      </c>
      <c r="O53" s="21">
        <f>VLOOKUP($A53,tabCustoUnit[],COLUMN(CUSTO_GLOBAL[[#Headers],[Horas Extras TI]])-2,0)*($G53-$H53)</f>
        <v>0</v>
      </c>
      <c r="P53" s="21">
        <f>VLOOKUP($A53,tabCustoUnit[],COLUMN(CUSTO_GLOBAL[[#Headers],[Adicional de Acúmulo de função]])-2,0)*($G53-$H53)</f>
        <v>26.120899999999999</v>
      </c>
      <c r="Q53" s="21">
        <f>VLOOKUP($A53,tabCustoUnit[],COLUMN(CUSTO_GLOBAL[[#Headers],[MODULO 1 - REMUNERAÇÃO ]])-2,0)*($G53-$H53)</f>
        <v>824.26089999999999</v>
      </c>
      <c r="R53" s="21">
        <f>VLOOKUP($A53,tabCustoUnit[],COLUMN(CUSTO_GLOBAL[[#Headers],[INSS]])-2,0)*($G53-$H53)</f>
        <v>164.85218</v>
      </c>
      <c r="S53" s="21">
        <f>VLOOKUP($A53,tabCustoUnit[],COLUMN(CUSTO_GLOBAL[[#Headers],[SESI OU SESC]])-2,0)*($G53-$H53)</f>
        <v>12.363913499999999</v>
      </c>
      <c r="T53" s="21">
        <f>VLOOKUP($A53,tabCustoUnit[],COLUMN(CUSTO_GLOBAL[[#Headers],[SENAI OU SENAC]])-2,0)*($G53-$H53)</f>
        <v>8.2426089999999999</v>
      </c>
      <c r="U53" s="21">
        <f>VLOOKUP($A53,tabCustoUnit[],COLUMN(CUSTO_GLOBAL[[#Headers],[INCRA]])-2,0)*($G53-$H53)</f>
        <v>1.6485217999999999</v>
      </c>
      <c r="V53" s="21">
        <f>VLOOKUP($A53,tabCustoUnit[],COLUMN(CUSTO_GLOBAL[[#Headers],[Salário Educação]])-2,0)*($G53-$H53)</f>
        <v>20.606522500000001</v>
      </c>
      <c r="W53" s="21">
        <f>VLOOKUP($A53,tabCustoUnit[],COLUMN(CUSTO_GLOBAL[[#Headers],[FGTS]])-2,0)*($G53-$H53)</f>
        <v>65.940871999999999</v>
      </c>
      <c r="X53" s="21">
        <f>VLOOKUP($A53,tabCustoUnit[],COLUMN(CUSTO_GLOBAL[[#Headers],[RAT Ajustado]])-2,0)*($G53-$H53)</f>
        <v>32.970435999999999</v>
      </c>
      <c r="Y53" s="21">
        <f>VLOOKUP($A53,tabCustoUnit[],COLUMN(CUSTO_GLOBAL[[#Headers],[SEBRAE]])-2,0)*($G53-$H53)</f>
        <v>4.9455654000000004</v>
      </c>
      <c r="Z53" s="21">
        <f>VLOOKUP($A53,tabCustoUnit[],COLUMN(CUSTO_GLOBAL[[#Headers],[Submódulo 2.1]])-2,0)*($G53-$H53)</f>
        <v>311.57062020000001</v>
      </c>
      <c r="AA53" s="21">
        <f>VLOOKUP($A53,tabCustoUnit[],COLUMN(CUSTO_GLOBAL[[#Headers],[13º salário (titular)]])-2,0)*($G53-$H53)</f>
        <v>68.688408333333328</v>
      </c>
      <c r="AB53" s="21">
        <f>VLOOKUP($A53,tabCustoUnit[],COLUMN(CUSTO_GLOBAL[[#Headers],[Férias e Adicional de Férias (titular)]])-2,0)*($G53-$H53)</f>
        <v>91.584544444444433</v>
      </c>
      <c r="AC53" s="21">
        <f>VLOOKUP($A53,tabCustoUnit[],COLUMN(CUSTO_GLOBAL[[#Headers],[Incidência do Submódulo 2.1 sobre 13º Salário, Férias e Adicional de Férias]])-2,0)*($G53-$H53)</f>
        <v>60.583176149999993</v>
      </c>
      <c r="AD53" s="21">
        <f>VLOOKUP($A53,tabCustoUnit[],COLUMN(CUSTO_GLOBAL[[#Headers],[Submódulo 2.2]])-2,0)*($G53-$H53)</f>
        <v>220.85612892777775</v>
      </c>
      <c r="AE53" s="22">
        <f>VLOOKUP($A53,tabCustoUnit[],COLUMN(CUSTO_GLOBAL[[#Headers],[Vale - Transporte (Descontada parcela do empregado)]])-2,0)*($G53-$H53)</f>
        <v>208.11160000000001</v>
      </c>
      <c r="AF53" s="22">
        <f>VLOOKUP($A53,tabCustoUnit[],COLUMN(CUSTO_GLOBAL[[#Headers],[Vale - Alimentação (Descontada parcela do empregado)]])-2,0)*($G53-$H53)</f>
        <v>582</v>
      </c>
      <c r="AG53" s="22">
        <f>VLOOKUP($A53,tabCustoUnit[],COLUMN(CUSTO_GLOBAL[[#Headers],[Cesta Básica]])-2,0)*($G53-$H53)</f>
        <v>0</v>
      </c>
      <c r="AH53" s="22">
        <f>VLOOKUP($A53,tabCustoUnit[],COLUMN(CUSTO_GLOBAL[[#Headers],[PAF]])-2,0)*($G53-$H53)</f>
        <v>0</v>
      </c>
      <c r="AI53" s="22">
        <f>VLOOKUP($A53,tabCustoUnit[],COLUMN(CUSTO_GLOBAL[[#Headers],[PQM]])-2,0)*($G53-$H53)</f>
        <v>0</v>
      </c>
      <c r="AJ53" s="22">
        <v>0</v>
      </c>
      <c r="AK53" s="22">
        <f>VLOOKUP($A53,tabCustoUnit[],COLUMN(CUSTO_GLOBAL[[#Headers],[Seguro de Vida]])-2,0)*($G53-$H53)</f>
        <v>3.36</v>
      </c>
      <c r="AL53" s="22">
        <f>VLOOKUP($A53,tabCustoUnit[],COLUMN(CUSTO_GLOBAL[[#Headers],[Despesas de Viagem]])-2,0)*($G53-$H53)</f>
        <v>0</v>
      </c>
      <c r="AM53" s="22">
        <f>VLOOKUP($A53,tabCustoUnit[],COLUMN(CUSTO_GLOBAL[[#Headers],[Submódulo 2.3]])-2,0)*($G53-$H53)</f>
        <v>793.47159999999997</v>
      </c>
      <c r="AN53" s="22">
        <f>VLOOKUP($A53,tabCustoUnit[],COLUMN(CUSTO_GLOBAL[[#Headers],[MÓDULO 2 - Total Encargos e Benefícios mensais e diários]])-2,0)*($G53-$H53)</f>
        <v>1325.8983491277777</v>
      </c>
      <c r="AO53" s="22">
        <f>VLOOKUP($A53,tabCustoUnit[],COLUMN(CUSTO_GLOBAL[[#Headers],[Aviso Prévio Indenizado (API) e Reflexo do Aviso Prévio Indenizado]])-2,0)*($G53-$H53)</f>
        <v>5.7795253576581791</v>
      </c>
      <c r="AP53" s="22">
        <f>VLOOKUP($A53,tabCustoUnit[],COLUMN(CUSTO_GLOBAL[[#Headers],[Incidência do FGTS sobre API e Reflexo do API]])-2,0)*($G53-$H53)</f>
        <v>0.46236202861265435</v>
      </c>
      <c r="AQ53" s="22">
        <f>VLOOKUP($A53,tabCustoUnit[],COLUMN(CUSTO_GLOBAL[[#Headers],[Multa Rescisória do FGTS sobre o Aviso Prévio Indenizado]])-2,0)*($G53-$H53)</f>
        <v>0.18494481144506175</v>
      </c>
      <c r="AR53" s="22">
        <f>VLOOKUP($A53,tabCustoUnit[],COLUMN(CUSTO_GLOBAL[[#Headers],[Aviso Prévio Trabalhado - APT]])-2,0)*($G53-$H53)</f>
        <v>2.8849131500000005</v>
      </c>
      <c r="AS53" s="22">
        <f>VLOOKUP($A53,tabCustoUnit[],COLUMN(CUSTO_GLOBAL[[#Headers],[Incidência dos encargos do submódulo 2.1 sobre Aviso Prévio Trabalhado]])-2,0)*($G53-$H53)</f>
        <v>1.0904971707000004</v>
      </c>
      <c r="AT53" s="22">
        <f>VLOOKUP($A53,tabCustoUnit[],COLUMN(CUSTO_GLOBAL[[#Headers],[Multa Rescisória do FGTS]])-2,0)*($G53-$H53)</f>
        <v>25.204066631111107</v>
      </c>
      <c r="AU53" s="22">
        <f>VLOOKUP($A53,tabCustoUnit[],COLUMN(CUSTO_GLOBAL[[#Headers],[Indenização Adicional (Art. 9º da Lei nº 7.238/84)]])-2,0)*($G53-$H53)</f>
        <v>0.6868840833333334</v>
      </c>
      <c r="AV53" s="22">
        <f>VLOOKUP($A53,tabCustoUnit[],COLUMN(CUSTO_GLOBAL[[#Headers],[MÓDULO 3 – PROVISÃO PARA RESCISÃO]])-2,0)*($G53-$H53)</f>
        <v>36.293193232860339</v>
      </c>
      <c r="AW53" s="22">
        <f>VLOOKUP($A53,tabCustoUnit[],COLUMN(CUSTO_GLOBAL[[#Headers],[Ausência por Doença]])-2,0)*($G53-$H53)</f>
        <v>6.9604253777777769</v>
      </c>
      <c r="AX53" s="22">
        <f>VLOOKUP($A53,tabCustoUnit[],COLUMN(CUSTO_GLOBAL[[#Headers],[Ausências Legais]])-2,0)*($G53-$H53)</f>
        <v>1.671417936111111</v>
      </c>
      <c r="AY53" s="22">
        <f>VLOOKUP($A53,tabCustoUnit[],COLUMN(CUSTO_GLOBAL[[#Headers],[Licença Paternidade]])-2,0)*($G53-$H53)</f>
        <v>0.14081123708333332</v>
      </c>
      <c r="AZ53" s="22">
        <f>VLOOKUP($A53,tabCustoUnit[],COLUMN(CUSTO_GLOBAL[[#Headers],[Ausência por Acidente de Trabalho]])-2,0)*($G53-$H53)</f>
        <v>0.17172102083333335</v>
      </c>
      <c r="BA53" s="22">
        <f>VLOOKUP($A53,tabCustoUnit[],COLUMN(CUSTO_GLOBAL[[#Headers],[Férias, Adicional de Férias e 13º  com empregada em gozo de Licença Maternidade]])-2,0)*($G53-$H53)</f>
        <v>1.0684863518518517</v>
      </c>
      <c r="BB53" s="22">
        <f>VLOOKUP($A53,tabCustoUnit[],COLUMN(CUSTO_GLOBAL[[#Headers],[Incidência do Submódulo 2.1 sobre Ausências Legais]])-2,0)*($G53-$H53)</f>
        <v>3.7848618071425006</v>
      </c>
      <c r="BC53" s="22">
        <f>VLOOKUP($A53,tabCustoUnit[],COLUMN(CUSTO_GLOBAL[[#Headers],[Submódulo 4.1]])-2,0)*($G53-$H53)</f>
        <v>13.797723730799909</v>
      </c>
      <c r="BD53" s="22">
        <f>VLOOKUP($A53,tabCustoUnit[],COLUMN(CUSTO_GLOBAL[[#Headers],[Intervalo para Repouso ou Alimentação]])-2,0)*($G53-$H53)</f>
        <v>0</v>
      </c>
      <c r="BE53" s="22">
        <f>VLOOKUP($A53,tabCustoUnit[],COLUMN(CUSTO_GLOBAL[[#Headers],[Submódulo 4.2]])-2,0)*($G53-$H53)</f>
        <v>0</v>
      </c>
      <c r="BF53" s="22">
        <f>VLOOKUP($A53,tabCustoUnit[],COLUMN(CUSTO_GLOBAL[[#Headers],[Suspensão Temporária do Contrato de Trabalho]])-2,0)*($G53-$H53)</f>
        <v>0</v>
      </c>
      <c r="BG53" s="22">
        <f>VLOOKUP($A53,tabCustoUnit[],COLUMN(CUSTO_GLOBAL[[#Headers],[Submódulo 4.3]])-2,0)*($G53-$H53)</f>
        <v>0</v>
      </c>
      <c r="BH53" s="22">
        <f>VLOOKUP($A53,tabCustoUnit[],COLUMN(CUSTO_GLOBAL[[#Headers],[MÓDULO 4 – CUSTO DE REPOSIÇÃO DO PROFISSIONAL AUSENTE]])-2,0)*($G53-$H53)</f>
        <v>13.797723730799909</v>
      </c>
      <c r="BI53" s="22">
        <f>VLOOKUP($A53,tabCustoUnit[],COLUMN(CUSTO_GLOBAL[[#Headers],[Uniformes e EPIs]])-2,0)*($G53-$H53)</f>
        <v>62.806666666666665</v>
      </c>
      <c r="BJ53" s="22">
        <f>VLOOKUP($A53,tabCustoUnit[],COLUMN(CUSTO_GLOBAL[[#Headers],[Materiais de Consumo]])-2,0)*($G53-$H53)</f>
        <v>17.759106479291944</v>
      </c>
      <c r="BK53" s="22">
        <f>VLOOKUP($A53,tabCustoUnit[],COLUMN(CUSTO_GLOBAL[[#Headers],[Máquinas e Equipamentos (depreciação)]])-2,0)*($G53-$H53)</f>
        <v>32.264696957412788</v>
      </c>
      <c r="BL53" s="22">
        <f>VLOOKUP($A53,tabCustoUnit[],COLUMN(CUSTO_GLOBAL[[#Headers],[Produtos de Limpeza e Materiais de Higiene Pessoal]])-2,0)*($G53-$H53)</f>
        <v>345.13576638965827</v>
      </c>
      <c r="BM53" s="22">
        <f>VLOOKUP($A53,tabCustoUnit[],COLUMN(CUSTO_GLOBAL[[#Headers],[Outros (especificar)]])-2,0)*($G53-$H53)</f>
        <v>0</v>
      </c>
      <c r="BN53" s="22">
        <f>VLOOKUP($A53,tabCustoUnit[],COLUMN(CUSTO_GLOBAL[[#Headers],[MÓDULO 5 – INSUMOS DIVERSOS]])-2,0)*($G53-$H53)</f>
        <v>457.96623649302967</v>
      </c>
      <c r="BO53" s="22">
        <f>VLOOKUP($A53,tabCustoUnit[],COLUMN(CUSTO_GLOBAL[[#Headers],[TOTAL MÓDULOS 1+2+3+4+5]])-2,0)*($G53-$H53)</f>
        <v>2658.2164025844677</v>
      </c>
      <c r="BP53" s="22">
        <f>VLOOKUP($A53,tabCustoUnit[],COLUMN(CUSTO_GLOBAL[[#Headers],[Custos Indiretos]])-2,0)*($G53-$H53)</f>
        <v>189.64880140242613</v>
      </c>
      <c r="BQ53" s="22">
        <f>VLOOKUP($A53,tabCustoUnit[],COLUMN(CUSTO_GLOBAL[[#Headers],[Lucro]])-2,0)*($G53-$H53)</f>
        <v>159.30499317803796</v>
      </c>
      <c r="BR53" s="26">
        <f>VLOOKUP($A53,tabCustoUnit[],COLUMN(CUSTO_GLOBAL[[#Headers],[COFINS]])-2,0)</f>
        <v>8.6609686609686695E-2</v>
      </c>
      <c r="BS53" s="26">
        <f>VLOOKUP($A53,tabCustoUnit[],COLUMN(CUSTO_GLOBAL[[#Headers],[PIS]])-2,0)</f>
        <v>1.880341880341882E-2</v>
      </c>
      <c r="BT53" s="28">
        <f>VLOOKUP($A53,tabCustoUnit[],COLUMN(CUSTO_GLOBAL[[#Headers],[ISS]])-2,0)</f>
        <v>0.03</v>
      </c>
      <c r="BU53" s="26">
        <f>VLOOKUP($A53,tabCustoUnit[],COLUMN(CUSTO_GLOBAL[[#Headers],[ISS (Conversão Alíquota s/ fatura)]])-2,0)</f>
        <v>3.4188034188034219E-2</v>
      </c>
      <c r="BV53" s="26">
        <f>VLOOKUP($A53,tabCustoUnit[],COLUMN(CUSTO_GLOBAL[[#Headers],[Resumo de Alíquotas (PIS+CONFINS+ISS)]])-2,0)</f>
        <v>0.1225</v>
      </c>
      <c r="BW53" s="138">
        <f>VLOOKUP($A53,tabCustoUnit[],COLUMN(CUSTO_GLOBAL[[#Headers],[PIS + COFINS + ISS (Total Conversão  Alíquota s/ Fatura)]])-2,0)</f>
        <v>0.13960113960113973</v>
      </c>
      <c r="BX53" s="22">
        <f>VLOOKUP($A53,tabCustoUnit[],COLUMN(CUSTO_GLOBAL[[#Headers],[Valor dos Tributos (ISS, PIS, CONFINS)]])-2,0)*($G53-$H53)</f>
        <v>419.80438649880853</v>
      </c>
      <c r="BY53" s="22">
        <f>VLOOKUP($A53,tabCustoUnit[],COLUMN(CUSTO_GLOBAL[[#Headers],[MÓDULO 6 – CUSTOS INDIRETOS, TRIBUTOS E LUCRO]])-2,0)*($G53-$H53)</f>
        <v>768.75818107927262</v>
      </c>
      <c r="BZ53" s="22">
        <f>VLOOKUP($A53,tabCustoUnit[],COLUMN(CUSTO_GLOBAL[[#Headers],[CUSTO TOTAL MENSAL]])-2,0)*($G53-$H53)</f>
        <v>3426.9745836637403</v>
      </c>
      <c r="CA53" s="22">
        <f>CUSTO_GLOBAL[[#This Row],[CUSTO TOTAL MENSAL]]*12</f>
        <v>41123.69500396488</v>
      </c>
      <c r="CB53" s="24">
        <f>VLOOKUP($A53,tabCustoUnit[],COLUMN(CUSTO_GLOBAL[[#Headers],[ANO DA CCT]])-2,0)</f>
        <v>45658</v>
      </c>
      <c r="CC53" s="25" t="str">
        <f>VLOOKUP($A53,tabCustoUnit[],COLUMN(CUSTO_GLOBAL[[#Headers],[Nº DE PEDIDO DA CCT]])-2,0)</f>
        <v>-</v>
      </c>
      <c r="CD53" s="25" t="str">
        <f>VLOOKUP($A53,tabCustoUnit[],COLUMN(CUSTO_GLOBAL[[#Headers],[TERMO ADITIVO  ALTERAÇÃO DA CCT]])-2,0)</f>
        <v>-</v>
      </c>
      <c r="CF53" s="22"/>
      <c r="CG53" s="22"/>
    </row>
    <row r="54" spans="1:85" x14ac:dyDescent="0.25">
      <c r="A54" s="20" t="s">
        <v>1394</v>
      </c>
      <c r="B54" t="s">
        <v>52</v>
      </c>
      <c r="C54" t="s">
        <v>1245</v>
      </c>
      <c r="D54" t="s">
        <v>1023</v>
      </c>
      <c r="E54" s="20" t="s">
        <v>9</v>
      </c>
      <c r="F54" s="20" t="s">
        <v>10</v>
      </c>
      <c r="G54" s="20">
        <v>1</v>
      </c>
      <c r="H54" s="20">
        <v>0</v>
      </c>
      <c r="I54" s="21">
        <f>VLOOKUP($A54,tabCustoUnit[],COLUMN(CUSTO_GLOBAL[[#Headers],[Salário Base]])-2,0)*($G54-$H54)</f>
        <v>1596.28</v>
      </c>
      <c r="J54" s="21">
        <f>VLOOKUP($A54,tabCustoUnit[],COLUMN(CUSTO_GLOBAL[[#Headers],[Adicional Periculosidade]])-2,0)*($G54-$H54)</f>
        <v>0</v>
      </c>
      <c r="K54" s="21">
        <f>VLOOKUP($A54,tabCustoUnit[],COLUMN(CUSTO_GLOBAL[[#Headers],[Adicional Insalubridade]])-2,0)*($G54-$H54)</f>
        <v>0</v>
      </c>
      <c r="L54" s="21">
        <f>VLOOKUP($A54,tabCustoUnit[],COLUMN(CUSTO_GLOBAL[[#Headers],[Adicional Noturno]])-2,0)*($G54-$H54)</f>
        <v>0</v>
      </c>
      <c r="M54" s="21">
        <f>VLOOKUP($A54,tabCustoUnit[],COLUMN(CUSTO_GLOBAL[[#Headers],[Adicional Motorista II (Gratificação)]])-2,0)*($G54-$H54)</f>
        <v>0</v>
      </c>
      <c r="N54" s="21">
        <f>VLOOKUP($A54,tabCustoUnit[],COLUMN(CUSTO_GLOBAL[[#Headers],[Adicional de Sobreaviso]])-2,0)*($G54-$H54)</f>
        <v>0</v>
      </c>
      <c r="O54" s="21">
        <f>VLOOKUP($A54,tabCustoUnit[],COLUMN(CUSTO_GLOBAL[[#Headers],[Horas Extras TI]])-2,0)*($G54-$H54)</f>
        <v>0</v>
      </c>
      <c r="P54" s="21">
        <f>VLOOKUP($A54,tabCustoUnit[],COLUMN(CUSTO_GLOBAL[[#Headers],[Adicional de Acúmulo de função]])-2,0)*($G54-$H54)</f>
        <v>52.241900000000001</v>
      </c>
      <c r="Q54" s="21">
        <f>VLOOKUP($A54,tabCustoUnit[],COLUMN(CUSTO_GLOBAL[[#Headers],[MODULO 1 - REMUNERAÇÃO ]])-2,0)*($G54-$H54)</f>
        <v>1648.5219</v>
      </c>
      <c r="R54" s="21">
        <f>VLOOKUP($A54,tabCustoUnit[],COLUMN(CUSTO_GLOBAL[[#Headers],[INSS]])-2,0)*($G54-$H54)</f>
        <v>329.70438000000001</v>
      </c>
      <c r="S54" s="21">
        <f>VLOOKUP($A54,tabCustoUnit[],COLUMN(CUSTO_GLOBAL[[#Headers],[SESI OU SESC]])-2,0)*($G54-$H54)</f>
        <v>24.727828499999998</v>
      </c>
      <c r="T54" s="21">
        <f>VLOOKUP($A54,tabCustoUnit[],COLUMN(CUSTO_GLOBAL[[#Headers],[SENAI OU SENAC]])-2,0)*($G54-$H54)</f>
        <v>16.485219000000001</v>
      </c>
      <c r="U54" s="21">
        <f>VLOOKUP($A54,tabCustoUnit[],COLUMN(CUSTO_GLOBAL[[#Headers],[INCRA]])-2,0)*($G54-$H54)</f>
        <v>3.2970438</v>
      </c>
      <c r="V54" s="21">
        <f>VLOOKUP($A54,tabCustoUnit[],COLUMN(CUSTO_GLOBAL[[#Headers],[Salário Educação]])-2,0)*($G54-$H54)</f>
        <v>41.213047500000002</v>
      </c>
      <c r="W54" s="21">
        <f>VLOOKUP($A54,tabCustoUnit[],COLUMN(CUSTO_GLOBAL[[#Headers],[FGTS]])-2,0)*($G54-$H54)</f>
        <v>131.88175200000001</v>
      </c>
      <c r="X54" s="21">
        <f>VLOOKUP($A54,tabCustoUnit[],COLUMN(CUSTO_GLOBAL[[#Headers],[RAT Ajustado]])-2,0)*($G54-$H54)</f>
        <v>65.940876000000003</v>
      </c>
      <c r="Y54" s="21">
        <f>VLOOKUP($A54,tabCustoUnit[],COLUMN(CUSTO_GLOBAL[[#Headers],[SEBRAE]])-2,0)*($G54-$H54)</f>
        <v>9.8911314000000008</v>
      </c>
      <c r="Z54" s="21">
        <f>VLOOKUP($A54,tabCustoUnit[],COLUMN(CUSTO_GLOBAL[[#Headers],[Submódulo 2.1]])-2,0)*($G54-$H54)</f>
        <v>623.14127819999999</v>
      </c>
      <c r="AA54" s="21">
        <f>VLOOKUP($A54,tabCustoUnit[],COLUMN(CUSTO_GLOBAL[[#Headers],[13º salário (titular)]])-2,0)*($G54-$H54)</f>
        <v>137.376825</v>
      </c>
      <c r="AB54" s="21">
        <f>VLOOKUP($A54,tabCustoUnit[],COLUMN(CUSTO_GLOBAL[[#Headers],[Férias e Adicional de Férias (titular)]])-2,0)*($G54-$H54)</f>
        <v>183.16909999999999</v>
      </c>
      <c r="AC54" s="21">
        <f>VLOOKUP($A54,tabCustoUnit[],COLUMN(CUSTO_GLOBAL[[#Headers],[Incidência do Submódulo 2.1 sobre 13º Salário, Férias e Adicional de Férias]])-2,0)*($G54-$H54)</f>
        <v>121.16635965</v>
      </c>
      <c r="AD54" s="21">
        <f>VLOOKUP($A54,tabCustoUnit[],COLUMN(CUSTO_GLOBAL[[#Headers],[Submódulo 2.2]])-2,0)*($G54-$H54)</f>
        <v>441.71228465000002</v>
      </c>
      <c r="AE54" s="22">
        <f>VLOOKUP($A54,tabCustoUnit[],COLUMN(CUSTO_GLOBAL[[#Headers],[Vale - Transporte (Descontada parcela do empregado)]])-2,0)*($G54-$H54)</f>
        <v>160.22320000000002</v>
      </c>
      <c r="AF54" s="22">
        <f>VLOOKUP($A54,tabCustoUnit[],COLUMN(CUSTO_GLOBAL[[#Headers],[Vale - Alimentação (Descontada parcela do empregado)]])-2,0)*($G54-$H54)</f>
        <v>582</v>
      </c>
      <c r="AG54" s="22">
        <f>VLOOKUP($A54,tabCustoUnit[],COLUMN(CUSTO_GLOBAL[[#Headers],[Cesta Básica]])-2,0)*($G54-$H54)</f>
        <v>0</v>
      </c>
      <c r="AH54" s="22">
        <f>VLOOKUP($A54,tabCustoUnit[],COLUMN(CUSTO_GLOBAL[[#Headers],[PAF]])-2,0)*($G54-$H54)</f>
        <v>0</v>
      </c>
      <c r="AI54" s="22">
        <f>VLOOKUP($A54,tabCustoUnit[],COLUMN(CUSTO_GLOBAL[[#Headers],[PQM]])-2,0)*($G54-$H54)</f>
        <v>0</v>
      </c>
      <c r="AJ54" s="22">
        <v>0</v>
      </c>
      <c r="AK54" s="22">
        <f>VLOOKUP($A54,tabCustoUnit[],COLUMN(CUSTO_GLOBAL[[#Headers],[Seguro de Vida]])-2,0)*($G54-$H54)</f>
        <v>3.36</v>
      </c>
      <c r="AL54" s="22">
        <f>VLOOKUP($A54,tabCustoUnit[],COLUMN(CUSTO_GLOBAL[[#Headers],[Despesas de Viagem]])-2,0)*($G54-$H54)</f>
        <v>0</v>
      </c>
      <c r="AM54" s="22">
        <f>VLOOKUP($A54,tabCustoUnit[],COLUMN(CUSTO_GLOBAL[[#Headers],[Submódulo 2.3]])-2,0)*($G54-$H54)</f>
        <v>745.58320000000003</v>
      </c>
      <c r="AN54" s="22">
        <f>VLOOKUP($A54,tabCustoUnit[],COLUMN(CUSTO_GLOBAL[[#Headers],[MÓDULO 2 - Total Encargos e Benefícios mensais e diários]])-2,0)*($G54-$H54)</f>
        <v>1810.4367628499999</v>
      </c>
      <c r="AO54" s="22">
        <f>VLOOKUP($A54,tabCustoUnit[],COLUMN(CUSTO_GLOBAL[[#Headers],[Aviso Prévio Indenizado (API) e Reflexo do Aviso Prévio Indenizado]])-2,0)*($G54-$H54)</f>
        <v>11.559051416493055</v>
      </c>
      <c r="AP54" s="22">
        <f>VLOOKUP($A54,tabCustoUnit[],COLUMN(CUSTO_GLOBAL[[#Headers],[Incidência do FGTS sobre API e Reflexo do API]])-2,0)*($G54-$H54)</f>
        <v>0.92472411331944449</v>
      </c>
      <c r="AQ54" s="22">
        <f>VLOOKUP($A54,tabCustoUnit[],COLUMN(CUSTO_GLOBAL[[#Headers],[Multa Rescisória do FGTS sobre o Aviso Prévio Indenizado]])-2,0)*($G54-$H54)</f>
        <v>0.36988964532777785</v>
      </c>
      <c r="AR54" s="22">
        <f>VLOOKUP($A54,tabCustoUnit[],COLUMN(CUSTO_GLOBAL[[#Headers],[Aviso Prévio Trabalhado - APT]])-2,0)*($G54-$H54)</f>
        <v>5.7698266500000006</v>
      </c>
      <c r="AS54" s="22">
        <f>VLOOKUP($A54,tabCustoUnit[],COLUMN(CUSTO_GLOBAL[[#Headers],[Incidência dos encargos do submódulo 2.1 sobre Aviso Prévio Trabalhado]])-2,0)*($G54-$H54)</f>
        <v>2.1809944737000007</v>
      </c>
      <c r="AT54" s="22">
        <f>VLOOKUP($A54,tabCustoUnit[],COLUMN(CUSTO_GLOBAL[[#Headers],[Multa Rescisória do FGTS]])-2,0)*($G54-$H54)</f>
        <v>50.40813631999999</v>
      </c>
      <c r="AU54" s="22">
        <f>VLOOKUP($A54,tabCustoUnit[],COLUMN(CUSTO_GLOBAL[[#Headers],[Indenização Adicional (Art. 9º da Lei nº 7.238/84)]])-2,0)*($G54-$H54)</f>
        <v>1.3737682500000001</v>
      </c>
      <c r="AV54" s="22">
        <f>VLOOKUP($A54,tabCustoUnit[],COLUMN(CUSTO_GLOBAL[[#Headers],[MÓDULO 3 – PROVISÃO PARA RESCISÃO]])-2,0)*($G54-$H54)</f>
        <v>72.586390868840269</v>
      </c>
      <c r="AW54" s="22">
        <f>VLOOKUP($A54,tabCustoUnit[],COLUMN(CUSTO_GLOBAL[[#Headers],[Ausência por Doença]])-2,0)*($G54-$H54)</f>
        <v>13.920851599999999</v>
      </c>
      <c r="AX54" s="22">
        <f>VLOOKUP($A54,tabCustoUnit[],COLUMN(CUSTO_GLOBAL[[#Headers],[Ausências Legais]])-2,0)*($G54-$H54)</f>
        <v>3.3428360749999997</v>
      </c>
      <c r="AY54" s="22">
        <f>VLOOKUP($A54,tabCustoUnit[],COLUMN(CUSTO_GLOBAL[[#Headers],[Licença Paternidade]])-2,0)*($G54-$H54)</f>
        <v>0.28162249125</v>
      </c>
      <c r="AZ54" s="22">
        <f>VLOOKUP($A54,tabCustoUnit[],COLUMN(CUSTO_GLOBAL[[#Headers],[Ausência por Acidente de Trabalho]])-2,0)*($G54-$H54)</f>
        <v>0.34344206250000003</v>
      </c>
      <c r="BA54" s="22">
        <f>VLOOKUP($A54,tabCustoUnit[],COLUMN(CUSTO_GLOBAL[[#Headers],[Férias, Adicional de Férias e 13º  com empregada em gozo de Licença Maternidade]])-2,0)*($G54-$H54)</f>
        <v>2.1369728333333331</v>
      </c>
      <c r="BB54" s="22">
        <f>VLOOKUP($A54,tabCustoUnit[],COLUMN(CUSTO_GLOBAL[[#Headers],[Incidência do Submódulo 2.1 sobre Ausências Legais]])-2,0)*($G54-$H54)</f>
        <v>7.5697240734675013</v>
      </c>
      <c r="BC54" s="22">
        <f>VLOOKUP($A54,tabCustoUnit[],COLUMN(CUSTO_GLOBAL[[#Headers],[Submódulo 4.1]])-2,0)*($G54-$H54)</f>
        <v>27.595449135550833</v>
      </c>
      <c r="BD54" s="22">
        <f>VLOOKUP($A54,tabCustoUnit[],COLUMN(CUSTO_GLOBAL[[#Headers],[Intervalo para Repouso ou Alimentação]])-2,0)*($G54-$H54)</f>
        <v>0</v>
      </c>
      <c r="BE54" s="22">
        <f>VLOOKUP($A54,tabCustoUnit[],COLUMN(CUSTO_GLOBAL[[#Headers],[Submódulo 4.2]])-2,0)*($G54-$H54)</f>
        <v>0</v>
      </c>
      <c r="BF54" s="22">
        <f>VLOOKUP($A54,tabCustoUnit[],COLUMN(CUSTO_GLOBAL[[#Headers],[Suspensão Temporária do Contrato de Trabalho]])-2,0)*($G54-$H54)</f>
        <v>0</v>
      </c>
      <c r="BG54" s="22">
        <f>VLOOKUP($A54,tabCustoUnit[],COLUMN(CUSTO_GLOBAL[[#Headers],[Submódulo 4.3]])-2,0)*($G54-$H54)</f>
        <v>0</v>
      </c>
      <c r="BH54" s="22">
        <f>VLOOKUP($A54,tabCustoUnit[],COLUMN(CUSTO_GLOBAL[[#Headers],[MÓDULO 4 – CUSTO DE REPOSIÇÃO DO PROFISSIONAL AUSENTE]])-2,0)*($G54-$H54)</f>
        <v>27.595449135550833</v>
      </c>
      <c r="BI54" s="22">
        <f>VLOOKUP($A54,tabCustoUnit[],COLUMN(CUSTO_GLOBAL[[#Headers],[Uniformes e EPIs]])-2,0)*($G54-$H54)</f>
        <v>100.80916666666666</v>
      </c>
      <c r="BJ54" s="22">
        <f>VLOOKUP($A54,tabCustoUnit[],COLUMN(CUSTO_GLOBAL[[#Headers],[Materiais de Consumo]])-2,0)*($G54-$H54)</f>
        <v>35.518212958583888</v>
      </c>
      <c r="BK54" s="22">
        <f>VLOOKUP($A54,tabCustoUnit[],COLUMN(CUSTO_GLOBAL[[#Headers],[Máquinas e Equipamentos (depreciação)]])-2,0)*($G54-$H54)</f>
        <v>64.529393914825576</v>
      </c>
      <c r="BL54" s="22">
        <f>VLOOKUP($A54,tabCustoUnit[],COLUMN(CUSTO_GLOBAL[[#Headers],[Produtos de Limpeza e Materiais de Higiene Pessoal]])-2,0)*($G54-$H54)</f>
        <v>690.27153277931654</v>
      </c>
      <c r="BM54" s="22">
        <f>VLOOKUP($A54,tabCustoUnit[],COLUMN(CUSTO_GLOBAL[[#Headers],[Outros (especificar)]])-2,0)*($G54-$H54)</f>
        <v>0</v>
      </c>
      <c r="BN54" s="22">
        <f>VLOOKUP($A54,tabCustoUnit[],COLUMN(CUSTO_GLOBAL[[#Headers],[MÓDULO 5 – INSUMOS DIVERSOS]])-2,0)*($G54-$H54)</f>
        <v>891.12830631939266</v>
      </c>
      <c r="BO54" s="22">
        <f>VLOOKUP($A54,tabCustoUnit[],COLUMN(CUSTO_GLOBAL[[#Headers],[TOTAL MÓDULOS 1+2+3+4+5]])-2,0)*($G54-$H54)</f>
        <v>4450.2688091737837</v>
      </c>
      <c r="BP54" s="22">
        <f>VLOOKUP($A54,tabCustoUnit[],COLUMN(CUSTO_GLOBAL[[#Headers],[Custos Indiretos]])-2,0)*($G54-$H54)</f>
        <v>189.64880140242613</v>
      </c>
      <c r="BQ54" s="22">
        <f>VLOOKUP($A54,tabCustoUnit[],COLUMN(CUSTO_GLOBAL[[#Headers],[Lucro]])-2,0)*($G54-$H54)</f>
        <v>159.30499317803796</v>
      </c>
      <c r="BR54" s="26">
        <f>VLOOKUP($A54,tabCustoUnit[],COLUMN(CUSTO_GLOBAL[[#Headers],[COFINS]])-2,0)</f>
        <v>8.6609686609686695E-2</v>
      </c>
      <c r="BS54" s="26">
        <f>VLOOKUP($A54,tabCustoUnit[],COLUMN(CUSTO_GLOBAL[[#Headers],[PIS]])-2,0)</f>
        <v>1.880341880341882E-2</v>
      </c>
      <c r="BT54" s="28">
        <f>VLOOKUP($A54,tabCustoUnit[],COLUMN(CUSTO_GLOBAL[[#Headers],[ISS]])-2,0)</f>
        <v>0.03</v>
      </c>
      <c r="BU54" s="26">
        <f>VLOOKUP($A54,tabCustoUnit[],COLUMN(CUSTO_GLOBAL[[#Headers],[ISS (Conversão Alíquota s/ fatura)]])-2,0)</f>
        <v>3.4188034188034219E-2</v>
      </c>
      <c r="BV54" s="26">
        <f>VLOOKUP($A54,tabCustoUnit[],COLUMN(CUSTO_GLOBAL[[#Headers],[Resumo de Alíquotas (PIS+CONFINS+ISS)]])-2,0)</f>
        <v>0.1225</v>
      </c>
      <c r="BW54" s="138">
        <f>VLOOKUP($A54,tabCustoUnit[],COLUMN(CUSTO_GLOBAL[[#Headers],[PIS + COFINS + ISS (Total Conversão  Alíquota s/ Fatura)]])-2,0)</f>
        <v>0.13960113960113973</v>
      </c>
      <c r="BX54" s="22">
        <f>VLOOKUP($A54,tabCustoUnit[],COLUMN(CUSTO_GLOBAL[[#Headers],[Valor dos Tributos (ISS, PIS, CONFINS)]])-2,0)*($G54-$H54)</f>
        <v>669.97694468364205</v>
      </c>
      <c r="BY54" s="22">
        <f>VLOOKUP($A54,tabCustoUnit[],COLUMN(CUSTO_GLOBAL[[#Headers],[MÓDULO 6 – CUSTOS INDIRETOS, TRIBUTOS E LUCRO]])-2,0)*($G54-$H54)</f>
        <v>1018.9307392641061</v>
      </c>
      <c r="BZ54" s="22">
        <f>VLOOKUP($A54,tabCustoUnit[],COLUMN(CUSTO_GLOBAL[[#Headers],[CUSTO TOTAL MENSAL]])-2,0)*($G54-$H54)</f>
        <v>5469.1995484378895</v>
      </c>
      <c r="CA54" s="22">
        <f>CUSTO_GLOBAL[[#This Row],[CUSTO TOTAL MENSAL]]*12</f>
        <v>65630.394581254674</v>
      </c>
      <c r="CB54" s="24">
        <f>VLOOKUP($A54,tabCustoUnit[],COLUMN(CUSTO_GLOBAL[[#Headers],[ANO DA CCT]])-2,0)</f>
        <v>45658</v>
      </c>
      <c r="CC54" s="25" t="str">
        <f>VLOOKUP($A54,tabCustoUnit[],COLUMN(CUSTO_GLOBAL[[#Headers],[Nº DE PEDIDO DA CCT]])-2,0)</f>
        <v>-</v>
      </c>
      <c r="CD54" s="25" t="str">
        <f>VLOOKUP($A54,tabCustoUnit[],COLUMN(CUSTO_GLOBAL[[#Headers],[TERMO ADITIVO  ALTERAÇÃO DA CCT]])-2,0)</f>
        <v>-</v>
      </c>
      <c r="CF54" s="22"/>
      <c r="CG54" s="22"/>
    </row>
    <row r="55" spans="1:85" x14ac:dyDescent="0.25">
      <c r="A55" s="20" t="s">
        <v>1395</v>
      </c>
      <c r="B55" t="s">
        <v>53</v>
      </c>
      <c r="C55" t="s">
        <v>1247</v>
      </c>
      <c r="D55" t="s">
        <v>992</v>
      </c>
      <c r="E55" s="20" t="s">
        <v>9</v>
      </c>
      <c r="F55" s="20" t="s">
        <v>10</v>
      </c>
      <c r="G55" s="20">
        <v>1</v>
      </c>
      <c r="H55" s="20">
        <v>0</v>
      </c>
      <c r="I55" s="21">
        <f>VLOOKUP($A55,tabCustoUnit[],COLUMN(CUSTO_GLOBAL[[#Headers],[Salário Base]])-2,0)*($G55-$H55)</f>
        <v>544.17999999999995</v>
      </c>
      <c r="J55" s="21">
        <f>VLOOKUP($A55,tabCustoUnit[],COLUMN(CUSTO_GLOBAL[[#Headers],[Adicional Periculosidade]])-2,0)*($G55-$H55)</f>
        <v>0</v>
      </c>
      <c r="K55" s="21">
        <f>VLOOKUP($A55,tabCustoUnit[],COLUMN(CUSTO_GLOBAL[[#Headers],[Adicional Insalubridade]])-2,0)*($G55-$H55)</f>
        <v>0</v>
      </c>
      <c r="L55" s="21">
        <f>VLOOKUP($A55,tabCustoUnit[],COLUMN(CUSTO_GLOBAL[[#Headers],[Adicional Noturno]])-2,0)*($G55-$H55)</f>
        <v>0</v>
      </c>
      <c r="M55" s="21">
        <f>VLOOKUP($A55,tabCustoUnit[],COLUMN(CUSTO_GLOBAL[[#Headers],[Adicional Motorista II (Gratificação)]])-2,0)*($G55-$H55)</f>
        <v>0</v>
      </c>
      <c r="N55" s="21">
        <f>VLOOKUP($A55,tabCustoUnit[],COLUMN(CUSTO_GLOBAL[[#Headers],[Adicional de Sobreaviso]])-2,0)*($G55-$H55)</f>
        <v>0</v>
      </c>
      <c r="O55" s="21">
        <f>VLOOKUP($A55,tabCustoUnit[],COLUMN(CUSTO_GLOBAL[[#Headers],[Horas Extras TI]])-2,0)*($G55-$H55)</f>
        <v>0</v>
      </c>
      <c r="P55" s="21">
        <f>VLOOKUP($A55,tabCustoUnit[],COLUMN(CUSTO_GLOBAL[[#Headers],[Adicional de Acúmulo de função]])-2,0)*($G55-$H55)</f>
        <v>19.590499999999999</v>
      </c>
      <c r="Q55" s="21">
        <f>VLOOKUP($A55,tabCustoUnit[],COLUMN(CUSTO_GLOBAL[[#Headers],[MODULO 1 - REMUNERAÇÃO ]])-2,0)*($G55-$H55)</f>
        <v>563.77049999999997</v>
      </c>
      <c r="R55" s="21">
        <f>VLOOKUP($A55,tabCustoUnit[],COLUMN(CUSTO_GLOBAL[[#Headers],[INSS]])-2,0)*($G55-$H55)</f>
        <v>112.75409999999999</v>
      </c>
      <c r="S55" s="21">
        <f>VLOOKUP($A55,tabCustoUnit[],COLUMN(CUSTO_GLOBAL[[#Headers],[SESI OU SESC]])-2,0)*($G55-$H55)</f>
        <v>8.4565574999999988</v>
      </c>
      <c r="T55" s="21">
        <f>VLOOKUP($A55,tabCustoUnit[],COLUMN(CUSTO_GLOBAL[[#Headers],[SENAI OU SENAC]])-2,0)*($G55-$H55)</f>
        <v>5.6377049999999995</v>
      </c>
      <c r="U55" s="21">
        <f>VLOOKUP($A55,tabCustoUnit[],COLUMN(CUSTO_GLOBAL[[#Headers],[INCRA]])-2,0)*($G55-$H55)</f>
        <v>1.1275409999999999</v>
      </c>
      <c r="V55" s="21">
        <f>VLOOKUP($A55,tabCustoUnit[],COLUMN(CUSTO_GLOBAL[[#Headers],[Salário Educação]])-2,0)*($G55-$H55)</f>
        <v>14.094262499999999</v>
      </c>
      <c r="W55" s="21">
        <f>VLOOKUP($A55,tabCustoUnit[],COLUMN(CUSTO_GLOBAL[[#Headers],[FGTS]])-2,0)*($G55-$H55)</f>
        <v>45.101639999999996</v>
      </c>
      <c r="X55" s="21">
        <f>VLOOKUP($A55,tabCustoUnit[],COLUMN(CUSTO_GLOBAL[[#Headers],[RAT Ajustado]])-2,0)*($G55-$H55)</f>
        <v>22.550819999999998</v>
      </c>
      <c r="Y55" s="21">
        <f>VLOOKUP($A55,tabCustoUnit[],COLUMN(CUSTO_GLOBAL[[#Headers],[SEBRAE]])-2,0)*($G55-$H55)</f>
        <v>3.3826229999999997</v>
      </c>
      <c r="Z55" s="21">
        <f>VLOOKUP($A55,tabCustoUnit[],COLUMN(CUSTO_GLOBAL[[#Headers],[Submódulo 2.1]])-2,0)*($G55-$H55)</f>
        <v>213.10524899999996</v>
      </c>
      <c r="AA55" s="21">
        <f>VLOOKUP($A55,tabCustoUnit[],COLUMN(CUSTO_GLOBAL[[#Headers],[13º salário (titular)]])-2,0)*($G55-$H55)</f>
        <v>46.980874999999997</v>
      </c>
      <c r="AB55" s="21">
        <f>VLOOKUP($A55,tabCustoUnit[],COLUMN(CUSTO_GLOBAL[[#Headers],[Férias e Adicional de Férias (titular)]])-2,0)*($G55-$H55)</f>
        <v>62.641166666666663</v>
      </c>
      <c r="AC55" s="21">
        <f>VLOOKUP($A55,tabCustoUnit[],COLUMN(CUSTO_GLOBAL[[#Headers],[Incidência do Submódulo 2.1 sobre 13º Salário, Férias e Adicional de Férias]])-2,0)*($G55-$H55)</f>
        <v>41.437131749999992</v>
      </c>
      <c r="AD55" s="21">
        <f>VLOOKUP($A55,tabCustoUnit[],COLUMN(CUSTO_GLOBAL[[#Headers],[Submódulo 2.2]])-2,0)*($G55-$H55)</f>
        <v>151.05917341666665</v>
      </c>
      <c r="AE55" s="22">
        <f>VLOOKUP($A55,tabCustoUnit[],COLUMN(CUSTO_GLOBAL[[#Headers],[Vale - Transporte (Descontada parcela do empregado)]])-2,0)*($G55-$H55)</f>
        <v>223.3492</v>
      </c>
      <c r="AF55" s="22">
        <f>VLOOKUP($A55,tabCustoUnit[],COLUMN(CUSTO_GLOBAL[[#Headers],[Vale - Alimentação (Descontada parcela do empregado)]])-2,0)*($G55-$H55)</f>
        <v>0</v>
      </c>
      <c r="AG55" s="22">
        <f>VLOOKUP($A55,tabCustoUnit[],COLUMN(CUSTO_GLOBAL[[#Headers],[Cesta Básica]])-2,0)*($G55-$H55)</f>
        <v>387.79</v>
      </c>
      <c r="AH55" s="22">
        <f>VLOOKUP($A55,tabCustoUnit[],COLUMN(CUSTO_GLOBAL[[#Headers],[PAF]])-2,0)*($G55-$H55)</f>
        <v>42.97</v>
      </c>
      <c r="AI55" s="22">
        <f>VLOOKUP($A55,tabCustoUnit[],COLUMN(CUSTO_GLOBAL[[#Headers],[PQM]])-2,0)*($G55-$H55)</f>
        <v>0</v>
      </c>
      <c r="AJ55" s="22">
        <v>0</v>
      </c>
      <c r="AK55" s="22">
        <f>VLOOKUP($A55,tabCustoUnit[],COLUMN(CUSTO_GLOBAL[[#Headers],[Seguro de Vida]])-2,0)*($G55-$H55)</f>
        <v>3.36</v>
      </c>
      <c r="AL55" s="22">
        <f>VLOOKUP($A55,tabCustoUnit[],COLUMN(CUSTO_GLOBAL[[#Headers],[Despesas de Viagem]])-2,0)*($G55-$H55)</f>
        <v>0</v>
      </c>
      <c r="AM55" s="22">
        <f>VLOOKUP($A55,tabCustoUnit[],COLUMN(CUSTO_GLOBAL[[#Headers],[Submódulo 2.3]])-2,0)*($G55-$H55)</f>
        <v>657.46920000000011</v>
      </c>
      <c r="AN55" s="22">
        <f>VLOOKUP($A55,tabCustoUnit[],COLUMN(CUSTO_GLOBAL[[#Headers],[MÓDULO 2 - Total Encargos e Benefícios mensais e diários]])-2,0)*($G55-$H55)</f>
        <v>1021.6336224166668</v>
      </c>
      <c r="AO55" s="22">
        <f>VLOOKUP($A55,tabCustoUnit[],COLUMN(CUSTO_GLOBAL[[#Headers],[Aviso Prévio Indenizado (API) e Reflexo do Aviso Prévio Indenizado]])-2,0)*($G55-$H55)</f>
        <v>3.9530273735532404</v>
      </c>
      <c r="AP55" s="22">
        <f>VLOOKUP($A55,tabCustoUnit[],COLUMN(CUSTO_GLOBAL[[#Headers],[Incidência do FGTS sobre API e Reflexo do API]])-2,0)*($G55-$H55)</f>
        <v>0.31624218988425928</v>
      </c>
      <c r="AQ55" s="22">
        <f>VLOOKUP($A55,tabCustoUnit[],COLUMN(CUSTO_GLOBAL[[#Headers],[Multa Rescisória do FGTS sobre o Aviso Prévio Indenizado]])-2,0)*($G55-$H55)</f>
        <v>0.12649687595370371</v>
      </c>
      <c r="AR55" s="22">
        <f>VLOOKUP($A55,tabCustoUnit[],COLUMN(CUSTO_GLOBAL[[#Headers],[Aviso Prévio Trabalhado - APT]])-2,0)*($G55-$H55)</f>
        <v>1.9731967500000003</v>
      </c>
      <c r="AS55" s="22">
        <f>VLOOKUP($A55,tabCustoUnit[],COLUMN(CUSTO_GLOBAL[[#Headers],[Incidência dos encargos do submódulo 2.1 sobre Aviso Prévio Trabalhado]])-2,0)*($G55-$H55)</f>
        <v>0.74586837150000018</v>
      </c>
      <c r="AT55" s="22">
        <f>VLOOKUP($A55,tabCustoUnit[],COLUMN(CUSTO_GLOBAL[[#Headers],[Multa Rescisória do FGTS]])-2,0)*($G55-$H55)</f>
        <v>17.238849066666663</v>
      </c>
      <c r="AU55" s="22">
        <f>VLOOKUP($A55,tabCustoUnit[],COLUMN(CUSTO_GLOBAL[[#Headers],[Indenização Adicional (Art. 9º da Lei nº 7.238/84)]])-2,0)*($G55-$H55)</f>
        <v>0.46980875</v>
      </c>
      <c r="AV55" s="22">
        <f>VLOOKUP($A55,tabCustoUnit[],COLUMN(CUSTO_GLOBAL[[#Headers],[MÓDULO 3 – PROVISÃO PARA RESCISÃO]])-2,0)*($G55-$H55)</f>
        <v>24.823489377557866</v>
      </c>
      <c r="AW55" s="22">
        <f>VLOOKUP($A55,tabCustoUnit[],COLUMN(CUSTO_GLOBAL[[#Headers],[Ausência por Doença]])-2,0)*($G55-$H55)</f>
        <v>4.7607286666666662</v>
      </c>
      <c r="AX55" s="22">
        <f>VLOOKUP($A55,tabCustoUnit[],COLUMN(CUSTO_GLOBAL[[#Headers],[Ausências Legais]])-2,0)*($G55-$H55)</f>
        <v>1.1432012916666665</v>
      </c>
      <c r="AY55" s="22">
        <f>VLOOKUP($A55,tabCustoUnit[],COLUMN(CUSTO_GLOBAL[[#Headers],[Licença Paternidade]])-2,0)*($G55-$H55)</f>
        <v>9.6310793749999998E-2</v>
      </c>
      <c r="AZ55" s="22">
        <f>VLOOKUP($A55,tabCustoUnit[],COLUMN(CUSTO_GLOBAL[[#Headers],[Ausência por Acidente de Trabalho]])-2,0)*($G55-$H55)</f>
        <v>0.1174521875</v>
      </c>
      <c r="BA55" s="22">
        <f>VLOOKUP($A55,tabCustoUnit[],COLUMN(CUSTO_GLOBAL[[#Headers],[Férias, Adicional de Férias e 13º  com empregada em gozo de Licença Maternidade]])-2,0)*($G55-$H55)</f>
        <v>0.73081361111111109</v>
      </c>
      <c r="BB55" s="22">
        <f>VLOOKUP($A55,tabCustoUnit[],COLUMN(CUSTO_GLOBAL[[#Headers],[Incidência do Submódulo 2.1 sobre Ausências Legais]])-2,0)*($G55-$H55)</f>
        <v>2.5887354761625003</v>
      </c>
      <c r="BC55" s="22">
        <f>VLOOKUP($A55,tabCustoUnit[],COLUMN(CUSTO_GLOBAL[[#Headers],[Submódulo 4.1]])-2,0)*($G55-$H55)</f>
        <v>9.4372420268569428</v>
      </c>
      <c r="BD55" s="22">
        <f>VLOOKUP($A55,tabCustoUnit[],COLUMN(CUSTO_GLOBAL[[#Headers],[Intervalo para Repouso ou Alimentação]])-2,0)*($G55-$H55)</f>
        <v>0</v>
      </c>
      <c r="BE55" s="22">
        <f>VLOOKUP($A55,tabCustoUnit[],COLUMN(CUSTO_GLOBAL[[#Headers],[Submódulo 4.2]])-2,0)*($G55-$H55)</f>
        <v>0</v>
      </c>
      <c r="BF55" s="22">
        <f>VLOOKUP($A55,tabCustoUnit[],COLUMN(CUSTO_GLOBAL[[#Headers],[Suspensão Temporária do Contrato de Trabalho]])-2,0)*($G55-$H55)</f>
        <v>0</v>
      </c>
      <c r="BG55" s="22">
        <f>VLOOKUP($A55,tabCustoUnit[],COLUMN(CUSTO_GLOBAL[[#Headers],[Submódulo 4.3]])-2,0)*($G55-$H55)</f>
        <v>0</v>
      </c>
      <c r="BH55" s="22">
        <f>VLOOKUP($A55,tabCustoUnit[],COLUMN(CUSTO_GLOBAL[[#Headers],[MÓDULO 4 – CUSTO DE REPOSIÇÃO DO PROFISSIONAL AUSENTE]])-2,0)*($G55-$H55)</f>
        <v>9.4372420268569428</v>
      </c>
      <c r="BI55" s="22">
        <f>VLOOKUP($A55,tabCustoUnit[],COLUMN(CUSTO_GLOBAL[[#Headers],[Uniformes e EPIs]])-2,0)*($G55-$H55)</f>
        <v>62.806666666666665</v>
      </c>
      <c r="BJ55" s="22">
        <f>VLOOKUP($A55,tabCustoUnit[],COLUMN(CUSTO_GLOBAL[[#Headers],[Materiais de Consumo]])-2,0)*($G55-$H55)</f>
        <v>12.108481690426325</v>
      </c>
      <c r="BK55" s="22">
        <f>VLOOKUP($A55,tabCustoUnit[],COLUMN(CUSTO_GLOBAL[[#Headers],[Máquinas e Equipamentos (depreciação)]])-2,0)*($G55-$H55)</f>
        <v>21.998657016417809</v>
      </c>
      <c r="BL55" s="22">
        <f>VLOOKUP($A55,tabCustoUnit[],COLUMN(CUSTO_GLOBAL[[#Headers],[Produtos de Limpeza e Materiais de Higiene Pessoal]])-2,0)*($G55-$H55)</f>
        <v>235.31984072022155</v>
      </c>
      <c r="BM55" s="22">
        <f>VLOOKUP($A55,tabCustoUnit[],COLUMN(CUSTO_GLOBAL[[#Headers],[Outros (especificar)]])-2,0)*($G55-$H55)</f>
        <v>0</v>
      </c>
      <c r="BN55" s="22">
        <f>VLOOKUP($A55,tabCustoUnit[],COLUMN(CUSTO_GLOBAL[[#Headers],[MÓDULO 5 – INSUMOS DIVERSOS]])-2,0)*($G55-$H55)</f>
        <v>332.23364609373232</v>
      </c>
      <c r="BO55" s="22">
        <f>VLOOKUP($A55,tabCustoUnit[],COLUMN(CUSTO_GLOBAL[[#Headers],[TOTAL MÓDULOS 1+2+3+4+5]])-2,0)*($G55-$H55)</f>
        <v>1951.8984999148138</v>
      </c>
      <c r="BP55" s="22">
        <f>VLOOKUP($A55,tabCustoUnit[],COLUMN(CUSTO_GLOBAL[[#Headers],[Custos Indiretos]])-2,0)*($G55-$H55)</f>
        <v>189.64880140242613</v>
      </c>
      <c r="BQ55" s="22">
        <f>VLOOKUP($A55,tabCustoUnit[],COLUMN(CUSTO_GLOBAL[[#Headers],[Lucro]])-2,0)*($G55-$H55)</f>
        <v>159.30499317803796</v>
      </c>
      <c r="BR55" s="26">
        <f>VLOOKUP($A55,tabCustoUnit[],COLUMN(CUSTO_GLOBAL[[#Headers],[COFINS]])-2,0)</f>
        <v>8.6609686609686695E-2</v>
      </c>
      <c r="BS55" s="26">
        <f>VLOOKUP($A55,tabCustoUnit[],COLUMN(CUSTO_GLOBAL[[#Headers],[PIS]])-2,0)</f>
        <v>1.880341880341882E-2</v>
      </c>
      <c r="BT55" s="28">
        <f>VLOOKUP($A55,tabCustoUnit[],COLUMN(CUSTO_GLOBAL[[#Headers],[ISS]])-2,0)</f>
        <v>0.03</v>
      </c>
      <c r="BU55" s="26">
        <f>VLOOKUP($A55,tabCustoUnit[],COLUMN(CUSTO_GLOBAL[[#Headers],[ISS (Conversão Alíquota s/ fatura)]])-2,0)</f>
        <v>3.4188034188034219E-2</v>
      </c>
      <c r="BV55" s="26">
        <f>VLOOKUP($A55,tabCustoUnit[],COLUMN(CUSTO_GLOBAL[[#Headers],[Resumo de Alíquotas (PIS+CONFINS+ISS)]])-2,0)</f>
        <v>0.1225</v>
      </c>
      <c r="BW55" s="138">
        <f>VLOOKUP($A55,tabCustoUnit[],COLUMN(CUSTO_GLOBAL[[#Headers],[PIS + COFINS + ISS (Total Conversão  Alíquota s/ Fatura)]])-2,0)</f>
        <v>0.13960113960113973</v>
      </c>
      <c r="BX55" s="22">
        <f>VLOOKUP($A55,tabCustoUnit[],COLUMN(CUSTO_GLOBAL[[#Headers],[Valor dos Tributos (ISS, PIS, CONFINS)]])-2,0)*($G55-$H55)</f>
        <v>321.20160236543796</v>
      </c>
      <c r="BY55" s="22">
        <f>VLOOKUP($A55,tabCustoUnit[],COLUMN(CUSTO_GLOBAL[[#Headers],[MÓDULO 6 – CUSTOS INDIRETOS, TRIBUTOS E LUCRO]])-2,0)*($G55-$H55)</f>
        <v>670.15539694590211</v>
      </c>
      <c r="BZ55" s="22">
        <f>VLOOKUP($A55,tabCustoUnit[],COLUMN(CUSTO_GLOBAL[[#Headers],[CUSTO TOTAL MENSAL]])-2,0)*($G55-$H55)</f>
        <v>2622.0538968607161</v>
      </c>
      <c r="CA55" s="22">
        <f>CUSTO_GLOBAL[[#This Row],[CUSTO TOTAL MENSAL]]*12</f>
        <v>31464.646762328593</v>
      </c>
      <c r="CB55" s="24">
        <f>VLOOKUP($A55,tabCustoUnit[],COLUMN(CUSTO_GLOBAL[[#Headers],[ANO DA CCT]])-2,0)</f>
        <v>45658</v>
      </c>
      <c r="CC55" s="25" t="str">
        <f>VLOOKUP($A55,tabCustoUnit[],COLUMN(CUSTO_GLOBAL[[#Headers],[Nº DE PEDIDO DA CCT]])-2,0)</f>
        <v>-</v>
      </c>
      <c r="CD55" s="25" t="str">
        <f>VLOOKUP($A55,tabCustoUnit[],COLUMN(CUSTO_GLOBAL[[#Headers],[TERMO ADITIVO  ALTERAÇÃO DA CCT]])-2,0)</f>
        <v>-</v>
      </c>
      <c r="CF55" s="22"/>
      <c r="CG55" s="22"/>
    </row>
    <row r="56" spans="1:85" x14ac:dyDescent="0.25">
      <c r="A56" s="20" t="s">
        <v>1396</v>
      </c>
      <c r="B56" t="s">
        <v>54</v>
      </c>
      <c r="C56" t="s">
        <v>1244</v>
      </c>
      <c r="D56" t="s">
        <v>1023</v>
      </c>
      <c r="E56" s="20" t="s">
        <v>9</v>
      </c>
      <c r="F56" s="20" t="s">
        <v>10</v>
      </c>
      <c r="G56" s="20">
        <v>1</v>
      </c>
      <c r="H56" s="20">
        <v>0</v>
      </c>
      <c r="I56" s="21">
        <f>VLOOKUP($A56,tabCustoUnit[],COLUMN(CUSTO_GLOBAL[[#Headers],[Salário Base]])-2,0)*($G56-$H56)</f>
        <v>798.14</v>
      </c>
      <c r="J56" s="21">
        <f>VLOOKUP($A56,tabCustoUnit[],COLUMN(CUSTO_GLOBAL[[#Headers],[Adicional Periculosidade]])-2,0)*($G56-$H56)</f>
        <v>0</v>
      </c>
      <c r="K56" s="21">
        <f>VLOOKUP($A56,tabCustoUnit[],COLUMN(CUSTO_GLOBAL[[#Headers],[Adicional Insalubridade]])-2,0)*($G56-$H56)</f>
        <v>0</v>
      </c>
      <c r="L56" s="21">
        <f>VLOOKUP($A56,tabCustoUnit[],COLUMN(CUSTO_GLOBAL[[#Headers],[Adicional Noturno]])-2,0)*($G56-$H56)</f>
        <v>0</v>
      </c>
      <c r="M56" s="21">
        <f>VLOOKUP($A56,tabCustoUnit[],COLUMN(CUSTO_GLOBAL[[#Headers],[Adicional Motorista II (Gratificação)]])-2,0)*($G56-$H56)</f>
        <v>0</v>
      </c>
      <c r="N56" s="21">
        <f>VLOOKUP($A56,tabCustoUnit[],COLUMN(CUSTO_GLOBAL[[#Headers],[Adicional de Sobreaviso]])-2,0)*($G56-$H56)</f>
        <v>0</v>
      </c>
      <c r="O56" s="21">
        <f>VLOOKUP($A56,tabCustoUnit[],COLUMN(CUSTO_GLOBAL[[#Headers],[Horas Extras TI]])-2,0)*($G56-$H56)</f>
        <v>0</v>
      </c>
      <c r="P56" s="21">
        <f>VLOOKUP($A56,tabCustoUnit[],COLUMN(CUSTO_GLOBAL[[#Headers],[Adicional de Acúmulo de função]])-2,0)*($G56-$H56)</f>
        <v>26.120899999999999</v>
      </c>
      <c r="Q56" s="21">
        <f>VLOOKUP($A56,tabCustoUnit[],COLUMN(CUSTO_GLOBAL[[#Headers],[MODULO 1 - REMUNERAÇÃO ]])-2,0)*($G56-$H56)</f>
        <v>824.26089999999999</v>
      </c>
      <c r="R56" s="21">
        <f>VLOOKUP($A56,tabCustoUnit[],COLUMN(CUSTO_GLOBAL[[#Headers],[INSS]])-2,0)*($G56-$H56)</f>
        <v>164.85218</v>
      </c>
      <c r="S56" s="21">
        <f>VLOOKUP($A56,tabCustoUnit[],COLUMN(CUSTO_GLOBAL[[#Headers],[SESI OU SESC]])-2,0)*($G56-$H56)</f>
        <v>12.363913499999999</v>
      </c>
      <c r="T56" s="21">
        <f>VLOOKUP($A56,tabCustoUnit[],COLUMN(CUSTO_GLOBAL[[#Headers],[SENAI OU SENAC]])-2,0)*($G56-$H56)</f>
        <v>8.2426089999999999</v>
      </c>
      <c r="U56" s="21">
        <f>VLOOKUP($A56,tabCustoUnit[],COLUMN(CUSTO_GLOBAL[[#Headers],[INCRA]])-2,0)*($G56-$H56)</f>
        <v>1.6485217999999999</v>
      </c>
      <c r="V56" s="21">
        <f>VLOOKUP($A56,tabCustoUnit[],COLUMN(CUSTO_GLOBAL[[#Headers],[Salário Educação]])-2,0)*($G56-$H56)</f>
        <v>20.606522500000001</v>
      </c>
      <c r="W56" s="21">
        <f>VLOOKUP($A56,tabCustoUnit[],COLUMN(CUSTO_GLOBAL[[#Headers],[FGTS]])-2,0)*($G56-$H56)</f>
        <v>65.940871999999999</v>
      </c>
      <c r="X56" s="21">
        <f>VLOOKUP($A56,tabCustoUnit[],COLUMN(CUSTO_GLOBAL[[#Headers],[RAT Ajustado]])-2,0)*($G56-$H56)</f>
        <v>32.970435999999999</v>
      </c>
      <c r="Y56" s="21">
        <f>VLOOKUP($A56,tabCustoUnit[],COLUMN(CUSTO_GLOBAL[[#Headers],[SEBRAE]])-2,0)*($G56-$H56)</f>
        <v>4.9455654000000004</v>
      </c>
      <c r="Z56" s="21">
        <f>VLOOKUP($A56,tabCustoUnit[],COLUMN(CUSTO_GLOBAL[[#Headers],[Submódulo 2.1]])-2,0)*($G56-$H56)</f>
        <v>311.57062020000001</v>
      </c>
      <c r="AA56" s="21">
        <f>VLOOKUP($A56,tabCustoUnit[],COLUMN(CUSTO_GLOBAL[[#Headers],[13º salário (titular)]])-2,0)*($G56-$H56)</f>
        <v>68.688408333333328</v>
      </c>
      <c r="AB56" s="21">
        <f>VLOOKUP($A56,tabCustoUnit[],COLUMN(CUSTO_GLOBAL[[#Headers],[Férias e Adicional de Férias (titular)]])-2,0)*($G56-$H56)</f>
        <v>91.584544444444433</v>
      </c>
      <c r="AC56" s="21">
        <f>VLOOKUP($A56,tabCustoUnit[],COLUMN(CUSTO_GLOBAL[[#Headers],[Incidência do Submódulo 2.1 sobre 13º Salário, Férias e Adicional de Férias]])-2,0)*($G56-$H56)</f>
        <v>60.583176149999993</v>
      </c>
      <c r="AD56" s="21">
        <f>VLOOKUP($A56,tabCustoUnit[],COLUMN(CUSTO_GLOBAL[[#Headers],[Submódulo 2.2]])-2,0)*($G56-$H56)</f>
        <v>220.85612892777775</v>
      </c>
      <c r="AE56" s="22">
        <f>VLOOKUP($A56,tabCustoUnit[],COLUMN(CUSTO_GLOBAL[[#Headers],[Vale - Transporte (Descontada parcela do empregado)]])-2,0)*($G56-$H56)</f>
        <v>208.11160000000001</v>
      </c>
      <c r="AF56" s="22">
        <f>VLOOKUP($A56,tabCustoUnit[],COLUMN(CUSTO_GLOBAL[[#Headers],[Vale - Alimentação (Descontada parcela do empregado)]])-2,0)*($G56-$H56)</f>
        <v>582</v>
      </c>
      <c r="AG56" s="22">
        <f>VLOOKUP($A56,tabCustoUnit[],COLUMN(CUSTO_GLOBAL[[#Headers],[Cesta Básica]])-2,0)*($G56-$H56)</f>
        <v>0</v>
      </c>
      <c r="AH56" s="22">
        <f>VLOOKUP($A56,tabCustoUnit[],COLUMN(CUSTO_GLOBAL[[#Headers],[PAF]])-2,0)*($G56-$H56)</f>
        <v>0</v>
      </c>
      <c r="AI56" s="22">
        <f>VLOOKUP($A56,tabCustoUnit[],COLUMN(CUSTO_GLOBAL[[#Headers],[PQM]])-2,0)*($G56-$H56)</f>
        <v>0</v>
      </c>
      <c r="AJ56" s="22">
        <v>0</v>
      </c>
      <c r="AK56" s="22">
        <f>VLOOKUP($A56,tabCustoUnit[],COLUMN(CUSTO_GLOBAL[[#Headers],[Seguro de Vida]])-2,0)*($G56-$H56)</f>
        <v>3.36</v>
      </c>
      <c r="AL56" s="22">
        <f>VLOOKUP($A56,tabCustoUnit[],COLUMN(CUSTO_GLOBAL[[#Headers],[Despesas de Viagem]])-2,0)*($G56-$H56)</f>
        <v>0</v>
      </c>
      <c r="AM56" s="22">
        <f>VLOOKUP($A56,tabCustoUnit[],COLUMN(CUSTO_GLOBAL[[#Headers],[Submódulo 2.3]])-2,0)*($G56-$H56)</f>
        <v>793.47159999999997</v>
      </c>
      <c r="AN56" s="22">
        <f>VLOOKUP($A56,tabCustoUnit[],COLUMN(CUSTO_GLOBAL[[#Headers],[MÓDULO 2 - Total Encargos e Benefícios mensais e diários]])-2,0)*($G56-$H56)</f>
        <v>1325.8983491277777</v>
      </c>
      <c r="AO56" s="22">
        <f>VLOOKUP($A56,tabCustoUnit[],COLUMN(CUSTO_GLOBAL[[#Headers],[Aviso Prévio Indenizado (API) e Reflexo do Aviso Prévio Indenizado]])-2,0)*($G56-$H56)</f>
        <v>5.7795253576581791</v>
      </c>
      <c r="AP56" s="22">
        <f>VLOOKUP($A56,tabCustoUnit[],COLUMN(CUSTO_GLOBAL[[#Headers],[Incidência do FGTS sobre API e Reflexo do API]])-2,0)*($G56-$H56)</f>
        <v>0.46236202861265435</v>
      </c>
      <c r="AQ56" s="22">
        <f>VLOOKUP($A56,tabCustoUnit[],COLUMN(CUSTO_GLOBAL[[#Headers],[Multa Rescisória do FGTS sobre o Aviso Prévio Indenizado]])-2,0)*($G56-$H56)</f>
        <v>0.18494481144506175</v>
      </c>
      <c r="AR56" s="22">
        <f>VLOOKUP($A56,tabCustoUnit[],COLUMN(CUSTO_GLOBAL[[#Headers],[Aviso Prévio Trabalhado - APT]])-2,0)*($G56-$H56)</f>
        <v>2.8849131500000005</v>
      </c>
      <c r="AS56" s="22">
        <f>VLOOKUP($A56,tabCustoUnit[],COLUMN(CUSTO_GLOBAL[[#Headers],[Incidência dos encargos do submódulo 2.1 sobre Aviso Prévio Trabalhado]])-2,0)*($G56-$H56)</f>
        <v>1.0904971707000004</v>
      </c>
      <c r="AT56" s="22">
        <f>VLOOKUP($A56,tabCustoUnit[],COLUMN(CUSTO_GLOBAL[[#Headers],[Multa Rescisória do FGTS]])-2,0)*($G56-$H56)</f>
        <v>25.204066631111107</v>
      </c>
      <c r="AU56" s="22">
        <f>VLOOKUP($A56,tabCustoUnit[],COLUMN(CUSTO_GLOBAL[[#Headers],[Indenização Adicional (Art. 9º da Lei nº 7.238/84)]])-2,0)*($G56-$H56)</f>
        <v>0.6868840833333334</v>
      </c>
      <c r="AV56" s="22">
        <f>VLOOKUP($A56,tabCustoUnit[],COLUMN(CUSTO_GLOBAL[[#Headers],[MÓDULO 3 – PROVISÃO PARA RESCISÃO]])-2,0)*($G56-$H56)</f>
        <v>36.293193232860339</v>
      </c>
      <c r="AW56" s="22">
        <f>VLOOKUP($A56,tabCustoUnit[],COLUMN(CUSTO_GLOBAL[[#Headers],[Ausência por Doença]])-2,0)*($G56-$H56)</f>
        <v>6.9604253777777769</v>
      </c>
      <c r="AX56" s="22">
        <f>VLOOKUP($A56,tabCustoUnit[],COLUMN(CUSTO_GLOBAL[[#Headers],[Ausências Legais]])-2,0)*($G56-$H56)</f>
        <v>1.671417936111111</v>
      </c>
      <c r="AY56" s="22">
        <f>VLOOKUP($A56,tabCustoUnit[],COLUMN(CUSTO_GLOBAL[[#Headers],[Licença Paternidade]])-2,0)*($G56-$H56)</f>
        <v>0.14081123708333332</v>
      </c>
      <c r="AZ56" s="22">
        <f>VLOOKUP($A56,tabCustoUnit[],COLUMN(CUSTO_GLOBAL[[#Headers],[Ausência por Acidente de Trabalho]])-2,0)*($G56-$H56)</f>
        <v>0.17172102083333335</v>
      </c>
      <c r="BA56" s="22">
        <f>VLOOKUP($A56,tabCustoUnit[],COLUMN(CUSTO_GLOBAL[[#Headers],[Férias, Adicional de Férias e 13º  com empregada em gozo de Licença Maternidade]])-2,0)*($G56-$H56)</f>
        <v>1.0684863518518517</v>
      </c>
      <c r="BB56" s="22">
        <f>VLOOKUP($A56,tabCustoUnit[],COLUMN(CUSTO_GLOBAL[[#Headers],[Incidência do Submódulo 2.1 sobre Ausências Legais]])-2,0)*($G56-$H56)</f>
        <v>3.7848618071425006</v>
      </c>
      <c r="BC56" s="22">
        <f>VLOOKUP($A56,tabCustoUnit[],COLUMN(CUSTO_GLOBAL[[#Headers],[Submódulo 4.1]])-2,0)*($G56-$H56)</f>
        <v>13.797723730799909</v>
      </c>
      <c r="BD56" s="22">
        <f>VLOOKUP($A56,tabCustoUnit[],COLUMN(CUSTO_GLOBAL[[#Headers],[Intervalo para Repouso ou Alimentação]])-2,0)*($G56-$H56)</f>
        <v>0</v>
      </c>
      <c r="BE56" s="22">
        <f>VLOOKUP($A56,tabCustoUnit[],COLUMN(CUSTO_GLOBAL[[#Headers],[Submódulo 4.2]])-2,0)*($G56-$H56)</f>
        <v>0</v>
      </c>
      <c r="BF56" s="22">
        <f>VLOOKUP($A56,tabCustoUnit[],COLUMN(CUSTO_GLOBAL[[#Headers],[Suspensão Temporária do Contrato de Trabalho]])-2,0)*($G56-$H56)</f>
        <v>0</v>
      </c>
      <c r="BG56" s="22">
        <f>VLOOKUP($A56,tabCustoUnit[],COLUMN(CUSTO_GLOBAL[[#Headers],[Submódulo 4.3]])-2,0)*($G56-$H56)</f>
        <v>0</v>
      </c>
      <c r="BH56" s="22">
        <f>VLOOKUP($A56,tabCustoUnit[],COLUMN(CUSTO_GLOBAL[[#Headers],[MÓDULO 4 – CUSTO DE REPOSIÇÃO DO PROFISSIONAL AUSENTE]])-2,0)*($G56-$H56)</f>
        <v>13.797723730799909</v>
      </c>
      <c r="BI56" s="22">
        <f>VLOOKUP($A56,tabCustoUnit[],COLUMN(CUSTO_GLOBAL[[#Headers],[Uniformes e EPIs]])-2,0)*($G56-$H56)</f>
        <v>62.806666666666665</v>
      </c>
      <c r="BJ56" s="22">
        <f>VLOOKUP($A56,tabCustoUnit[],COLUMN(CUSTO_GLOBAL[[#Headers],[Materiais de Consumo]])-2,0)*($G56-$H56)</f>
        <v>17.759106479291944</v>
      </c>
      <c r="BK56" s="22">
        <f>VLOOKUP($A56,tabCustoUnit[],COLUMN(CUSTO_GLOBAL[[#Headers],[Máquinas e Equipamentos (depreciação)]])-2,0)*($G56-$H56)</f>
        <v>32.264696957412788</v>
      </c>
      <c r="BL56" s="22">
        <f>VLOOKUP($A56,tabCustoUnit[],COLUMN(CUSTO_GLOBAL[[#Headers],[Produtos de Limpeza e Materiais de Higiene Pessoal]])-2,0)*($G56-$H56)</f>
        <v>345.13576638965827</v>
      </c>
      <c r="BM56" s="22">
        <f>VLOOKUP($A56,tabCustoUnit[],COLUMN(CUSTO_GLOBAL[[#Headers],[Outros (especificar)]])-2,0)*($G56-$H56)</f>
        <v>0</v>
      </c>
      <c r="BN56" s="22">
        <f>VLOOKUP($A56,tabCustoUnit[],COLUMN(CUSTO_GLOBAL[[#Headers],[MÓDULO 5 – INSUMOS DIVERSOS]])-2,0)*($G56-$H56)</f>
        <v>457.96623649302967</v>
      </c>
      <c r="BO56" s="22">
        <f>VLOOKUP($A56,tabCustoUnit[],COLUMN(CUSTO_GLOBAL[[#Headers],[TOTAL MÓDULOS 1+2+3+4+5]])-2,0)*($G56-$H56)</f>
        <v>2658.2164025844677</v>
      </c>
      <c r="BP56" s="22">
        <f>VLOOKUP($A56,tabCustoUnit[],COLUMN(CUSTO_GLOBAL[[#Headers],[Custos Indiretos]])-2,0)*($G56-$H56)</f>
        <v>189.64880140242613</v>
      </c>
      <c r="BQ56" s="22">
        <f>VLOOKUP($A56,tabCustoUnit[],COLUMN(CUSTO_GLOBAL[[#Headers],[Lucro]])-2,0)*($G56-$H56)</f>
        <v>159.30499317803796</v>
      </c>
      <c r="BR56" s="26">
        <f>VLOOKUP($A56,tabCustoUnit[],COLUMN(CUSTO_GLOBAL[[#Headers],[COFINS]])-2,0)</f>
        <v>8.5633802816901458E-2</v>
      </c>
      <c r="BS56" s="26">
        <f>VLOOKUP($A56,tabCustoUnit[],COLUMN(CUSTO_GLOBAL[[#Headers],[PIS]])-2,0)</f>
        <v>1.8591549295774657E-2</v>
      </c>
      <c r="BT56" s="28">
        <f>VLOOKUP($A56,tabCustoUnit[],COLUMN(CUSTO_GLOBAL[[#Headers],[ISS]])-2,0)</f>
        <v>0.02</v>
      </c>
      <c r="BU56" s="26">
        <f>VLOOKUP($A56,tabCustoUnit[],COLUMN(CUSTO_GLOBAL[[#Headers],[ISS (Conversão Alíquota s/ fatura)]])-2,0)</f>
        <v>2.2535211267605645E-2</v>
      </c>
      <c r="BV56" s="26">
        <f>VLOOKUP($A56,tabCustoUnit[],COLUMN(CUSTO_GLOBAL[[#Headers],[Resumo de Alíquotas (PIS+CONFINS+ISS)]])-2,0)</f>
        <v>0.1125</v>
      </c>
      <c r="BW56" s="138">
        <f>VLOOKUP($A56,tabCustoUnit[],COLUMN(CUSTO_GLOBAL[[#Headers],[PIS + COFINS + ISS (Total Conversão  Alíquota s/ Fatura)]])-2,0)</f>
        <v>0.12676056338028174</v>
      </c>
      <c r="BX56" s="22">
        <f>VLOOKUP($A56,tabCustoUnit[],COLUMN(CUSTO_GLOBAL[[#Headers],[Valor dos Tributos (ISS, PIS, CONFINS)]])-2,0)*($G56-$H56)</f>
        <v>381.19058837301969</v>
      </c>
      <c r="BY56" s="22">
        <f>VLOOKUP($A56,tabCustoUnit[],COLUMN(CUSTO_GLOBAL[[#Headers],[MÓDULO 6 – CUSTOS INDIRETOS, TRIBUTOS E LUCRO]])-2,0)*($G56-$H56)</f>
        <v>730.14438295348373</v>
      </c>
      <c r="BZ56" s="22">
        <f>VLOOKUP($A56,tabCustoUnit[],COLUMN(CUSTO_GLOBAL[[#Headers],[CUSTO TOTAL MENSAL]])-2,0)*($G56-$H56)</f>
        <v>3388.3607855379514</v>
      </c>
      <c r="CA56" s="22">
        <f>CUSTO_GLOBAL[[#This Row],[CUSTO TOTAL MENSAL]]*12</f>
        <v>40660.329426455413</v>
      </c>
      <c r="CB56" s="24">
        <f>VLOOKUP($A56,tabCustoUnit[],COLUMN(CUSTO_GLOBAL[[#Headers],[ANO DA CCT]])-2,0)</f>
        <v>45658</v>
      </c>
      <c r="CC56" s="25" t="str">
        <f>VLOOKUP($A56,tabCustoUnit[],COLUMN(CUSTO_GLOBAL[[#Headers],[Nº DE PEDIDO DA CCT]])-2,0)</f>
        <v>-</v>
      </c>
      <c r="CD56" s="25" t="str">
        <f>VLOOKUP($A56,tabCustoUnit[],COLUMN(CUSTO_GLOBAL[[#Headers],[TERMO ADITIVO  ALTERAÇÃO DA CCT]])-2,0)</f>
        <v>-</v>
      </c>
      <c r="CF56" s="22"/>
      <c r="CG56" s="22"/>
    </row>
    <row r="57" spans="1:85" x14ac:dyDescent="0.25">
      <c r="A57" s="20" t="s">
        <v>1397</v>
      </c>
      <c r="B57" t="s">
        <v>55</v>
      </c>
      <c r="C57" t="s">
        <v>1247</v>
      </c>
      <c r="D57" t="s">
        <v>992</v>
      </c>
      <c r="E57" s="20" t="s">
        <v>9</v>
      </c>
      <c r="F57" s="20" t="s">
        <v>10</v>
      </c>
      <c r="G57" s="20">
        <v>1</v>
      </c>
      <c r="H57" s="20">
        <v>0</v>
      </c>
      <c r="I57" s="21">
        <f>VLOOKUP($A57,tabCustoUnit[],COLUMN(CUSTO_GLOBAL[[#Headers],[Salário Base]])-2,0)*($G57-$H57)</f>
        <v>544.17999999999995</v>
      </c>
      <c r="J57" s="21">
        <f>VLOOKUP($A57,tabCustoUnit[],COLUMN(CUSTO_GLOBAL[[#Headers],[Adicional Periculosidade]])-2,0)*($G57-$H57)</f>
        <v>0</v>
      </c>
      <c r="K57" s="21">
        <f>VLOOKUP($A57,tabCustoUnit[],COLUMN(CUSTO_GLOBAL[[#Headers],[Adicional Insalubridade]])-2,0)*($G57-$H57)</f>
        <v>0</v>
      </c>
      <c r="L57" s="21">
        <f>VLOOKUP($A57,tabCustoUnit[],COLUMN(CUSTO_GLOBAL[[#Headers],[Adicional Noturno]])-2,0)*($G57-$H57)</f>
        <v>0</v>
      </c>
      <c r="M57" s="21">
        <f>VLOOKUP($A57,tabCustoUnit[],COLUMN(CUSTO_GLOBAL[[#Headers],[Adicional Motorista II (Gratificação)]])-2,0)*($G57-$H57)</f>
        <v>0</v>
      </c>
      <c r="N57" s="21">
        <f>VLOOKUP($A57,tabCustoUnit[],COLUMN(CUSTO_GLOBAL[[#Headers],[Adicional de Sobreaviso]])-2,0)*($G57-$H57)</f>
        <v>0</v>
      </c>
      <c r="O57" s="21">
        <f>VLOOKUP($A57,tabCustoUnit[],COLUMN(CUSTO_GLOBAL[[#Headers],[Horas Extras TI]])-2,0)*($G57-$H57)</f>
        <v>0</v>
      </c>
      <c r="P57" s="21">
        <f>VLOOKUP($A57,tabCustoUnit[],COLUMN(CUSTO_GLOBAL[[#Headers],[Adicional de Acúmulo de função]])-2,0)*($G57-$H57)</f>
        <v>19.590499999999999</v>
      </c>
      <c r="Q57" s="21">
        <f>VLOOKUP($A57,tabCustoUnit[],COLUMN(CUSTO_GLOBAL[[#Headers],[MODULO 1 - REMUNERAÇÃO ]])-2,0)*($G57-$H57)</f>
        <v>563.77049999999997</v>
      </c>
      <c r="R57" s="21">
        <f>VLOOKUP($A57,tabCustoUnit[],COLUMN(CUSTO_GLOBAL[[#Headers],[INSS]])-2,0)*($G57-$H57)</f>
        <v>112.75409999999999</v>
      </c>
      <c r="S57" s="21">
        <f>VLOOKUP($A57,tabCustoUnit[],COLUMN(CUSTO_GLOBAL[[#Headers],[SESI OU SESC]])-2,0)*($G57-$H57)</f>
        <v>8.4565574999999988</v>
      </c>
      <c r="T57" s="21">
        <f>VLOOKUP($A57,tabCustoUnit[],COLUMN(CUSTO_GLOBAL[[#Headers],[SENAI OU SENAC]])-2,0)*($G57-$H57)</f>
        <v>5.6377049999999995</v>
      </c>
      <c r="U57" s="21">
        <f>VLOOKUP($A57,tabCustoUnit[],COLUMN(CUSTO_GLOBAL[[#Headers],[INCRA]])-2,0)*($G57-$H57)</f>
        <v>1.1275409999999999</v>
      </c>
      <c r="V57" s="21">
        <f>VLOOKUP($A57,tabCustoUnit[],COLUMN(CUSTO_GLOBAL[[#Headers],[Salário Educação]])-2,0)*($G57-$H57)</f>
        <v>14.094262499999999</v>
      </c>
      <c r="W57" s="21">
        <f>VLOOKUP($A57,tabCustoUnit[],COLUMN(CUSTO_GLOBAL[[#Headers],[FGTS]])-2,0)*($G57-$H57)</f>
        <v>45.101639999999996</v>
      </c>
      <c r="X57" s="21">
        <f>VLOOKUP($A57,tabCustoUnit[],COLUMN(CUSTO_GLOBAL[[#Headers],[RAT Ajustado]])-2,0)*($G57-$H57)</f>
        <v>22.550819999999998</v>
      </c>
      <c r="Y57" s="21">
        <f>VLOOKUP($A57,tabCustoUnit[],COLUMN(CUSTO_GLOBAL[[#Headers],[SEBRAE]])-2,0)*($G57-$H57)</f>
        <v>3.3826229999999997</v>
      </c>
      <c r="Z57" s="21">
        <f>VLOOKUP($A57,tabCustoUnit[],COLUMN(CUSTO_GLOBAL[[#Headers],[Submódulo 2.1]])-2,0)*($G57-$H57)</f>
        <v>213.10524899999996</v>
      </c>
      <c r="AA57" s="21">
        <f>VLOOKUP($A57,tabCustoUnit[],COLUMN(CUSTO_GLOBAL[[#Headers],[13º salário (titular)]])-2,0)*($G57-$H57)</f>
        <v>46.980874999999997</v>
      </c>
      <c r="AB57" s="21">
        <f>VLOOKUP($A57,tabCustoUnit[],COLUMN(CUSTO_GLOBAL[[#Headers],[Férias e Adicional de Férias (titular)]])-2,0)*($G57-$H57)</f>
        <v>62.641166666666663</v>
      </c>
      <c r="AC57" s="21">
        <f>VLOOKUP($A57,tabCustoUnit[],COLUMN(CUSTO_GLOBAL[[#Headers],[Incidência do Submódulo 2.1 sobre 13º Salário, Férias e Adicional de Férias]])-2,0)*($G57-$H57)</f>
        <v>41.437131749999992</v>
      </c>
      <c r="AD57" s="21">
        <f>VLOOKUP($A57,tabCustoUnit[],COLUMN(CUSTO_GLOBAL[[#Headers],[Submódulo 2.2]])-2,0)*($G57-$H57)</f>
        <v>151.05917341666665</v>
      </c>
      <c r="AE57" s="22">
        <f>VLOOKUP($A57,tabCustoUnit[],COLUMN(CUSTO_GLOBAL[[#Headers],[Vale - Transporte (Descontada parcela do empregado)]])-2,0)*($G57-$H57)</f>
        <v>223.3492</v>
      </c>
      <c r="AF57" s="22">
        <f>VLOOKUP($A57,tabCustoUnit[],COLUMN(CUSTO_GLOBAL[[#Headers],[Vale - Alimentação (Descontada parcela do empregado)]])-2,0)*($G57-$H57)</f>
        <v>0</v>
      </c>
      <c r="AG57" s="22">
        <f>VLOOKUP($A57,tabCustoUnit[],COLUMN(CUSTO_GLOBAL[[#Headers],[Cesta Básica]])-2,0)*($G57-$H57)</f>
        <v>387.79</v>
      </c>
      <c r="AH57" s="22">
        <f>VLOOKUP($A57,tabCustoUnit[],COLUMN(CUSTO_GLOBAL[[#Headers],[PAF]])-2,0)*($G57-$H57)</f>
        <v>42.97</v>
      </c>
      <c r="AI57" s="22">
        <f>VLOOKUP($A57,tabCustoUnit[],COLUMN(CUSTO_GLOBAL[[#Headers],[PQM]])-2,0)*($G57-$H57)</f>
        <v>0</v>
      </c>
      <c r="AJ57" s="22">
        <v>0</v>
      </c>
      <c r="AK57" s="22">
        <f>VLOOKUP($A57,tabCustoUnit[],COLUMN(CUSTO_GLOBAL[[#Headers],[Seguro de Vida]])-2,0)*($G57-$H57)</f>
        <v>3.36</v>
      </c>
      <c r="AL57" s="22">
        <f>VLOOKUP($A57,tabCustoUnit[],COLUMN(CUSTO_GLOBAL[[#Headers],[Despesas de Viagem]])-2,0)*($G57-$H57)</f>
        <v>0</v>
      </c>
      <c r="AM57" s="22">
        <f>VLOOKUP($A57,tabCustoUnit[],COLUMN(CUSTO_GLOBAL[[#Headers],[Submódulo 2.3]])-2,0)*($G57-$H57)</f>
        <v>657.46920000000011</v>
      </c>
      <c r="AN57" s="22">
        <f>VLOOKUP($A57,tabCustoUnit[],COLUMN(CUSTO_GLOBAL[[#Headers],[MÓDULO 2 - Total Encargos e Benefícios mensais e diários]])-2,0)*($G57-$H57)</f>
        <v>1021.6336224166668</v>
      </c>
      <c r="AO57" s="22">
        <f>VLOOKUP($A57,tabCustoUnit[],COLUMN(CUSTO_GLOBAL[[#Headers],[Aviso Prévio Indenizado (API) e Reflexo do Aviso Prévio Indenizado]])-2,0)*($G57-$H57)</f>
        <v>3.9530273735532404</v>
      </c>
      <c r="AP57" s="22">
        <f>VLOOKUP($A57,tabCustoUnit[],COLUMN(CUSTO_GLOBAL[[#Headers],[Incidência do FGTS sobre API e Reflexo do API]])-2,0)*($G57-$H57)</f>
        <v>0.31624218988425928</v>
      </c>
      <c r="AQ57" s="22">
        <f>VLOOKUP($A57,tabCustoUnit[],COLUMN(CUSTO_GLOBAL[[#Headers],[Multa Rescisória do FGTS sobre o Aviso Prévio Indenizado]])-2,0)*($G57-$H57)</f>
        <v>0.12649687595370371</v>
      </c>
      <c r="AR57" s="22">
        <f>VLOOKUP($A57,tabCustoUnit[],COLUMN(CUSTO_GLOBAL[[#Headers],[Aviso Prévio Trabalhado - APT]])-2,0)*($G57-$H57)</f>
        <v>1.9731967500000003</v>
      </c>
      <c r="AS57" s="22">
        <f>VLOOKUP($A57,tabCustoUnit[],COLUMN(CUSTO_GLOBAL[[#Headers],[Incidência dos encargos do submódulo 2.1 sobre Aviso Prévio Trabalhado]])-2,0)*($G57-$H57)</f>
        <v>0.74586837150000018</v>
      </c>
      <c r="AT57" s="22">
        <f>VLOOKUP($A57,tabCustoUnit[],COLUMN(CUSTO_GLOBAL[[#Headers],[Multa Rescisória do FGTS]])-2,0)*($G57-$H57)</f>
        <v>17.238849066666663</v>
      </c>
      <c r="AU57" s="22">
        <f>VLOOKUP($A57,tabCustoUnit[],COLUMN(CUSTO_GLOBAL[[#Headers],[Indenização Adicional (Art. 9º da Lei nº 7.238/84)]])-2,0)*($G57-$H57)</f>
        <v>0.46980875</v>
      </c>
      <c r="AV57" s="22">
        <f>VLOOKUP($A57,tabCustoUnit[],COLUMN(CUSTO_GLOBAL[[#Headers],[MÓDULO 3 – PROVISÃO PARA RESCISÃO]])-2,0)*($G57-$H57)</f>
        <v>24.823489377557866</v>
      </c>
      <c r="AW57" s="22">
        <f>VLOOKUP($A57,tabCustoUnit[],COLUMN(CUSTO_GLOBAL[[#Headers],[Ausência por Doença]])-2,0)*($G57-$H57)</f>
        <v>4.7607286666666662</v>
      </c>
      <c r="AX57" s="22">
        <f>VLOOKUP($A57,tabCustoUnit[],COLUMN(CUSTO_GLOBAL[[#Headers],[Ausências Legais]])-2,0)*($G57-$H57)</f>
        <v>1.1432012916666665</v>
      </c>
      <c r="AY57" s="22">
        <f>VLOOKUP($A57,tabCustoUnit[],COLUMN(CUSTO_GLOBAL[[#Headers],[Licença Paternidade]])-2,0)*($G57-$H57)</f>
        <v>9.6310793749999998E-2</v>
      </c>
      <c r="AZ57" s="22">
        <f>VLOOKUP($A57,tabCustoUnit[],COLUMN(CUSTO_GLOBAL[[#Headers],[Ausência por Acidente de Trabalho]])-2,0)*($G57-$H57)</f>
        <v>0.1174521875</v>
      </c>
      <c r="BA57" s="22">
        <f>VLOOKUP($A57,tabCustoUnit[],COLUMN(CUSTO_GLOBAL[[#Headers],[Férias, Adicional de Férias e 13º  com empregada em gozo de Licença Maternidade]])-2,0)*($G57-$H57)</f>
        <v>0.73081361111111109</v>
      </c>
      <c r="BB57" s="22">
        <f>VLOOKUP($A57,tabCustoUnit[],COLUMN(CUSTO_GLOBAL[[#Headers],[Incidência do Submódulo 2.1 sobre Ausências Legais]])-2,0)*($G57-$H57)</f>
        <v>2.5887354761625003</v>
      </c>
      <c r="BC57" s="22">
        <f>VLOOKUP($A57,tabCustoUnit[],COLUMN(CUSTO_GLOBAL[[#Headers],[Submódulo 4.1]])-2,0)*($G57-$H57)</f>
        <v>9.4372420268569428</v>
      </c>
      <c r="BD57" s="22">
        <f>VLOOKUP($A57,tabCustoUnit[],COLUMN(CUSTO_GLOBAL[[#Headers],[Intervalo para Repouso ou Alimentação]])-2,0)*($G57-$H57)</f>
        <v>0</v>
      </c>
      <c r="BE57" s="22">
        <f>VLOOKUP($A57,tabCustoUnit[],COLUMN(CUSTO_GLOBAL[[#Headers],[Submódulo 4.2]])-2,0)*($G57-$H57)</f>
        <v>0</v>
      </c>
      <c r="BF57" s="22">
        <f>VLOOKUP($A57,tabCustoUnit[],COLUMN(CUSTO_GLOBAL[[#Headers],[Suspensão Temporária do Contrato de Trabalho]])-2,0)*($G57-$H57)</f>
        <v>0</v>
      </c>
      <c r="BG57" s="22">
        <f>VLOOKUP($A57,tabCustoUnit[],COLUMN(CUSTO_GLOBAL[[#Headers],[Submódulo 4.3]])-2,0)*($G57-$H57)</f>
        <v>0</v>
      </c>
      <c r="BH57" s="22">
        <f>VLOOKUP($A57,tabCustoUnit[],COLUMN(CUSTO_GLOBAL[[#Headers],[MÓDULO 4 – CUSTO DE REPOSIÇÃO DO PROFISSIONAL AUSENTE]])-2,0)*($G57-$H57)</f>
        <v>9.4372420268569428</v>
      </c>
      <c r="BI57" s="22">
        <f>VLOOKUP($A57,tabCustoUnit[],COLUMN(CUSTO_GLOBAL[[#Headers],[Uniformes e EPIs]])-2,0)*($G57-$H57)</f>
        <v>62.806666666666665</v>
      </c>
      <c r="BJ57" s="22">
        <f>VLOOKUP($A57,tabCustoUnit[],COLUMN(CUSTO_GLOBAL[[#Headers],[Materiais de Consumo]])-2,0)*($G57-$H57)</f>
        <v>12.108481690426325</v>
      </c>
      <c r="BK57" s="22">
        <f>VLOOKUP($A57,tabCustoUnit[],COLUMN(CUSTO_GLOBAL[[#Headers],[Máquinas e Equipamentos (depreciação)]])-2,0)*($G57-$H57)</f>
        <v>21.998657016417809</v>
      </c>
      <c r="BL57" s="22">
        <f>VLOOKUP($A57,tabCustoUnit[],COLUMN(CUSTO_GLOBAL[[#Headers],[Produtos de Limpeza e Materiais de Higiene Pessoal]])-2,0)*($G57-$H57)</f>
        <v>235.31984072022155</v>
      </c>
      <c r="BM57" s="22">
        <f>VLOOKUP($A57,tabCustoUnit[],COLUMN(CUSTO_GLOBAL[[#Headers],[Outros (especificar)]])-2,0)*($G57-$H57)</f>
        <v>0</v>
      </c>
      <c r="BN57" s="22">
        <f>VLOOKUP($A57,tabCustoUnit[],COLUMN(CUSTO_GLOBAL[[#Headers],[MÓDULO 5 – INSUMOS DIVERSOS]])-2,0)*($G57-$H57)</f>
        <v>332.23364609373232</v>
      </c>
      <c r="BO57" s="22">
        <f>VLOOKUP($A57,tabCustoUnit[],COLUMN(CUSTO_GLOBAL[[#Headers],[TOTAL MÓDULOS 1+2+3+4+5]])-2,0)*($G57-$H57)</f>
        <v>1951.8984999148138</v>
      </c>
      <c r="BP57" s="22">
        <f>VLOOKUP($A57,tabCustoUnit[],COLUMN(CUSTO_GLOBAL[[#Headers],[Custos Indiretos]])-2,0)*($G57-$H57)</f>
        <v>189.64880140242613</v>
      </c>
      <c r="BQ57" s="22">
        <f>VLOOKUP($A57,tabCustoUnit[],COLUMN(CUSTO_GLOBAL[[#Headers],[Lucro]])-2,0)*($G57-$H57)</f>
        <v>159.30499317803796</v>
      </c>
      <c r="BR57" s="26">
        <f>VLOOKUP($A57,tabCustoUnit[],COLUMN(CUSTO_GLOBAL[[#Headers],[COFINS]])-2,0)</f>
        <v>8.8629737609329504E-2</v>
      </c>
      <c r="BS57" s="26">
        <f>VLOOKUP($A57,tabCustoUnit[],COLUMN(CUSTO_GLOBAL[[#Headers],[PIS]])-2,0)</f>
        <v>1.9241982507288629E-2</v>
      </c>
      <c r="BT57" s="28">
        <f>VLOOKUP($A57,tabCustoUnit[],COLUMN(CUSTO_GLOBAL[[#Headers],[ISS]])-2,0)</f>
        <v>0.05</v>
      </c>
      <c r="BU57" s="26">
        <f>VLOOKUP($A57,tabCustoUnit[],COLUMN(CUSTO_GLOBAL[[#Headers],[ISS (Conversão Alíquota s/ fatura)]])-2,0)</f>
        <v>5.8309037900874633E-2</v>
      </c>
      <c r="BV57" s="26">
        <f>VLOOKUP($A57,tabCustoUnit[],COLUMN(CUSTO_GLOBAL[[#Headers],[Resumo de Alíquotas (PIS+CONFINS+ISS)]])-2,0)</f>
        <v>0.14250000000000002</v>
      </c>
      <c r="BW57" s="138">
        <f>VLOOKUP($A57,tabCustoUnit[],COLUMN(CUSTO_GLOBAL[[#Headers],[PIS + COFINS + ISS (Total Conversão  Alíquota s/ Fatura)]])-2,0)</f>
        <v>0.16618075801749277</v>
      </c>
      <c r="BX57" s="22">
        <f>VLOOKUP($A57,tabCustoUnit[],COLUMN(CUSTO_GLOBAL[[#Headers],[Valor dos Tributos (ISS, PIS, CONFINS)]])-2,0)*($G57-$H57)</f>
        <v>382.35737838551279</v>
      </c>
      <c r="BY57" s="22">
        <f>VLOOKUP($A57,tabCustoUnit[],COLUMN(CUSTO_GLOBAL[[#Headers],[MÓDULO 6 – CUSTOS INDIRETOS, TRIBUTOS E LUCRO]])-2,0)*($G57-$H57)</f>
        <v>731.31117296597688</v>
      </c>
      <c r="BZ57" s="22">
        <f>VLOOKUP($A57,tabCustoUnit[],COLUMN(CUSTO_GLOBAL[[#Headers],[CUSTO TOTAL MENSAL]])-2,0)*($G57-$H57)</f>
        <v>2683.2096728807905</v>
      </c>
      <c r="CA57" s="22">
        <f>CUSTO_GLOBAL[[#This Row],[CUSTO TOTAL MENSAL]]*12</f>
        <v>32198.516074569488</v>
      </c>
      <c r="CB57" s="24">
        <f>VLOOKUP($A57,tabCustoUnit[],COLUMN(CUSTO_GLOBAL[[#Headers],[ANO DA CCT]])-2,0)</f>
        <v>45658</v>
      </c>
      <c r="CC57" s="25" t="str">
        <f>VLOOKUP($A57,tabCustoUnit[],COLUMN(CUSTO_GLOBAL[[#Headers],[Nº DE PEDIDO DA CCT]])-2,0)</f>
        <v>-</v>
      </c>
      <c r="CD57" s="25" t="str">
        <f>VLOOKUP($A57,tabCustoUnit[],COLUMN(CUSTO_GLOBAL[[#Headers],[TERMO ADITIVO  ALTERAÇÃO DA CCT]])-2,0)</f>
        <v>-</v>
      </c>
      <c r="CF57" s="22"/>
      <c r="CG57" s="22"/>
    </row>
    <row r="58" spans="1:85" x14ac:dyDescent="0.25">
      <c r="A58" s="20" t="s">
        <v>1398</v>
      </c>
      <c r="B58" t="s">
        <v>56</v>
      </c>
      <c r="C58" t="s">
        <v>1246</v>
      </c>
      <c r="D58" t="s">
        <v>1023</v>
      </c>
      <c r="E58" s="20" t="s">
        <v>9</v>
      </c>
      <c r="F58" s="20" t="s">
        <v>10</v>
      </c>
      <c r="G58" s="20">
        <v>1</v>
      </c>
      <c r="H58" s="20">
        <v>0</v>
      </c>
      <c r="I58" s="21">
        <f>VLOOKUP($A58,tabCustoUnit[],COLUMN(CUSTO_GLOBAL[[#Headers],[Salário Base]])-2,0)*($G58-$H58)</f>
        <v>1088.3699999999999</v>
      </c>
      <c r="J58" s="21">
        <f>VLOOKUP($A58,tabCustoUnit[],COLUMN(CUSTO_GLOBAL[[#Headers],[Adicional Periculosidade]])-2,0)*($G58-$H58)</f>
        <v>0</v>
      </c>
      <c r="K58" s="21">
        <f>VLOOKUP($A58,tabCustoUnit[],COLUMN(CUSTO_GLOBAL[[#Headers],[Adicional Insalubridade]])-2,0)*($G58-$H58)</f>
        <v>0</v>
      </c>
      <c r="L58" s="21">
        <f>VLOOKUP($A58,tabCustoUnit[],COLUMN(CUSTO_GLOBAL[[#Headers],[Adicional Noturno]])-2,0)*($G58-$H58)</f>
        <v>0</v>
      </c>
      <c r="M58" s="21">
        <f>VLOOKUP($A58,tabCustoUnit[],COLUMN(CUSTO_GLOBAL[[#Headers],[Adicional Motorista II (Gratificação)]])-2,0)*($G58-$H58)</f>
        <v>0</v>
      </c>
      <c r="N58" s="21">
        <f>VLOOKUP($A58,tabCustoUnit[],COLUMN(CUSTO_GLOBAL[[#Headers],[Adicional de Sobreaviso]])-2,0)*($G58-$H58)</f>
        <v>0</v>
      </c>
      <c r="O58" s="21">
        <f>VLOOKUP($A58,tabCustoUnit[],COLUMN(CUSTO_GLOBAL[[#Headers],[Horas Extras TI]])-2,0)*($G58-$H58)</f>
        <v>0</v>
      </c>
      <c r="P58" s="21">
        <f>VLOOKUP($A58,tabCustoUnit[],COLUMN(CUSTO_GLOBAL[[#Headers],[Adicional de Acúmulo de função]])-2,0)*($G58-$H58)</f>
        <v>39.1813</v>
      </c>
      <c r="Q58" s="21">
        <f>VLOOKUP($A58,tabCustoUnit[],COLUMN(CUSTO_GLOBAL[[#Headers],[MODULO 1 - REMUNERAÇÃO ]])-2,0)*($G58-$H58)</f>
        <v>1127.5512999999999</v>
      </c>
      <c r="R58" s="21">
        <f>VLOOKUP($A58,tabCustoUnit[],COLUMN(CUSTO_GLOBAL[[#Headers],[INSS]])-2,0)*($G58-$H58)</f>
        <v>225.51025999999999</v>
      </c>
      <c r="S58" s="21">
        <f>VLOOKUP($A58,tabCustoUnit[],COLUMN(CUSTO_GLOBAL[[#Headers],[SESI OU SESC]])-2,0)*($G58-$H58)</f>
        <v>16.913269499999998</v>
      </c>
      <c r="T58" s="21">
        <f>VLOOKUP($A58,tabCustoUnit[],COLUMN(CUSTO_GLOBAL[[#Headers],[SENAI OU SENAC]])-2,0)*($G58-$H58)</f>
        <v>11.275512999999998</v>
      </c>
      <c r="U58" s="21">
        <f>VLOOKUP($A58,tabCustoUnit[],COLUMN(CUSTO_GLOBAL[[#Headers],[INCRA]])-2,0)*($G58-$H58)</f>
        <v>2.2551025999999998</v>
      </c>
      <c r="V58" s="21">
        <f>VLOOKUP($A58,tabCustoUnit[],COLUMN(CUSTO_GLOBAL[[#Headers],[Salário Educação]])-2,0)*($G58-$H58)</f>
        <v>28.188782499999999</v>
      </c>
      <c r="W58" s="21">
        <f>VLOOKUP($A58,tabCustoUnit[],COLUMN(CUSTO_GLOBAL[[#Headers],[FGTS]])-2,0)*($G58-$H58)</f>
        <v>90.204103999999987</v>
      </c>
      <c r="X58" s="21">
        <f>VLOOKUP($A58,tabCustoUnit[],COLUMN(CUSTO_GLOBAL[[#Headers],[RAT Ajustado]])-2,0)*($G58-$H58)</f>
        <v>45.102051999999993</v>
      </c>
      <c r="Y58" s="21">
        <f>VLOOKUP($A58,tabCustoUnit[],COLUMN(CUSTO_GLOBAL[[#Headers],[SEBRAE]])-2,0)*($G58-$H58)</f>
        <v>6.7653077999999995</v>
      </c>
      <c r="Z58" s="21">
        <f>VLOOKUP($A58,tabCustoUnit[],COLUMN(CUSTO_GLOBAL[[#Headers],[Submódulo 2.1]])-2,0)*($G58-$H58)</f>
        <v>426.21439139999995</v>
      </c>
      <c r="AA58" s="21">
        <f>VLOOKUP($A58,tabCustoUnit[],COLUMN(CUSTO_GLOBAL[[#Headers],[13º salário (titular)]])-2,0)*($G58-$H58)</f>
        <v>93.962608333333321</v>
      </c>
      <c r="AB58" s="21">
        <f>VLOOKUP($A58,tabCustoUnit[],COLUMN(CUSTO_GLOBAL[[#Headers],[Férias e Adicional de Férias (titular)]])-2,0)*($G58-$H58)</f>
        <v>125.28347777777776</v>
      </c>
      <c r="AC58" s="21">
        <f>VLOOKUP($A58,tabCustoUnit[],COLUMN(CUSTO_GLOBAL[[#Headers],[Incidência do Submódulo 2.1 sobre 13º Salário, Férias e Adicional de Férias]])-2,0)*($G58-$H58)</f>
        <v>82.875020549999988</v>
      </c>
      <c r="AD58" s="21">
        <f>VLOOKUP($A58,tabCustoUnit[],COLUMN(CUSTO_GLOBAL[[#Headers],[Submódulo 2.2]])-2,0)*($G58-$H58)</f>
        <v>302.12110666111107</v>
      </c>
      <c r="AE58" s="22">
        <f>VLOOKUP($A58,tabCustoUnit[],COLUMN(CUSTO_GLOBAL[[#Headers],[Vale - Transporte (Descontada parcela do empregado)]])-2,0)*($G58-$H58)</f>
        <v>190.69780000000003</v>
      </c>
      <c r="AF58" s="22">
        <f>VLOOKUP($A58,tabCustoUnit[],COLUMN(CUSTO_GLOBAL[[#Headers],[Vale - Alimentação (Descontada parcela do empregado)]])-2,0)*($G58-$H58)</f>
        <v>582</v>
      </c>
      <c r="AG58" s="22">
        <f>VLOOKUP($A58,tabCustoUnit[],COLUMN(CUSTO_GLOBAL[[#Headers],[Cesta Básica]])-2,0)*($G58-$H58)</f>
        <v>0</v>
      </c>
      <c r="AH58" s="22">
        <f>VLOOKUP($A58,tabCustoUnit[],COLUMN(CUSTO_GLOBAL[[#Headers],[PAF]])-2,0)*($G58-$H58)</f>
        <v>0</v>
      </c>
      <c r="AI58" s="22">
        <f>VLOOKUP($A58,tabCustoUnit[],COLUMN(CUSTO_GLOBAL[[#Headers],[PQM]])-2,0)*($G58-$H58)</f>
        <v>0</v>
      </c>
      <c r="AJ58" s="22">
        <v>0</v>
      </c>
      <c r="AK58" s="22">
        <f>VLOOKUP($A58,tabCustoUnit[],COLUMN(CUSTO_GLOBAL[[#Headers],[Seguro de Vida]])-2,0)*($G58-$H58)</f>
        <v>3.36</v>
      </c>
      <c r="AL58" s="22">
        <f>VLOOKUP($A58,tabCustoUnit[],COLUMN(CUSTO_GLOBAL[[#Headers],[Despesas de Viagem]])-2,0)*($G58-$H58)</f>
        <v>0</v>
      </c>
      <c r="AM58" s="22">
        <f>VLOOKUP($A58,tabCustoUnit[],COLUMN(CUSTO_GLOBAL[[#Headers],[Submódulo 2.3]])-2,0)*($G58-$H58)</f>
        <v>776.05780000000004</v>
      </c>
      <c r="AN58" s="22">
        <f>VLOOKUP($A58,tabCustoUnit[],COLUMN(CUSTO_GLOBAL[[#Headers],[MÓDULO 2 - Total Encargos e Benefícios mensais e diários]])-2,0)*($G58-$H58)</f>
        <v>1504.3932980611112</v>
      </c>
      <c r="AO58" s="22">
        <f>VLOOKUP($A58,tabCustoUnit[],COLUMN(CUSTO_GLOBAL[[#Headers],[Aviso Prévio Indenizado (API) e Reflexo do Aviso Prévio Indenizado]])-2,0)*($G58-$H58)</f>
        <v>7.9061269683063262</v>
      </c>
      <c r="AP58" s="22">
        <f>VLOOKUP($A58,tabCustoUnit[],COLUMN(CUSTO_GLOBAL[[#Headers],[Incidência do FGTS sobre API e Reflexo do API]])-2,0)*($G58-$H58)</f>
        <v>0.6324901574645061</v>
      </c>
      <c r="AQ58" s="22">
        <f>VLOOKUP($A58,tabCustoUnit[],COLUMN(CUSTO_GLOBAL[[#Headers],[Multa Rescisória do FGTS sobre o Aviso Prévio Indenizado]])-2,0)*($G58-$H58)</f>
        <v>0.25299606298580246</v>
      </c>
      <c r="AR58" s="22">
        <f>VLOOKUP($A58,tabCustoUnit[],COLUMN(CUSTO_GLOBAL[[#Headers],[Aviso Prévio Trabalhado - APT]])-2,0)*($G58-$H58)</f>
        <v>3.94642955</v>
      </c>
      <c r="AS58" s="22">
        <f>VLOOKUP($A58,tabCustoUnit[],COLUMN(CUSTO_GLOBAL[[#Headers],[Incidência dos encargos do submódulo 2.1 sobre Aviso Prévio Trabalhado]])-2,0)*($G58-$H58)</f>
        <v>1.4917503699000003</v>
      </c>
      <c r="AT58" s="22">
        <f>VLOOKUP($A58,tabCustoUnit[],COLUMN(CUSTO_GLOBAL[[#Headers],[Multa Rescisória do FGTS]])-2,0)*($G58-$H58)</f>
        <v>34.478013084444434</v>
      </c>
      <c r="AU58" s="22">
        <f>VLOOKUP($A58,tabCustoUnit[],COLUMN(CUSTO_GLOBAL[[#Headers],[Indenização Adicional (Art. 9º da Lei nº 7.238/84)]])-2,0)*($G58-$H58)</f>
        <v>0.93962608333333331</v>
      </c>
      <c r="AV58" s="22">
        <f>VLOOKUP($A58,tabCustoUnit[],COLUMN(CUSTO_GLOBAL[[#Headers],[MÓDULO 3 – PROVISÃO PARA RESCISÃO]])-2,0)*($G58-$H58)</f>
        <v>49.647432276434401</v>
      </c>
      <c r="AW58" s="22">
        <f>VLOOKUP($A58,tabCustoUnit[],COLUMN(CUSTO_GLOBAL[[#Headers],[Ausência por Doença]])-2,0)*($G58-$H58)</f>
        <v>9.5215443111111089</v>
      </c>
      <c r="AX58" s="22">
        <f>VLOOKUP($A58,tabCustoUnit[],COLUMN(CUSTO_GLOBAL[[#Headers],[Ausências Legais]])-2,0)*($G58-$H58)</f>
        <v>2.2864234694444439</v>
      </c>
      <c r="AY58" s="22">
        <f>VLOOKUP($A58,tabCustoUnit[],COLUMN(CUSTO_GLOBAL[[#Headers],[Licença Paternidade]])-2,0)*($G58-$H58)</f>
        <v>0.19262334708333331</v>
      </c>
      <c r="AZ58" s="22">
        <f>VLOOKUP($A58,tabCustoUnit[],COLUMN(CUSTO_GLOBAL[[#Headers],[Ausência por Acidente de Trabalho]])-2,0)*($G58-$H58)</f>
        <v>0.23490652083333333</v>
      </c>
      <c r="BA58" s="22">
        <f>VLOOKUP($A58,tabCustoUnit[],COLUMN(CUSTO_GLOBAL[[#Headers],[Férias, Adicional de Férias e 13º  com empregada em gozo de Licença Maternidade]])-2,0)*($G58-$H58)</f>
        <v>1.4616405740740739</v>
      </c>
      <c r="BB58" s="22">
        <f>VLOOKUP($A58,tabCustoUnit[],COLUMN(CUSTO_GLOBAL[[#Headers],[Incidência do Submódulo 2.1 sobre Ausências Legais]])-2,0)*($G58-$H58)</f>
        <v>5.1775182481225004</v>
      </c>
      <c r="BC58" s="22">
        <f>VLOOKUP($A58,tabCustoUnit[],COLUMN(CUSTO_GLOBAL[[#Headers],[Submódulo 4.1]])-2,0)*($G58-$H58)</f>
        <v>18.874656470668793</v>
      </c>
      <c r="BD58" s="22">
        <f>VLOOKUP($A58,tabCustoUnit[],COLUMN(CUSTO_GLOBAL[[#Headers],[Intervalo para Repouso ou Alimentação]])-2,0)*($G58-$H58)</f>
        <v>0</v>
      </c>
      <c r="BE58" s="22">
        <f>VLOOKUP($A58,tabCustoUnit[],COLUMN(CUSTO_GLOBAL[[#Headers],[Submódulo 4.2]])-2,0)*($G58-$H58)</f>
        <v>0</v>
      </c>
      <c r="BF58" s="22">
        <f>VLOOKUP($A58,tabCustoUnit[],COLUMN(CUSTO_GLOBAL[[#Headers],[Suspensão Temporária do Contrato de Trabalho]])-2,0)*($G58-$H58)</f>
        <v>0</v>
      </c>
      <c r="BG58" s="22">
        <f>VLOOKUP($A58,tabCustoUnit[],COLUMN(CUSTO_GLOBAL[[#Headers],[Submódulo 4.3]])-2,0)*($G58-$H58)</f>
        <v>0</v>
      </c>
      <c r="BH58" s="22">
        <f>VLOOKUP($A58,tabCustoUnit[],COLUMN(CUSTO_GLOBAL[[#Headers],[MÓDULO 4 – CUSTO DE REPOSIÇÃO DO PROFISSIONAL AUSENTE]])-2,0)*($G58-$H58)</f>
        <v>18.874656470668793</v>
      </c>
      <c r="BI58" s="22">
        <f>VLOOKUP($A58,tabCustoUnit[],COLUMN(CUSTO_GLOBAL[[#Headers],[Uniformes e EPIs]])-2,0)*($G58-$H58)</f>
        <v>100.80916666666666</v>
      </c>
      <c r="BJ58" s="22">
        <f>VLOOKUP($A58,tabCustoUnit[],COLUMN(CUSTO_GLOBAL[[#Headers],[Materiais de Consumo]])-2,0)*($G58-$H58)</f>
        <v>24.216963380852651</v>
      </c>
      <c r="BK58" s="22">
        <f>VLOOKUP($A58,tabCustoUnit[],COLUMN(CUSTO_GLOBAL[[#Headers],[Máquinas e Equipamentos (depreciação)]])-2,0)*($G58-$H58)</f>
        <v>43.997314032835618</v>
      </c>
      <c r="BL58" s="22">
        <f>VLOOKUP($A58,tabCustoUnit[],COLUMN(CUSTO_GLOBAL[[#Headers],[Produtos de Limpeza e Materiais de Higiene Pessoal]])-2,0)*($G58-$H58)</f>
        <v>470.6396814404431</v>
      </c>
      <c r="BM58" s="22">
        <f>VLOOKUP($A58,tabCustoUnit[],COLUMN(CUSTO_GLOBAL[[#Headers],[Outros (especificar)]])-2,0)*($G58-$H58)</f>
        <v>0</v>
      </c>
      <c r="BN58" s="22">
        <f>VLOOKUP($A58,tabCustoUnit[],COLUMN(CUSTO_GLOBAL[[#Headers],[MÓDULO 5 – INSUMOS DIVERSOS]])-2,0)*($G58-$H58)</f>
        <v>639.66312552079808</v>
      </c>
      <c r="BO58" s="22">
        <f>VLOOKUP($A58,tabCustoUnit[],COLUMN(CUSTO_GLOBAL[[#Headers],[TOTAL MÓDULOS 1+2+3+4+5]])-2,0)*($G58-$H58)</f>
        <v>3340.1298123290121</v>
      </c>
      <c r="BP58" s="22">
        <f>VLOOKUP($A58,tabCustoUnit[],COLUMN(CUSTO_GLOBAL[[#Headers],[Custos Indiretos]])-2,0)*($G58-$H58)</f>
        <v>189.64880140242613</v>
      </c>
      <c r="BQ58" s="22">
        <f>VLOOKUP($A58,tabCustoUnit[],COLUMN(CUSTO_GLOBAL[[#Headers],[Lucro]])-2,0)*($G58-$H58)</f>
        <v>159.30499317803796</v>
      </c>
      <c r="BR58" s="26">
        <f>VLOOKUP($A58,tabCustoUnit[],COLUMN(CUSTO_GLOBAL[[#Headers],[COFINS]])-2,0)</f>
        <v>8.5633802816901458E-2</v>
      </c>
      <c r="BS58" s="26">
        <f>VLOOKUP($A58,tabCustoUnit[],COLUMN(CUSTO_GLOBAL[[#Headers],[PIS]])-2,0)</f>
        <v>1.8591549295774657E-2</v>
      </c>
      <c r="BT58" s="28">
        <f>VLOOKUP($A58,tabCustoUnit[],COLUMN(CUSTO_GLOBAL[[#Headers],[ISS]])-2,0)</f>
        <v>0.02</v>
      </c>
      <c r="BU58" s="26">
        <f>VLOOKUP($A58,tabCustoUnit[],COLUMN(CUSTO_GLOBAL[[#Headers],[ISS (Conversão Alíquota s/ fatura)]])-2,0)</f>
        <v>2.2535211267605645E-2</v>
      </c>
      <c r="BV58" s="26">
        <f>VLOOKUP($A58,tabCustoUnit[],COLUMN(CUSTO_GLOBAL[[#Headers],[Resumo de Alíquotas (PIS+CONFINS+ISS)]])-2,0)</f>
        <v>0.1125</v>
      </c>
      <c r="BW58" s="138">
        <f>VLOOKUP($A58,tabCustoUnit[],COLUMN(CUSTO_GLOBAL[[#Headers],[PIS + COFINS + ISS (Total Conversão  Alíquota s/ Fatura)]])-2,0)</f>
        <v>0.12676056338028174</v>
      </c>
      <c r="BX58" s="22">
        <f>VLOOKUP($A58,tabCustoUnit[],COLUMN(CUSTO_GLOBAL[[#Headers],[Valor dos Tributos (ISS, PIS, CONFINS)]])-2,0)*($G58-$H58)</f>
        <v>467.63031636880703</v>
      </c>
      <c r="BY58" s="22">
        <f>VLOOKUP($A58,tabCustoUnit[],COLUMN(CUSTO_GLOBAL[[#Headers],[MÓDULO 6 – CUSTOS INDIRETOS, TRIBUTOS E LUCRO]])-2,0)*($G58-$H58)</f>
        <v>816.58411094927112</v>
      </c>
      <c r="BZ58" s="22">
        <f>VLOOKUP($A58,tabCustoUnit[],COLUMN(CUSTO_GLOBAL[[#Headers],[CUSTO TOTAL MENSAL]])-2,0)*($G58-$H58)</f>
        <v>4156.7139232782829</v>
      </c>
      <c r="CA58" s="22">
        <f>CUSTO_GLOBAL[[#This Row],[CUSTO TOTAL MENSAL]]*12</f>
        <v>49880.567079339395</v>
      </c>
      <c r="CB58" s="24">
        <f>VLOOKUP($A58,tabCustoUnit[],COLUMN(CUSTO_GLOBAL[[#Headers],[ANO DA CCT]])-2,0)</f>
        <v>45658</v>
      </c>
      <c r="CC58" s="25" t="str">
        <f>VLOOKUP($A58,tabCustoUnit[],COLUMN(CUSTO_GLOBAL[[#Headers],[Nº DE PEDIDO DA CCT]])-2,0)</f>
        <v>-</v>
      </c>
      <c r="CD58" s="25" t="str">
        <f>VLOOKUP($A58,tabCustoUnit[],COLUMN(CUSTO_GLOBAL[[#Headers],[TERMO ADITIVO  ALTERAÇÃO DA CCT]])-2,0)</f>
        <v>-</v>
      </c>
      <c r="CF58" s="22"/>
      <c r="CG58" s="22"/>
    </row>
    <row r="59" spans="1:85" x14ac:dyDescent="0.25">
      <c r="A59" s="20" t="s">
        <v>1399</v>
      </c>
      <c r="B59" t="s">
        <v>57</v>
      </c>
      <c r="C59" t="s">
        <v>1244</v>
      </c>
      <c r="D59" t="s">
        <v>1026</v>
      </c>
      <c r="E59" s="20" t="s">
        <v>9</v>
      </c>
      <c r="F59" s="20" t="s">
        <v>10</v>
      </c>
      <c r="G59" s="20">
        <v>1</v>
      </c>
      <c r="H59" s="20">
        <v>0</v>
      </c>
      <c r="I59" s="21">
        <f>VLOOKUP($A59,tabCustoUnit[],COLUMN(CUSTO_GLOBAL[[#Headers],[Salário Base]])-2,0)*($G59-$H59)</f>
        <v>798.14</v>
      </c>
      <c r="J59" s="21">
        <f>VLOOKUP($A59,tabCustoUnit[],COLUMN(CUSTO_GLOBAL[[#Headers],[Adicional Periculosidade]])-2,0)*($G59-$H59)</f>
        <v>0</v>
      </c>
      <c r="K59" s="21">
        <f>VLOOKUP($A59,tabCustoUnit[],COLUMN(CUSTO_GLOBAL[[#Headers],[Adicional Insalubridade]])-2,0)*($G59-$H59)</f>
        <v>0</v>
      </c>
      <c r="L59" s="21">
        <f>VLOOKUP($A59,tabCustoUnit[],COLUMN(CUSTO_GLOBAL[[#Headers],[Adicional Noturno]])-2,0)*($G59-$H59)</f>
        <v>0</v>
      </c>
      <c r="M59" s="21">
        <f>VLOOKUP($A59,tabCustoUnit[],COLUMN(CUSTO_GLOBAL[[#Headers],[Adicional Motorista II (Gratificação)]])-2,0)*($G59-$H59)</f>
        <v>0</v>
      </c>
      <c r="N59" s="21">
        <f>VLOOKUP($A59,tabCustoUnit[],COLUMN(CUSTO_GLOBAL[[#Headers],[Adicional de Sobreaviso]])-2,0)*($G59-$H59)</f>
        <v>0</v>
      </c>
      <c r="O59" s="21">
        <f>VLOOKUP($A59,tabCustoUnit[],COLUMN(CUSTO_GLOBAL[[#Headers],[Horas Extras TI]])-2,0)*($G59-$H59)</f>
        <v>0</v>
      </c>
      <c r="P59" s="21">
        <f>VLOOKUP($A59,tabCustoUnit[],COLUMN(CUSTO_GLOBAL[[#Headers],[Adicional de Acúmulo de função]])-2,0)*($G59-$H59)</f>
        <v>26.120899999999999</v>
      </c>
      <c r="Q59" s="21">
        <f>VLOOKUP($A59,tabCustoUnit[],COLUMN(CUSTO_GLOBAL[[#Headers],[MODULO 1 - REMUNERAÇÃO ]])-2,0)*($G59-$H59)</f>
        <v>824.26089999999999</v>
      </c>
      <c r="R59" s="21">
        <f>VLOOKUP($A59,tabCustoUnit[],COLUMN(CUSTO_GLOBAL[[#Headers],[INSS]])-2,0)*($G59-$H59)</f>
        <v>164.85218</v>
      </c>
      <c r="S59" s="21">
        <f>VLOOKUP($A59,tabCustoUnit[],COLUMN(CUSTO_GLOBAL[[#Headers],[SESI OU SESC]])-2,0)*($G59-$H59)</f>
        <v>12.363913499999999</v>
      </c>
      <c r="T59" s="21">
        <f>VLOOKUP($A59,tabCustoUnit[],COLUMN(CUSTO_GLOBAL[[#Headers],[SENAI OU SENAC]])-2,0)*($G59-$H59)</f>
        <v>8.2426089999999999</v>
      </c>
      <c r="U59" s="21">
        <f>VLOOKUP($A59,tabCustoUnit[],COLUMN(CUSTO_GLOBAL[[#Headers],[INCRA]])-2,0)*($G59-$H59)</f>
        <v>1.6485217999999999</v>
      </c>
      <c r="V59" s="21">
        <f>VLOOKUP($A59,tabCustoUnit[],COLUMN(CUSTO_GLOBAL[[#Headers],[Salário Educação]])-2,0)*($G59-$H59)</f>
        <v>20.606522500000001</v>
      </c>
      <c r="W59" s="21">
        <f>VLOOKUP($A59,tabCustoUnit[],COLUMN(CUSTO_GLOBAL[[#Headers],[FGTS]])-2,0)*($G59-$H59)</f>
        <v>65.940871999999999</v>
      </c>
      <c r="X59" s="21">
        <f>VLOOKUP($A59,tabCustoUnit[],COLUMN(CUSTO_GLOBAL[[#Headers],[RAT Ajustado]])-2,0)*($G59-$H59)</f>
        <v>32.970435999999999</v>
      </c>
      <c r="Y59" s="21">
        <f>VLOOKUP($A59,tabCustoUnit[],COLUMN(CUSTO_GLOBAL[[#Headers],[SEBRAE]])-2,0)*($G59-$H59)</f>
        <v>4.9455654000000004</v>
      </c>
      <c r="Z59" s="21">
        <f>VLOOKUP($A59,tabCustoUnit[],COLUMN(CUSTO_GLOBAL[[#Headers],[Submódulo 2.1]])-2,0)*($G59-$H59)</f>
        <v>311.57062020000001</v>
      </c>
      <c r="AA59" s="21">
        <f>VLOOKUP($A59,tabCustoUnit[],COLUMN(CUSTO_GLOBAL[[#Headers],[13º salário (titular)]])-2,0)*($G59-$H59)</f>
        <v>68.688408333333328</v>
      </c>
      <c r="AB59" s="21">
        <f>VLOOKUP($A59,tabCustoUnit[],COLUMN(CUSTO_GLOBAL[[#Headers],[Férias e Adicional de Férias (titular)]])-2,0)*($G59-$H59)</f>
        <v>91.584544444444433</v>
      </c>
      <c r="AC59" s="21">
        <f>VLOOKUP($A59,tabCustoUnit[],COLUMN(CUSTO_GLOBAL[[#Headers],[Incidência do Submódulo 2.1 sobre 13º Salário, Férias e Adicional de Férias]])-2,0)*($G59-$H59)</f>
        <v>60.583176149999993</v>
      </c>
      <c r="AD59" s="21">
        <f>VLOOKUP($A59,tabCustoUnit[],COLUMN(CUSTO_GLOBAL[[#Headers],[Submódulo 2.2]])-2,0)*($G59-$H59)</f>
        <v>220.85612892777775</v>
      </c>
      <c r="AE59" s="22">
        <f>VLOOKUP($A59,tabCustoUnit[],COLUMN(CUSTO_GLOBAL[[#Headers],[Vale - Transporte (Descontada parcela do empregado)]])-2,0)*($G59-$H59)</f>
        <v>208.11160000000001</v>
      </c>
      <c r="AF59" s="22">
        <f>VLOOKUP($A59,tabCustoUnit[],COLUMN(CUSTO_GLOBAL[[#Headers],[Vale - Alimentação (Descontada parcela do empregado)]])-2,0)*($G59-$H59)</f>
        <v>582</v>
      </c>
      <c r="AG59" s="22">
        <f>VLOOKUP($A59,tabCustoUnit[],COLUMN(CUSTO_GLOBAL[[#Headers],[Cesta Básica]])-2,0)*($G59-$H59)</f>
        <v>0</v>
      </c>
      <c r="AH59" s="22">
        <f>VLOOKUP($A59,tabCustoUnit[],COLUMN(CUSTO_GLOBAL[[#Headers],[PAF]])-2,0)*($G59-$H59)</f>
        <v>0</v>
      </c>
      <c r="AI59" s="22">
        <f>VLOOKUP($A59,tabCustoUnit[],COLUMN(CUSTO_GLOBAL[[#Headers],[PQM]])-2,0)*($G59-$H59)</f>
        <v>15.07</v>
      </c>
      <c r="AJ59" s="22">
        <v>0</v>
      </c>
      <c r="AK59" s="22">
        <f>VLOOKUP($A59,tabCustoUnit[],COLUMN(CUSTO_GLOBAL[[#Headers],[Seguro de Vida]])-2,0)*($G59-$H59)</f>
        <v>3.36</v>
      </c>
      <c r="AL59" s="22">
        <f>VLOOKUP($A59,tabCustoUnit[],COLUMN(CUSTO_GLOBAL[[#Headers],[Despesas de Viagem]])-2,0)*($G59-$H59)</f>
        <v>0</v>
      </c>
      <c r="AM59" s="22">
        <f>VLOOKUP($A59,tabCustoUnit[],COLUMN(CUSTO_GLOBAL[[#Headers],[Submódulo 2.3]])-2,0)*($G59-$H59)</f>
        <v>808.54160000000002</v>
      </c>
      <c r="AN59" s="22">
        <f>VLOOKUP($A59,tabCustoUnit[],COLUMN(CUSTO_GLOBAL[[#Headers],[MÓDULO 2 - Total Encargos e Benefícios mensais e diários]])-2,0)*($G59-$H59)</f>
        <v>1340.9683491277779</v>
      </c>
      <c r="AO59" s="22">
        <f>VLOOKUP($A59,tabCustoUnit[],COLUMN(CUSTO_GLOBAL[[#Headers],[Aviso Prévio Indenizado (API) e Reflexo do Aviso Prévio Indenizado]])-2,0)*($G59-$H59)</f>
        <v>5.7795253576581791</v>
      </c>
      <c r="AP59" s="22">
        <f>VLOOKUP($A59,tabCustoUnit[],COLUMN(CUSTO_GLOBAL[[#Headers],[Incidência do FGTS sobre API e Reflexo do API]])-2,0)*($G59-$H59)</f>
        <v>0.46236202861265435</v>
      </c>
      <c r="AQ59" s="22">
        <f>VLOOKUP($A59,tabCustoUnit[],COLUMN(CUSTO_GLOBAL[[#Headers],[Multa Rescisória do FGTS sobre o Aviso Prévio Indenizado]])-2,0)*($G59-$H59)</f>
        <v>0.18494481144506175</v>
      </c>
      <c r="AR59" s="22">
        <f>VLOOKUP($A59,tabCustoUnit[],COLUMN(CUSTO_GLOBAL[[#Headers],[Aviso Prévio Trabalhado - APT]])-2,0)*($G59-$H59)</f>
        <v>2.8849131500000005</v>
      </c>
      <c r="AS59" s="22">
        <f>VLOOKUP($A59,tabCustoUnit[],COLUMN(CUSTO_GLOBAL[[#Headers],[Incidência dos encargos do submódulo 2.1 sobre Aviso Prévio Trabalhado]])-2,0)*($G59-$H59)</f>
        <v>1.0904971707000004</v>
      </c>
      <c r="AT59" s="22">
        <f>VLOOKUP($A59,tabCustoUnit[],COLUMN(CUSTO_GLOBAL[[#Headers],[Multa Rescisória do FGTS]])-2,0)*($G59-$H59)</f>
        <v>25.204066631111107</v>
      </c>
      <c r="AU59" s="22">
        <f>VLOOKUP($A59,tabCustoUnit[],COLUMN(CUSTO_GLOBAL[[#Headers],[Indenização Adicional (Art. 9º da Lei nº 7.238/84)]])-2,0)*($G59-$H59)</f>
        <v>0.6868840833333334</v>
      </c>
      <c r="AV59" s="22">
        <f>VLOOKUP($A59,tabCustoUnit[],COLUMN(CUSTO_GLOBAL[[#Headers],[MÓDULO 3 – PROVISÃO PARA RESCISÃO]])-2,0)*($G59-$H59)</f>
        <v>36.293193232860339</v>
      </c>
      <c r="AW59" s="22">
        <f>VLOOKUP($A59,tabCustoUnit[],COLUMN(CUSTO_GLOBAL[[#Headers],[Ausência por Doença]])-2,0)*($G59-$H59)</f>
        <v>6.9604253777777769</v>
      </c>
      <c r="AX59" s="22">
        <f>VLOOKUP($A59,tabCustoUnit[],COLUMN(CUSTO_GLOBAL[[#Headers],[Ausências Legais]])-2,0)*($G59-$H59)</f>
        <v>1.671417936111111</v>
      </c>
      <c r="AY59" s="22">
        <f>VLOOKUP($A59,tabCustoUnit[],COLUMN(CUSTO_GLOBAL[[#Headers],[Licença Paternidade]])-2,0)*($G59-$H59)</f>
        <v>0.14081123708333332</v>
      </c>
      <c r="AZ59" s="22">
        <f>VLOOKUP($A59,tabCustoUnit[],COLUMN(CUSTO_GLOBAL[[#Headers],[Ausência por Acidente de Trabalho]])-2,0)*($G59-$H59)</f>
        <v>0.17172102083333335</v>
      </c>
      <c r="BA59" s="22">
        <f>VLOOKUP($A59,tabCustoUnit[],COLUMN(CUSTO_GLOBAL[[#Headers],[Férias, Adicional de Férias e 13º  com empregada em gozo de Licença Maternidade]])-2,0)*($G59-$H59)</f>
        <v>1.0684863518518517</v>
      </c>
      <c r="BB59" s="22">
        <f>VLOOKUP($A59,tabCustoUnit[],COLUMN(CUSTO_GLOBAL[[#Headers],[Incidência do Submódulo 2.1 sobre Ausências Legais]])-2,0)*($G59-$H59)</f>
        <v>3.7848618071425006</v>
      </c>
      <c r="BC59" s="22">
        <f>VLOOKUP($A59,tabCustoUnit[],COLUMN(CUSTO_GLOBAL[[#Headers],[Submódulo 4.1]])-2,0)*($G59-$H59)</f>
        <v>13.797723730799909</v>
      </c>
      <c r="BD59" s="22">
        <f>VLOOKUP($A59,tabCustoUnit[],COLUMN(CUSTO_GLOBAL[[#Headers],[Intervalo para Repouso ou Alimentação]])-2,0)*($G59-$H59)</f>
        <v>0</v>
      </c>
      <c r="BE59" s="22">
        <f>VLOOKUP($A59,tabCustoUnit[],COLUMN(CUSTO_GLOBAL[[#Headers],[Submódulo 4.2]])-2,0)*($G59-$H59)</f>
        <v>0</v>
      </c>
      <c r="BF59" s="22">
        <f>VLOOKUP($A59,tabCustoUnit[],COLUMN(CUSTO_GLOBAL[[#Headers],[Suspensão Temporária do Contrato de Trabalho]])-2,0)*($G59-$H59)</f>
        <v>0</v>
      </c>
      <c r="BG59" s="22">
        <f>VLOOKUP($A59,tabCustoUnit[],COLUMN(CUSTO_GLOBAL[[#Headers],[Submódulo 4.3]])-2,0)*($G59-$H59)</f>
        <v>0</v>
      </c>
      <c r="BH59" s="22">
        <f>VLOOKUP($A59,tabCustoUnit[],COLUMN(CUSTO_GLOBAL[[#Headers],[MÓDULO 4 – CUSTO DE REPOSIÇÃO DO PROFISSIONAL AUSENTE]])-2,0)*($G59-$H59)</f>
        <v>13.797723730799909</v>
      </c>
      <c r="BI59" s="22">
        <f>VLOOKUP($A59,tabCustoUnit[],COLUMN(CUSTO_GLOBAL[[#Headers],[Uniformes e EPIs]])-2,0)*($G59-$H59)</f>
        <v>62.806666666666665</v>
      </c>
      <c r="BJ59" s="22">
        <f>VLOOKUP($A59,tabCustoUnit[],COLUMN(CUSTO_GLOBAL[[#Headers],[Materiais de Consumo]])-2,0)*($G59-$H59)</f>
        <v>17.759106479291944</v>
      </c>
      <c r="BK59" s="22">
        <f>VLOOKUP($A59,tabCustoUnit[],COLUMN(CUSTO_GLOBAL[[#Headers],[Máquinas e Equipamentos (depreciação)]])-2,0)*($G59-$H59)</f>
        <v>32.264696957412788</v>
      </c>
      <c r="BL59" s="22">
        <f>VLOOKUP($A59,tabCustoUnit[],COLUMN(CUSTO_GLOBAL[[#Headers],[Produtos de Limpeza e Materiais de Higiene Pessoal]])-2,0)*($G59-$H59)</f>
        <v>345.13576638965827</v>
      </c>
      <c r="BM59" s="22">
        <f>VLOOKUP($A59,tabCustoUnit[],COLUMN(CUSTO_GLOBAL[[#Headers],[Outros (especificar)]])-2,0)*($G59-$H59)</f>
        <v>0</v>
      </c>
      <c r="BN59" s="22">
        <f>VLOOKUP($A59,tabCustoUnit[],COLUMN(CUSTO_GLOBAL[[#Headers],[MÓDULO 5 – INSUMOS DIVERSOS]])-2,0)*($G59-$H59)</f>
        <v>457.96623649302967</v>
      </c>
      <c r="BO59" s="22">
        <f>VLOOKUP($A59,tabCustoUnit[],COLUMN(CUSTO_GLOBAL[[#Headers],[TOTAL MÓDULOS 1+2+3+4+5]])-2,0)*($G59-$H59)</f>
        <v>2673.2864025844674</v>
      </c>
      <c r="BP59" s="22">
        <f>VLOOKUP($A59,tabCustoUnit[],COLUMN(CUSTO_GLOBAL[[#Headers],[Custos Indiretos]])-2,0)*($G59-$H59)</f>
        <v>189.64880140242613</v>
      </c>
      <c r="BQ59" s="22">
        <f>VLOOKUP($A59,tabCustoUnit[],COLUMN(CUSTO_GLOBAL[[#Headers],[Lucro]])-2,0)*($G59-$H59)</f>
        <v>159.30499317803796</v>
      </c>
      <c r="BR59" s="26">
        <f>VLOOKUP($A59,tabCustoUnit[],COLUMN(CUSTO_GLOBAL[[#Headers],[COFINS]])-2,0)</f>
        <v>8.6609686609686695E-2</v>
      </c>
      <c r="BS59" s="26">
        <f>VLOOKUP($A59,tabCustoUnit[],COLUMN(CUSTO_GLOBAL[[#Headers],[PIS]])-2,0)</f>
        <v>1.880341880341882E-2</v>
      </c>
      <c r="BT59" s="28">
        <f>VLOOKUP($A59,tabCustoUnit[],COLUMN(CUSTO_GLOBAL[[#Headers],[ISS]])-2,0)</f>
        <v>0.03</v>
      </c>
      <c r="BU59" s="26">
        <f>VLOOKUP($A59,tabCustoUnit[],COLUMN(CUSTO_GLOBAL[[#Headers],[ISS (Conversão Alíquota s/ fatura)]])-2,0)</f>
        <v>3.4188034188034219E-2</v>
      </c>
      <c r="BV59" s="26">
        <f>VLOOKUP($A59,tabCustoUnit[],COLUMN(CUSTO_GLOBAL[[#Headers],[Resumo de Alíquotas (PIS+CONFINS+ISS)]])-2,0)</f>
        <v>0.1225</v>
      </c>
      <c r="BW59" s="138">
        <f>VLOOKUP($A59,tabCustoUnit[],COLUMN(CUSTO_GLOBAL[[#Headers],[PIS + COFINS + ISS (Total Conversão  Alíquota s/ Fatura)]])-2,0)</f>
        <v>0.13960113960113973</v>
      </c>
      <c r="BX59" s="22">
        <f>VLOOKUP($A59,tabCustoUnit[],COLUMN(CUSTO_GLOBAL[[#Headers],[Valor dos Tributos (ISS, PIS, CONFINS)]])-2,0)*($G59-$H59)</f>
        <v>421.90817567259768</v>
      </c>
      <c r="BY59" s="22">
        <f>VLOOKUP($A59,tabCustoUnit[],COLUMN(CUSTO_GLOBAL[[#Headers],[MÓDULO 6 – CUSTOS INDIRETOS, TRIBUTOS E LUCRO]])-2,0)*($G59-$H59)</f>
        <v>770.86197025306183</v>
      </c>
      <c r="BZ59" s="22">
        <f>VLOOKUP($A59,tabCustoUnit[],COLUMN(CUSTO_GLOBAL[[#Headers],[CUSTO TOTAL MENSAL]])-2,0)*($G59-$H59)</f>
        <v>3444.1483728375292</v>
      </c>
      <c r="CA59" s="22">
        <f>CUSTO_GLOBAL[[#This Row],[CUSTO TOTAL MENSAL]]*12</f>
        <v>41329.780474050349</v>
      </c>
      <c r="CB59" s="24">
        <f>VLOOKUP($A59,tabCustoUnit[],COLUMN(CUSTO_GLOBAL[[#Headers],[ANO DA CCT]])-2,0)</f>
        <v>45658</v>
      </c>
      <c r="CC59" s="25" t="str">
        <f>VLOOKUP($A59,tabCustoUnit[],COLUMN(CUSTO_GLOBAL[[#Headers],[Nº DE PEDIDO DA CCT]])-2,0)</f>
        <v>-</v>
      </c>
      <c r="CD59" s="25" t="str">
        <f>VLOOKUP($A59,tabCustoUnit[],COLUMN(CUSTO_GLOBAL[[#Headers],[TERMO ADITIVO  ALTERAÇÃO DA CCT]])-2,0)</f>
        <v>-</v>
      </c>
      <c r="CF59" s="22"/>
      <c r="CG59" s="22"/>
    </row>
    <row r="60" spans="1:85" x14ac:dyDescent="0.25">
      <c r="A60" s="20" t="s">
        <v>1400</v>
      </c>
      <c r="B60" t="s">
        <v>58</v>
      </c>
      <c r="C60" t="s">
        <v>1247</v>
      </c>
      <c r="D60" t="s">
        <v>1000</v>
      </c>
      <c r="E60" s="20" t="s">
        <v>9</v>
      </c>
      <c r="F60" s="20" t="s">
        <v>10</v>
      </c>
      <c r="G60" s="20">
        <v>1</v>
      </c>
      <c r="H60" s="20">
        <v>0</v>
      </c>
      <c r="I60" s="21">
        <f>VLOOKUP($A60,tabCustoUnit[],COLUMN(CUSTO_GLOBAL[[#Headers],[Salário Base]])-2,0)*($G60-$H60)</f>
        <v>544.17999999999995</v>
      </c>
      <c r="J60" s="21">
        <f>VLOOKUP($A60,tabCustoUnit[],COLUMN(CUSTO_GLOBAL[[#Headers],[Adicional Periculosidade]])-2,0)*($G60-$H60)</f>
        <v>0</v>
      </c>
      <c r="K60" s="21">
        <f>VLOOKUP($A60,tabCustoUnit[],COLUMN(CUSTO_GLOBAL[[#Headers],[Adicional Insalubridade]])-2,0)*($G60-$H60)</f>
        <v>0</v>
      </c>
      <c r="L60" s="21">
        <f>VLOOKUP($A60,tabCustoUnit[],COLUMN(CUSTO_GLOBAL[[#Headers],[Adicional Noturno]])-2,0)*($G60-$H60)</f>
        <v>0</v>
      </c>
      <c r="M60" s="21">
        <f>VLOOKUP($A60,tabCustoUnit[],COLUMN(CUSTO_GLOBAL[[#Headers],[Adicional Motorista II (Gratificação)]])-2,0)*($G60-$H60)</f>
        <v>0</v>
      </c>
      <c r="N60" s="21">
        <f>VLOOKUP($A60,tabCustoUnit[],COLUMN(CUSTO_GLOBAL[[#Headers],[Adicional de Sobreaviso]])-2,0)*($G60-$H60)</f>
        <v>0</v>
      </c>
      <c r="O60" s="21">
        <f>VLOOKUP($A60,tabCustoUnit[],COLUMN(CUSTO_GLOBAL[[#Headers],[Horas Extras TI]])-2,0)*($G60-$H60)</f>
        <v>0</v>
      </c>
      <c r="P60" s="21">
        <f>VLOOKUP($A60,tabCustoUnit[],COLUMN(CUSTO_GLOBAL[[#Headers],[Adicional de Acúmulo de função]])-2,0)*($G60-$H60)</f>
        <v>19.590499999999999</v>
      </c>
      <c r="Q60" s="21">
        <f>VLOOKUP($A60,tabCustoUnit[],COLUMN(CUSTO_GLOBAL[[#Headers],[MODULO 1 - REMUNERAÇÃO ]])-2,0)*($G60-$H60)</f>
        <v>563.77049999999997</v>
      </c>
      <c r="R60" s="21">
        <f>VLOOKUP($A60,tabCustoUnit[],COLUMN(CUSTO_GLOBAL[[#Headers],[INSS]])-2,0)*($G60-$H60)</f>
        <v>112.75409999999999</v>
      </c>
      <c r="S60" s="21">
        <f>VLOOKUP($A60,tabCustoUnit[],COLUMN(CUSTO_GLOBAL[[#Headers],[SESI OU SESC]])-2,0)*($G60-$H60)</f>
        <v>8.4565574999999988</v>
      </c>
      <c r="T60" s="21">
        <f>VLOOKUP($A60,tabCustoUnit[],COLUMN(CUSTO_GLOBAL[[#Headers],[SENAI OU SENAC]])-2,0)*($G60-$H60)</f>
        <v>5.6377049999999995</v>
      </c>
      <c r="U60" s="21">
        <f>VLOOKUP($A60,tabCustoUnit[],COLUMN(CUSTO_GLOBAL[[#Headers],[INCRA]])-2,0)*($G60-$H60)</f>
        <v>1.1275409999999999</v>
      </c>
      <c r="V60" s="21">
        <f>VLOOKUP($A60,tabCustoUnit[],COLUMN(CUSTO_GLOBAL[[#Headers],[Salário Educação]])-2,0)*($G60-$H60)</f>
        <v>14.094262499999999</v>
      </c>
      <c r="W60" s="21">
        <f>VLOOKUP($A60,tabCustoUnit[],COLUMN(CUSTO_GLOBAL[[#Headers],[FGTS]])-2,0)*($G60-$H60)</f>
        <v>45.101639999999996</v>
      </c>
      <c r="X60" s="21">
        <f>VLOOKUP($A60,tabCustoUnit[],COLUMN(CUSTO_GLOBAL[[#Headers],[RAT Ajustado]])-2,0)*($G60-$H60)</f>
        <v>22.550819999999998</v>
      </c>
      <c r="Y60" s="21">
        <f>VLOOKUP($A60,tabCustoUnit[],COLUMN(CUSTO_GLOBAL[[#Headers],[SEBRAE]])-2,0)*($G60-$H60)</f>
        <v>3.3826229999999997</v>
      </c>
      <c r="Z60" s="21">
        <f>VLOOKUP($A60,tabCustoUnit[],COLUMN(CUSTO_GLOBAL[[#Headers],[Submódulo 2.1]])-2,0)*($G60-$H60)</f>
        <v>213.10524899999996</v>
      </c>
      <c r="AA60" s="21">
        <f>VLOOKUP($A60,tabCustoUnit[],COLUMN(CUSTO_GLOBAL[[#Headers],[13º salário (titular)]])-2,0)*($G60-$H60)</f>
        <v>46.980874999999997</v>
      </c>
      <c r="AB60" s="21">
        <f>VLOOKUP($A60,tabCustoUnit[],COLUMN(CUSTO_GLOBAL[[#Headers],[Férias e Adicional de Férias (titular)]])-2,0)*($G60-$H60)</f>
        <v>62.641166666666663</v>
      </c>
      <c r="AC60" s="21">
        <f>VLOOKUP($A60,tabCustoUnit[],COLUMN(CUSTO_GLOBAL[[#Headers],[Incidência do Submódulo 2.1 sobre 13º Salário, Férias e Adicional de Férias]])-2,0)*($G60-$H60)</f>
        <v>41.437131749999992</v>
      </c>
      <c r="AD60" s="21">
        <f>VLOOKUP($A60,tabCustoUnit[],COLUMN(CUSTO_GLOBAL[[#Headers],[Submódulo 2.2]])-2,0)*($G60-$H60)</f>
        <v>151.05917341666665</v>
      </c>
      <c r="AE60" s="22">
        <f>VLOOKUP($A60,tabCustoUnit[],COLUMN(CUSTO_GLOBAL[[#Headers],[Vale - Transporte (Descontada parcela do empregado)]])-2,0)*($G60-$H60)</f>
        <v>223.3492</v>
      </c>
      <c r="AF60" s="22">
        <f>VLOOKUP($A60,tabCustoUnit[],COLUMN(CUSTO_GLOBAL[[#Headers],[Vale - Alimentação (Descontada parcela do empregado)]])-2,0)*($G60-$H60)</f>
        <v>582</v>
      </c>
      <c r="AG60" s="22">
        <f>VLOOKUP($A60,tabCustoUnit[],COLUMN(CUSTO_GLOBAL[[#Headers],[Cesta Básica]])-2,0)*($G60-$H60)</f>
        <v>0</v>
      </c>
      <c r="AH60" s="22">
        <f>VLOOKUP($A60,tabCustoUnit[],COLUMN(CUSTO_GLOBAL[[#Headers],[PAF]])-2,0)*($G60-$H60)</f>
        <v>0</v>
      </c>
      <c r="AI60" s="22">
        <f>VLOOKUP($A60,tabCustoUnit[],COLUMN(CUSTO_GLOBAL[[#Headers],[PQM]])-2,0)*($G60-$H60)</f>
        <v>15.07</v>
      </c>
      <c r="AJ60" s="22">
        <v>0</v>
      </c>
      <c r="AK60" s="22">
        <f>VLOOKUP($A60,tabCustoUnit[],COLUMN(CUSTO_GLOBAL[[#Headers],[Seguro de Vida]])-2,0)*($G60-$H60)</f>
        <v>3.36</v>
      </c>
      <c r="AL60" s="22">
        <f>VLOOKUP($A60,tabCustoUnit[],COLUMN(CUSTO_GLOBAL[[#Headers],[Despesas de Viagem]])-2,0)*($G60-$H60)</f>
        <v>0</v>
      </c>
      <c r="AM60" s="22">
        <f>VLOOKUP($A60,tabCustoUnit[],COLUMN(CUSTO_GLOBAL[[#Headers],[Submódulo 2.3]])-2,0)*($G60-$H60)</f>
        <v>823.77920000000006</v>
      </c>
      <c r="AN60" s="22">
        <f>VLOOKUP($A60,tabCustoUnit[],COLUMN(CUSTO_GLOBAL[[#Headers],[MÓDULO 2 - Total Encargos e Benefícios mensais e diários]])-2,0)*($G60-$H60)</f>
        <v>1187.9436224166666</v>
      </c>
      <c r="AO60" s="22">
        <f>VLOOKUP($A60,tabCustoUnit[],COLUMN(CUSTO_GLOBAL[[#Headers],[Aviso Prévio Indenizado (API) e Reflexo do Aviso Prévio Indenizado]])-2,0)*($G60-$H60)</f>
        <v>3.9530273735532404</v>
      </c>
      <c r="AP60" s="22">
        <f>VLOOKUP($A60,tabCustoUnit[],COLUMN(CUSTO_GLOBAL[[#Headers],[Incidência do FGTS sobre API e Reflexo do API]])-2,0)*($G60-$H60)</f>
        <v>0.31624218988425928</v>
      </c>
      <c r="AQ60" s="22">
        <f>VLOOKUP($A60,tabCustoUnit[],COLUMN(CUSTO_GLOBAL[[#Headers],[Multa Rescisória do FGTS sobre o Aviso Prévio Indenizado]])-2,0)*($G60-$H60)</f>
        <v>0.12649687595370371</v>
      </c>
      <c r="AR60" s="22">
        <f>VLOOKUP($A60,tabCustoUnit[],COLUMN(CUSTO_GLOBAL[[#Headers],[Aviso Prévio Trabalhado - APT]])-2,0)*($G60-$H60)</f>
        <v>1.9731967500000003</v>
      </c>
      <c r="AS60" s="22">
        <f>VLOOKUP($A60,tabCustoUnit[],COLUMN(CUSTO_GLOBAL[[#Headers],[Incidência dos encargos do submódulo 2.1 sobre Aviso Prévio Trabalhado]])-2,0)*($G60-$H60)</f>
        <v>0.74586837150000018</v>
      </c>
      <c r="AT60" s="22">
        <f>VLOOKUP($A60,tabCustoUnit[],COLUMN(CUSTO_GLOBAL[[#Headers],[Multa Rescisória do FGTS]])-2,0)*($G60-$H60)</f>
        <v>17.238849066666663</v>
      </c>
      <c r="AU60" s="22">
        <f>VLOOKUP($A60,tabCustoUnit[],COLUMN(CUSTO_GLOBAL[[#Headers],[Indenização Adicional (Art. 9º da Lei nº 7.238/84)]])-2,0)*($G60-$H60)</f>
        <v>0.46980875</v>
      </c>
      <c r="AV60" s="22">
        <f>VLOOKUP($A60,tabCustoUnit[],COLUMN(CUSTO_GLOBAL[[#Headers],[MÓDULO 3 – PROVISÃO PARA RESCISÃO]])-2,0)*($G60-$H60)</f>
        <v>24.823489377557866</v>
      </c>
      <c r="AW60" s="22">
        <f>VLOOKUP($A60,tabCustoUnit[],COLUMN(CUSTO_GLOBAL[[#Headers],[Ausência por Doença]])-2,0)*($G60-$H60)</f>
        <v>4.7607286666666662</v>
      </c>
      <c r="AX60" s="22">
        <f>VLOOKUP($A60,tabCustoUnit[],COLUMN(CUSTO_GLOBAL[[#Headers],[Ausências Legais]])-2,0)*($G60-$H60)</f>
        <v>1.1432012916666665</v>
      </c>
      <c r="AY60" s="22">
        <f>VLOOKUP($A60,tabCustoUnit[],COLUMN(CUSTO_GLOBAL[[#Headers],[Licença Paternidade]])-2,0)*($G60-$H60)</f>
        <v>9.6310793749999998E-2</v>
      </c>
      <c r="AZ60" s="22">
        <f>VLOOKUP($A60,tabCustoUnit[],COLUMN(CUSTO_GLOBAL[[#Headers],[Ausência por Acidente de Trabalho]])-2,0)*($G60-$H60)</f>
        <v>0.1174521875</v>
      </c>
      <c r="BA60" s="22">
        <f>VLOOKUP($A60,tabCustoUnit[],COLUMN(CUSTO_GLOBAL[[#Headers],[Férias, Adicional de Férias e 13º  com empregada em gozo de Licença Maternidade]])-2,0)*($G60-$H60)</f>
        <v>0.73081361111111109</v>
      </c>
      <c r="BB60" s="22">
        <f>VLOOKUP($A60,tabCustoUnit[],COLUMN(CUSTO_GLOBAL[[#Headers],[Incidência do Submódulo 2.1 sobre Ausências Legais]])-2,0)*($G60-$H60)</f>
        <v>2.5887354761625003</v>
      </c>
      <c r="BC60" s="22">
        <f>VLOOKUP($A60,tabCustoUnit[],COLUMN(CUSTO_GLOBAL[[#Headers],[Submódulo 4.1]])-2,0)*($G60-$H60)</f>
        <v>9.4372420268569428</v>
      </c>
      <c r="BD60" s="22">
        <f>VLOOKUP($A60,tabCustoUnit[],COLUMN(CUSTO_GLOBAL[[#Headers],[Intervalo para Repouso ou Alimentação]])-2,0)*($G60-$H60)</f>
        <v>0</v>
      </c>
      <c r="BE60" s="22">
        <f>VLOOKUP($A60,tabCustoUnit[],COLUMN(CUSTO_GLOBAL[[#Headers],[Submódulo 4.2]])-2,0)*($G60-$H60)</f>
        <v>0</v>
      </c>
      <c r="BF60" s="22">
        <f>VLOOKUP($A60,tabCustoUnit[],COLUMN(CUSTO_GLOBAL[[#Headers],[Suspensão Temporária do Contrato de Trabalho]])-2,0)*($G60-$H60)</f>
        <v>0</v>
      </c>
      <c r="BG60" s="22">
        <f>VLOOKUP($A60,tabCustoUnit[],COLUMN(CUSTO_GLOBAL[[#Headers],[Submódulo 4.3]])-2,0)*($G60-$H60)</f>
        <v>0</v>
      </c>
      <c r="BH60" s="22">
        <f>VLOOKUP($A60,tabCustoUnit[],COLUMN(CUSTO_GLOBAL[[#Headers],[MÓDULO 4 – CUSTO DE REPOSIÇÃO DO PROFISSIONAL AUSENTE]])-2,0)*($G60-$H60)</f>
        <v>9.4372420268569428</v>
      </c>
      <c r="BI60" s="22">
        <f>VLOOKUP($A60,tabCustoUnit[],COLUMN(CUSTO_GLOBAL[[#Headers],[Uniformes e EPIs]])-2,0)*($G60-$H60)</f>
        <v>62.806666666666665</v>
      </c>
      <c r="BJ60" s="22">
        <f>VLOOKUP($A60,tabCustoUnit[],COLUMN(CUSTO_GLOBAL[[#Headers],[Materiais de Consumo]])-2,0)*($G60-$H60)</f>
        <v>12.108481690426325</v>
      </c>
      <c r="BK60" s="22">
        <f>VLOOKUP($A60,tabCustoUnit[],COLUMN(CUSTO_GLOBAL[[#Headers],[Máquinas e Equipamentos (depreciação)]])-2,0)*($G60-$H60)</f>
        <v>21.998657016417809</v>
      </c>
      <c r="BL60" s="22">
        <f>VLOOKUP($A60,tabCustoUnit[],COLUMN(CUSTO_GLOBAL[[#Headers],[Produtos de Limpeza e Materiais de Higiene Pessoal]])-2,0)*($G60-$H60)</f>
        <v>235.31984072022155</v>
      </c>
      <c r="BM60" s="22">
        <f>VLOOKUP($A60,tabCustoUnit[],COLUMN(CUSTO_GLOBAL[[#Headers],[Outros (especificar)]])-2,0)*($G60-$H60)</f>
        <v>0</v>
      </c>
      <c r="BN60" s="22">
        <f>VLOOKUP($A60,tabCustoUnit[],COLUMN(CUSTO_GLOBAL[[#Headers],[MÓDULO 5 – INSUMOS DIVERSOS]])-2,0)*($G60-$H60)</f>
        <v>332.23364609373232</v>
      </c>
      <c r="BO60" s="22">
        <f>VLOOKUP($A60,tabCustoUnit[],COLUMN(CUSTO_GLOBAL[[#Headers],[TOTAL MÓDULOS 1+2+3+4+5]])-2,0)*($G60-$H60)</f>
        <v>2118.2084999148137</v>
      </c>
      <c r="BP60" s="22">
        <f>VLOOKUP($A60,tabCustoUnit[],COLUMN(CUSTO_GLOBAL[[#Headers],[Custos Indiretos]])-2,0)*($G60-$H60)</f>
        <v>189.64880140242613</v>
      </c>
      <c r="BQ60" s="22">
        <f>VLOOKUP($A60,tabCustoUnit[],COLUMN(CUSTO_GLOBAL[[#Headers],[Lucro]])-2,0)*($G60-$H60)</f>
        <v>159.30499317803796</v>
      </c>
      <c r="BR60" s="26">
        <f>VLOOKUP($A60,tabCustoUnit[],COLUMN(CUSTO_GLOBAL[[#Headers],[COFINS]])-2,0)</f>
        <v>8.8629737609329504E-2</v>
      </c>
      <c r="BS60" s="26">
        <f>VLOOKUP($A60,tabCustoUnit[],COLUMN(CUSTO_GLOBAL[[#Headers],[PIS]])-2,0)</f>
        <v>1.9241982507288629E-2</v>
      </c>
      <c r="BT60" s="28">
        <f>VLOOKUP($A60,tabCustoUnit[],COLUMN(CUSTO_GLOBAL[[#Headers],[ISS]])-2,0)</f>
        <v>0.05</v>
      </c>
      <c r="BU60" s="26">
        <f>VLOOKUP($A60,tabCustoUnit[],COLUMN(CUSTO_GLOBAL[[#Headers],[ISS (Conversão Alíquota s/ fatura)]])-2,0)</f>
        <v>5.8309037900874633E-2</v>
      </c>
      <c r="BV60" s="26">
        <f>VLOOKUP($A60,tabCustoUnit[],COLUMN(CUSTO_GLOBAL[[#Headers],[Resumo de Alíquotas (PIS+CONFINS+ISS)]])-2,0)</f>
        <v>0.14250000000000002</v>
      </c>
      <c r="BW60" s="138">
        <f>VLOOKUP($A60,tabCustoUnit[],COLUMN(CUSTO_GLOBAL[[#Headers],[PIS + COFINS + ISS (Total Conversão  Alíquota s/ Fatura)]])-2,0)</f>
        <v>0.16618075801749277</v>
      </c>
      <c r="BX60" s="22">
        <f>VLOOKUP($A60,tabCustoUnit[],COLUMN(CUSTO_GLOBAL[[#Headers],[Valor dos Tributos (ISS, PIS, CONFINS)]])-2,0)*($G60-$H60)</f>
        <v>409.99490025140199</v>
      </c>
      <c r="BY60" s="22">
        <f>VLOOKUP($A60,tabCustoUnit[],COLUMN(CUSTO_GLOBAL[[#Headers],[MÓDULO 6 – CUSTOS INDIRETOS, TRIBUTOS E LUCRO]])-2,0)*($G60-$H60)</f>
        <v>758.94869483186608</v>
      </c>
      <c r="BZ60" s="22">
        <f>VLOOKUP($A60,tabCustoUnit[],COLUMN(CUSTO_GLOBAL[[#Headers],[CUSTO TOTAL MENSAL]])-2,0)*($G60-$H60)</f>
        <v>2877.15719474668</v>
      </c>
      <c r="CA60" s="22">
        <f>CUSTO_GLOBAL[[#This Row],[CUSTO TOTAL MENSAL]]*12</f>
        <v>34525.88633696016</v>
      </c>
      <c r="CB60" s="24">
        <f>VLOOKUP($A60,tabCustoUnit[],COLUMN(CUSTO_GLOBAL[[#Headers],[ANO DA CCT]])-2,0)</f>
        <v>45658</v>
      </c>
      <c r="CC60" s="25" t="str">
        <f>VLOOKUP($A60,tabCustoUnit[],COLUMN(CUSTO_GLOBAL[[#Headers],[Nº DE PEDIDO DA CCT]])-2,0)</f>
        <v>-</v>
      </c>
      <c r="CD60" s="25" t="str">
        <f>VLOOKUP($A60,tabCustoUnit[],COLUMN(CUSTO_GLOBAL[[#Headers],[TERMO ADITIVO  ALTERAÇÃO DA CCT]])-2,0)</f>
        <v>-</v>
      </c>
      <c r="CF60" s="22"/>
      <c r="CG60" s="22"/>
    </row>
    <row r="61" spans="1:85" x14ac:dyDescent="0.25">
      <c r="A61" s="20" t="s">
        <v>1401</v>
      </c>
      <c r="B61" t="s">
        <v>59</v>
      </c>
      <c r="C61" t="s">
        <v>1245</v>
      </c>
      <c r="D61" t="s">
        <v>1018</v>
      </c>
      <c r="E61" s="20" t="s">
        <v>9</v>
      </c>
      <c r="F61" s="20" t="s">
        <v>10</v>
      </c>
      <c r="G61" s="20">
        <v>1</v>
      </c>
      <c r="H61" s="20">
        <v>0</v>
      </c>
      <c r="I61" s="21">
        <f>VLOOKUP($A61,tabCustoUnit[],COLUMN(CUSTO_GLOBAL[[#Headers],[Salário Base]])-2,0)*($G61-$H61)</f>
        <v>1596.28</v>
      </c>
      <c r="J61" s="21">
        <f>VLOOKUP($A61,tabCustoUnit[],COLUMN(CUSTO_GLOBAL[[#Headers],[Adicional Periculosidade]])-2,0)*($G61-$H61)</f>
        <v>0</v>
      </c>
      <c r="K61" s="21">
        <f>VLOOKUP($A61,tabCustoUnit[],COLUMN(CUSTO_GLOBAL[[#Headers],[Adicional Insalubridade]])-2,0)*($G61-$H61)</f>
        <v>0</v>
      </c>
      <c r="L61" s="21">
        <f>VLOOKUP($A61,tabCustoUnit[],COLUMN(CUSTO_GLOBAL[[#Headers],[Adicional Noturno]])-2,0)*($G61-$H61)</f>
        <v>0</v>
      </c>
      <c r="M61" s="21">
        <f>VLOOKUP($A61,tabCustoUnit[],COLUMN(CUSTO_GLOBAL[[#Headers],[Adicional Motorista II (Gratificação)]])-2,0)*($G61-$H61)</f>
        <v>0</v>
      </c>
      <c r="N61" s="21">
        <f>VLOOKUP($A61,tabCustoUnit[],COLUMN(CUSTO_GLOBAL[[#Headers],[Adicional de Sobreaviso]])-2,0)*($G61-$H61)</f>
        <v>0</v>
      </c>
      <c r="O61" s="21">
        <f>VLOOKUP($A61,tabCustoUnit[],COLUMN(CUSTO_GLOBAL[[#Headers],[Horas Extras TI]])-2,0)*($G61-$H61)</f>
        <v>0</v>
      </c>
      <c r="P61" s="21">
        <f>VLOOKUP($A61,tabCustoUnit[],COLUMN(CUSTO_GLOBAL[[#Headers],[Adicional de Acúmulo de função]])-2,0)*($G61-$H61)</f>
        <v>52.241900000000001</v>
      </c>
      <c r="Q61" s="21">
        <f>VLOOKUP($A61,tabCustoUnit[],COLUMN(CUSTO_GLOBAL[[#Headers],[MODULO 1 - REMUNERAÇÃO ]])-2,0)*($G61-$H61)</f>
        <v>1648.5219</v>
      </c>
      <c r="R61" s="21">
        <f>VLOOKUP($A61,tabCustoUnit[],COLUMN(CUSTO_GLOBAL[[#Headers],[INSS]])-2,0)*($G61-$H61)</f>
        <v>329.70438000000001</v>
      </c>
      <c r="S61" s="21">
        <f>VLOOKUP($A61,tabCustoUnit[],COLUMN(CUSTO_GLOBAL[[#Headers],[SESI OU SESC]])-2,0)*($G61-$H61)</f>
        <v>24.727828499999998</v>
      </c>
      <c r="T61" s="21">
        <f>VLOOKUP($A61,tabCustoUnit[],COLUMN(CUSTO_GLOBAL[[#Headers],[SENAI OU SENAC]])-2,0)*($G61-$H61)</f>
        <v>16.485219000000001</v>
      </c>
      <c r="U61" s="21">
        <f>VLOOKUP($A61,tabCustoUnit[],COLUMN(CUSTO_GLOBAL[[#Headers],[INCRA]])-2,0)*($G61-$H61)</f>
        <v>3.2970438</v>
      </c>
      <c r="V61" s="21">
        <f>VLOOKUP($A61,tabCustoUnit[],COLUMN(CUSTO_GLOBAL[[#Headers],[Salário Educação]])-2,0)*($G61-$H61)</f>
        <v>41.213047500000002</v>
      </c>
      <c r="W61" s="21">
        <f>VLOOKUP($A61,tabCustoUnit[],COLUMN(CUSTO_GLOBAL[[#Headers],[FGTS]])-2,0)*($G61-$H61)</f>
        <v>131.88175200000001</v>
      </c>
      <c r="X61" s="21">
        <f>VLOOKUP($A61,tabCustoUnit[],COLUMN(CUSTO_GLOBAL[[#Headers],[RAT Ajustado]])-2,0)*($G61-$H61)</f>
        <v>65.940876000000003</v>
      </c>
      <c r="Y61" s="21">
        <f>VLOOKUP($A61,tabCustoUnit[],COLUMN(CUSTO_GLOBAL[[#Headers],[SEBRAE]])-2,0)*($G61-$H61)</f>
        <v>9.8911314000000008</v>
      </c>
      <c r="Z61" s="21">
        <f>VLOOKUP($A61,tabCustoUnit[],COLUMN(CUSTO_GLOBAL[[#Headers],[Submódulo 2.1]])-2,0)*($G61-$H61)</f>
        <v>623.14127819999999</v>
      </c>
      <c r="AA61" s="21">
        <f>VLOOKUP($A61,tabCustoUnit[],COLUMN(CUSTO_GLOBAL[[#Headers],[13º salário (titular)]])-2,0)*($G61-$H61)</f>
        <v>137.376825</v>
      </c>
      <c r="AB61" s="21">
        <f>VLOOKUP($A61,tabCustoUnit[],COLUMN(CUSTO_GLOBAL[[#Headers],[Férias e Adicional de Férias (titular)]])-2,0)*($G61-$H61)</f>
        <v>183.16909999999999</v>
      </c>
      <c r="AC61" s="21">
        <f>VLOOKUP($A61,tabCustoUnit[],COLUMN(CUSTO_GLOBAL[[#Headers],[Incidência do Submódulo 2.1 sobre 13º Salário, Férias e Adicional de Férias]])-2,0)*($G61-$H61)</f>
        <v>121.16635965</v>
      </c>
      <c r="AD61" s="21">
        <f>VLOOKUP($A61,tabCustoUnit[],COLUMN(CUSTO_GLOBAL[[#Headers],[Submódulo 2.2]])-2,0)*($G61-$H61)</f>
        <v>441.71228465000002</v>
      </c>
      <c r="AE61" s="22">
        <f>VLOOKUP($A61,tabCustoUnit[],COLUMN(CUSTO_GLOBAL[[#Headers],[Vale - Transporte (Descontada parcela do empregado)]])-2,0)*($G61-$H61)</f>
        <v>160.22320000000002</v>
      </c>
      <c r="AF61" s="22">
        <f>VLOOKUP($A61,tabCustoUnit[],COLUMN(CUSTO_GLOBAL[[#Headers],[Vale - Alimentação (Descontada parcela do empregado)]])-2,0)*($G61-$H61)</f>
        <v>582</v>
      </c>
      <c r="AG61" s="22">
        <f>VLOOKUP($A61,tabCustoUnit[],COLUMN(CUSTO_GLOBAL[[#Headers],[Cesta Básica]])-2,0)*($G61-$H61)</f>
        <v>0</v>
      </c>
      <c r="AH61" s="22">
        <f>VLOOKUP($A61,tabCustoUnit[],COLUMN(CUSTO_GLOBAL[[#Headers],[PAF]])-2,0)*($G61-$H61)</f>
        <v>51.88</v>
      </c>
      <c r="AI61" s="22">
        <f>VLOOKUP($A61,tabCustoUnit[],COLUMN(CUSTO_GLOBAL[[#Headers],[PQM]])-2,0)*($G61-$H61)</f>
        <v>0</v>
      </c>
      <c r="AJ61" s="22">
        <v>0</v>
      </c>
      <c r="AK61" s="22">
        <f>VLOOKUP($A61,tabCustoUnit[],COLUMN(CUSTO_GLOBAL[[#Headers],[Seguro de Vida]])-2,0)*($G61-$H61)</f>
        <v>3.36</v>
      </c>
      <c r="AL61" s="22">
        <f>VLOOKUP($A61,tabCustoUnit[],COLUMN(CUSTO_GLOBAL[[#Headers],[Despesas de Viagem]])-2,0)*($G61-$H61)</f>
        <v>0</v>
      </c>
      <c r="AM61" s="22">
        <f>VLOOKUP($A61,tabCustoUnit[],COLUMN(CUSTO_GLOBAL[[#Headers],[Submódulo 2.3]])-2,0)*($G61-$H61)</f>
        <v>797.46320000000003</v>
      </c>
      <c r="AN61" s="22">
        <f>VLOOKUP($A61,tabCustoUnit[],COLUMN(CUSTO_GLOBAL[[#Headers],[MÓDULO 2 - Total Encargos e Benefícios mensais e diários]])-2,0)*($G61-$H61)</f>
        <v>1862.31676285</v>
      </c>
      <c r="AO61" s="22">
        <f>VLOOKUP($A61,tabCustoUnit[],COLUMN(CUSTO_GLOBAL[[#Headers],[Aviso Prévio Indenizado (API) e Reflexo do Aviso Prévio Indenizado]])-2,0)*($G61-$H61)</f>
        <v>11.559051416493055</v>
      </c>
      <c r="AP61" s="22">
        <f>VLOOKUP($A61,tabCustoUnit[],COLUMN(CUSTO_GLOBAL[[#Headers],[Incidência do FGTS sobre API e Reflexo do API]])-2,0)*($G61-$H61)</f>
        <v>0.92472411331944449</v>
      </c>
      <c r="AQ61" s="22">
        <f>VLOOKUP($A61,tabCustoUnit[],COLUMN(CUSTO_GLOBAL[[#Headers],[Multa Rescisória do FGTS sobre o Aviso Prévio Indenizado]])-2,0)*($G61-$H61)</f>
        <v>0.36988964532777785</v>
      </c>
      <c r="AR61" s="22">
        <f>VLOOKUP($A61,tabCustoUnit[],COLUMN(CUSTO_GLOBAL[[#Headers],[Aviso Prévio Trabalhado - APT]])-2,0)*($G61-$H61)</f>
        <v>5.7698266500000006</v>
      </c>
      <c r="AS61" s="22">
        <f>VLOOKUP($A61,tabCustoUnit[],COLUMN(CUSTO_GLOBAL[[#Headers],[Incidência dos encargos do submódulo 2.1 sobre Aviso Prévio Trabalhado]])-2,0)*($G61-$H61)</f>
        <v>2.1809944737000007</v>
      </c>
      <c r="AT61" s="22">
        <f>VLOOKUP($A61,tabCustoUnit[],COLUMN(CUSTO_GLOBAL[[#Headers],[Multa Rescisória do FGTS]])-2,0)*($G61-$H61)</f>
        <v>50.40813631999999</v>
      </c>
      <c r="AU61" s="22">
        <f>VLOOKUP($A61,tabCustoUnit[],COLUMN(CUSTO_GLOBAL[[#Headers],[Indenização Adicional (Art. 9º da Lei nº 7.238/84)]])-2,0)*($G61-$H61)</f>
        <v>1.3737682500000001</v>
      </c>
      <c r="AV61" s="22">
        <f>VLOOKUP($A61,tabCustoUnit[],COLUMN(CUSTO_GLOBAL[[#Headers],[MÓDULO 3 – PROVISÃO PARA RESCISÃO]])-2,0)*($G61-$H61)</f>
        <v>72.586390868840269</v>
      </c>
      <c r="AW61" s="22">
        <f>VLOOKUP($A61,tabCustoUnit[],COLUMN(CUSTO_GLOBAL[[#Headers],[Ausência por Doença]])-2,0)*($G61-$H61)</f>
        <v>13.920851599999999</v>
      </c>
      <c r="AX61" s="22">
        <f>VLOOKUP($A61,tabCustoUnit[],COLUMN(CUSTO_GLOBAL[[#Headers],[Ausências Legais]])-2,0)*($G61-$H61)</f>
        <v>3.3428360749999997</v>
      </c>
      <c r="AY61" s="22">
        <f>VLOOKUP($A61,tabCustoUnit[],COLUMN(CUSTO_GLOBAL[[#Headers],[Licença Paternidade]])-2,0)*($G61-$H61)</f>
        <v>0.28162249125</v>
      </c>
      <c r="AZ61" s="22">
        <f>VLOOKUP($A61,tabCustoUnit[],COLUMN(CUSTO_GLOBAL[[#Headers],[Ausência por Acidente de Trabalho]])-2,0)*($G61-$H61)</f>
        <v>0.34344206250000003</v>
      </c>
      <c r="BA61" s="22">
        <f>VLOOKUP($A61,tabCustoUnit[],COLUMN(CUSTO_GLOBAL[[#Headers],[Férias, Adicional de Férias e 13º  com empregada em gozo de Licença Maternidade]])-2,0)*($G61-$H61)</f>
        <v>2.1369728333333331</v>
      </c>
      <c r="BB61" s="22">
        <f>VLOOKUP($A61,tabCustoUnit[],COLUMN(CUSTO_GLOBAL[[#Headers],[Incidência do Submódulo 2.1 sobre Ausências Legais]])-2,0)*($G61-$H61)</f>
        <v>7.5697240734675013</v>
      </c>
      <c r="BC61" s="22">
        <f>VLOOKUP($A61,tabCustoUnit[],COLUMN(CUSTO_GLOBAL[[#Headers],[Submódulo 4.1]])-2,0)*($G61-$H61)</f>
        <v>27.595449135550833</v>
      </c>
      <c r="BD61" s="22">
        <f>VLOOKUP($A61,tabCustoUnit[],COLUMN(CUSTO_GLOBAL[[#Headers],[Intervalo para Repouso ou Alimentação]])-2,0)*($G61-$H61)</f>
        <v>0</v>
      </c>
      <c r="BE61" s="22">
        <f>VLOOKUP($A61,tabCustoUnit[],COLUMN(CUSTO_GLOBAL[[#Headers],[Submódulo 4.2]])-2,0)*($G61-$H61)</f>
        <v>0</v>
      </c>
      <c r="BF61" s="22">
        <f>VLOOKUP($A61,tabCustoUnit[],COLUMN(CUSTO_GLOBAL[[#Headers],[Suspensão Temporária do Contrato de Trabalho]])-2,0)*($G61-$H61)</f>
        <v>0</v>
      </c>
      <c r="BG61" s="22">
        <f>VLOOKUP($A61,tabCustoUnit[],COLUMN(CUSTO_GLOBAL[[#Headers],[Submódulo 4.3]])-2,0)*($G61-$H61)</f>
        <v>0</v>
      </c>
      <c r="BH61" s="22">
        <f>VLOOKUP($A61,tabCustoUnit[],COLUMN(CUSTO_GLOBAL[[#Headers],[MÓDULO 4 – CUSTO DE REPOSIÇÃO DO PROFISSIONAL AUSENTE]])-2,0)*($G61-$H61)</f>
        <v>27.595449135550833</v>
      </c>
      <c r="BI61" s="22">
        <f>VLOOKUP($A61,tabCustoUnit[],COLUMN(CUSTO_GLOBAL[[#Headers],[Uniformes e EPIs]])-2,0)*($G61-$H61)</f>
        <v>100.80916666666666</v>
      </c>
      <c r="BJ61" s="22">
        <f>VLOOKUP($A61,tabCustoUnit[],COLUMN(CUSTO_GLOBAL[[#Headers],[Materiais de Consumo]])-2,0)*($G61-$H61)</f>
        <v>35.518212958583888</v>
      </c>
      <c r="BK61" s="22">
        <f>VLOOKUP($A61,tabCustoUnit[],COLUMN(CUSTO_GLOBAL[[#Headers],[Máquinas e Equipamentos (depreciação)]])-2,0)*($G61-$H61)</f>
        <v>64.529393914825576</v>
      </c>
      <c r="BL61" s="22">
        <f>VLOOKUP($A61,tabCustoUnit[],COLUMN(CUSTO_GLOBAL[[#Headers],[Produtos de Limpeza e Materiais de Higiene Pessoal]])-2,0)*($G61-$H61)</f>
        <v>690.27153277931654</v>
      </c>
      <c r="BM61" s="22">
        <f>VLOOKUP($A61,tabCustoUnit[],COLUMN(CUSTO_GLOBAL[[#Headers],[Outros (especificar)]])-2,0)*($G61-$H61)</f>
        <v>0</v>
      </c>
      <c r="BN61" s="22">
        <f>VLOOKUP($A61,tabCustoUnit[],COLUMN(CUSTO_GLOBAL[[#Headers],[MÓDULO 5 – INSUMOS DIVERSOS]])-2,0)*($G61-$H61)</f>
        <v>891.12830631939266</v>
      </c>
      <c r="BO61" s="22">
        <f>VLOOKUP($A61,tabCustoUnit[],COLUMN(CUSTO_GLOBAL[[#Headers],[TOTAL MÓDULOS 1+2+3+4+5]])-2,0)*($G61-$H61)</f>
        <v>4502.1488091737838</v>
      </c>
      <c r="BP61" s="22">
        <f>VLOOKUP($A61,tabCustoUnit[],COLUMN(CUSTO_GLOBAL[[#Headers],[Custos Indiretos]])-2,0)*($G61-$H61)</f>
        <v>189.64880140242613</v>
      </c>
      <c r="BQ61" s="22">
        <f>VLOOKUP($A61,tabCustoUnit[],COLUMN(CUSTO_GLOBAL[[#Headers],[Lucro]])-2,0)*($G61-$H61)</f>
        <v>159.30499317803796</v>
      </c>
      <c r="BR61" s="26">
        <f>VLOOKUP($A61,tabCustoUnit[],COLUMN(CUSTO_GLOBAL[[#Headers],[COFINS]])-2,0)</f>
        <v>8.8629737609329504E-2</v>
      </c>
      <c r="BS61" s="26">
        <f>VLOOKUP($A61,tabCustoUnit[],COLUMN(CUSTO_GLOBAL[[#Headers],[PIS]])-2,0)</f>
        <v>1.9241982507288629E-2</v>
      </c>
      <c r="BT61" s="28">
        <f>VLOOKUP($A61,tabCustoUnit[],COLUMN(CUSTO_GLOBAL[[#Headers],[ISS]])-2,0)</f>
        <v>0.05</v>
      </c>
      <c r="BU61" s="26">
        <f>VLOOKUP($A61,tabCustoUnit[],COLUMN(CUSTO_GLOBAL[[#Headers],[ISS (Conversão Alíquota s/ fatura)]])-2,0)</f>
        <v>5.8309037900874633E-2</v>
      </c>
      <c r="BV61" s="26">
        <f>VLOOKUP($A61,tabCustoUnit[],COLUMN(CUSTO_GLOBAL[[#Headers],[Resumo de Alíquotas (PIS+CONFINS+ISS)]])-2,0)</f>
        <v>0.14250000000000002</v>
      </c>
      <c r="BW61" s="138">
        <f>VLOOKUP($A61,tabCustoUnit[],COLUMN(CUSTO_GLOBAL[[#Headers],[PIS + COFINS + ISS (Total Conversão  Alíquota s/ Fatura)]])-2,0)</f>
        <v>0.16618075801749277</v>
      </c>
      <c r="BX61" s="22">
        <f>VLOOKUP($A61,tabCustoUnit[],COLUMN(CUSTO_GLOBAL[[#Headers],[Valor dos Tributos (ISS, PIS, CONFINS)]])-2,0)*($G61-$H61)</f>
        <v>806.15990791251375</v>
      </c>
      <c r="BY61" s="22">
        <f>VLOOKUP($A61,tabCustoUnit[],COLUMN(CUSTO_GLOBAL[[#Headers],[MÓDULO 6 – CUSTOS INDIRETOS, TRIBUTOS E LUCRO]])-2,0)*($G61-$H61)</f>
        <v>1155.1137024929778</v>
      </c>
      <c r="BZ61" s="22">
        <f>VLOOKUP($A61,tabCustoUnit[],COLUMN(CUSTO_GLOBAL[[#Headers],[CUSTO TOTAL MENSAL]])-2,0)*($G61-$H61)</f>
        <v>5657.2625116667614</v>
      </c>
      <c r="CA61" s="22">
        <f>CUSTO_GLOBAL[[#This Row],[CUSTO TOTAL MENSAL]]*12</f>
        <v>67887.150140001133</v>
      </c>
      <c r="CB61" s="24">
        <f>VLOOKUP($A61,tabCustoUnit[],COLUMN(CUSTO_GLOBAL[[#Headers],[ANO DA CCT]])-2,0)</f>
        <v>45658</v>
      </c>
      <c r="CC61" s="25" t="str">
        <f>VLOOKUP($A61,tabCustoUnit[],COLUMN(CUSTO_GLOBAL[[#Headers],[Nº DE PEDIDO DA CCT]])-2,0)</f>
        <v>-</v>
      </c>
      <c r="CD61" s="25" t="str">
        <f>VLOOKUP($A61,tabCustoUnit[],COLUMN(CUSTO_GLOBAL[[#Headers],[TERMO ADITIVO  ALTERAÇÃO DA CCT]])-2,0)</f>
        <v>-</v>
      </c>
      <c r="CF61" s="22"/>
      <c r="CG61" s="22"/>
    </row>
    <row r="62" spans="1:85" x14ac:dyDescent="0.25">
      <c r="A62" s="20" t="s">
        <v>1402</v>
      </c>
      <c r="B62" t="s">
        <v>60</v>
      </c>
      <c r="C62" t="s">
        <v>1245</v>
      </c>
      <c r="D62" t="s">
        <v>1037</v>
      </c>
      <c r="E62" s="20" t="s">
        <v>9</v>
      </c>
      <c r="F62" s="20" t="s">
        <v>10</v>
      </c>
      <c r="G62" s="20">
        <v>1</v>
      </c>
      <c r="H62" s="20">
        <v>0</v>
      </c>
      <c r="I62" s="21">
        <f>VLOOKUP($A62,tabCustoUnit[],COLUMN(CUSTO_GLOBAL[[#Headers],[Salário Base]])-2,0)*($G62-$H62)</f>
        <v>1596.28</v>
      </c>
      <c r="J62" s="21">
        <f>VLOOKUP($A62,tabCustoUnit[],COLUMN(CUSTO_GLOBAL[[#Headers],[Adicional Periculosidade]])-2,0)*($G62-$H62)</f>
        <v>0</v>
      </c>
      <c r="K62" s="21">
        <f>VLOOKUP($A62,tabCustoUnit[],COLUMN(CUSTO_GLOBAL[[#Headers],[Adicional Insalubridade]])-2,0)*($G62-$H62)</f>
        <v>0</v>
      </c>
      <c r="L62" s="21">
        <f>VLOOKUP($A62,tabCustoUnit[],COLUMN(CUSTO_GLOBAL[[#Headers],[Adicional Noturno]])-2,0)*($G62-$H62)</f>
        <v>0</v>
      </c>
      <c r="M62" s="21">
        <f>VLOOKUP($A62,tabCustoUnit[],COLUMN(CUSTO_GLOBAL[[#Headers],[Adicional Motorista II (Gratificação)]])-2,0)*($G62-$H62)</f>
        <v>0</v>
      </c>
      <c r="N62" s="21">
        <f>VLOOKUP($A62,tabCustoUnit[],COLUMN(CUSTO_GLOBAL[[#Headers],[Adicional de Sobreaviso]])-2,0)*($G62-$H62)</f>
        <v>0</v>
      </c>
      <c r="O62" s="21">
        <f>VLOOKUP($A62,tabCustoUnit[],COLUMN(CUSTO_GLOBAL[[#Headers],[Horas Extras TI]])-2,0)*($G62-$H62)</f>
        <v>0</v>
      </c>
      <c r="P62" s="21">
        <f>VLOOKUP($A62,tabCustoUnit[],COLUMN(CUSTO_GLOBAL[[#Headers],[Adicional de Acúmulo de função]])-2,0)*($G62-$H62)</f>
        <v>52.241900000000001</v>
      </c>
      <c r="Q62" s="21">
        <f>VLOOKUP($A62,tabCustoUnit[],COLUMN(CUSTO_GLOBAL[[#Headers],[MODULO 1 - REMUNERAÇÃO ]])-2,0)*($G62-$H62)</f>
        <v>1648.5219</v>
      </c>
      <c r="R62" s="21">
        <f>VLOOKUP($A62,tabCustoUnit[],COLUMN(CUSTO_GLOBAL[[#Headers],[INSS]])-2,0)*($G62-$H62)</f>
        <v>329.70438000000001</v>
      </c>
      <c r="S62" s="21">
        <f>VLOOKUP($A62,tabCustoUnit[],COLUMN(CUSTO_GLOBAL[[#Headers],[SESI OU SESC]])-2,0)*($G62-$H62)</f>
        <v>24.727828499999998</v>
      </c>
      <c r="T62" s="21">
        <f>VLOOKUP($A62,tabCustoUnit[],COLUMN(CUSTO_GLOBAL[[#Headers],[SENAI OU SENAC]])-2,0)*($G62-$H62)</f>
        <v>16.485219000000001</v>
      </c>
      <c r="U62" s="21">
        <f>VLOOKUP($A62,tabCustoUnit[],COLUMN(CUSTO_GLOBAL[[#Headers],[INCRA]])-2,0)*($G62-$H62)</f>
        <v>3.2970438</v>
      </c>
      <c r="V62" s="21">
        <f>VLOOKUP($A62,tabCustoUnit[],COLUMN(CUSTO_GLOBAL[[#Headers],[Salário Educação]])-2,0)*($G62-$H62)</f>
        <v>41.213047500000002</v>
      </c>
      <c r="W62" s="21">
        <f>VLOOKUP($A62,tabCustoUnit[],COLUMN(CUSTO_GLOBAL[[#Headers],[FGTS]])-2,0)*($G62-$H62)</f>
        <v>131.88175200000001</v>
      </c>
      <c r="X62" s="21">
        <f>VLOOKUP($A62,tabCustoUnit[],COLUMN(CUSTO_GLOBAL[[#Headers],[RAT Ajustado]])-2,0)*($G62-$H62)</f>
        <v>65.940876000000003</v>
      </c>
      <c r="Y62" s="21">
        <f>VLOOKUP($A62,tabCustoUnit[],COLUMN(CUSTO_GLOBAL[[#Headers],[SEBRAE]])-2,0)*($G62-$H62)</f>
        <v>9.8911314000000008</v>
      </c>
      <c r="Z62" s="21">
        <f>VLOOKUP($A62,tabCustoUnit[],COLUMN(CUSTO_GLOBAL[[#Headers],[Submódulo 2.1]])-2,0)*($G62-$H62)</f>
        <v>623.14127819999999</v>
      </c>
      <c r="AA62" s="21">
        <f>VLOOKUP($A62,tabCustoUnit[],COLUMN(CUSTO_GLOBAL[[#Headers],[13º salário (titular)]])-2,0)*($G62-$H62)</f>
        <v>137.376825</v>
      </c>
      <c r="AB62" s="21">
        <f>VLOOKUP($A62,tabCustoUnit[],COLUMN(CUSTO_GLOBAL[[#Headers],[Férias e Adicional de Férias (titular)]])-2,0)*($G62-$H62)</f>
        <v>183.16909999999999</v>
      </c>
      <c r="AC62" s="21">
        <f>VLOOKUP($A62,tabCustoUnit[],COLUMN(CUSTO_GLOBAL[[#Headers],[Incidência do Submódulo 2.1 sobre 13º Salário, Férias e Adicional de Férias]])-2,0)*($G62-$H62)</f>
        <v>121.16635965</v>
      </c>
      <c r="AD62" s="21">
        <f>VLOOKUP($A62,tabCustoUnit[],COLUMN(CUSTO_GLOBAL[[#Headers],[Submódulo 2.2]])-2,0)*($G62-$H62)</f>
        <v>441.71228465000002</v>
      </c>
      <c r="AE62" s="22">
        <f>VLOOKUP($A62,tabCustoUnit[],COLUMN(CUSTO_GLOBAL[[#Headers],[Vale - Transporte (Descontada parcela do empregado)]])-2,0)*($G62-$H62)</f>
        <v>160.22320000000002</v>
      </c>
      <c r="AF62" s="22">
        <f>VLOOKUP($A62,tabCustoUnit[],COLUMN(CUSTO_GLOBAL[[#Headers],[Vale - Alimentação (Descontada parcela do empregado)]])-2,0)*($G62-$H62)</f>
        <v>582</v>
      </c>
      <c r="AG62" s="22">
        <f>VLOOKUP($A62,tabCustoUnit[],COLUMN(CUSTO_GLOBAL[[#Headers],[Cesta Básica]])-2,0)*($G62-$H62)</f>
        <v>0</v>
      </c>
      <c r="AH62" s="22">
        <f>VLOOKUP($A62,tabCustoUnit[],COLUMN(CUSTO_GLOBAL[[#Headers],[PAF]])-2,0)*($G62-$H62)</f>
        <v>51.86</v>
      </c>
      <c r="AI62" s="22">
        <f>VLOOKUP($A62,tabCustoUnit[],COLUMN(CUSTO_GLOBAL[[#Headers],[PQM]])-2,0)*($G62-$H62)</f>
        <v>0</v>
      </c>
      <c r="AJ62" s="22">
        <v>0</v>
      </c>
      <c r="AK62" s="22">
        <f>VLOOKUP($A62,tabCustoUnit[],COLUMN(CUSTO_GLOBAL[[#Headers],[Seguro de Vida]])-2,0)*($G62-$H62)</f>
        <v>3.36</v>
      </c>
      <c r="AL62" s="22">
        <f>VLOOKUP($A62,tabCustoUnit[],COLUMN(CUSTO_GLOBAL[[#Headers],[Despesas de Viagem]])-2,0)*($G62-$H62)</f>
        <v>0</v>
      </c>
      <c r="AM62" s="22">
        <f>VLOOKUP($A62,tabCustoUnit[],COLUMN(CUSTO_GLOBAL[[#Headers],[Submódulo 2.3]])-2,0)*($G62-$H62)</f>
        <v>797.44320000000005</v>
      </c>
      <c r="AN62" s="22">
        <f>VLOOKUP($A62,tabCustoUnit[],COLUMN(CUSTO_GLOBAL[[#Headers],[MÓDULO 2 - Total Encargos e Benefícios mensais e diários]])-2,0)*($G62-$H62)</f>
        <v>1862.2967628500001</v>
      </c>
      <c r="AO62" s="22">
        <f>VLOOKUP($A62,tabCustoUnit[],COLUMN(CUSTO_GLOBAL[[#Headers],[Aviso Prévio Indenizado (API) e Reflexo do Aviso Prévio Indenizado]])-2,0)*($G62-$H62)</f>
        <v>11.559051416493055</v>
      </c>
      <c r="AP62" s="22">
        <f>VLOOKUP($A62,tabCustoUnit[],COLUMN(CUSTO_GLOBAL[[#Headers],[Incidência do FGTS sobre API e Reflexo do API]])-2,0)*($G62-$H62)</f>
        <v>0.92472411331944449</v>
      </c>
      <c r="AQ62" s="22">
        <f>VLOOKUP($A62,tabCustoUnit[],COLUMN(CUSTO_GLOBAL[[#Headers],[Multa Rescisória do FGTS sobre o Aviso Prévio Indenizado]])-2,0)*($G62-$H62)</f>
        <v>0.36988964532777785</v>
      </c>
      <c r="AR62" s="22">
        <f>VLOOKUP($A62,tabCustoUnit[],COLUMN(CUSTO_GLOBAL[[#Headers],[Aviso Prévio Trabalhado - APT]])-2,0)*($G62-$H62)</f>
        <v>5.7698266500000006</v>
      </c>
      <c r="AS62" s="22">
        <f>VLOOKUP($A62,tabCustoUnit[],COLUMN(CUSTO_GLOBAL[[#Headers],[Incidência dos encargos do submódulo 2.1 sobre Aviso Prévio Trabalhado]])-2,0)*($G62-$H62)</f>
        <v>2.1809944737000007</v>
      </c>
      <c r="AT62" s="22">
        <f>VLOOKUP($A62,tabCustoUnit[],COLUMN(CUSTO_GLOBAL[[#Headers],[Multa Rescisória do FGTS]])-2,0)*($G62-$H62)</f>
        <v>50.40813631999999</v>
      </c>
      <c r="AU62" s="22">
        <f>VLOOKUP($A62,tabCustoUnit[],COLUMN(CUSTO_GLOBAL[[#Headers],[Indenização Adicional (Art. 9º da Lei nº 7.238/84)]])-2,0)*($G62-$H62)</f>
        <v>1.3737682500000001</v>
      </c>
      <c r="AV62" s="22">
        <f>VLOOKUP($A62,tabCustoUnit[],COLUMN(CUSTO_GLOBAL[[#Headers],[MÓDULO 3 – PROVISÃO PARA RESCISÃO]])-2,0)*($G62-$H62)</f>
        <v>72.586390868840269</v>
      </c>
      <c r="AW62" s="22">
        <f>VLOOKUP($A62,tabCustoUnit[],COLUMN(CUSTO_GLOBAL[[#Headers],[Ausência por Doença]])-2,0)*($G62-$H62)</f>
        <v>13.920851599999999</v>
      </c>
      <c r="AX62" s="22">
        <f>VLOOKUP($A62,tabCustoUnit[],COLUMN(CUSTO_GLOBAL[[#Headers],[Ausências Legais]])-2,0)*($G62-$H62)</f>
        <v>3.3428360749999997</v>
      </c>
      <c r="AY62" s="22">
        <f>VLOOKUP($A62,tabCustoUnit[],COLUMN(CUSTO_GLOBAL[[#Headers],[Licença Paternidade]])-2,0)*($G62-$H62)</f>
        <v>0.28162249125</v>
      </c>
      <c r="AZ62" s="22">
        <f>VLOOKUP($A62,tabCustoUnit[],COLUMN(CUSTO_GLOBAL[[#Headers],[Ausência por Acidente de Trabalho]])-2,0)*($G62-$H62)</f>
        <v>0.34344206250000003</v>
      </c>
      <c r="BA62" s="22">
        <f>VLOOKUP($A62,tabCustoUnit[],COLUMN(CUSTO_GLOBAL[[#Headers],[Férias, Adicional de Férias e 13º  com empregada em gozo de Licença Maternidade]])-2,0)*($G62-$H62)</f>
        <v>2.1369728333333331</v>
      </c>
      <c r="BB62" s="22">
        <f>VLOOKUP($A62,tabCustoUnit[],COLUMN(CUSTO_GLOBAL[[#Headers],[Incidência do Submódulo 2.1 sobre Ausências Legais]])-2,0)*($G62-$H62)</f>
        <v>7.5697240734675013</v>
      </c>
      <c r="BC62" s="22">
        <f>VLOOKUP($A62,tabCustoUnit[],COLUMN(CUSTO_GLOBAL[[#Headers],[Submódulo 4.1]])-2,0)*($G62-$H62)</f>
        <v>27.595449135550833</v>
      </c>
      <c r="BD62" s="22">
        <f>VLOOKUP($A62,tabCustoUnit[],COLUMN(CUSTO_GLOBAL[[#Headers],[Intervalo para Repouso ou Alimentação]])-2,0)*($G62-$H62)</f>
        <v>0</v>
      </c>
      <c r="BE62" s="22">
        <f>VLOOKUP($A62,tabCustoUnit[],COLUMN(CUSTO_GLOBAL[[#Headers],[Submódulo 4.2]])-2,0)*($G62-$H62)</f>
        <v>0</v>
      </c>
      <c r="BF62" s="22">
        <f>VLOOKUP($A62,tabCustoUnit[],COLUMN(CUSTO_GLOBAL[[#Headers],[Suspensão Temporária do Contrato de Trabalho]])-2,0)*($G62-$H62)</f>
        <v>0</v>
      </c>
      <c r="BG62" s="22">
        <f>VLOOKUP($A62,tabCustoUnit[],COLUMN(CUSTO_GLOBAL[[#Headers],[Submódulo 4.3]])-2,0)*($G62-$H62)</f>
        <v>0</v>
      </c>
      <c r="BH62" s="22">
        <f>VLOOKUP($A62,tabCustoUnit[],COLUMN(CUSTO_GLOBAL[[#Headers],[MÓDULO 4 – CUSTO DE REPOSIÇÃO DO PROFISSIONAL AUSENTE]])-2,0)*($G62-$H62)</f>
        <v>27.595449135550833</v>
      </c>
      <c r="BI62" s="22">
        <f>VLOOKUP($A62,tabCustoUnit[],COLUMN(CUSTO_GLOBAL[[#Headers],[Uniformes e EPIs]])-2,0)*($G62-$H62)</f>
        <v>100.80916666666666</v>
      </c>
      <c r="BJ62" s="22">
        <f>VLOOKUP($A62,tabCustoUnit[],COLUMN(CUSTO_GLOBAL[[#Headers],[Materiais de Consumo]])-2,0)*($G62-$H62)</f>
        <v>35.518212958583888</v>
      </c>
      <c r="BK62" s="22">
        <f>VLOOKUP($A62,tabCustoUnit[],COLUMN(CUSTO_GLOBAL[[#Headers],[Máquinas e Equipamentos (depreciação)]])-2,0)*($G62-$H62)</f>
        <v>64.529393914825576</v>
      </c>
      <c r="BL62" s="22">
        <f>VLOOKUP($A62,tabCustoUnit[],COLUMN(CUSTO_GLOBAL[[#Headers],[Produtos de Limpeza e Materiais de Higiene Pessoal]])-2,0)*($G62-$H62)</f>
        <v>690.27153277931654</v>
      </c>
      <c r="BM62" s="22">
        <f>VLOOKUP($A62,tabCustoUnit[],COLUMN(CUSTO_GLOBAL[[#Headers],[Outros (especificar)]])-2,0)*($G62-$H62)</f>
        <v>0</v>
      </c>
      <c r="BN62" s="22">
        <f>VLOOKUP($A62,tabCustoUnit[],COLUMN(CUSTO_GLOBAL[[#Headers],[MÓDULO 5 – INSUMOS DIVERSOS]])-2,0)*($G62-$H62)</f>
        <v>891.12830631939266</v>
      </c>
      <c r="BO62" s="22">
        <f>VLOOKUP($A62,tabCustoUnit[],COLUMN(CUSTO_GLOBAL[[#Headers],[TOTAL MÓDULOS 1+2+3+4+5]])-2,0)*($G62-$H62)</f>
        <v>4502.1288091737833</v>
      </c>
      <c r="BP62" s="22">
        <f>VLOOKUP($A62,tabCustoUnit[],COLUMN(CUSTO_GLOBAL[[#Headers],[Custos Indiretos]])-2,0)*($G62-$H62)</f>
        <v>189.64880140242613</v>
      </c>
      <c r="BQ62" s="22">
        <f>VLOOKUP($A62,tabCustoUnit[],COLUMN(CUSTO_GLOBAL[[#Headers],[Lucro]])-2,0)*($G62-$H62)</f>
        <v>159.30499317803796</v>
      </c>
      <c r="BR62" s="26">
        <f>VLOOKUP($A62,tabCustoUnit[],COLUMN(CUSTO_GLOBAL[[#Headers],[COFINS]])-2,0)</f>
        <v>8.6609686609686695E-2</v>
      </c>
      <c r="BS62" s="26">
        <f>VLOOKUP($A62,tabCustoUnit[],COLUMN(CUSTO_GLOBAL[[#Headers],[PIS]])-2,0)</f>
        <v>1.880341880341882E-2</v>
      </c>
      <c r="BT62" s="28">
        <f>VLOOKUP($A62,tabCustoUnit[],COLUMN(CUSTO_GLOBAL[[#Headers],[ISS]])-2,0)</f>
        <v>0.03</v>
      </c>
      <c r="BU62" s="26">
        <f>VLOOKUP($A62,tabCustoUnit[],COLUMN(CUSTO_GLOBAL[[#Headers],[ISS (Conversão Alíquota s/ fatura)]])-2,0)</f>
        <v>3.4188034188034219E-2</v>
      </c>
      <c r="BV62" s="26">
        <f>VLOOKUP($A62,tabCustoUnit[],COLUMN(CUSTO_GLOBAL[[#Headers],[Resumo de Alíquotas (PIS+CONFINS+ISS)]])-2,0)</f>
        <v>0.1225</v>
      </c>
      <c r="BW62" s="138">
        <f>VLOOKUP($A62,tabCustoUnit[],COLUMN(CUSTO_GLOBAL[[#Headers],[PIS + COFINS + ISS (Total Conversão  Alíquota s/ Fatura)]])-2,0)</f>
        <v>0.13960113960113973</v>
      </c>
      <c r="BX62" s="22">
        <f>VLOOKUP($A62,tabCustoUnit[],COLUMN(CUSTO_GLOBAL[[#Headers],[Valor dos Tributos (ISS, PIS, CONFINS)]])-2,0)*($G62-$H62)</f>
        <v>677.21665978335716</v>
      </c>
      <c r="BY62" s="22">
        <f>VLOOKUP($A62,tabCustoUnit[],COLUMN(CUSTO_GLOBAL[[#Headers],[MÓDULO 6 – CUSTOS INDIRETOS, TRIBUTOS E LUCRO]])-2,0)*($G62-$H62)</f>
        <v>1026.1704543638211</v>
      </c>
      <c r="BZ62" s="22">
        <f>VLOOKUP($A62,tabCustoUnit[],COLUMN(CUSTO_GLOBAL[[#Headers],[CUSTO TOTAL MENSAL]])-2,0)*($G62-$H62)</f>
        <v>5528.2992635376049</v>
      </c>
      <c r="CA62" s="22">
        <f>CUSTO_GLOBAL[[#This Row],[CUSTO TOTAL MENSAL]]*12</f>
        <v>66339.591162451252</v>
      </c>
      <c r="CB62" s="24">
        <f>VLOOKUP($A62,tabCustoUnit[],COLUMN(CUSTO_GLOBAL[[#Headers],[ANO DA CCT]])-2,0)</f>
        <v>45658</v>
      </c>
      <c r="CC62" s="25" t="str">
        <f>VLOOKUP($A62,tabCustoUnit[],COLUMN(CUSTO_GLOBAL[[#Headers],[Nº DE PEDIDO DA CCT]])-2,0)</f>
        <v>-</v>
      </c>
      <c r="CD62" s="25" t="str">
        <f>VLOOKUP($A62,tabCustoUnit[],COLUMN(CUSTO_GLOBAL[[#Headers],[TERMO ADITIVO  ALTERAÇÃO DA CCT]])-2,0)</f>
        <v>-</v>
      </c>
      <c r="CF62" s="22"/>
      <c r="CG62" s="22"/>
    </row>
    <row r="63" spans="1:85" x14ac:dyDescent="0.25">
      <c r="A63" s="20" t="s">
        <v>1403</v>
      </c>
      <c r="B63" t="s">
        <v>61</v>
      </c>
      <c r="C63" t="s">
        <v>1247</v>
      </c>
      <c r="D63" t="s">
        <v>1026</v>
      </c>
      <c r="E63" s="20" t="s">
        <v>9</v>
      </c>
      <c r="F63" s="20" t="s">
        <v>10</v>
      </c>
      <c r="G63" s="20">
        <v>1</v>
      </c>
      <c r="H63" s="20">
        <v>0</v>
      </c>
      <c r="I63" s="21">
        <f>VLOOKUP($A63,tabCustoUnit[],COLUMN(CUSTO_GLOBAL[[#Headers],[Salário Base]])-2,0)*($G63-$H63)</f>
        <v>544.17999999999995</v>
      </c>
      <c r="J63" s="21">
        <f>VLOOKUP($A63,tabCustoUnit[],COLUMN(CUSTO_GLOBAL[[#Headers],[Adicional Periculosidade]])-2,0)*($G63-$H63)</f>
        <v>0</v>
      </c>
      <c r="K63" s="21">
        <f>VLOOKUP($A63,tabCustoUnit[],COLUMN(CUSTO_GLOBAL[[#Headers],[Adicional Insalubridade]])-2,0)*($G63-$H63)</f>
        <v>0</v>
      </c>
      <c r="L63" s="21">
        <f>VLOOKUP($A63,tabCustoUnit[],COLUMN(CUSTO_GLOBAL[[#Headers],[Adicional Noturno]])-2,0)*($G63-$H63)</f>
        <v>0</v>
      </c>
      <c r="M63" s="21">
        <f>VLOOKUP($A63,tabCustoUnit[],COLUMN(CUSTO_GLOBAL[[#Headers],[Adicional Motorista II (Gratificação)]])-2,0)*($G63-$H63)</f>
        <v>0</v>
      </c>
      <c r="N63" s="21">
        <f>VLOOKUP($A63,tabCustoUnit[],COLUMN(CUSTO_GLOBAL[[#Headers],[Adicional de Sobreaviso]])-2,0)*($G63-$H63)</f>
        <v>0</v>
      </c>
      <c r="O63" s="21">
        <f>VLOOKUP($A63,tabCustoUnit[],COLUMN(CUSTO_GLOBAL[[#Headers],[Horas Extras TI]])-2,0)*($G63-$H63)</f>
        <v>0</v>
      </c>
      <c r="P63" s="21">
        <f>VLOOKUP($A63,tabCustoUnit[],COLUMN(CUSTO_GLOBAL[[#Headers],[Adicional de Acúmulo de função]])-2,0)*($G63-$H63)</f>
        <v>19.590499999999999</v>
      </c>
      <c r="Q63" s="21">
        <f>VLOOKUP($A63,tabCustoUnit[],COLUMN(CUSTO_GLOBAL[[#Headers],[MODULO 1 - REMUNERAÇÃO ]])-2,0)*($G63-$H63)</f>
        <v>563.77049999999997</v>
      </c>
      <c r="R63" s="21">
        <f>VLOOKUP($A63,tabCustoUnit[],COLUMN(CUSTO_GLOBAL[[#Headers],[INSS]])-2,0)*($G63-$H63)</f>
        <v>112.75409999999999</v>
      </c>
      <c r="S63" s="21">
        <f>VLOOKUP($A63,tabCustoUnit[],COLUMN(CUSTO_GLOBAL[[#Headers],[SESI OU SESC]])-2,0)*($G63-$H63)</f>
        <v>8.4565574999999988</v>
      </c>
      <c r="T63" s="21">
        <f>VLOOKUP($A63,tabCustoUnit[],COLUMN(CUSTO_GLOBAL[[#Headers],[SENAI OU SENAC]])-2,0)*($G63-$H63)</f>
        <v>5.6377049999999995</v>
      </c>
      <c r="U63" s="21">
        <f>VLOOKUP($A63,tabCustoUnit[],COLUMN(CUSTO_GLOBAL[[#Headers],[INCRA]])-2,0)*($G63-$H63)</f>
        <v>1.1275409999999999</v>
      </c>
      <c r="V63" s="21">
        <f>VLOOKUP($A63,tabCustoUnit[],COLUMN(CUSTO_GLOBAL[[#Headers],[Salário Educação]])-2,0)*($G63-$H63)</f>
        <v>14.094262499999999</v>
      </c>
      <c r="W63" s="21">
        <f>VLOOKUP($A63,tabCustoUnit[],COLUMN(CUSTO_GLOBAL[[#Headers],[FGTS]])-2,0)*($G63-$H63)</f>
        <v>45.101639999999996</v>
      </c>
      <c r="X63" s="21">
        <f>VLOOKUP($A63,tabCustoUnit[],COLUMN(CUSTO_GLOBAL[[#Headers],[RAT Ajustado]])-2,0)*($G63-$H63)</f>
        <v>22.550819999999998</v>
      </c>
      <c r="Y63" s="21">
        <f>VLOOKUP($A63,tabCustoUnit[],COLUMN(CUSTO_GLOBAL[[#Headers],[SEBRAE]])-2,0)*($G63-$H63)</f>
        <v>3.3826229999999997</v>
      </c>
      <c r="Z63" s="21">
        <f>VLOOKUP($A63,tabCustoUnit[],COLUMN(CUSTO_GLOBAL[[#Headers],[Submódulo 2.1]])-2,0)*($G63-$H63)</f>
        <v>213.10524899999996</v>
      </c>
      <c r="AA63" s="21">
        <f>VLOOKUP($A63,tabCustoUnit[],COLUMN(CUSTO_GLOBAL[[#Headers],[13º salário (titular)]])-2,0)*($G63-$H63)</f>
        <v>46.980874999999997</v>
      </c>
      <c r="AB63" s="21">
        <f>VLOOKUP($A63,tabCustoUnit[],COLUMN(CUSTO_GLOBAL[[#Headers],[Férias e Adicional de Férias (titular)]])-2,0)*($G63-$H63)</f>
        <v>62.641166666666663</v>
      </c>
      <c r="AC63" s="21">
        <f>VLOOKUP($A63,tabCustoUnit[],COLUMN(CUSTO_GLOBAL[[#Headers],[Incidência do Submódulo 2.1 sobre 13º Salário, Férias e Adicional de Férias]])-2,0)*($G63-$H63)</f>
        <v>41.437131749999992</v>
      </c>
      <c r="AD63" s="21">
        <f>VLOOKUP($A63,tabCustoUnit[],COLUMN(CUSTO_GLOBAL[[#Headers],[Submódulo 2.2]])-2,0)*($G63-$H63)</f>
        <v>151.05917341666665</v>
      </c>
      <c r="AE63" s="22">
        <f>VLOOKUP($A63,tabCustoUnit[],COLUMN(CUSTO_GLOBAL[[#Headers],[Vale - Transporte (Descontada parcela do empregado)]])-2,0)*($G63-$H63)</f>
        <v>223.3492</v>
      </c>
      <c r="AF63" s="22">
        <f>VLOOKUP($A63,tabCustoUnit[],COLUMN(CUSTO_GLOBAL[[#Headers],[Vale - Alimentação (Descontada parcela do empregado)]])-2,0)*($G63-$H63)</f>
        <v>582</v>
      </c>
      <c r="AG63" s="22">
        <f>VLOOKUP($A63,tabCustoUnit[],COLUMN(CUSTO_GLOBAL[[#Headers],[Cesta Básica]])-2,0)*($G63-$H63)</f>
        <v>0</v>
      </c>
      <c r="AH63" s="22">
        <f>VLOOKUP($A63,tabCustoUnit[],COLUMN(CUSTO_GLOBAL[[#Headers],[PAF]])-2,0)*($G63-$H63)</f>
        <v>0</v>
      </c>
      <c r="AI63" s="22">
        <f>VLOOKUP($A63,tabCustoUnit[],COLUMN(CUSTO_GLOBAL[[#Headers],[PQM]])-2,0)*($G63-$H63)</f>
        <v>15.07</v>
      </c>
      <c r="AJ63" s="22">
        <v>0</v>
      </c>
      <c r="AK63" s="22">
        <f>VLOOKUP($A63,tabCustoUnit[],COLUMN(CUSTO_GLOBAL[[#Headers],[Seguro de Vida]])-2,0)*($G63-$H63)</f>
        <v>3.36</v>
      </c>
      <c r="AL63" s="22">
        <f>VLOOKUP($A63,tabCustoUnit[],COLUMN(CUSTO_GLOBAL[[#Headers],[Despesas de Viagem]])-2,0)*($G63-$H63)</f>
        <v>0</v>
      </c>
      <c r="AM63" s="22">
        <f>VLOOKUP($A63,tabCustoUnit[],COLUMN(CUSTO_GLOBAL[[#Headers],[Submódulo 2.3]])-2,0)*($G63-$H63)</f>
        <v>823.77920000000006</v>
      </c>
      <c r="AN63" s="22">
        <f>VLOOKUP($A63,tabCustoUnit[],COLUMN(CUSTO_GLOBAL[[#Headers],[MÓDULO 2 - Total Encargos e Benefícios mensais e diários]])-2,0)*($G63-$H63)</f>
        <v>1187.9436224166666</v>
      </c>
      <c r="AO63" s="22">
        <f>VLOOKUP($A63,tabCustoUnit[],COLUMN(CUSTO_GLOBAL[[#Headers],[Aviso Prévio Indenizado (API) e Reflexo do Aviso Prévio Indenizado]])-2,0)*($G63-$H63)</f>
        <v>3.9530273735532404</v>
      </c>
      <c r="AP63" s="22">
        <f>VLOOKUP($A63,tabCustoUnit[],COLUMN(CUSTO_GLOBAL[[#Headers],[Incidência do FGTS sobre API e Reflexo do API]])-2,0)*($G63-$H63)</f>
        <v>0.31624218988425928</v>
      </c>
      <c r="AQ63" s="22">
        <f>VLOOKUP($A63,tabCustoUnit[],COLUMN(CUSTO_GLOBAL[[#Headers],[Multa Rescisória do FGTS sobre o Aviso Prévio Indenizado]])-2,0)*($G63-$H63)</f>
        <v>0.12649687595370371</v>
      </c>
      <c r="AR63" s="22">
        <f>VLOOKUP($A63,tabCustoUnit[],COLUMN(CUSTO_GLOBAL[[#Headers],[Aviso Prévio Trabalhado - APT]])-2,0)*($G63-$H63)</f>
        <v>1.9731967500000003</v>
      </c>
      <c r="AS63" s="22">
        <f>VLOOKUP($A63,tabCustoUnit[],COLUMN(CUSTO_GLOBAL[[#Headers],[Incidência dos encargos do submódulo 2.1 sobre Aviso Prévio Trabalhado]])-2,0)*($G63-$H63)</f>
        <v>0.74586837150000018</v>
      </c>
      <c r="AT63" s="22">
        <f>VLOOKUP($A63,tabCustoUnit[],COLUMN(CUSTO_GLOBAL[[#Headers],[Multa Rescisória do FGTS]])-2,0)*($G63-$H63)</f>
        <v>17.238849066666663</v>
      </c>
      <c r="AU63" s="22">
        <f>VLOOKUP($A63,tabCustoUnit[],COLUMN(CUSTO_GLOBAL[[#Headers],[Indenização Adicional (Art. 9º da Lei nº 7.238/84)]])-2,0)*($G63-$H63)</f>
        <v>0.46980875</v>
      </c>
      <c r="AV63" s="22">
        <f>VLOOKUP($A63,tabCustoUnit[],COLUMN(CUSTO_GLOBAL[[#Headers],[MÓDULO 3 – PROVISÃO PARA RESCISÃO]])-2,0)*($G63-$H63)</f>
        <v>24.823489377557866</v>
      </c>
      <c r="AW63" s="22">
        <f>VLOOKUP($A63,tabCustoUnit[],COLUMN(CUSTO_GLOBAL[[#Headers],[Ausência por Doença]])-2,0)*($G63-$H63)</f>
        <v>4.7607286666666662</v>
      </c>
      <c r="AX63" s="22">
        <f>VLOOKUP($A63,tabCustoUnit[],COLUMN(CUSTO_GLOBAL[[#Headers],[Ausências Legais]])-2,0)*($G63-$H63)</f>
        <v>1.1432012916666665</v>
      </c>
      <c r="AY63" s="22">
        <f>VLOOKUP($A63,tabCustoUnit[],COLUMN(CUSTO_GLOBAL[[#Headers],[Licença Paternidade]])-2,0)*($G63-$H63)</f>
        <v>9.6310793749999998E-2</v>
      </c>
      <c r="AZ63" s="22">
        <f>VLOOKUP($A63,tabCustoUnit[],COLUMN(CUSTO_GLOBAL[[#Headers],[Ausência por Acidente de Trabalho]])-2,0)*($G63-$H63)</f>
        <v>0.1174521875</v>
      </c>
      <c r="BA63" s="22">
        <f>VLOOKUP($A63,tabCustoUnit[],COLUMN(CUSTO_GLOBAL[[#Headers],[Férias, Adicional de Férias e 13º  com empregada em gozo de Licença Maternidade]])-2,0)*($G63-$H63)</f>
        <v>0.73081361111111109</v>
      </c>
      <c r="BB63" s="22">
        <f>VLOOKUP($A63,tabCustoUnit[],COLUMN(CUSTO_GLOBAL[[#Headers],[Incidência do Submódulo 2.1 sobre Ausências Legais]])-2,0)*($G63-$H63)</f>
        <v>2.5887354761625003</v>
      </c>
      <c r="BC63" s="22">
        <f>VLOOKUP($A63,tabCustoUnit[],COLUMN(CUSTO_GLOBAL[[#Headers],[Submódulo 4.1]])-2,0)*($G63-$H63)</f>
        <v>9.4372420268569428</v>
      </c>
      <c r="BD63" s="22">
        <f>VLOOKUP($A63,tabCustoUnit[],COLUMN(CUSTO_GLOBAL[[#Headers],[Intervalo para Repouso ou Alimentação]])-2,0)*($G63-$H63)</f>
        <v>0</v>
      </c>
      <c r="BE63" s="22">
        <f>VLOOKUP($A63,tabCustoUnit[],COLUMN(CUSTO_GLOBAL[[#Headers],[Submódulo 4.2]])-2,0)*($G63-$H63)</f>
        <v>0</v>
      </c>
      <c r="BF63" s="22">
        <f>VLOOKUP($A63,tabCustoUnit[],COLUMN(CUSTO_GLOBAL[[#Headers],[Suspensão Temporária do Contrato de Trabalho]])-2,0)*($G63-$H63)</f>
        <v>0</v>
      </c>
      <c r="BG63" s="22">
        <f>VLOOKUP($A63,tabCustoUnit[],COLUMN(CUSTO_GLOBAL[[#Headers],[Submódulo 4.3]])-2,0)*($G63-$H63)</f>
        <v>0</v>
      </c>
      <c r="BH63" s="22">
        <f>VLOOKUP($A63,tabCustoUnit[],COLUMN(CUSTO_GLOBAL[[#Headers],[MÓDULO 4 – CUSTO DE REPOSIÇÃO DO PROFISSIONAL AUSENTE]])-2,0)*($G63-$H63)</f>
        <v>9.4372420268569428</v>
      </c>
      <c r="BI63" s="22">
        <f>VLOOKUP($A63,tabCustoUnit[],COLUMN(CUSTO_GLOBAL[[#Headers],[Uniformes e EPIs]])-2,0)*($G63-$H63)</f>
        <v>62.806666666666665</v>
      </c>
      <c r="BJ63" s="22">
        <f>VLOOKUP($A63,tabCustoUnit[],COLUMN(CUSTO_GLOBAL[[#Headers],[Materiais de Consumo]])-2,0)*($G63-$H63)</f>
        <v>12.108481690426325</v>
      </c>
      <c r="BK63" s="22">
        <f>VLOOKUP($A63,tabCustoUnit[],COLUMN(CUSTO_GLOBAL[[#Headers],[Máquinas e Equipamentos (depreciação)]])-2,0)*($G63-$H63)</f>
        <v>21.998657016417809</v>
      </c>
      <c r="BL63" s="22">
        <f>VLOOKUP($A63,tabCustoUnit[],COLUMN(CUSTO_GLOBAL[[#Headers],[Produtos de Limpeza e Materiais de Higiene Pessoal]])-2,0)*($G63-$H63)</f>
        <v>235.31984072022155</v>
      </c>
      <c r="BM63" s="22">
        <f>VLOOKUP($A63,tabCustoUnit[],COLUMN(CUSTO_GLOBAL[[#Headers],[Outros (especificar)]])-2,0)*($G63-$H63)</f>
        <v>0</v>
      </c>
      <c r="BN63" s="22">
        <f>VLOOKUP($A63,tabCustoUnit[],COLUMN(CUSTO_GLOBAL[[#Headers],[MÓDULO 5 – INSUMOS DIVERSOS]])-2,0)*($G63-$H63)</f>
        <v>332.23364609373232</v>
      </c>
      <c r="BO63" s="22">
        <f>VLOOKUP($A63,tabCustoUnit[],COLUMN(CUSTO_GLOBAL[[#Headers],[TOTAL MÓDULOS 1+2+3+4+5]])-2,0)*($G63-$H63)</f>
        <v>2118.2084999148137</v>
      </c>
      <c r="BP63" s="22">
        <f>VLOOKUP($A63,tabCustoUnit[],COLUMN(CUSTO_GLOBAL[[#Headers],[Custos Indiretos]])-2,0)*($G63-$H63)</f>
        <v>189.64880140242613</v>
      </c>
      <c r="BQ63" s="22">
        <f>VLOOKUP($A63,tabCustoUnit[],COLUMN(CUSTO_GLOBAL[[#Headers],[Lucro]])-2,0)*($G63-$H63)</f>
        <v>159.30499317803796</v>
      </c>
      <c r="BR63" s="26">
        <f>VLOOKUP($A63,tabCustoUnit[],COLUMN(CUSTO_GLOBAL[[#Headers],[COFINS]])-2,0)</f>
        <v>8.8629737609329504E-2</v>
      </c>
      <c r="BS63" s="26">
        <f>VLOOKUP($A63,tabCustoUnit[],COLUMN(CUSTO_GLOBAL[[#Headers],[PIS]])-2,0)</f>
        <v>1.9241982507288629E-2</v>
      </c>
      <c r="BT63" s="28">
        <f>VLOOKUP($A63,tabCustoUnit[],COLUMN(CUSTO_GLOBAL[[#Headers],[ISS]])-2,0)</f>
        <v>0.05</v>
      </c>
      <c r="BU63" s="26">
        <f>VLOOKUP($A63,tabCustoUnit[],COLUMN(CUSTO_GLOBAL[[#Headers],[ISS (Conversão Alíquota s/ fatura)]])-2,0)</f>
        <v>5.8309037900874633E-2</v>
      </c>
      <c r="BV63" s="26">
        <f>VLOOKUP($A63,tabCustoUnit[],COLUMN(CUSTO_GLOBAL[[#Headers],[Resumo de Alíquotas (PIS+CONFINS+ISS)]])-2,0)</f>
        <v>0.14250000000000002</v>
      </c>
      <c r="BW63" s="138">
        <f>VLOOKUP($A63,tabCustoUnit[],COLUMN(CUSTO_GLOBAL[[#Headers],[PIS + COFINS + ISS (Total Conversão  Alíquota s/ Fatura)]])-2,0)</f>
        <v>0.16618075801749277</v>
      </c>
      <c r="BX63" s="22">
        <f>VLOOKUP($A63,tabCustoUnit[],COLUMN(CUSTO_GLOBAL[[#Headers],[Valor dos Tributos (ISS, PIS, CONFINS)]])-2,0)*($G63-$H63)</f>
        <v>409.99490025140199</v>
      </c>
      <c r="BY63" s="22">
        <f>VLOOKUP($A63,tabCustoUnit[],COLUMN(CUSTO_GLOBAL[[#Headers],[MÓDULO 6 – CUSTOS INDIRETOS, TRIBUTOS E LUCRO]])-2,0)*($G63-$H63)</f>
        <v>758.94869483186608</v>
      </c>
      <c r="BZ63" s="22">
        <f>VLOOKUP($A63,tabCustoUnit[],COLUMN(CUSTO_GLOBAL[[#Headers],[CUSTO TOTAL MENSAL]])-2,0)*($G63-$H63)</f>
        <v>2877.15719474668</v>
      </c>
      <c r="CA63" s="22">
        <f>CUSTO_GLOBAL[[#This Row],[CUSTO TOTAL MENSAL]]*12</f>
        <v>34525.88633696016</v>
      </c>
      <c r="CB63" s="24">
        <f>VLOOKUP($A63,tabCustoUnit[],COLUMN(CUSTO_GLOBAL[[#Headers],[ANO DA CCT]])-2,0)</f>
        <v>45658</v>
      </c>
      <c r="CC63" s="25" t="str">
        <f>VLOOKUP($A63,tabCustoUnit[],COLUMN(CUSTO_GLOBAL[[#Headers],[Nº DE PEDIDO DA CCT]])-2,0)</f>
        <v>-</v>
      </c>
      <c r="CD63" s="25" t="str">
        <f>VLOOKUP($A63,tabCustoUnit[],COLUMN(CUSTO_GLOBAL[[#Headers],[TERMO ADITIVO  ALTERAÇÃO DA CCT]])-2,0)</f>
        <v>-</v>
      </c>
      <c r="CF63" s="22"/>
      <c r="CG63" s="22"/>
    </row>
    <row r="64" spans="1:85" x14ac:dyDescent="0.25">
      <c r="A64" s="20" t="s">
        <v>1404</v>
      </c>
      <c r="B64" t="s">
        <v>62</v>
      </c>
      <c r="C64" t="s">
        <v>1245</v>
      </c>
      <c r="D64" t="s">
        <v>992</v>
      </c>
      <c r="E64" s="20" t="s">
        <v>9</v>
      </c>
      <c r="F64" s="20" t="s">
        <v>10</v>
      </c>
      <c r="G64" s="20">
        <v>1</v>
      </c>
      <c r="H64" s="20">
        <v>0</v>
      </c>
      <c r="I64" s="21">
        <f>VLOOKUP($A64,tabCustoUnit[],COLUMN(CUSTO_GLOBAL[[#Headers],[Salário Base]])-2,0)*($G64-$H64)</f>
        <v>1596.28</v>
      </c>
      <c r="J64" s="21">
        <f>VLOOKUP($A64,tabCustoUnit[],COLUMN(CUSTO_GLOBAL[[#Headers],[Adicional Periculosidade]])-2,0)*($G64-$H64)</f>
        <v>0</v>
      </c>
      <c r="K64" s="21">
        <f>VLOOKUP($A64,tabCustoUnit[],COLUMN(CUSTO_GLOBAL[[#Headers],[Adicional Insalubridade]])-2,0)*($G64-$H64)</f>
        <v>0</v>
      </c>
      <c r="L64" s="21">
        <f>VLOOKUP($A64,tabCustoUnit[],COLUMN(CUSTO_GLOBAL[[#Headers],[Adicional Noturno]])-2,0)*($G64-$H64)</f>
        <v>0</v>
      </c>
      <c r="M64" s="21">
        <f>VLOOKUP($A64,tabCustoUnit[],COLUMN(CUSTO_GLOBAL[[#Headers],[Adicional Motorista II (Gratificação)]])-2,0)*($G64-$H64)</f>
        <v>0</v>
      </c>
      <c r="N64" s="21">
        <f>VLOOKUP($A64,tabCustoUnit[],COLUMN(CUSTO_GLOBAL[[#Headers],[Adicional de Sobreaviso]])-2,0)*($G64-$H64)</f>
        <v>0</v>
      </c>
      <c r="O64" s="21">
        <f>VLOOKUP($A64,tabCustoUnit[],COLUMN(CUSTO_GLOBAL[[#Headers],[Horas Extras TI]])-2,0)*($G64-$H64)</f>
        <v>0</v>
      </c>
      <c r="P64" s="21">
        <f>VLOOKUP($A64,tabCustoUnit[],COLUMN(CUSTO_GLOBAL[[#Headers],[Adicional de Acúmulo de função]])-2,0)*($G64-$H64)</f>
        <v>52.241900000000001</v>
      </c>
      <c r="Q64" s="21">
        <f>VLOOKUP($A64,tabCustoUnit[],COLUMN(CUSTO_GLOBAL[[#Headers],[MODULO 1 - REMUNERAÇÃO ]])-2,0)*($G64-$H64)</f>
        <v>1648.5219</v>
      </c>
      <c r="R64" s="21">
        <f>VLOOKUP($A64,tabCustoUnit[],COLUMN(CUSTO_GLOBAL[[#Headers],[INSS]])-2,0)*($G64-$H64)</f>
        <v>329.70438000000001</v>
      </c>
      <c r="S64" s="21">
        <f>VLOOKUP($A64,tabCustoUnit[],COLUMN(CUSTO_GLOBAL[[#Headers],[SESI OU SESC]])-2,0)*($G64-$H64)</f>
        <v>24.727828499999998</v>
      </c>
      <c r="T64" s="21">
        <f>VLOOKUP($A64,tabCustoUnit[],COLUMN(CUSTO_GLOBAL[[#Headers],[SENAI OU SENAC]])-2,0)*($G64-$H64)</f>
        <v>16.485219000000001</v>
      </c>
      <c r="U64" s="21">
        <f>VLOOKUP($A64,tabCustoUnit[],COLUMN(CUSTO_GLOBAL[[#Headers],[INCRA]])-2,0)*($G64-$H64)</f>
        <v>3.2970438</v>
      </c>
      <c r="V64" s="21">
        <f>VLOOKUP($A64,tabCustoUnit[],COLUMN(CUSTO_GLOBAL[[#Headers],[Salário Educação]])-2,0)*($G64-$H64)</f>
        <v>41.213047500000002</v>
      </c>
      <c r="W64" s="21">
        <f>VLOOKUP($A64,tabCustoUnit[],COLUMN(CUSTO_GLOBAL[[#Headers],[FGTS]])-2,0)*($G64-$H64)</f>
        <v>131.88175200000001</v>
      </c>
      <c r="X64" s="21">
        <f>VLOOKUP($A64,tabCustoUnit[],COLUMN(CUSTO_GLOBAL[[#Headers],[RAT Ajustado]])-2,0)*($G64-$H64)</f>
        <v>65.940876000000003</v>
      </c>
      <c r="Y64" s="21">
        <f>VLOOKUP($A64,tabCustoUnit[],COLUMN(CUSTO_GLOBAL[[#Headers],[SEBRAE]])-2,0)*($G64-$H64)</f>
        <v>9.8911314000000008</v>
      </c>
      <c r="Z64" s="21">
        <f>VLOOKUP($A64,tabCustoUnit[],COLUMN(CUSTO_GLOBAL[[#Headers],[Submódulo 2.1]])-2,0)*($G64-$H64)</f>
        <v>623.14127819999999</v>
      </c>
      <c r="AA64" s="21">
        <f>VLOOKUP($A64,tabCustoUnit[],COLUMN(CUSTO_GLOBAL[[#Headers],[13º salário (titular)]])-2,0)*($G64-$H64)</f>
        <v>137.376825</v>
      </c>
      <c r="AB64" s="21">
        <f>VLOOKUP($A64,tabCustoUnit[],COLUMN(CUSTO_GLOBAL[[#Headers],[Férias e Adicional de Férias (titular)]])-2,0)*($G64-$H64)</f>
        <v>183.16909999999999</v>
      </c>
      <c r="AC64" s="21">
        <f>VLOOKUP($A64,tabCustoUnit[],COLUMN(CUSTO_GLOBAL[[#Headers],[Incidência do Submódulo 2.1 sobre 13º Salário, Férias e Adicional de Férias]])-2,0)*($G64-$H64)</f>
        <v>121.16635965</v>
      </c>
      <c r="AD64" s="21">
        <f>VLOOKUP($A64,tabCustoUnit[],COLUMN(CUSTO_GLOBAL[[#Headers],[Submódulo 2.2]])-2,0)*($G64-$H64)</f>
        <v>441.71228465000002</v>
      </c>
      <c r="AE64" s="22">
        <f>VLOOKUP($A64,tabCustoUnit[],COLUMN(CUSTO_GLOBAL[[#Headers],[Vale - Transporte (Descontada parcela do empregado)]])-2,0)*($G64-$H64)</f>
        <v>160.22320000000002</v>
      </c>
      <c r="AF64" s="22">
        <f>VLOOKUP($A64,tabCustoUnit[],COLUMN(CUSTO_GLOBAL[[#Headers],[Vale - Alimentação (Descontada parcela do empregado)]])-2,0)*($G64-$H64)</f>
        <v>0</v>
      </c>
      <c r="AG64" s="22">
        <f>VLOOKUP($A64,tabCustoUnit[],COLUMN(CUSTO_GLOBAL[[#Headers],[Cesta Básica]])-2,0)*($G64-$H64)</f>
        <v>387.79</v>
      </c>
      <c r="AH64" s="22">
        <f>VLOOKUP($A64,tabCustoUnit[],COLUMN(CUSTO_GLOBAL[[#Headers],[PAF]])-2,0)*($G64-$H64)</f>
        <v>42.97</v>
      </c>
      <c r="AI64" s="22">
        <f>VLOOKUP($A64,tabCustoUnit[],COLUMN(CUSTO_GLOBAL[[#Headers],[PQM]])-2,0)*($G64-$H64)</f>
        <v>0</v>
      </c>
      <c r="AJ64" s="22">
        <v>0</v>
      </c>
      <c r="AK64" s="22">
        <f>VLOOKUP($A64,tabCustoUnit[],COLUMN(CUSTO_GLOBAL[[#Headers],[Seguro de Vida]])-2,0)*($G64-$H64)</f>
        <v>3.36</v>
      </c>
      <c r="AL64" s="22">
        <f>VLOOKUP($A64,tabCustoUnit[],COLUMN(CUSTO_GLOBAL[[#Headers],[Despesas de Viagem]])-2,0)*($G64-$H64)</f>
        <v>0</v>
      </c>
      <c r="AM64" s="22">
        <f>VLOOKUP($A64,tabCustoUnit[],COLUMN(CUSTO_GLOBAL[[#Headers],[Submódulo 2.3]])-2,0)*($G64-$H64)</f>
        <v>594.34320000000014</v>
      </c>
      <c r="AN64" s="22">
        <f>VLOOKUP($A64,tabCustoUnit[],COLUMN(CUSTO_GLOBAL[[#Headers],[MÓDULO 2 - Total Encargos e Benefícios mensais e diários]])-2,0)*($G64-$H64)</f>
        <v>1659.1967628500001</v>
      </c>
      <c r="AO64" s="22">
        <f>VLOOKUP($A64,tabCustoUnit[],COLUMN(CUSTO_GLOBAL[[#Headers],[Aviso Prévio Indenizado (API) e Reflexo do Aviso Prévio Indenizado]])-2,0)*($G64-$H64)</f>
        <v>11.559051416493055</v>
      </c>
      <c r="AP64" s="22">
        <f>VLOOKUP($A64,tabCustoUnit[],COLUMN(CUSTO_GLOBAL[[#Headers],[Incidência do FGTS sobre API e Reflexo do API]])-2,0)*($G64-$H64)</f>
        <v>0.92472411331944449</v>
      </c>
      <c r="AQ64" s="22">
        <f>VLOOKUP($A64,tabCustoUnit[],COLUMN(CUSTO_GLOBAL[[#Headers],[Multa Rescisória do FGTS sobre o Aviso Prévio Indenizado]])-2,0)*($G64-$H64)</f>
        <v>0.36988964532777785</v>
      </c>
      <c r="AR64" s="22">
        <f>VLOOKUP($A64,tabCustoUnit[],COLUMN(CUSTO_GLOBAL[[#Headers],[Aviso Prévio Trabalhado - APT]])-2,0)*($G64-$H64)</f>
        <v>5.7698266500000006</v>
      </c>
      <c r="AS64" s="22">
        <f>VLOOKUP($A64,tabCustoUnit[],COLUMN(CUSTO_GLOBAL[[#Headers],[Incidência dos encargos do submódulo 2.1 sobre Aviso Prévio Trabalhado]])-2,0)*($G64-$H64)</f>
        <v>2.1809944737000007</v>
      </c>
      <c r="AT64" s="22">
        <f>VLOOKUP($A64,tabCustoUnit[],COLUMN(CUSTO_GLOBAL[[#Headers],[Multa Rescisória do FGTS]])-2,0)*($G64-$H64)</f>
        <v>50.40813631999999</v>
      </c>
      <c r="AU64" s="22">
        <f>VLOOKUP($A64,tabCustoUnit[],COLUMN(CUSTO_GLOBAL[[#Headers],[Indenização Adicional (Art. 9º da Lei nº 7.238/84)]])-2,0)*($G64-$H64)</f>
        <v>1.3737682500000001</v>
      </c>
      <c r="AV64" s="22">
        <f>VLOOKUP($A64,tabCustoUnit[],COLUMN(CUSTO_GLOBAL[[#Headers],[MÓDULO 3 – PROVISÃO PARA RESCISÃO]])-2,0)*($G64-$H64)</f>
        <v>72.586390868840269</v>
      </c>
      <c r="AW64" s="22">
        <f>VLOOKUP($A64,tabCustoUnit[],COLUMN(CUSTO_GLOBAL[[#Headers],[Ausência por Doença]])-2,0)*($G64-$H64)</f>
        <v>13.920851599999999</v>
      </c>
      <c r="AX64" s="22">
        <f>VLOOKUP($A64,tabCustoUnit[],COLUMN(CUSTO_GLOBAL[[#Headers],[Ausências Legais]])-2,0)*($G64-$H64)</f>
        <v>3.3428360749999997</v>
      </c>
      <c r="AY64" s="22">
        <f>VLOOKUP($A64,tabCustoUnit[],COLUMN(CUSTO_GLOBAL[[#Headers],[Licença Paternidade]])-2,0)*($G64-$H64)</f>
        <v>0.28162249125</v>
      </c>
      <c r="AZ64" s="22">
        <f>VLOOKUP($A64,tabCustoUnit[],COLUMN(CUSTO_GLOBAL[[#Headers],[Ausência por Acidente de Trabalho]])-2,0)*($G64-$H64)</f>
        <v>0.34344206250000003</v>
      </c>
      <c r="BA64" s="22">
        <f>VLOOKUP($A64,tabCustoUnit[],COLUMN(CUSTO_GLOBAL[[#Headers],[Férias, Adicional de Férias e 13º  com empregada em gozo de Licença Maternidade]])-2,0)*($G64-$H64)</f>
        <v>2.1369728333333331</v>
      </c>
      <c r="BB64" s="22">
        <f>VLOOKUP($A64,tabCustoUnit[],COLUMN(CUSTO_GLOBAL[[#Headers],[Incidência do Submódulo 2.1 sobre Ausências Legais]])-2,0)*($G64-$H64)</f>
        <v>7.5697240734675013</v>
      </c>
      <c r="BC64" s="22">
        <f>VLOOKUP($A64,tabCustoUnit[],COLUMN(CUSTO_GLOBAL[[#Headers],[Submódulo 4.1]])-2,0)*($G64-$H64)</f>
        <v>27.595449135550833</v>
      </c>
      <c r="BD64" s="22">
        <f>VLOOKUP($A64,tabCustoUnit[],COLUMN(CUSTO_GLOBAL[[#Headers],[Intervalo para Repouso ou Alimentação]])-2,0)*($G64-$H64)</f>
        <v>0</v>
      </c>
      <c r="BE64" s="22">
        <f>VLOOKUP($A64,tabCustoUnit[],COLUMN(CUSTO_GLOBAL[[#Headers],[Submódulo 4.2]])-2,0)*($G64-$H64)</f>
        <v>0</v>
      </c>
      <c r="BF64" s="22">
        <f>VLOOKUP($A64,tabCustoUnit[],COLUMN(CUSTO_GLOBAL[[#Headers],[Suspensão Temporária do Contrato de Trabalho]])-2,0)*($G64-$H64)</f>
        <v>0</v>
      </c>
      <c r="BG64" s="22">
        <f>VLOOKUP($A64,tabCustoUnit[],COLUMN(CUSTO_GLOBAL[[#Headers],[Submódulo 4.3]])-2,0)*($G64-$H64)</f>
        <v>0</v>
      </c>
      <c r="BH64" s="22">
        <f>VLOOKUP($A64,tabCustoUnit[],COLUMN(CUSTO_GLOBAL[[#Headers],[MÓDULO 4 – CUSTO DE REPOSIÇÃO DO PROFISSIONAL AUSENTE]])-2,0)*($G64-$H64)</f>
        <v>27.595449135550833</v>
      </c>
      <c r="BI64" s="22">
        <f>VLOOKUP($A64,tabCustoUnit[],COLUMN(CUSTO_GLOBAL[[#Headers],[Uniformes e EPIs]])-2,0)*($G64-$H64)</f>
        <v>100.80916666666666</v>
      </c>
      <c r="BJ64" s="22">
        <f>VLOOKUP($A64,tabCustoUnit[],COLUMN(CUSTO_GLOBAL[[#Headers],[Materiais de Consumo]])-2,0)*($G64-$H64)</f>
        <v>35.518212958583888</v>
      </c>
      <c r="BK64" s="22">
        <f>VLOOKUP($A64,tabCustoUnit[],COLUMN(CUSTO_GLOBAL[[#Headers],[Máquinas e Equipamentos (depreciação)]])-2,0)*($G64-$H64)</f>
        <v>64.529393914825576</v>
      </c>
      <c r="BL64" s="22">
        <f>VLOOKUP($A64,tabCustoUnit[],COLUMN(CUSTO_GLOBAL[[#Headers],[Produtos de Limpeza e Materiais de Higiene Pessoal]])-2,0)*($G64-$H64)</f>
        <v>690.27153277931654</v>
      </c>
      <c r="BM64" s="22">
        <f>VLOOKUP($A64,tabCustoUnit[],COLUMN(CUSTO_GLOBAL[[#Headers],[Outros (especificar)]])-2,0)*($G64-$H64)</f>
        <v>0</v>
      </c>
      <c r="BN64" s="22">
        <f>VLOOKUP($A64,tabCustoUnit[],COLUMN(CUSTO_GLOBAL[[#Headers],[MÓDULO 5 – INSUMOS DIVERSOS]])-2,0)*($G64-$H64)</f>
        <v>891.12830631939266</v>
      </c>
      <c r="BO64" s="22">
        <f>VLOOKUP($A64,tabCustoUnit[],COLUMN(CUSTO_GLOBAL[[#Headers],[TOTAL MÓDULOS 1+2+3+4+5]])-2,0)*($G64-$H64)</f>
        <v>4299.0288091737839</v>
      </c>
      <c r="BP64" s="22">
        <f>VLOOKUP($A64,tabCustoUnit[],COLUMN(CUSTO_GLOBAL[[#Headers],[Custos Indiretos]])-2,0)*($G64-$H64)</f>
        <v>189.64880140242613</v>
      </c>
      <c r="BQ64" s="22">
        <f>VLOOKUP($A64,tabCustoUnit[],COLUMN(CUSTO_GLOBAL[[#Headers],[Lucro]])-2,0)*($G64-$H64)</f>
        <v>159.30499317803796</v>
      </c>
      <c r="BR64" s="26">
        <f>VLOOKUP($A64,tabCustoUnit[],COLUMN(CUSTO_GLOBAL[[#Headers],[COFINS]])-2,0)</f>
        <v>8.6609686609686695E-2</v>
      </c>
      <c r="BS64" s="26">
        <f>VLOOKUP($A64,tabCustoUnit[],COLUMN(CUSTO_GLOBAL[[#Headers],[PIS]])-2,0)</f>
        <v>1.880341880341882E-2</v>
      </c>
      <c r="BT64" s="28">
        <f>VLOOKUP($A64,tabCustoUnit[],COLUMN(CUSTO_GLOBAL[[#Headers],[ISS]])-2,0)</f>
        <v>0.03</v>
      </c>
      <c r="BU64" s="26">
        <f>VLOOKUP($A64,tabCustoUnit[],COLUMN(CUSTO_GLOBAL[[#Headers],[ISS (Conversão Alíquota s/ fatura)]])-2,0)</f>
        <v>3.4188034188034219E-2</v>
      </c>
      <c r="BV64" s="26">
        <f>VLOOKUP($A64,tabCustoUnit[],COLUMN(CUSTO_GLOBAL[[#Headers],[Resumo de Alíquotas (PIS+CONFINS+ISS)]])-2,0)</f>
        <v>0.1225</v>
      </c>
      <c r="BW64" s="138">
        <f>VLOOKUP($A64,tabCustoUnit[],COLUMN(CUSTO_GLOBAL[[#Headers],[PIS + COFINS + ISS (Total Conversão  Alíquota s/ Fatura)]])-2,0)</f>
        <v>0.13960113960113973</v>
      </c>
      <c r="BX64" s="22">
        <f>VLOOKUP($A64,tabCustoUnit[],COLUMN(CUSTO_GLOBAL[[#Headers],[Valor dos Tributos (ISS, PIS, CONFINS)]])-2,0)*($G64-$H64)</f>
        <v>648.86366833036573</v>
      </c>
      <c r="BY64" s="22">
        <f>VLOOKUP($A64,tabCustoUnit[],COLUMN(CUSTO_GLOBAL[[#Headers],[MÓDULO 6 – CUSTOS INDIRETOS, TRIBUTOS E LUCRO]])-2,0)*($G64-$H64)</f>
        <v>997.81746291082982</v>
      </c>
      <c r="BZ64" s="22">
        <f>VLOOKUP($A64,tabCustoUnit[],COLUMN(CUSTO_GLOBAL[[#Headers],[CUSTO TOTAL MENSAL]])-2,0)*($G64-$H64)</f>
        <v>5296.8462720846137</v>
      </c>
      <c r="CA64" s="22">
        <f>CUSTO_GLOBAL[[#This Row],[CUSTO TOTAL MENSAL]]*12</f>
        <v>63562.155265015361</v>
      </c>
      <c r="CB64" s="24">
        <f>VLOOKUP($A64,tabCustoUnit[],COLUMN(CUSTO_GLOBAL[[#Headers],[ANO DA CCT]])-2,0)</f>
        <v>45658</v>
      </c>
      <c r="CC64" s="25" t="str">
        <f>VLOOKUP($A64,tabCustoUnit[],COLUMN(CUSTO_GLOBAL[[#Headers],[Nº DE PEDIDO DA CCT]])-2,0)</f>
        <v>-</v>
      </c>
      <c r="CD64" s="25" t="str">
        <f>VLOOKUP($A64,tabCustoUnit[],COLUMN(CUSTO_GLOBAL[[#Headers],[TERMO ADITIVO  ALTERAÇÃO DA CCT]])-2,0)</f>
        <v>-</v>
      </c>
      <c r="CF64" s="22"/>
      <c r="CG64" s="22"/>
    </row>
    <row r="65" spans="1:85" x14ac:dyDescent="0.25">
      <c r="A65" s="20" t="s">
        <v>1405</v>
      </c>
      <c r="B65" t="s">
        <v>63</v>
      </c>
      <c r="C65" t="s">
        <v>1245</v>
      </c>
      <c r="D65" t="s">
        <v>1023</v>
      </c>
      <c r="E65" s="20" t="s">
        <v>9</v>
      </c>
      <c r="F65" s="20" t="s">
        <v>10</v>
      </c>
      <c r="G65" s="20">
        <v>1</v>
      </c>
      <c r="H65" s="20">
        <v>0</v>
      </c>
      <c r="I65" s="21">
        <f>VLOOKUP($A65,tabCustoUnit[],COLUMN(CUSTO_GLOBAL[[#Headers],[Salário Base]])-2,0)*($G65-$H65)</f>
        <v>1596.28</v>
      </c>
      <c r="J65" s="21">
        <f>VLOOKUP($A65,tabCustoUnit[],COLUMN(CUSTO_GLOBAL[[#Headers],[Adicional Periculosidade]])-2,0)*($G65-$H65)</f>
        <v>0</v>
      </c>
      <c r="K65" s="21">
        <f>VLOOKUP($A65,tabCustoUnit[],COLUMN(CUSTO_GLOBAL[[#Headers],[Adicional Insalubridade]])-2,0)*($G65-$H65)</f>
        <v>0</v>
      </c>
      <c r="L65" s="21">
        <f>VLOOKUP($A65,tabCustoUnit[],COLUMN(CUSTO_GLOBAL[[#Headers],[Adicional Noturno]])-2,0)*($G65-$H65)</f>
        <v>0</v>
      </c>
      <c r="M65" s="21">
        <f>VLOOKUP($A65,tabCustoUnit[],COLUMN(CUSTO_GLOBAL[[#Headers],[Adicional Motorista II (Gratificação)]])-2,0)*($G65-$H65)</f>
        <v>0</v>
      </c>
      <c r="N65" s="21">
        <f>VLOOKUP($A65,tabCustoUnit[],COLUMN(CUSTO_GLOBAL[[#Headers],[Adicional de Sobreaviso]])-2,0)*($G65-$H65)</f>
        <v>0</v>
      </c>
      <c r="O65" s="21">
        <f>VLOOKUP($A65,tabCustoUnit[],COLUMN(CUSTO_GLOBAL[[#Headers],[Horas Extras TI]])-2,0)*($G65-$H65)</f>
        <v>0</v>
      </c>
      <c r="P65" s="21">
        <f>VLOOKUP($A65,tabCustoUnit[],COLUMN(CUSTO_GLOBAL[[#Headers],[Adicional de Acúmulo de função]])-2,0)*($G65-$H65)</f>
        <v>52.241900000000001</v>
      </c>
      <c r="Q65" s="21">
        <f>VLOOKUP($A65,tabCustoUnit[],COLUMN(CUSTO_GLOBAL[[#Headers],[MODULO 1 - REMUNERAÇÃO ]])-2,0)*($G65-$H65)</f>
        <v>1648.5219</v>
      </c>
      <c r="R65" s="21">
        <f>VLOOKUP($A65,tabCustoUnit[],COLUMN(CUSTO_GLOBAL[[#Headers],[INSS]])-2,0)*($G65-$H65)</f>
        <v>329.70438000000001</v>
      </c>
      <c r="S65" s="21">
        <f>VLOOKUP($A65,tabCustoUnit[],COLUMN(CUSTO_GLOBAL[[#Headers],[SESI OU SESC]])-2,0)*($G65-$H65)</f>
        <v>24.727828499999998</v>
      </c>
      <c r="T65" s="21">
        <f>VLOOKUP($A65,tabCustoUnit[],COLUMN(CUSTO_GLOBAL[[#Headers],[SENAI OU SENAC]])-2,0)*($G65-$H65)</f>
        <v>16.485219000000001</v>
      </c>
      <c r="U65" s="21">
        <f>VLOOKUP($A65,tabCustoUnit[],COLUMN(CUSTO_GLOBAL[[#Headers],[INCRA]])-2,0)*($G65-$H65)</f>
        <v>3.2970438</v>
      </c>
      <c r="V65" s="21">
        <f>VLOOKUP($A65,tabCustoUnit[],COLUMN(CUSTO_GLOBAL[[#Headers],[Salário Educação]])-2,0)*($G65-$H65)</f>
        <v>41.213047500000002</v>
      </c>
      <c r="W65" s="21">
        <f>VLOOKUP($A65,tabCustoUnit[],COLUMN(CUSTO_GLOBAL[[#Headers],[FGTS]])-2,0)*($G65-$H65)</f>
        <v>131.88175200000001</v>
      </c>
      <c r="X65" s="21">
        <f>VLOOKUP($A65,tabCustoUnit[],COLUMN(CUSTO_GLOBAL[[#Headers],[RAT Ajustado]])-2,0)*($G65-$H65)</f>
        <v>65.940876000000003</v>
      </c>
      <c r="Y65" s="21">
        <f>VLOOKUP($A65,tabCustoUnit[],COLUMN(CUSTO_GLOBAL[[#Headers],[SEBRAE]])-2,0)*($G65-$H65)</f>
        <v>9.8911314000000008</v>
      </c>
      <c r="Z65" s="21">
        <f>VLOOKUP($A65,tabCustoUnit[],COLUMN(CUSTO_GLOBAL[[#Headers],[Submódulo 2.1]])-2,0)*($G65-$H65)</f>
        <v>623.14127819999999</v>
      </c>
      <c r="AA65" s="21">
        <f>VLOOKUP($A65,tabCustoUnit[],COLUMN(CUSTO_GLOBAL[[#Headers],[13º salário (titular)]])-2,0)*($G65-$H65)</f>
        <v>137.376825</v>
      </c>
      <c r="AB65" s="21">
        <f>VLOOKUP($A65,tabCustoUnit[],COLUMN(CUSTO_GLOBAL[[#Headers],[Férias e Adicional de Férias (titular)]])-2,0)*($G65-$H65)</f>
        <v>183.16909999999999</v>
      </c>
      <c r="AC65" s="21">
        <f>VLOOKUP($A65,tabCustoUnit[],COLUMN(CUSTO_GLOBAL[[#Headers],[Incidência do Submódulo 2.1 sobre 13º Salário, Férias e Adicional de Férias]])-2,0)*($G65-$H65)</f>
        <v>121.16635965</v>
      </c>
      <c r="AD65" s="21">
        <f>VLOOKUP($A65,tabCustoUnit[],COLUMN(CUSTO_GLOBAL[[#Headers],[Submódulo 2.2]])-2,0)*($G65-$H65)</f>
        <v>441.71228465000002</v>
      </c>
      <c r="AE65" s="22">
        <f>VLOOKUP($A65,tabCustoUnit[],COLUMN(CUSTO_GLOBAL[[#Headers],[Vale - Transporte (Descontada parcela do empregado)]])-2,0)*($G65-$H65)</f>
        <v>160.22320000000002</v>
      </c>
      <c r="AF65" s="22">
        <f>VLOOKUP($A65,tabCustoUnit[],COLUMN(CUSTO_GLOBAL[[#Headers],[Vale - Alimentação (Descontada parcela do empregado)]])-2,0)*($G65-$H65)</f>
        <v>582</v>
      </c>
      <c r="AG65" s="22">
        <f>VLOOKUP($A65,tabCustoUnit[],COLUMN(CUSTO_GLOBAL[[#Headers],[Cesta Básica]])-2,0)*($G65-$H65)</f>
        <v>0</v>
      </c>
      <c r="AH65" s="22">
        <f>VLOOKUP($A65,tabCustoUnit[],COLUMN(CUSTO_GLOBAL[[#Headers],[PAF]])-2,0)*($G65-$H65)</f>
        <v>0</v>
      </c>
      <c r="AI65" s="22">
        <f>VLOOKUP($A65,tabCustoUnit[],COLUMN(CUSTO_GLOBAL[[#Headers],[PQM]])-2,0)*($G65-$H65)</f>
        <v>0</v>
      </c>
      <c r="AJ65" s="22">
        <v>0</v>
      </c>
      <c r="AK65" s="22">
        <f>VLOOKUP($A65,tabCustoUnit[],COLUMN(CUSTO_GLOBAL[[#Headers],[Seguro de Vida]])-2,0)*($G65-$H65)</f>
        <v>3.36</v>
      </c>
      <c r="AL65" s="22">
        <f>VLOOKUP($A65,tabCustoUnit[],COLUMN(CUSTO_GLOBAL[[#Headers],[Despesas de Viagem]])-2,0)*($G65-$H65)</f>
        <v>0</v>
      </c>
      <c r="AM65" s="22">
        <f>VLOOKUP($A65,tabCustoUnit[],COLUMN(CUSTO_GLOBAL[[#Headers],[Submódulo 2.3]])-2,0)*($G65-$H65)</f>
        <v>745.58320000000003</v>
      </c>
      <c r="AN65" s="22">
        <f>VLOOKUP($A65,tabCustoUnit[],COLUMN(CUSTO_GLOBAL[[#Headers],[MÓDULO 2 - Total Encargos e Benefícios mensais e diários]])-2,0)*($G65-$H65)</f>
        <v>1810.4367628499999</v>
      </c>
      <c r="AO65" s="22">
        <f>VLOOKUP($A65,tabCustoUnit[],COLUMN(CUSTO_GLOBAL[[#Headers],[Aviso Prévio Indenizado (API) e Reflexo do Aviso Prévio Indenizado]])-2,0)*($G65-$H65)</f>
        <v>11.559051416493055</v>
      </c>
      <c r="AP65" s="22">
        <f>VLOOKUP($A65,tabCustoUnit[],COLUMN(CUSTO_GLOBAL[[#Headers],[Incidência do FGTS sobre API e Reflexo do API]])-2,0)*($G65-$H65)</f>
        <v>0.92472411331944449</v>
      </c>
      <c r="AQ65" s="22">
        <f>VLOOKUP($A65,tabCustoUnit[],COLUMN(CUSTO_GLOBAL[[#Headers],[Multa Rescisória do FGTS sobre o Aviso Prévio Indenizado]])-2,0)*($G65-$H65)</f>
        <v>0.36988964532777785</v>
      </c>
      <c r="AR65" s="22">
        <f>VLOOKUP($A65,tabCustoUnit[],COLUMN(CUSTO_GLOBAL[[#Headers],[Aviso Prévio Trabalhado - APT]])-2,0)*($G65-$H65)</f>
        <v>5.7698266500000006</v>
      </c>
      <c r="AS65" s="22">
        <f>VLOOKUP($A65,tabCustoUnit[],COLUMN(CUSTO_GLOBAL[[#Headers],[Incidência dos encargos do submódulo 2.1 sobre Aviso Prévio Trabalhado]])-2,0)*($G65-$H65)</f>
        <v>2.1809944737000007</v>
      </c>
      <c r="AT65" s="22">
        <f>VLOOKUP($A65,tabCustoUnit[],COLUMN(CUSTO_GLOBAL[[#Headers],[Multa Rescisória do FGTS]])-2,0)*($G65-$H65)</f>
        <v>50.40813631999999</v>
      </c>
      <c r="AU65" s="22">
        <f>VLOOKUP($A65,tabCustoUnit[],COLUMN(CUSTO_GLOBAL[[#Headers],[Indenização Adicional (Art. 9º da Lei nº 7.238/84)]])-2,0)*($G65-$H65)</f>
        <v>1.3737682500000001</v>
      </c>
      <c r="AV65" s="22">
        <f>VLOOKUP($A65,tabCustoUnit[],COLUMN(CUSTO_GLOBAL[[#Headers],[MÓDULO 3 – PROVISÃO PARA RESCISÃO]])-2,0)*($G65-$H65)</f>
        <v>72.586390868840269</v>
      </c>
      <c r="AW65" s="22">
        <f>VLOOKUP($A65,tabCustoUnit[],COLUMN(CUSTO_GLOBAL[[#Headers],[Ausência por Doença]])-2,0)*($G65-$H65)</f>
        <v>13.920851599999999</v>
      </c>
      <c r="AX65" s="22">
        <f>VLOOKUP($A65,tabCustoUnit[],COLUMN(CUSTO_GLOBAL[[#Headers],[Ausências Legais]])-2,0)*($G65-$H65)</f>
        <v>3.3428360749999997</v>
      </c>
      <c r="AY65" s="22">
        <f>VLOOKUP($A65,tabCustoUnit[],COLUMN(CUSTO_GLOBAL[[#Headers],[Licença Paternidade]])-2,0)*($G65-$H65)</f>
        <v>0.28162249125</v>
      </c>
      <c r="AZ65" s="22">
        <f>VLOOKUP($A65,tabCustoUnit[],COLUMN(CUSTO_GLOBAL[[#Headers],[Ausência por Acidente de Trabalho]])-2,0)*($G65-$H65)</f>
        <v>0.34344206250000003</v>
      </c>
      <c r="BA65" s="22">
        <f>VLOOKUP($A65,tabCustoUnit[],COLUMN(CUSTO_GLOBAL[[#Headers],[Férias, Adicional de Férias e 13º  com empregada em gozo de Licença Maternidade]])-2,0)*($G65-$H65)</f>
        <v>2.1369728333333331</v>
      </c>
      <c r="BB65" s="22">
        <f>VLOOKUP($A65,tabCustoUnit[],COLUMN(CUSTO_GLOBAL[[#Headers],[Incidência do Submódulo 2.1 sobre Ausências Legais]])-2,0)*($G65-$H65)</f>
        <v>7.5697240734675013</v>
      </c>
      <c r="BC65" s="22">
        <f>VLOOKUP($A65,tabCustoUnit[],COLUMN(CUSTO_GLOBAL[[#Headers],[Submódulo 4.1]])-2,0)*($G65-$H65)</f>
        <v>27.595449135550833</v>
      </c>
      <c r="BD65" s="22">
        <f>VLOOKUP($A65,tabCustoUnit[],COLUMN(CUSTO_GLOBAL[[#Headers],[Intervalo para Repouso ou Alimentação]])-2,0)*($G65-$H65)</f>
        <v>0</v>
      </c>
      <c r="BE65" s="22">
        <f>VLOOKUP($A65,tabCustoUnit[],COLUMN(CUSTO_GLOBAL[[#Headers],[Submódulo 4.2]])-2,0)*($G65-$H65)</f>
        <v>0</v>
      </c>
      <c r="BF65" s="22">
        <f>VLOOKUP($A65,tabCustoUnit[],COLUMN(CUSTO_GLOBAL[[#Headers],[Suspensão Temporária do Contrato de Trabalho]])-2,0)*($G65-$H65)</f>
        <v>0</v>
      </c>
      <c r="BG65" s="22">
        <f>VLOOKUP($A65,tabCustoUnit[],COLUMN(CUSTO_GLOBAL[[#Headers],[Submódulo 4.3]])-2,0)*($G65-$H65)</f>
        <v>0</v>
      </c>
      <c r="BH65" s="22">
        <f>VLOOKUP($A65,tabCustoUnit[],COLUMN(CUSTO_GLOBAL[[#Headers],[MÓDULO 4 – CUSTO DE REPOSIÇÃO DO PROFISSIONAL AUSENTE]])-2,0)*($G65-$H65)</f>
        <v>27.595449135550833</v>
      </c>
      <c r="BI65" s="22">
        <f>VLOOKUP($A65,tabCustoUnit[],COLUMN(CUSTO_GLOBAL[[#Headers],[Uniformes e EPIs]])-2,0)*($G65-$H65)</f>
        <v>100.80916666666666</v>
      </c>
      <c r="BJ65" s="22">
        <f>VLOOKUP($A65,tabCustoUnit[],COLUMN(CUSTO_GLOBAL[[#Headers],[Materiais de Consumo]])-2,0)*($G65-$H65)</f>
        <v>35.518212958583888</v>
      </c>
      <c r="BK65" s="22">
        <f>VLOOKUP($A65,tabCustoUnit[],COLUMN(CUSTO_GLOBAL[[#Headers],[Máquinas e Equipamentos (depreciação)]])-2,0)*($G65-$H65)</f>
        <v>64.529393914825576</v>
      </c>
      <c r="BL65" s="22">
        <f>VLOOKUP($A65,tabCustoUnit[],COLUMN(CUSTO_GLOBAL[[#Headers],[Produtos de Limpeza e Materiais de Higiene Pessoal]])-2,0)*($G65-$H65)</f>
        <v>690.27153277931654</v>
      </c>
      <c r="BM65" s="22">
        <f>VLOOKUP($A65,tabCustoUnit[],COLUMN(CUSTO_GLOBAL[[#Headers],[Outros (especificar)]])-2,0)*($G65-$H65)</f>
        <v>0</v>
      </c>
      <c r="BN65" s="22">
        <f>VLOOKUP($A65,tabCustoUnit[],COLUMN(CUSTO_GLOBAL[[#Headers],[MÓDULO 5 – INSUMOS DIVERSOS]])-2,0)*($G65-$H65)</f>
        <v>891.12830631939266</v>
      </c>
      <c r="BO65" s="22">
        <f>VLOOKUP($A65,tabCustoUnit[],COLUMN(CUSTO_GLOBAL[[#Headers],[TOTAL MÓDULOS 1+2+3+4+5]])-2,0)*($G65-$H65)</f>
        <v>4450.2688091737837</v>
      </c>
      <c r="BP65" s="22">
        <f>VLOOKUP($A65,tabCustoUnit[],COLUMN(CUSTO_GLOBAL[[#Headers],[Custos Indiretos]])-2,0)*($G65-$H65)</f>
        <v>189.64880140242613</v>
      </c>
      <c r="BQ65" s="22">
        <f>VLOOKUP($A65,tabCustoUnit[],COLUMN(CUSTO_GLOBAL[[#Headers],[Lucro]])-2,0)*($G65-$H65)</f>
        <v>159.30499317803796</v>
      </c>
      <c r="BR65" s="26">
        <f>VLOOKUP($A65,tabCustoUnit[],COLUMN(CUSTO_GLOBAL[[#Headers],[COFINS]])-2,0)</f>
        <v>8.5633802816901458E-2</v>
      </c>
      <c r="BS65" s="26">
        <f>VLOOKUP($A65,tabCustoUnit[],COLUMN(CUSTO_GLOBAL[[#Headers],[PIS]])-2,0)</f>
        <v>1.8591549295774657E-2</v>
      </c>
      <c r="BT65" s="28">
        <f>VLOOKUP($A65,tabCustoUnit[],COLUMN(CUSTO_GLOBAL[[#Headers],[ISS]])-2,0)</f>
        <v>0.02</v>
      </c>
      <c r="BU65" s="26">
        <f>VLOOKUP($A65,tabCustoUnit[],COLUMN(CUSTO_GLOBAL[[#Headers],[ISS (Conversão Alíquota s/ fatura)]])-2,0)</f>
        <v>2.2535211267605645E-2</v>
      </c>
      <c r="BV65" s="26">
        <f>VLOOKUP($A65,tabCustoUnit[],COLUMN(CUSTO_GLOBAL[[#Headers],[Resumo de Alíquotas (PIS+CONFINS+ISS)]])-2,0)</f>
        <v>0.1125</v>
      </c>
      <c r="BW65" s="138">
        <f>VLOOKUP($A65,tabCustoUnit[],COLUMN(CUSTO_GLOBAL[[#Headers],[PIS + COFINS + ISS (Total Conversão  Alíquota s/ Fatura)]])-2,0)</f>
        <v>0.12676056338028174</v>
      </c>
      <c r="BX65" s="22">
        <f>VLOOKUP($A65,tabCustoUnit[],COLUMN(CUSTO_GLOBAL[[#Headers],[Valor dos Tributos (ISS, PIS, CONFINS)]])-2,0)*($G65-$H65)</f>
        <v>608.3521610392711</v>
      </c>
      <c r="BY65" s="22">
        <f>VLOOKUP($A65,tabCustoUnit[],COLUMN(CUSTO_GLOBAL[[#Headers],[MÓDULO 6 – CUSTOS INDIRETOS, TRIBUTOS E LUCRO]])-2,0)*($G65-$H65)</f>
        <v>957.30595561973519</v>
      </c>
      <c r="BZ65" s="22">
        <f>VLOOKUP($A65,tabCustoUnit[],COLUMN(CUSTO_GLOBAL[[#Headers],[CUSTO TOTAL MENSAL]])-2,0)*($G65-$H65)</f>
        <v>5407.5747647935186</v>
      </c>
      <c r="CA65" s="22">
        <f>CUSTO_GLOBAL[[#This Row],[CUSTO TOTAL MENSAL]]*12</f>
        <v>64890.897177522224</v>
      </c>
      <c r="CB65" s="24">
        <f>VLOOKUP($A65,tabCustoUnit[],COLUMN(CUSTO_GLOBAL[[#Headers],[ANO DA CCT]])-2,0)</f>
        <v>45658</v>
      </c>
      <c r="CC65" s="25" t="str">
        <f>VLOOKUP($A65,tabCustoUnit[],COLUMN(CUSTO_GLOBAL[[#Headers],[Nº DE PEDIDO DA CCT]])-2,0)</f>
        <v>-</v>
      </c>
      <c r="CD65" s="25" t="str">
        <f>VLOOKUP($A65,tabCustoUnit[],COLUMN(CUSTO_GLOBAL[[#Headers],[TERMO ADITIVO  ALTERAÇÃO DA CCT]])-2,0)</f>
        <v>-</v>
      </c>
      <c r="CF65" s="22"/>
      <c r="CG65" s="22"/>
    </row>
    <row r="66" spans="1:85" x14ac:dyDescent="0.25">
      <c r="A66" s="20" t="s">
        <v>1406</v>
      </c>
      <c r="B66" t="s">
        <v>64</v>
      </c>
      <c r="C66" t="s">
        <v>1247</v>
      </c>
      <c r="D66" t="s">
        <v>1000</v>
      </c>
      <c r="E66" s="20" t="s">
        <v>9</v>
      </c>
      <c r="F66" s="20" t="s">
        <v>10</v>
      </c>
      <c r="G66" s="20">
        <v>1</v>
      </c>
      <c r="H66" s="20">
        <v>0</v>
      </c>
      <c r="I66" s="21">
        <f>VLOOKUP($A66,tabCustoUnit[],COLUMN(CUSTO_GLOBAL[[#Headers],[Salário Base]])-2,0)*($G66-$H66)</f>
        <v>544.17999999999995</v>
      </c>
      <c r="J66" s="21">
        <f>VLOOKUP($A66,tabCustoUnit[],COLUMN(CUSTO_GLOBAL[[#Headers],[Adicional Periculosidade]])-2,0)*($G66-$H66)</f>
        <v>0</v>
      </c>
      <c r="K66" s="21">
        <f>VLOOKUP($A66,tabCustoUnit[],COLUMN(CUSTO_GLOBAL[[#Headers],[Adicional Insalubridade]])-2,0)*($G66-$H66)</f>
        <v>0</v>
      </c>
      <c r="L66" s="21">
        <f>VLOOKUP($A66,tabCustoUnit[],COLUMN(CUSTO_GLOBAL[[#Headers],[Adicional Noturno]])-2,0)*($G66-$H66)</f>
        <v>0</v>
      </c>
      <c r="M66" s="21">
        <f>VLOOKUP($A66,tabCustoUnit[],COLUMN(CUSTO_GLOBAL[[#Headers],[Adicional Motorista II (Gratificação)]])-2,0)*($G66-$H66)</f>
        <v>0</v>
      </c>
      <c r="N66" s="21">
        <f>VLOOKUP($A66,tabCustoUnit[],COLUMN(CUSTO_GLOBAL[[#Headers],[Adicional de Sobreaviso]])-2,0)*($G66-$H66)</f>
        <v>0</v>
      </c>
      <c r="O66" s="21">
        <f>VLOOKUP($A66,tabCustoUnit[],COLUMN(CUSTO_GLOBAL[[#Headers],[Horas Extras TI]])-2,0)*($G66-$H66)</f>
        <v>0</v>
      </c>
      <c r="P66" s="21">
        <f>VLOOKUP($A66,tabCustoUnit[],COLUMN(CUSTO_GLOBAL[[#Headers],[Adicional de Acúmulo de função]])-2,0)*($G66-$H66)</f>
        <v>19.590499999999999</v>
      </c>
      <c r="Q66" s="21">
        <f>VLOOKUP($A66,tabCustoUnit[],COLUMN(CUSTO_GLOBAL[[#Headers],[MODULO 1 - REMUNERAÇÃO ]])-2,0)*($G66-$H66)</f>
        <v>563.77049999999997</v>
      </c>
      <c r="R66" s="21">
        <f>VLOOKUP($A66,tabCustoUnit[],COLUMN(CUSTO_GLOBAL[[#Headers],[INSS]])-2,0)*($G66-$H66)</f>
        <v>112.75409999999999</v>
      </c>
      <c r="S66" s="21">
        <f>VLOOKUP($A66,tabCustoUnit[],COLUMN(CUSTO_GLOBAL[[#Headers],[SESI OU SESC]])-2,0)*($G66-$H66)</f>
        <v>8.4565574999999988</v>
      </c>
      <c r="T66" s="21">
        <f>VLOOKUP($A66,tabCustoUnit[],COLUMN(CUSTO_GLOBAL[[#Headers],[SENAI OU SENAC]])-2,0)*($G66-$H66)</f>
        <v>5.6377049999999995</v>
      </c>
      <c r="U66" s="21">
        <f>VLOOKUP($A66,tabCustoUnit[],COLUMN(CUSTO_GLOBAL[[#Headers],[INCRA]])-2,0)*($G66-$H66)</f>
        <v>1.1275409999999999</v>
      </c>
      <c r="V66" s="21">
        <f>VLOOKUP($A66,tabCustoUnit[],COLUMN(CUSTO_GLOBAL[[#Headers],[Salário Educação]])-2,0)*($G66-$H66)</f>
        <v>14.094262499999999</v>
      </c>
      <c r="W66" s="21">
        <f>VLOOKUP($A66,tabCustoUnit[],COLUMN(CUSTO_GLOBAL[[#Headers],[FGTS]])-2,0)*($G66-$H66)</f>
        <v>45.101639999999996</v>
      </c>
      <c r="X66" s="21">
        <f>VLOOKUP($A66,tabCustoUnit[],COLUMN(CUSTO_GLOBAL[[#Headers],[RAT Ajustado]])-2,0)*($G66-$H66)</f>
        <v>22.550819999999998</v>
      </c>
      <c r="Y66" s="21">
        <f>VLOOKUP($A66,tabCustoUnit[],COLUMN(CUSTO_GLOBAL[[#Headers],[SEBRAE]])-2,0)*($G66-$H66)</f>
        <v>3.3826229999999997</v>
      </c>
      <c r="Z66" s="21">
        <f>VLOOKUP($A66,tabCustoUnit[],COLUMN(CUSTO_GLOBAL[[#Headers],[Submódulo 2.1]])-2,0)*($G66-$H66)</f>
        <v>213.10524899999996</v>
      </c>
      <c r="AA66" s="21">
        <f>VLOOKUP($A66,tabCustoUnit[],COLUMN(CUSTO_GLOBAL[[#Headers],[13º salário (titular)]])-2,0)*($G66-$H66)</f>
        <v>46.980874999999997</v>
      </c>
      <c r="AB66" s="21">
        <f>VLOOKUP($A66,tabCustoUnit[],COLUMN(CUSTO_GLOBAL[[#Headers],[Férias e Adicional de Férias (titular)]])-2,0)*($G66-$H66)</f>
        <v>62.641166666666663</v>
      </c>
      <c r="AC66" s="21">
        <f>VLOOKUP($A66,tabCustoUnit[],COLUMN(CUSTO_GLOBAL[[#Headers],[Incidência do Submódulo 2.1 sobre 13º Salário, Férias e Adicional de Férias]])-2,0)*($G66-$H66)</f>
        <v>41.437131749999992</v>
      </c>
      <c r="AD66" s="21">
        <f>VLOOKUP($A66,tabCustoUnit[],COLUMN(CUSTO_GLOBAL[[#Headers],[Submódulo 2.2]])-2,0)*($G66-$H66)</f>
        <v>151.05917341666665</v>
      </c>
      <c r="AE66" s="22">
        <f>VLOOKUP($A66,tabCustoUnit[],COLUMN(CUSTO_GLOBAL[[#Headers],[Vale - Transporte (Descontada parcela do empregado)]])-2,0)*($G66-$H66)</f>
        <v>223.3492</v>
      </c>
      <c r="AF66" s="22">
        <f>VLOOKUP($A66,tabCustoUnit[],COLUMN(CUSTO_GLOBAL[[#Headers],[Vale - Alimentação (Descontada parcela do empregado)]])-2,0)*($G66-$H66)</f>
        <v>582</v>
      </c>
      <c r="AG66" s="22">
        <f>VLOOKUP($A66,tabCustoUnit[],COLUMN(CUSTO_GLOBAL[[#Headers],[Cesta Básica]])-2,0)*($G66-$H66)</f>
        <v>0</v>
      </c>
      <c r="AH66" s="22">
        <f>VLOOKUP($A66,tabCustoUnit[],COLUMN(CUSTO_GLOBAL[[#Headers],[PAF]])-2,0)*($G66-$H66)</f>
        <v>0</v>
      </c>
      <c r="AI66" s="22">
        <f>VLOOKUP($A66,tabCustoUnit[],COLUMN(CUSTO_GLOBAL[[#Headers],[PQM]])-2,0)*($G66-$H66)</f>
        <v>15.07</v>
      </c>
      <c r="AJ66" s="22">
        <v>0</v>
      </c>
      <c r="AK66" s="22">
        <f>VLOOKUP($A66,tabCustoUnit[],COLUMN(CUSTO_GLOBAL[[#Headers],[Seguro de Vida]])-2,0)*($G66-$H66)</f>
        <v>3.36</v>
      </c>
      <c r="AL66" s="22">
        <f>VLOOKUP($A66,tabCustoUnit[],COLUMN(CUSTO_GLOBAL[[#Headers],[Despesas de Viagem]])-2,0)*($G66-$H66)</f>
        <v>0</v>
      </c>
      <c r="AM66" s="22">
        <f>VLOOKUP($A66,tabCustoUnit[],COLUMN(CUSTO_GLOBAL[[#Headers],[Submódulo 2.3]])-2,0)*($G66-$H66)</f>
        <v>823.77920000000006</v>
      </c>
      <c r="AN66" s="22">
        <f>VLOOKUP($A66,tabCustoUnit[],COLUMN(CUSTO_GLOBAL[[#Headers],[MÓDULO 2 - Total Encargos e Benefícios mensais e diários]])-2,0)*($G66-$H66)</f>
        <v>1187.9436224166666</v>
      </c>
      <c r="AO66" s="22">
        <f>VLOOKUP($A66,tabCustoUnit[],COLUMN(CUSTO_GLOBAL[[#Headers],[Aviso Prévio Indenizado (API) e Reflexo do Aviso Prévio Indenizado]])-2,0)*($G66-$H66)</f>
        <v>3.9530273735532404</v>
      </c>
      <c r="AP66" s="22">
        <f>VLOOKUP($A66,tabCustoUnit[],COLUMN(CUSTO_GLOBAL[[#Headers],[Incidência do FGTS sobre API e Reflexo do API]])-2,0)*($G66-$H66)</f>
        <v>0.31624218988425928</v>
      </c>
      <c r="AQ66" s="22">
        <f>VLOOKUP($A66,tabCustoUnit[],COLUMN(CUSTO_GLOBAL[[#Headers],[Multa Rescisória do FGTS sobre o Aviso Prévio Indenizado]])-2,0)*($G66-$H66)</f>
        <v>0.12649687595370371</v>
      </c>
      <c r="AR66" s="22">
        <f>VLOOKUP($A66,tabCustoUnit[],COLUMN(CUSTO_GLOBAL[[#Headers],[Aviso Prévio Trabalhado - APT]])-2,0)*($G66-$H66)</f>
        <v>1.9731967500000003</v>
      </c>
      <c r="AS66" s="22">
        <f>VLOOKUP($A66,tabCustoUnit[],COLUMN(CUSTO_GLOBAL[[#Headers],[Incidência dos encargos do submódulo 2.1 sobre Aviso Prévio Trabalhado]])-2,0)*($G66-$H66)</f>
        <v>0.74586837150000018</v>
      </c>
      <c r="AT66" s="22">
        <f>VLOOKUP($A66,tabCustoUnit[],COLUMN(CUSTO_GLOBAL[[#Headers],[Multa Rescisória do FGTS]])-2,0)*($G66-$H66)</f>
        <v>17.238849066666663</v>
      </c>
      <c r="AU66" s="22">
        <f>VLOOKUP($A66,tabCustoUnit[],COLUMN(CUSTO_GLOBAL[[#Headers],[Indenização Adicional (Art. 9º da Lei nº 7.238/84)]])-2,0)*($G66-$H66)</f>
        <v>0.46980875</v>
      </c>
      <c r="AV66" s="22">
        <f>VLOOKUP($A66,tabCustoUnit[],COLUMN(CUSTO_GLOBAL[[#Headers],[MÓDULO 3 – PROVISÃO PARA RESCISÃO]])-2,0)*($G66-$H66)</f>
        <v>24.823489377557866</v>
      </c>
      <c r="AW66" s="22">
        <f>VLOOKUP($A66,tabCustoUnit[],COLUMN(CUSTO_GLOBAL[[#Headers],[Ausência por Doença]])-2,0)*($G66-$H66)</f>
        <v>4.7607286666666662</v>
      </c>
      <c r="AX66" s="22">
        <f>VLOOKUP($A66,tabCustoUnit[],COLUMN(CUSTO_GLOBAL[[#Headers],[Ausências Legais]])-2,0)*($G66-$H66)</f>
        <v>1.1432012916666665</v>
      </c>
      <c r="AY66" s="22">
        <f>VLOOKUP($A66,tabCustoUnit[],COLUMN(CUSTO_GLOBAL[[#Headers],[Licença Paternidade]])-2,0)*($G66-$H66)</f>
        <v>9.6310793749999998E-2</v>
      </c>
      <c r="AZ66" s="22">
        <f>VLOOKUP($A66,tabCustoUnit[],COLUMN(CUSTO_GLOBAL[[#Headers],[Ausência por Acidente de Trabalho]])-2,0)*($G66-$H66)</f>
        <v>0.1174521875</v>
      </c>
      <c r="BA66" s="22">
        <f>VLOOKUP($A66,tabCustoUnit[],COLUMN(CUSTO_GLOBAL[[#Headers],[Férias, Adicional de Férias e 13º  com empregada em gozo de Licença Maternidade]])-2,0)*($G66-$H66)</f>
        <v>0.73081361111111109</v>
      </c>
      <c r="BB66" s="22">
        <f>VLOOKUP($A66,tabCustoUnit[],COLUMN(CUSTO_GLOBAL[[#Headers],[Incidência do Submódulo 2.1 sobre Ausências Legais]])-2,0)*($G66-$H66)</f>
        <v>2.5887354761625003</v>
      </c>
      <c r="BC66" s="22">
        <f>VLOOKUP($A66,tabCustoUnit[],COLUMN(CUSTO_GLOBAL[[#Headers],[Submódulo 4.1]])-2,0)*($G66-$H66)</f>
        <v>9.4372420268569428</v>
      </c>
      <c r="BD66" s="22">
        <f>VLOOKUP($A66,tabCustoUnit[],COLUMN(CUSTO_GLOBAL[[#Headers],[Intervalo para Repouso ou Alimentação]])-2,0)*($G66-$H66)</f>
        <v>0</v>
      </c>
      <c r="BE66" s="22">
        <f>VLOOKUP($A66,tabCustoUnit[],COLUMN(CUSTO_GLOBAL[[#Headers],[Submódulo 4.2]])-2,0)*($G66-$H66)</f>
        <v>0</v>
      </c>
      <c r="BF66" s="22">
        <f>VLOOKUP($A66,tabCustoUnit[],COLUMN(CUSTO_GLOBAL[[#Headers],[Suspensão Temporária do Contrato de Trabalho]])-2,0)*($G66-$H66)</f>
        <v>0</v>
      </c>
      <c r="BG66" s="22">
        <f>VLOOKUP($A66,tabCustoUnit[],COLUMN(CUSTO_GLOBAL[[#Headers],[Submódulo 4.3]])-2,0)*($G66-$H66)</f>
        <v>0</v>
      </c>
      <c r="BH66" s="22">
        <f>VLOOKUP($A66,tabCustoUnit[],COLUMN(CUSTO_GLOBAL[[#Headers],[MÓDULO 4 – CUSTO DE REPOSIÇÃO DO PROFISSIONAL AUSENTE]])-2,0)*($G66-$H66)</f>
        <v>9.4372420268569428</v>
      </c>
      <c r="BI66" s="22">
        <f>VLOOKUP($A66,tabCustoUnit[],COLUMN(CUSTO_GLOBAL[[#Headers],[Uniformes e EPIs]])-2,0)*($G66-$H66)</f>
        <v>62.806666666666665</v>
      </c>
      <c r="BJ66" s="22">
        <f>VLOOKUP($A66,tabCustoUnit[],COLUMN(CUSTO_GLOBAL[[#Headers],[Materiais de Consumo]])-2,0)*($G66-$H66)</f>
        <v>12.108481690426325</v>
      </c>
      <c r="BK66" s="22">
        <f>VLOOKUP($A66,tabCustoUnit[],COLUMN(CUSTO_GLOBAL[[#Headers],[Máquinas e Equipamentos (depreciação)]])-2,0)*($G66-$H66)</f>
        <v>21.998657016417809</v>
      </c>
      <c r="BL66" s="22">
        <f>VLOOKUP($A66,tabCustoUnit[],COLUMN(CUSTO_GLOBAL[[#Headers],[Produtos de Limpeza e Materiais de Higiene Pessoal]])-2,0)*($G66-$H66)</f>
        <v>235.31984072022155</v>
      </c>
      <c r="BM66" s="22">
        <f>VLOOKUP($A66,tabCustoUnit[],COLUMN(CUSTO_GLOBAL[[#Headers],[Outros (especificar)]])-2,0)*($G66-$H66)</f>
        <v>0</v>
      </c>
      <c r="BN66" s="22">
        <f>VLOOKUP($A66,tabCustoUnit[],COLUMN(CUSTO_GLOBAL[[#Headers],[MÓDULO 5 – INSUMOS DIVERSOS]])-2,0)*($G66-$H66)</f>
        <v>332.23364609373232</v>
      </c>
      <c r="BO66" s="22">
        <f>VLOOKUP($A66,tabCustoUnit[],COLUMN(CUSTO_GLOBAL[[#Headers],[TOTAL MÓDULOS 1+2+3+4+5]])-2,0)*($G66-$H66)</f>
        <v>2118.2084999148137</v>
      </c>
      <c r="BP66" s="22">
        <f>VLOOKUP($A66,tabCustoUnit[],COLUMN(CUSTO_GLOBAL[[#Headers],[Custos Indiretos]])-2,0)*($G66-$H66)</f>
        <v>189.64880140242613</v>
      </c>
      <c r="BQ66" s="22">
        <f>VLOOKUP($A66,tabCustoUnit[],COLUMN(CUSTO_GLOBAL[[#Headers],[Lucro]])-2,0)*($G66-$H66)</f>
        <v>159.30499317803796</v>
      </c>
      <c r="BR66" s="26">
        <f>VLOOKUP($A66,tabCustoUnit[],COLUMN(CUSTO_GLOBAL[[#Headers],[COFINS]])-2,0)</f>
        <v>8.8629737609329504E-2</v>
      </c>
      <c r="BS66" s="26">
        <f>VLOOKUP($A66,tabCustoUnit[],COLUMN(CUSTO_GLOBAL[[#Headers],[PIS]])-2,0)</f>
        <v>1.9241982507288629E-2</v>
      </c>
      <c r="BT66" s="28">
        <f>VLOOKUP($A66,tabCustoUnit[],COLUMN(CUSTO_GLOBAL[[#Headers],[ISS]])-2,0)</f>
        <v>0.05</v>
      </c>
      <c r="BU66" s="26">
        <f>VLOOKUP($A66,tabCustoUnit[],COLUMN(CUSTO_GLOBAL[[#Headers],[ISS (Conversão Alíquota s/ fatura)]])-2,0)</f>
        <v>5.8309037900874633E-2</v>
      </c>
      <c r="BV66" s="26">
        <f>VLOOKUP($A66,tabCustoUnit[],COLUMN(CUSTO_GLOBAL[[#Headers],[Resumo de Alíquotas (PIS+CONFINS+ISS)]])-2,0)</f>
        <v>0.14250000000000002</v>
      </c>
      <c r="BW66" s="138">
        <f>VLOOKUP($A66,tabCustoUnit[],COLUMN(CUSTO_GLOBAL[[#Headers],[PIS + COFINS + ISS (Total Conversão  Alíquota s/ Fatura)]])-2,0)</f>
        <v>0.16618075801749277</v>
      </c>
      <c r="BX66" s="22">
        <f>VLOOKUP($A66,tabCustoUnit[],COLUMN(CUSTO_GLOBAL[[#Headers],[Valor dos Tributos (ISS, PIS, CONFINS)]])-2,0)*($G66-$H66)</f>
        <v>409.99490025140199</v>
      </c>
      <c r="BY66" s="22">
        <f>VLOOKUP($A66,tabCustoUnit[],COLUMN(CUSTO_GLOBAL[[#Headers],[MÓDULO 6 – CUSTOS INDIRETOS, TRIBUTOS E LUCRO]])-2,0)*($G66-$H66)</f>
        <v>758.94869483186608</v>
      </c>
      <c r="BZ66" s="22">
        <f>VLOOKUP($A66,tabCustoUnit[],COLUMN(CUSTO_GLOBAL[[#Headers],[CUSTO TOTAL MENSAL]])-2,0)*($G66-$H66)</f>
        <v>2877.15719474668</v>
      </c>
      <c r="CA66" s="22">
        <f>CUSTO_GLOBAL[[#This Row],[CUSTO TOTAL MENSAL]]*12</f>
        <v>34525.88633696016</v>
      </c>
      <c r="CB66" s="24">
        <f>VLOOKUP($A66,tabCustoUnit[],COLUMN(CUSTO_GLOBAL[[#Headers],[ANO DA CCT]])-2,0)</f>
        <v>45658</v>
      </c>
      <c r="CC66" s="25" t="str">
        <f>VLOOKUP($A66,tabCustoUnit[],COLUMN(CUSTO_GLOBAL[[#Headers],[Nº DE PEDIDO DA CCT]])-2,0)</f>
        <v>-</v>
      </c>
      <c r="CD66" s="25" t="str">
        <f>VLOOKUP($A66,tabCustoUnit[],COLUMN(CUSTO_GLOBAL[[#Headers],[TERMO ADITIVO  ALTERAÇÃO DA CCT]])-2,0)</f>
        <v>-</v>
      </c>
      <c r="CF66" s="22"/>
      <c r="CG66" s="22"/>
    </row>
    <row r="67" spans="1:85" x14ac:dyDescent="0.25">
      <c r="A67" s="20" t="s">
        <v>1407</v>
      </c>
      <c r="B67" t="s">
        <v>65</v>
      </c>
      <c r="C67" t="s">
        <v>1245</v>
      </c>
      <c r="D67" t="s">
        <v>1000</v>
      </c>
      <c r="E67" s="20" t="s">
        <v>9</v>
      </c>
      <c r="F67" s="20" t="s">
        <v>10</v>
      </c>
      <c r="G67" s="20">
        <v>1</v>
      </c>
      <c r="H67" s="20">
        <v>0</v>
      </c>
      <c r="I67" s="21">
        <f>VLOOKUP($A67,tabCustoUnit[],COLUMN(CUSTO_GLOBAL[[#Headers],[Salário Base]])-2,0)*($G67-$H67)</f>
        <v>1596.28</v>
      </c>
      <c r="J67" s="21">
        <f>VLOOKUP($A67,tabCustoUnit[],COLUMN(CUSTO_GLOBAL[[#Headers],[Adicional Periculosidade]])-2,0)*($G67-$H67)</f>
        <v>0</v>
      </c>
      <c r="K67" s="21">
        <f>VLOOKUP($A67,tabCustoUnit[],COLUMN(CUSTO_GLOBAL[[#Headers],[Adicional Insalubridade]])-2,0)*($G67-$H67)</f>
        <v>0</v>
      </c>
      <c r="L67" s="21">
        <f>VLOOKUP($A67,tabCustoUnit[],COLUMN(CUSTO_GLOBAL[[#Headers],[Adicional Noturno]])-2,0)*($G67-$H67)</f>
        <v>0</v>
      </c>
      <c r="M67" s="21">
        <f>VLOOKUP($A67,tabCustoUnit[],COLUMN(CUSTO_GLOBAL[[#Headers],[Adicional Motorista II (Gratificação)]])-2,0)*($G67-$H67)</f>
        <v>0</v>
      </c>
      <c r="N67" s="21">
        <f>VLOOKUP($A67,tabCustoUnit[],COLUMN(CUSTO_GLOBAL[[#Headers],[Adicional de Sobreaviso]])-2,0)*($G67-$H67)</f>
        <v>0</v>
      </c>
      <c r="O67" s="21">
        <f>VLOOKUP($A67,tabCustoUnit[],COLUMN(CUSTO_GLOBAL[[#Headers],[Horas Extras TI]])-2,0)*($G67-$H67)</f>
        <v>0</v>
      </c>
      <c r="P67" s="21">
        <f>VLOOKUP($A67,tabCustoUnit[],COLUMN(CUSTO_GLOBAL[[#Headers],[Adicional de Acúmulo de função]])-2,0)*($G67-$H67)</f>
        <v>52.241900000000001</v>
      </c>
      <c r="Q67" s="21">
        <f>VLOOKUP($A67,tabCustoUnit[],COLUMN(CUSTO_GLOBAL[[#Headers],[MODULO 1 - REMUNERAÇÃO ]])-2,0)*($G67-$H67)</f>
        <v>1648.5219</v>
      </c>
      <c r="R67" s="21">
        <f>VLOOKUP($A67,tabCustoUnit[],COLUMN(CUSTO_GLOBAL[[#Headers],[INSS]])-2,0)*($G67-$H67)</f>
        <v>329.70438000000001</v>
      </c>
      <c r="S67" s="21">
        <f>VLOOKUP($A67,tabCustoUnit[],COLUMN(CUSTO_GLOBAL[[#Headers],[SESI OU SESC]])-2,0)*($G67-$H67)</f>
        <v>24.727828499999998</v>
      </c>
      <c r="T67" s="21">
        <f>VLOOKUP($A67,tabCustoUnit[],COLUMN(CUSTO_GLOBAL[[#Headers],[SENAI OU SENAC]])-2,0)*($G67-$H67)</f>
        <v>16.485219000000001</v>
      </c>
      <c r="U67" s="21">
        <f>VLOOKUP($A67,tabCustoUnit[],COLUMN(CUSTO_GLOBAL[[#Headers],[INCRA]])-2,0)*($G67-$H67)</f>
        <v>3.2970438</v>
      </c>
      <c r="V67" s="21">
        <f>VLOOKUP($A67,tabCustoUnit[],COLUMN(CUSTO_GLOBAL[[#Headers],[Salário Educação]])-2,0)*($G67-$H67)</f>
        <v>41.213047500000002</v>
      </c>
      <c r="W67" s="21">
        <f>VLOOKUP($A67,tabCustoUnit[],COLUMN(CUSTO_GLOBAL[[#Headers],[FGTS]])-2,0)*($G67-$H67)</f>
        <v>131.88175200000001</v>
      </c>
      <c r="X67" s="21">
        <f>VLOOKUP($A67,tabCustoUnit[],COLUMN(CUSTO_GLOBAL[[#Headers],[RAT Ajustado]])-2,0)*($G67-$H67)</f>
        <v>65.940876000000003</v>
      </c>
      <c r="Y67" s="21">
        <f>VLOOKUP($A67,tabCustoUnit[],COLUMN(CUSTO_GLOBAL[[#Headers],[SEBRAE]])-2,0)*($G67-$H67)</f>
        <v>9.8911314000000008</v>
      </c>
      <c r="Z67" s="21">
        <f>VLOOKUP($A67,tabCustoUnit[],COLUMN(CUSTO_GLOBAL[[#Headers],[Submódulo 2.1]])-2,0)*($G67-$H67)</f>
        <v>623.14127819999999</v>
      </c>
      <c r="AA67" s="21">
        <f>VLOOKUP($A67,tabCustoUnit[],COLUMN(CUSTO_GLOBAL[[#Headers],[13º salário (titular)]])-2,0)*($G67-$H67)</f>
        <v>137.376825</v>
      </c>
      <c r="AB67" s="21">
        <f>VLOOKUP($A67,tabCustoUnit[],COLUMN(CUSTO_GLOBAL[[#Headers],[Férias e Adicional de Férias (titular)]])-2,0)*($G67-$H67)</f>
        <v>183.16909999999999</v>
      </c>
      <c r="AC67" s="21">
        <f>VLOOKUP($A67,tabCustoUnit[],COLUMN(CUSTO_GLOBAL[[#Headers],[Incidência do Submódulo 2.1 sobre 13º Salário, Férias e Adicional de Férias]])-2,0)*($G67-$H67)</f>
        <v>121.16635965</v>
      </c>
      <c r="AD67" s="21">
        <f>VLOOKUP($A67,tabCustoUnit[],COLUMN(CUSTO_GLOBAL[[#Headers],[Submódulo 2.2]])-2,0)*($G67-$H67)</f>
        <v>441.71228465000002</v>
      </c>
      <c r="AE67" s="22">
        <f>VLOOKUP($A67,tabCustoUnit[],COLUMN(CUSTO_GLOBAL[[#Headers],[Vale - Transporte (Descontada parcela do empregado)]])-2,0)*($G67-$H67)</f>
        <v>160.22320000000002</v>
      </c>
      <c r="AF67" s="22">
        <f>VLOOKUP($A67,tabCustoUnit[],COLUMN(CUSTO_GLOBAL[[#Headers],[Vale - Alimentação (Descontada parcela do empregado)]])-2,0)*($G67-$H67)</f>
        <v>582</v>
      </c>
      <c r="AG67" s="22">
        <f>VLOOKUP($A67,tabCustoUnit[],COLUMN(CUSTO_GLOBAL[[#Headers],[Cesta Básica]])-2,0)*($G67-$H67)</f>
        <v>0</v>
      </c>
      <c r="AH67" s="22">
        <f>VLOOKUP($A67,tabCustoUnit[],COLUMN(CUSTO_GLOBAL[[#Headers],[PAF]])-2,0)*($G67-$H67)</f>
        <v>0</v>
      </c>
      <c r="AI67" s="22">
        <f>VLOOKUP($A67,tabCustoUnit[],COLUMN(CUSTO_GLOBAL[[#Headers],[PQM]])-2,0)*($G67-$H67)</f>
        <v>15.07</v>
      </c>
      <c r="AJ67" s="22">
        <v>0</v>
      </c>
      <c r="AK67" s="22">
        <f>VLOOKUP($A67,tabCustoUnit[],COLUMN(CUSTO_GLOBAL[[#Headers],[Seguro de Vida]])-2,0)*($G67-$H67)</f>
        <v>3.36</v>
      </c>
      <c r="AL67" s="22">
        <f>VLOOKUP($A67,tabCustoUnit[],COLUMN(CUSTO_GLOBAL[[#Headers],[Despesas de Viagem]])-2,0)*($G67-$H67)</f>
        <v>0</v>
      </c>
      <c r="AM67" s="22">
        <f>VLOOKUP($A67,tabCustoUnit[],COLUMN(CUSTO_GLOBAL[[#Headers],[Submódulo 2.3]])-2,0)*($G67-$H67)</f>
        <v>760.65320000000008</v>
      </c>
      <c r="AN67" s="22">
        <f>VLOOKUP($A67,tabCustoUnit[],COLUMN(CUSTO_GLOBAL[[#Headers],[MÓDULO 2 - Total Encargos e Benefícios mensais e diários]])-2,0)*($G67-$H67)</f>
        <v>1825.5067628500001</v>
      </c>
      <c r="AO67" s="22">
        <f>VLOOKUP($A67,tabCustoUnit[],COLUMN(CUSTO_GLOBAL[[#Headers],[Aviso Prévio Indenizado (API) e Reflexo do Aviso Prévio Indenizado]])-2,0)*($G67-$H67)</f>
        <v>11.559051416493055</v>
      </c>
      <c r="AP67" s="22">
        <f>VLOOKUP($A67,tabCustoUnit[],COLUMN(CUSTO_GLOBAL[[#Headers],[Incidência do FGTS sobre API e Reflexo do API]])-2,0)*($G67-$H67)</f>
        <v>0.92472411331944449</v>
      </c>
      <c r="AQ67" s="22">
        <f>VLOOKUP($A67,tabCustoUnit[],COLUMN(CUSTO_GLOBAL[[#Headers],[Multa Rescisória do FGTS sobre o Aviso Prévio Indenizado]])-2,0)*($G67-$H67)</f>
        <v>0.36988964532777785</v>
      </c>
      <c r="AR67" s="22">
        <f>VLOOKUP($A67,tabCustoUnit[],COLUMN(CUSTO_GLOBAL[[#Headers],[Aviso Prévio Trabalhado - APT]])-2,0)*($G67-$H67)</f>
        <v>5.7698266500000006</v>
      </c>
      <c r="AS67" s="22">
        <f>VLOOKUP($A67,tabCustoUnit[],COLUMN(CUSTO_GLOBAL[[#Headers],[Incidência dos encargos do submódulo 2.1 sobre Aviso Prévio Trabalhado]])-2,0)*($G67-$H67)</f>
        <v>2.1809944737000007</v>
      </c>
      <c r="AT67" s="22">
        <f>VLOOKUP($A67,tabCustoUnit[],COLUMN(CUSTO_GLOBAL[[#Headers],[Multa Rescisória do FGTS]])-2,0)*($G67-$H67)</f>
        <v>50.40813631999999</v>
      </c>
      <c r="AU67" s="22">
        <f>VLOOKUP($A67,tabCustoUnit[],COLUMN(CUSTO_GLOBAL[[#Headers],[Indenização Adicional (Art. 9º da Lei nº 7.238/84)]])-2,0)*($G67-$H67)</f>
        <v>1.3737682500000001</v>
      </c>
      <c r="AV67" s="22">
        <f>VLOOKUP($A67,tabCustoUnit[],COLUMN(CUSTO_GLOBAL[[#Headers],[MÓDULO 3 – PROVISÃO PARA RESCISÃO]])-2,0)*($G67-$H67)</f>
        <v>72.586390868840269</v>
      </c>
      <c r="AW67" s="22">
        <f>VLOOKUP($A67,tabCustoUnit[],COLUMN(CUSTO_GLOBAL[[#Headers],[Ausência por Doença]])-2,0)*($G67-$H67)</f>
        <v>13.920851599999999</v>
      </c>
      <c r="AX67" s="22">
        <f>VLOOKUP($A67,tabCustoUnit[],COLUMN(CUSTO_GLOBAL[[#Headers],[Ausências Legais]])-2,0)*($G67-$H67)</f>
        <v>3.3428360749999997</v>
      </c>
      <c r="AY67" s="22">
        <f>VLOOKUP($A67,tabCustoUnit[],COLUMN(CUSTO_GLOBAL[[#Headers],[Licença Paternidade]])-2,0)*($G67-$H67)</f>
        <v>0.28162249125</v>
      </c>
      <c r="AZ67" s="22">
        <f>VLOOKUP($A67,tabCustoUnit[],COLUMN(CUSTO_GLOBAL[[#Headers],[Ausência por Acidente de Trabalho]])-2,0)*($G67-$H67)</f>
        <v>0.34344206250000003</v>
      </c>
      <c r="BA67" s="22">
        <f>VLOOKUP($A67,tabCustoUnit[],COLUMN(CUSTO_GLOBAL[[#Headers],[Férias, Adicional de Férias e 13º  com empregada em gozo de Licença Maternidade]])-2,0)*($G67-$H67)</f>
        <v>2.1369728333333331</v>
      </c>
      <c r="BB67" s="22">
        <f>VLOOKUP($A67,tabCustoUnit[],COLUMN(CUSTO_GLOBAL[[#Headers],[Incidência do Submódulo 2.1 sobre Ausências Legais]])-2,0)*($G67-$H67)</f>
        <v>7.5697240734675013</v>
      </c>
      <c r="BC67" s="22">
        <f>VLOOKUP($A67,tabCustoUnit[],COLUMN(CUSTO_GLOBAL[[#Headers],[Submódulo 4.1]])-2,0)*($G67-$H67)</f>
        <v>27.595449135550833</v>
      </c>
      <c r="BD67" s="22">
        <f>VLOOKUP($A67,tabCustoUnit[],COLUMN(CUSTO_GLOBAL[[#Headers],[Intervalo para Repouso ou Alimentação]])-2,0)*($G67-$H67)</f>
        <v>0</v>
      </c>
      <c r="BE67" s="22">
        <f>VLOOKUP($A67,tabCustoUnit[],COLUMN(CUSTO_GLOBAL[[#Headers],[Submódulo 4.2]])-2,0)*($G67-$H67)</f>
        <v>0</v>
      </c>
      <c r="BF67" s="22">
        <f>VLOOKUP($A67,tabCustoUnit[],COLUMN(CUSTO_GLOBAL[[#Headers],[Suspensão Temporária do Contrato de Trabalho]])-2,0)*($G67-$H67)</f>
        <v>0</v>
      </c>
      <c r="BG67" s="22">
        <f>VLOOKUP($A67,tabCustoUnit[],COLUMN(CUSTO_GLOBAL[[#Headers],[Submódulo 4.3]])-2,0)*($G67-$H67)</f>
        <v>0</v>
      </c>
      <c r="BH67" s="22">
        <f>VLOOKUP($A67,tabCustoUnit[],COLUMN(CUSTO_GLOBAL[[#Headers],[MÓDULO 4 – CUSTO DE REPOSIÇÃO DO PROFISSIONAL AUSENTE]])-2,0)*($G67-$H67)</f>
        <v>27.595449135550833</v>
      </c>
      <c r="BI67" s="22">
        <f>VLOOKUP($A67,tabCustoUnit[],COLUMN(CUSTO_GLOBAL[[#Headers],[Uniformes e EPIs]])-2,0)*($G67-$H67)</f>
        <v>100.80916666666666</v>
      </c>
      <c r="BJ67" s="22">
        <f>VLOOKUP($A67,tabCustoUnit[],COLUMN(CUSTO_GLOBAL[[#Headers],[Materiais de Consumo]])-2,0)*($G67-$H67)</f>
        <v>35.518212958583888</v>
      </c>
      <c r="BK67" s="22">
        <f>VLOOKUP($A67,tabCustoUnit[],COLUMN(CUSTO_GLOBAL[[#Headers],[Máquinas e Equipamentos (depreciação)]])-2,0)*($G67-$H67)</f>
        <v>64.529393914825576</v>
      </c>
      <c r="BL67" s="22">
        <f>VLOOKUP($A67,tabCustoUnit[],COLUMN(CUSTO_GLOBAL[[#Headers],[Produtos de Limpeza e Materiais de Higiene Pessoal]])-2,0)*($G67-$H67)</f>
        <v>690.27153277931654</v>
      </c>
      <c r="BM67" s="22">
        <f>VLOOKUP($A67,tabCustoUnit[],COLUMN(CUSTO_GLOBAL[[#Headers],[Outros (especificar)]])-2,0)*($G67-$H67)</f>
        <v>0</v>
      </c>
      <c r="BN67" s="22">
        <f>VLOOKUP($A67,tabCustoUnit[],COLUMN(CUSTO_GLOBAL[[#Headers],[MÓDULO 5 – INSUMOS DIVERSOS]])-2,0)*($G67-$H67)</f>
        <v>891.12830631939266</v>
      </c>
      <c r="BO67" s="22">
        <f>VLOOKUP($A67,tabCustoUnit[],COLUMN(CUSTO_GLOBAL[[#Headers],[TOTAL MÓDULOS 1+2+3+4+5]])-2,0)*($G67-$H67)</f>
        <v>4465.3388091737834</v>
      </c>
      <c r="BP67" s="22">
        <f>VLOOKUP($A67,tabCustoUnit[],COLUMN(CUSTO_GLOBAL[[#Headers],[Custos Indiretos]])-2,0)*($G67-$H67)</f>
        <v>189.64880140242613</v>
      </c>
      <c r="BQ67" s="22">
        <f>VLOOKUP($A67,tabCustoUnit[],COLUMN(CUSTO_GLOBAL[[#Headers],[Lucro]])-2,0)*($G67-$H67)</f>
        <v>159.30499317803796</v>
      </c>
      <c r="BR67" s="26">
        <f>VLOOKUP($A67,tabCustoUnit[],COLUMN(CUSTO_GLOBAL[[#Headers],[COFINS]])-2,0)</f>
        <v>8.6609686609686695E-2</v>
      </c>
      <c r="BS67" s="26">
        <f>VLOOKUP($A67,tabCustoUnit[],COLUMN(CUSTO_GLOBAL[[#Headers],[PIS]])-2,0)</f>
        <v>1.880341880341882E-2</v>
      </c>
      <c r="BT67" s="28">
        <f>VLOOKUP($A67,tabCustoUnit[],COLUMN(CUSTO_GLOBAL[[#Headers],[ISS]])-2,0)</f>
        <v>0.03</v>
      </c>
      <c r="BU67" s="26">
        <f>VLOOKUP($A67,tabCustoUnit[],COLUMN(CUSTO_GLOBAL[[#Headers],[ISS (Conversão Alíquota s/ fatura)]])-2,0)</f>
        <v>3.4188034188034219E-2</v>
      </c>
      <c r="BV67" s="26">
        <f>VLOOKUP($A67,tabCustoUnit[],COLUMN(CUSTO_GLOBAL[[#Headers],[Resumo de Alíquotas (PIS+CONFINS+ISS)]])-2,0)</f>
        <v>0.1225</v>
      </c>
      <c r="BW67" s="138">
        <f>VLOOKUP($A67,tabCustoUnit[],COLUMN(CUSTO_GLOBAL[[#Headers],[PIS + COFINS + ISS (Total Conversão  Alíquota s/ Fatura)]])-2,0)</f>
        <v>0.13960113960113973</v>
      </c>
      <c r="BX67" s="22">
        <f>VLOOKUP($A67,tabCustoUnit[],COLUMN(CUSTO_GLOBAL[[#Headers],[Valor dos Tributos (ISS, PIS, CONFINS)]])-2,0)*($G67-$H67)</f>
        <v>672.08073385743126</v>
      </c>
      <c r="BY67" s="22">
        <f>VLOOKUP($A67,tabCustoUnit[],COLUMN(CUSTO_GLOBAL[[#Headers],[MÓDULO 6 – CUSTOS INDIRETOS, TRIBUTOS E LUCRO]])-2,0)*($G67-$H67)</f>
        <v>1021.0345284378953</v>
      </c>
      <c r="BZ67" s="22">
        <f>VLOOKUP($A67,tabCustoUnit[],COLUMN(CUSTO_GLOBAL[[#Headers],[CUSTO TOTAL MENSAL]])-2,0)*($G67-$H67)</f>
        <v>5486.3733376116788</v>
      </c>
      <c r="CA67" s="22">
        <f>CUSTO_GLOBAL[[#This Row],[CUSTO TOTAL MENSAL]]*12</f>
        <v>65836.480051340142</v>
      </c>
      <c r="CB67" s="24">
        <f>VLOOKUP($A67,tabCustoUnit[],COLUMN(CUSTO_GLOBAL[[#Headers],[ANO DA CCT]])-2,0)</f>
        <v>45658</v>
      </c>
      <c r="CC67" s="25" t="str">
        <f>VLOOKUP($A67,tabCustoUnit[],COLUMN(CUSTO_GLOBAL[[#Headers],[Nº DE PEDIDO DA CCT]])-2,0)</f>
        <v>-</v>
      </c>
      <c r="CD67" s="25" t="str">
        <f>VLOOKUP($A67,tabCustoUnit[],COLUMN(CUSTO_GLOBAL[[#Headers],[TERMO ADITIVO  ALTERAÇÃO DA CCT]])-2,0)</f>
        <v>-</v>
      </c>
      <c r="CF67" s="22"/>
      <c r="CG67" s="22"/>
    </row>
    <row r="68" spans="1:85" x14ac:dyDescent="0.25">
      <c r="A68" s="20" t="s">
        <v>1408</v>
      </c>
      <c r="B68" t="s">
        <v>66</v>
      </c>
      <c r="C68" t="s">
        <v>1244</v>
      </c>
      <c r="D68" t="s">
        <v>66</v>
      </c>
      <c r="E68" s="20" t="s">
        <v>9</v>
      </c>
      <c r="F68" s="20" t="s">
        <v>10</v>
      </c>
      <c r="G68" s="20">
        <v>2</v>
      </c>
      <c r="H68" s="20">
        <v>0</v>
      </c>
      <c r="I68" s="21">
        <f>VLOOKUP($A68,tabCustoUnit[],COLUMN(CUSTO_GLOBAL[[#Headers],[Salário Base]])-2,0)*($G68-$H68)</f>
        <v>1596.28</v>
      </c>
      <c r="J68" s="21">
        <f>VLOOKUP($A68,tabCustoUnit[],COLUMN(CUSTO_GLOBAL[[#Headers],[Adicional Periculosidade]])-2,0)*($G68-$H68)</f>
        <v>0</v>
      </c>
      <c r="K68" s="21">
        <f>VLOOKUP($A68,tabCustoUnit[],COLUMN(CUSTO_GLOBAL[[#Headers],[Adicional Insalubridade]])-2,0)*($G68-$H68)</f>
        <v>0</v>
      </c>
      <c r="L68" s="21">
        <f>VLOOKUP($A68,tabCustoUnit[],COLUMN(CUSTO_GLOBAL[[#Headers],[Adicional Noturno]])-2,0)*($G68-$H68)</f>
        <v>0</v>
      </c>
      <c r="M68" s="21">
        <f>VLOOKUP($A68,tabCustoUnit[],COLUMN(CUSTO_GLOBAL[[#Headers],[Adicional Motorista II (Gratificação)]])-2,0)*($G68-$H68)</f>
        <v>0</v>
      </c>
      <c r="N68" s="21">
        <f>VLOOKUP($A68,tabCustoUnit[],COLUMN(CUSTO_GLOBAL[[#Headers],[Adicional de Sobreaviso]])-2,0)*($G68-$H68)</f>
        <v>0</v>
      </c>
      <c r="O68" s="21">
        <f>VLOOKUP($A68,tabCustoUnit[],COLUMN(CUSTO_GLOBAL[[#Headers],[Horas Extras TI]])-2,0)*($G68-$H68)</f>
        <v>0</v>
      </c>
      <c r="P68" s="21">
        <f>VLOOKUP($A68,tabCustoUnit[],COLUMN(CUSTO_GLOBAL[[#Headers],[Adicional de Acúmulo de função]])-2,0)*($G68-$H68)</f>
        <v>52.241799999999998</v>
      </c>
      <c r="Q68" s="21">
        <f>VLOOKUP($A68,tabCustoUnit[],COLUMN(CUSTO_GLOBAL[[#Headers],[MODULO 1 - REMUNERAÇÃO ]])-2,0)*($G68-$H68)</f>
        <v>1648.5218</v>
      </c>
      <c r="R68" s="21">
        <f>VLOOKUP($A68,tabCustoUnit[],COLUMN(CUSTO_GLOBAL[[#Headers],[INSS]])-2,0)*($G68-$H68)</f>
        <v>329.70436000000001</v>
      </c>
      <c r="S68" s="21">
        <f>VLOOKUP($A68,tabCustoUnit[],COLUMN(CUSTO_GLOBAL[[#Headers],[SESI OU SESC]])-2,0)*($G68-$H68)</f>
        <v>24.727826999999998</v>
      </c>
      <c r="T68" s="21">
        <f>VLOOKUP($A68,tabCustoUnit[],COLUMN(CUSTO_GLOBAL[[#Headers],[SENAI OU SENAC]])-2,0)*($G68-$H68)</f>
        <v>16.485218</v>
      </c>
      <c r="U68" s="21">
        <f>VLOOKUP($A68,tabCustoUnit[],COLUMN(CUSTO_GLOBAL[[#Headers],[INCRA]])-2,0)*($G68-$H68)</f>
        <v>3.2970435999999999</v>
      </c>
      <c r="V68" s="21">
        <f>VLOOKUP($A68,tabCustoUnit[],COLUMN(CUSTO_GLOBAL[[#Headers],[Salário Educação]])-2,0)*($G68-$H68)</f>
        <v>41.213045000000001</v>
      </c>
      <c r="W68" s="21">
        <f>VLOOKUP($A68,tabCustoUnit[],COLUMN(CUSTO_GLOBAL[[#Headers],[FGTS]])-2,0)*($G68-$H68)</f>
        <v>131.881744</v>
      </c>
      <c r="X68" s="21">
        <f>VLOOKUP($A68,tabCustoUnit[],COLUMN(CUSTO_GLOBAL[[#Headers],[RAT Ajustado]])-2,0)*($G68-$H68)</f>
        <v>65.940871999999999</v>
      </c>
      <c r="Y68" s="21">
        <f>VLOOKUP($A68,tabCustoUnit[],COLUMN(CUSTO_GLOBAL[[#Headers],[SEBRAE]])-2,0)*($G68-$H68)</f>
        <v>9.8911308000000009</v>
      </c>
      <c r="Z68" s="21">
        <f>VLOOKUP($A68,tabCustoUnit[],COLUMN(CUSTO_GLOBAL[[#Headers],[Submódulo 2.1]])-2,0)*($G68-$H68)</f>
        <v>623.14124040000002</v>
      </c>
      <c r="AA68" s="21">
        <f>VLOOKUP($A68,tabCustoUnit[],COLUMN(CUSTO_GLOBAL[[#Headers],[13º salário (titular)]])-2,0)*($G68-$H68)</f>
        <v>137.37681666666666</v>
      </c>
      <c r="AB68" s="21">
        <f>VLOOKUP($A68,tabCustoUnit[],COLUMN(CUSTO_GLOBAL[[#Headers],[Férias e Adicional de Férias (titular)]])-2,0)*($G68-$H68)</f>
        <v>183.16908888888887</v>
      </c>
      <c r="AC68" s="21">
        <f>VLOOKUP($A68,tabCustoUnit[],COLUMN(CUSTO_GLOBAL[[#Headers],[Incidência do Submódulo 2.1 sobre 13º Salário, Férias e Adicional de Férias]])-2,0)*($G68-$H68)</f>
        <v>121.16635229999999</v>
      </c>
      <c r="AD68" s="21">
        <f>VLOOKUP($A68,tabCustoUnit[],COLUMN(CUSTO_GLOBAL[[#Headers],[Submódulo 2.2]])-2,0)*($G68-$H68)</f>
        <v>441.71225785555549</v>
      </c>
      <c r="AE68" s="22">
        <f>VLOOKUP($A68,tabCustoUnit[],COLUMN(CUSTO_GLOBAL[[#Headers],[Vale - Transporte (Descontada parcela do empregado)]])-2,0)*($G68-$H68)</f>
        <v>416.22320000000002</v>
      </c>
      <c r="AF68" s="22">
        <f>VLOOKUP($A68,tabCustoUnit[],COLUMN(CUSTO_GLOBAL[[#Headers],[Vale - Alimentação (Descontada parcela do empregado)]])-2,0)*($G68-$H68)</f>
        <v>1164</v>
      </c>
      <c r="AG68" s="22">
        <f>VLOOKUP($A68,tabCustoUnit[],COLUMN(CUSTO_GLOBAL[[#Headers],[Cesta Básica]])-2,0)*($G68-$H68)</f>
        <v>0</v>
      </c>
      <c r="AH68" s="22">
        <f>VLOOKUP($A68,tabCustoUnit[],COLUMN(CUSTO_GLOBAL[[#Headers],[PAF]])-2,0)*($G68-$H68)</f>
        <v>114.14</v>
      </c>
      <c r="AI68" s="22">
        <f>VLOOKUP($A68,tabCustoUnit[],COLUMN(CUSTO_GLOBAL[[#Headers],[PQM]])-2,0)*($G68-$H68)</f>
        <v>0</v>
      </c>
      <c r="AJ68" s="22">
        <v>0</v>
      </c>
      <c r="AK68" s="22">
        <f>VLOOKUP($A68,tabCustoUnit[],COLUMN(CUSTO_GLOBAL[[#Headers],[Seguro de Vida]])-2,0)*($G68-$H68)</f>
        <v>6.72</v>
      </c>
      <c r="AL68" s="22">
        <f>VLOOKUP($A68,tabCustoUnit[],COLUMN(CUSTO_GLOBAL[[#Headers],[Despesas de Viagem]])-2,0)*($G68-$H68)</f>
        <v>0</v>
      </c>
      <c r="AM68" s="22">
        <f>VLOOKUP($A68,tabCustoUnit[],COLUMN(CUSTO_GLOBAL[[#Headers],[Submódulo 2.3]])-2,0)*($G68-$H68)</f>
        <v>1701.0832</v>
      </c>
      <c r="AN68" s="22">
        <f>VLOOKUP($A68,tabCustoUnit[],COLUMN(CUSTO_GLOBAL[[#Headers],[MÓDULO 2 - Total Encargos e Benefícios mensais e diários]])-2,0)*($G68-$H68)</f>
        <v>2765.9366982555557</v>
      </c>
      <c r="AO68" s="22">
        <f>VLOOKUP($A68,tabCustoUnit[],COLUMN(CUSTO_GLOBAL[[#Headers],[Aviso Prévio Indenizado (API) e Reflexo do Aviso Prévio Indenizado]])-2,0)*($G68-$H68)</f>
        <v>11.559050715316358</v>
      </c>
      <c r="AP68" s="22">
        <f>VLOOKUP($A68,tabCustoUnit[],COLUMN(CUSTO_GLOBAL[[#Headers],[Incidência do FGTS sobre API e Reflexo do API]])-2,0)*($G68-$H68)</f>
        <v>0.9247240572253087</v>
      </c>
      <c r="AQ68" s="22">
        <f>VLOOKUP($A68,tabCustoUnit[],COLUMN(CUSTO_GLOBAL[[#Headers],[Multa Rescisória do FGTS sobre o Aviso Prévio Indenizado]])-2,0)*($G68-$H68)</f>
        <v>0.3698896228901235</v>
      </c>
      <c r="AR68" s="22">
        <f>VLOOKUP($A68,tabCustoUnit[],COLUMN(CUSTO_GLOBAL[[#Headers],[Aviso Prévio Trabalhado - APT]])-2,0)*($G68-$H68)</f>
        <v>5.769826300000001</v>
      </c>
      <c r="AS68" s="22">
        <f>VLOOKUP($A68,tabCustoUnit[],COLUMN(CUSTO_GLOBAL[[#Headers],[Incidência dos encargos do submódulo 2.1 sobre Aviso Prévio Trabalhado]])-2,0)*($G68-$H68)</f>
        <v>2.1809943414000008</v>
      </c>
      <c r="AT68" s="22">
        <f>VLOOKUP($A68,tabCustoUnit[],COLUMN(CUSTO_GLOBAL[[#Headers],[Multa Rescisória do FGTS]])-2,0)*($G68-$H68)</f>
        <v>50.408133262222215</v>
      </c>
      <c r="AU68" s="22">
        <f>VLOOKUP($A68,tabCustoUnit[],COLUMN(CUSTO_GLOBAL[[#Headers],[Indenização Adicional (Art. 9º da Lei nº 7.238/84)]])-2,0)*($G68-$H68)</f>
        <v>1.3737681666666668</v>
      </c>
      <c r="AV68" s="22">
        <f>VLOOKUP($A68,tabCustoUnit[],COLUMN(CUSTO_GLOBAL[[#Headers],[MÓDULO 3 – PROVISÃO PARA RESCISÃO]])-2,0)*($G68-$H68)</f>
        <v>72.586386465720679</v>
      </c>
      <c r="AW68" s="22">
        <f>VLOOKUP($A68,tabCustoUnit[],COLUMN(CUSTO_GLOBAL[[#Headers],[Ausência por Doença]])-2,0)*($G68-$H68)</f>
        <v>13.920850755555554</v>
      </c>
      <c r="AX68" s="22">
        <f>VLOOKUP($A68,tabCustoUnit[],COLUMN(CUSTO_GLOBAL[[#Headers],[Ausências Legais]])-2,0)*($G68-$H68)</f>
        <v>3.342835872222222</v>
      </c>
      <c r="AY68" s="22">
        <f>VLOOKUP($A68,tabCustoUnit[],COLUMN(CUSTO_GLOBAL[[#Headers],[Licença Paternidade]])-2,0)*($G68-$H68)</f>
        <v>0.28162247416666664</v>
      </c>
      <c r="AZ68" s="22">
        <f>VLOOKUP($A68,tabCustoUnit[],COLUMN(CUSTO_GLOBAL[[#Headers],[Ausência por Acidente de Trabalho]])-2,0)*($G68-$H68)</f>
        <v>0.3434420416666667</v>
      </c>
      <c r="BA68" s="22">
        <f>VLOOKUP($A68,tabCustoUnit[],COLUMN(CUSTO_GLOBAL[[#Headers],[Férias, Adicional de Férias e 13º  com empregada em gozo de Licença Maternidade]])-2,0)*($G68-$H68)</f>
        <v>2.1369727037037034</v>
      </c>
      <c r="BB68" s="22">
        <f>VLOOKUP($A68,tabCustoUnit[],COLUMN(CUSTO_GLOBAL[[#Headers],[Incidência do Submódulo 2.1 sobre Ausências Legais]])-2,0)*($G68-$H68)</f>
        <v>7.5697236142850013</v>
      </c>
      <c r="BC68" s="22">
        <f>VLOOKUP($A68,tabCustoUnit[],COLUMN(CUSTO_GLOBAL[[#Headers],[Submódulo 4.1]])-2,0)*($G68-$H68)</f>
        <v>27.595447461599818</v>
      </c>
      <c r="BD68" s="22">
        <f>VLOOKUP($A68,tabCustoUnit[],COLUMN(CUSTO_GLOBAL[[#Headers],[Intervalo para Repouso ou Alimentação]])-2,0)*($G68-$H68)</f>
        <v>0</v>
      </c>
      <c r="BE68" s="22">
        <f>VLOOKUP($A68,tabCustoUnit[],COLUMN(CUSTO_GLOBAL[[#Headers],[Submódulo 4.2]])-2,0)*($G68-$H68)</f>
        <v>0</v>
      </c>
      <c r="BF68" s="22">
        <f>VLOOKUP($A68,tabCustoUnit[],COLUMN(CUSTO_GLOBAL[[#Headers],[Suspensão Temporária do Contrato de Trabalho]])-2,0)*($G68-$H68)</f>
        <v>0</v>
      </c>
      <c r="BG68" s="22">
        <f>VLOOKUP($A68,tabCustoUnit[],COLUMN(CUSTO_GLOBAL[[#Headers],[Submódulo 4.3]])-2,0)*($G68-$H68)</f>
        <v>0</v>
      </c>
      <c r="BH68" s="22">
        <f>VLOOKUP($A68,tabCustoUnit[],COLUMN(CUSTO_GLOBAL[[#Headers],[MÓDULO 4 – CUSTO DE REPOSIÇÃO DO PROFISSIONAL AUSENTE]])-2,0)*($G68-$H68)</f>
        <v>27.595447461599818</v>
      </c>
      <c r="BI68" s="22">
        <f>VLOOKUP($A68,tabCustoUnit[],COLUMN(CUSTO_GLOBAL[[#Headers],[Uniformes e EPIs]])-2,0)*($G68-$H68)</f>
        <v>125.61333333333333</v>
      </c>
      <c r="BJ68" s="22">
        <f>VLOOKUP($A68,tabCustoUnit[],COLUMN(CUSTO_GLOBAL[[#Headers],[Materiais de Consumo]])-2,0)*($G68-$H68)</f>
        <v>35.518212958583888</v>
      </c>
      <c r="BK68" s="22">
        <f>VLOOKUP($A68,tabCustoUnit[],COLUMN(CUSTO_GLOBAL[[#Headers],[Máquinas e Equipamentos (depreciação)]])-2,0)*($G68-$H68)</f>
        <v>64.529393914825576</v>
      </c>
      <c r="BL68" s="22">
        <f>VLOOKUP($A68,tabCustoUnit[],COLUMN(CUSTO_GLOBAL[[#Headers],[Produtos de Limpeza e Materiais de Higiene Pessoal]])-2,0)*($G68-$H68)</f>
        <v>690.27153277931654</v>
      </c>
      <c r="BM68" s="22">
        <f>VLOOKUP($A68,tabCustoUnit[],COLUMN(CUSTO_GLOBAL[[#Headers],[Outros (especificar)]])-2,0)*($G68-$H68)</f>
        <v>0</v>
      </c>
      <c r="BN68" s="22">
        <f>VLOOKUP($A68,tabCustoUnit[],COLUMN(CUSTO_GLOBAL[[#Headers],[MÓDULO 5 – INSUMOS DIVERSOS]])-2,0)*($G68-$H68)</f>
        <v>915.93247298605934</v>
      </c>
      <c r="BO68" s="22">
        <f>VLOOKUP($A68,tabCustoUnit[],COLUMN(CUSTO_GLOBAL[[#Headers],[TOTAL MÓDULOS 1+2+3+4+5]])-2,0)*($G68-$H68)</f>
        <v>5430.5728051689348</v>
      </c>
      <c r="BP68" s="22">
        <f>VLOOKUP($A68,tabCustoUnit[],COLUMN(CUSTO_GLOBAL[[#Headers],[Custos Indiretos]])-2,0)*($G68-$H68)</f>
        <v>379.29760280485226</v>
      </c>
      <c r="BQ68" s="22">
        <f>VLOOKUP($A68,tabCustoUnit[],COLUMN(CUSTO_GLOBAL[[#Headers],[Lucro]])-2,0)*($G68-$H68)</f>
        <v>318.60998635607592</v>
      </c>
      <c r="BR68" s="26">
        <f>VLOOKUP($A68,tabCustoUnit[],COLUMN(CUSTO_GLOBAL[[#Headers],[COFINS]])-2,0)</f>
        <v>8.8629737609329504E-2</v>
      </c>
      <c r="BS68" s="26">
        <f>VLOOKUP($A68,tabCustoUnit[],COLUMN(CUSTO_GLOBAL[[#Headers],[PIS]])-2,0)</f>
        <v>1.9241982507288629E-2</v>
      </c>
      <c r="BT68" s="28">
        <f>VLOOKUP($A68,tabCustoUnit[],COLUMN(CUSTO_GLOBAL[[#Headers],[ISS]])-2,0)</f>
        <v>0.05</v>
      </c>
      <c r="BU68" s="26">
        <f>VLOOKUP($A68,tabCustoUnit[],COLUMN(CUSTO_GLOBAL[[#Headers],[ISS (Conversão Alíquota s/ fatura)]])-2,0)</f>
        <v>5.8309037900874633E-2</v>
      </c>
      <c r="BV68" s="26">
        <f>VLOOKUP($A68,tabCustoUnit[],COLUMN(CUSTO_GLOBAL[[#Headers],[Resumo de Alíquotas (PIS+CONFINS+ISS)]])-2,0)</f>
        <v>0.14250000000000002</v>
      </c>
      <c r="BW68" s="138">
        <f>VLOOKUP($A68,tabCustoUnit[],COLUMN(CUSTO_GLOBAL[[#Headers],[PIS + COFINS + ISS (Total Conversão  Alíquota s/ Fatura)]])-2,0)</f>
        <v>0.16618075801749277</v>
      </c>
      <c r="BX68" s="22">
        <f>VLOOKUP($A68,tabCustoUnit[],COLUMN(CUSTO_GLOBAL[[#Headers],[Valor dos Tributos (ISS, PIS, CONFINS)]])-2,0)*($G68-$H68)</f>
        <v>1018.4355174250796</v>
      </c>
      <c r="BY68" s="22">
        <f>VLOOKUP($A68,tabCustoUnit[],COLUMN(CUSTO_GLOBAL[[#Headers],[MÓDULO 6 – CUSTOS INDIRETOS, TRIBUTOS E LUCRO]])-2,0)*($G68-$H68)</f>
        <v>1716.3431065860077</v>
      </c>
      <c r="BZ68" s="22">
        <f>VLOOKUP($A68,tabCustoUnit[],COLUMN(CUSTO_GLOBAL[[#Headers],[CUSTO TOTAL MENSAL]])-2,0)*($G68-$H68)</f>
        <v>7146.9159117549425</v>
      </c>
      <c r="CA68" s="22">
        <f>CUSTO_GLOBAL[[#This Row],[CUSTO TOTAL MENSAL]]*12</f>
        <v>85762.99094105931</v>
      </c>
      <c r="CB68" s="24">
        <f>VLOOKUP($A68,tabCustoUnit[],COLUMN(CUSTO_GLOBAL[[#Headers],[ANO DA CCT]])-2,0)</f>
        <v>45658</v>
      </c>
      <c r="CC68" s="25" t="str">
        <f>VLOOKUP($A68,tabCustoUnit[],COLUMN(CUSTO_GLOBAL[[#Headers],[Nº DE PEDIDO DA CCT]])-2,0)</f>
        <v>-</v>
      </c>
      <c r="CD68" s="25" t="str">
        <f>VLOOKUP($A68,tabCustoUnit[],COLUMN(CUSTO_GLOBAL[[#Headers],[TERMO ADITIVO  ALTERAÇÃO DA CCT]])-2,0)</f>
        <v>-</v>
      </c>
      <c r="CF68" s="22"/>
      <c r="CG68" s="22"/>
    </row>
    <row r="69" spans="1:85" x14ac:dyDescent="0.25">
      <c r="A69" s="20" t="s">
        <v>1409</v>
      </c>
      <c r="B69" t="s">
        <v>67</v>
      </c>
      <c r="C69" t="s">
        <v>1244</v>
      </c>
      <c r="D69" t="s">
        <v>67</v>
      </c>
      <c r="E69" s="20" t="s">
        <v>9</v>
      </c>
      <c r="F69" s="20" t="s">
        <v>10</v>
      </c>
      <c r="G69" s="20">
        <v>1</v>
      </c>
      <c r="H69" s="20">
        <v>0</v>
      </c>
      <c r="I69" s="21">
        <f>VLOOKUP($A69,tabCustoUnit[],COLUMN(CUSTO_GLOBAL[[#Headers],[Salário Base]])-2,0)*($G69-$H69)</f>
        <v>798.14</v>
      </c>
      <c r="J69" s="21">
        <f>VLOOKUP($A69,tabCustoUnit[],COLUMN(CUSTO_GLOBAL[[#Headers],[Adicional Periculosidade]])-2,0)*($G69-$H69)</f>
        <v>0</v>
      </c>
      <c r="K69" s="21">
        <f>VLOOKUP($A69,tabCustoUnit[],COLUMN(CUSTO_GLOBAL[[#Headers],[Adicional Insalubridade]])-2,0)*($G69-$H69)</f>
        <v>0</v>
      </c>
      <c r="L69" s="21">
        <f>VLOOKUP($A69,tabCustoUnit[],COLUMN(CUSTO_GLOBAL[[#Headers],[Adicional Noturno]])-2,0)*($G69-$H69)</f>
        <v>0</v>
      </c>
      <c r="M69" s="21">
        <f>VLOOKUP($A69,tabCustoUnit[],COLUMN(CUSTO_GLOBAL[[#Headers],[Adicional Motorista II (Gratificação)]])-2,0)*($G69-$H69)</f>
        <v>0</v>
      </c>
      <c r="N69" s="21">
        <f>VLOOKUP($A69,tabCustoUnit[],COLUMN(CUSTO_GLOBAL[[#Headers],[Adicional de Sobreaviso]])-2,0)*($G69-$H69)</f>
        <v>0</v>
      </c>
      <c r="O69" s="21">
        <f>VLOOKUP($A69,tabCustoUnit[],COLUMN(CUSTO_GLOBAL[[#Headers],[Horas Extras TI]])-2,0)*($G69-$H69)</f>
        <v>0</v>
      </c>
      <c r="P69" s="21">
        <f>VLOOKUP($A69,tabCustoUnit[],COLUMN(CUSTO_GLOBAL[[#Headers],[Adicional de Acúmulo de função]])-2,0)*($G69-$H69)</f>
        <v>26.120899999999999</v>
      </c>
      <c r="Q69" s="21">
        <f>VLOOKUP($A69,tabCustoUnit[],COLUMN(CUSTO_GLOBAL[[#Headers],[MODULO 1 - REMUNERAÇÃO ]])-2,0)*($G69-$H69)</f>
        <v>824.26089999999999</v>
      </c>
      <c r="R69" s="21">
        <f>VLOOKUP($A69,tabCustoUnit[],COLUMN(CUSTO_GLOBAL[[#Headers],[INSS]])-2,0)*($G69-$H69)</f>
        <v>164.85218</v>
      </c>
      <c r="S69" s="21">
        <f>VLOOKUP($A69,tabCustoUnit[],COLUMN(CUSTO_GLOBAL[[#Headers],[SESI OU SESC]])-2,0)*($G69-$H69)</f>
        <v>12.363913499999999</v>
      </c>
      <c r="T69" s="21">
        <f>VLOOKUP($A69,tabCustoUnit[],COLUMN(CUSTO_GLOBAL[[#Headers],[SENAI OU SENAC]])-2,0)*($G69-$H69)</f>
        <v>8.2426089999999999</v>
      </c>
      <c r="U69" s="21">
        <f>VLOOKUP($A69,tabCustoUnit[],COLUMN(CUSTO_GLOBAL[[#Headers],[INCRA]])-2,0)*($G69-$H69)</f>
        <v>1.6485217999999999</v>
      </c>
      <c r="V69" s="21">
        <f>VLOOKUP($A69,tabCustoUnit[],COLUMN(CUSTO_GLOBAL[[#Headers],[Salário Educação]])-2,0)*($G69-$H69)</f>
        <v>20.606522500000001</v>
      </c>
      <c r="W69" s="21">
        <f>VLOOKUP($A69,tabCustoUnit[],COLUMN(CUSTO_GLOBAL[[#Headers],[FGTS]])-2,0)*($G69-$H69)</f>
        <v>65.940871999999999</v>
      </c>
      <c r="X69" s="21">
        <f>VLOOKUP($A69,tabCustoUnit[],COLUMN(CUSTO_GLOBAL[[#Headers],[RAT Ajustado]])-2,0)*($G69-$H69)</f>
        <v>32.970435999999999</v>
      </c>
      <c r="Y69" s="21">
        <f>VLOOKUP($A69,tabCustoUnit[],COLUMN(CUSTO_GLOBAL[[#Headers],[SEBRAE]])-2,0)*($G69-$H69)</f>
        <v>4.9455654000000004</v>
      </c>
      <c r="Z69" s="21">
        <f>VLOOKUP($A69,tabCustoUnit[],COLUMN(CUSTO_GLOBAL[[#Headers],[Submódulo 2.1]])-2,0)*($G69-$H69)</f>
        <v>311.57062020000001</v>
      </c>
      <c r="AA69" s="21">
        <f>VLOOKUP($A69,tabCustoUnit[],COLUMN(CUSTO_GLOBAL[[#Headers],[13º salário (titular)]])-2,0)*($G69-$H69)</f>
        <v>68.688408333333328</v>
      </c>
      <c r="AB69" s="21">
        <f>VLOOKUP($A69,tabCustoUnit[],COLUMN(CUSTO_GLOBAL[[#Headers],[Férias e Adicional de Férias (titular)]])-2,0)*($G69-$H69)</f>
        <v>91.584544444444433</v>
      </c>
      <c r="AC69" s="21">
        <f>VLOOKUP($A69,tabCustoUnit[],COLUMN(CUSTO_GLOBAL[[#Headers],[Incidência do Submódulo 2.1 sobre 13º Salário, Férias e Adicional de Férias]])-2,0)*($G69-$H69)</f>
        <v>60.583176149999993</v>
      </c>
      <c r="AD69" s="21">
        <f>VLOOKUP($A69,tabCustoUnit[],COLUMN(CUSTO_GLOBAL[[#Headers],[Submódulo 2.2]])-2,0)*($G69-$H69)</f>
        <v>220.85612892777775</v>
      </c>
      <c r="AE69" s="22">
        <f>VLOOKUP($A69,tabCustoUnit[],COLUMN(CUSTO_GLOBAL[[#Headers],[Vale - Transporte (Descontada parcela do empregado)]])-2,0)*($G69-$H69)</f>
        <v>208.11160000000001</v>
      </c>
      <c r="AF69" s="22">
        <f>VLOOKUP($A69,tabCustoUnit[],COLUMN(CUSTO_GLOBAL[[#Headers],[Vale - Alimentação (Descontada parcela do empregado)]])-2,0)*($G69-$H69)</f>
        <v>582</v>
      </c>
      <c r="AG69" s="22">
        <f>VLOOKUP($A69,tabCustoUnit[],COLUMN(CUSTO_GLOBAL[[#Headers],[Cesta Básica]])-2,0)*($G69-$H69)</f>
        <v>0</v>
      </c>
      <c r="AH69" s="22">
        <f>VLOOKUP($A69,tabCustoUnit[],COLUMN(CUSTO_GLOBAL[[#Headers],[PAF]])-2,0)*($G69-$H69)</f>
        <v>0</v>
      </c>
      <c r="AI69" s="22">
        <f>VLOOKUP($A69,tabCustoUnit[],COLUMN(CUSTO_GLOBAL[[#Headers],[PQM]])-2,0)*($G69-$H69)</f>
        <v>15.07</v>
      </c>
      <c r="AJ69" s="22">
        <v>0</v>
      </c>
      <c r="AK69" s="22">
        <f>VLOOKUP($A69,tabCustoUnit[],COLUMN(CUSTO_GLOBAL[[#Headers],[Seguro de Vida]])-2,0)*($G69-$H69)</f>
        <v>3.36</v>
      </c>
      <c r="AL69" s="22">
        <f>VLOOKUP($A69,tabCustoUnit[],COLUMN(CUSTO_GLOBAL[[#Headers],[Despesas de Viagem]])-2,0)*($G69-$H69)</f>
        <v>0</v>
      </c>
      <c r="AM69" s="22">
        <f>VLOOKUP($A69,tabCustoUnit[],COLUMN(CUSTO_GLOBAL[[#Headers],[Submódulo 2.3]])-2,0)*($G69-$H69)</f>
        <v>808.54160000000002</v>
      </c>
      <c r="AN69" s="22">
        <f>VLOOKUP($A69,tabCustoUnit[],COLUMN(CUSTO_GLOBAL[[#Headers],[MÓDULO 2 - Total Encargos e Benefícios mensais e diários]])-2,0)*($G69-$H69)</f>
        <v>1340.9683491277779</v>
      </c>
      <c r="AO69" s="22">
        <f>VLOOKUP($A69,tabCustoUnit[],COLUMN(CUSTO_GLOBAL[[#Headers],[Aviso Prévio Indenizado (API) e Reflexo do Aviso Prévio Indenizado]])-2,0)*($G69-$H69)</f>
        <v>5.7795253576581791</v>
      </c>
      <c r="AP69" s="22">
        <f>VLOOKUP($A69,tabCustoUnit[],COLUMN(CUSTO_GLOBAL[[#Headers],[Incidência do FGTS sobre API e Reflexo do API]])-2,0)*($G69-$H69)</f>
        <v>0.46236202861265435</v>
      </c>
      <c r="AQ69" s="22">
        <f>VLOOKUP($A69,tabCustoUnit[],COLUMN(CUSTO_GLOBAL[[#Headers],[Multa Rescisória do FGTS sobre o Aviso Prévio Indenizado]])-2,0)*($G69-$H69)</f>
        <v>0.18494481144506175</v>
      </c>
      <c r="AR69" s="22">
        <f>VLOOKUP($A69,tabCustoUnit[],COLUMN(CUSTO_GLOBAL[[#Headers],[Aviso Prévio Trabalhado - APT]])-2,0)*($G69-$H69)</f>
        <v>2.8849131500000005</v>
      </c>
      <c r="AS69" s="22">
        <f>VLOOKUP($A69,tabCustoUnit[],COLUMN(CUSTO_GLOBAL[[#Headers],[Incidência dos encargos do submódulo 2.1 sobre Aviso Prévio Trabalhado]])-2,0)*($G69-$H69)</f>
        <v>1.0904971707000004</v>
      </c>
      <c r="AT69" s="22">
        <f>VLOOKUP($A69,tabCustoUnit[],COLUMN(CUSTO_GLOBAL[[#Headers],[Multa Rescisória do FGTS]])-2,0)*($G69-$H69)</f>
        <v>25.204066631111107</v>
      </c>
      <c r="AU69" s="22">
        <f>VLOOKUP($A69,tabCustoUnit[],COLUMN(CUSTO_GLOBAL[[#Headers],[Indenização Adicional (Art. 9º da Lei nº 7.238/84)]])-2,0)*($G69-$H69)</f>
        <v>0.6868840833333334</v>
      </c>
      <c r="AV69" s="22">
        <f>VLOOKUP($A69,tabCustoUnit[],COLUMN(CUSTO_GLOBAL[[#Headers],[MÓDULO 3 – PROVISÃO PARA RESCISÃO]])-2,0)*($G69-$H69)</f>
        <v>36.293193232860339</v>
      </c>
      <c r="AW69" s="22">
        <f>VLOOKUP($A69,tabCustoUnit[],COLUMN(CUSTO_GLOBAL[[#Headers],[Ausência por Doença]])-2,0)*($G69-$H69)</f>
        <v>6.9604253777777769</v>
      </c>
      <c r="AX69" s="22">
        <f>VLOOKUP($A69,tabCustoUnit[],COLUMN(CUSTO_GLOBAL[[#Headers],[Ausências Legais]])-2,0)*($G69-$H69)</f>
        <v>1.671417936111111</v>
      </c>
      <c r="AY69" s="22">
        <f>VLOOKUP($A69,tabCustoUnit[],COLUMN(CUSTO_GLOBAL[[#Headers],[Licença Paternidade]])-2,0)*($G69-$H69)</f>
        <v>0.14081123708333332</v>
      </c>
      <c r="AZ69" s="22">
        <f>VLOOKUP($A69,tabCustoUnit[],COLUMN(CUSTO_GLOBAL[[#Headers],[Ausência por Acidente de Trabalho]])-2,0)*($G69-$H69)</f>
        <v>0.17172102083333335</v>
      </c>
      <c r="BA69" s="22">
        <f>VLOOKUP($A69,tabCustoUnit[],COLUMN(CUSTO_GLOBAL[[#Headers],[Férias, Adicional de Férias e 13º  com empregada em gozo de Licença Maternidade]])-2,0)*($G69-$H69)</f>
        <v>1.0684863518518517</v>
      </c>
      <c r="BB69" s="22">
        <f>VLOOKUP($A69,tabCustoUnit[],COLUMN(CUSTO_GLOBAL[[#Headers],[Incidência do Submódulo 2.1 sobre Ausências Legais]])-2,0)*($G69-$H69)</f>
        <v>3.7848618071425006</v>
      </c>
      <c r="BC69" s="22">
        <f>VLOOKUP($A69,tabCustoUnit[],COLUMN(CUSTO_GLOBAL[[#Headers],[Submódulo 4.1]])-2,0)*($G69-$H69)</f>
        <v>13.797723730799909</v>
      </c>
      <c r="BD69" s="22">
        <f>VLOOKUP($A69,tabCustoUnit[],COLUMN(CUSTO_GLOBAL[[#Headers],[Intervalo para Repouso ou Alimentação]])-2,0)*($G69-$H69)</f>
        <v>0</v>
      </c>
      <c r="BE69" s="22">
        <f>VLOOKUP($A69,tabCustoUnit[],COLUMN(CUSTO_GLOBAL[[#Headers],[Submódulo 4.2]])-2,0)*($G69-$H69)</f>
        <v>0</v>
      </c>
      <c r="BF69" s="22">
        <f>VLOOKUP($A69,tabCustoUnit[],COLUMN(CUSTO_GLOBAL[[#Headers],[Suspensão Temporária do Contrato de Trabalho]])-2,0)*($G69-$H69)</f>
        <v>0</v>
      </c>
      <c r="BG69" s="22">
        <f>VLOOKUP($A69,tabCustoUnit[],COLUMN(CUSTO_GLOBAL[[#Headers],[Submódulo 4.3]])-2,0)*($G69-$H69)</f>
        <v>0</v>
      </c>
      <c r="BH69" s="22">
        <f>VLOOKUP($A69,tabCustoUnit[],COLUMN(CUSTO_GLOBAL[[#Headers],[MÓDULO 4 – CUSTO DE REPOSIÇÃO DO PROFISSIONAL AUSENTE]])-2,0)*($G69-$H69)</f>
        <v>13.797723730799909</v>
      </c>
      <c r="BI69" s="22">
        <f>VLOOKUP($A69,tabCustoUnit[],COLUMN(CUSTO_GLOBAL[[#Headers],[Uniformes e EPIs]])-2,0)*($G69-$H69)</f>
        <v>62.806666666666665</v>
      </c>
      <c r="BJ69" s="22">
        <f>VLOOKUP($A69,tabCustoUnit[],COLUMN(CUSTO_GLOBAL[[#Headers],[Materiais de Consumo]])-2,0)*($G69-$H69)</f>
        <v>17.759106479291944</v>
      </c>
      <c r="BK69" s="22">
        <f>VLOOKUP($A69,tabCustoUnit[],COLUMN(CUSTO_GLOBAL[[#Headers],[Máquinas e Equipamentos (depreciação)]])-2,0)*($G69-$H69)</f>
        <v>32.264696957412788</v>
      </c>
      <c r="BL69" s="22">
        <f>VLOOKUP($A69,tabCustoUnit[],COLUMN(CUSTO_GLOBAL[[#Headers],[Produtos de Limpeza e Materiais de Higiene Pessoal]])-2,0)*($G69-$H69)</f>
        <v>345.13576638965827</v>
      </c>
      <c r="BM69" s="22">
        <f>VLOOKUP($A69,tabCustoUnit[],COLUMN(CUSTO_GLOBAL[[#Headers],[Outros (especificar)]])-2,0)*($G69-$H69)</f>
        <v>0</v>
      </c>
      <c r="BN69" s="22">
        <f>VLOOKUP($A69,tabCustoUnit[],COLUMN(CUSTO_GLOBAL[[#Headers],[MÓDULO 5 – INSUMOS DIVERSOS]])-2,0)*($G69-$H69)</f>
        <v>457.96623649302967</v>
      </c>
      <c r="BO69" s="22">
        <f>VLOOKUP($A69,tabCustoUnit[],COLUMN(CUSTO_GLOBAL[[#Headers],[TOTAL MÓDULOS 1+2+3+4+5]])-2,0)*($G69-$H69)</f>
        <v>2673.2864025844674</v>
      </c>
      <c r="BP69" s="22">
        <f>VLOOKUP($A69,tabCustoUnit[],COLUMN(CUSTO_GLOBAL[[#Headers],[Custos Indiretos]])-2,0)*($G69-$H69)</f>
        <v>189.64880140242613</v>
      </c>
      <c r="BQ69" s="22">
        <f>VLOOKUP($A69,tabCustoUnit[],COLUMN(CUSTO_GLOBAL[[#Headers],[Lucro]])-2,0)*($G69-$H69)</f>
        <v>159.30499317803796</v>
      </c>
      <c r="BR69" s="26">
        <f>VLOOKUP($A69,tabCustoUnit[],COLUMN(CUSTO_GLOBAL[[#Headers],[COFINS]])-2,0)</f>
        <v>8.6609686609686695E-2</v>
      </c>
      <c r="BS69" s="26">
        <f>VLOOKUP($A69,tabCustoUnit[],COLUMN(CUSTO_GLOBAL[[#Headers],[PIS]])-2,0)</f>
        <v>1.880341880341882E-2</v>
      </c>
      <c r="BT69" s="28">
        <f>VLOOKUP($A69,tabCustoUnit[],COLUMN(CUSTO_GLOBAL[[#Headers],[ISS]])-2,0)</f>
        <v>0.03</v>
      </c>
      <c r="BU69" s="26">
        <f>VLOOKUP($A69,tabCustoUnit[],COLUMN(CUSTO_GLOBAL[[#Headers],[ISS (Conversão Alíquota s/ fatura)]])-2,0)</f>
        <v>3.4188034188034219E-2</v>
      </c>
      <c r="BV69" s="26">
        <f>VLOOKUP($A69,tabCustoUnit[],COLUMN(CUSTO_GLOBAL[[#Headers],[Resumo de Alíquotas (PIS+CONFINS+ISS)]])-2,0)</f>
        <v>0.1225</v>
      </c>
      <c r="BW69" s="138">
        <f>VLOOKUP($A69,tabCustoUnit[],COLUMN(CUSTO_GLOBAL[[#Headers],[PIS + COFINS + ISS (Total Conversão  Alíquota s/ Fatura)]])-2,0)</f>
        <v>0.13960113960113973</v>
      </c>
      <c r="BX69" s="22">
        <f>VLOOKUP($A69,tabCustoUnit[],COLUMN(CUSTO_GLOBAL[[#Headers],[Valor dos Tributos (ISS, PIS, CONFINS)]])-2,0)*($G69-$H69)</f>
        <v>421.90817567259768</v>
      </c>
      <c r="BY69" s="22">
        <f>VLOOKUP($A69,tabCustoUnit[],COLUMN(CUSTO_GLOBAL[[#Headers],[MÓDULO 6 – CUSTOS INDIRETOS, TRIBUTOS E LUCRO]])-2,0)*($G69-$H69)</f>
        <v>770.86197025306183</v>
      </c>
      <c r="BZ69" s="22">
        <f>VLOOKUP($A69,tabCustoUnit[],COLUMN(CUSTO_GLOBAL[[#Headers],[CUSTO TOTAL MENSAL]])-2,0)*($G69-$H69)</f>
        <v>3444.1483728375292</v>
      </c>
      <c r="CA69" s="22">
        <f>CUSTO_GLOBAL[[#This Row],[CUSTO TOTAL MENSAL]]*12</f>
        <v>41329.780474050349</v>
      </c>
      <c r="CB69" s="24">
        <f>VLOOKUP($A69,tabCustoUnit[],COLUMN(CUSTO_GLOBAL[[#Headers],[ANO DA CCT]])-2,0)</f>
        <v>45658</v>
      </c>
      <c r="CC69" s="25" t="str">
        <f>VLOOKUP($A69,tabCustoUnit[],COLUMN(CUSTO_GLOBAL[[#Headers],[Nº DE PEDIDO DA CCT]])-2,0)</f>
        <v>-</v>
      </c>
      <c r="CD69" s="25" t="str">
        <f>VLOOKUP($A69,tabCustoUnit[],COLUMN(CUSTO_GLOBAL[[#Headers],[TERMO ADITIVO  ALTERAÇÃO DA CCT]])-2,0)</f>
        <v>-</v>
      </c>
      <c r="CF69" s="22"/>
      <c r="CG69" s="22"/>
    </row>
    <row r="70" spans="1:85" x14ac:dyDescent="0.25">
      <c r="A70" s="20" t="s">
        <v>1410</v>
      </c>
      <c r="B70" t="s">
        <v>68</v>
      </c>
      <c r="C70" t="s">
        <v>1247</v>
      </c>
      <c r="D70" t="s">
        <v>1000</v>
      </c>
      <c r="E70" s="20" t="s">
        <v>9</v>
      </c>
      <c r="F70" s="20" t="s">
        <v>10</v>
      </c>
      <c r="G70" s="20">
        <v>1</v>
      </c>
      <c r="H70" s="20">
        <v>0</v>
      </c>
      <c r="I70" s="21">
        <f>VLOOKUP($A70,tabCustoUnit[],COLUMN(CUSTO_GLOBAL[[#Headers],[Salário Base]])-2,0)*($G70-$H70)</f>
        <v>544.17999999999995</v>
      </c>
      <c r="J70" s="21">
        <f>VLOOKUP($A70,tabCustoUnit[],COLUMN(CUSTO_GLOBAL[[#Headers],[Adicional Periculosidade]])-2,0)*($G70-$H70)</f>
        <v>0</v>
      </c>
      <c r="K70" s="21">
        <f>VLOOKUP($A70,tabCustoUnit[],COLUMN(CUSTO_GLOBAL[[#Headers],[Adicional Insalubridade]])-2,0)*($G70-$H70)</f>
        <v>0</v>
      </c>
      <c r="L70" s="21">
        <f>VLOOKUP($A70,tabCustoUnit[],COLUMN(CUSTO_GLOBAL[[#Headers],[Adicional Noturno]])-2,0)*($G70-$H70)</f>
        <v>0</v>
      </c>
      <c r="M70" s="21">
        <f>VLOOKUP($A70,tabCustoUnit[],COLUMN(CUSTO_GLOBAL[[#Headers],[Adicional Motorista II (Gratificação)]])-2,0)*($G70-$H70)</f>
        <v>0</v>
      </c>
      <c r="N70" s="21">
        <f>VLOOKUP($A70,tabCustoUnit[],COLUMN(CUSTO_GLOBAL[[#Headers],[Adicional de Sobreaviso]])-2,0)*($G70-$H70)</f>
        <v>0</v>
      </c>
      <c r="O70" s="21">
        <f>VLOOKUP($A70,tabCustoUnit[],COLUMN(CUSTO_GLOBAL[[#Headers],[Horas Extras TI]])-2,0)*($G70-$H70)</f>
        <v>0</v>
      </c>
      <c r="P70" s="21">
        <f>VLOOKUP($A70,tabCustoUnit[],COLUMN(CUSTO_GLOBAL[[#Headers],[Adicional de Acúmulo de função]])-2,0)*($G70-$H70)</f>
        <v>19.590499999999999</v>
      </c>
      <c r="Q70" s="21">
        <f>VLOOKUP($A70,tabCustoUnit[],COLUMN(CUSTO_GLOBAL[[#Headers],[MODULO 1 - REMUNERAÇÃO ]])-2,0)*($G70-$H70)</f>
        <v>563.77049999999997</v>
      </c>
      <c r="R70" s="21">
        <f>VLOOKUP($A70,tabCustoUnit[],COLUMN(CUSTO_GLOBAL[[#Headers],[INSS]])-2,0)*($G70-$H70)</f>
        <v>112.75409999999999</v>
      </c>
      <c r="S70" s="21">
        <f>VLOOKUP($A70,tabCustoUnit[],COLUMN(CUSTO_GLOBAL[[#Headers],[SESI OU SESC]])-2,0)*($G70-$H70)</f>
        <v>8.4565574999999988</v>
      </c>
      <c r="T70" s="21">
        <f>VLOOKUP($A70,tabCustoUnit[],COLUMN(CUSTO_GLOBAL[[#Headers],[SENAI OU SENAC]])-2,0)*($G70-$H70)</f>
        <v>5.6377049999999995</v>
      </c>
      <c r="U70" s="21">
        <f>VLOOKUP($A70,tabCustoUnit[],COLUMN(CUSTO_GLOBAL[[#Headers],[INCRA]])-2,0)*($G70-$H70)</f>
        <v>1.1275409999999999</v>
      </c>
      <c r="V70" s="21">
        <f>VLOOKUP($A70,tabCustoUnit[],COLUMN(CUSTO_GLOBAL[[#Headers],[Salário Educação]])-2,0)*($G70-$H70)</f>
        <v>14.094262499999999</v>
      </c>
      <c r="W70" s="21">
        <f>VLOOKUP($A70,tabCustoUnit[],COLUMN(CUSTO_GLOBAL[[#Headers],[FGTS]])-2,0)*($G70-$H70)</f>
        <v>45.101639999999996</v>
      </c>
      <c r="X70" s="21">
        <f>VLOOKUP($A70,tabCustoUnit[],COLUMN(CUSTO_GLOBAL[[#Headers],[RAT Ajustado]])-2,0)*($G70-$H70)</f>
        <v>22.550819999999998</v>
      </c>
      <c r="Y70" s="21">
        <f>VLOOKUP($A70,tabCustoUnit[],COLUMN(CUSTO_GLOBAL[[#Headers],[SEBRAE]])-2,0)*($G70-$H70)</f>
        <v>3.3826229999999997</v>
      </c>
      <c r="Z70" s="21">
        <f>VLOOKUP($A70,tabCustoUnit[],COLUMN(CUSTO_GLOBAL[[#Headers],[Submódulo 2.1]])-2,0)*($G70-$H70)</f>
        <v>213.10524899999996</v>
      </c>
      <c r="AA70" s="21">
        <f>VLOOKUP($A70,tabCustoUnit[],COLUMN(CUSTO_GLOBAL[[#Headers],[13º salário (titular)]])-2,0)*($G70-$H70)</f>
        <v>46.980874999999997</v>
      </c>
      <c r="AB70" s="21">
        <f>VLOOKUP($A70,tabCustoUnit[],COLUMN(CUSTO_GLOBAL[[#Headers],[Férias e Adicional de Férias (titular)]])-2,0)*($G70-$H70)</f>
        <v>62.641166666666663</v>
      </c>
      <c r="AC70" s="21">
        <f>VLOOKUP($A70,tabCustoUnit[],COLUMN(CUSTO_GLOBAL[[#Headers],[Incidência do Submódulo 2.1 sobre 13º Salário, Férias e Adicional de Férias]])-2,0)*($G70-$H70)</f>
        <v>41.437131749999992</v>
      </c>
      <c r="AD70" s="21">
        <f>VLOOKUP($A70,tabCustoUnit[],COLUMN(CUSTO_GLOBAL[[#Headers],[Submódulo 2.2]])-2,0)*($G70-$H70)</f>
        <v>151.05917341666665</v>
      </c>
      <c r="AE70" s="22">
        <f>VLOOKUP($A70,tabCustoUnit[],COLUMN(CUSTO_GLOBAL[[#Headers],[Vale - Transporte (Descontada parcela do empregado)]])-2,0)*($G70-$H70)</f>
        <v>223.3492</v>
      </c>
      <c r="AF70" s="22">
        <f>VLOOKUP($A70,tabCustoUnit[],COLUMN(CUSTO_GLOBAL[[#Headers],[Vale - Alimentação (Descontada parcela do empregado)]])-2,0)*($G70-$H70)</f>
        <v>582</v>
      </c>
      <c r="AG70" s="22">
        <f>VLOOKUP($A70,tabCustoUnit[],COLUMN(CUSTO_GLOBAL[[#Headers],[Cesta Básica]])-2,0)*($G70-$H70)</f>
        <v>0</v>
      </c>
      <c r="AH70" s="22">
        <f>VLOOKUP($A70,tabCustoUnit[],COLUMN(CUSTO_GLOBAL[[#Headers],[PAF]])-2,0)*($G70-$H70)</f>
        <v>0</v>
      </c>
      <c r="AI70" s="22">
        <f>VLOOKUP($A70,tabCustoUnit[],COLUMN(CUSTO_GLOBAL[[#Headers],[PQM]])-2,0)*($G70-$H70)</f>
        <v>15.07</v>
      </c>
      <c r="AJ70" s="22">
        <v>0</v>
      </c>
      <c r="AK70" s="22">
        <f>VLOOKUP($A70,tabCustoUnit[],COLUMN(CUSTO_GLOBAL[[#Headers],[Seguro de Vida]])-2,0)*($G70-$H70)</f>
        <v>3.36</v>
      </c>
      <c r="AL70" s="22">
        <f>VLOOKUP($A70,tabCustoUnit[],COLUMN(CUSTO_GLOBAL[[#Headers],[Despesas de Viagem]])-2,0)*($G70-$H70)</f>
        <v>0</v>
      </c>
      <c r="AM70" s="22">
        <f>VLOOKUP($A70,tabCustoUnit[],COLUMN(CUSTO_GLOBAL[[#Headers],[Submódulo 2.3]])-2,0)*($G70-$H70)</f>
        <v>823.77920000000006</v>
      </c>
      <c r="AN70" s="22">
        <f>VLOOKUP($A70,tabCustoUnit[],COLUMN(CUSTO_GLOBAL[[#Headers],[MÓDULO 2 - Total Encargos e Benefícios mensais e diários]])-2,0)*($G70-$H70)</f>
        <v>1187.9436224166666</v>
      </c>
      <c r="AO70" s="22">
        <f>VLOOKUP($A70,tabCustoUnit[],COLUMN(CUSTO_GLOBAL[[#Headers],[Aviso Prévio Indenizado (API) e Reflexo do Aviso Prévio Indenizado]])-2,0)*($G70-$H70)</f>
        <v>3.9530273735532404</v>
      </c>
      <c r="AP70" s="22">
        <f>VLOOKUP($A70,tabCustoUnit[],COLUMN(CUSTO_GLOBAL[[#Headers],[Incidência do FGTS sobre API e Reflexo do API]])-2,0)*($G70-$H70)</f>
        <v>0.31624218988425928</v>
      </c>
      <c r="AQ70" s="22">
        <f>VLOOKUP($A70,tabCustoUnit[],COLUMN(CUSTO_GLOBAL[[#Headers],[Multa Rescisória do FGTS sobre o Aviso Prévio Indenizado]])-2,0)*($G70-$H70)</f>
        <v>0.12649687595370371</v>
      </c>
      <c r="AR70" s="22">
        <f>VLOOKUP($A70,tabCustoUnit[],COLUMN(CUSTO_GLOBAL[[#Headers],[Aviso Prévio Trabalhado - APT]])-2,0)*($G70-$H70)</f>
        <v>1.9731967500000003</v>
      </c>
      <c r="AS70" s="22">
        <f>VLOOKUP($A70,tabCustoUnit[],COLUMN(CUSTO_GLOBAL[[#Headers],[Incidência dos encargos do submódulo 2.1 sobre Aviso Prévio Trabalhado]])-2,0)*($G70-$H70)</f>
        <v>0.74586837150000018</v>
      </c>
      <c r="AT70" s="22">
        <f>VLOOKUP($A70,tabCustoUnit[],COLUMN(CUSTO_GLOBAL[[#Headers],[Multa Rescisória do FGTS]])-2,0)*($G70-$H70)</f>
        <v>17.238849066666663</v>
      </c>
      <c r="AU70" s="22">
        <f>VLOOKUP($A70,tabCustoUnit[],COLUMN(CUSTO_GLOBAL[[#Headers],[Indenização Adicional (Art. 9º da Lei nº 7.238/84)]])-2,0)*($G70-$H70)</f>
        <v>0.46980875</v>
      </c>
      <c r="AV70" s="22">
        <f>VLOOKUP($A70,tabCustoUnit[],COLUMN(CUSTO_GLOBAL[[#Headers],[MÓDULO 3 – PROVISÃO PARA RESCISÃO]])-2,0)*($G70-$H70)</f>
        <v>24.823489377557866</v>
      </c>
      <c r="AW70" s="22">
        <f>VLOOKUP($A70,tabCustoUnit[],COLUMN(CUSTO_GLOBAL[[#Headers],[Ausência por Doença]])-2,0)*($G70-$H70)</f>
        <v>4.7607286666666662</v>
      </c>
      <c r="AX70" s="22">
        <f>VLOOKUP($A70,tabCustoUnit[],COLUMN(CUSTO_GLOBAL[[#Headers],[Ausências Legais]])-2,0)*($G70-$H70)</f>
        <v>1.1432012916666665</v>
      </c>
      <c r="AY70" s="22">
        <f>VLOOKUP($A70,tabCustoUnit[],COLUMN(CUSTO_GLOBAL[[#Headers],[Licença Paternidade]])-2,0)*($G70-$H70)</f>
        <v>9.6310793749999998E-2</v>
      </c>
      <c r="AZ70" s="22">
        <f>VLOOKUP($A70,tabCustoUnit[],COLUMN(CUSTO_GLOBAL[[#Headers],[Ausência por Acidente de Trabalho]])-2,0)*($G70-$H70)</f>
        <v>0.1174521875</v>
      </c>
      <c r="BA70" s="22">
        <f>VLOOKUP($A70,tabCustoUnit[],COLUMN(CUSTO_GLOBAL[[#Headers],[Férias, Adicional de Férias e 13º  com empregada em gozo de Licença Maternidade]])-2,0)*($G70-$H70)</f>
        <v>0.73081361111111109</v>
      </c>
      <c r="BB70" s="22">
        <f>VLOOKUP($A70,tabCustoUnit[],COLUMN(CUSTO_GLOBAL[[#Headers],[Incidência do Submódulo 2.1 sobre Ausências Legais]])-2,0)*($G70-$H70)</f>
        <v>2.5887354761625003</v>
      </c>
      <c r="BC70" s="22">
        <f>VLOOKUP($A70,tabCustoUnit[],COLUMN(CUSTO_GLOBAL[[#Headers],[Submódulo 4.1]])-2,0)*($G70-$H70)</f>
        <v>9.4372420268569428</v>
      </c>
      <c r="BD70" s="22">
        <f>VLOOKUP($A70,tabCustoUnit[],COLUMN(CUSTO_GLOBAL[[#Headers],[Intervalo para Repouso ou Alimentação]])-2,0)*($G70-$H70)</f>
        <v>0</v>
      </c>
      <c r="BE70" s="22">
        <f>VLOOKUP($A70,tabCustoUnit[],COLUMN(CUSTO_GLOBAL[[#Headers],[Submódulo 4.2]])-2,0)*($G70-$H70)</f>
        <v>0</v>
      </c>
      <c r="BF70" s="22">
        <f>VLOOKUP($A70,tabCustoUnit[],COLUMN(CUSTO_GLOBAL[[#Headers],[Suspensão Temporária do Contrato de Trabalho]])-2,0)*($G70-$H70)</f>
        <v>0</v>
      </c>
      <c r="BG70" s="22">
        <f>VLOOKUP($A70,tabCustoUnit[],COLUMN(CUSTO_GLOBAL[[#Headers],[Submódulo 4.3]])-2,0)*($G70-$H70)</f>
        <v>0</v>
      </c>
      <c r="BH70" s="22">
        <f>VLOOKUP($A70,tabCustoUnit[],COLUMN(CUSTO_GLOBAL[[#Headers],[MÓDULO 4 – CUSTO DE REPOSIÇÃO DO PROFISSIONAL AUSENTE]])-2,0)*($G70-$H70)</f>
        <v>9.4372420268569428</v>
      </c>
      <c r="BI70" s="22">
        <f>VLOOKUP($A70,tabCustoUnit[],COLUMN(CUSTO_GLOBAL[[#Headers],[Uniformes e EPIs]])-2,0)*($G70-$H70)</f>
        <v>62.806666666666665</v>
      </c>
      <c r="BJ70" s="22">
        <f>VLOOKUP($A70,tabCustoUnit[],COLUMN(CUSTO_GLOBAL[[#Headers],[Materiais de Consumo]])-2,0)*($G70-$H70)</f>
        <v>12.108481690426325</v>
      </c>
      <c r="BK70" s="22">
        <f>VLOOKUP($A70,tabCustoUnit[],COLUMN(CUSTO_GLOBAL[[#Headers],[Máquinas e Equipamentos (depreciação)]])-2,0)*($G70-$H70)</f>
        <v>21.998657016417809</v>
      </c>
      <c r="BL70" s="22">
        <f>VLOOKUP($A70,tabCustoUnit[],COLUMN(CUSTO_GLOBAL[[#Headers],[Produtos de Limpeza e Materiais de Higiene Pessoal]])-2,0)*($G70-$H70)</f>
        <v>235.31984072022155</v>
      </c>
      <c r="BM70" s="22">
        <f>VLOOKUP($A70,tabCustoUnit[],COLUMN(CUSTO_GLOBAL[[#Headers],[Outros (especificar)]])-2,0)*($G70-$H70)</f>
        <v>0</v>
      </c>
      <c r="BN70" s="22">
        <f>VLOOKUP($A70,tabCustoUnit[],COLUMN(CUSTO_GLOBAL[[#Headers],[MÓDULO 5 – INSUMOS DIVERSOS]])-2,0)*($G70-$H70)</f>
        <v>332.23364609373232</v>
      </c>
      <c r="BO70" s="22">
        <f>VLOOKUP($A70,tabCustoUnit[],COLUMN(CUSTO_GLOBAL[[#Headers],[TOTAL MÓDULOS 1+2+3+4+5]])-2,0)*($G70-$H70)</f>
        <v>2118.2084999148137</v>
      </c>
      <c r="BP70" s="22">
        <f>VLOOKUP($A70,tabCustoUnit[],COLUMN(CUSTO_GLOBAL[[#Headers],[Custos Indiretos]])-2,0)*($G70-$H70)</f>
        <v>189.64880140242613</v>
      </c>
      <c r="BQ70" s="22">
        <f>VLOOKUP($A70,tabCustoUnit[],COLUMN(CUSTO_GLOBAL[[#Headers],[Lucro]])-2,0)*($G70-$H70)</f>
        <v>159.30499317803796</v>
      </c>
      <c r="BR70" s="26">
        <f>VLOOKUP($A70,tabCustoUnit[],COLUMN(CUSTO_GLOBAL[[#Headers],[COFINS]])-2,0)</f>
        <v>8.6609686609686695E-2</v>
      </c>
      <c r="BS70" s="26">
        <f>VLOOKUP($A70,tabCustoUnit[],COLUMN(CUSTO_GLOBAL[[#Headers],[PIS]])-2,0)</f>
        <v>1.880341880341882E-2</v>
      </c>
      <c r="BT70" s="28">
        <f>VLOOKUP($A70,tabCustoUnit[],COLUMN(CUSTO_GLOBAL[[#Headers],[ISS]])-2,0)</f>
        <v>0.03</v>
      </c>
      <c r="BU70" s="26">
        <f>VLOOKUP($A70,tabCustoUnit[],COLUMN(CUSTO_GLOBAL[[#Headers],[ISS (Conversão Alíquota s/ fatura)]])-2,0)</f>
        <v>3.4188034188034219E-2</v>
      </c>
      <c r="BV70" s="26">
        <f>VLOOKUP($A70,tabCustoUnit[],COLUMN(CUSTO_GLOBAL[[#Headers],[Resumo de Alíquotas (PIS+CONFINS+ISS)]])-2,0)</f>
        <v>0.1225</v>
      </c>
      <c r="BW70" s="138">
        <f>VLOOKUP($A70,tabCustoUnit[],COLUMN(CUSTO_GLOBAL[[#Headers],[PIS + COFINS + ISS (Total Conversão  Alíquota s/ Fatura)]])-2,0)</f>
        <v>0.13960113960113973</v>
      </c>
      <c r="BX70" s="22">
        <f>VLOOKUP($A70,tabCustoUnit[],COLUMN(CUSTO_GLOBAL[[#Headers],[Valor dos Tributos (ISS, PIS, CONFINS)]])-2,0)*($G70-$H70)</f>
        <v>344.41866789250349</v>
      </c>
      <c r="BY70" s="22">
        <f>VLOOKUP($A70,tabCustoUnit[],COLUMN(CUSTO_GLOBAL[[#Headers],[MÓDULO 6 – CUSTOS INDIRETOS, TRIBUTOS E LUCRO]])-2,0)*($G70-$H70)</f>
        <v>693.37246247296753</v>
      </c>
      <c r="BZ70" s="22">
        <f>VLOOKUP($A70,tabCustoUnit[],COLUMN(CUSTO_GLOBAL[[#Headers],[CUSTO TOTAL MENSAL]])-2,0)*($G70-$H70)</f>
        <v>2811.5809623877813</v>
      </c>
      <c r="CA70" s="22">
        <f>CUSTO_GLOBAL[[#This Row],[CUSTO TOTAL MENSAL]]*12</f>
        <v>33738.971548653375</v>
      </c>
      <c r="CB70" s="24">
        <f>VLOOKUP($A70,tabCustoUnit[],COLUMN(CUSTO_GLOBAL[[#Headers],[ANO DA CCT]])-2,0)</f>
        <v>45658</v>
      </c>
      <c r="CC70" s="25" t="str">
        <f>VLOOKUP($A70,tabCustoUnit[],COLUMN(CUSTO_GLOBAL[[#Headers],[Nº DE PEDIDO DA CCT]])-2,0)</f>
        <v>-</v>
      </c>
      <c r="CD70" s="25" t="str">
        <f>VLOOKUP($A70,tabCustoUnit[],COLUMN(CUSTO_GLOBAL[[#Headers],[TERMO ADITIVO  ALTERAÇÃO DA CCT]])-2,0)</f>
        <v>-</v>
      </c>
      <c r="CF70" s="22"/>
      <c r="CG70" s="22"/>
    </row>
    <row r="71" spans="1:85" x14ac:dyDescent="0.25">
      <c r="A71" s="20" t="s">
        <v>1411</v>
      </c>
      <c r="B71" t="s">
        <v>69</v>
      </c>
      <c r="C71" t="s">
        <v>1247</v>
      </c>
      <c r="D71" t="s">
        <v>1028</v>
      </c>
      <c r="E71" s="20" t="s">
        <v>9</v>
      </c>
      <c r="F71" s="20" t="s">
        <v>10</v>
      </c>
      <c r="G71" s="20">
        <v>1</v>
      </c>
      <c r="H71" s="20">
        <v>0</v>
      </c>
      <c r="I71" s="21">
        <f>VLOOKUP($A71,tabCustoUnit[],COLUMN(CUSTO_GLOBAL[[#Headers],[Salário Base]])-2,0)*($G71-$H71)</f>
        <v>544.17999999999995</v>
      </c>
      <c r="J71" s="21">
        <f>VLOOKUP($A71,tabCustoUnit[],COLUMN(CUSTO_GLOBAL[[#Headers],[Adicional Periculosidade]])-2,0)*($G71-$H71)</f>
        <v>0</v>
      </c>
      <c r="K71" s="21">
        <f>VLOOKUP($A71,tabCustoUnit[],COLUMN(CUSTO_GLOBAL[[#Headers],[Adicional Insalubridade]])-2,0)*($G71-$H71)</f>
        <v>0</v>
      </c>
      <c r="L71" s="21">
        <f>VLOOKUP($A71,tabCustoUnit[],COLUMN(CUSTO_GLOBAL[[#Headers],[Adicional Noturno]])-2,0)*($G71-$H71)</f>
        <v>0</v>
      </c>
      <c r="M71" s="21">
        <f>VLOOKUP($A71,tabCustoUnit[],COLUMN(CUSTO_GLOBAL[[#Headers],[Adicional Motorista II (Gratificação)]])-2,0)*($G71-$H71)</f>
        <v>0</v>
      </c>
      <c r="N71" s="21">
        <f>VLOOKUP($A71,tabCustoUnit[],COLUMN(CUSTO_GLOBAL[[#Headers],[Adicional de Sobreaviso]])-2,0)*($G71-$H71)</f>
        <v>0</v>
      </c>
      <c r="O71" s="21">
        <f>VLOOKUP($A71,tabCustoUnit[],COLUMN(CUSTO_GLOBAL[[#Headers],[Horas Extras TI]])-2,0)*($G71-$H71)</f>
        <v>0</v>
      </c>
      <c r="P71" s="21">
        <f>VLOOKUP($A71,tabCustoUnit[],COLUMN(CUSTO_GLOBAL[[#Headers],[Adicional de Acúmulo de função]])-2,0)*($G71-$H71)</f>
        <v>19.590499999999999</v>
      </c>
      <c r="Q71" s="21">
        <f>VLOOKUP($A71,tabCustoUnit[],COLUMN(CUSTO_GLOBAL[[#Headers],[MODULO 1 - REMUNERAÇÃO ]])-2,0)*($G71-$H71)</f>
        <v>563.77049999999997</v>
      </c>
      <c r="R71" s="21">
        <f>VLOOKUP($A71,tabCustoUnit[],COLUMN(CUSTO_GLOBAL[[#Headers],[INSS]])-2,0)*($G71-$H71)</f>
        <v>112.75409999999999</v>
      </c>
      <c r="S71" s="21">
        <f>VLOOKUP($A71,tabCustoUnit[],COLUMN(CUSTO_GLOBAL[[#Headers],[SESI OU SESC]])-2,0)*($G71-$H71)</f>
        <v>8.4565574999999988</v>
      </c>
      <c r="T71" s="21">
        <f>VLOOKUP($A71,tabCustoUnit[],COLUMN(CUSTO_GLOBAL[[#Headers],[SENAI OU SENAC]])-2,0)*($G71-$H71)</f>
        <v>5.6377049999999995</v>
      </c>
      <c r="U71" s="21">
        <f>VLOOKUP($A71,tabCustoUnit[],COLUMN(CUSTO_GLOBAL[[#Headers],[INCRA]])-2,0)*($G71-$H71)</f>
        <v>1.1275409999999999</v>
      </c>
      <c r="V71" s="21">
        <f>VLOOKUP($A71,tabCustoUnit[],COLUMN(CUSTO_GLOBAL[[#Headers],[Salário Educação]])-2,0)*($G71-$H71)</f>
        <v>14.094262499999999</v>
      </c>
      <c r="W71" s="21">
        <f>VLOOKUP($A71,tabCustoUnit[],COLUMN(CUSTO_GLOBAL[[#Headers],[FGTS]])-2,0)*($G71-$H71)</f>
        <v>45.101639999999996</v>
      </c>
      <c r="X71" s="21">
        <f>VLOOKUP($A71,tabCustoUnit[],COLUMN(CUSTO_GLOBAL[[#Headers],[RAT Ajustado]])-2,0)*($G71-$H71)</f>
        <v>22.550819999999998</v>
      </c>
      <c r="Y71" s="21">
        <f>VLOOKUP($A71,tabCustoUnit[],COLUMN(CUSTO_GLOBAL[[#Headers],[SEBRAE]])-2,0)*($G71-$H71)</f>
        <v>3.3826229999999997</v>
      </c>
      <c r="Z71" s="21">
        <f>VLOOKUP($A71,tabCustoUnit[],COLUMN(CUSTO_GLOBAL[[#Headers],[Submódulo 2.1]])-2,0)*($G71-$H71)</f>
        <v>213.10524899999996</v>
      </c>
      <c r="AA71" s="21">
        <f>VLOOKUP($A71,tabCustoUnit[],COLUMN(CUSTO_GLOBAL[[#Headers],[13º salário (titular)]])-2,0)*($G71-$H71)</f>
        <v>46.980874999999997</v>
      </c>
      <c r="AB71" s="21">
        <f>VLOOKUP($A71,tabCustoUnit[],COLUMN(CUSTO_GLOBAL[[#Headers],[Férias e Adicional de Férias (titular)]])-2,0)*($G71-$H71)</f>
        <v>62.641166666666663</v>
      </c>
      <c r="AC71" s="21">
        <f>VLOOKUP($A71,tabCustoUnit[],COLUMN(CUSTO_GLOBAL[[#Headers],[Incidência do Submódulo 2.1 sobre 13º Salário, Férias e Adicional de Férias]])-2,0)*($G71-$H71)</f>
        <v>41.437131749999992</v>
      </c>
      <c r="AD71" s="21">
        <f>VLOOKUP($A71,tabCustoUnit[],COLUMN(CUSTO_GLOBAL[[#Headers],[Submódulo 2.2]])-2,0)*($G71-$H71)</f>
        <v>151.05917341666665</v>
      </c>
      <c r="AE71" s="22">
        <f>VLOOKUP($A71,tabCustoUnit[],COLUMN(CUSTO_GLOBAL[[#Headers],[Vale - Transporte (Descontada parcela do empregado)]])-2,0)*($G71-$H71)</f>
        <v>223.3492</v>
      </c>
      <c r="AF71" s="22">
        <f>VLOOKUP($A71,tabCustoUnit[],COLUMN(CUSTO_GLOBAL[[#Headers],[Vale - Alimentação (Descontada parcela do empregado)]])-2,0)*($G71-$H71)</f>
        <v>582</v>
      </c>
      <c r="AG71" s="22">
        <f>VLOOKUP($A71,tabCustoUnit[],COLUMN(CUSTO_GLOBAL[[#Headers],[Cesta Básica]])-2,0)*($G71-$H71)</f>
        <v>0</v>
      </c>
      <c r="AH71" s="22">
        <f>VLOOKUP($A71,tabCustoUnit[],COLUMN(CUSTO_GLOBAL[[#Headers],[PAF]])-2,0)*($G71-$H71)</f>
        <v>0</v>
      </c>
      <c r="AI71" s="22">
        <f>VLOOKUP($A71,tabCustoUnit[],COLUMN(CUSTO_GLOBAL[[#Headers],[PQM]])-2,0)*($G71-$H71)</f>
        <v>0</v>
      </c>
      <c r="AJ71" s="22">
        <v>0</v>
      </c>
      <c r="AK71" s="22">
        <f>VLOOKUP($A71,tabCustoUnit[],COLUMN(CUSTO_GLOBAL[[#Headers],[Seguro de Vida]])-2,0)*($G71-$H71)</f>
        <v>3.36</v>
      </c>
      <c r="AL71" s="22">
        <f>VLOOKUP($A71,tabCustoUnit[],COLUMN(CUSTO_GLOBAL[[#Headers],[Despesas de Viagem]])-2,0)*($G71-$H71)</f>
        <v>0</v>
      </c>
      <c r="AM71" s="22">
        <f>VLOOKUP($A71,tabCustoUnit[],COLUMN(CUSTO_GLOBAL[[#Headers],[Submódulo 2.3]])-2,0)*($G71-$H71)</f>
        <v>808.70920000000001</v>
      </c>
      <c r="AN71" s="22">
        <f>VLOOKUP($A71,tabCustoUnit[],COLUMN(CUSTO_GLOBAL[[#Headers],[MÓDULO 2 - Total Encargos e Benefícios mensais e diários]])-2,0)*($G71-$H71)</f>
        <v>1172.8736224166666</v>
      </c>
      <c r="AO71" s="22">
        <f>VLOOKUP($A71,tabCustoUnit[],COLUMN(CUSTO_GLOBAL[[#Headers],[Aviso Prévio Indenizado (API) e Reflexo do Aviso Prévio Indenizado]])-2,0)*($G71-$H71)</f>
        <v>3.9530273735532404</v>
      </c>
      <c r="AP71" s="22">
        <f>VLOOKUP($A71,tabCustoUnit[],COLUMN(CUSTO_GLOBAL[[#Headers],[Incidência do FGTS sobre API e Reflexo do API]])-2,0)*($G71-$H71)</f>
        <v>0.31624218988425928</v>
      </c>
      <c r="AQ71" s="22">
        <f>VLOOKUP($A71,tabCustoUnit[],COLUMN(CUSTO_GLOBAL[[#Headers],[Multa Rescisória do FGTS sobre o Aviso Prévio Indenizado]])-2,0)*($G71-$H71)</f>
        <v>0.12649687595370371</v>
      </c>
      <c r="AR71" s="22">
        <f>VLOOKUP($A71,tabCustoUnit[],COLUMN(CUSTO_GLOBAL[[#Headers],[Aviso Prévio Trabalhado - APT]])-2,0)*($G71-$H71)</f>
        <v>1.9731967500000003</v>
      </c>
      <c r="AS71" s="22">
        <f>VLOOKUP($A71,tabCustoUnit[],COLUMN(CUSTO_GLOBAL[[#Headers],[Incidência dos encargos do submódulo 2.1 sobre Aviso Prévio Trabalhado]])-2,0)*($G71-$H71)</f>
        <v>0.74586837150000018</v>
      </c>
      <c r="AT71" s="22">
        <f>VLOOKUP($A71,tabCustoUnit[],COLUMN(CUSTO_GLOBAL[[#Headers],[Multa Rescisória do FGTS]])-2,0)*($G71-$H71)</f>
        <v>17.238849066666663</v>
      </c>
      <c r="AU71" s="22">
        <f>VLOOKUP($A71,tabCustoUnit[],COLUMN(CUSTO_GLOBAL[[#Headers],[Indenização Adicional (Art. 9º da Lei nº 7.238/84)]])-2,0)*($G71-$H71)</f>
        <v>0.46980875</v>
      </c>
      <c r="AV71" s="22">
        <f>VLOOKUP($A71,tabCustoUnit[],COLUMN(CUSTO_GLOBAL[[#Headers],[MÓDULO 3 – PROVISÃO PARA RESCISÃO]])-2,0)*($G71-$H71)</f>
        <v>24.823489377557866</v>
      </c>
      <c r="AW71" s="22">
        <f>VLOOKUP($A71,tabCustoUnit[],COLUMN(CUSTO_GLOBAL[[#Headers],[Ausência por Doença]])-2,0)*($G71-$H71)</f>
        <v>4.7607286666666662</v>
      </c>
      <c r="AX71" s="22">
        <f>VLOOKUP($A71,tabCustoUnit[],COLUMN(CUSTO_GLOBAL[[#Headers],[Ausências Legais]])-2,0)*($G71-$H71)</f>
        <v>1.1432012916666665</v>
      </c>
      <c r="AY71" s="22">
        <f>VLOOKUP($A71,tabCustoUnit[],COLUMN(CUSTO_GLOBAL[[#Headers],[Licença Paternidade]])-2,0)*($G71-$H71)</f>
        <v>9.6310793749999998E-2</v>
      </c>
      <c r="AZ71" s="22">
        <f>VLOOKUP($A71,tabCustoUnit[],COLUMN(CUSTO_GLOBAL[[#Headers],[Ausência por Acidente de Trabalho]])-2,0)*($G71-$H71)</f>
        <v>0.1174521875</v>
      </c>
      <c r="BA71" s="22">
        <f>VLOOKUP($A71,tabCustoUnit[],COLUMN(CUSTO_GLOBAL[[#Headers],[Férias, Adicional de Férias e 13º  com empregada em gozo de Licença Maternidade]])-2,0)*($G71-$H71)</f>
        <v>0.73081361111111109</v>
      </c>
      <c r="BB71" s="22">
        <f>VLOOKUP($A71,tabCustoUnit[],COLUMN(CUSTO_GLOBAL[[#Headers],[Incidência do Submódulo 2.1 sobre Ausências Legais]])-2,0)*($G71-$H71)</f>
        <v>2.5887354761625003</v>
      </c>
      <c r="BC71" s="22">
        <f>VLOOKUP($A71,tabCustoUnit[],COLUMN(CUSTO_GLOBAL[[#Headers],[Submódulo 4.1]])-2,0)*($G71-$H71)</f>
        <v>9.4372420268569428</v>
      </c>
      <c r="BD71" s="22">
        <f>VLOOKUP($A71,tabCustoUnit[],COLUMN(CUSTO_GLOBAL[[#Headers],[Intervalo para Repouso ou Alimentação]])-2,0)*($G71-$H71)</f>
        <v>0</v>
      </c>
      <c r="BE71" s="22">
        <f>VLOOKUP($A71,tabCustoUnit[],COLUMN(CUSTO_GLOBAL[[#Headers],[Submódulo 4.2]])-2,0)*($G71-$H71)</f>
        <v>0</v>
      </c>
      <c r="BF71" s="22">
        <f>VLOOKUP($A71,tabCustoUnit[],COLUMN(CUSTO_GLOBAL[[#Headers],[Suspensão Temporária do Contrato de Trabalho]])-2,0)*($G71-$H71)</f>
        <v>0</v>
      </c>
      <c r="BG71" s="22">
        <f>VLOOKUP($A71,tabCustoUnit[],COLUMN(CUSTO_GLOBAL[[#Headers],[Submódulo 4.3]])-2,0)*($G71-$H71)</f>
        <v>0</v>
      </c>
      <c r="BH71" s="22">
        <f>VLOOKUP($A71,tabCustoUnit[],COLUMN(CUSTO_GLOBAL[[#Headers],[MÓDULO 4 – CUSTO DE REPOSIÇÃO DO PROFISSIONAL AUSENTE]])-2,0)*($G71-$H71)</f>
        <v>9.4372420268569428</v>
      </c>
      <c r="BI71" s="22">
        <f>VLOOKUP($A71,tabCustoUnit[],COLUMN(CUSTO_GLOBAL[[#Headers],[Uniformes e EPIs]])-2,0)*($G71-$H71)</f>
        <v>62.806666666666665</v>
      </c>
      <c r="BJ71" s="22">
        <f>VLOOKUP($A71,tabCustoUnit[],COLUMN(CUSTO_GLOBAL[[#Headers],[Materiais de Consumo]])-2,0)*($G71-$H71)</f>
        <v>12.108481690426325</v>
      </c>
      <c r="BK71" s="22">
        <f>VLOOKUP($A71,tabCustoUnit[],COLUMN(CUSTO_GLOBAL[[#Headers],[Máquinas e Equipamentos (depreciação)]])-2,0)*($G71-$H71)</f>
        <v>21.998657016417809</v>
      </c>
      <c r="BL71" s="22">
        <f>VLOOKUP($A71,tabCustoUnit[],COLUMN(CUSTO_GLOBAL[[#Headers],[Produtos de Limpeza e Materiais de Higiene Pessoal]])-2,0)*($G71-$H71)</f>
        <v>235.31984072022155</v>
      </c>
      <c r="BM71" s="22">
        <f>VLOOKUP($A71,tabCustoUnit[],COLUMN(CUSTO_GLOBAL[[#Headers],[Outros (especificar)]])-2,0)*($G71-$H71)</f>
        <v>0</v>
      </c>
      <c r="BN71" s="22">
        <f>VLOOKUP($A71,tabCustoUnit[],COLUMN(CUSTO_GLOBAL[[#Headers],[MÓDULO 5 – INSUMOS DIVERSOS]])-2,0)*($G71-$H71)</f>
        <v>332.23364609373232</v>
      </c>
      <c r="BO71" s="22">
        <f>VLOOKUP($A71,tabCustoUnit[],COLUMN(CUSTO_GLOBAL[[#Headers],[TOTAL MÓDULOS 1+2+3+4+5]])-2,0)*($G71-$H71)</f>
        <v>2103.1384999148136</v>
      </c>
      <c r="BP71" s="22">
        <f>VLOOKUP($A71,tabCustoUnit[],COLUMN(CUSTO_GLOBAL[[#Headers],[Custos Indiretos]])-2,0)*($G71-$H71)</f>
        <v>189.64880140242613</v>
      </c>
      <c r="BQ71" s="22">
        <f>VLOOKUP($A71,tabCustoUnit[],COLUMN(CUSTO_GLOBAL[[#Headers],[Lucro]])-2,0)*($G71-$H71)</f>
        <v>159.30499317803796</v>
      </c>
      <c r="BR71" s="26">
        <f>VLOOKUP($A71,tabCustoUnit[],COLUMN(CUSTO_GLOBAL[[#Headers],[COFINS]])-2,0)</f>
        <v>8.5633802816901458E-2</v>
      </c>
      <c r="BS71" s="26">
        <f>VLOOKUP($A71,tabCustoUnit[],COLUMN(CUSTO_GLOBAL[[#Headers],[PIS]])-2,0)</f>
        <v>1.8591549295774657E-2</v>
      </c>
      <c r="BT71" s="28">
        <f>VLOOKUP($A71,tabCustoUnit[],COLUMN(CUSTO_GLOBAL[[#Headers],[ISS]])-2,0)</f>
        <v>0.02</v>
      </c>
      <c r="BU71" s="26">
        <f>VLOOKUP($A71,tabCustoUnit[],COLUMN(CUSTO_GLOBAL[[#Headers],[ISS (Conversão Alíquota s/ fatura)]])-2,0)</f>
        <v>2.2535211267605645E-2</v>
      </c>
      <c r="BV71" s="26">
        <f>VLOOKUP($A71,tabCustoUnit[],COLUMN(CUSTO_GLOBAL[[#Headers],[Resumo de Alíquotas (PIS+CONFINS+ISS)]])-2,0)</f>
        <v>0.1125</v>
      </c>
      <c r="BW71" s="138">
        <f>VLOOKUP($A71,tabCustoUnit[],COLUMN(CUSTO_GLOBAL[[#Headers],[PIS + COFINS + ISS (Total Conversão  Alíquota s/ Fatura)]])-2,0)</f>
        <v>0.12676056338028174</v>
      </c>
      <c r="BX71" s="22">
        <f>VLOOKUP($A71,tabCustoUnit[],COLUMN(CUSTO_GLOBAL[[#Headers],[Valor dos Tributos (ISS, PIS, CONFINS)]])-2,0)*($G71-$H71)</f>
        <v>310.82860071066915</v>
      </c>
      <c r="BY71" s="22">
        <f>VLOOKUP($A71,tabCustoUnit[],COLUMN(CUSTO_GLOBAL[[#Headers],[MÓDULO 6 – CUSTOS INDIRETOS, TRIBUTOS E LUCRO]])-2,0)*($G71-$H71)</f>
        <v>659.7823952911333</v>
      </c>
      <c r="BZ71" s="22">
        <f>VLOOKUP($A71,tabCustoUnit[],COLUMN(CUSTO_GLOBAL[[#Headers],[CUSTO TOTAL MENSAL]])-2,0)*($G71-$H71)</f>
        <v>2762.9208952059471</v>
      </c>
      <c r="CA71" s="22">
        <f>CUSTO_GLOBAL[[#This Row],[CUSTO TOTAL MENSAL]]*12</f>
        <v>33155.050742471365</v>
      </c>
      <c r="CB71" s="24">
        <f>VLOOKUP($A71,tabCustoUnit[],COLUMN(CUSTO_GLOBAL[[#Headers],[ANO DA CCT]])-2,0)</f>
        <v>45658</v>
      </c>
      <c r="CC71" s="25" t="str">
        <f>VLOOKUP($A71,tabCustoUnit[],COLUMN(CUSTO_GLOBAL[[#Headers],[Nº DE PEDIDO DA CCT]])-2,0)</f>
        <v>-</v>
      </c>
      <c r="CD71" s="25" t="str">
        <f>VLOOKUP($A71,tabCustoUnit[],COLUMN(CUSTO_GLOBAL[[#Headers],[TERMO ADITIVO  ALTERAÇÃO DA CCT]])-2,0)</f>
        <v>-</v>
      </c>
      <c r="CF71" s="22"/>
      <c r="CG71" s="22"/>
    </row>
    <row r="72" spans="1:85" x14ac:dyDescent="0.25">
      <c r="A72" s="20" t="s">
        <v>1412</v>
      </c>
      <c r="B72" t="s">
        <v>70</v>
      </c>
      <c r="C72" t="s">
        <v>1244</v>
      </c>
      <c r="D72" t="s">
        <v>81</v>
      </c>
      <c r="E72" s="20" t="s">
        <v>9</v>
      </c>
      <c r="F72" s="20" t="s">
        <v>10</v>
      </c>
      <c r="G72" s="20">
        <v>1</v>
      </c>
      <c r="H72" s="20">
        <v>0</v>
      </c>
      <c r="I72" s="21">
        <f>VLOOKUP($A72,tabCustoUnit[],COLUMN(CUSTO_GLOBAL[[#Headers],[Salário Base]])-2,0)*($G72-$H72)</f>
        <v>798.14</v>
      </c>
      <c r="J72" s="21">
        <f>VLOOKUP($A72,tabCustoUnit[],COLUMN(CUSTO_GLOBAL[[#Headers],[Adicional Periculosidade]])-2,0)*($G72-$H72)</f>
        <v>0</v>
      </c>
      <c r="K72" s="21">
        <f>VLOOKUP($A72,tabCustoUnit[],COLUMN(CUSTO_GLOBAL[[#Headers],[Adicional Insalubridade]])-2,0)*($G72-$H72)</f>
        <v>0</v>
      </c>
      <c r="L72" s="21">
        <f>VLOOKUP($A72,tabCustoUnit[],COLUMN(CUSTO_GLOBAL[[#Headers],[Adicional Noturno]])-2,0)*($G72-$H72)</f>
        <v>0</v>
      </c>
      <c r="M72" s="21">
        <f>VLOOKUP($A72,tabCustoUnit[],COLUMN(CUSTO_GLOBAL[[#Headers],[Adicional Motorista II (Gratificação)]])-2,0)*($G72-$H72)</f>
        <v>0</v>
      </c>
      <c r="N72" s="21">
        <f>VLOOKUP($A72,tabCustoUnit[],COLUMN(CUSTO_GLOBAL[[#Headers],[Adicional de Sobreaviso]])-2,0)*($G72-$H72)</f>
        <v>0</v>
      </c>
      <c r="O72" s="21">
        <f>VLOOKUP($A72,tabCustoUnit[],COLUMN(CUSTO_GLOBAL[[#Headers],[Horas Extras TI]])-2,0)*($G72-$H72)</f>
        <v>0</v>
      </c>
      <c r="P72" s="21">
        <f>VLOOKUP($A72,tabCustoUnit[],COLUMN(CUSTO_GLOBAL[[#Headers],[Adicional de Acúmulo de função]])-2,0)*($G72-$H72)</f>
        <v>26.120899999999999</v>
      </c>
      <c r="Q72" s="21">
        <f>VLOOKUP($A72,tabCustoUnit[],COLUMN(CUSTO_GLOBAL[[#Headers],[MODULO 1 - REMUNERAÇÃO ]])-2,0)*($G72-$H72)</f>
        <v>824.26089999999999</v>
      </c>
      <c r="R72" s="21">
        <f>VLOOKUP($A72,tabCustoUnit[],COLUMN(CUSTO_GLOBAL[[#Headers],[INSS]])-2,0)*($G72-$H72)</f>
        <v>164.85218</v>
      </c>
      <c r="S72" s="21">
        <f>VLOOKUP($A72,tabCustoUnit[],COLUMN(CUSTO_GLOBAL[[#Headers],[SESI OU SESC]])-2,0)*($G72-$H72)</f>
        <v>12.363913499999999</v>
      </c>
      <c r="T72" s="21">
        <f>VLOOKUP($A72,tabCustoUnit[],COLUMN(CUSTO_GLOBAL[[#Headers],[SENAI OU SENAC]])-2,0)*($G72-$H72)</f>
        <v>8.2426089999999999</v>
      </c>
      <c r="U72" s="21">
        <f>VLOOKUP($A72,tabCustoUnit[],COLUMN(CUSTO_GLOBAL[[#Headers],[INCRA]])-2,0)*($G72-$H72)</f>
        <v>1.6485217999999999</v>
      </c>
      <c r="V72" s="21">
        <f>VLOOKUP($A72,tabCustoUnit[],COLUMN(CUSTO_GLOBAL[[#Headers],[Salário Educação]])-2,0)*($G72-$H72)</f>
        <v>20.606522500000001</v>
      </c>
      <c r="W72" s="21">
        <f>VLOOKUP($A72,tabCustoUnit[],COLUMN(CUSTO_GLOBAL[[#Headers],[FGTS]])-2,0)*($G72-$H72)</f>
        <v>65.940871999999999</v>
      </c>
      <c r="X72" s="21">
        <f>VLOOKUP($A72,tabCustoUnit[],COLUMN(CUSTO_GLOBAL[[#Headers],[RAT Ajustado]])-2,0)*($G72-$H72)</f>
        <v>32.970435999999999</v>
      </c>
      <c r="Y72" s="21">
        <f>VLOOKUP($A72,tabCustoUnit[],COLUMN(CUSTO_GLOBAL[[#Headers],[SEBRAE]])-2,0)*($G72-$H72)</f>
        <v>4.9455654000000004</v>
      </c>
      <c r="Z72" s="21">
        <f>VLOOKUP($A72,tabCustoUnit[],COLUMN(CUSTO_GLOBAL[[#Headers],[Submódulo 2.1]])-2,0)*($G72-$H72)</f>
        <v>311.57062020000001</v>
      </c>
      <c r="AA72" s="21">
        <f>VLOOKUP($A72,tabCustoUnit[],COLUMN(CUSTO_GLOBAL[[#Headers],[13º salário (titular)]])-2,0)*($G72-$H72)</f>
        <v>68.688408333333328</v>
      </c>
      <c r="AB72" s="21">
        <f>VLOOKUP($A72,tabCustoUnit[],COLUMN(CUSTO_GLOBAL[[#Headers],[Férias e Adicional de Férias (titular)]])-2,0)*($G72-$H72)</f>
        <v>91.584544444444433</v>
      </c>
      <c r="AC72" s="21">
        <f>VLOOKUP($A72,tabCustoUnit[],COLUMN(CUSTO_GLOBAL[[#Headers],[Incidência do Submódulo 2.1 sobre 13º Salário, Férias e Adicional de Férias]])-2,0)*($G72-$H72)</f>
        <v>60.583176149999993</v>
      </c>
      <c r="AD72" s="21">
        <f>VLOOKUP($A72,tabCustoUnit[],COLUMN(CUSTO_GLOBAL[[#Headers],[Submódulo 2.2]])-2,0)*($G72-$H72)</f>
        <v>220.85612892777775</v>
      </c>
      <c r="AE72" s="22">
        <f>VLOOKUP($A72,tabCustoUnit[],COLUMN(CUSTO_GLOBAL[[#Headers],[Vale - Transporte (Descontada parcela do empregado)]])-2,0)*($G72-$H72)</f>
        <v>208.11160000000001</v>
      </c>
      <c r="AF72" s="22">
        <f>VLOOKUP($A72,tabCustoUnit[],COLUMN(CUSTO_GLOBAL[[#Headers],[Vale - Alimentação (Descontada parcela do empregado)]])-2,0)*($G72-$H72)</f>
        <v>582</v>
      </c>
      <c r="AG72" s="22">
        <f>VLOOKUP($A72,tabCustoUnit[],COLUMN(CUSTO_GLOBAL[[#Headers],[Cesta Básica]])-2,0)*($G72-$H72)</f>
        <v>0</v>
      </c>
      <c r="AH72" s="22">
        <f>VLOOKUP($A72,tabCustoUnit[],COLUMN(CUSTO_GLOBAL[[#Headers],[PAF]])-2,0)*($G72-$H72)</f>
        <v>51.74</v>
      </c>
      <c r="AI72" s="22">
        <f>VLOOKUP($A72,tabCustoUnit[],COLUMN(CUSTO_GLOBAL[[#Headers],[PQM]])-2,0)*($G72-$H72)</f>
        <v>0</v>
      </c>
      <c r="AJ72" s="22">
        <v>0</v>
      </c>
      <c r="AK72" s="22">
        <f>VLOOKUP($A72,tabCustoUnit[],COLUMN(CUSTO_GLOBAL[[#Headers],[Seguro de Vida]])-2,0)*($G72-$H72)</f>
        <v>3.36</v>
      </c>
      <c r="AL72" s="22">
        <f>VLOOKUP($A72,tabCustoUnit[],COLUMN(CUSTO_GLOBAL[[#Headers],[Despesas de Viagem]])-2,0)*($G72-$H72)</f>
        <v>0</v>
      </c>
      <c r="AM72" s="22">
        <f>VLOOKUP($A72,tabCustoUnit[],COLUMN(CUSTO_GLOBAL[[#Headers],[Submódulo 2.3]])-2,0)*($G72-$H72)</f>
        <v>845.21159999999998</v>
      </c>
      <c r="AN72" s="22">
        <f>VLOOKUP($A72,tabCustoUnit[],COLUMN(CUSTO_GLOBAL[[#Headers],[MÓDULO 2 - Total Encargos e Benefícios mensais e diários]])-2,0)*($G72-$H72)</f>
        <v>1377.6383491277777</v>
      </c>
      <c r="AO72" s="22">
        <f>VLOOKUP($A72,tabCustoUnit[],COLUMN(CUSTO_GLOBAL[[#Headers],[Aviso Prévio Indenizado (API) e Reflexo do Aviso Prévio Indenizado]])-2,0)*($G72-$H72)</f>
        <v>5.7795253576581791</v>
      </c>
      <c r="AP72" s="22">
        <f>VLOOKUP($A72,tabCustoUnit[],COLUMN(CUSTO_GLOBAL[[#Headers],[Incidência do FGTS sobre API e Reflexo do API]])-2,0)*($G72-$H72)</f>
        <v>0.46236202861265435</v>
      </c>
      <c r="AQ72" s="22">
        <f>VLOOKUP($A72,tabCustoUnit[],COLUMN(CUSTO_GLOBAL[[#Headers],[Multa Rescisória do FGTS sobre o Aviso Prévio Indenizado]])-2,0)*($G72-$H72)</f>
        <v>0.18494481144506175</v>
      </c>
      <c r="AR72" s="22">
        <f>VLOOKUP($A72,tabCustoUnit[],COLUMN(CUSTO_GLOBAL[[#Headers],[Aviso Prévio Trabalhado - APT]])-2,0)*($G72-$H72)</f>
        <v>2.8849131500000005</v>
      </c>
      <c r="AS72" s="22">
        <f>VLOOKUP($A72,tabCustoUnit[],COLUMN(CUSTO_GLOBAL[[#Headers],[Incidência dos encargos do submódulo 2.1 sobre Aviso Prévio Trabalhado]])-2,0)*($G72-$H72)</f>
        <v>1.0904971707000004</v>
      </c>
      <c r="AT72" s="22">
        <f>VLOOKUP($A72,tabCustoUnit[],COLUMN(CUSTO_GLOBAL[[#Headers],[Multa Rescisória do FGTS]])-2,0)*($G72-$H72)</f>
        <v>25.204066631111107</v>
      </c>
      <c r="AU72" s="22">
        <f>VLOOKUP($A72,tabCustoUnit[],COLUMN(CUSTO_GLOBAL[[#Headers],[Indenização Adicional (Art. 9º da Lei nº 7.238/84)]])-2,0)*($G72-$H72)</f>
        <v>0.6868840833333334</v>
      </c>
      <c r="AV72" s="22">
        <f>VLOOKUP($A72,tabCustoUnit[],COLUMN(CUSTO_GLOBAL[[#Headers],[MÓDULO 3 – PROVISÃO PARA RESCISÃO]])-2,0)*($G72-$H72)</f>
        <v>36.293193232860339</v>
      </c>
      <c r="AW72" s="22">
        <f>VLOOKUP($A72,tabCustoUnit[],COLUMN(CUSTO_GLOBAL[[#Headers],[Ausência por Doença]])-2,0)*($G72-$H72)</f>
        <v>6.9604253777777769</v>
      </c>
      <c r="AX72" s="22">
        <f>VLOOKUP($A72,tabCustoUnit[],COLUMN(CUSTO_GLOBAL[[#Headers],[Ausências Legais]])-2,0)*($G72-$H72)</f>
        <v>1.671417936111111</v>
      </c>
      <c r="AY72" s="22">
        <f>VLOOKUP($A72,tabCustoUnit[],COLUMN(CUSTO_GLOBAL[[#Headers],[Licença Paternidade]])-2,0)*($G72-$H72)</f>
        <v>0.14081123708333332</v>
      </c>
      <c r="AZ72" s="22">
        <f>VLOOKUP($A72,tabCustoUnit[],COLUMN(CUSTO_GLOBAL[[#Headers],[Ausência por Acidente de Trabalho]])-2,0)*($G72-$H72)</f>
        <v>0.17172102083333335</v>
      </c>
      <c r="BA72" s="22">
        <f>VLOOKUP($A72,tabCustoUnit[],COLUMN(CUSTO_GLOBAL[[#Headers],[Férias, Adicional de Férias e 13º  com empregada em gozo de Licença Maternidade]])-2,0)*($G72-$H72)</f>
        <v>1.0684863518518517</v>
      </c>
      <c r="BB72" s="22">
        <f>VLOOKUP($A72,tabCustoUnit[],COLUMN(CUSTO_GLOBAL[[#Headers],[Incidência do Submódulo 2.1 sobre Ausências Legais]])-2,0)*($G72-$H72)</f>
        <v>3.7848618071425006</v>
      </c>
      <c r="BC72" s="22">
        <f>VLOOKUP($A72,tabCustoUnit[],COLUMN(CUSTO_GLOBAL[[#Headers],[Submódulo 4.1]])-2,0)*($G72-$H72)</f>
        <v>13.797723730799909</v>
      </c>
      <c r="BD72" s="22">
        <f>VLOOKUP($A72,tabCustoUnit[],COLUMN(CUSTO_GLOBAL[[#Headers],[Intervalo para Repouso ou Alimentação]])-2,0)*($G72-$H72)</f>
        <v>0</v>
      </c>
      <c r="BE72" s="22">
        <f>VLOOKUP($A72,tabCustoUnit[],COLUMN(CUSTO_GLOBAL[[#Headers],[Submódulo 4.2]])-2,0)*($G72-$H72)</f>
        <v>0</v>
      </c>
      <c r="BF72" s="22">
        <f>VLOOKUP($A72,tabCustoUnit[],COLUMN(CUSTO_GLOBAL[[#Headers],[Suspensão Temporária do Contrato de Trabalho]])-2,0)*($G72-$H72)</f>
        <v>0</v>
      </c>
      <c r="BG72" s="22">
        <f>VLOOKUP($A72,tabCustoUnit[],COLUMN(CUSTO_GLOBAL[[#Headers],[Submódulo 4.3]])-2,0)*($G72-$H72)</f>
        <v>0</v>
      </c>
      <c r="BH72" s="22">
        <f>VLOOKUP($A72,tabCustoUnit[],COLUMN(CUSTO_GLOBAL[[#Headers],[MÓDULO 4 – CUSTO DE REPOSIÇÃO DO PROFISSIONAL AUSENTE]])-2,0)*($G72-$H72)</f>
        <v>13.797723730799909</v>
      </c>
      <c r="BI72" s="22">
        <f>VLOOKUP($A72,tabCustoUnit[],COLUMN(CUSTO_GLOBAL[[#Headers],[Uniformes e EPIs]])-2,0)*($G72-$H72)</f>
        <v>62.806666666666665</v>
      </c>
      <c r="BJ72" s="22">
        <f>VLOOKUP($A72,tabCustoUnit[],COLUMN(CUSTO_GLOBAL[[#Headers],[Materiais de Consumo]])-2,0)*($G72-$H72)</f>
        <v>17.759106479291944</v>
      </c>
      <c r="BK72" s="22">
        <f>VLOOKUP($A72,tabCustoUnit[],COLUMN(CUSTO_GLOBAL[[#Headers],[Máquinas e Equipamentos (depreciação)]])-2,0)*($G72-$H72)</f>
        <v>32.264696957412788</v>
      </c>
      <c r="BL72" s="22">
        <f>VLOOKUP($A72,tabCustoUnit[],COLUMN(CUSTO_GLOBAL[[#Headers],[Produtos de Limpeza e Materiais de Higiene Pessoal]])-2,0)*($G72-$H72)</f>
        <v>345.13576638965827</v>
      </c>
      <c r="BM72" s="22">
        <f>VLOOKUP($A72,tabCustoUnit[],COLUMN(CUSTO_GLOBAL[[#Headers],[Outros (especificar)]])-2,0)*($G72-$H72)</f>
        <v>0</v>
      </c>
      <c r="BN72" s="22">
        <f>VLOOKUP($A72,tabCustoUnit[],COLUMN(CUSTO_GLOBAL[[#Headers],[MÓDULO 5 – INSUMOS DIVERSOS]])-2,0)*($G72-$H72)</f>
        <v>457.96623649302967</v>
      </c>
      <c r="BO72" s="22">
        <f>VLOOKUP($A72,tabCustoUnit[],COLUMN(CUSTO_GLOBAL[[#Headers],[TOTAL MÓDULOS 1+2+3+4+5]])-2,0)*($G72-$H72)</f>
        <v>2709.9564025844675</v>
      </c>
      <c r="BP72" s="22">
        <f>VLOOKUP($A72,tabCustoUnit[],COLUMN(CUSTO_GLOBAL[[#Headers],[Custos Indiretos]])-2,0)*($G72-$H72)</f>
        <v>189.64880140242613</v>
      </c>
      <c r="BQ72" s="22">
        <f>VLOOKUP($A72,tabCustoUnit[],COLUMN(CUSTO_GLOBAL[[#Headers],[Lucro]])-2,0)*($G72-$H72)</f>
        <v>159.30499317803796</v>
      </c>
      <c r="BR72" s="26">
        <f>VLOOKUP($A72,tabCustoUnit[],COLUMN(CUSTO_GLOBAL[[#Headers],[COFINS]])-2,0)</f>
        <v>8.6609686609686695E-2</v>
      </c>
      <c r="BS72" s="26">
        <f>VLOOKUP($A72,tabCustoUnit[],COLUMN(CUSTO_GLOBAL[[#Headers],[PIS]])-2,0)</f>
        <v>1.880341880341882E-2</v>
      </c>
      <c r="BT72" s="28">
        <f>VLOOKUP($A72,tabCustoUnit[],COLUMN(CUSTO_GLOBAL[[#Headers],[ISS]])-2,0)</f>
        <v>0.03</v>
      </c>
      <c r="BU72" s="26">
        <f>VLOOKUP($A72,tabCustoUnit[],COLUMN(CUSTO_GLOBAL[[#Headers],[ISS (Conversão Alíquota s/ fatura)]])-2,0)</f>
        <v>3.4188034188034219E-2</v>
      </c>
      <c r="BV72" s="26">
        <f>VLOOKUP($A72,tabCustoUnit[],COLUMN(CUSTO_GLOBAL[[#Headers],[Resumo de Alíquotas (PIS+CONFINS+ISS)]])-2,0)</f>
        <v>0.1225</v>
      </c>
      <c r="BW72" s="138">
        <f>VLOOKUP($A72,tabCustoUnit[],COLUMN(CUSTO_GLOBAL[[#Headers],[PIS + COFINS + ISS (Total Conversão  Alíquota s/ Fatura)]])-2,0)</f>
        <v>0.13960113960113973</v>
      </c>
      <c r="BX72" s="22">
        <f>VLOOKUP($A72,tabCustoUnit[],COLUMN(CUSTO_GLOBAL[[#Headers],[Valor dos Tributos (ISS, PIS, CONFINS)]])-2,0)*($G72-$H72)</f>
        <v>427.02734946177151</v>
      </c>
      <c r="BY72" s="22">
        <f>VLOOKUP($A72,tabCustoUnit[],COLUMN(CUSTO_GLOBAL[[#Headers],[MÓDULO 6 – CUSTOS INDIRETOS, TRIBUTOS E LUCRO]])-2,0)*($G72-$H72)</f>
        <v>775.98114404223566</v>
      </c>
      <c r="BZ72" s="22">
        <f>VLOOKUP($A72,tabCustoUnit[],COLUMN(CUSTO_GLOBAL[[#Headers],[CUSTO TOTAL MENSAL]])-2,0)*($G72-$H72)</f>
        <v>3485.9375466267029</v>
      </c>
      <c r="CA72" s="22">
        <f>CUSTO_GLOBAL[[#This Row],[CUSTO TOTAL MENSAL]]*12</f>
        <v>41831.250559520435</v>
      </c>
      <c r="CB72" s="24">
        <f>VLOOKUP($A72,tabCustoUnit[],COLUMN(CUSTO_GLOBAL[[#Headers],[ANO DA CCT]])-2,0)</f>
        <v>45658</v>
      </c>
      <c r="CC72" s="25" t="str">
        <f>VLOOKUP($A72,tabCustoUnit[],COLUMN(CUSTO_GLOBAL[[#Headers],[Nº DE PEDIDO DA CCT]])-2,0)</f>
        <v>-</v>
      </c>
      <c r="CD72" s="25" t="str">
        <f>VLOOKUP($A72,tabCustoUnit[],COLUMN(CUSTO_GLOBAL[[#Headers],[TERMO ADITIVO  ALTERAÇÃO DA CCT]])-2,0)</f>
        <v>-</v>
      </c>
      <c r="CF72" s="22"/>
      <c r="CG72" s="22"/>
    </row>
    <row r="73" spans="1:85" x14ac:dyDescent="0.25">
      <c r="A73" s="20" t="s">
        <v>1413</v>
      </c>
      <c r="B73" t="s">
        <v>71</v>
      </c>
      <c r="C73" t="s">
        <v>1245</v>
      </c>
      <c r="D73" t="s">
        <v>1020</v>
      </c>
      <c r="E73" s="20" t="s">
        <v>9</v>
      </c>
      <c r="F73" s="20" t="s">
        <v>10</v>
      </c>
      <c r="G73" s="20">
        <v>1</v>
      </c>
      <c r="H73" s="20">
        <v>0</v>
      </c>
      <c r="I73" s="21">
        <f>VLOOKUP($A73,tabCustoUnit[],COLUMN(CUSTO_GLOBAL[[#Headers],[Salário Base]])-2,0)*($G73-$H73)</f>
        <v>1596.28</v>
      </c>
      <c r="J73" s="21">
        <f>VLOOKUP($A73,tabCustoUnit[],COLUMN(CUSTO_GLOBAL[[#Headers],[Adicional Periculosidade]])-2,0)*($G73-$H73)</f>
        <v>0</v>
      </c>
      <c r="K73" s="21">
        <f>VLOOKUP($A73,tabCustoUnit[],COLUMN(CUSTO_GLOBAL[[#Headers],[Adicional Insalubridade]])-2,0)*($G73-$H73)</f>
        <v>0</v>
      </c>
      <c r="L73" s="21">
        <f>VLOOKUP($A73,tabCustoUnit[],COLUMN(CUSTO_GLOBAL[[#Headers],[Adicional Noturno]])-2,0)*($G73-$H73)</f>
        <v>0</v>
      </c>
      <c r="M73" s="21">
        <f>VLOOKUP($A73,tabCustoUnit[],COLUMN(CUSTO_GLOBAL[[#Headers],[Adicional Motorista II (Gratificação)]])-2,0)*($G73-$H73)</f>
        <v>0</v>
      </c>
      <c r="N73" s="21">
        <f>VLOOKUP($A73,tabCustoUnit[],COLUMN(CUSTO_GLOBAL[[#Headers],[Adicional de Sobreaviso]])-2,0)*($G73-$H73)</f>
        <v>0</v>
      </c>
      <c r="O73" s="21">
        <f>VLOOKUP($A73,tabCustoUnit[],COLUMN(CUSTO_GLOBAL[[#Headers],[Horas Extras TI]])-2,0)*($G73-$H73)</f>
        <v>0</v>
      </c>
      <c r="P73" s="21">
        <f>VLOOKUP($A73,tabCustoUnit[],COLUMN(CUSTO_GLOBAL[[#Headers],[Adicional de Acúmulo de função]])-2,0)*($G73-$H73)</f>
        <v>52.241900000000001</v>
      </c>
      <c r="Q73" s="21">
        <f>VLOOKUP($A73,tabCustoUnit[],COLUMN(CUSTO_GLOBAL[[#Headers],[MODULO 1 - REMUNERAÇÃO ]])-2,0)*($G73-$H73)</f>
        <v>1648.5219</v>
      </c>
      <c r="R73" s="21">
        <f>VLOOKUP($A73,tabCustoUnit[],COLUMN(CUSTO_GLOBAL[[#Headers],[INSS]])-2,0)*($G73-$H73)</f>
        <v>329.70438000000001</v>
      </c>
      <c r="S73" s="21">
        <f>VLOOKUP($A73,tabCustoUnit[],COLUMN(CUSTO_GLOBAL[[#Headers],[SESI OU SESC]])-2,0)*($G73-$H73)</f>
        <v>24.727828499999998</v>
      </c>
      <c r="T73" s="21">
        <f>VLOOKUP($A73,tabCustoUnit[],COLUMN(CUSTO_GLOBAL[[#Headers],[SENAI OU SENAC]])-2,0)*($G73-$H73)</f>
        <v>16.485219000000001</v>
      </c>
      <c r="U73" s="21">
        <f>VLOOKUP($A73,tabCustoUnit[],COLUMN(CUSTO_GLOBAL[[#Headers],[INCRA]])-2,0)*($G73-$H73)</f>
        <v>3.2970438</v>
      </c>
      <c r="V73" s="21">
        <f>VLOOKUP($A73,tabCustoUnit[],COLUMN(CUSTO_GLOBAL[[#Headers],[Salário Educação]])-2,0)*($G73-$H73)</f>
        <v>41.213047500000002</v>
      </c>
      <c r="W73" s="21">
        <f>VLOOKUP($A73,tabCustoUnit[],COLUMN(CUSTO_GLOBAL[[#Headers],[FGTS]])-2,0)*($G73-$H73)</f>
        <v>131.88175200000001</v>
      </c>
      <c r="X73" s="21">
        <f>VLOOKUP($A73,tabCustoUnit[],COLUMN(CUSTO_GLOBAL[[#Headers],[RAT Ajustado]])-2,0)*($G73-$H73)</f>
        <v>65.940876000000003</v>
      </c>
      <c r="Y73" s="21">
        <f>VLOOKUP($A73,tabCustoUnit[],COLUMN(CUSTO_GLOBAL[[#Headers],[SEBRAE]])-2,0)*($G73-$H73)</f>
        <v>9.8911314000000008</v>
      </c>
      <c r="Z73" s="21">
        <f>VLOOKUP($A73,tabCustoUnit[],COLUMN(CUSTO_GLOBAL[[#Headers],[Submódulo 2.1]])-2,0)*($G73-$H73)</f>
        <v>623.14127819999999</v>
      </c>
      <c r="AA73" s="21">
        <f>VLOOKUP($A73,tabCustoUnit[],COLUMN(CUSTO_GLOBAL[[#Headers],[13º salário (titular)]])-2,0)*($G73-$H73)</f>
        <v>137.376825</v>
      </c>
      <c r="AB73" s="21">
        <f>VLOOKUP($A73,tabCustoUnit[],COLUMN(CUSTO_GLOBAL[[#Headers],[Férias e Adicional de Férias (titular)]])-2,0)*($G73-$H73)</f>
        <v>183.16909999999999</v>
      </c>
      <c r="AC73" s="21">
        <f>VLOOKUP($A73,tabCustoUnit[],COLUMN(CUSTO_GLOBAL[[#Headers],[Incidência do Submódulo 2.1 sobre 13º Salário, Férias e Adicional de Férias]])-2,0)*($G73-$H73)</f>
        <v>121.16635965</v>
      </c>
      <c r="AD73" s="21">
        <f>VLOOKUP($A73,tabCustoUnit[],COLUMN(CUSTO_GLOBAL[[#Headers],[Submódulo 2.2]])-2,0)*($G73-$H73)</f>
        <v>441.71228465000002</v>
      </c>
      <c r="AE73" s="22">
        <f>VLOOKUP($A73,tabCustoUnit[],COLUMN(CUSTO_GLOBAL[[#Headers],[Vale - Transporte (Descontada parcela do empregado)]])-2,0)*($G73-$H73)</f>
        <v>160.22320000000002</v>
      </c>
      <c r="AF73" s="22">
        <f>VLOOKUP($A73,tabCustoUnit[],COLUMN(CUSTO_GLOBAL[[#Headers],[Vale - Alimentação (Descontada parcela do empregado)]])-2,0)*($G73-$H73)</f>
        <v>582</v>
      </c>
      <c r="AG73" s="22">
        <f>VLOOKUP($A73,tabCustoUnit[],COLUMN(CUSTO_GLOBAL[[#Headers],[Cesta Básica]])-2,0)*($G73-$H73)</f>
        <v>0</v>
      </c>
      <c r="AH73" s="22">
        <f>VLOOKUP($A73,tabCustoUnit[],COLUMN(CUSTO_GLOBAL[[#Headers],[PAF]])-2,0)*($G73-$H73)</f>
        <v>51.87</v>
      </c>
      <c r="AI73" s="22">
        <f>VLOOKUP($A73,tabCustoUnit[],COLUMN(CUSTO_GLOBAL[[#Headers],[PQM]])-2,0)*($G73-$H73)</f>
        <v>0</v>
      </c>
      <c r="AJ73" s="22">
        <v>0</v>
      </c>
      <c r="AK73" s="22">
        <f>VLOOKUP($A73,tabCustoUnit[],COLUMN(CUSTO_GLOBAL[[#Headers],[Seguro de Vida]])-2,0)*($G73-$H73)</f>
        <v>3.36</v>
      </c>
      <c r="AL73" s="22">
        <f>VLOOKUP($A73,tabCustoUnit[],COLUMN(CUSTO_GLOBAL[[#Headers],[Despesas de Viagem]])-2,0)*($G73-$H73)</f>
        <v>0</v>
      </c>
      <c r="AM73" s="22">
        <f>VLOOKUP($A73,tabCustoUnit[],COLUMN(CUSTO_GLOBAL[[#Headers],[Submódulo 2.3]])-2,0)*($G73-$H73)</f>
        <v>797.45320000000004</v>
      </c>
      <c r="AN73" s="22">
        <f>VLOOKUP($A73,tabCustoUnit[],COLUMN(CUSTO_GLOBAL[[#Headers],[MÓDULO 2 - Total Encargos e Benefícios mensais e diários]])-2,0)*($G73-$H73)</f>
        <v>1862.3067628499998</v>
      </c>
      <c r="AO73" s="22">
        <f>VLOOKUP($A73,tabCustoUnit[],COLUMN(CUSTO_GLOBAL[[#Headers],[Aviso Prévio Indenizado (API) e Reflexo do Aviso Prévio Indenizado]])-2,0)*($G73-$H73)</f>
        <v>11.559051416493055</v>
      </c>
      <c r="AP73" s="22">
        <f>VLOOKUP($A73,tabCustoUnit[],COLUMN(CUSTO_GLOBAL[[#Headers],[Incidência do FGTS sobre API e Reflexo do API]])-2,0)*($G73-$H73)</f>
        <v>0.92472411331944449</v>
      </c>
      <c r="AQ73" s="22">
        <f>VLOOKUP($A73,tabCustoUnit[],COLUMN(CUSTO_GLOBAL[[#Headers],[Multa Rescisória do FGTS sobre o Aviso Prévio Indenizado]])-2,0)*($G73-$H73)</f>
        <v>0.36988964532777785</v>
      </c>
      <c r="AR73" s="22">
        <f>VLOOKUP($A73,tabCustoUnit[],COLUMN(CUSTO_GLOBAL[[#Headers],[Aviso Prévio Trabalhado - APT]])-2,0)*($G73-$H73)</f>
        <v>5.7698266500000006</v>
      </c>
      <c r="AS73" s="22">
        <f>VLOOKUP($A73,tabCustoUnit[],COLUMN(CUSTO_GLOBAL[[#Headers],[Incidência dos encargos do submódulo 2.1 sobre Aviso Prévio Trabalhado]])-2,0)*($G73-$H73)</f>
        <v>2.1809944737000007</v>
      </c>
      <c r="AT73" s="22">
        <f>VLOOKUP($A73,tabCustoUnit[],COLUMN(CUSTO_GLOBAL[[#Headers],[Multa Rescisória do FGTS]])-2,0)*($G73-$H73)</f>
        <v>50.40813631999999</v>
      </c>
      <c r="AU73" s="22">
        <f>VLOOKUP($A73,tabCustoUnit[],COLUMN(CUSTO_GLOBAL[[#Headers],[Indenização Adicional (Art. 9º da Lei nº 7.238/84)]])-2,0)*($G73-$H73)</f>
        <v>1.3737682500000001</v>
      </c>
      <c r="AV73" s="22">
        <f>VLOOKUP($A73,tabCustoUnit[],COLUMN(CUSTO_GLOBAL[[#Headers],[MÓDULO 3 – PROVISÃO PARA RESCISÃO]])-2,0)*($G73-$H73)</f>
        <v>72.586390868840269</v>
      </c>
      <c r="AW73" s="22">
        <f>VLOOKUP($A73,tabCustoUnit[],COLUMN(CUSTO_GLOBAL[[#Headers],[Ausência por Doença]])-2,0)*($G73-$H73)</f>
        <v>13.920851599999999</v>
      </c>
      <c r="AX73" s="22">
        <f>VLOOKUP($A73,tabCustoUnit[],COLUMN(CUSTO_GLOBAL[[#Headers],[Ausências Legais]])-2,0)*($G73-$H73)</f>
        <v>3.3428360749999997</v>
      </c>
      <c r="AY73" s="22">
        <f>VLOOKUP($A73,tabCustoUnit[],COLUMN(CUSTO_GLOBAL[[#Headers],[Licença Paternidade]])-2,0)*($G73-$H73)</f>
        <v>0.28162249125</v>
      </c>
      <c r="AZ73" s="22">
        <f>VLOOKUP($A73,tabCustoUnit[],COLUMN(CUSTO_GLOBAL[[#Headers],[Ausência por Acidente de Trabalho]])-2,0)*($G73-$H73)</f>
        <v>0.34344206250000003</v>
      </c>
      <c r="BA73" s="22">
        <f>VLOOKUP($A73,tabCustoUnit[],COLUMN(CUSTO_GLOBAL[[#Headers],[Férias, Adicional de Férias e 13º  com empregada em gozo de Licença Maternidade]])-2,0)*($G73-$H73)</f>
        <v>2.1369728333333331</v>
      </c>
      <c r="BB73" s="22">
        <f>VLOOKUP($A73,tabCustoUnit[],COLUMN(CUSTO_GLOBAL[[#Headers],[Incidência do Submódulo 2.1 sobre Ausências Legais]])-2,0)*($G73-$H73)</f>
        <v>7.5697240734675013</v>
      </c>
      <c r="BC73" s="22">
        <f>VLOOKUP($A73,tabCustoUnit[],COLUMN(CUSTO_GLOBAL[[#Headers],[Submódulo 4.1]])-2,0)*($G73-$H73)</f>
        <v>27.595449135550833</v>
      </c>
      <c r="BD73" s="22">
        <f>VLOOKUP($A73,tabCustoUnit[],COLUMN(CUSTO_GLOBAL[[#Headers],[Intervalo para Repouso ou Alimentação]])-2,0)*($G73-$H73)</f>
        <v>0</v>
      </c>
      <c r="BE73" s="22">
        <f>VLOOKUP($A73,tabCustoUnit[],COLUMN(CUSTO_GLOBAL[[#Headers],[Submódulo 4.2]])-2,0)*($G73-$H73)</f>
        <v>0</v>
      </c>
      <c r="BF73" s="22">
        <f>VLOOKUP($A73,tabCustoUnit[],COLUMN(CUSTO_GLOBAL[[#Headers],[Suspensão Temporária do Contrato de Trabalho]])-2,0)*($G73-$H73)</f>
        <v>0</v>
      </c>
      <c r="BG73" s="22">
        <f>VLOOKUP($A73,tabCustoUnit[],COLUMN(CUSTO_GLOBAL[[#Headers],[Submódulo 4.3]])-2,0)*($G73-$H73)</f>
        <v>0</v>
      </c>
      <c r="BH73" s="22">
        <f>VLOOKUP($A73,tabCustoUnit[],COLUMN(CUSTO_GLOBAL[[#Headers],[MÓDULO 4 – CUSTO DE REPOSIÇÃO DO PROFISSIONAL AUSENTE]])-2,0)*($G73-$H73)</f>
        <v>27.595449135550833</v>
      </c>
      <c r="BI73" s="22">
        <f>VLOOKUP($A73,tabCustoUnit[],COLUMN(CUSTO_GLOBAL[[#Headers],[Uniformes e EPIs]])-2,0)*($G73-$H73)</f>
        <v>100.80916666666666</v>
      </c>
      <c r="BJ73" s="22">
        <f>VLOOKUP($A73,tabCustoUnit[],COLUMN(CUSTO_GLOBAL[[#Headers],[Materiais de Consumo]])-2,0)*($G73-$H73)</f>
        <v>35.518212958583888</v>
      </c>
      <c r="BK73" s="22">
        <f>VLOOKUP($A73,tabCustoUnit[],COLUMN(CUSTO_GLOBAL[[#Headers],[Máquinas e Equipamentos (depreciação)]])-2,0)*($G73-$H73)</f>
        <v>64.529393914825576</v>
      </c>
      <c r="BL73" s="22">
        <f>VLOOKUP($A73,tabCustoUnit[],COLUMN(CUSTO_GLOBAL[[#Headers],[Produtos de Limpeza e Materiais de Higiene Pessoal]])-2,0)*($G73-$H73)</f>
        <v>690.27153277931654</v>
      </c>
      <c r="BM73" s="22">
        <f>VLOOKUP($A73,tabCustoUnit[],COLUMN(CUSTO_GLOBAL[[#Headers],[Outros (especificar)]])-2,0)*($G73-$H73)</f>
        <v>0</v>
      </c>
      <c r="BN73" s="22">
        <f>VLOOKUP($A73,tabCustoUnit[],COLUMN(CUSTO_GLOBAL[[#Headers],[MÓDULO 5 – INSUMOS DIVERSOS]])-2,0)*($G73-$H73)</f>
        <v>891.12830631939266</v>
      </c>
      <c r="BO73" s="22">
        <f>VLOOKUP($A73,tabCustoUnit[],COLUMN(CUSTO_GLOBAL[[#Headers],[TOTAL MÓDULOS 1+2+3+4+5]])-2,0)*($G73-$H73)</f>
        <v>4502.1388091737836</v>
      </c>
      <c r="BP73" s="22">
        <f>VLOOKUP($A73,tabCustoUnit[],COLUMN(CUSTO_GLOBAL[[#Headers],[Custos Indiretos]])-2,0)*($G73-$H73)</f>
        <v>189.64880140242613</v>
      </c>
      <c r="BQ73" s="22">
        <f>VLOOKUP($A73,tabCustoUnit[],COLUMN(CUSTO_GLOBAL[[#Headers],[Lucro]])-2,0)*($G73-$H73)</f>
        <v>159.30499317803796</v>
      </c>
      <c r="BR73" s="26">
        <f>VLOOKUP($A73,tabCustoUnit[],COLUMN(CUSTO_GLOBAL[[#Headers],[COFINS]])-2,0)</f>
        <v>8.8629737609329504E-2</v>
      </c>
      <c r="BS73" s="26">
        <f>VLOOKUP($A73,tabCustoUnit[],COLUMN(CUSTO_GLOBAL[[#Headers],[PIS]])-2,0)</f>
        <v>1.9241982507288629E-2</v>
      </c>
      <c r="BT73" s="28">
        <f>VLOOKUP($A73,tabCustoUnit[],COLUMN(CUSTO_GLOBAL[[#Headers],[ISS]])-2,0)</f>
        <v>0.05</v>
      </c>
      <c r="BU73" s="26">
        <f>VLOOKUP($A73,tabCustoUnit[],COLUMN(CUSTO_GLOBAL[[#Headers],[ISS (Conversão Alíquota s/ fatura)]])-2,0)</f>
        <v>5.8309037900874633E-2</v>
      </c>
      <c r="BV73" s="26">
        <f>VLOOKUP($A73,tabCustoUnit[],COLUMN(CUSTO_GLOBAL[[#Headers],[Resumo de Alíquotas (PIS+CONFINS+ISS)]])-2,0)</f>
        <v>0.14250000000000002</v>
      </c>
      <c r="BW73" s="138">
        <f>VLOOKUP($A73,tabCustoUnit[],COLUMN(CUSTO_GLOBAL[[#Headers],[PIS + COFINS + ISS (Total Conversão  Alíquota s/ Fatura)]])-2,0)</f>
        <v>0.16618075801749277</v>
      </c>
      <c r="BX73" s="22">
        <f>VLOOKUP($A73,tabCustoUnit[],COLUMN(CUSTO_GLOBAL[[#Headers],[Valor dos Tributos (ISS, PIS, CONFINS)]])-2,0)*($G73-$H73)</f>
        <v>806.1582461049336</v>
      </c>
      <c r="BY73" s="22">
        <f>VLOOKUP($A73,tabCustoUnit[],COLUMN(CUSTO_GLOBAL[[#Headers],[MÓDULO 6 – CUSTOS INDIRETOS, TRIBUTOS E LUCRO]])-2,0)*($G73-$H73)</f>
        <v>1155.1120406853977</v>
      </c>
      <c r="BZ73" s="22">
        <f>VLOOKUP($A73,tabCustoUnit[],COLUMN(CUSTO_GLOBAL[[#Headers],[CUSTO TOTAL MENSAL]])-2,0)*($G73-$H73)</f>
        <v>5657.2508498591815</v>
      </c>
      <c r="CA73" s="22">
        <f>CUSTO_GLOBAL[[#This Row],[CUSTO TOTAL MENSAL]]*12</f>
        <v>67887.010198310178</v>
      </c>
      <c r="CB73" s="24">
        <f>VLOOKUP($A73,tabCustoUnit[],COLUMN(CUSTO_GLOBAL[[#Headers],[ANO DA CCT]])-2,0)</f>
        <v>45658</v>
      </c>
      <c r="CC73" s="25" t="str">
        <f>VLOOKUP($A73,tabCustoUnit[],COLUMN(CUSTO_GLOBAL[[#Headers],[Nº DE PEDIDO DA CCT]])-2,0)</f>
        <v>-</v>
      </c>
      <c r="CD73" s="25" t="str">
        <f>VLOOKUP($A73,tabCustoUnit[],COLUMN(CUSTO_GLOBAL[[#Headers],[TERMO ADITIVO  ALTERAÇÃO DA CCT]])-2,0)</f>
        <v>-</v>
      </c>
      <c r="CF73" s="22"/>
      <c r="CG73" s="22"/>
    </row>
    <row r="74" spans="1:85" x14ac:dyDescent="0.25">
      <c r="A74" s="20" t="s">
        <v>1414</v>
      </c>
      <c r="B74" t="s">
        <v>72</v>
      </c>
      <c r="C74" t="s">
        <v>1247</v>
      </c>
      <c r="D74" t="s">
        <v>992</v>
      </c>
      <c r="E74" s="20" t="s">
        <v>9</v>
      </c>
      <c r="F74" s="20" t="s">
        <v>10</v>
      </c>
      <c r="G74" s="20">
        <v>1</v>
      </c>
      <c r="H74" s="20">
        <v>0</v>
      </c>
      <c r="I74" s="21">
        <f>VLOOKUP($A74,tabCustoUnit[],COLUMN(CUSTO_GLOBAL[[#Headers],[Salário Base]])-2,0)*($G74-$H74)</f>
        <v>544.17999999999995</v>
      </c>
      <c r="J74" s="21">
        <f>VLOOKUP($A74,tabCustoUnit[],COLUMN(CUSTO_GLOBAL[[#Headers],[Adicional Periculosidade]])-2,0)*($G74-$H74)</f>
        <v>0</v>
      </c>
      <c r="K74" s="21">
        <f>VLOOKUP($A74,tabCustoUnit[],COLUMN(CUSTO_GLOBAL[[#Headers],[Adicional Insalubridade]])-2,0)*($G74-$H74)</f>
        <v>0</v>
      </c>
      <c r="L74" s="21">
        <f>VLOOKUP($A74,tabCustoUnit[],COLUMN(CUSTO_GLOBAL[[#Headers],[Adicional Noturno]])-2,0)*($G74-$H74)</f>
        <v>0</v>
      </c>
      <c r="M74" s="21">
        <f>VLOOKUP($A74,tabCustoUnit[],COLUMN(CUSTO_GLOBAL[[#Headers],[Adicional Motorista II (Gratificação)]])-2,0)*($G74-$H74)</f>
        <v>0</v>
      </c>
      <c r="N74" s="21">
        <f>VLOOKUP($A74,tabCustoUnit[],COLUMN(CUSTO_GLOBAL[[#Headers],[Adicional de Sobreaviso]])-2,0)*($G74-$H74)</f>
        <v>0</v>
      </c>
      <c r="O74" s="21">
        <f>VLOOKUP($A74,tabCustoUnit[],COLUMN(CUSTO_GLOBAL[[#Headers],[Horas Extras TI]])-2,0)*($G74-$H74)</f>
        <v>0</v>
      </c>
      <c r="P74" s="21">
        <f>VLOOKUP($A74,tabCustoUnit[],COLUMN(CUSTO_GLOBAL[[#Headers],[Adicional de Acúmulo de função]])-2,0)*($G74-$H74)</f>
        <v>19.590499999999999</v>
      </c>
      <c r="Q74" s="21">
        <f>VLOOKUP($A74,tabCustoUnit[],COLUMN(CUSTO_GLOBAL[[#Headers],[MODULO 1 - REMUNERAÇÃO ]])-2,0)*($G74-$H74)</f>
        <v>563.77049999999997</v>
      </c>
      <c r="R74" s="21">
        <f>VLOOKUP($A74,tabCustoUnit[],COLUMN(CUSTO_GLOBAL[[#Headers],[INSS]])-2,0)*($G74-$H74)</f>
        <v>112.75409999999999</v>
      </c>
      <c r="S74" s="21">
        <f>VLOOKUP($A74,tabCustoUnit[],COLUMN(CUSTO_GLOBAL[[#Headers],[SESI OU SESC]])-2,0)*($G74-$H74)</f>
        <v>8.4565574999999988</v>
      </c>
      <c r="T74" s="21">
        <f>VLOOKUP($A74,tabCustoUnit[],COLUMN(CUSTO_GLOBAL[[#Headers],[SENAI OU SENAC]])-2,0)*($G74-$H74)</f>
        <v>5.6377049999999995</v>
      </c>
      <c r="U74" s="21">
        <f>VLOOKUP($A74,tabCustoUnit[],COLUMN(CUSTO_GLOBAL[[#Headers],[INCRA]])-2,0)*($G74-$H74)</f>
        <v>1.1275409999999999</v>
      </c>
      <c r="V74" s="21">
        <f>VLOOKUP($A74,tabCustoUnit[],COLUMN(CUSTO_GLOBAL[[#Headers],[Salário Educação]])-2,0)*($G74-$H74)</f>
        <v>14.094262499999999</v>
      </c>
      <c r="W74" s="21">
        <f>VLOOKUP($A74,tabCustoUnit[],COLUMN(CUSTO_GLOBAL[[#Headers],[FGTS]])-2,0)*($G74-$H74)</f>
        <v>45.101639999999996</v>
      </c>
      <c r="X74" s="21">
        <f>VLOOKUP($A74,tabCustoUnit[],COLUMN(CUSTO_GLOBAL[[#Headers],[RAT Ajustado]])-2,0)*($G74-$H74)</f>
        <v>22.550819999999998</v>
      </c>
      <c r="Y74" s="21">
        <f>VLOOKUP($A74,tabCustoUnit[],COLUMN(CUSTO_GLOBAL[[#Headers],[SEBRAE]])-2,0)*($G74-$H74)</f>
        <v>3.3826229999999997</v>
      </c>
      <c r="Z74" s="21">
        <f>VLOOKUP($A74,tabCustoUnit[],COLUMN(CUSTO_GLOBAL[[#Headers],[Submódulo 2.1]])-2,0)*($G74-$H74)</f>
        <v>213.10524899999996</v>
      </c>
      <c r="AA74" s="21">
        <f>VLOOKUP($A74,tabCustoUnit[],COLUMN(CUSTO_GLOBAL[[#Headers],[13º salário (titular)]])-2,0)*($G74-$H74)</f>
        <v>46.980874999999997</v>
      </c>
      <c r="AB74" s="21">
        <f>VLOOKUP($A74,tabCustoUnit[],COLUMN(CUSTO_GLOBAL[[#Headers],[Férias e Adicional de Férias (titular)]])-2,0)*($G74-$H74)</f>
        <v>62.641166666666663</v>
      </c>
      <c r="AC74" s="21">
        <f>VLOOKUP($A74,tabCustoUnit[],COLUMN(CUSTO_GLOBAL[[#Headers],[Incidência do Submódulo 2.1 sobre 13º Salário, Férias e Adicional de Férias]])-2,0)*($G74-$H74)</f>
        <v>41.437131749999992</v>
      </c>
      <c r="AD74" s="21">
        <f>VLOOKUP($A74,tabCustoUnit[],COLUMN(CUSTO_GLOBAL[[#Headers],[Submódulo 2.2]])-2,0)*($G74-$H74)</f>
        <v>151.05917341666665</v>
      </c>
      <c r="AE74" s="22">
        <f>VLOOKUP($A74,tabCustoUnit[],COLUMN(CUSTO_GLOBAL[[#Headers],[Vale - Transporte (Descontada parcela do empregado)]])-2,0)*($G74-$H74)</f>
        <v>223.3492</v>
      </c>
      <c r="AF74" s="22">
        <f>VLOOKUP($A74,tabCustoUnit[],COLUMN(CUSTO_GLOBAL[[#Headers],[Vale - Alimentação (Descontada parcela do empregado)]])-2,0)*($G74-$H74)</f>
        <v>0</v>
      </c>
      <c r="AG74" s="22">
        <f>VLOOKUP($A74,tabCustoUnit[],COLUMN(CUSTO_GLOBAL[[#Headers],[Cesta Básica]])-2,0)*($G74-$H74)</f>
        <v>387.79</v>
      </c>
      <c r="AH74" s="22">
        <f>VLOOKUP($A74,tabCustoUnit[],COLUMN(CUSTO_GLOBAL[[#Headers],[PAF]])-2,0)*($G74-$H74)</f>
        <v>42.97</v>
      </c>
      <c r="AI74" s="22">
        <f>VLOOKUP($A74,tabCustoUnit[],COLUMN(CUSTO_GLOBAL[[#Headers],[PQM]])-2,0)*($G74-$H74)</f>
        <v>0</v>
      </c>
      <c r="AJ74" s="22">
        <v>0</v>
      </c>
      <c r="AK74" s="22">
        <f>VLOOKUP($A74,tabCustoUnit[],COLUMN(CUSTO_GLOBAL[[#Headers],[Seguro de Vida]])-2,0)*($G74-$H74)</f>
        <v>3.36</v>
      </c>
      <c r="AL74" s="22">
        <f>VLOOKUP($A74,tabCustoUnit[],COLUMN(CUSTO_GLOBAL[[#Headers],[Despesas de Viagem]])-2,0)*($G74-$H74)</f>
        <v>0</v>
      </c>
      <c r="AM74" s="22">
        <f>VLOOKUP($A74,tabCustoUnit[],COLUMN(CUSTO_GLOBAL[[#Headers],[Submódulo 2.3]])-2,0)*($G74-$H74)</f>
        <v>657.46920000000011</v>
      </c>
      <c r="AN74" s="22">
        <f>VLOOKUP($A74,tabCustoUnit[],COLUMN(CUSTO_GLOBAL[[#Headers],[MÓDULO 2 - Total Encargos e Benefícios mensais e diários]])-2,0)*($G74-$H74)</f>
        <v>1021.6336224166668</v>
      </c>
      <c r="AO74" s="22">
        <f>VLOOKUP($A74,tabCustoUnit[],COLUMN(CUSTO_GLOBAL[[#Headers],[Aviso Prévio Indenizado (API) e Reflexo do Aviso Prévio Indenizado]])-2,0)*($G74-$H74)</f>
        <v>3.9530273735532404</v>
      </c>
      <c r="AP74" s="22">
        <f>VLOOKUP($A74,tabCustoUnit[],COLUMN(CUSTO_GLOBAL[[#Headers],[Incidência do FGTS sobre API e Reflexo do API]])-2,0)*($G74-$H74)</f>
        <v>0.31624218988425928</v>
      </c>
      <c r="AQ74" s="22">
        <f>VLOOKUP($A74,tabCustoUnit[],COLUMN(CUSTO_GLOBAL[[#Headers],[Multa Rescisória do FGTS sobre o Aviso Prévio Indenizado]])-2,0)*($G74-$H74)</f>
        <v>0.12649687595370371</v>
      </c>
      <c r="AR74" s="22">
        <f>VLOOKUP($A74,tabCustoUnit[],COLUMN(CUSTO_GLOBAL[[#Headers],[Aviso Prévio Trabalhado - APT]])-2,0)*($G74-$H74)</f>
        <v>1.9731967500000003</v>
      </c>
      <c r="AS74" s="22">
        <f>VLOOKUP($A74,tabCustoUnit[],COLUMN(CUSTO_GLOBAL[[#Headers],[Incidência dos encargos do submódulo 2.1 sobre Aviso Prévio Trabalhado]])-2,0)*($G74-$H74)</f>
        <v>0.74586837150000018</v>
      </c>
      <c r="AT74" s="22">
        <f>VLOOKUP($A74,tabCustoUnit[],COLUMN(CUSTO_GLOBAL[[#Headers],[Multa Rescisória do FGTS]])-2,0)*($G74-$H74)</f>
        <v>17.238849066666663</v>
      </c>
      <c r="AU74" s="22">
        <f>VLOOKUP($A74,tabCustoUnit[],COLUMN(CUSTO_GLOBAL[[#Headers],[Indenização Adicional (Art. 9º da Lei nº 7.238/84)]])-2,0)*($G74-$H74)</f>
        <v>0.46980875</v>
      </c>
      <c r="AV74" s="22">
        <f>VLOOKUP($A74,tabCustoUnit[],COLUMN(CUSTO_GLOBAL[[#Headers],[MÓDULO 3 – PROVISÃO PARA RESCISÃO]])-2,0)*($G74-$H74)</f>
        <v>24.823489377557866</v>
      </c>
      <c r="AW74" s="22">
        <f>VLOOKUP($A74,tabCustoUnit[],COLUMN(CUSTO_GLOBAL[[#Headers],[Ausência por Doença]])-2,0)*($G74-$H74)</f>
        <v>4.7607286666666662</v>
      </c>
      <c r="AX74" s="22">
        <f>VLOOKUP($A74,tabCustoUnit[],COLUMN(CUSTO_GLOBAL[[#Headers],[Ausências Legais]])-2,0)*($G74-$H74)</f>
        <v>1.1432012916666665</v>
      </c>
      <c r="AY74" s="22">
        <f>VLOOKUP($A74,tabCustoUnit[],COLUMN(CUSTO_GLOBAL[[#Headers],[Licença Paternidade]])-2,0)*($G74-$H74)</f>
        <v>9.6310793749999998E-2</v>
      </c>
      <c r="AZ74" s="22">
        <f>VLOOKUP($A74,tabCustoUnit[],COLUMN(CUSTO_GLOBAL[[#Headers],[Ausência por Acidente de Trabalho]])-2,0)*($G74-$H74)</f>
        <v>0.1174521875</v>
      </c>
      <c r="BA74" s="22">
        <f>VLOOKUP($A74,tabCustoUnit[],COLUMN(CUSTO_GLOBAL[[#Headers],[Férias, Adicional de Férias e 13º  com empregada em gozo de Licença Maternidade]])-2,0)*($G74-$H74)</f>
        <v>0.73081361111111109</v>
      </c>
      <c r="BB74" s="22">
        <f>VLOOKUP($A74,tabCustoUnit[],COLUMN(CUSTO_GLOBAL[[#Headers],[Incidência do Submódulo 2.1 sobre Ausências Legais]])-2,0)*($G74-$H74)</f>
        <v>2.5887354761625003</v>
      </c>
      <c r="BC74" s="22">
        <f>VLOOKUP($A74,tabCustoUnit[],COLUMN(CUSTO_GLOBAL[[#Headers],[Submódulo 4.1]])-2,0)*($G74-$H74)</f>
        <v>9.4372420268569428</v>
      </c>
      <c r="BD74" s="22">
        <f>VLOOKUP($A74,tabCustoUnit[],COLUMN(CUSTO_GLOBAL[[#Headers],[Intervalo para Repouso ou Alimentação]])-2,0)*($G74-$H74)</f>
        <v>0</v>
      </c>
      <c r="BE74" s="22">
        <f>VLOOKUP($A74,tabCustoUnit[],COLUMN(CUSTO_GLOBAL[[#Headers],[Submódulo 4.2]])-2,0)*($G74-$H74)</f>
        <v>0</v>
      </c>
      <c r="BF74" s="22">
        <f>VLOOKUP($A74,tabCustoUnit[],COLUMN(CUSTO_GLOBAL[[#Headers],[Suspensão Temporária do Contrato de Trabalho]])-2,0)*($G74-$H74)</f>
        <v>0</v>
      </c>
      <c r="BG74" s="22">
        <f>VLOOKUP($A74,tabCustoUnit[],COLUMN(CUSTO_GLOBAL[[#Headers],[Submódulo 4.3]])-2,0)*($G74-$H74)</f>
        <v>0</v>
      </c>
      <c r="BH74" s="22">
        <f>VLOOKUP($A74,tabCustoUnit[],COLUMN(CUSTO_GLOBAL[[#Headers],[MÓDULO 4 – CUSTO DE REPOSIÇÃO DO PROFISSIONAL AUSENTE]])-2,0)*($G74-$H74)</f>
        <v>9.4372420268569428</v>
      </c>
      <c r="BI74" s="22">
        <f>VLOOKUP($A74,tabCustoUnit[],COLUMN(CUSTO_GLOBAL[[#Headers],[Uniformes e EPIs]])-2,0)*($G74-$H74)</f>
        <v>62.806666666666665</v>
      </c>
      <c r="BJ74" s="22">
        <f>VLOOKUP($A74,tabCustoUnit[],COLUMN(CUSTO_GLOBAL[[#Headers],[Materiais de Consumo]])-2,0)*($G74-$H74)</f>
        <v>12.108481690426325</v>
      </c>
      <c r="BK74" s="22">
        <f>VLOOKUP($A74,tabCustoUnit[],COLUMN(CUSTO_GLOBAL[[#Headers],[Máquinas e Equipamentos (depreciação)]])-2,0)*($G74-$H74)</f>
        <v>21.998657016417809</v>
      </c>
      <c r="BL74" s="22">
        <f>VLOOKUP($A74,tabCustoUnit[],COLUMN(CUSTO_GLOBAL[[#Headers],[Produtos de Limpeza e Materiais de Higiene Pessoal]])-2,0)*($G74-$H74)</f>
        <v>235.31984072022155</v>
      </c>
      <c r="BM74" s="22">
        <f>VLOOKUP($A74,tabCustoUnit[],COLUMN(CUSTO_GLOBAL[[#Headers],[Outros (especificar)]])-2,0)*($G74-$H74)</f>
        <v>0</v>
      </c>
      <c r="BN74" s="22">
        <f>VLOOKUP($A74,tabCustoUnit[],COLUMN(CUSTO_GLOBAL[[#Headers],[MÓDULO 5 – INSUMOS DIVERSOS]])-2,0)*($G74-$H74)</f>
        <v>332.23364609373232</v>
      </c>
      <c r="BO74" s="22">
        <f>VLOOKUP($A74,tabCustoUnit[],COLUMN(CUSTO_GLOBAL[[#Headers],[TOTAL MÓDULOS 1+2+3+4+5]])-2,0)*($G74-$H74)</f>
        <v>1951.8984999148138</v>
      </c>
      <c r="BP74" s="22">
        <f>VLOOKUP($A74,tabCustoUnit[],COLUMN(CUSTO_GLOBAL[[#Headers],[Custos Indiretos]])-2,0)*($G74-$H74)</f>
        <v>189.64880140242613</v>
      </c>
      <c r="BQ74" s="22">
        <f>VLOOKUP($A74,tabCustoUnit[],COLUMN(CUSTO_GLOBAL[[#Headers],[Lucro]])-2,0)*($G74-$H74)</f>
        <v>159.30499317803796</v>
      </c>
      <c r="BR74" s="26">
        <f>VLOOKUP($A74,tabCustoUnit[],COLUMN(CUSTO_GLOBAL[[#Headers],[COFINS]])-2,0)</f>
        <v>8.8629737609329504E-2</v>
      </c>
      <c r="BS74" s="26">
        <f>VLOOKUP($A74,tabCustoUnit[],COLUMN(CUSTO_GLOBAL[[#Headers],[PIS]])-2,0)</f>
        <v>1.9241982507288629E-2</v>
      </c>
      <c r="BT74" s="28">
        <f>VLOOKUP($A74,tabCustoUnit[],COLUMN(CUSTO_GLOBAL[[#Headers],[ISS]])-2,0)</f>
        <v>0.05</v>
      </c>
      <c r="BU74" s="26">
        <f>VLOOKUP($A74,tabCustoUnit[],COLUMN(CUSTO_GLOBAL[[#Headers],[ISS (Conversão Alíquota s/ fatura)]])-2,0)</f>
        <v>5.8309037900874633E-2</v>
      </c>
      <c r="BV74" s="26">
        <f>VLOOKUP($A74,tabCustoUnit[],COLUMN(CUSTO_GLOBAL[[#Headers],[Resumo de Alíquotas (PIS+CONFINS+ISS)]])-2,0)</f>
        <v>0.14250000000000002</v>
      </c>
      <c r="BW74" s="138">
        <f>VLOOKUP($A74,tabCustoUnit[],COLUMN(CUSTO_GLOBAL[[#Headers],[PIS + COFINS + ISS (Total Conversão  Alíquota s/ Fatura)]])-2,0)</f>
        <v>0.16618075801749277</v>
      </c>
      <c r="BX74" s="22">
        <f>VLOOKUP($A74,tabCustoUnit[],COLUMN(CUSTO_GLOBAL[[#Headers],[Valor dos Tributos (ISS, PIS, CONFINS)]])-2,0)*($G74-$H74)</f>
        <v>382.35737838551279</v>
      </c>
      <c r="BY74" s="22">
        <f>VLOOKUP($A74,tabCustoUnit[],COLUMN(CUSTO_GLOBAL[[#Headers],[MÓDULO 6 – CUSTOS INDIRETOS, TRIBUTOS E LUCRO]])-2,0)*($G74-$H74)</f>
        <v>731.31117296597688</v>
      </c>
      <c r="BZ74" s="22">
        <f>VLOOKUP($A74,tabCustoUnit[],COLUMN(CUSTO_GLOBAL[[#Headers],[CUSTO TOTAL MENSAL]])-2,0)*($G74-$H74)</f>
        <v>2683.2096728807905</v>
      </c>
      <c r="CA74" s="22">
        <f>CUSTO_GLOBAL[[#This Row],[CUSTO TOTAL MENSAL]]*12</f>
        <v>32198.516074569488</v>
      </c>
      <c r="CB74" s="24">
        <f>VLOOKUP($A74,tabCustoUnit[],COLUMN(CUSTO_GLOBAL[[#Headers],[ANO DA CCT]])-2,0)</f>
        <v>45658</v>
      </c>
      <c r="CC74" s="25" t="str">
        <f>VLOOKUP($A74,tabCustoUnit[],COLUMN(CUSTO_GLOBAL[[#Headers],[Nº DE PEDIDO DA CCT]])-2,0)</f>
        <v>-</v>
      </c>
      <c r="CD74" s="25" t="str">
        <f>VLOOKUP($A74,tabCustoUnit[],COLUMN(CUSTO_GLOBAL[[#Headers],[TERMO ADITIVO  ALTERAÇÃO DA CCT]])-2,0)</f>
        <v>-</v>
      </c>
      <c r="CF74" s="22"/>
      <c r="CG74" s="22"/>
    </row>
    <row r="75" spans="1:85" x14ac:dyDescent="0.25">
      <c r="A75" s="20" t="s">
        <v>1415</v>
      </c>
      <c r="B75" t="s">
        <v>73</v>
      </c>
      <c r="C75" t="s">
        <v>1244</v>
      </c>
      <c r="D75" t="s">
        <v>1020</v>
      </c>
      <c r="E75" s="20" t="s">
        <v>9</v>
      </c>
      <c r="F75" s="20" t="s">
        <v>10</v>
      </c>
      <c r="G75" s="20">
        <v>1</v>
      </c>
      <c r="H75" s="20">
        <v>0</v>
      </c>
      <c r="I75" s="21">
        <f>VLOOKUP($A75,tabCustoUnit[],COLUMN(CUSTO_GLOBAL[[#Headers],[Salário Base]])-2,0)*($G75-$H75)</f>
        <v>798.14</v>
      </c>
      <c r="J75" s="21">
        <f>VLOOKUP($A75,tabCustoUnit[],COLUMN(CUSTO_GLOBAL[[#Headers],[Adicional Periculosidade]])-2,0)*($G75-$H75)</f>
        <v>0</v>
      </c>
      <c r="K75" s="21">
        <f>VLOOKUP($A75,tabCustoUnit[],COLUMN(CUSTO_GLOBAL[[#Headers],[Adicional Insalubridade]])-2,0)*($G75-$H75)</f>
        <v>0</v>
      </c>
      <c r="L75" s="21">
        <f>VLOOKUP($A75,tabCustoUnit[],COLUMN(CUSTO_GLOBAL[[#Headers],[Adicional Noturno]])-2,0)*($G75-$H75)</f>
        <v>0</v>
      </c>
      <c r="M75" s="21">
        <f>VLOOKUP($A75,tabCustoUnit[],COLUMN(CUSTO_GLOBAL[[#Headers],[Adicional Motorista II (Gratificação)]])-2,0)*($G75-$H75)</f>
        <v>0</v>
      </c>
      <c r="N75" s="21">
        <f>VLOOKUP($A75,tabCustoUnit[],COLUMN(CUSTO_GLOBAL[[#Headers],[Adicional de Sobreaviso]])-2,0)*($G75-$H75)</f>
        <v>0</v>
      </c>
      <c r="O75" s="21">
        <f>VLOOKUP($A75,tabCustoUnit[],COLUMN(CUSTO_GLOBAL[[#Headers],[Horas Extras TI]])-2,0)*($G75-$H75)</f>
        <v>0</v>
      </c>
      <c r="P75" s="21">
        <f>VLOOKUP($A75,tabCustoUnit[],COLUMN(CUSTO_GLOBAL[[#Headers],[Adicional de Acúmulo de função]])-2,0)*($G75-$H75)</f>
        <v>26.120899999999999</v>
      </c>
      <c r="Q75" s="21">
        <f>VLOOKUP($A75,tabCustoUnit[],COLUMN(CUSTO_GLOBAL[[#Headers],[MODULO 1 - REMUNERAÇÃO ]])-2,0)*($G75-$H75)</f>
        <v>824.26089999999999</v>
      </c>
      <c r="R75" s="21">
        <f>VLOOKUP($A75,tabCustoUnit[],COLUMN(CUSTO_GLOBAL[[#Headers],[INSS]])-2,0)*($G75-$H75)</f>
        <v>164.85218</v>
      </c>
      <c r="S75" s="21">
        <f>VLOOKUP($A75,tabCustoUnit[],COLUMN(CUSTO_GLOBAL[[#Headers],[SESI OU SESC]])-2,0)*($G75-$H75)</f>
        <v>12.363913499999999</v>
      </c>
      <c r="T75" s="21">
        <f>VLOOKUP($A75,tabCustoUnit[],COLUMN(CUSTO_GLOBAL[[#Headers],[SENAI OU SENAC]])-2,0)*($G75-$H75)</f>
        <v>8.2426089999999999</v>
      </c>
      <c r="U75" s="21">
        <f>VLOOKUP($A75,tabCustoUnit[],COLUMN(CUSTO_GLOBAL[[#Headers],[INCRA]])-2,0)*($G75-$H75)</f>
        <v>1.6485217999999999</v>
      </c>
      <c r="V75" s="21">
        <f>VLOOKUP($A75,tabCustoUnit[],COLUMN(CUSTO_GLOBAL[[#Headers],[Salário Educação]])-2,0)*($G75-$H75)</f>
        <v>20.606522500000001</v>
      </c>
      <c r="W75" s="21">
        <f>VLOOKUP($A75,tabCustoUnit[],COLUMN(CUSTO_GLOBAL[[#Headers],[FGTS]])-2,0)*($G75-$H75)</f>
        <v>65.940871999999999</v>
      </c>
      <c r="X75" s="21">
        <f>VLOOKUP($A75,tabCustoUnit[],COLUMN(CUSTO_GLOBAL[[#Headers],[RAT Ajustado]])-2,0)*($G75-$H75)</f>
        <v>32.970435999999999</v>
      </c>
      <c r="Y75" s="21">
        <f>VLOOKUP($A75,tabCustoUnit[],COLUMN(CUSTO_GLOBAL[[#Headers],[SEBRAE]])-2,0)*($G75-$H75)</f>
        <v>4.9455654000000004</v>
      </c>
      <c r="Z75" s="21">
        <f>VLOOKUP($A75,tabCustoUnit[],COLUMN(CUSTO_GLOBAL[[#Headers],[Submódulo 2.1]])-2,0)*($G75-$H75)</f>
        <v>311.57062020000001</v>
      </c>
      <c r="AA75" s="21">
        <f>VLOOKUP($A75,tabCustoUnit[],COLUMN(CUSTO_GLOBAL[[#Headers],[13º salário (titular)]])-2,0)*($G75-$H75)</f>
        <v>68.688408333333328</v>
      </c>
      <c r="AB75" s="21">
        <f>VLOOKUP($A75,tabCustoUnit[],COLUMN(CUSTO_GLOBAL[[#Headers],[Férias e Adicional de Férias (titular)]])-2,0)*($G75-$H75)</f>
        <v>91.584544444444433</v>
      </c>
      <c r="AC75" s="21">
        <f>VLOOKUP($A75,tabCustoUnit[],COLUMN(CUSTO_GLOBAL[[#Headers],[Incidência do Submódulo 2.1 sobre 13º Salário, Férias e Adicional de Férias]])-2,0)*($G75-$H75)</f>
        <v>60.583176149999993</v>
      </c>
      <c r="AD75" s="21">
        <f>VLOOKUP($A75,tabCustoUnit[],COLUMN(CUSTO_GLOBAL[[#Headers],[Submódulo 2.2]])-2,0)*($G75-$H75)</f>
        <v>220.85612892777775</v>
      </c>
      <c r="AE75" s="22">
        <f>VLOOKUP($A75,tabCustoUnit[],COLUMN(CUSTO_GLOBAL[[#Headers],[Vale - Transporte (Descontada parcela do empregado)]])-2,0)*($G75-$H75)</f>
        <v>208.11160000000001</v>
      </c>
      <c r="AF75" s="22">
        <f>VLOOKUP($A75,tabCustoUnit[],COLUMN(CUSTO_GLOBAL[[#Headers],[Vale - Alimentação (Descontada parcela do empregado)]])-2,0)*($G75-$H75)</f>
        <v>582</v>
      </c>
      <c r="AG75" s="22">
        <f>VLOOKUP($A75,tabCustoUnit[],COLUMN(CUSTO_GLOBAL[[#Headers],[Cesta Básica]])-2,0)*($G75-$H75)</f>
        <v>0</v>
      </c>
      <c r="AH75" s="22">
        <f>VLOOKUP($A75,tabCustoUnit[],COLUMN(CUSTO_GLOBAL[[#Headers],[PAF]])-2,0)*($G75-$H75)</f>
        <v>0</v>
      </c>
      <c r="AI75" s="22">
        <f>VLOOKUP($A75,tabCustoUnit[],COLUMN(CUSTO_GLOBAL[[#Headers],[PQM]])-2,0)*($G75-$H75)</f>
        <v>0</v>
      </c>
      <c r="AJ75" s="22">
        <v>0</v>
      </c>
      <c r="AK75" s="22">
        <f>VLOOKUP($A75,tabCustoUnit[],COLUMN(CUSTO_GLOBAL[[#Headers],[Seguro de Vida]])-2,0)*($G75-$H75)</f>
        <v>3.36</v>
      </c>
      <c r="AL75" s="22">
        <f>VLOOKUP($A75,tabCustoUnit[],COLUMN(CUSTO_GLOBAL[[#Headers],[Despesas de Viagem]])-2,0)*($G75-$H75)</f>
        <v>0</v>
      </c>
      <c r="AM75" s="22">
        <f>VLOOKUP($A75,tabCustoUnit[],COLUMN(CUSTO_GLOBAL[[#Headers],[Submódulo 2.3]])-2,0)*($G75-$H75)</f>
        <v>793.47159999999997</v>
      </c>
      <c r="AN75" s="22">
        <f>VLOOKUP($A75,tabCustoUnit[],COLUMN(CUSTO_GLOBAL[[#Headers],[MÓDULO 2 - Total Encargos e Benefícios mensais e diários]])-2,0)*($G75-$H75)</f>
        <v>1325.8983491277777</v>
      </c>
      <c r="AO75" s="22">
        <f>VLOOKUP($A75,tabCustoUnit[],COLUMN(CUSTO_GLOBAL[[#Headers],[Aviso Prévio Indenizado (API) e Reflexo do Aviso Prévio Indenizado]])-2,0)*($G75-$H75)</f>
        <v>5.7795253576581791</v>
      </c>
      <c r="AP75" s="22">
        <f>VLOOKUP($A75,tabCustoUnit[],COLUMN(CUSTO_GLOBAL[[#Headers],[Incidência do FGTS sobre API e Reflexo do API]])-2,0)*($G75-$H75)</f>
        <v>0.46236202861265435</v>
      </c>
      <c r="AQ75" s="22">
        <f>VLOOKUP($A75,tabCustoUnit[],COLUMN(CUSTO_GLOBAL[[#Headers],[Multa Rescisória do FGTS sobre o Aviso Prévio Indenizado]])-2,0)*($G75-$H75)</f>
        <v>0.18494481144506175</v>
      </c>
      <c r="AR75" s="22">
        <f>VLOOKUP($A75,tabCustoUnit[],COLUMN(CUSTO_GLOBAL[[#Headers],[Aviso Prévio Trabalhado - APT]])-2,0)*($G75-$H75)</f>
        <v>2.8849131500000005</v>
      </c>
      <c r="AS75" s="22">
        <f>VLOOKUP($A75,tabCustoUnit[],COLUMN(CUSTO_GLOBAL[[#Headers],[Incidência dos encargos do submódulo 2.1 sobre Aviso Prévio Trabalhado]])-2,0)*($G75-$H75)</f>
        <v>1.0904971707000004</v>
      </c>
      <c r="AT75" s="22">
        <f>VLOOKUP($A75,tabCustoUnit[],COLUMN(CUSTO_GLOBAL[[#Headers],[Multa Rescisória do FGTS]])-2,0)*($G75-$H75)</f>
        <v>25.204066631111107</v>
      </c>
      <c r="AU75" s="22">
        <f>VLOOKUP($A75,tabCustoUnit[],COLUMN(CUSTO_GLOBAL[[#Headers],[Indenização Adicional (Art. 9º da Lei nº 7.238/84)]])-2,0)*($G75-$H75)</f>
        <v>0.6868840833333334</v>
      </c>
      <c r="AV75" s="22">
        <f>VLOOKUP($A75,tabCustoUnit[],COLUMN(CUSTO_GLOBAL[[#Headers],[MÓDULO 3 – PROVISÃO PARA RESCISÃO]])-2,0)*($G75-$H75)</f>
        <v>36.293193232860339</v>
      </c>
      <c r="AW75" s="22">
        <f>VLOOKUP($A75,tabCustoUnit[],COLUMN(CUSTO_GLOBAL[[#Headers],[Ausência por Doença]])-2,0)*($G75-$H75)</f>
        <v>6.9604253777777769</v>
      </c>
      <c r="AX75" s="22">
        <f>VLOOKUP($A75,tabCustoUnit[],COLUMN(CUSTO_GLOBAL[[#Headers],[Ausências Legais]])-2,0)*($G75-$H75)</f>
        <v>1.671417936111111</v>
      </c>
      <c r="AY75" s="22">
        <f>VLOOKUP($A75,tabCustoUnit[],COLUMN(CUSTO_GLOBAL[[#Headers],[Licença Paternidade]])-2,0)*($G75-$H75)</f>
        <v>0.14081123708333332</v>
      </c>
      <c r="AZ75" s="22">
        <f>VLOOKUP($A75,tabCustoUnit[],COLUMN(CUSTO_GLOBAL[[#Headers],[Ausência por Acidente de Trabalho]])-2,0)*($G75-$H75)</f>
        <v>0.17172102083333335</v>
      </c>
      <c r="BA75" s="22">
        <f>VLOOKUP($A75,tabCustoUnit[],COLUMN(CUSTO_GLOBAL[[#Headers],[Férias, Adicional de Férias e 13º  com empregada em gozo de Licença Maternidade]])-2,0)*($G75-$H75)</f>
        <v>1.0684863518518517</v>
      </c>
      <c r="BB75" s="22">
        <f>VLOOKUP($A75,tabCustoUnit[],COLUMN(CUSTO_GLOBAL[[#Headers],[Incidência do Submódulo 2.1 sobre Ausências Legais]])-2,0)*($G75-$H75)</f>
        <v>3.7848618071425006</v>
      </c>
      <c r="BC75" s="22">
        <f>VLOOKUP($A75,tabCustoUnit[],COLUMN(CUSTO_GLOBAL[[#Headers],[Submódulo 4.1]])-2,0)*($G75-$H75)</f>
        <v>13.797723730799909</v>
      </c>
      <c r="BD75" s="22">
        <f>VLOOKUP($A75,tabCustoUnit[],COLUMN(CUSTO_GLOBAL[[#Headers],[Intervalo para Repouso ou Alimentação]])-2,0)*($G75-$H75)</f>
        <v>0</v>
      </c>
      <c r="BE75" s="22">
        <f>VLOOKUP($A75,tabCustoUnit[],COLUMN(CUSTO_GLOBAL[[#Headers],[Submódulo 4.2]])-2,0)*($G75-$H75)</f>
        <v>0</v>
      </c>
      <c r="BF75" s="22">
        <f>VLOOKUP($A75,tabCustoUnit[],COLUMN(CUSTO_GLOBAL[[#Headers],[Suspensão Temporária do Contrato de Trabalho]])-2,0)*($G75-$H75)</f>
        <v>0</v>
      </c>
      <c r="BG75" s="22">
        <f>VLOOKUP($A75,tabCustoUnit[],COLUMN(CUSTO_GLOBAL[[#Headers],[Submódulo 4.3]])-2,0)*($G75-$H75)</f>
        <v>0</v>
      </c>
      <c r="BH75" s="22">
        <f>VLOOKUP($A75,tabCustoUnit[],COLUMN(CUSTO_GLOBAL[[#Headers],[MÓDULO 4 – CUSTO DE REPOSIÇÃO DO PROFISSIONAL AUSENTE]])-2,0)*($G75-$H75)</f>
        <v>13.797723730799909</v>
      </c>
      <c r="BI75" s="22">
        <f>VLOOKUP($A75,tabCustoUnit[],COLUMN(CUSTO_GLOBAL[[#Headers],[Uniformes e EPIs]])-2,0)*($G75-$H75)</f>
        <v>62.806666666666665</v>
      </c>
      <c r="BJ75" s="22">
        <f>VLOOKUP($A75,tabCustoUnit[],COLUMN(CUSTO_GLOBAL[[#Headers],[Materiais de Consumo]])-2,0)*($G75-$H75)</f>
        <v>17.759106479291944</v>
      </c>
      <c r="BK75" s="22">
        <f>VLOOKUP($A75,tabCustoUnit[],COLUMN(CUSTO_GLOBAL[[#Headers],[Máquinas e Equipamentos (depreciação)]])-2,0)*($G75-$H75)</f>
        <v>32.264696957412788</v>
      </c>
      <c r="BL75" s="22">
        <f>VLOOKUP($A75,tabCustoUnit[],COLUMN(CUSTO_GLOBAL[[#Headers],[Produtos de Limpeza e Materiais de Higiene Pessoal]])-2,0)*($G75-$H75)</f>
        <v>345.13576638965827</v>
      </c>
      <c r="BM75" s="22">
        <f>VLOOKUP($A75,tabCustoUnit[],COLUMN(CUSTO_GLOBAL[[#Headers],[Outros (especificar)]])-2,0)*($G75-$H75)</f>
        <v>0</v>
      </c>
      <c r="BN75" s="22">
        <f>VLOOKUP($A75,tabCustoUnit[],COLUMN(CUSTO_GLOBAL[[#Headers],[MÓDULO 5 – INSUMOS DIVERSOS]])-2,0)*($G75-$H75)</f>
        <v>457.96623649302967</v>
      </c>
      <c r="BO75" s="22">
        <f>VLOOKUP($A75,tabCustoUnit[],COLUMN(CUSTO_GLOBAL[[#Headers],[TOTAL MÓDULOS 1+2+3+4+5]])-2,0)*($G75-$H75)</f>
        <v>2658.2164025844677</v>
      </c>
      <c r="BP75" s="22">
        <f>VLOOKUP($A75,tabCustoUnit[],COLUMN(CUSTO_GLOBAL[[#Headers],[Custos Indiretos]])-2,0)*($G75-$H75)</f>
        <v>189.64880140242613</v>
      </c>
      <c r="BQ75" s="22">
        <f>VLOOKUP($A75,tabCustoUnit[],COLUMN(CUSTO_GLOBAL[[#Headers],[Lucro]])-2,0)*($G75-$H75)</f>
        <v>159.30499317803796</v>
      </c>
      <c r="BR75" s="26">
        <f>VLOOKUP($A75,tabCustoUnit[],COLUMN(CUSTO_GLOBAL[[#Headers],[COFINS]])-2,0)</f>
        <v>8.6609686609686695E-2</v>
      </c>
      <c r="BS75" s="26">
        <f>VLOOKUP($A75,tabCustoUnit[],COLUMN(CUSTO_GLOBAL[[#Headers],[PIS]])-2,0)</f>
        <v>1.880341880341882E-2</v>
      </c>
      <c r="BT75" s="28">
        <f>VLOOKUP($A75,tabCustoUnit[],COLUMN(CUSTO_GLOBAL[[#Headers],[ISS]])-2,0)</f>
        <v>0.03</v>
      </c>
      <c r="BU75" s="26">
        <f>VLOOKUP($A75,tabCustoUnit[],COLUMN(CUSTO_GLOBAL[[#Headers],[ISS (Conversão Alíquota s/ fatura)]])-2,0)</f>
        <v>3.4188034188034219E-2</v>
      </c>
      <c r="BV75" s="26">
        <f>VLOOKUP($A75,tabCustoUnit[],COLUMN(CUSTO_GLOBAL[[#Headers],[Resumo de Alíquotas (PIS+CONFINS+ISS)]])-2,0)</f>
        <v>0.1225</v>
      </c>
      <c r="BW75" s="138">
        <f>VLOOKUP($A75,tabCustoUnit[],COLUMN(CUSTO_GLOBAL[[#Headers],[PIS + COFINS + ISS (Total Conversão  Alíquota s/ Fatura)]])-2,0)</f>
        <v>0.13960113960113973</v>
      </c>
      <c r="BX75" s="22">
        <f>VLOOKUP($A75,tabCustoUnit[],COLUMN(CUSTO_GLOBAL[[#Headers],[Valor dos Tributos (ISS, PIS, CONFINS)]])-2,0)*($G75-$H75)</f>
        <v>419.80438649880853</v>
      </c>
      <c r="BY75" s="22">
        <f>VLOOKUP($A75,tabCustoUnit[],COLUMN(CUSTO_GLOBAL[[#Headers],[MÓDULO 6 – CUSTOS INDIRETOS, TRIBUTOS E LUCRO]])-2,0)*($G75-$H75)</f>
        <v>768.75818107927262</v>
      </c>
      <c r="BZ75" s="22">
        <f>VLOOKUP($A75,tabCustoUnit[],COLUMN(CUSTO_GLOBAL[[#Headers],[CUSTO TOTAL MENSAL]])-2,0)*($G75-$H75)</f>
        <v>3426.9745836637403</v>
      </c>
      <c r="CA75" s="22">
        <f>CUSTO_GLOBAL[[#This Row],[CUSTO TOTAL MENSAL]]*12</f>
        <v>41123.69500396488</v>
      </c>
      <c r="CB75" s="24">
        <f>VLOOKUP($A75,tabCustoUnit[],COLUMN(CUSTO_GLOBAL[[#Headers],[ANO DA CCT]])-2,0)</f>
        <v>45658</v>
      </c>
      <c r="CC75" s="25" t="str">
        <f>VLOOKUP($A75,tabCustoUnit[],COLUMN(CUSTO_GLOBAL[[#Headers],[Nº DE PEDIDO DA CCT]])-2,0)</f>
        <v>-</v>
      </c>
      <c r="CD75" s="25" t="str">
        <f>VLOOKUP($A75,tabCustoUnit[],COLUMN(CUSTO_GLOBAL[[#Headers],[TERMO ADITIVO  ALTERAÇÃO DA CCT]])-2,0)</f>
        <v>-</v>
      </c>
      <c r="CF75" s="22"/>
      <c r="CG75" s="22"/>
    </row>
    <row r="76" spans="1:85" x14ac:dyDescent="0.25">
      <c r="A76" s="20" t="s">
        <v>1416</v>
      </c>
      <c r="B76" t="s">
        <v>73</v>
      </c>
      <c r="C76" t="s">
        <v>1245</v>
      </c>
      <c r="D76" t="s">
        <v>1020</v>
      </c>
      <c r="E76" s="20" t="s">
        <v>9</v>
      </c>
      <c r="F76" s="20" t="s">
        <v>10</v>
      </c>
      <c r="G76" s="20">
        <v>1</v>
      </c>
      <c r="H76" s="20">
        <v>0</v>
      </c>
      <c r="I76" s="21">
        <f>VLOOKUP($A76,tabCustoUnit[],COLUMN(CUSTO_GLOBAL[[#Headers],[Salário Base]])-2,0)*($G76-$H76)</f>
        <v>1596.28</v>
      </c>
      <c r="J76" s="21">
        <f>VLOOKUP($A76,tabCustoUnit[],COLUMN(CUSTO_GLOBAL[[#Headers],[Adicional Periculosidade]])-2,0)*($G76-$H76)</f>
        <v>0</v>
      </c>
      <c r="K76" s="21">
        <f>VLOOKUP($A76,tabCustoUnit[],COLUMN(CUSTO_GLOBAL[[#Headers],[Adicional Insalubridade]])-2,0)*($G76-$H76)</f>
        <v>0</v>
      </c>
      <c r="L76" s="21">
        <f>VLOOKUP($A76,tabCustoUnit[],COLUMN(CUSTO_GLOBAL[[#Headers],[Adicional Noturno]])-2,0)*($G76-$H76)</f>
        <v>0</v>
      </c>
      <c r="M76" s="21">
        <f>VLOOKUP($A76,tabCustoUnit[],COLUMN(CUSTO_GLOBAL[[#Headers],[Adicional Motorista II (Gratificação)]])-2,0)*($G76-$H76)</f>
        <v>0</v>
      </c>
      <c r="N76" s="21">
        <f>VLOOKUP($A76,tabCustoUnit[],COLUMN(CUSTO_GLOBAL[[#Headers],[Adicional de Sobreaviso]])-2,0)*($G76-$H76)</f>
        <v>0</v>
      </c>
      <c r="O76" s="21">
        <f>VLOOKUP($A76,tabCustoUnit[],COLUMN(CUSTO_GLOBAL[[#Headers],[Horas Extras TI]])-2,0)*($G76-$H76)</f>
        <v>0</v>
      </c>
      <c r="P76" s="21">
        <f>VLOOKUP($A76,tabCustoUnit[],COLUMN(CUSTO_GLOBAL[[#Headers],[Adicional de Acúmulo de função]])-2,0)*($G76-$H76)</f>
        <v>52.241900000000001</v>
      </c>
      <c r="Q76" s="21">
        <f>VLOOKUP($A76,tabCustoUnit[],COLUMN(CUSTO_GLOBAL[[#Headers],[MODULO 1 - REMUNERAÇÃO ]])-2,0)*($G76-$H76)</f>
        <v>1648.5219</v>
      </c>
      <c r="R76" s="21">
        <f>VLOOKUP($A76,tabCustoUnit[],COLUMN(CUSTO_GLOBAL[[#Headers],[INSS]])-2,0)*($G76-$H76)</f>
        <v>329.70438000000001</v>
      </c>
      <c r="S76" s="21">
        <f>VLOOKUP($A76,tabCustoUnit[],COLUMN(CUSTO_GLOBAL[[#Headers],[SESI OU SESC]])-2,0)*($G76-$H76)</f>
        <v>24.727828499999998</v>
      </c>
      <c r="T76" s="21">
        <f>VLOOKUP($A76,tabCustoUnit[],COLUMN(CUSTO_GLOBAL[[#Headers],[SENAI OU SENAC]])-2,0)*($G76-$H76)</f>
        <v>16.485219000000001</v>
      </c>
      <c r="U76" s="21">
        <f>VLOOKUP($A76,tabCustoUnit[],COLUMN(CUSTO_GLOBAL[[#Headers],[INCRA]])-2,0)*($G76-$H76)</f>
        <v>3.2970438</v>
      </c>
      <c r="V76" s="21">
        <f>VLOOKUP($A76,tabCustoUnit[],COLUMN(CUSTO_GLOBAL[[#Headers],[Salário Educação]])-2,0)*($G76-$H76)</f>
        <v>41.213047500000002</v>
      </c>
      <c r="W76" s="21">
        <f>VLOOKUP($A76,tabCustoUnit[],COLUMN(CUSTO_GLOBAL[[#Headers],[FGTS]])-2,0)*($G76-$H76)</f>
        <v>131.88175200000001</v>
      </c>
      <c r="X76" s="21">
        <f>VLOOKUP($A76,tabCustoUnit[],COLUMN(CUSTO_GLOBAL[[#Headers],[RAT Ajustado]])-2,0)*($G76-$H76)</f>
        <v>65.940876000000003</v>
      </c>
      <c r="Y76" s="21">
        <f>VLOOKUP($A76,tabCustoUnit[],COLUMN(CUSTO_GLOBAL[[#Headers],[SEBRAE]])-2,0)*($G76-$H76)</f>
        <v>9.8911314000000008</v>
      </c>
      <c r="Z76" s="21">
        <f>VLOOKUP($A76,tabCustoUnit[],COLUMN(CUSTO_GLOBAL[[#Headers],[Submódulo 2.1]])-2,0)*($G76-$H76)</f>
        <v>623.14127819999999</v>
      </c>
      <c r="AA76" s="21">
        <f>VLOOKUP($A76,tabCustoUnit[],COLUMN(CUSTO_GLOBAL[[#Headers],[13º salário (titular)]])-2,0)*($G76-$H76)</f>
        <v>137.376825</v>
      </c>
      <c r="AB76" s="21">
        <f>VLOOKUP($A76,tabCustoUnit[],COLUMN(CUSTO_GLOBAL[[#Headers],[Férias e Adicional de Férias (titular)]])-2,0)*($G76-$H76)</f>
        <v>183.16909999999999</v>
      </c>
      <c r="AC76" s="21">
        <f>VLOOKUP($A76,tabCustoUnit[],COLUMN(CUSTO_GLOBAL[[#Headers],[Incidência do Submódulo 2.1 sobre 13º Salário, Férias e Adicional de Férias]])-2,0)*($G76-$H76)</f>
        <v>121.16635965</v>
      </c>
      <c r="AD76" s="21">
        <f>VLOOKUP($A76,tabCustoUnit[],COLUMN(CUSTO_GLOBAL[[#Headers],[Submódulo 2.2]])-2,0)*($G76-$H76)</f>
        <v>441.71228465000002</v>
      </c>
      <c r="AE76" s="22">
        <f>VLOOKUP($A76,tabCustoUnit[],COLUMN(CUSTO_GLOBAL[[#Headers],[Vale - Transporte (Descontada parcela do empregado)]])-2,0)*($G76-$H76)</f>
        <v>160.22320000000002</v>
      </c>
      <c r="AF76" s="22">
        <f>VLOOKUP($A76,tabCustoUnit[],COLUMN(CUSTO_GLOBAL[[#Headers],[Vale - Alimentação (Descontada parcela do empregado)]])-2,0)*($G76-$H76)</f>
        <v>582</v>
      </c>
      <c r="AG76" s="22">
        <f>VLOOKUP($A76,tabCustoUnit[],COLUMN(CUSTO_GLOBAL[[#Headers],[Cesta Básica]])-2,0)*($G76-$H76)</f>
        <v>0</v>
      </c>
      <c r="AH76" s="22">
        <f>VLOOKUP($A76,tabCustoUnit[],COLUMN(CUSTO_GLOBAL[[#Headers],[PAF]])-2,0)*($G76-$H76)</f>
        <v>0</v>
      </c>
      <c r="AI76" s="22">
        <f>VLOOKUP($A76,tabCustoUnit[],COLUMN(CUSTO_GLOBAL[[#Headers],[PQM]])-2,0)*($G76-$H76)</f>
        <v>0</v>
      </c>
      <c r="AJ76" s="22">
        <v>0</v>
      </c>
      <c r="AK76" s="22">
        <f>VLOOKUP($A76,tabCustoUnit[],COLUMN(CUSTO_GLOBAL[[#Headers],[Seguro de Vida]])-2,0)*($G76-$H76)</f>
        <v>3.36</v>
      </c>
      <c r="AL76" s="22">
        <f>VLOOKUP($A76,tabCustoUnit[],COLUMN(CUSTO_GLOBAL[[#Headers],[Despesas de Viagem]])-2,0)*($G76-$H76)</f>
        <v>0</v>
      </c>
      <c r="AM76" s="22">
        <f>VLOOKUP($A76,tabCustoUnit[],COLUMN(CUSTO_GLOBAL[[#Headers],[Submódulo 2.3]])-2,0)*($G76-$H76)</f>
        <v>745.58320000000003</v>
      </c>
      <c r="AN76" s="22">
        <f>VLOOKUP($A76,tabCustoUnit[],COLUMN(CUSTO_GLOBAL[[#Headers],[MÓDULO 2 - Total Encargos e Benefícios mensais e diários]])-2,0)*($G76-$H76)</f>
        <v>1810.4367628499999</v>
      </c>
      <c r="AO76" s="22">
        <f>VLOOKUP($A76,tabCustoUnit[],COLUMN(CUSTO_GLOBAL[[#Headers],[Aviso Prévio Indenizado (API) e Reflexo do Aviso Prévio Indenizado]])-2,0)*($G76-$H76)</f>
        <v>11.559051416493055</v>
      </c>
      <c r="AP76" s="22">
        <f>VLOOKUP($A76,tabCustoUnit[],COLUMN(CUSTO_GLOBAL[[#Headers],[Incidência do FGTS sobre API e Reflexo do API]])-2,0)*($G76-$H76)</f>
        <v>0.92472411331944449</v>
      </c>
      <c r="AQ76" s="22">
        <f>VLOOKUP($A76,tabCustoUnit[],COLUMN(CUSTO_GLOBAL[[#Headers],[Multa Rescisória do FGTS sobre o Aviso Prévio Indenizado]])-2,0)*($G76-$H76)</f>
        <v>0.36988964532777785</v>
      </c>
      <c r="AR76" s="22">
        <f>VLOOKUP($A76,tabCustoUnit[],COLUMN(CUSTO_GLOBAL[[#Headers],[Aviso Prévio Trabalhado - APT]])-2,0)*($G76-$H76)</f>
        <v>5.7698266500000006</v>
      </c>
      <c r="AS76" s="22">
        <f>VLOOKUP($A76,tabCustoUnit[],COLUMN(CUSTO_GLOBAL[[#Headers],[Incidência dos encargos do submódulo 2.1 sobre Aviso Prévio Trabalhado]])-2,0)*($G76-$H76)</f>
        <v>2.1809944737000007</v>
      </c>
      <c r="AT76" s="22">
        <f>VLOOKUP($A76,tabCustoUnit[],COLUMN(CUSTO_GLOBAL[[#Headers],[Multa Rescisória do FGTS]])-2,0)*($G76-$H76)</f>
        <v>50.40813631999999</v>
      </c>
      <c r="AU76" s="22">
        <f>VLOOKUP($A76,tabCustoUnit[],COLUMN(CUSTO_GLOBAL[[#Headers],[Indenização Adicional (Art. 9º da Lei nº 7.238/84)]])-2,0)*($G76-$H76)</f>
        <v>1.3737682500000001</v>
      </c>
      <c r="AV76" s="22">
        <f>VLOOKUP($A76,tabCustoUnit[],COLUMN(CUSTO_GLOBAL[[#Headers],[MÓDULO 3 – PROVISÃO PARA RESCISÃO]])-2,0)*($G76-$H76)</f>
        <v>72.586390868840269</v>
      </c>
      <c r="AW76" s="22">
        <f>VLOOKUP($A76,tabCustoUnit[],COLUMN(CUSTO_GLOBAL[[#Headers],[Ausência por Doença]])-2,0)*($G76-$H76)</f>
        <v>13.920851599999999</v>
      </c>
      <c r="AX76" s="22">
        <f>VLOOKUP($A76,tabCustoUnit[],COLUMN(CUSTO_GLOBAL[[#Headers],[Ausências Legais]])-2,0)*($G76-$H76)</f>
        <v>3.3428360749999997</v>
      </c>
      <c r="AY76" s="22">
        <f>VLOOKUP($A76,tabCustoUnit[],COLUMN(CUSTO_GLOBAL[[#Headers],[Licença Paternidade]])-2,0)*($G76-$H76)</f>
        <v>0.28162249125</v>
      </c>
      <c r="AZ76" s="22">
        <f>VLOOKUP($A76,tabCustoUnit[],COLUMN(CUSTO_GLOBAL[[#Headers],[Ausência por Acidente de Trabalho]])-2,0)*($G76-$H76)</f>
        <v>0.34344206250000003</v>
      </c>
      <c r="BA76" s="22">
        <f>VLOOKUP($A76,tabCustoUnit[],COLUMN(CUSTO_GLOBAL[[#Headers],[Férias, Adicional de Férias e 13º  com empregada em gozo de Licença Maternidade]])-2,0)*($G76-$H76)</f>
        <v>2.1369728333333331</v>
      </c>
      <c r="BB76" s="22">
        <f>VLOOKUP($A76,tabCustoUnit[],COLUMN(CUSTO_GLOBAL[[#Headers],[Incidência do Submódulo 2.1 sobre Ausências Legais]])-2,0)*($G76-$H76)</f>
        <v>7.5697240734675013</v>
      </c>
      <c r="BC76" s="22">
        <f>VLOOKUP($A76,tabCustoUnit[],COLUMN(CUSTO_GLOBAL[[#Headers],[Submódulo 4.1]])-2,0)*($G76-$H76)</f>
        <v>27.595449135550833</v>
      </c>
      <c r="BD76" s="22">
        <f>VLOOKUP($A76,tabCustoUnit[],COLUMN(CUSTO_GLOBAL[[#Headers],[Intervalo para Repouso ou Alimentação]])-2,0)*($G76-$H76)</f>
        <v>0</v>
      </c>
      <c r="BE76" s="22">
        <f>VLOOKUP($A76,tabCustoUnit[],COLUMN(CUSTO_GLOBAL[[#Headers],[Submódulo 4.2]])-2,0)*($G76-$H76)</f>
        <v>0</v>
      </c>
      <c r="BF76" s="22">
        <f>VLOOKUP($A76,tabCustoUnit[],COLUMN(CUSTO_GLOBAL[[#Headers],[Suspensão Temporária do Contrato de Trabalho]])-2,0)*($G76-$H76)</f>
        <v>0</v>
      </c>
      <c r="BG76" s="22">
        <f>VLOOKUP($A76,tabCustoUnit[],COLUMN(CUSTO_GLOBAL[[#Headers],[Submódulo 4.3]])-2,0)*($G76-$H76)</f>
        <v>0</v>
      </c>
      <c r="BH76" s="22">
        <f>VLOOKUP($A76,tabCustoUnit[],COLUMN(CUSTO_GLOBAL[[#Headers],[MÓDULO 4 – CUSTO DE REPOSIÇÃO DO PROFISSIONAL AUSENTE]])-2,0)*($G76-$H76)</f>
        <v>27.595449135550833</v>
      </c>
      <c r="BI76" s="22">
        <f>VLOOKUP($A76,tabCustoUnit[],COLUMN(CUSTO_GLOBAL[[#Headers],[Uniformes e EPIs]])-2,0)*($G76-$H76)</f>
        <v>100.80916666666666</v>
      </c>
      <c r="BJ76" s="22">
        <f>VLOOKUP($A76,tabCustoUnit[],COLUMN(CUSTO_GLOBAL[[#Headers],[Materiais de Consumo]])-2,0)*($G76-$H76)</f>
        <v>35.518212958583888</v>
      </c>
      <c r="BK76" s="22">
        <f>VLOOKUP($A76,tabCustoUnit[],COLUMN(CUSTO_GLOBAL[[#Headers],[Máquinas e Equipamentos (depreciação)]])-2,0)*($G76-$H76)</f>
        <v>64.529393914825576</v>
      </c>
      <c r="BL76" s="22">
        <f>VLOOKUP($A76,tabCustoUnit[],COLUMN(CUSTO_GLOBAL[[#Headers],[Produtos de Limpeza e Materiais de Higiene Pessoal]])-2,0)*($G76-$H76)</f>
        <v>690.27153277931654</v>
      </c>
      <c r="BM76" s="22">
        <f>VLOOKUP($A76,tabCustoUnit[],COLUMN(CUSTO_GLOBAL[[#Headers],[Outros (especificar)]])-2,0)*($G76-$H76)</f>
        <v>0</v>
      </c>
      <c r="BN76" s="22">
        <f>VLOOKUP($A76,tabCustoUnit[],COLUMN(CUSTO_GLOBAL[[#Headers],[MÓDULO 5 – INSUMOS DIVERSOS]])-2,0)*($G76-$H76)</f>
        <v>891.12830631939266</v>
      </c>
      <c r="BO76" s="22">
        <f>VLOOKUP($A76,tabCustoUnit[],COLUMN(CUSTO_GLOBAL[[#Headers],[TOTAL MÓDULOS 1+2+3+4+5]])-2,0)*($G76-$H76)</f>
        <v>4450.2688091737837</v>
      </c>
      <c r="BP76" s="22">
        <f>VLOOKUP($A76,tabCustoUnit[],COLUMN(CUSTO_GLOBAL[[#Headers],[Custos Indiretos]])-2,0)*($G76-$H76)</f>
        <v>189.64880140242613</v>
      </c>
      <c r="BQ76" s="22">
        <f>VLOOKUP($A76,tabCustoUnit[],COLUMN(CUSTO_GLOBAL[[#Headers],[Lucro]])-2,0)*($G76-$H76)</f>
        <v>159.30499317803796</v>
      </c>
      <c r="BR76" s="26">
        <f>VLOOKUP($A76,tabCustoUnit[],COLUMN(CUSTO_GLOBAL[[#Headers],[COFINS]])-2,0)</f>
        <v>8.6609686609686695E-2</v>
      </c>
      <c r="BS76" s="26">
        <f>VLOOKUP($A76,tabCustoUnit[],COLUMN(CUSTO_GLOBAL[[#Headers],[PIS]])-2,0)</f>
        <v>1.880341880341882E-2</v>
      </c>
      <c r="BT76" s="28">
        <f>VLOOKUP($A76,tabCustoUnit[],COLUMN(CUSTO_GLOBAL[[#Headers],[ISS]])-2,0)</f>
        <v>0.03</v>
      </c>
      <c r="BU76" s="26">
        <f>VLOOKUP($A76,tabCustoUnit[],COLUMN(CUSTO_GLOBAL[[#Headers],[ISS (Conversão Alíquota s/ fatura)]])-2,0)</f>
        <v>3.4188034188034219E-2</v>
      </c>
      <c r="BV76" s="26">
        <f>VLOOKUP($A76,tabCustoUnit[],COLUMN(CUSTO_GLOBAL[[#Headers],[Resumo de Alíquotas (PIS+CONFINS+ISS)]])-2,0)</f>
        <v>0.1225</v>
      </c>
      <c r="BW76" s="138">
        <f>VLOOKUP($A76,tabCustoUnit[],COLUMN(CUSTO_GLOBAL[[#Headers],[PIS + COFINS + ISS (Total Conversão  Alíquota s/ Fatura)]])-2,0)</f>
        <v>0.13960113960113973</v>
      </c>
      <c r="BX76" s="22">
        <f>VLOOKUP($A76,tabCustoUnit[],COLUMN(CUSTO_GLOBAL[[#Headers],[Valor dos Tributos (ISS, PIS, CONFINS)]])-2,0)*($G76-$H76)</f>
        <v>669.97694468364205</v>
      </c>
      <c r="BY76" s="22">
        <f>VLOOKUP($A76,tabCustoUnit[],COLUMN(CUSTO_GLOBAL[[#Headers],[MÓDULO 6 – CUSTOS INDIRETOS, TRIBUTOS E LUCRO]])-2,0)*($G76-$H76)</f>
        <v>1018.9307392641061</v>
      </c>
      <c r="BZ76" s="22">
        <f>VLOOKUP($A76,tabCustoUnit[],COLUMN(CUSTO_GLOBAL[[#Headers],[CUSTO TOTAL MENSAL]])-2,0)*($G76-$H76)</f>
        <v>5469.1995484378895</v>
      </c>
      <c r="CA76" s="22">
        <f>CUSTO_GLOBAL[[#This Row],[CUSTO TOTAL MENSAL]]*12</f>
        <v>65630.394581254674</v>
      </c>
      <c r="CB76" s="24">
        <f>VLOOKUP($A76,tabCustoUnit[],COLUMN(CUSTO_GLOBAL[[#Headers],[ANO DA CCT]])-2,0)</f>
        <v>45658</v>
      </c>
      <c r="CC76" s="25" t="str">
        <f>VLOOKUP($A76,tabCustoUnit[],COLUMN(CUSTO_GLOBAL[[#Headers],[Nº DE PEDIDO DA CCT]])-2,0)</f>
        <v>-</v>
      </c>
      <c r="CD76" s="25" t="str">
        <f>VLOOKUP($A76,tabCustoUnit[],COLUMN(CUSTO_GLOBAL[[#Headers],[TERMO ADITIVO  ALTERAÇÃO DA CCT]])-2,0)</f>
        <v>-</v>
      </c>
      <c r="CF76" s="22"/>
      <c r="CG76" s="22"/>
    </row>
    <row r="77" spans="1:85" x14ac:dyDescent="0.25">
      <c r="A77" s="20" t="s">
        <v>1417</v>
      </c>
      <c r="B77" t="s">
        <v>74</v>
      </c>
      <c r="C77" t="s">
        <v>1244</v>
      </c>
      <c r="D77" t="s">
        <v>1000</v>
      </c>
      <c r="E77" s="20" t="s">
        <v>9</v>
      </c>
      <c r="F77" s="20" t="s">
        <v>10</v>
      </c>
      <c r="G77" s="20">
        <v>1</v>
      </c>
      <c r="H77" s="20">
        <v>0</v>
      </c>
      <c r="I77" s="21">
        <f>VLOOKUP($A77,tabCustoUnit[],COLUMN(CUSTO_GLOBAL[[#Headers],[Salário Base]])-2,0)*($G77-$H77)</f>
        <v>798.14</v>
      </c>
      <c r="J77" s="21">
        <f>VLOOKUP($A77,tabCustoUnit[],COLUMN(CUSTO_GLOBAL[[#Headers],[Adicional Periculosidade]])-2,0)*($G77-$H77)</f>
        <v>0</v>
      </c>
      <c r="K77" s="21">
        <f>VLOOKUP($A77,tabCustoUnit[],COLUMN(CUSTO_GLOBAL[[#Headers],[Adicional Insalubridade]])-2,0)*($G77-$H77)</f>
        <v>0</v>
      </c>
      <c r="L77" s="21">
        <f>VLOOKUP($A77,tabCustoUnit[],COLUMN(CUSTO_GLOBAL[[#Headers],[Adicional Noturno]])-2,0)*($G77-$H77)</f>
        <v>0</v>
      </c>
      <c r="M77" s="21">
        <f>VLOOKUP($A77,tabCustoUnit[],COLUMN(CUSTO_GLOBAL[[#Headers],[Adicional Motorista II (Gratificação)]])-2,0)*($G77-$H77)</f>
        <v>0</v>
      </c>
      <c r="N77" s="21">
        <f>VLOOKUP($A77,tabCustoUnit[],COLUMN(CUSTO_GLOBAL[[#Headers],[Adicional de Sobreaviso]])-2,0)*($G77-$H77)</f>
        <v>0</v>
      </c>
      <c r="O77" s="21">
        <f>VLOOKUP($A77,tabCustoUnit[],COLUMN(CUSTO_GLOBAL[[#Headers],[Horas Extras TI]])-2,0)*($G77-$H77)</f>
        <v>0</v>
      </c>
      <c r="P77" s="21">
        <f>VLOOKUP($A77,tabCustoUnit[],COLUMN(CUSTO_GLOBAL[[#Headers],[Adicional de Acúmulo de função]])-2,0)*($G77-$H77)</f>
        <v>26.120899999999999</v>
      </c>
      <c r="Q77" s="21">
        <f>VLOOKUP($A77,tabCustoUnit[],COLUMN(CUSTO_GLOBAL[[#Headers],[MODULO 1 - REMUNERAÇÃO ]])-2,0)*($G77-$H77)</f>
        <v>824.26089999999999</v>
      </c>
      <c r="R77" s="21">
        <f>VLOOKUP($A77,tabCustoUnit[],COLUMN(CUSTO_GLOBAL[[#Headers],[INSS]])-2,0)*($G77-$H77)</f>
        <v>164.85218</v>
      </c>
      <c r="S77" s="21">
        <f>VLOOKUP($A77,tabCustoUnit[],COLUMN(CUSTO_GLOBAL[[#Headers],[SESI OU SESC]])-2,0)*($G77-$H77)</f>
        <v>12.363913499999999</v>
      </c>
      <c r="T77" s="21">
        <f>VLOOKUP($A77,tabCustoUnit[],COLUMN(CUSTO_GLOBAL[[#Headers],[SENAI OU SENAC]])-2,0)*($G77-$H77)</f>
        <v>8.2426089999999999</v>
      </c>
      <c r="U77" s="21">
        <f>VLOOKUP($A77,tabCustoUnit[],COLUMN(CUSTO_GLOBAL[[#Headers],[INCRA]])-2,0)*($G77-$H77)</f>
        <v>1.6485217999999999</v>
      </c>
      <c r="V77" s="21">
        <f>VLOOKUP($A77,tabCustoUnit[],COLUMN(CUSTO_GLOBAL[[#Headers],[Salário Educação]])-2,0)*($G77-$H77)</f>
        <v>20.606522500000001</v>
      </c>
      <c r="W77" s="21">
        <f>VLOOKUP($A77,tabCustoUnit[],COLUMN(CUSTO_GLOBAL[[#Headers],[FGTS]])-2,0)*($G77-$H77)</f>
        <v>65.940871999999999</v>
      </c>
      <c r="X77" s="21">
        <f>VLOOKUP($A77,tabCustoUnit[],COLUMN(CUSTO_GLOBAL[[#Headers],[RAT Ajustado]])-2,0)*($G77-$H77)</f>
        <v>32.970435999999999</v>
      </c>
      <c r="Y77" s="21">
        <f>VLOOKUP($A77,tabCustoUnit[],COLUMN(CUSTO_GLOBAL[[#Headers],[SEBRAE]])-2,0)*($G77-$H77)</f>
        <v>4.9455654000000004</v>
      </c>
      <c r="Z77" s="21">
        <f>VLOOKUP($A77,tabCustoUnit[],COLUMN(CUSTO_GLOBAL[[#Headers],[Submódulo 2.1]])-2,0)*($G77-$H77)</f>
        <v>311.57062020000001</v>
      </c>
      <c r="AA77" s="21">
        <f>VLOOKUP($A77,tabCustoUnit[],COLUMN(CUSTO_GLOBAL[[#Headers],[13º salário (titular)]])-2,0)*($G77-$H77)</f>
        <v>68.688408333333328</v>
      </c>
      <c r="AB77" s="21">
        <f>VLOOKUP($A77,tabCustoUnit[],COLUMN(CUSTO_GLOBAL[[#Headers],[Férias e Adicional de Férias (titular)]])-2,0)*($G77-$H77)</f>
        <v>91.584544444444433</v>
      </c>
      <c r="AC77" s="21">
        <f>VLOOKUP($A77,tabCustoUnit[],COLUMN(CUSTO_GLOBAL[[#Headers],[Incidência do Submódulo 2.1 sobre 13º Salário, Férias e Adicional de Férias]])-2,0)*($G77-$H77)</f>
        <v>60.583176149999993</v>
      </c>
      <c r="AD77" s="21">
        <f>VLOOKUP($A77,tabCustoUnit[],COLUMN(CUSTO_GLOBAL[[#Headers],[Submódulo 2.2]])-2,0)*($G77-$H77)</f>
        <v>220.85612892777775</v>
      </c>
      <c r="AE77" s="22">
        <f>VLOOKUP($A77,tabCustoUnit[],COLUMN(CUSTO_GLOBAL[[#Headers],[Vale - Transporte (Descontada parcela do empregado)]])-2,0)*($G77-$H77)</f>
        <v>208.11160000000001</v>
      </c>
      <c r="AF77" s="22">
        <f>VLOOKUP($A77,tabCustoUnit[],COLUMN(CUSTO_GLOBAL[[#Headers],[Vale - Alimentação (Descontada parcela do empregado)]])-2,0)*($G77-$H77)</f>
        <v>582</v>
      </c>
      <c r="AG77" s="22">
        <f>VLOOKUP($A77,tabCustoUnit[],COLUMN(CUSTO_GLOBAL[[#Headers],[Cesta Básica]])-2,0)*($G77-$H77)</f>
        <v>0</v>
      </c>
      <c r="AH77" s="22">
        <f>VLOOKUP($A77,tabCustoUnit[],COLUMN(CUSTO_GLOBAL[[#Headers],[PAF]])-2,0)*($G77-$H77)</f>
        <v>0</v>
      </c>
      <c r="AI77" s="22">
        <f>VLOOKUP($A77,tabCustoUnit[],COLUMN(CUSTO_GLOBAL[[#Headers],[PQM]])-2,0)*($G77-$H77)</f>
        <v>15.07</v>
      </c>
      <c r="AJ77" s="22">
        <v>0</v>
      </c>
      <c r="AK77" s="22">
        <f>VLOOKUP($A77,tabCustoUnit[],COLUMN(CUSTO_GLOBAL[[#Headers],[Seguro de Vida]])-2,0)*($G77-$H77)</f>
        <v>3.36</v>
      </c>
      <c r="AL77" s="22">
        <f>VLOOKUP($A77,tabCustoUnit[],COLUMN(CUSTO_GLOBAL[[#Headers],[Despesas de Viagem]])-2,0)*($G77-$H77)</f>
        <v>0</v>
      </c>
      <c r="AM77" s="22">
        <f>VLOOKUP($A77,tabCustoUnit[],COLUMN(CUSTO_GLOBAL[[#Headers],[Submódulo 2.3]])-2,0)*($G77-$H77)</f>
        <v>808.54160000000002</v>
      </c>
      <c r="AN77" s="22">
        <f>VLOOKUP($A77,tabCustoUnit[],COLUMN(CUSTO_GLOBAL[[#Headers],[MÓDULO 2 - Total Encargos e Benefícios mensais e diários]])-2,0)*($G77-$H77)</f>
        <v>1340.9683491277779</v>
      </c>
      <c r="AO77" s="22">
        <f>VLOOKUP($A77,tabCustoUnit[],COLUMN(CUSTO_GLOBAL[[#Headers],[Aviso Prévio Indenizado (API) e Reflexo do Aviso Prévio Indenizado]])-2,0)*($G77-$H77)</f>
        <v>5.7795253576581791</v>
      </c>
      <c r="AP77" s="22">
        <f>VLOOKUP($A77,tabCustoUnit[],COLUMN(CUSTO_GLOBAL[[#Headers],[Incidência do FGTS sobre API e Reflexo do API]])-2,0)*($G77-$H77)</f>
        <v>0.46236202861265435</v>
      </c>
      <c r="AQ77" s="22">
        <f>VLOOKUP($A77,tabCustoUnit[],COLUMN(CUSTO_GLOBAL[[#Headers],[Multa Rescisória do FGTS sobre o Aviso Prévio Indenizado]])-2,0)*($G77-$H77)</f>
        <v>0.18494481144506175</v>
      </c>
      <c r="AR77" s="22">
        <f>VLOOKUP($A77,tabCustoUnit[],COLUMN(CUSTO_GLOBAL[[#Headers],[Aviso Prévio Trabalhado - APT]])-2,0)*($G77-$H77)</f>
        <v>2.8849131500000005</v>
      </c>
      <c r="AS77" s="22">
        <f>VLOOKUP($A77,tabCustoUnit[],COLUMN(CUSTO_GLOBAL[[#Headers],[Incidência dos encargos do submódulo 2.1 sobre Aviso Prévio Trabalhado]])-2,0)*($G77-$H77)</f>
        <v>1.0904971707000004</v>
      </c>
      <c r="AT77" s="22">
        <f>VLOOKUP($A77,tabCustoUnit[],COLUMN(CUSTO_GLOBAL[[#Headers],[Multa Rescisória do FGTS]])-2,0)*($G77-$H77)</f>
        <v>25.204066631111107</v>
      </c>
      <c r="AU77" s="22">
        <f>VLOOKUP($A77,tabCustoUnit[],COLUMN(CUSTO_GLOBAL[[#Headers],[Indenização Adicional (Art. 9º da Lei nº 7.238/84)]])-2,0)*($G77-$H77)</f>
        <v>0.6868840833333334</v>
      </c>
      <c r="AV77" s="22">
        <f>VLOOKUP($A77,tabCustoUnit[],COLUMN(CUSTO_GLOBAL[[#Headers],[MÓDULO 3 – PROVISÃO PARA RESCISÃO]])-2,0)*($G77-$H77)</f>
        <v>36.293193232860339</v>
      </c>
      <c r="AW77" s="22">
        <f>VLOOKUP($A77,tabCustoUnit[],COLUMN(CUSTO_GLOBAL[[#Headers],[Ausência por Doença]])-2,0)*($G77-$H77)</f>
        <v>6.9604253777777769</v>
      </c>
      <c r="AX77" s="22">
        <f>VLOOKUP($A77,tabCustoUnit[],COLUMN(CUSTO_GLOBAL[[#Headers],[Ausências Legais]])-2,0)*($G77-$H77)</f>
        <v>1.671417936111111</v>
      </c>
      <c r="AY77" s="22">
        <f>VLOOKUP($A77,tabCustoUnit[],COLUMN(CUSTO_GLOBAL[[#Headers],[Licença Paternidade]])-2,0)*($G77-$H77)</f>
        <v>0.14081123708333332</v>
      </c>
      <c r="AZ77" s="22">
        <f>VLOOKUP($A77,tabCustoUnit[],COLUMN(CUSTO_GLOBAL[[#Headers],[Ausência por Acidente de Trabalho]])-2,0)*($G77-$H77)</f>
        <v>0.17172102083333335</v>
      </c>
      <c r="BA77" s="22">
        <f>VLOOKUP($A77,tabCustoUnit[],COLUMN(CUSTO_GLOBAL[[#Headers],[Férias, Adicional de Férias e 13º  com empregada em gozo de Licença Maternidade]])-2,0)*($G77-$H77)</f>
        <v>1.0684863518518517</v>
      </c>
      <c r="BB77" s="22">
        <f>VLOOKUP($A77,tabCustoUnit[],COLUMN(CUSTO_GLOBAL[[#Headers],[Incidência do Submódulo 2.1 sobre Ausências Legais]])-2,0)*($G77-$H77)</f>
        <v>3.7848618071425006</v>
      </c>
      <c r="BC77" s="22">
        <f>VLOOKUP($A77,tabCustoUnit[],COLUMN(CUSTO_GLOBAL[[#Headers],[Submódulo 4.1]])-2,0)*($G77-$H77)</f>
        <v>13.797723730799909</v>
      </c>
      <c r="BD77" s="22">
        <f>VLOOKUP($A77,tabCustoUnit[],COLUMN(CUSTO_GLOBAL[[#Headers],[Intervalo para Repouso ou Alimentação]])-2,0)*($G77-$H77)</f>
        <v>0</v>
      </c>
      <c r="BE77" s="22">
        <f>VLOOKUP($A77,tabCustoUnit[],COLUMN(CUSTO_GLOBAL[[#Headers],[Submódulo 4.2]])-2,0)*($G77-$H77)</f>
        <v>0</v>
      </c>
      <c r="BF77" s="22">
        <f>VLOOKUP($A77,tabCustoUnit[],COLUMN(CUSTO_GLOBAL[[#Headers],[Suspensão Temporária do Contrato de Trabalho]])-2,0)*($G77-$H77)</f>
        <v>0</v>
      </c>
      <c r="BG77" s="22">
        <f>VLOOKUP($A77,tabCustoUnit[],COLUMN(CUSTO_GLOBAL[[#Headers],[Submódulo 4.3]])-2,0)*($G77-$H77)</f>
        <v>0</v>
      </c>
      <c r="BH77" s="22">
        <f>VLOOKUP($A77,tabCustoUnit[],COLUMN(CUSTO_GLOBAL[[#Headers],[MÓDULO 4 – CUSTO DE REPOSIÇÃO DO PROFISSIONAL AUSENTE]])-2,0)*($G77-$H77)</f>
        <v>13.797723730799909</v>
      </c>
      <c r="BI77" s="22">
        <f>VLOOKUP($A77,tabCustoUnit[],COLUMN(CUSTO_GLOBAL[[#Headers],[Uniformes e EPIs]])-2,0)*($G77-$H77)</f>
        <v>62.806666666666665</v>
      </c>
      <c r="BJ77" s="22">
        <f>VLOOKUP($A77,tabCustoUnit[],COLUMN(CUSTO_GLOBAL[[#Headers],[Materiais de Consumo]])-2,0)*($G77-$H77)</f>
        <v>17.759106479291944</v>
      </c>
      <c r="BK77" s="22">
        <f>VLOOKUP($A77,tabCustoUnit[],COLUMN(CUSTO_GLOBAL[[#Headers],[Máquinas e Equipamentos (depreciação)]])-2,0)*($G77-$H77)</f>
        <v>32.264696957412788</v>
      </c>
      <c r="BL77" s="22">
        <f>VLOOKUP($A77,tabCustoUnit[],COLUMN(CUSTO_GLOBAL[[#Headers],[Produtos de Limpeza e Materiais de Higiene Pessoal]])-2,0)*($G77-$H77)</f>
        <v>345.13576638965827</v>
      </c>
      <c r="BM77" s="22">
        <f>VLOOKUP($A77,tabCustoUnit[],COLUMN(CUSTO_GLOBAL[[#Headers],[Outros (especificar)]])-2,0)*($G77-$H77)</f>
        <v>0</v>
      </c>
      <c r="BN77" s="22">
        <f>VLOOKUP($A77,tabCustoUnit[],COLUMN(CUSTO_GLOBAL[[#Headers],[MÓDULO 5 – INSUMOS DIVERSOS]])-2,0)*($G77-$H77)</f>
        <v>457.96623649302967</v>
      </c>
      <c r="BO77" s="22">
        <f>VLOOKUP($A77,tabCustoUnit[],COLUMN(CUSTO_GLOBAL[[#Headers],[TOTAL MÓDULOS 1+2+3+4+5]])-2,0)*($G77-$H77)</f>
        <v>2673.2864025844674</v>
      </c>
      <c r="BP77" s="22">
        <f>VLOOKUP($A77,tabCustoUnit[],COLUMN(CUSTO_GLOBAL[[#Headers],[Custos Indiretos]])-2,0)*($G77-$H77)</f>
        <v>189.64880140242613</v>
      </c>
      <c r="BQ77" s="22">
        <f>VLOOKUP($A77,tabCustoUnit[],COLUMN(CUSTO_GLOBAL[[#Headers],[Lucro]])-2,0)*($G77-$H77)</f>
        <v>159.30499317803796</v>
      </c>
      <c r="BR77" s="26">
        <f>VLOOKUP($A77,tabCustoUnit[],COLUMN(CUSTO_GLOBAL[[#Headers],[COFINS]])-2,0)</f>
        <v>8.6609686609686695E-2</v>
      </c>
      <c r="BS77" s="26">
        <f>VLOOKUP($A77,tabCustoUnit[],COLUMN(CUSTO_GLOBAL[[#Headers],[PIS]])-2,0)</f>
        <v>1.880341880341882E-2</v>
      </c>
      <c r="BT77" s="28">
        <f>VLOOKUP($A77,tabCustoUnit[],COLUMN(CUSTO_GLOBAL[[#Headers],[ISS]])-2,0)</f>
        <v>0.03</v>
      </c>
      <c r="BU77" s="26">
        <f>VLOOKUP($A77,tabCustoUnit[],COLUMN(CUSTO_GLOBAL[[#Headers],[ISS (Conversão Alíquota s/ fatura)]])-2,0)</f>
        <v>3.4188034188034219E-2</v>
      </c>
      <c r="BV77" s="26">
        <f>VLOOKUP($A77,tabCustoUnit[],COLUMN(CUSTO_GLOBAL[[#Headers],[Resumo de Alíquotas (PIS+CONFINS+ISS)]])-2,0)</f>
        <v>0.1225</v>
      </c>
      <c r="BW77" s="138">
        <f>VLOOKUP($A77,tabCustoUnit[],COLUMN(CUSTO_GLOBAL[[#Headers],[PIS + COFINS + ISS (Total Conversão  Alíquota s/ Fatura)]])-2,0)</f>
        <v>0.13960113960113973</v>
      </c>
      <c r="BX77" s="22">
        <f>VLOOKUP($A77,tabCustoUnit[],COLUMN(CUSTO_GLOBAL[[#Headers],[Valor dos Tributos (ISS, PIS, CONFINS)]])-2,0)*($G77-$H77)</f>
        <v>421.90817567259768</v>
      </c>
      <c r="BY77" s="22">
        <f>VLOOKUP($A77,tabCustoUnit[],COLUMN(CUSTO_GLOBAL[[#Headers],[MÓDULO 6 – CUSTOS INDIRETOS, TRIBUTOS E LUCRO]])-2,0)*($G77-$H77)</f>
        <v>770.86197025306183</v>
      </c>
      <c r="BZ77" s="22">
        <f>VLOOKUP($A77,tabCustoUnit[],COLUMN(CUSTO_GLOBAL[[#Headers],[CUSTO TOTAL MENSAL]])-2,0)*($G77-$H77)</f>
        <v>3444.1483728375292</v>
      </c>
      <c r="CA77" s="22">
        <f>CUSTO_GLOBAL[[#This Row],[CUSTO TOTAL MENSAL]]*12</f>
        <v>41329.780474050349</v>
      </c>
      <c r="CB77" s="24">
        <f>VLOOKUP($A77,tabCustoUnit[],COLUMN(CUSTO_GLOBAL[[#Headers],[ANO DA CCT]])-2,0)</f>
        <v>45658</v>
      </c>
      <c r="CC77" s="25" t="str">
        <f>VLOOKUP($A77,tabCustoUnit[],COLUMN(CUSTO_GLOBAL[[#Headers],[Nº DE PEDIDO DA CCT]])-2,0)</f>
        <v>-</v>
      </c>
      <c r="CD77" s="25" t="str">
        <f>VLOOKUP($A77,tabCustoUnit[],COLUMN(CUSTO_GLOBAL[[#Headers],[TERMO ADITIVO  ALTERAÇÃO DA CCT]])-2,0)</f>
        <v>-</v>
      </c>
      <c r="CF77" s="22"/>
      <c r="CG77" s="22"/>
    </row>
    <row r="78" spans="1:85" x14ac:dyDescent="0.25">
      <c r="A78" s="20" t="s">
        <v>1418</v>
      </c>
      <c r="B78" t="s">
        <v>75</v>
      </c>
      <c r="C78" t="s">
        <v>1245</v>
      </c>
      <c r="D78" t="s">
        <v>1045</v>
      </c>
      <c r="E78" s="20" t="s">
        <v>9</v>
      </c>
      <c r="F78" s="20" t="s">
        <v>10</v>
      </c>
      <c r="G78" s="20">
        <v>5</v>
      </c>
      <c r="H78" s="20">
        <v>0</v>
      </c>
      <c r="I78" s="21">
        <f>VLOOKUP($A78,tabCustoUnit[],COLUMN(CUSTO_GLOBAL[[#Headers],[Salário Base]])-2,0)*($G78-$H78)</f>
        <v>8245.5999999999985</v>
      </c>
      <c r="J78" s="21">
        <f>VLOOKUP($A78,tabCustoUnit[],COLUMN(CUSTO_GLOBAL[[#Headers],[Adicional Periculosidade]])-2,0)*($G78-$H78)</f>
        <v>0</v>
      </c>
      <c r="K78" s="21">
        <f>VLOOKUP($A78,tabCustoUnit[],COLUMN(CUSTO_GLOBAL[[#Headers],[Adicional Insalubridade]])-2,0)*($G78-$H78)</f>
        <v>0</v>
      </c>
      <c r="L78" s="21">
        <f>VLOOKUP($A78,tabCustoUnit[],COLUMN(CUSTO_GLOBAL[[#Headers],[Adicional Noturno]])-2,0)*($G78-$H78)</f>
        <v>0</v>
      </c>
      <c r="M78" s="21">
        <f>VLOOKUP($A78,tabCustoUnit[],COLUMN(CUSTO_GLOBAL[[#Headers],[Adicional Motorista II (Gratificação)]])-2,0)*($G78-$H78)</f>
        <v>0</v>
      </c>
      <c r="N78" s="21">
        <f>VLOOKUP($A78,tabCustoUnit[],COLUMN(CUSTO_GLOBAL[[#Headers],[Adicional de Sobreaviso]])-2,0)*($G78-$H78)</f>
        <v>0</v>
      </c>
      <c r="O78" s="21">
        <f>VLOOKUP($A78,tabCustoUnit[],COLUMN(CUSTO_GLOBAL[[#Headers],[Horas Extras TI]])-2,0)*($G78-$H78)</f>
        <v>0</v>
      </c>
      <c r="P78" s="21">
        <f>VLOOKUP($A78,tabCustoUnit[],COLUMN(CUSTO_GLOBAL[[#Headers],[Adicional de Acúmulo de função]])-2,0)*($G78-$H78)</f>
        <v>269.85599999999999</v>
      </c>
      <c r="Q78" s="21">
        <f>VLOOKUP($A78,tabCustoUnit[],COLUMN(CUSTO_GLOBAL[[#Headers],[MODULO 1 - REMUNERAÇÃO ]])-2,0)*($G78-$H78)</f>
        <v>8515.4559999999983</v>
      </c>
      <c r="R78" s="21">
        <f>VLOOKUP($A78,tabCustoUnit[],COLUMN(CUSTO_GLOBAL[[#Headers],[INSS]])-2,0)*($G78-$H78)</f>
        <v>1703.0912000000001</v>
      </c>
      <c r="S78" s="21">
        <f>VLOOKUP($A78,tabCustoUnit[],COLUMN(CUSTO_GLOBAL[[#Headers],[SESI OU SESC]])-2,0)*($G78-$H78)</f>
        <v>127.73183999999999</v>
      </c>
      <c r="T78" s="21">
        <f>VLOOKUP($A78,tabCustoUnit[],COLUMN(CUSTO_GLOBAL[[#Headers],[SENAI OU SENAC]])-2,0)*($G78-$H78)</f>
        <v>85.154559999999989</v>
      </c>
      <c r="U78" s="21">
        <f>VLOOKUP($A78,tabCustoUnit[],COLUMN(CUSTO_GLOBAL[[#Headers],[INCRA]])-2,0)*($G78-$H78)</f>
        <v>17.030911999999997</v>
      </c>
      <c r="V78" s="21">
        <f>VLOOKUP($A78,tabCustoUnit[],COLUMN(CUSTO_GLOBAL[[#Headers],[Salário Educação]])-2,0)*($G78-$H78)</f>
        <v>212.88640000000001</v>
      </c>
      <c r="W78" s="21">
        <f>VLOOKUP($A78,tabCustoUnit[],COLUMN(CUSTO_GLOBAL[[#Headers],[FGTS]])-2,0)*($G78-$H78)</f>
        <v>681.23647999999991</v>
      </c>
      <c r="X78" s="21">
        <f>VLOOKUP($A78,tabCustoUnit[],COLUMN(CUSTO_GLOBAL[[#Headers],[RAT Ajustado]])-2,0)*($G78-$H78)</f>
        <v>340.61823999999996</v>
      </c>
      <c r="Y78" s="21">
        <f>VLOOKUP($A78,tabCustoUnit[],COLUMN(CUSTO_GLOBAL[[#Headers],[SEBRAE]])-2,0)*($G78-$H78)</f>
        <v>51.092736000000002</v>
      </c>
      <c r="Z78" s="21">
        <f>VLOOKUP($A78,tabCustoUnit[],COLUMN(CUSTO_GLOBAL[[#Headers],[Submódulo 2.1]])-2,0)*($G78-$H78)</f>
        <v>3218.8423680000001</v>
      </c>
      <c r="AA78" s="21">
        <f>VLOOKUP($A78,tabCustoUnit[],COLUMN(CUSTO_GLOBAL[[#Headers],[13º salário (titular)]])-2,0)*($G78-$H78)</f>
        <v>709.62133333333327</v>
      </c>
      <c r="AB78" s="21">
        <f>VLOOKUP($A78,tabCustoUnit[],COLUMN(CUSTO_GLOBAL[[#Headers],[Férias e Adicional de Férias (titular)]])-2,0)*($G78-$H78)</f>
        <v>946.16177777777762</v>
      </c>
      <c r="AC78" s="21">
        <f>VLOOKUP($A78,tabCustoUnit[],COLUMN(CUSTO_GLOBAL[[#Headers],[Incidência do Submódulo 2.1 sobre 13º Salário, Férias e Adicional de Férias]])-2,0)*($G78-$H78)</f>
        <v>625.88601599999993</v>
      </c>
      <c r="AD78" s="21">
        <f>VLOOKUP($A78,tabCustoUnit[],COLUMN(CUSTO_GLOBAL[[#Headers],[Submódulo 2.2]])-2,0)*($G78-$H78)</f>
        <v>2281.6691271111108</v>
      </c>
      <c r="AE78" s="22">
        <f>VLOOKUP($A78,tabCustoUnit[],COLUMN(CUSTO_GLOBAL[[#Headers],[Vale - Transporte (Descontada parcela do empregado)]])-2,0)*($G78-$H78)</f>
        <v>785.2639999999999</v>
      </c>
      <c r="AF78" s="22">
        <f>VLOOKUP($A78,tabCustoUnit[],COLUMN(CUSTO_GLOBAL[[#Headers],[Vale - Alimentação (Descontada parcela do empregado)]])-2,0)*($G78-$H78)</f>
        <v>2910</v>
      </c>
      <c r="AG78" s="22">
        <f>VLOOKUP($A78,tabCustoUnit[],COLUMN(CUSTO_GLOBAL[[#Headers],[Cesta Básica]])-2,0)*($G78-$H78)</f>
        <v>0</v>
      </c>
      <c r="AH78" s="22">
        <f>VLOOKUP($A78,tabCustoUnit[],COLUMN(CUSTO_GLOBAL[[#Headers],[PAF]])-2,0)*($G78-$H78)</f>
        <v>386.25</v>
      </c>
      <c r="AI78" s="22">
        <f>VLOOKUP($A78,tabCustoUnit[],COLUMN(CUSTO_GLOBAL[[#Headers],[PQM]])-2,0)*($G78-$H78)</f>
        <v>0</v>
      </c>
      <c r="AJ78" s="22">
        <v>0</v>
      </c>
      <c r="AK78" s="22">
        <f>VLOOKUP($A78,tabCustoUnit[],COLUMN(CUSTO_GLOBAL[[#Headers],[Seguro de Vida]])-2,0)*($G78-$H78)</f>
        <v>16.8</v>
      </c>
      <c r="AL78" s="22">
        <f>VLOOKUP($A78,tabCustoUnit[],COLUMN(CUSTO_GLOBAL[[#Headers],[Despesas de Viagem]])-2,0)*($G78-$H78)</f>
        <v>0</v>
      </c>
      <c r="AM78" s="22">
        <f>VLOOKUP($A78,tabCustoUnit[],COLUMN(CUSTO_GLOBAL[[#Headers],[Submódulo 2.3]])-2,0)*($G78-$H78)</f>
        <v>4098.3139999999994</v>
      </c>
      <c r="AN78" s="22">
        <f>VLOOKUP($A78,tabCustoUnit[],COLUMN(CUSTO_GLOBAL[[#Headers],[MÓDULO 2 - Total Encargos e Benefícios mensais e diários]])-2,0)*($G78-$H78)</f>
        <v>9598.8254951111121</v>
      </c>
      <c r="AO78" s="22">
        <f>VLOOKUP($A78,tabCustoUnit[],COLUMN(CUSTO_GLOBAL[[#Headers],[Aviso Prévio Indenizado (API) e Reflexo do Aviso Prévio Indenizado]])-2,0)*($G78-$H78)</f>
        <v>59.70839316049382</v>
      </c>
      <c r="AP78" s="22">
        <f>VLOOKUP($A78,tabCustoUnit[],COLUMN(CUSTO_GLOBAL[[#Headers],[Incidência do FGTS sobre API e Reflexo do API]])-2,0)*($G78-$H78)</f>
        <v>4.7766714528395058</v>
      </c>
      <c r="AQ78" s="22">
        <f>VLOOKUP($A78,tabCustoUnit[],COLUMN(CUSTO_GLOBAL[[#Headers],[Multa Rescisória do FGTS sobre o Aviso Prévio Indenizado]])-2,0)*($G78-$H78)</f>
        <v>1.9106685811358026</v>
      </c>
      <c r="AR78" s="22">
        <f>VLOOKUP($A78,tabCustoUnit[],COLUMN(CUSTO_GLOBAL[[#Headers],[Aviso Prévio Trabalhado - APT]])-2,0)*($G78-$H78)</f>
        <v>29.804096000000001</v>
      </c>
      <c r="AS78" s="22">
        <f>VLOOKUP($A78,tabCustoUnit[],COLUMN(CUSTO_GLOBAL[[#Headers],[Incidência dos encargos do submódulo 2.1 sobre Aviso Prévio Trabalhado]])-2,0)*($G78-$H78)</f>
        <v>11.265948288000002</v>
      </c>
      <c r="AT78" s="22">
        <f>VLOOKUP($A78,tabCustoUnit[],COLUMN(CUSTO_GLOBAL[[#Headers],[Multa Rescisória do FGTS]])-2,0)*($G78-$H78)</f>
        <v>260.38372124444442</v>
      </c>
      <c r="AU78" s="22">
        <f>VLOOKUP($A78,tabCustoUnit[],COLUMN(CUSTO_GLOBAL[[#Headers],[Indenização Adicional (Art. 9º da Lei nº 7.238/84)]])-2,0)*($G78-$H78)</f>
        <v>7.096213333333333</v>
      </c>
      <c r="AV78" s="22">
        <f>VLOOKUP($A78,tabCustoUnit[],COLUMN(CUSTO_GLOBAL[[#Headers],[MÓDULO 3 – PROVISÃO PARA RESCISÃO]])-2,0)*($G78-$H78)</f>
        <v>374.94571206024688</v>
      </c>
      <c r="AW78" s="22">
        <f>VLOOKUP($A78,tabCustoUnit[],COLUMN(CUSTO_GLOBAL[[#Headers],[Ausência por Doença]])-2,0)*($G78-$H78)</f>
        <v>71.908295111111102</v>
      </c>
      <c r="AX78" s="22">
        <f>VLOOKUP($A78,tabCustoUnit[],COLUMN(CUSTO_GLOBAL[[#Headers],[Ausências Legais]])-2,0)*($G78-$H78)</f>
        <v>17.267452444444441</v>
      </c>
      <c r="AY78" s="22">
        <f>VLOOKUP($A78,tabCustoUnit[],COLUMN(CUSTO_GLOBAL[[#Headers],[Licença Paternidade]])-2,0)*($G78-$H78)</f>
        <v>1.4547237333333332</v>
      </c>
      <c r="AZ78" s="22">
        <f>VLOOKUP($A78,tabCustoUnit[],COLUMN(CUSTO_GLOBAL[[#Headers],[Ausência por Acidente de Trabalho]])-2,0)*($G78-$H78)</f>
        <v>1.7740533333333333</v>
      </c>
      <c r="BA78" s="22">
        <f>VLOOKUP($A78,tabCustoUnit[],COLUMN(CUSTO_GLOBAL[[#Headers],[Férias, Adicional de Férias e 13º  com empregada em gozo de Licença Maternidade]])-2,0)*($G78-$H78)</f>
        <v>11.038554074074071</v>
      </c>
      <c r="BB78" s="22">
        <f>VLOOKUP($A78,tabCustoUnit[],COLUMN(CUSTO_GLOBAL[[#Headers],[Incidência do Submódulo 2.1 sobre Ausências Legais]])-2,0)*($G78-$H78)</f>
        <v>39.101483747200007</v>
      </c>
      <c r="BC78" s="22">
        <f>VLOOKUP($A78,tabCustoUnit[],COLUMN(CUSTO_GLOBAL[[#Headers],[Submódulo 4.1]])-2,0)*($G78-$H78)</f>
        <v>142.54456244349629</v>
      </c>
      <c r="BD78" s="22">
        <f>VLOOKUP($A78,tabCustoUnit[],COLUMN(CUSTO_GLOBAL[[#Headers],[Intervalo para Repouso ou Alimentação]])-2,0)*($G78-$H78)</f>
        <v>0</v>
      </c>
      <c r="BE78" s="22">
        <f>VLOOKUP($A78,tabCustoUnit[],COLUMN(CUSTO_GLOBAL[[#Headers],[Submódulo 4.2]])-2,0)*($G78-$H78)</f>
        <v>0</v>
      </c>
      <c r="BF78" s="22">
        <f>VLOOKUP($A78,tabCustoUnit[],COLUMN(CUSTO_GLOBAL[[#Headers],[Suspensão Temporária do Contrato de Trabalho]])-2,0)*($G78-$H78)</f>
        <v>0</v>
      </c>
      <c r="BG78" s="22">
        <f>VLOOKUP($A78,tabCustoUnit[],COLUMN(CUSTO_GLOBAL[[#Headers],[Submódulo 4.3]])-2,0)*($G78-$H78)</f>
        <v>0</v>
      </c>
      <c r="BH78" s="22">
        <f>VLOOKUP($A78,tabCustoUnit[],COLUMN(CUSTO_GLOBAL[[#Headers],[MÓDULO 4 – CUSTO DE REPOSIÇÃO DO PROFISSIONAL AUSENTE]])-2,0)*($G78-$H78)</f>
        <v>142.54456244349629</v>
      </c>
      <c r="BI78" s="22">
        <f>VLOOKUP($A78,tabCustoUnit[],COLUMN(CUSTO_GLOBAL[[#Headers],[Uniformes e EPIs]])-2,0)*($G78-$H78)</f>
        <v>504.04583333333329</v>
      </c>
      <c r="BJ78" s="22">
        <f>VLOOKUP($A78,tabCustoUnit[],COLUMN(CUSTO_GLOBAL[[#Headers],[Materiais de Consumo]])-2,0)*($G78-$H78)</f>
        <v>177.59106479291944</v>
      </c>
      <c r="BK78" s="22">
        <f>VLOOKUP($A78,tabCustoUnit[],COLUMN(CUSTO_GLOBAL[[#Headers],[Máquinas e Equipamentos (depreciação)]])-2,0)*($G78-$H78)</f>
        <v>322.64696957412787</v>
      </c>
      <c r="BL78" s="22">
        <f>VLOOKUP($A78,tabCustoUnit[],COLUMN(CUSTO_GLOBAL[[#Headers],[Produtos de Limpeza e Materiais de Higiene Pessoal]])-2,0)*($G78-$H78)</f>
        <v>3451.3576638965828</v>
      </c>
      <c r="BM78" s="22">
        <f>VLOOKUP($A78,tabCustoUnit[],COLUMN(CUSTO_GLOBAL[[#Headers],[Outros (especificar)]])-2,0)*($G78-$H78)</f>
        <v>0</v>
      </c>
      <c r="BN78" s="22">
        <f>VLOOKUP($A78,tabCustoUnit[],COLUMN(CUSTO_GLOBAL[[#Headers],[MÓDULO 5 – INSUMOS DIVERSOS]])-2,0)*($G78-$H78)</f>
        <v>4455.6415315969634</v>
      </c>
      <c r="BO78" s="22">
        <f>VLOOKUP($A78,tabCustoUnit[],COLUMN(CUSTO_GLOBAL[[#Headers],[TOTAL MÓDULOS 1+2+3+4+5]])-2,0)*($G78-$H78)</f>
        <v>23087.413301211818</v>
      </c>
      <c r="BP78" s="22">
        <f>VLOOKUP($A78,tabCustoUnit[],COLUMN(CUSTO_GLOBAL[[#Headers],[Custos Indiretos]])-2,0)*($G78-$H78)</f>
        <v>948.24400701213062</v>
      </c>
      <c r="BQ78" s="22">
        <f>VLOOKUP($A78,tabCustoUnit[],COLUMN(CUSTO_GLOBAL[[#Headers],[Lucro]])-2,0)*($G78-$H78)</f>
        <v>796.52496589018983</v>
      </c>
      <c r="BR78" s="26">
        <f>VLOOKUP($A78,tabCustoUnit[],COLUMN(CUSTO_GLOBAL[[#Headers],[COFINS]])-2,0)</f>
        <v>8.5633802816901458E-2</v>
      </c>
      <c r="BS78" s="26">
        <f>VLOOKUP($A78,tabCustoUnit[],COLUMN(CUSTO_GLOBAL[[#Headers],[PIS]])-2,0)</f>
        <v>1.8591549295774657E-2</v>
      </c>
      <c r="BT78" s="28">
        <f>VLOOKUP($A78,tabCustoUnit[],COLUMN(CUSTO_GLOBAL[[#Headers],[ISS]])-2,0)</f>
        <v>0.02</v>
      </c>
      <c r="BU78" s="26">
        <f>VLOOKUP($A78,tabCustoUnit[],COLUMN(CUSTO_GLOBAL[[#Headers],[ISS (Conversão Alíquota s/ fatura)]])-2,0)</f>
        <v>2.2535211267605645E-2</v>
      </c>
      <c r="BV78" s="26">
        <f>VLOOKUP($A78,tabCustoUnit[],COLUMN(CUSTO_GLOBAL[[#Headers],[Resumo de Alíquotas (PIS+CONFINS+ISS)]])-2,0)</f>
        <v>0.1125</v>
      </c>
      <c r="BW78" s="138">
        <f>VLOOKUP($A78,tabCustoUnit[],COLUMN(CUSTO_GLOBAL[[#Headers],[PIS + COFINS + ISS (Total Conversão  Alíquota s/ Fatura)]])-2,0)</f>
        <v>0.12676056338028174</v>
      </c>
      <c r="BX78" s="22">
        <f>VLOOKUP($A78,tabCustoUnit[],COLUMN(CUSTO_GLOBAL[[#Headers],[Valor dos Tributos (ISS, PIS, CONFINS)]])-2,0)*($G78-$H78)</f>
        <v>3147.741415028554</v>
      </c>
      <c r="BY78" s="22">
        <f>VLOOKUP($A78,tabCustoUnit[],COLUMN(CUSTO_GLOBAL[[#Headers],[MÓDULO 6 – CUSTOS INDIRETOS, TRIBUTOS E LUCRO]])-2,0)*($G78-$H78)</f>
        <v>4892.5103879308745</v>
      </c>
      <c r="BZ78" s="22">
        <f>VLOOKUP($A78,tabCustoUnit[],COLUMN(CUSTO_GLOBAL[[#Headers],[CUSTO TOTAL MENSAL]])-2,0)*($G78-$H78)</f>
        <v>27979.923689142692</v>
      </c>
      <c r="CA78" s="22">
        <f>CUSTO_GLOBAL[[#This Row],[CUSTO TOTAL MENSAL]]*12</f>
        <v>335759.08426971233</v>
      </c>
      <c r="CB78" s="24">
        <f>VLOOKUP($A78,tabCustoUnit[],COLUMN(CUSTO_GLOBAL[[#Headers],[ANO DA CCT]])-2,0)</f>
        <v>45658</v>
      </c>
      <c r="CC78" s="25" t="str">
        <f>VLOOKUP($A78,tabCustoUnit[],COLUMN(CUSTO_GLOBAL[[#Headers],[Nº DE PEDIDO DA CCT]])-2,0)</f>
        <v>-</v>
      </c>
      <c r="CD78" s="25" t="str">
        <f>VLOOKUP($A78,tabCustoUnit[],COLUMN(CUSTO_GLOBAL[[#Headers],[TERMO ADITIVO  ALTERAÇÃO DA CCT]])-2,0)</f>
        <v>-</v>
      </c>
      <c r="CF78" s="22"/>
      <c r="CG78" s="22"/>
    </row>
    <row r="79" spans="1:85" x14ac:dyDescent="0.25">
      <c r="A79" s="20" t="s">
        <v>1419</v>
      </c>
      <c r="B79" t="s">
        <v>76</v>
      </c>
      <c r="C79" t="s">
        <v>1247</v>
      </c>
      <c r="D79" t="s">
        <v>1041</v>
      </c>
      <c r="E79" s="20" t="s">
        <v>9</v>
      </c>
      <c r="F79" s="20" t="s">
        <v>10</v>
      </c>
      <c r="G79" s="20">
        <v>1</v>
      </c>
      <c r="H79" s="20">
        <v>0</v>
      </c>
      <c r="I79" s="21">
        <f>VLOOKUP($A79,tabCustoUnit[],COLUMN(CUSTO_GLOBAL[[#Headers],[Salário Base]])-2,0)*($G79-$H79)</f>
        <v>544.17999999999995</v>
      </c>
      <c r="J79" s="21">
        <f>VLOOKUP($A79,tabCustoUnit[],COLUMN(CUSTO_GLOBAL[[#Headers],[Adicional Periculosidade]])-2,0)*($G79-$H79)</f>
        <v>0</v>
      </c>
      <c r="K79" s="21">
        <f>VLOOKUP($A79,tabCustoUnit[],COLUMN(CUSTO_GLOBAL[[#Headers],[Adicional Insalubridade]])-2,0)*($G79-$H79)</f>
        <v>0</v>
      </c>
      <c r="L79" s="21">
        <f>VLOOKUP($A79,tabCustoUnit[],COLUMN(CUSTO_GLOBAL[[#Headers],[Adicional Noturno]])-2,0)*($G79-$H79)</f>
        <v>0</v>
      </c>
      <c r="M79" s="21">
        <f>VLOOKUP($A79,tabCustoUnit[],COLUMN(CUSTO_GLOBAL[[#Headers],[Adicional Motorista II (Gratificação)]])-2,0)*($G79-$H79)</f>
        <v>0</v>
      </c>
      <c r="N79" s="21">
        <f>VLOOKUP($A79,tabCustoUnit[],COLUMN(CUSTO_GLOBAL[[#Headers],[Adicional de Sobreaviso]])-2,0)*($G79-$H79)</f>
        <v>0</v>
      </c>
      <c r="O79" s="21">
        <f>VLOOKUP($A79,tabCustoUnit[],COLUMN(CUSTO_GLOBAL[[#Headers],[Horas Extras TI]])-2,0)*($G79-$H79)</f>
        <v>0</v>
      </c>
      <c r="P79" s="21">
        <f>VLOOKUP($A79,tabCustoUnit[],COLUMN(CUSTO_GLOBAL[[#Headers],[Adicional de Acúmulo de função]])-2,0)*($G79-$H79)</f>
        <v>19.590499999999999</v>
      </c>
      <c r="Q79" s="21">
        <f>VLOOKUP($A79,tabCustoUnit[],COLUMN(CUSTO_GLOBAL[[#Headers],[MODULO 1 - REMUNERAÇÃO ]])-2,0)*($G79-$H79)</f>
        <v>563.77049999999997</v>
      </c>
      <c r="R79" s="21">
        <f>VLOOKUP($A79,tabCustoUnit[],COLUMN(CUSTO_GLOBAL[[#Headers],[INSS]])-2,0)*($G79-$H79)</f>
        <v>112.75409999999999</v>
      </c>
      <c r="S79" s="21">
        <f>VLOOKUP($A79,tabCustoUnit[],COLUMN(CUSTO_GLOBAL[[#Headers],[SESI OU SESC]])-2,0)*($G79-$H79)</f>
        <v>8.4565574999999988</v>
      </c>
      <c r="T79" s="21">
        <f>VLOOKUP($A79,tabCustoUnit[],COLUMN(CUSTO_GLOBAL[[#Headers],[SENAI OU SENAC]])-2,0)*($G79-$H79)</f>
        <v>5.6377049999999995</v>
      </c>
      <c r="U79" s="21">
        <f>VLOOKUP($A79,tabCustoUnit[],COLUMN(CUSTO_GLOBAL[[#Headers],[INCRA]])-2,0)*($G79-$H79)</f>
        <v>1.1275409999999999</v>
      </c>
      <c r="V79" s="21">
        <f>VLOOKUP($A79,tabCustoUnit[],COLUMN(CUSTO_GLOBAL[[#Headers],[Salário Educação]])-2,0)*($G79-$H79)</f>
        <v>14.094262499999999</v>
      </c>
      <c r="W79" s="21">
        <f>VLOOKUP($A79,tabCustoUnit[],COLUMN(CUSTO_GLOBAL[[#Headers],[FGTS]])-2,0)*($G79-$H79)</f>
        <v>45.101639999999996</v>
      </c>
      <c r="X79" s="21">
        <f>VLOOKUP($A79,tabCustoUnit[],COLUMN(CUSTO_GLOBAL[[#Headers],[RAT Ajustado]])-2,0)*($G79-$H79)</f>
        <v>22.550819999999998</v>
      </c>
      <c r="Y79" s="21">
        <f>VLOOKUP($A79,tabCustoUnit[],COLUMN(CUSTO_GLOBAL[[#Headers],[SEBRAE]])-2,0)*($G79-$H79)</f>
        <v>3.3826229999999997</v>
      </c>
      <c r="Z79" s="21">
        <f>VLOOKUP($A79,tabCustoUnit[],COLUMN(CUSTO_GLOBAL[[#Headers],[Submódulo 2.1]])-2,0)*($G79-$H79)</f>
        <v>213.10524899999996</v>
      </c>
      <c r="AA79" s="21">
        <f>VLOOKUP($A79,tabCustoUnit[],COLUMN(CUSTO_GLOBAL[[#Headers],[13º salário (titular)]])-2,0)*($G79-$H79)</f>
        <v>46.980874999999997</v>
      </c>
      <c r="AB79" s="21">
        <f>VLOOKUP($A79,tabCustoUnit[],COLUMN(CUSTO_GLOBAL[[#Headers],[Férias e Adicional de Férias (titular)]])-2,0)*($G79-$H79)</f>
        <v>62.641166666666663</v>
      </c>
      <c r="AC79" s="21">
        <f>VLOOKUP($A79,tabCustoUnit[],COLUMN(CUSTO_GLOBAL[[#Headers],[Incidência do Submódulo 2.1 sobre 13º Salário, Férias e Adicional de Férias]])-2,0)*($G79-$H79)</f>
        <v>41.437131749999992</v>
      </c>
      <c r="AD79" s="21">
        <f>VLOOKUP($A79,tabCustoUnit[],COLUMN(CUSTO_GLOBAL[[#Headers],[Submódulo 2.2]])-2,0)*($G79-$H79)</f>
        <v>151.05917341666665</v>
      </c>
      <c r="AE79" s="22">
        <f>VLOOKUP($A79,tabCustoUnit[],COLUMN(CUSTO_GLOBAL[[#Headers],[Vale - Transporte (Descontada parcela do empregado)]])-2,0)*($G79-$H79)</f>
        <v>223.3492</v>
      </c>
      <c r="AF79" s="22">
        <f>VLOOKUP($A79,tabCustoUnit[],COLUMN(CUSTO_GLOBAL[[#Headers],[Vale - Alimentação (Descontada parcela do empregado)]])-2,0)*($G79-$H79)</f>
        <v>582</v>
      </c>
      <c r="AG79" s="22">
        <f>VLOOKUP($A79,tabCustoUnit[],COLUMN(CUSTO_GLOBAL[[#Headers],[Cesta Básica]])-2,0)*($G79-$H79)</f>
        <v>0</v>
      </c>
      <c r="AH79" s="22">
        <f>VLOOKUP($A79,tabCustoUnit[],COLUMN(CUSTO_GLOBAL[[#Headers],[PAF]])-2,0)*($G79-$H79)</f>
        <v>0</v>
      </c>
      <c r="AI79" s="22">
        <f>VLOOKUP($A79,tabCustoUnit[],COLUMN(CUSTO_GLOBAL[[#Headers],[PQM]])-2,0)*($G79-$H79)</f>
        <v>0</v>
      </c>
      <c r="AJ79" s="22">
        <v>0</v>
      </c>
      <c r="AK79" s="22">
        <f>VLOOKUP($A79,tabCustoUnit[],COLUMN(CUSTO_GLOBAL[[#Headers],[Seguro de Vida]])-2,0)*($G79-$H79)</f>
        <v>3.36</v>
      </c>
      <c r="AL79" s="22">
        <f>VLOOKUP($A79,tabCustoUnit[],COLUMN(CUSTO_GLOBAL[[#Headers],[Despesas de Viagem]])-2,0)*($G79-$H79)</f>
        <v>0</v>
      </c>
      <c r="AM79" s="22">
        <f>VLOOKUP($A79,tabCustoUnit[],COLUMN(CUSTO_GLOBAL[[#Headers],[Submódulo 2.3]])-2,0)*($G79-$H79)</f>
        <v>808.70920000000001</v>
      </c>
      <c r="AN79" s="22">
        <f>VLOOKUP($A79,tabCustoUnit[],COLUMN(CUSTO_GLOBAL[[#Headers],[MÓDULO 2 - Total Encargos e Benefícios mensais e diários]])-2,0)*($G79-$H79)</f>
        <v>1172.8736224166666</v>
      </c>
      <c r="AO79" s="22">
        <f>VLOOKUP($A79,tabCustoUnit[],COLUMN(CUSTO_GLOBAL[[#Headers],[Aviso Prévio Indenizado (API) e Reflexo do Aviso Prévio Indenizado]])-2,0)*($G79-$H79)</f>
        <v>3.9530273735532404</v>
      </c>
      <c r="AP79" s="22">
        <f>VLOOKUP($A79,tabCustoUnit[],COLUMN(CUSTO_GLOBAL[[#Headers],[Incidência do FGTS sobre API e Reflexo do API]])-2,0)*($G79-$H79)</f>
        <v>0.31624218988425928</v>
      </c>
      <c r="AQ79" s="22">
        <f>VLOOKUP($A79,tabCustoUnit[],COLUMN(CUSTO_GLOBAL[[#Headers],[Multa Rescisória do FGTS sobre o Aviso Prévio Indenizado]])-2,0)*($G79-$H79)</f>
        <v>0.12649687595370371</v>
      </c>
      <c r="AR79" s="22">
        <f>VLOOKUP($A79,tabCustoUnit[],COLUMN(CUSTO_GLOBAL[[#Headers],[Aviso Prévio Trabalhado - APT]])-2,0)*($G79-$H79)</f>
        <v>1.9731967500000003</v>
      </c>
      <c r="AS79" s="22">
        <f>VLOOKUP($A79,tabCustoUnit[],COLUMN(CUSTO_GLOBAL[[#Headers],[Incidência dos encargos do submódulo 2.1 sobre Aviso Prévio Trabalhado]])-2,0)*($G79-$H79)</f>
        <v>0.74586837150000018</v>
      </c>
      <c r="AT79" s="22">
        <f>VLOOKUP($A79,tabCustoUnit[],COLUMN(CUSTO_GLOBAL[[#Headers],[Multa Rescisória do FGTS]])-2,0)*($G79-$H79)</f>
        <v>17.238849066666663</v>
      </c>
      <c r="AU79" s="22">
        <f>VLOOKUP($A79,tabCustoUnit[],COLUMN(CUSTO_GLOBAL[[#Headers],[Indenização Adicional (Art. 9º da Lei nº 7.238/84)]])-2,0)*($G79-$H79)</f>
        <v>0.46980875</v>
      </c>
      <c r="AV79" s="22">
        <f>VLOOKUP($A79,tabCustoUnit[],COLUMN(CUSTO_GLOBAL[[#Headers],[MÓDULO 3 – PROVISÃO PARA RESCISÃO]])-2,0)*($G79-$H79)</f>
        <v>24.823489377557866</v>
      </c>
      <c r="AW79" s="22">
        <f>VLOOKUP($A79,tabCustoUnit[],COLUMN(CUSTO_GLOBAL[[#Headers],[Ausência por Doença]])-2,0)*($G79-$H79)</f>
        <v>4.7607286666666662</v>
      </c>
      <c r="AX79" s="22">
        <f>VLOOKUP($A79,tabCustoUnit[],COLUMN(CUSTO_GLOBAL[[#Headers],[Ausências Legais]])-2,0)*($G79-$H79)</f>
        <v>1.1432012916666665</v>
      </c>
      <c r="AY79" s="22">
        <f>VLOOKUP($A79,tabCustoUnit[],COLUMN(CUSTO_GLOBAL[[#Headers],[Licença Paternidade]])-2,0)*($G79-$H79)</f>
        <v>9.6310793749999998E-2</v>
      </c>
      <c r="AZ79" s="22">
        <f>VLOOKUP($A79,tabCustoUnit[],COLUMN(CUSTO_GLOBAL[[#Headers],[Ausência por Acidente de Trabalho]])-2,0)*($G79-$H79)</f>
        <v>0.1174521875</v>
      </c>
      <c r="BA79" s="22">
        <f>VLOOKUP($A79,tabCustoUnit[],COLUMN(CUSTO_GLOBAL[[#Headers],[Férias, Adicional de Férias e 13º  com empregada em gozo de Licença Maternidade]])-2,0)*($G79-$H79)</f>
        <v>0.73081361111111109</v>
      </c>
      <c r="BB79" s="22">
        <f>VLOOKUP($A79,tabCustoUnit[],COLUMN(CUSTO_GLOBAL[[#Headers],[Incidência do Submódulo 2.1 sobre Ausências Legais]])-2,0)*($G79-$H79)</f>
        <v>2.5887354761625003</v>
      </c>
      <c r="BC79" s="22">
        <f>VLOOKUP($A79,tabCustoUnit[],COLUMN(CUSTO_GLOBAL[[#Headers],[Submódulo 4.1]])-2,0)*($G79-$H79)</f>
        <v>9.4372420268569428</v>
      </c>
      <c r="BD79" s="22">
        <f>VLOOKUP($A79,tabCustoUnit[],COLUMN(CUSTO_GLOBAL[[#Headers],[Intervalo para Repouso ou Alimentação]])-2,0)*($G79-$H79)</f>
        <v>0</v>
      </c>
      <c r="BE79" s="22">
        <f>VLOOKUP($A79,tabCustoUnit[],COLUMN(CUSTO_GLOBAL[[#Headers],[Submódulo 4.2]])-2,0)*($G79-$H79)</f>
        <v>0</v>
      </c>
      <c r="BF79" s="22">
        <f>VLOOKUP($A79,tabCustoUnit[],COLUMN(CUSTO_GLOBAL[[#Headers],[Suspensão Temporária do Contrato de Trabalho]])-2,0)*($G79-$H79)</f>
        <v>0</v>
      </c>
      <c r="BG79" s="22">
        <f>VLOOKUP($A79,tabCustoUnit[],COLUMN(CUSTO_GLOBAL[[#Headers],[Submódulo 4.3]])-2,0)*($G79-$H79)</f>
        <v>0</v>
      </c>
      <c r="BH79" s="22">
        <f>VLOOKUP($A79,tabCustoUnit[],COLUMN(CUSTO_GLOBAL[[#Headers],[MÓDULO 4 – CUSTO DE REPOSIÇÃO DO PROFISSIONAL AUSENTE]])-2,0)*($G79-$H79)</f>
        <v>9.4372420268569428</v>
      </c>
      <c r="BI79" s="22">
        <f>VLOOKUP($A79,tabCustoUnit[],COLUMN(CUSTO_GLOBAL[[#Headers],[Uniformes e EPIs]])-2,0)*($G79-$H79)</f>
        <v>62.806666666666665</v>
      </c>
      <c r="BJ79" s="22">
        <f>VLOOKUP($A79,tabCustoUnit[],COLUMN(CUSTO_GLOBAL[[#Headers],[Materiais de Consumo]])-2,0)*($G79-$H79)</f>
        <v>12.108481690426325</v>
      </c>
      <c r="BK79" s="22">
        <f>VLOOKUP($A79,tabCustoUnit[],COLUMN(CUSTO_GLOBAL[[#Headers],[Máquinas e Equipamentos (depreciação)]])-2,0)*($G79-$H79)</f>
        <v>21.998657016417809</v>
      </c>
      <c r="BL79" s="22">
        <f>VLOOKUP($A79,tabCustoUnit[],COLUMN(CUSTO_GLOBAL[[#Headers],[Produtos de Limpeza e Materiais de Higiene Pessoal]])-2,0)*($G79-$H79)</f>
        <v>235.31984072022155</v>
      </c>
      <c r="BM79" s="22">
        <f>VLOOKUP($A79,tabCustoUnit[],COLUMN(CUSTO_GLOBAL[[#Headers],[Outros (especificar)]])-2,0)*($G79-$H79)</f>
        <v>0</v>
      </c>
      <c r="BN79" s="22">
        <f>VLOOKUP($A79,tabCustoUnit[],COLUMN(CUSTO_GLOBAL[[#Headers],[MÓDULO 5 – INSUMOS DIVERSOS]])-2,0)*($G79-$H79)</f>
        <v>332.23364609373232</v>
      </c>
      <c r="BO79" s="22">
        <f>VLOOKUP($A79,tabCustoUnit[],COLUMN(CUSTO_GLOBAL[[#Headers],[TOTAL MÓDULOS 1+2+3+4+5]])-2,0)*($G79-$H79)</f>
        <v>2103.1384999148136</v>
      </c>
      <c r="BP79" s="22">
        <f>VLOOKUP($A79,tabCustoUnit[],COLUMN(CUSTO_GLOBAL[[#Headers],[Custos Indiretos]])-2,0)*($G79-$H79)</f>
        <v>189.64880140242613</v>
      </c>
      <c r="BQ79" s="22">
        <f>VLOOKUP($A79,tabCustoUnit[],COLUMN(CUSTO_GLOBAL[[#Headers],[Lucro]])-2,0)*($G79-$H79)</f>
        <v>159.30499317803796</v>
      </c>
      <c r="BR79" s="26">
        <f>VLOOKUP($A79,tabCustoUnit[],COLUMN(CUSTO_GLOBAL[[#Headers],[COFINS]])-2,0)</f>
        <v>8.8629737609329504E-2</v>
      </c>
      <c r="BS79" s="26">
        <f>VLOOKUP($A79,tabCustoUnit[],COLUMN(CUSTO_GLOBAL[[#Headers],[PIS]])-2,0)</f>
        <v>1.9241982507288629E-2</v>
      </c>
      <c r="BT79" s="28">
        <f>VLOOKUP($A79,tabCustoUnit[],COLUMN(CUSTO_GLOBAL[[#Headers],[ISS]])-2,0)</f>
        <v>0.05</v>
      </c>
      <c r="BU79" s="26">
        <f>VLOOKUP($A79,tabCustoUnit[],COLUMN(CUSTO_GLOBAL[[#Headers],[ISS (Conversão Alíquota s/ fatura)]])-2,0)</f>
        <v>5.8309037900874633E-2</v>
      </c>
      <c r="BV79" s="26">
        <f>VLOOKUP($A79,tabCustoUnit[],COLUMN(CUSTO_GLOBAL[[#Headers],[Resumo de Alíquotas (PIS+CONFINS+ISS)]])-2,0)</f>
        <v>0.14250000000000002</v>
      </c>
      <c r="BW79" s="138">
        <f>VLOOKUP($A79,tabCustoUnit[],COLUMN(CUSTO_GLOBAL[[#Headers],[PIS + COFINS + ISS (Total Conversão  Alíquota s/ Fatura)]])-2,0)</f>
        <v>0.16618075801749277</v>
      </c>
      <c r="BX79" s="22">
        <f>VLOOKUP($A79,tabCustoUnit[],COLUMN(CUSTO_GLOBAL[[#Headers],[Valor dos Tributos (ISS, PIS, CONFINS)]])-2,0)*($G79-$H79)</f>
        <v>407.49055622807833</v>
      </c>
      <c r="BY79" s="22">
        <f>VLOOKUP($A79,tabCustoUnit[],COLUMN(CUSTO_GLOBAL[[#Headers],[MÓDULO 6 – CUSTOS INDIRETOS, TRIBUTOS E LUCRO]])-2,0)*($G79-$H79)</f>
        <v>756.44435080854237</v>
      </c>
      <c r="BZ79" s="22">
        <f>VLOOKUP($A79,tabCustoUnit[],COLUMN(CUSTO_GLOBAL[[#Headers],[CUSTO TOTAL MENSAL]])-2,0)*($G79-$H79)</f>
        <v>2859.5828507233559</v>
      </c>
      <c r="CA79" s="22">
        <f>CUSTO_GLOBAL[[#This Row],[CUSTO TOTAL MENSAL]]*12</f>
        <v>34314.994208680269</v>
      </c>
      <c r="CB79" s="24">
        <f>VLOOKUP($A79,tabCustoUnit[],COLUMN(CUSTO_GLOBAL[[#Headers],[ANO DA CCT]])-2,0)</f>
        <v>45658</v>
      </c>
      <c r="CC79" s="25" t="str">
        <f>VLOOKUP($A79,tabCustoUnit[],COLUMN(CUSTO_GLOBAL[[#Headers],[Nº DE PEDIDO DA CCT]])-2,0)</f>
        <v>-</v>
      </c>
      <c r="CD79" s="25" t="str">
        <f>VLOOKUP($A79,tabCustoUnit[],COLUMN(CUSTO_GLOBAL[[#Headers],[TERMO ADITIVO  ALTERAÇÃO DA CCT]])-2,0)</f>
        <v>-</v>
      </c>
      <c r="CF79" s="22"/>
      <c r="CG79" s="22"/>
    </row>
    <row r="80" spans="1:85" x14ac:dyDescent="0.25">
      <c r="A80" s="20" t="s">
        <v>1420</v>
      </c>
      <c r="B80" t="s">
        <v>77</v>
      </c>
      <c r="C80" t="s">
        <v>1247</v>
      </c>
      <c r="D80" t="s">
        <v>81</v>
      </c>
      <c r="E80" s="20" t="s">
        <v>9</v>
      </c>
      <c r="F80" s="20" t="s">
        <v>10</v>
      </c>
      <c r="G80" s="20">
        <v>1</v>
      </c>
      <c r="H80" s="20">
        <v>0</v>
      </c>
      <c r="I80" s="21">
        <f>VLOOKUP($A80,tabCustoUnit[],COLUMN(CUSTO_GLOBAL[[#Headers],[Salário Base]])-2,0)*($G80-$H80)</f>
        <v>544.17999999999995</v>
      </c>
      <c r="J80" s="21">
        <f>VLOOKUP($A80,tabCustoUnit[],COLUMN(CUSTO_GLOBAL[[#Headers],[Adicional Periculosidade]])-2,0)*($G80-$H80)</f>
        <v>0</v>
      </c>
      <c r="K80" s="21">
        <f>VLOOKUP($A80,tabCustoUnit[],COLUMN(CUSTO_GLOBAL[[#Headers],[Adicional Insalubridade]])-2,0)*($G80-$H80)</f>
        <v>0</v>
      </c>
      <c r="L80" s="21">
        <f>VLOOKUP($A80,tabCustoUnit[],COLUMN(CUSTO_GLOBAL[[#Headers],[Adicional Noturno]])-2,0)*($G80-$H80)</f>
        <v>0</v>
      </c>
      <c r="M80" s="21">
        <f>VLOOKUP($A80,tabCustoUnit[],COLUMN(CUSTO_GLOBAL[[#Headers],[Adicional Motorista II (Gratificação)]])-2,0)*($G80-$H80)</f>
        <v>0</v>
      </c>
      <c r="N80" s="21">
        <f>VLOOKUP($A80,tabCustoUnit[],COLUMN(CUSTO_GLOBAL[[#Headers],[Adicional de Sobreaviso]])-2,0)*($G80-$H80)</f>
        <v>0</v>
      </c>
      <c r="O80" s="21">
        <f>VLOOKUP($A80,tabCustoUnit[],COLUMN(CUSTO_GLOBAL[[#Headers],[Horas Extras TI]])-2,0)*($G80-$H80)</f>
        <v>0</v>
      </c>
      <c r="P80" s="21">
        <f>VLOOKUP($A80,tabCustoUnit[],COLUMN(CUSTO_GLOBAL[[#Headers],[Adicional de Acúmulo de função]])-2,0)*($G80-$H80)</f>
        <v>19.590499999999999</v>
      </c>
      <c r="Q80" s="21">
        <f>VLOOKUP($A80,tabCustoUnit[],COLUMN(CUSTO_GLOBAL[[#Headers],[MODULO 1 - REMUNERAÇÃO ]])-2,0)*($G80-$H80)</f>
        <v>563.77049999999997</v>
      </c>
      <c r="R80" s="21">
        <f>VLOOKUP($A80,tabCustoUnit[],COLUMN(CUSTO_GLOBAL[[#Headers],[INSS]])-2,0)*($G80-$H80)</f>
        <v>112.75409999999999</v>
      </c>
      <c r="S80" s="21">
        <f>VLOOKUP($A80,tabCustoUnit[],COLUMN(CUSTO_GLOBAL[[#Headers],[SESI OU SESC]])-2,0)*($G80-$H80)</f>
        <v>8.4565574999999988</v>
      </c>
      <c r="T80" s="21">
        <f>VLOOKUP($A80,tabCustoUnit[],COLUMN(CUSTO_GLOBAL[[#Headers],[SENAI OU SENAC]])-2,0)*($G80-$H80)</f>
        <v>5.6377049999999995</v>
      </c>
      <c r="U80" s="21">
        <f>VLOOKUP($A80,tabCustoUnit[],COLUMN(CUSTO_GLOBAL[[#Headers],[INCRA]])-2,0)*($G80-$H80)</f>
        <v>1.1275409999999999</v>
      </c>
      <c r="V80" s="21">
        <f>VLOOKUP($A80,tabCustoUnit[],COLUMN(CUSTO_GLOBAL[[#Headers],[Salário Educação]])-2,0)*($G80-$H80)</f>
        <v>14.094262499999999</v>
      </c>
      <c r="W80" s="21">
        <f>VLOOKUP($A80,tabCustoUnit[],COLUMN(CUSTO_GLOBAL[[#Headers],[FGTS]])-2,0)*($G80-$H80)</f>
        <v>45.101639999999996</v>
      </c>
      <c r="X80" s="21">
        <f>VLOOKUP($A80,tabCustoUnit[],COLUMN(CUSTO_GLOBAL[[#Headers],[RAT Ajustado]])-2,0)*($G80-$H80)</f>
        <v>22.550819999999998</v>
      </c>
      <c r="Y80" s="21">
        <f>VLOOKUP($A80,tabCustoUnit[],COLUMN(CUSTO_GLOBAL[[#Headers],[SEBRAE]])-2,0)*($G80-$H80)</f>
        <v>3.3826229999999997</v>
      </c>
      <c r="Z80" s="21">
        <f>VLOOKUP($A80,tabCustoUnit[],COLUMN(CUSTO_GLOBAL[[#Headers],[Submódulo 2.1]])-2,0)*($G80-$H80)</f>
        <v>213.10524899999996</v>
      </c>
      <c r="AA80" s="21">
        <f>VLOOKUP($A80,tabCustoUnit[],COLUMN(CUSTO_GLOBAL[[#Headers],[13º salário (titular)]])-2,0)*($G80-$H80)</f>
        <v>46.980874999999997</v>
      </c>
      <c r="AB80" s="21">
        <f>VLOOKUP($A80,tabCustoUnit[],COLUMN(CUSTO_GLOBAL[[#Headers],[Férias e Adicional de Férias (titular)]])-2,0)*($G80-$H80)</f>
        <v>62.641166666666663</v>
      </c>
      <c r="AC80" s="21">
        <f>VLOOKUP($A80,tabCustoUnit[],COLUMN(CUSTO_GLOBAL[[#Headers],[Incidência do Submódulo 2.1 sobre 13º Salário, Férias e Adicional de Férias]])-2,0)*($G80-$H80)</f>
        <v>41.437131749999992</v>
      </c>
      <c r="AD80" s="21">
        <f>VLOOKUP($A80,tabCustoUnit[],COLUMN(CUSTO_GLOBAL[[#Headers],[Submódulo 2.2]])-2,0)*($G80-$H80)</f>
        <v>151.05917341666665</v>
      </c>
      <c r="AE80" s="22">
        <f>VLOOKUP($A80,tabCustoUnit[],COLUMN(CUSTO_GLOBAL[[#Headers],[Vale - Transporte (Descontada parcela do empregado)]])-2,0)*($G80-$H80)</f>
        <v>223.3492</v>
      </c>
      <c r="AF80" s="22">
        <f>VLOOKUP($A80,tabCustoUnit[],COLUMN(CUSTO_GLOBAL[[#Headers],[Vale - Alimentação (Descontada parcela do empregado)]])-2,0)*($G80-$H80)</f>
        <v>582</v>
      </c>
      <c r="AG80" s="22">
        <f>VLOOKUP($A80,tabCustoUnit[],COLUMN(CUSTO_GLOBAL[[#Headers],[Cesta Básica]])-2,0)*($G80-$H80)</f>
        <v>0</v>
      </c>
      <c r="AH80" s="22">
        <f>VLOOKUP($A80,tabCustoUnit[],COLUMN(CUSTO_GLOBAL[[#Headers],[PAF]])-2,0)*($G80-$H80)</f>
        <v>0</v>
      </c>
      <c r="AI80" s="22">
        <f>VLOOKUP($A80,tabCustoUnit[],COLUMN(CUSTO_GLOBAL[[#Headers],[PQM]])-2,0)*($G80-$H80)</f>
        <v>0</v>
      </c>
      <c r="AJ80" s="22">
        <v>0</v>
      </c>
      <c r="AK80" s="22">
        <f>VLOOKUP($A80,tabCustoUnit[],COLUMN(CUSTO_GLOBAL[[#Headers],[Seguro de Vida]])-2,0)*($G80-$H80)</f>
        <v>3.36</v>
      </c>
      <c r="AL80" s="22">
        <f>VLOOKUP($A80,tabCustoUnit[],COLUMN(CUSTO_GLOBAL[[#Headers],[Despesas de Viagem]])-2,0)*($G80-$H80)</f>
        <v>0</v>
      </c>
      <c r="AM80" s="22">
        <f>VLOOKUP($A80,tabCustoUnit[],COLUMN(CUSTO_GLOBAL[[#Headers],[Submódulo 2.3]])-2,0)*($G80-$H80)</f>
        <v>808.70920000000001</v>
      </c>
      <c r="AN80" s="22">
        <f>VLOOKUP($A80,tabCustoUnit[],COLUMN(CUSTO_GLOBAL[[#Headers],[MÓDULO 2 - Total Encargos e Benefícios mensais e diários]])-2,0)*($G80-$H80)</f>
        <v>1172.8736224166666</v>
      </c>
      <c r="AO80" s="22">
        <f>VLOOKUP($A80,tabCustoUnit[],COLUMN(CUSTO_GLOBAL[[#Headers],[Aviso Prévio Indenizado (API) e Reflexo do Aviso Prévio Indenizado]])-2,0)*($G80-$H80)</f>
        <v>3.9530273735532404</v>
      </c>
      <c r="AP80" s="22">
        <f>VLOOKUP($A80,tabCustoUnit[],COLUMN(CUSTO_GLOBAL[[#Headers],[Incidência do FGTS sobre API e Reflexo do API]])-2,0)*($G80-$H80)</f>
        <v>0.31624218988425928</v>
      </c>
      <c r="AQ80" s="22">
        <f>VLOOKUP($A80,tabCustoUnit[],COLUMN(CUSTO_GLOBAL[[#Headers],[Multa Rescisória do FGTS sobre o Aviso Prévio Indenizado]])-2,0)*($G80-$H80)</f>
        <v>0.12649687595370371</v>
      </c>
      <c r="AR80" s="22">
        <f>VLOOKUP($A80,tabCustoUnit[],COLUMN(CUSTO_GLOBAL[[#Headers],[Aviso Prévio Trabalhado - APT]])-2,0)*($G80-$H80)</f>
        <v>1.9731967500000003</v>
      </c>
      <c r="AS80" s="22">
        <f>VLOOKUP($A80,tabCustoUnit[],COLUMN(CUSTO_GLOBAL[[#Headers],[Incidência dos encargos do submódulo 2.1 sobre Aviso Prévio Trabalhado]])-2,0)*($G80-$H80)</f>
        <v>0.74586837150000018</v>
      </c>
      <c r="AT80" s="22">
        <f>VLOOKUP($A80,tabCustoUnit[],COLUMN(CUSTO_GLOBAL[[#Headers],[Multa Rescisória do FGTS]])-2,0)*($G80-$H80)</f>
        <v>17.238849066666663</v>
      </c>
      <c r="AU80" s="22">
        <f>VLOOKUP($A80,tabCustoUnit[],COLUMN(CUSTO_GLOBAL[[#Headers],[Indenização Adicional (Art. 9º da Lei nº 7.238/84)]])-2,0)*($G80-$H80)</f>
        <v>0.46980875</v>
      </c>
      <c r="AV80" s="22">
        <f>VLOOKUP($A80,tabCustoUnit[],COLUMN(CUSTO_GLOBAL[[#Headers],[MÓDULO 3 – PROVISÃO PARA RESCISÃO]])-2,0)*($G80-$H80)</f>
        <v>24.823489377557866</v>
      </c>
      <c r="AW80" s="22">
        <f>VLOOKUP($A80,tabCustoUnit[],COLUMN(CUSTO_GLOBAL[[#Headers],[Ausência por Doença]])-2,0)*($G80-$H80)</f>
        <v>4.7607286666666662</v>
      </c>
      <c r="AX80" s="22">
        <f>VLOOKUP($A80,tabCustoUnit[],COLUMN(CUSTO_GLOBAL[[#Headers],[Ausências Legais]])-2,0)*($G80-$H80)</f>
        <v>1.1432012916666665</v>
      </c>
      <c r="AY80" s="22">
        <f>VLOOKUP($A80,tabCustoUnit[],COLUMN(CUSTO_GLOBAL[[#Headers],[Licença Paternidade]])-2,0)*($G80-$H80)</f>
        <v>9.6310793749999998E-2</v>
      </c>
      <c r="AZ80" s="22">
        <f>VLOOKUP($A80,tabCustoUnit[],COLUMN(CUSTO_GLOBAL[[#Headers],[Ausência por Acidente de Trabalho]])-2,0)*($G80-$H80)</f>
        <v>0.1174521875</v>
      </c>
      <c r="BA80" s="22">
        <f>VLOOKUP($A80,tabCustoUnit[],COLUMN(CUSTO_GLOBAL[[#Headers],[Férias, Adicional de Férias e 13º  com empregada em gozo de Licença Maternidade]])-2,0)*($G80-$H80)</f>
        <v>0.73081361111111109</v>
      </c>
      <c r="BB80" s="22">
        <f>VLOOKUP($A80,tabCustoUnit[],COLUMN(CUSTO_GLOBAL[[#Headers],[Incidência do Submódulo 2.1 sobre Ausências Legais]])-2,0)*($G80-$H80)</f>
        <v>2.5887354761625003</v>
      </c>
      <c r="BC80" s="22">
        <f>VLOOKUP($A80,tabCustoUnit[],COLUMN(CUSTO_GLOBAL[[#Headers],[Submódulo 4.1]])-2,0)*($G80-$H80)</f>
        <v>9.4372420268569428</v>
      </c>
      <c r="BD80" s="22">
        <f>VLOOKUP($A80,tabCustoUnit[],COLUMN(CUSTO_GLOBAL[[#Headers],[Intervalo para Repouso ou Alimentação]])-2,0)*($G80-$H80)</f>
        <v>0</v>
      </c>
      <c r="BE80" s="22">
        <f>VLOOKUP($A80,tabCustoUnit[],COLUMN(CUSTO_GLOBAL[[#Headers],[Submódulo 4.2]])-2,0)*($G80-$H80)</f>
        <v>0</v>
      </c>
      <c r="BF80" s="22">
        <f>VLOOKUP($A80,tabCustoUnit[],COLUMN(CUSTO_GLOBAL[[#Headers],[Suspensão Temporária do Contrato de Trabalho]])-2,0)*($G80-$H80)</f>
        <v>0</v>
      </c>
      <c r="BG80" s="22">
        <f>VLOOKUP($A80,tabCustoUnit[],COLUMN(CUSTO_GLOBAL[[#Headers],[Submódulo 4.3]])-2,0)*($G80-$H80)</f>
        <v>0</v>
      </c>
      <c r="BH80" s="22">
        <f>VLOOKUP($A80,tabCustoUnit[],COLUMN(CUSTO_GLOBAL[[#Headers],[MÓDULO 4 – CUSTO DE REPOSIÇÃO DO PROFISSIONAL AUSENTE]])-2,0)*($G80-$H80)</f>
        <v>9.4372420268569428</v>
      </c>
      <c r="BI80" s="22">
        <f>VLOOKUP($A80,tabCustoUnit[],COLUMN(CUSTO_GLOBAL[[#Headers],[Uniformes e EPIs]])-2,0)*($G80-$H80)</f>
        <v>62.806666666666665</v>
      </c>
      <c r="BJ80" s="22">
        <f>VLOOKUP($A80,tabCustoUnit[],COLUMN(CUSTO_GLOBAL[[#Headers],[Materiais de Consumo]])-2,0)*($G80-$H80)</f>
        <v>12.108481690426325</v>
      </c>
      <c r="BK80" s="22">
        <f>VLOOKUP($A80,tabCustoUnit[],COLUMN(CUSTO_GLOBAL[[#Headers],[Máquinas e Equipamentos (depreciação)]])-2,0)*($G80-$H80)</f>
        <v>21.998657016417809</v>
      </c>
      <c r="BL80" s="22">
        <f>VLOOKUP($A80,tabCustoUnit[],COLUMN(CUSTO_GLOBAL[[#Headers],[Produtos de Limpeza e Materiais de Higiene Pessoal]])-2,0)*($G80-$H80)</f>
        <v>235.31984072022155</v>
      </c>
      <c r="BM80" s="22">
        <f>VLOOKUP($A80,tabCustoUnit[],COLUMN(CUSTO_GLOBAL[[#Headers],[Outros (especificar)]])-2,0)*($G80-$H80)</f>
        <v>0</v>
      </c>
      <c r="BN80" s="22">
        <f>VLOOKUP($A80,tabCustoUnit[],COLUMN(CUSTO_GLOBAL[[#Headers],[MÓDULO 5 – INSUMOS DIVERSOS]])-2,0)*($G80-$H80)</f>
        <v>332.23364609373232</v>
      </c>
      <c r="BO80" s="22">
        <f>VLOOKUP($A80,tabCustoUnit[],COLUMN(CUSTO_GLOBAL[[#Headers],[TOTAL MÓDULOS 1+2+3+4+5]])-2,0)*($G80-$H80)</f>
        <v>2103.1384999148136</v>
      </c>
      <c r="BP80" s="22">
        <f>VLOOKUP($A80,tabCustoUnit[],COLUMN(CUSTO_GLOBAL[[#Headers],[Custos Indiretos]])-2,0)*($G80-$H80)</f>
        <v>189.64880140242613</v>
      </c>
      <c r="BQ80" s="22">
        <f>VLOOKUP($A80,tabCustoUnit[],COLUMN(CUSTO_GLOBAL[[#Headers],[Lucro]])-2,0)*($G80-$H80)</f>
        <v>159.30499317803796</v>
      </c>
      <c r="BR80" s="26">
        <f>VLOOKUP($A80,tabCustoUnit[],COLUMN(CUSTO_GLOBAL[[#Headers],[COFINS]])-2,0)</f>
        <v>8.8629737609329504E-2</v>
      </c>
      <c r="BS80" s="26">
        <f>VLOOKUP($A80,tabCustoUnit[],COLUMN(CUSTO_GLOBAL[[#Headers],[PIS]])-2,0)</f>
        <v>1.9241982507288629E-2</v>
      </c>
      <c r="BT80" s="28">
        <f>VLOOKUP($A80,tabCustoUnit[],COLUMN(CUSTO_GLOBAL[[#Headers],[ISS]])-2,0)</f>
        <v>0.05</v>
      </c>
      <c r="BU80" s="26">
        <f>VLOOKUP($A80,tabCustoUnit[],COLUMN(CUSTO_GLOBAL[[#Headers],[ISS (Conversão Alíquota s/ fatura)]])-2,0)</f>
        <v>5.8309037900874633E-2</v>
      </c>
      <c r="BV80" s="26">
        <f>VLOOKUP($A80,tabCustoUnit[],COLUMN(CUSTO_GLOBAL[[#Headers],[Resumo de Alíquotas (PIS+CONFINS+ISS)]])-2,0)</f>
        <v>0.14250000000000002</v>
      </c>
      <c r="BW80" s="138">
        <f>VLOOKUP($A80,tabCustoUnit[],COLUMN(CUSTO_GLOBAL[[#Headers],[PIS + COFINS + ISS (Total Conversão  Alíquota s/ Fatura)]])-2,0)</f>
        <v>0.16618075801749277</v>
      </c>
      <c r="BX80" s="22">
        <f>VLOOKUP($A80,tabCustoUnit[],COLUMN(CUSTO_GLOBAL[[#Headers],[Valor dos Tributos (ISS, PIS, CONFINS)]])-2,0)*($G80-$H80)</f>
        <v>407.49055622807833</v>
      </c>
      <c r="BY80" s="22">
        <f>VLOOKUP($A80,tabCustoUnit[],COLUMN(CUSTO_GLOBAL[[#Headers],[MÓDULO 6 – CUSTOS INDIRETOS, TRIBUTOS E LUCRO]])-2,0)*($G80-$H80)</f>
        <v>756.44435080854237</v>
      </c>
      <c r="BZ80" s="22">
        <f>VLOOKUP($A80,tabCustoUnit[],COLUMN(CUSTO_GLOBAL[[#Headers],[CUSTO TOTAL MENSAL]])-2,0)*($G80-$H80)</f>
        <v>2859.5828507233559</v>
      </c>
      <c r="CA80" s="22">
        <f>CUSTO_GLOBAL[[#This Row],[CUSTO TOTAL MENSAL]]*12</f>
        <v>34314.994208680269</v>
      </c>
      <c r="CB80" s="24">
        <f>VLOOKUP($A80,tabCustoUnit[],COLUMN(CUSTO_GLOBAL[[#Headers],[ANO DA CCT]])-2,0)</f>
        <v>45658</v>
      </c>
      <c r="CC80" s="25" t="str">
        <f>VLOOKUP($A80,tabCustoUnit[],COLUMN(CUSTO_GLOBAL[[#Headers],[Nº DE PEDIDO DA CCT]])-2,0)</f>
        <v>-</v>
      </c>
      <c r="CD80" s="25" t="str">
        <f>VLOOKUP($A80,tabCustoUnit[],COLUMN(CUSTO_GLOBAL[[#Headers],[TERMO ADITIVO  ALTERAÇÃO DA CCT]])-2,0)</f>
        <v>-</v>
      </c>
      <c r="CF80" s="22"/>
      <c r="CG80" s="22"/>
    </row>
    <row r="81" spans="1:85" x14ac:dyDescent="0.25">
      <c r="A81" s="20" t="s">
        <v>1421</v>
      </c>
      <c r="B81" t="s">
        <v>78</v>
      </c>
      <c r="C81" t="s">
        <v>1244</v>
      </c>
      <c r="D81" t="s">
        <v>992</v>
      </c>
      <c r="E81" s="20" t="s">
        <v>9</v>
      </c>
      <c r="F81" s="20" t="s">
        <v>10</v>
      </c>
      <c r="G81" s="20">
        <v>1</v>
      </c>
      <c r="H81" s="20">
        <v>0</v>
      </c>
      <c r="I81" s="21">
        <f>VLOOKUP($A81,tabCustoUnit[],COLUMN(CUSTO_GLOBAL[[#Headers],[Salário Base]])-2,0)*($G81-$H81)</f>
        <v>798.14</v>
      </c>
      <c r="J81" s="21">
        <f>VLOOKUP($A81,tabCustoUnit[],COLUMN(CUSTO_GLOBAL[[#Headers],[Adicional Periculosidade]])-2,0)*($G81-$H81)</f>
        <v>0</v>
      </c>
      <c r="K81" s="21">
        <f>VLOOKUP($A81,tabCustoUnit[],COLUMN(CUSTO_GLOBAL[[#Headers],[Adicional Insalubridade]])-2,0)*($G81-$H81)</f>
        <v>0</v>
      </c>
      <c r="L81" s="21">
        <f>VLOOKUP($A81,tabCustoUnit[],COLUMN(CUSTO_GLOBAL[[#Headers],[Adicional Noturno]])-2,0)*($G81-$H81)</f>
        <v>0</v>
      </c>
      <c r="M81" s="21">
        <f>VLOOKUP($A81,tabCustoUnit[],COLUMN(CUSTO_GLOBAL[[#Headers],[Adicional Motorista II (Gratificação)]])-2,0)*($G81-$H81)</f>
        <v>0</v>
      </c>
      <c r="N81" s="21">
        <f>VLOOKUP($A81,tabCustoUnit[],COLUMN(CUSTO_GLOBAL[[#Headers],[Adicional de Sobreaviso]])-2,0)*($G81-$H81)</f>
        <v>0</v>
      </c>
      <c r="O81" s="21">
        <f>VLOOKUP($A81,tabCustoUnit[],COLUMN(CUSTO_GLOBAL[[#Headers],[Horas Extras TI]])-2,0)*($G81-$H81)</f>
        <v>0</v>
      </c>
      <c r="P81" s="21">
        <f>VLOOKUP($A81,tabCustoUnit[],COLUMN(CUSTO_GLOBAL[[#Headers],[Adicional de Acúmulo de função]])-2,0)*($G81-$H81)</f>
        <v>26.120899999999999</v>
      </c>
      <c r="Q81" s="21">
        <f>VLOOKUP($A81,tabCustoUnit[],COLUMN(CUSTO_GLOBAL[[#Headers],[MODULO 1 - REMUNERAÇÃO ]])-2,0)*($G81-$H81)</f>
        <v>824.26089999999999</v>
      </c>
      <c r="R81" s="21">
        <f>VLOOKUP($A81,tabCustoUnit[],COLUMN(CUSTO_GLOBAL[[#Headers],[INSS]])-2,0)*($G81-$H81)</f>
        <v>164.85218</v>
      </c>
      <c r="S81" s="21">
        <f>VLOOKUP($A81,tabCustoUnit[],COLUMN(CUSTO_GLOBAL[[#Headers],[SESI OU SESC]])-2,0)*($G81-$H81)</f>
        <v>12.363913499999999</v>
      </c>
      <c r="T81" s="21">
        <f>VLOOKUP($A81,tabCustoUnit[],COLUMN(CUSTO_GLOBAL[[#Headers],[SENAI OU SENAC]])-2,0)*($G81-$H81)</f>
        <v>8.2426089999999999</v>
      </c>
      <c r="U81" s="21">
        <f>VLOOKUP($A81,tabCustoUnit[],COLUMN(CUSTO_GLOBAL[[#Headers],[INCRA]])-2,0)*($G81-$H81)</f>
        <v>1.6485217999999999</v>
      </c>
      <c r="V81" s="21">
        <f>VLOOKUP($A81,tabCustoUnit[],COLUMN(CUSTO_GLOBAL[[#Headers],[Salário Educação]])-2,0)*($G81-$H81)</f>
        <v>20.606522500000001</v>
      </c>
      <c r="W81" s="21">
        <f>VLOOKUP($A81,tabCustoUnit[],COLUMN(CUSTO_GLOBAL[[#Headers],[FGTS]])-2,0)*($G81-$H81)</f>
        <v>65.940871999999999</v>
      </c>
      <c r="X81" s="21">
        <f>VLOOKUP($A81,tabCustoUnit[],COLUMN(CUSTO_GLOBAL[[#Headers],[RAT Ajustado]])-2,0)*($G81-$H81)</f>
        <v>32.970435999999999</v>
      </c>
      <c r="Y81" s="21">
        <f>VLOOKUP($A81,tabCustoUnit[],COLUMN(CUSTO_GLOBAL[[#Headers],[SEBRAE]])-2,0)*($G81-$H81)</f>
        <v>4.9455654000000004</v>
      </c>
      <c r="Z81" s="21">
        <f>VLOOKUP($A81,tabCustoUnit[],COLUMN(CUSTO_GLOBAL[[#Headers],[Submódulo 2.1]])-2,0)*($G81-$H81)</f>
        <v>311.57062020000001</v>
      </c>
      <c r="AA81" s="21">
        <f>VLOOKUP($A81,tabCustoUnit[],COLUMN(CUSTO_GLOBAL[[#Headers],[13º salário (titular)]])-2,0)*($G81-$H81)</f>
        <v>68.688408333333328</v>
      </c>
      <c r="AB81" s="21">
        <f>VLOOKUP($A81,tabCustoUnit[],COLUMN(CUSTO_GLOBAL[[#Headers],[Férias e Adicional de Férias (titular)]])-2,0)*($G81-$H81)</f>
        <v>91.584544444444433</v>
      </c>
      <c r="AC81" s="21">
        <f>VLOOKUP($A81,tabCustoUnit[],COLUMN(CUSTO_GLOBAL[[#Headers],[Incidência do Submódulo 2.1 sobre 13º Salário, Férias e Adicional de Férias]])-2,0)*($G81-$H81)</f>
        <v>60.583176149999993</v>
      </c>
      <c r="AD81" s="21">
        <f>VLOOKUP($A81,tabCustoUnit[],COLUMN(CUSTO_GLOBAL[[#Headers],[Submódulo 2.2]])-2,0)*($G81-$H81)</f>
        <v>220.85612892777775</v>
      </c>
      <c r="AE81" s="22">
        <f>VLOOKUP($A81,tabCustoUnit[],COLUMN(CUSTO_GLOBAL[[#Headers],[Vale - Transporte (Descontada parcela do empregado)]])-2,0)*($G81-$H81)</f>
        <v>208.11160000000001</v>
      </c>
      <c r="AF81" s="22">
        <f>VLOOKUP($A81,tabCustoUnit[],COLUMN(CUSTO_GLOBAL[[#Headers],[Vale - Alimentação (Descontada parcela do empregado)]])-2,0)*($G81-$H81)</f>
        <v>0</v>
      </c>
      <c r="AG81" s="22">
        <f>VLOOKUP($A81,tabCustoUnit[],COLUMN(CUSTO_GLOBAL[[#Headers],[Cesta Básica]])-2,0)*($G81-$H81)</f>
        <v>387.79</v>
      </c>
      <c r="AH81" s="22">
        <f>VLOOKUP($A81,tabCustoUnit[],COLUMN(CUSTO_GLOBAL[[#Headers],[PAF]])-2,0)*($G81-$H81)</f>
        <v>42.97</v>
      </c>
      <c r="AI81" s="22">
        <f>VLOOKUP($A81,tabCustoUnit[],COLUMN(CUSTO_GLOBAL[[#Headers],[PQM]])-2,0)*($G81-$H81)</f>
        <v>0</v>
      </c>
      <c r="AJ81" s="22">
        <v>0</v>
      </c>
      <c r="AK81" s="22">
        <f>VLOOKUP($A81,tabCustoUnit[],COLUMN(CUSTO_GLOBAL[[#Headers],[Seguro de Vida]])-2,0)*($G81-$H81)</f>
        <v>3.36</v>
      </c>
      <c r="AL81" s="22">
        <f>VLOOKUP($A81,tabCustoUnit[],COLUMN(CUSTO_GLOBAL[[#Headers],[Despesas de Viagem]])-2,0)*($G81-$H81)</f>
        <v>0</v>
      </c>
      <c r="AM81" s="22">
        <f>VLOOKUP($A81,tabCustoUnit[],COLUMN(CUSTO_GLOBAL[[#Headers],[Submódulo 2.3]])-2,0)*($G81-$H81)</f>
        <v>642.23160000000007</v>
      </c>
      <c r="AN81" s="22">
        <f>VLOOKUP($A81,tabCustoUnit[],COLUMN(CUSTO_GLOBAL[[#Headers],[MÓDULO 2 - Total Encargos e Benefícios mensais e diários]])-2,0)*($G81-$H81)</f>
        <v>1174.6583491277779</v>
      </c>
      <c r="AO81" s="22">
        <f>VLOOKUP($A81,tabCustoUnit[],COLUMN(CUSTO_GLOBAL[[#Headers],[Aviso Prévio Indenizado (API) e Reflexo do Aviso Prévio Indenizado]])-2,0)*($G81-$H81)</f>
        <v>5.7795253576581791</v>
      </c>
      <c r="AP81" s="22">
        <f>VLOOKUP($A81,tabCustoUnit[],COLUMN(CUSTO_GLOBAL[[#Headers],[Incidência do FGTS sobre API e Reflexo do API]])-2,0)*($G81-$H81)</f>
        <v>0.46236202861265435</v>
      </c>
      <c r="AQ81" s="22">
        <f>VLOOKUP($A81,tabCustoUnit[],COLUMN(CUSTO_GLOBAL[[#Headers],[Multa Rescisória do FGTS sobre o Aviso Prévio Indenizado]])-2,0)*($G81-$H81)</f>
        <v>0.18494481144506175</v>
      </c>
      <c r="AR81" s="22">
        <f>VLOOKUP($A81,tabCustoUnit[],COLUMN(CUSTO_GLOBAL[[#Headers],[Aviso Prévio Trabalhado - APT]])-2,0)*($G81-$H81)</f>
        <v>2.8849131500000005</v>
      </c>
      <c r="AS81" s="22">
        <f>VLOOKUP($A81,tabCustoUnit[],COLUMN(CUSTO_GLOBAL[[#Headers],[Incidência dos encargos do submódulo 2.1 sobre Aviso Prévio Trabalhado]])-2,0)*($G81-$H81)</f>
        <v>1.0904971707000004</v>
      </c>
      <c r="AT81" s="22">
        <f>VLOOKUP($A81,tabCustoUnit[],COLUMN(CUSTO_GLOBAL[[#Headers],[Multa Rescisória do FGTS]])-2,0)*($G81-$H81)</f>
        <v>25.204066631111107</v>
      </c>
      <c r="AU81" s="22">
        <f>VLOOKUP($A81,tabCustoUnit[],COLUMN(CUSTO_GLOBAL[[#Headers],[Indenização Adicional (Art. 9º da Lei nº 7.238/84)]])-2,0)*($G81-$H81)</f>
        <v>0.6868840833333334</v>
      </c>
      <c r="AV81" s="22">
        <f>VLOOKUP($A81,tabCustoUnit[],COLUMN(CUSTO_GLOBAL[[#Headers],[MÓDULO 3 – PROVISÃO PARA RESCISÃO]])-2,0)*($G81-$H81)</f>
        <v>36.293193232860339</v>
      </c>
      <c r="AW81" s="22">
        <f>VLOOKUP($A81,tabCustoUnit[],COLUMN(CUSTO_GLOBAL[[#Headers],[Ausência por Doença]])-2,0)*($G81-$H81)</f>
        <v>6.9604253777777769</v>
      </c>
      <c r="AX81" s="22">
        <f>VLOOKUP($A81,tabCustoUnit[],COLUMN(CUSTO_GLOBAL[[#Headers],[Ausências Legais]])-2,0)*($G81-$H81)</f>
        <v>1.671417936111111</v>
      </c>
      <c r="AY81" s="22">
        <f>VLOOKUP($A81,tabCustoUnit[],COLUMN(CUSTO_GLOBAL[[#Headers],[Licença Paternidade]])-2,0)*($G81-$H81)</f>
        <v>0.14081123708333332</v>
      </c>
      <c r="AZ81" s="22">
        <f>VLOOKUP($A81,tabCustoUnit[],COLUMN(CUSTO_GLOBAL[[#Headers],[Ausência por Acidente de Trabalho]])-2,0)*($G81-$H81)</f>
        <v>0.17172102083333335</v>
      </c>
      <c r="BA81" s="22">
        <f>VLOOKUP($A81,tabCustoUnit[],COLUMN(CUSTO_GLOBAL[[#Headers],[Férias, Adicional de Férias e 13º  com empregada em gozo de Licença Maternidade]])-2,0)*($G81-$H81)</f>
        <v>1.0684863518518517</v>
      </c>
      <c r="BB81" s="22">
        <f>VLOOKUP($A81,tabCustoUnit[],COLUMN(CUSTO_GLOBAL[[#Headers],[Incidência do Submódulo 2.1 sobre Ausências Legais]])-2,0)*($G81-$H81)</f>
        <v>3.7848618071425006</v>
      </c>
      <c r="BC81" s="22">
        <f>VLOOKUP($A81,tabCustoUnit[],COLUMN(CUSTO_GLOBAL[[#Headers],[Submódulo 4.1]])-2,0)*($G81-$H81)</f>
        <v>13.797723730799909</v>
      </c>
      <c r="BD81" s="22">
        <f>VLOOKUP($A81,tabCustoUnit[],COLUMN(CUSTO_GLOBAL[[#Headers],[Intervalo para Repouso ou Alimentação]])-2,0)*($G81-$H81)</f>
        <v>0</v>
      </c>
      <c r="BE81" s="22">
        <f>VLOOKUP($A81,tabCustoUnit[],COLUMN(CUSTO_GLOBAL[[#Headers],[Submódulo 4.2]])-2,0)*($G81-$H81)</f>
        <v>0</v>
      </c>
      <c r="BF81" s="22">
        <f>VLOOKUP($A81,tabCustoUnit[],COLUMN(CUSTO_GLOBAL[[#Headers],[Suspensão Temporária do Contrato de Trabalho]])-2,0)*($G81-$H81)</f>
        <v>0</v>
      </c>
      <c r="BG81" s="22">
        <f>VLOOKUP($A81,tabCustoUnit[],COLUMN(CUSTO_GLOBAL[[#Headers],[Submódulo 4.3]])-2,0)*($G81-$H81)</f>
        <v>0</v>
      </c>
      <c r="BH81" s="22">
        <f>VLOOKUP($A81,tabCustoUnit[],COLUMN(CUSTO_GLOBAL[[#Headers],[MÓDULO 4 – CUSTO DE REPOSIÇÃO DO PROFISSIONAL AUSENTE]])-2,0)*($G81-$H81)</f>
        <v>13.797723730799909</v>
      </c>
      <c r="BI81" s="22">
        <f>VLOOKUP($A81,tabCustoUnit[],COLUMN(CUSTO_GLOBAL[[#Headers],[Uniformes e EPIs]])-2,0)*($G81-$H81)</f>
        <v>62.806666666666665</v>
      </c>
      <c r="BJ81" s="22">
        <f>VLOOKUP($A81,tabCustoUnit[],COLUMN(CUSTO_GLOBAL[[#Headers],[Materiais de Consumo]])-2,0)*($G81-$H81)</f>
        <v>17.759106479291944</v>
      </c>
      <c r="BK81" s="22">
        <f>VLOOKUP($A81,tabCustoUnit[],COLUMN(CUSTO_GLOBAL[[#Headers],[Máquinas e Equipamentos (depreciação)]])-2,0)*($G81-$H81)</f>
        <v>32.264696957412788</v>
      </c>
      <c r="BL81" s="22">
        <f>VLOOKUP($A81,tabCustoUnit[],COLUMN(CUSTO_GLOBAL[[#Headers],[Produtos de Limpeza e Materiais de Higiene Pessoal]])-2,0)*($G81-$H81)</f>
        <v>345.13576638965827</v>
      </c>
      <c r="BM81" s="22">
        <f>VLOOKUP($A81,tabCustoUnit[],COLUMN(CUSTO_GLOBAL[[#Headers],[Outros (especificar)]])-2,0)*($G81-$H81)</f>
        <v>0</v>
      </c>
      <c r="BN81" s="22">
        <f>VLOOKUP($A81,tabCustoUnit[],COLUMN(CUSTO_GLOBAL[[#Headers],[MÓDULO 5 – INSUMOS DIVERSOS]])-2,0)*($G81-$H81)</f>
        <v>457.96623649302967</v>
      </c>
      <c r="BO81" s="22">
        <f>VLOOKUP($A81,tabCustoUnit[],COLUMN(CUSTO_GLOBAL[[#Headers],[TOTAL MÓDULOS 1+2+3+4+5]])-2,0)*($G81-$H81)</f>
        <v>2506.9764025844679</v>
      </c>
      <c r="BP81" s="22">
        <f>VLOOKUP($A81,tabCustoUnit[],COLUMN(CUSTO_GLOBAL[[#Headers],[Custos Indiretos]])-2,0)*($G81-$H81)</f>
        <v>189.64880140242613</v>
      </c>
      <c r="BQ81" s="22">
        <f>VLOOKUP($A81,tabCustoUnit[],COLUMN(CUSTO_GLOBAL[[#Headers],[Lucro]])-2,0)*($G81-$H81)</f>
        <v>159.30499317803796</v>
      </c>
      <c r="BR81" s="26">
        <f>VLOOKUP($A81,tabCustoUnit[],COLUMN(CUSTO_GLOBAL[[#Headers],[COFINS]])-2,0)</f>
        <v>8.8629737609329504E-2</v>
      </c>
      <c r="BS81" s="26">
        <f>VLOOKUP($A81,tabCustoUnit[],COLUMN(CUSTO_GLOBAL[[#Headers],[PIS]])-2,0)</f>
        <v>1.9241982507288629E-2</v>
      </c>
      <c r="BT81" s="28">
        <f>VLOOKUP($A81,tabCustoUnit[],COLUMN(CUSTO_GLOBAL[[#Headers],[ISS]])-2,0)</f>
        <v>0.05</v>
      </c>
      <c r="BU81" s="26">
        <f>VLOOKUP($A81,tabCustoUnit[],COLUMN(CUSTO_GLOBAL[[#Headers],[ISS (Conversão Alíquota s/ fatura)]])-2,0)</f>
        <v>5.8309037900874633E-2</v>
      </c>
      <c r="BV81" s="26">
        <f>VLOOKUP($A81,tabCustoUnit[],COLUMN(CUSTO_GLOBAL[[#Headers],[Resumo de Alíquotas (PIS+CONFINS+ISS)]])-2,0)</f>
        <v>0.14250000000000002</v>
      </c>
      <c r="BW81" s="138">
        <f>VLOOKUP($A81,tabCustoUnit[],COLUMN(CUSTO_GLOBAL[[#Headers],[PIS + COFINS + ISS (Total Conversão  Alíquota s/ Fatura)]])-2,0)</f>
        <v>0.16618075801749277</v>
      </c>
      <c r="BX81" s="22">
        <f>VLOOKUP($A81,tabCustoUnit[],COLUMN(CUSTO_GLOBAL[[#Headers],[Valor dos Tributos (ISS, PIS, CONFINS)]])-2,0)*($G81-$H81)</f>
        <v>474.60064500991598</v>
      </c>
      <c r="BY81" s="22">
        <f>VLOOKUP($A81,tabCustoUnit[],COLUMN(CUSTO_GLOBAL[[#Headers],[MÓDULO 6 – CUSTOS INDIRETOS, TRIBUTOS E LUCRO]])-2,0)*($G81-$H81)</f>
        <v>823.55443959038007</v>
      </c>
      <c r="BZ81" s="22">
        <f>VLOOKUP($A81,tabCustoUnit[],COLUMN(CUSTO_GLOBAL[[#Headers],[CUSTO TOTAL MENSAL]])-2,0)*($G81-$H81)</f>
        <v>3330.5308421748477</v>
      </c>
      <c r="CA81" s="22">
        <f>CUSTO_GLOBAL[[#This Row],[CUSTO TOTAL MENSAL]]*12</f>
        <v>39966.370106098169</v>
      </c>
      <c r="CB81" s="24">
        <f>VLOOKUP($A81,tabCustoUnit[],COLUMN(CUSTO_GLOBAL[[#Headers],[ANO DA CCT]])-2,0)</f>
        <v>45658</v>
      </c>
      <c r="CC81" s="25" t="str">
        <f>VLOOKUP($A81,tabCustoUnit[],COLUMN(CUSTO_GLOBAL[[#Headers],[Nº DE PEDIDO DA CCT]])-2,0)</f>
        <v>-</v>
      </c>
      <c r="CD81" s="25" t="str">
        <f>VLOOKUP($A81,tabCustoUnit[],COLUMN(CUSTO_GLOBAL[[#Headers],[TERMO ADITIVO  ALTERAÇÃO DA CCT]])-2,0)</f>
        <v>-</v>
      </c>
      <c r="CF81" s="22"/>
      <c r="CG81" s="22"/>
    </row>
    <row r="82" spans="1:85" x14ac:dyDescent="0.25">
      <c r="A82" s="20" t="s">
        <v>1422</v>
      </c>
      <c r="B82" t="s">
        <v>79</v>
      </c>
      <c r="C82" t="s">
        <v>1245</v>
      </c>
      <c r="D82" t="s">
        <v>1037</v>
      </c>
      <c r="E82" s="20" t="s">
        <v>9</v>
      </c>
      <c r="F82" s="20" t="s">
        <v>10</v>
      </c>
      <c r="G82" s="20">
        <v>1</v>
      </c>
      <c r="H82" s="20">
        <v>0</v>
      </c>
      <c r="I82" s="21">
        <f>VLOOKUP($A82,tabCustoUnit[],COLUMN(CUSTO_GLOBAL[[#Headers],[Salário Base]])-2,0)*($G82-$H82)</f>
        <v>1596.28</v>
      </c>
      <c r="J82" s="21">
        <f>VLOOKUP($A82,tabCustoUnit[],COLUMN(CUSTO_GLOBAL[[#Headers],[Adicional Periculosidade]])-2,0)*($G82-$H82)</f>
        <v>0</v>
      </c>
      <c r="K82" s="21">
        <f>VLOOKUP($A82,tabCustoUnit[],COLUMN(CUSTO_GLOBAL[[#Headers],[Adicional Insalubridade]])-2,0)*($G82-$H82)</f>
        <v>0</v>
      </c>
      <c r="L82" s="21">
        <f>VLOOKUP($A82,tabCustoUnit[],COLUMN(CUSTO_GLOBAL[[#Headers],[Adicional Noturno]])-2,0)*($G82-$H82)</f>
        <v>0</v>
      </c>
      <c r="M82" s="21">
        <f>VLOOKUP($A82,tabCustoUnit[],COLUMN(CUSTO_GLOBAL[[#Headers],[Adicional Motorista II (Gratificação)]])-2,0)*($G82-$H82)</f>
        <v>0</v>
      </c>
      <c r="N82" s="21">
        <f>VLOOKUP($A82,tabCustoUnit[],COLUMN(CUSTO_GLOBAL[[#Headers],[Adicional de Sobreaviso]])-2,0)*($G82-$H82)</f>
        <v>0</v>
      </c>
      <c r="O82" s="21">
        <f>VLOOKUP($A82,tabCustoUnit[],COLUMN(CUSTO_GLOBAL[[#Headers],[Horas Extras TI]])-2,0)*($G82-$H82)</f>
        <v>0</v>
      </c>
      <c r="P82" s="21">
        <f>VLOOKUP($A82,tabCustoUnit[],COLUMN(CUSTO_GLOBAL[[#Headers],[Adicional de Acúmulo de função]])-2,0)*($G82-$H82)</f>
        <v>52.241900000000001</v>
      </c>
      <c r="Q82" s="21">
        <f>VLOOKUP($A82,tabCustoUnit[],COLUMN(CUSTO_GLOBAL[[#Headers],[MODULO 1 - REMUNERAÇÃO ]])-2,0)*($G82-$H82)</f>
        <v>1648.5219</v>
      </c>
      <c r="R82" s="21">
        <f>VLOOKUP($A82,tabCustoUnit[],COLUMN(CUSTO_GLOBAL[[#Headers],[INSS]])-2,0)*($G82-$H82)</f>
        <v>329.70438000000001</v>
      </c>
      <c r="S82" s="21">
        <f>VLOOKUP($A82,tabCustoUnit[],COLUMN(CUSTO_GLOBAL[[#Headers],[SESI OU SESC]])-2,0)*($G82-$H82)</f>
        <v>24.727828499999998</v>
      </c>
      <c r="T82" s="21">
        <f>VLOOKUP($A82,tabCustoUnit[],COLUMN(CUSTO_GLOBAL[[#Headers],[SENAI OU SENAC]])-2,0)*($G82-$H82)</f>
        <v>16.485219000000001</v>
      </c>
      <c r="U82" s="21">
        <f>VLOOKUP($A82,tabCustoUnit[],COLUMN(CUSTO_GLOBAL[[#Headers],[INCRA]])-2,0)*($G82-$H82)</f>
        <v>3.2970438</v>
      </c>
      <c r="V82" s="21">
        <f>VLOOKUP($A82,tabCustoUnit[],COLUMN(CUSTO_GLOBAL[[#Headers],[Salário Educação]])-2,0)*($G82-$H82)</f>
        <v>41.213047500000002</v>
      </c>
      <c r="W82" s="21">
        <f>VLOOKUP($A82,tabCustoUnit[],COLUMN(CUSTO_GLOBAL[[#Headers],[FGTS]])-2,0)*($G82-$H82)</f>
        <v>131.88175200000001</v>
      </c>
      <c r="X82" s="21">
        <f>VLOOKUP($A82,tabCustoUnit[],COLUMN(CUSTO_GLOBAL[[#Headers],[RAT Ajustado]])-2,0)*($G82-$H82)</f>
        <v>65.940876000000003</v>
      </c>
      <c r="Y82" s="21">
        <f>VLOOKUP($A82,tabCustoUnit[],COLUMN(CUSTO_GLOBAL[[#Headers],[SEBRAE]])-2,0)*($G82-$H82)</f>
        <v>9.8911314000000008</v>
      </c>
      <c r="Z82" s="21">
        <f>VLOOKUP($A82,tabCustoUnit[],COLUMN(CUSTO_GLOBAL[[#Headers],[Submódulo 2.1]])-2,0)*($G82-$H82)</f>
        <v>623.14127819999999</v>
      </c>
      <c r="AA82" s="21">
        <f>VLOOKUP($A82,tabCustoUnit[],COLUMN(CUSTO_GLOBAL[[#Headers],[13º salário (titular)]])-2,0)*($G82-$H82)</f>
        <v>137.376825</v>
      </c>
      <c r="AB82" s="21">
        <f>VLOOKUP($A82,tabCustoUnit[],COLUMN(CUSTO_GLOBAL[[#Headers],[Férias e Adicional de Férias (titular)]])-2,0)*($G82-$H82)</f>
        <v>183.16909999999999</v>
      </c>
      <c r="AC82" s="21">
        <f>VLOOKUP($A82,tabCustoUnit[],COLUMN(CUSTO_GLOBAL[[#Headers],[Incidência do Submódulo 2.1 sobre 13º Salário, Férias e Adicional de Férias]])-2,0)*($G82-$H82)</f>
        <v>121.16635965</v>
      </c>
      <c r="AD82" s="21">
        <f>VLOOKUP($A82,tabCustoUnit[],COLUMN(CUSTO_GLOBAL[[#Headers],[Submódulo 2.2]])-2,0)*($G82-$H82)</f>
        <v>441.71228465000002</v>
      </c>
      <c r="AE82" s="22">
        <f>VLOOKUP($A82,tabCustoUnit[],COLUMN(CUSTO_GLOBAL[[#Headers],[Vale - Transporte (Descontada parcela do empregado)]])-2,0)*($G82-$H82)</f>
        <v>160.22320000000002</v>
      </c>
      <c r="AF82" s="22">
        <f>VLOOKUP($A82,tabCustoUnit[],COLUMN(CUSTO_GLOBAL[[#Headers],[Vale - Alimentação (Descontada parcela do empregado)]])-2,0)*($G82-$H82)</f>
        <v>582</v>
      </c>
      <c r="AG82" s="22">
        <f>VLOOKUP($A82,tabCustoUnit[],COLUMN(CUSTO_GLOBAL[[#Headers],[Cesta Básica]])-2,0)*($G82-$H82)</f>
        <v>0</v>
      </c>
      <c r="AH82" s="22">
        <f>VLOOKUP($A82,tabCustoUnit[],COLUMN(CUSTO_GLOBAL[[#Headers],[PAF]])-2,0)*($G82-$H82)</f>
        <v>51.86</v>
      </c>
      <c r="AI82" s="22">
        <f>VLOOKUP($A82,tabCustoUnit[],COLUMN(CUSTO_GLOBAL[[#Headers],[PQM]])-2,0)*($G82-$H82)</f>
        <v>0</v>
      </c>
      <c r="AJ82" s="22">
        <v>0</v>
      </c>
      <c r="AK82" s="22">
        <f>VLOOKUP($A82,tabCustoUnit[],COLUMN(CUSTO_GLOBAL[[#Headers],[Seguro de Vida]])-2,0)*($G82-$H82)</f>
        <v>3.36</v>
      </c>
      <c r="AL82" s="22">
        <f>VLOOKUP($A82,tabCustoUnit[],COLUMN(CUSTO_GLOBAL[[#Headers],[Despesas de Viagem]])-2,0)*($G82-$H82)</f>
        <v>0</v>
      </c>
      <c r="AM82" s="22">
        <f>VLOOKUP($A82,tabCustoUnit[],COLUMN(CUSTO_GLOBAL[[#Headers],[Submódulo 2.3]])-2,0)*($G82-$H82)</f>
        <v>797.44320000000005</v>
      </c>
      <c r="AN82" s="22">
        <f>VLOOKUP($A82,tabCustoUnit[],COLUMN(CUSTO_GLOBAL[[#Headers],[MÓDULO 2 - Total Encargos e Benefícios mensais e diários]])-2,0)*($G82-$H82)</f>
        <v>1862.2967628500001</v>
      </c>
      <c r="AO82" s="22">
        <f>VLOOKUP($A82,tabCustoUnit[],COLUMN(CUSTO_GLOBAL[[#Headers],[Aviso Prévio Indenizado (API) e Reflexo do Aviso Prévio Indenizado]])-2,0)*($G82-$H82)</f>
        <v>11.559051416493055</v>
      </c>
      <c r="AP82" s="22">
        <f>VLOOKUP($A82,tabCustoUnit[],COLUMN(CUSTO_GLOBAL[[#Headers],[Incidência do FGTS sobre API e Reflexo do API]])-2,0)*($G82-$H82)</f>
        <v>0.92472411331944449</v>
      </c>
      <c r="AQ82" s="22">
        <f>VLOOKUP($A82,tabCustoUnit[],COLUMN(CUSTO_GLOBAL[[#Headers],[Multa Rescisória do FGTS sobre o Aviso Prévio Indenizado]])-2,0)*($G82-$H82)</f>
        <v>0.36988964532777785</v>
      </c>
      <c r="AR82" s="22">
        <f>VLOOKUP($A82,tabCustoUnit[],COLUMN(CUSTO_GLOBAL[[#Headers],[Aviso Prévio Trabalhado - APT]])-2,0)*($G82-$H82)</f>
        <v>5.7698266500000006</v>
      </c>
      <c r="AS82" s="22">
        <f>VLOOKUP($A82,tabCustoUnit[],COLUMN(CUSTO_GLOBAL[[#Headers],[Incidência dos encargos do submódulo 2.1 sobre Aviso Prévio Trabalhado]])-2,0)*($G82-$H82)</f>
        <v>2.1809944737000007</v>
      </c>
      <c r="AT82" s="22">
        <f>VLOOKUP($A82,tabCustoUnit[],COLUMN(CUSTO_GLOBAL[[#Headers],[Multa Rescisória do FGTS]])-2,0)*($G82-$H82)</f>
        <v>50.40813631999999</v>
      </c>
      <c r="AU82" s="22">
        <f>VLOOKUP($A82,tabCustoUnit[],COLUMN(CUSTO_GLOBAL[[#Headers],[Indenização Adicional (Art. 9º da Lei nº 7.238/84)]])-2,0)*($G82-$H82)</f>
        <v>1.3737682500000001</v>
      </c>
      <c r="AV82" s="22">
        <f>VLOOKUP($A82,tabCustoUnit[],COLUMN(CUSTO_GLOBAL[[#Headers],[MÓDULO 3 – PROVISÃO PARA RESCISÃO]])-2,0)*($G82-$H82)</f>
        <v>72.586390868840269</v>
      </c>
      <c r="AW82" s="22">
        <f>VLOOKUP($A82,tabCustoUnit[],COLUMN(CUSTO_GLOBAL[[#Headers],[Ausência por Doença]])-2,0)*($G82-$H82)</f>
        <v>13.920851599999999</v>
      </c>
      <c r="AX82" s="22">
        <f>VLOOKUP($A82,tabCustoUnit[],COLUMN(CUSTO_GLOBAL[[#Headers],[Ausências Legais]])-2,0)*($G82-$H82)</f>
        <v>3.3428360749999997</v>
      </c>
      <c r="AY82" s="22">
        <f>VLOOKUP($A82,tabCustoUnit[],COLUMN(CUSTO_GLOBAL[[#Headers],[Licença Paternidade]])-2,0)*($G82-$H82)</f>
        <v>0.28162249125</v>
      </c>
      <c r="AZ82" s="22">
        <f>VLOOKUP($A82,tabCustoUnit[],COLUMN(CUSTO_GLOBAL[[#Headers],[Ausência por Acidente de Trabalho]])-2,0)*($G82-$H82)</f>
        <v>0.34344206250000003</v>
      </c>
      <c r="BA82" s="22">
        <f>VLOOKUP($A82,tabCustoUnit[],COLUMN(CUSTO_GLOBAL[[#Headers],[Férias, Adicional de Férias e 13º  com empregada em gozo de Licença Maternidade]])-2,0)*($G82-$H82)</f>
        <v>2.1369728333333331</v>
      </c>
      <c r="BB82" s="22">
        <f>VLOOKUP($A82,tabCustoUnit[],COLUMN(CUSTO_GLOBAL[[#Headers],[Incidência do Submódulo 2.1 sobre Ausências Legais]])-2,0)*($G82-$H82)</f>
        <v>7.5697240734675013</v>
      </c>
      <c r="BC82" s="22">
        <f>VLOOKUP($A82,tabCustoUnit[],COLUMN(CUSTO_GLOBAL[[#Headers],[Submódulo 4.1]])-2,0)*($G82-$H82)</f>
        <v>27.595449135550833</v>
      </c>
      <c r="BD82" s="22">
        <f>VLOOKUP($A82,tabCustoUnit[],COLUMN(CUSTO_GLOBAL[[#Headers],[Intervalo para Repouso ou Alimentação]])-2,0)*($G82-$H82)</f>
        <v>0</v>
      </c>
      <c r="BE82" s="22">
        <f>VLOOKUP($A82,tabCustoUnit[],COLUMN(CUSTO_GLOBAL[[#Headers],[Submódulo 4.2]])-2,0)*($G82-$H82)</f>
        <v>0</v>
      </c>
      <c r="BF82" s="22">
        <f>VLOOKUP($A82,tabCustoUnit[],COLUMN(CUSTO_GLOBAL[[#Headers],[Suspensão Temporária do Contrato de Trabalho]])-2,0)*($G82-$H82)</f>
        <v>0</v>
      </c>
      <c r="BG82" s="22">
        <f>VLOOKUP($A82,tabCustoUnit[],COLUMN(CUSTO_GLOBAL[[#Headers],[Submódulo 4.3]])-2,0)*($G82-$H82)</f>
        <v>0</v>
      </c>
      <c r="BH82" s="22">
        <f>VLOOKUP($A82,tabCustoUnit[],COLUMN(CUSTO_GLOBAL[[#Headers],[MÓDULO 4 – CUSTO DE REPOSIÇÃO DO PROFISSIONAL AUSENTE]])-2,0)*($G82-$H82)</f>
        <v>27.595449135550833</v>
      </c>
      <c r="BI82" s="22">
        <f>VLOOKUP($A82,tabCustoUnit[],COLUMN(CUSTO_GLOBAL[[#Headers],[Uniformes e EPIs]])-2,0)*($G82-$H82)</f>
        <v>100.80916666666666</v>
      </c>
      <c r="BJ82" s="22">
        <f>VLOOKUP($A82,tabCustoUnit[],COLUMN(CUSTO_GLOBAL[[#Headers],[Materiais de Consumo]])-2,0)*($G82-$H82)</f>
        <v>35.518212958583888</v>
      </c>
      <c r="BK82" s="22">
        <f>VLOOKUP($A82,tabCustoUnit[],COLUMN(CUSTO_GLOBAL[[#Headers],[Máquinas e Equipamentos (depreciação)]])-2,0)*($G82-$H82)</f>
        <v>64.529393914825576</v>
      </c>
      <c r="BL82" s="22">
        <f>VLOOKUP($A82,tabCustoUnit[],COLUMN(CUSTO_GLOBAL[[#Headers],[Produtos de Limpeza e Materiais de Higiene Pessoal]])-2,0)*($G82-$H82)</f>
        <v>690.27153277931654</v>
      </c>
      <c r="BM82" s="22">
        <f>VLOOKUP($A82,tabCustoUnit[],COLUMN(CUSTO_GLOBAL[[#Headers],[Outros (especificar)]])-2,0)*($G82-$H82)</f>
        <v>0</v>
      </c>
      <c r="BN82" s="22">
        <f>VLOOKUP($A82,tabCustoUnit[],COLUMN(CUSTO_GLOBAL[[#Headers],[MÓDULO 5 – INSUMOS DIVERSOS]])-2,0)*($G82-$H82)</f>
        <v>891.12830631939266</v>
      </c>
      <c r="BO82" s="22">
        <f>VLOOKUP($A82,tabCustoUnit[],COLUMN(CUSTO_GLOBAL[[#Headers],[TOTAL MÓDULOS 1+2+3+4+5]])-2,0)*($G82-$H82)</f>
        <v>4502.1288091737833</v>
      </c>
      <c r="BP82" s="22">
        <f>VLOOKUP($A82,tabCustoUnit[],COLUMN(CUSTO_GLOBAL[[#Headers],[Custos Indiretos]])-2,0)*($G82-$H82)</f>
        <v>189.64880140242613</v>
      </c>
      <c r="BQ82" s="22">
        <f>VLOOKUP($A82,tabCustoUnit[],COLUMN(CUSTO_GLOBAL[[#Headers],[Lucro]])-2,0)*($G82-$H82)</f>
        <v>159.30499317803796</v>
      </c>
      <c r="BR82" s="26">
        <f>VLOOKUP($A82,tabCustoUnit[],COLUMN(CUSTO_GLOBAL[[#Headers],[COFINS]])-2,0)</f>
        <v>8.8629737609329504E-2</v>
      </c>
      <c r="BS82" s="26">
        <f>VLOOKUP($A82,tabCustoUnit[],COLUMN(CUSTO_GLOBAL[[#Headers],[PIS]])-2,0)</f>
        <v>1.9241982507288629E-2</v>
      </c>
      <c r="BT82" s="28">
        <f>VLOOKUP($A82,tabCustoUnit[],COLUMN(CUSTO_GLOBAL[[#Headers],[ISS]])-2,0)</f>
        <v>0.05</v>
      </c>
      <c r="BU82" s="26">
        <f>VLOOKUP($A82,tabCustoUnit[],COLUMN(CUSTO_GLOBAL[[#Headers],[ISS (Conversão Alíquota s/ fatura)]])-2,0)</f>
        <v>5.8309037900874633E-2</v>
      </c>
      <c r="BV82" s="26">
        <f>VLOOKUP($A82,tabCustoUnit[],COLUMN(CUSTO_GLOBAL[[#Headers],[Resumo de Alíquotas (PIS+CONFINS+ISS)]])-2,0)</f>
        <v>0.14250000000000002</v>
      </c>
      <c r="BW82" s="138">
        <f>VLOOKUP($A82,tabCustoUnit[],COLUMN(CUSTO_GLOBAL[[#Headers],[PIS + COFINS + ISS (Total Conversão  Alíquota s/ Fatura)]])-2,0)</f>
        <v>0.16618075801749277</v>
      </c>
      <c r="BX82" s="22">
        <f>VLOOKUP($A82,tabCustoUnit[],COLUMN(CUSTO_GLOBAL[[#Headers],[Valor dos Tributos (ISS, PIS, CONFINS)]])-2,0)*($G82-$H82)</f>
        <v>806.15658429735333</v>
      </c>
      <c r="BY82" s="22">
        <f>VLOOKUP($A82,tabCustoUnit[],COLUMN(CUSTO_GLOBAL[[#Headers],[MÓDULO 6 – CUSTOS INDIRETOS, TRIBUTOS E LUCRO]])-2,0)*($G82-$H82)</f>
        <v>1155.1103788778173</v>
      </c>
      <c r="BZ82" s="22">
        <f>VLOOKUP($A82,tabCustoUnit[],COLUMN(CUSTO_GLOBAL[[#Headers],[CUSTO TOTAL MENSAL]])-2,0)*($G82-$H82)</f>
        <v>5657.2391880516006</v>
      </c>
      <c r="CA82" s="22">
        <f>CUSTO_GLOBAL[[#This Row],[CUSTO TOTAL MENSAL]]*12</f>
        <v>67886.870256619208</v>
      </c>
      <c r="CB82" s="24">
        <f>VLOOKUP($A82,tabCustoUnit[],COLUMN(CUSTO_GLOBAL[[#Headers],[ANO DA CCT]])-2,0)</f>
        <v>45658</v>
      </c>
      <c r="CC82" s="25" t="str">
        <f>VLOOKUP($A82,tabCustoUnit[],COLUMN(CUSTO_GLOBAL[[#Headers],[Nº DE PEDIDO DA CCT]])-2,0)</f>
        <v>-</v>
      </c>
      <c r="CD82" s="25" t="str">
        <f>VLOOKUP($A82,tabCustoUnit[],COLUMN(CUSTO_GLOBAL[[#Headers],[TERMO ADITIVO  ALTERAÇÃO DA CCT]])-2,0)</f>
        <v>-</v>
      </c>
      <c r="CF82" s="22"/>
      <c r="CG82" s="22"/>
    </row>
    <row r="83" spans="1:85" x14ac:dyDescent="0.25">
      <c r="A83" s="20" t="s">
        <v>1423</v>
      </c>
      <c r="B83" t="s">
        <v>80</v>
      </c>
      <c r="C83" t="s">
        <v>1247</v>
      </c>
      <c r="D83" t="s">
        <v>1023</v>
      </c>
      <c r="E83" s="20" t="s">
        <v>9</v>
      </c>
      <c r="F83" s="20" t="s">
        <v>10</v>
      </c>
      <c r="G83" s="20">
        <v>1</v>
      </c>
      <c r="H83" s="20">
        <v>0</v>
      </c>
      <c r="I83" s="21">
        <f>VLOOKUP($A83,tabCustoUnit[],COLUMN(CUSTO_GLOBAL[[#Headers],[Salário Base]])-2,0)*($G83-$H83)</f>
        <v>544.17999999999995</v>
      </c>
      <c r="J83" s="21">
        <f>VLOOKUP($A83,tabCustoUnit[],COLUMN(CUSTO_GLOBAL[[#Headers],[Adicional Periculosidade]])-2,0)*($G83-$H83)</f>
        <v>0</v>
      </c>
      <c r="K83" s="21">
        <f>VLOOKUP($A83,tabCustoUnit[],COLUMN(CUSTO_GLOBAL[[#Headers],[Adicional Insalubridade]])-2,0)*($G83-$H83)</f>
        <v>0</v>
      </c>
      <c r="L83" s="21">
        <f>VLOOKUP($A83,tabCustoUnit[],COLUMN(CUSTO_GLOBAL[[#Headers],[Adicional Noturno]])-2,0)*($G83-$H83)</f>
        <v>0</v>
      </c>
      <c r="M83" s="21">
        <f>VLOOKUP($A83,tabCustoUnit[],COLUMN(CUSTO_GLOBAL[[#Headers],[Adicional Motorista II (Gratificação)]])-2,0)*($G83-$H83)</f>
        <v>0</v>
      </c>
      <c r="N83" s="21">
        <f>VLOOKUP($A83,tabCustoUnit[],COLUMN(CUSTO_GLOBAL[[#Headers],[Adicional de Sobreaviso]])-2,0)*($G83-$H83)</f>
        <v>0</v>
      </c>
      <c r="O83" s="21">
        <f>VLOOKUP($A83,tabCustoUnit[],COLUMN(CUSTO_GLOBAL[[#Headers],[Horas Extras TI]])-2,0)*($G83-$H83)</f>
        <v>0</v>
      </c>
      <c r="P83" s="21">
        <f>VLOOKUP($A83,tabCustoUnit[],COLUMN(CUSTO_GLOBAL[[#Headers],[Adicional de Acúmulo de função]])-2,0)*($G83-$H83)</f>
        <v>19.590499999999999</v>
      </c>
      <c r="Q83" s="21">
        <f>VLOOKUP($A83,tabCustoUnit[],COLUMN(CUSTO_GLOBAL[[#Headers],[MODULO 1 - REMUNERAÇÃO ]])-2,0)*($G83-$H83)</f>
        <v>563.77049999999997</v>
      </c>
      <c r="R83" s="21">
        <f>VLOOKUP($A83,tabCustoUnit[],COLUMN(CUSTO_GLOBAL[[#Headers],[INSS]])-2,0)*($G83-$H83)</f>
        <v>112.75409999999999</v>
      </c>
      <c r="S83" s="21">
        <f>VLOOKUP($A83,tabCustoUnit[],COLUMN(CUSTO_GLOBAL[[#Headers],[SESI OU SESC]])-2,0)*($G83-$H83)</f>
        <v>8.4565574999999988</v>
      </c>
      <c r="T83" s="21">
        <f>VLOOKUP($A83,tabCustoUnit[],COLUMN(CUSTO_GLOBAL[[#Headers],[SENAI OU SENAC]])-2,0)*($G83-$H83)</f>
        <v>5.6377049999999995</v>
      </c>
      <c r="U83" s="21">
        <f>VLOOKUP($A83,tabCustoUnit[],COLUMN(CUSTO_GLOBAL[[#Headers],[INCRA]])-2,0)*($G83-$H83)</f>
        <v>1.1275409999999999</v>
      </c>
      <c r="V83" s="21">
        <f>VLOOKUP($A83,tabCustoUnit[],COLUMN(CUSTO_GLOBAL[[#Headers],[Salário Educação]])-2,0)*($G83-$H83)</f>
        <v>14.094262499999999</v>
      </c>
      <c r="W83" s="21">
        <f>VLOOKUP($A83,tabCustoUnit[],COLUMN(CUSTO_GLOBAL[[#Headers],[FGTS]])-2,0)*($G83-$H83)</f>
        <v>45.101639999999996</v>
      </c>
      <c r="X83" s="21">
        <f>VLOOKUP($A83,tabCustoUnit[],COLUMN(CUSTO_GLOBAL[[#Headers],[RAT Ajustado]])-2,0)*($G83-$H83)</f>
        <v>22.550819999999998</v>
      </c>
      <c r="Y83" s="21">
        <f>VLOOKUP($A83,tabCustoUnit[],COLUMN(CUSTO_GLOBAL[[#Headers],[SEBRAE]])-2,0)*($G83-$H83)</f>
        <v>3.3826229999999997</v>
      </c>
      <c r="Z83" s="21">
        <f>VLOOKUP($A83,tabCustoUnit[],COLUMN(CUSTO_GLOBAL[[#Headers],[Submódulo 2.1]])-2,0)*($G83-$H83)</f>
        <v>213.10524899999996</v>
      </c>
      <c r="AA83" s="21">
        <f>VLOOKUP($A83,tabCustoUnit[],COLUMN(CUSTO_GLOBAL[[#Headers],[13º salário (titular)]])-2,0)*($G83-$H83)</f>
        <v>46.980874999999997</v>
      </c>
      <c r="AB83" s="21">
        <f>VLOOKUP($A83,tabCustoUnit[],COLUMN(CUSTO_GLOBAL[[#Headers],[Férias e Adicional de Férias (titular)]])-2,0)*($G83-$H83)</f>
        <v>62.641166666666663</v>
      </c>
      <c r="AC83" s="21">
        <f>VLOOKUP($A83,tabCustoUnit[],COLUMN(CUSTO_GLOBAL[[#Headers],[Incidência do Submódulo 2.1 sobre 13º Salário, Férias e Adicional de Férias]])-2,0)*($G83-$H83)</f>
        <v>41.437131749999992</v>
      </c>
      <c r="AD83" s="21">
        <f>VLOOKUP($A83,tabCustoUnit[],COLUMN(CUSTO_GLOBAL[[#Headers],[Submódulo 2.2]])-2,0)*($G83-$H83)</f>
        <v>151.05917341666665</v>
      </c>
      <c r="AE83" s="22">
        <f>VLOOKUP($A83,tabCustoUnit[],COLUMN(CUSTO_GLOBAL[[#Headers],[Vale - Transporte (Descontada parcela do empregado)]])-2,0)*($G83-$H83)</f>
        <v>223.3492</v>
      </c>
      <c r="AF83" s="22">
        <f>VLOOKUP($A83,tabCustoUnit[],COLUMN(CUSTO_GLOBAL[[#Headers],[Vale - Alimentação (Descontada parcela do empregado)]])-2,0)*($G83-$H83)</f>
        <v>582</v>
      </c>
      <c r="AG83" s="22">
        <f>VLOOKUP($A83,tabCustoUnit[],COLUMN(CUSTO_GLOBAL[[#Headers],[Cesta Básica]])-2,0)*($G83-$H83)</f>
        <v>0</v>
      </c>
      <c r="AH83" s="22">
        <f>VLOOKUP($A83,tabCustoUnit[],COLUMN(CUSTO_GLOBAL[[#Headers],[PAF]])-2,0)*($G83-$H83)</f>
        <v>0</v>
      </c>
      <c r="AI83" s="22">
        <f>VLOOKUP($A83,tabCustoUnit[],COLUMN(CUSTO_GLOBAL[[#Headers],[PQM]])-2,0)*($G83-$H83)</f>
        <v>0</v>
      </c>
      <c r="AJ83" s="22">
        <v>0</v>
      </c>
      <c r="AK83" s="22">
        <f>VLOOKUP($A83,tabCustoUnit[],COLUMN(CUSTO_GLOBAL[[#Headers],[Seguro de Vida]])-2,0)*($G83-$H83)</f>
        <v>3.36</v>
      </c>
      <c r="AL83" s="22">
        <f>VLOOKUP($A83,tabCustoUnit[],COLUMN(CUSTO_GLOBAL[[#Headers],[Despesas de Viagem]])-2,0)*($G83-$H83)</f>
        <v>0</v>
      </c>
      <c r="AM83" s="22">
        <f>VLOOKUP($A83,tabCustoUnit[],COLUMN(CUSTO_GLOBAL[[#Headers],[Submódulo 2.3]])-2,0)*($G83-$H83)</f>
        <v>808.70920000000001</v>
      </c>
      <c r="AN83" s="22">
        <f>VLOOKUP($A83,tabCustoUnit[],COLUMN(CUSTO_GLOBAL[[#Headers],[MÓDULO 2 - Total Encargos e Benefícios mensais e diários]])-2,0)*($G83-$H83)</f>
        <v>1172.8736224166666</v>
      </c>
      <c r="AO83" s="22">
        <f>VLOOKUP($A83,tabCustoUnit[],COLUMN(CUSTO_GLOBAL[[#Headers],[Aviso Prévio Indenizado (API) e Reflexo do Aviso Prévio Indenizado]])-2,0)*($G83-$H83)</f>
        <v>3.9530273735532404</v>
      </c>
      <c r="AP83" s="22">
        <f>VLOOKUP($A83,tabCustoUnit[],COLUMN(CUSTO_GLOBAL[[#Headers],[Incidência do FGTS sobre API e Reflexo do API]])-2,0)*($G83-$H83)</f>
        <v>0.31624218988425928</v>
      </c>
      <c r="AQ83" s="22">
        <f>VLOOKUP($A83,tabCustoUnit[],COLUMN(CUSTO_GLOBAL[[#Headers],[Multa Rescisória do FGTS sobre o Aviso Prévio Indenizado]])-2,0)*($G83-$H83)</f>
        <v>0.12649687595370371</v>
      </c>
      <c r="AR83" s="22">
        <f>VLOOKUP($A83,tabCustoUnit[],COLUMN(CUSTO_GLOBAL[[#Headers],[Aviso Prévio Trabalhado - APT]])-2,0)*($G83-$H83)</f>
        <v>1.9731967500000003</v>
      </c>
      <c r="AS83" s="22">
        <f>VLOOKUP($A83,tabCustoUnit[],COLUMN(CUSTO_GLOBAL[[#Headers],[Incidência dos encargos do submódulo 2.1 sobre Aviso Prévio Trabalhado]])-2,0)*($G83-$H83)</f>
        <v>0.74586837150000018</v>
      </c>
      <c r="AT83" s="22">
        <f>VLOOKUP($A83,tabCustoUnit[],COLUMN(CUSTO_GLOBAL[[#Headers],[Multa Rescisória do FGTS]])-2,0)*($G83-$H83)</f>
        <v>17.238849066666663</v>
      </c>
      <c r="AU83" s="22">
        <f>VLOOKUP($A83,tabCustoUnit[],COLUMN(CUSTO_GLOBAL[[#Headers],[Indenização Adicional (Art. 9º da Lei nº 7.238/84)]])-2,0)*($G83-$H83)</f>
        <v>0.46980875</v>
      </c>
      <c r="AV83" s="22">
        <f>VLOOKUP($A83,tabCustoUnit[],COLUMN(CUSTO_GLOBAL[[#Headers],[MÓDULO 3 – PROVISÃO PARA RESCISÃO]])-2,0)*($G83-$H83)</f>
        <v>24.823489377557866</v>
      </c>
      <c r="AW83" s="22">
        <f>VLOOKUP($A83,tabCustoUnit[],COLUMN(CUSTO_GLOBAL[[#Headers],[Ausência por Doença]])-2,0)*($G83-$H83)</f>
        <v>4.7607286666666662</v>
      </c>
      <c r="AX83" s="22">
        <f>VLOOKUP($A83,tabCustoUnit[],COLUMN(CUSTO_GLOBAL[[#Headers],[Ausências Legais]])-2,0)*($G83-$H83)</f>
        <v>1.1432012916666665</v>
      </c>
      <c r="AY83" s="22">
        <f>VLOOKUP($A83,tabCustoUnit[],COLUMN(CUSTO_GLOBAL[[#Headers],[Licença Paternidade]])-2,0)*($G83-$H83)</f>
        <v>9.6310793749999998E-2</v>
      </c>
      <c r="AZ83" s="22">
        <f>VLOOKUP($A83,tabCustoUnit[],COLUMN(CUSTO_GLOBAL[[#Headers],[Ausência por Acidente de Trabalho]])-2,0)*($G83-$H83)</f>
        <v>0.1174521875</v>
      </c>
      <c r="BA83" s="22">
        <f>VLOOKUP($A83,tabCustoUnit[],COLUMN(CUSTO_GLOBAL[[#Headers],[Férias, Adicional de Férias e 13º  com empregada em gozo de Licença Maternidade]])-2,0)*($G83-$H83)</f>
        <v>0.73081361111111109</v>
      </c>
      <c r="BB83" s="22">
        <f>VLOOKUP($A83,tabCustoUnit[],COLUMN(CUSTO_GLOBAL[[#Headers],[Incidência do Submódulo 2.1 sobre Ausências Legais]])-2,0)*($G83-$H83)</f>
        <v>2.5887354761625003</v>
      </c>
      <c r="BC83" s="22">
        <f>VLOOKUP($A83,tabCustoUnit[],COLUMN(CUSTO_GLOBAL[[#Headers],[Submódulo 4.1]])-2,0)*($G83-$H83)</f>
        <v>9.4372420268569428</v>
      </c>
      <c r="BD83" s="22">
        <f>VLOOKUP($A83,tabCustoUnit[],COLUMN(CUSTO_GLOBAL[[#Headers],[Intervalo para Repouso ou Alimentação]])-2,0)*($G83-$H83)</f>
        <v>0</v>
      </c>
      <c r="BE83" s="22">
        <f>VLOOKUP($A83,tabCustoUnit[],COLUMN(CUSTO_GLOBAL[[#Headers],[Submódulo 4.2]])-2,0)*($G83-$H83)</f>
        <v>0</v>
      </c>
      <c r="BF83" s="22">
        <f>VLOOKUP($A83,tabCustoUnit[],COLUMN(CUSTO_GLOBAL[[#Headers],[Suspensão Temporária do Contrato de Trabalho]])-2,0)*($G83-$H83)</f>
        <v>0</v>
      </c>
      <c r="BG83" s="22">
        <f>VLOOKUP($A83,tabCustoUnit[],COLUMN(CUSTO_GLOBAL[[#Headers],[Submódulo 4.3]])-2,0)*($G83-$H83)</f>
        <v>0</v>
      </c>
      <c r="BH83" s="22">
        <f>VLOOKUP($A83,tabCustoUnit[],COLUMN(CUSTO_GLOBAL[[#Headers],[MÓDULO 4 – CUSTO DE REPOSIÇÃO DO PROFISSIONAL AUSENTE]])-2,0)*($G83-$H83)</f>
        <v>9.4372420268569428</v>
      </c>
      <c r="BI83" s="22">
        <f>VLOOKUP($A83,tabCustoUnit[],COLUMN(CUSTO_GLOBAL[[#Headers],[Uniformes e EPIs]])-2,0)*($G83-$H83)</f>
        <v>62.806666666666665</v>
      </c>
      <c r="BJ83" s="22">
        <f>VLOOKUP($A83,tabCustoUnit[],COLUMN(CUSTO_GLOBAL[[#Headers],[Materiais de Consumo]])-2,0)*($G83-$H83)</f>
        <v>12.108481690426325</v>
      </c>
      <c r="BK83" s="22">
        <f>VLOOKUP($A83,tabCustoUnit[],COLUMN(CUSTO_GLOBAL[[#Headers],[Máquinas e Equipamentos (depreciação)]])-2,0)*($G83-$H83)</f>
        <v>21.998657016417809</v>
      </c>
      <c r="BL83" s="22">
        <f>VLOOKUP($A83,tabCustoUnit[],COLUMN(CUSTO_GLOBAL[[#Headers],[Produtos de Limpeza e Materiais de Higiene Pessoal]])-2,0)*($G83-$H83)</f>
        <v>235.31984072022155</v>
      </c>
      <c r="BM83" s="22">
        <f>VLOOKUP($A83,tabCustoUnit[],COLUMN(CUSTO_GLOBAL[[#Headers],[Outros (especificar)]])-2,0)*($G83-$H83)</f>
        <v>0</v>
      </c>
      <c r="BN83" s="22">
        <f>VLOOKUP($A83,tabCustoUnit[],COLUMN(CUSTO_GLOBAL[[#Headers],[MÓDULO 5 – INSUMOS DIVERSOS]])-2,0)*($G83-$H83)</f>
        <v>332.23364609373232</v>
      </c>
      <c r="BO83" s="22">
        <f>VLOOKUP($A83,tabCustoUnit[],COLUMN(CUSTO_GLOBAL[[#Headers],[TOTAL MÓDULOS 1+2+3+4+5]])-2,0)*($G83-$H83)</f>
        <v>2103.1384999148136</v>
      </c>
      <c r="BP83" s="22">
        <f>VLOOKUP($A83,tabCustoUnit[],COLUMN(CUSTO_GLOBAL[[#Headers],[Custos Indiretos]])-2,0)*($G83-$H83)</f>
        <v>189.64880140242613</v>
      </c>
      <c r="BQ83" s="22">
        <f>VLOOKUP($A83,tabCustoUnit[],COLUMN(CUSTO_GLOBAL[[#Headers],[Lucro]])-2,0)*($G83-$H83)</f>
        <v>159.30499317803796</v>
      </c>
      <c r="BR83" s="26">
        <f>VLOOKUP($A83,tabCustoUnit[],COLUMN(CUSTO_GLOBAL[[#Headers],[COFINS]])-2,0)</f>
        <v>8.6609686609686695E-2</v>
      </c>
      <c r="BS83" s="26">
        <f>VLOOKUP($A83,tabCustoUnit[],COLUMN(CUSTO_GLOBAL[[#Headers],[PIS]])-2,0)</f>
        <v>1.880341880341882E-2</v>
      </c>
      <c r="BT83" s="28">
        <f>VLOOKUP($A83,tabCustoUnit[],COLUMN(CUSTO_GLOBAL[[#Headers],[ISS]])-2,0)</f>
        <v>0.03</v>
      </c>
      <c r="BU83" s="26">
        <f>VLOOKUP($A83,tabCustoUnit[],COLUMN(CUSTO_GLOBAL[[#Headers],[ISS (Conversão Alíquota s/ fatura)]])-2,0)</f>
        <v>3.4188034188034219E-2</v>
      </c>
      <c r="BV83" s="26">
        <f>VLOOKUP($A83,tabCustoUnit[],COLUMN(CUSTO_GLOBAL[[#Headers],[Resumo de Alíquotas (PIS+CONFINS+ISS)]])-2,0)</f>
        <v>0.1225</v>
      </c>
      <c r="BW83" s="138">
        <f>VLOOKUP($A83,tabCustoUnit[],COLUMN(CUSTO_GLOBAL[[#Headers],[PIS + COFINS + ISS (Total Conversão  Alíquota s/ Fatura)]])-2,0)</f>
        <v>0.13960113960113973</v>
      </c>
      <c r="BX83" s="22">
        <f>VLOOKUP($A83,tabCustoUnit[],COLUMN(CUSTO_GLOBAL[[#Headers],[Valor dos Tributos (ISS, PIS, CONFINS)]])-2,0)*($G83-$H83)</f>
        <v>342.31487871871428</v>
      </c>
      <c r="BY83" s="22">
        <f>VLOOKUP($A83,tabCustoUnit[],COLUMN(CUSTO_GLOBAL[[#Headers],[MÓDULO 6 – CUSTOS INDIRETOS, TRIBUTOS E LUCRO]])-2,0)*($G83-$H83)</f>
        <v>691.26867329917832</v>
      </c>
      <c r="BZ83" s="22">
        <f>VLOOKUP($A83,tabCustoUnit[],COLUMN(CUSTO_GLOBAL[[#Headers],[CUSTO TOTAL MENSAL]])-2,0)*($G83-$H83)</f>
        <v>2794.4071732139919</v>
      </c>
      <c r="CA83" s="22">
        <f>CUSTO_GLOBAL[[#This Row],[CUSTO TOTAL MENSAL]]*12</f>
        <v>33532.886078567899</v>
      </c>
      <c r="CB83" s="24">
        <f>VLOOKUP($A83,tabCustoUnit[],COLUMN(CUSTO_GLOBAL[[#Headers],[ANO DA CCT]])-2,0)</f>
        <v>45658</v>
      </c>
      <c r="CC83" s="25" t="str">
        <f>VLOOKUP($A83,tabCustoUnit[],COLUMN(CUSTO_GLOBAL[[#Headers],[Nº DE PEDIDO DA CCT]])-2,0)</f>
        <v>-</v>
      </c>
      <c r="CD83" s="25" t="str">
        <f>VLOOKUP($A83,tabCustoUnit[],COLUMN(CUSTO_GLOBAL[[#Headers],[TERMO ADITIVO  ALTERAÇÃO DA CCT]])-2,0)</f>
        <v>-</v>
      </c>
      <c r="CF83" s="22"/>
      <c r="CG83" s="22"/>
    </row>
    <row r="84" spans="1:85" x14ac:dyDescent="0.25">
      <c r="A84" s="20" t="s">
        <v>1424</v>
      </c>
      <c r="B84" t="s">
        <v>81</v>
      </c>
      <c r="C84" t="s">
        <v>1245</v>
      </c>
      <c r="D84" t="s">
        <v>81</v>
      </c>
      <c r="E84" s="20" t="s">
        <v>9</v>
      </c>
      <c r="F84" s="20" t="s">
        <v>10</v>
      </c>
      <c r="G84" s="20">
        <v>3</v>
      </c>
      <c r="H84" s="20">
        <v>0</v>
      </c>
      <c r="I84" s="21">
        <f>VLOOKUP($A84,tabCustoUnit[],COLUMN(CUSTO_GLOBAL[[#Headers],[Salário Base]])-2,0)*($G84-$H84)</f>
        <v>4788.84</v>
      </c>
      <c r="J84" s="21">
        <f>VLOOKUP($A84,tabCustoUnit[],COLUMN(CUSTO_GLOBAL[[#Headers],[Adicional Periculosidade]])-2,0)*($G84-$H84)</f>
        <v>0</v>
      </c>
      <c r="K84" s="21">
        <f>VLOOKUP($A84,tabCustoUnit[],COLUMN(CUSTO_GLOBAL[[#Headers],[Adicional Insalubridade]])-2,0)*($G84-$H84)</f>
        <v>0</v>
      </c>
      <c r="L84" s="21">
        <f>VLOOKUP($A84,tabCustoUnit[],COLUMN(CUSTO_GLOBAL[[#Headers],[Adicional Noturno]])-2,0)*($G84-$H84)</f>
        <v>0</v>
      </c>
      <c r="M84" s="21">
        <f>VLOOKUP($A84,tabCustoUnit[],COLUMN(CUSTO_GLOBAL[[#Headers],[Adicional Motorista II (Gratificação)]])-2,0)*($G84-$H84)</f>
        <v>0</v>
      </c>
      <c r="N84" s="21">
        <f>VLOOKUP($A84,tabCustoUnit[],COLUMN(CUSTO_GLOBAL[[#Headers],[Adicional de Sobreaviso]])-2,0)*($G84-$H84)</f>
        <v>0</v>
      </c>
      <c r="O84" s="21">
        <f>VLOOKUP($A84,tabCustoUnit[],COLUMN(CUSTO_GLOBAL[[#Headers],[Horas Extras TI]])-2,0)*($G84-$H84)</f>
        <v>0</v>
      </c>
      <c r="P84" s="21">
        <f>VLOOKUP($A84,tabCustoUnit[],COLUMN(CUSTO_GLOBAL[[#Headers],[Adicional de Acúmulo de função]])-2,0)*($G84-$H84)</f>
        <v>156.72570000000002</v>
      </c>
      <c r="Q84" s="21">
        <f>VLOOKUP($A84,tabCustoUnit[],COLUMN(CUSTO_GLOBAL[[#Headers],[MODULO 1 - REMUNERAÇÃO ]])-2,0)*($G84-$H84)</f>
        <v>4945.5657000000001</v>
      </c>
      <c r="R84" s="21">
        <f>VLOOKUP($A84,tabCustoUnit[],COLUMN(CUSTO_GLOBAL[[#Headers],[INSS]])-2,0)*($G84-$H84)</f>
        <v>989.11314000000004</v>
      </c>
      <c r="S84" s="21">
        <f>VLOOKUP($A84,tabCustoUnit[],COLUMN(CUSTO_GLOBAL[[#Headers],[SESI OU SESC]])-2,0)*($G84-$H84)</f>
        <v>74.183485499999989</v>
      </c>
      <c r="T84" s="21">
        <f>VLOOKUP($A84,tabCustoUnit[],COLUMN(CUSTO_GLOBAL[[#Headers],[SENAI OU SENAC]])-2,0)*($G84-$H84)</f>
        <v>49.455657000000002</v>
      </c>
      <c r="U84" s="21">
        <f>VLOOKUP($A84,tabCustoUnit[],COLUMN(CUSTO_GLOBAL[[#Headers],[INCRA]])-2,0)*($G84-$H84)</f>
        <v>9.891131399999999</v>
      </c>
      <c r="V84" s="21">
        <f>VLOOKUP($A84,tabCustoUnit[],COLUMN(CUSTO_GLOBAL[[#Headers],[Salário Educação]])-2,0)*($G84-$H84)</f>
        <v>123.63914250000001</v>
      </c>
      <c r="W84" s="21">
        <f>VLOOKUP($A84,tabCustoUnit[],COLUMN(CUSTO_GLOBAL[[#Headers],[FGTS]])-2,0)*($G84-$H84)</f>
        <v>395.64525600000002</v>
      </c>
      <c r="X84" s="21">
        <f>VLOOKUP($A84,tabCustoUnit[],COLUMN(CUSTO_GLOBAL[[#Headers],[RAT Ajustado]])-2,0)*($G84-$H84)</f>
        <v>197.82262800000001</v>
      </c>
      <c r="Y84" s="21">
        <f>VLOOKUP($A84,tabCustoUnit[],COLUMN(CUSTO_GLOBAL[[#Headers],[SEBRAE]])-2,0)*($G84-$H84)</f>
        <v>29.673394200000004</v>
      </c>
      <c r="Z84" s="21">
        <f>VLOOKUP($A84,tabCustoUnit[],COLUMN(CUSTO_GLOBAL[[#Headers],[Submódulo 2.1]])-2,0)*($G84-$H84)</f>
        <v>1869.4238346</v>
      </c>
      <c r="AA84" s="21">
        <f>VLOOKUP($A84,tabCustoUnit[],COLUMN(CUSTO_GLOBAL[[#Headers],[13º salário (titular)]])-2,0)*($G84-$H84)</f>
        <v>412.13047499999999</v>
      </c>
      <c r="AB84" s="21">
        <f>VLOOKUP($A84,tabCustoUnit[],COLUMN(CUSTO_GLOBAL[[#Headers],[Férias e Adicional de Férias (titular)]])-2,0)*($G84-$H84)</f>
        <v>549.50729999999999</v>
      </c>
      <c r="AC84" s="21">
        <f>VLOOKUP($A84,tabCustoUnit[],COLUMN(CUSTO_GLOBAL[[#Headers],[Incidência do Submódulo 2.1 sobre 13º Salário, Férias e Adicional de Férias]])-2,0)*($G84-$H84)</f>
        <v>363.49907895000001</v>
      </c>
      <c r="AD84" s="21">
        <f>VLOOKUP($A84,tabCustoUnit[],COLUMN(CUSTO_GLOBAL[[#Headers],[Submódulo 2.2]])-2,0)*($G84-$H84)</f>
        <v>1325.1368539499999</v>
      </c>
      <c r="AE84" s="22">
        <f>VLOOKUP($A84,tabCustoUnit[],COLUMN(CUSTO_GLOBAL[[#Headers],[Vale - Transporte (Descontada parcela do empregado)]])-2,0)*($G84-$H84)</f>
        <v>480.66960000000006</v>
      </c>
      <c r="AF84" s="22">
        <f>VLOOKUP($A84,tabCustoUnit[],COLUMN(CUSTO_GLOBAL[[#Headers],[Vale - Alimentação (Descontada parcela do empregado)]])-2,0)*($G84-$H84)</f>
        <v>1746</v>
      </c>
      <c r="AG84" s="22">
        <f>VLOOKUP($A84,tabCustoUnit[],COLUMN(CUSTO_GLOBAL[[#Headers],[Cesta Básica]])-2,0)*($G84-$H84)</f>
        <v>0</v>
      </c>
      <c r="AH84" s="22">
        <f>VLOOKUP($A84,tabCustoUnit[],COLUMN(CUSTO_GLOBAL[[#Headers],[PAF]])-2,0)*($G84-$H84)</f>
        <v>155.22</v>
      </c>
      <c r="AI84" s="22">
        <f>VLOOKUP($A84,tabCustoUnit[],COLUMN(CUSTO_GLOBAL[[#Headers],[PQM]])-2,0)*($G84-$H84)</f>
        <v>0</v>
      </c>
      <c r="AJ84" s="22">
        <v>0</v>
      </c>
      <c r="AK84" s="22">
        <f>VLOOKUP($A84,tabCustoUnit[],COLUMN(CUSTO_GLOBAL[[#Headers],[Seguro de Vida]])-2,0)*($G84-$H84)</f>
        <v>10.08</v>
      </c>
      <c r="AL84" s="22">
        <f>VLOOKUP($A84,tabCustoUnit[],COLUMN(CUSTO_GLOBAL[[#Headers],[Despesas de Viagem]])-2,0)*($G84-$H84)</f>
        <v>0</v>
      </c>
      <c r="AM84" s="22">
        <f>VLOOKUP($A84,tabCustoUnit[],COLUMN(CUSTO_GLOBAL[[#Headers],[Submódulo 2.3]])-2,0)*($G84-$H84)</f>
        <v>2391.9696000000004</v>
      </c>
      <c r="AN84" s="22">
        <f>VLOOKUP($A84,tabCustoUnit[],COLUMN(CUSTO_GLOBAL[[#Headers],[MÓDULO 2 - Total Encargos e Benefícios mensais e diários]])-2,0)*($G84-$H84)</f>
        <v>5586.5302885499996</v>
      </c>
      <c r="AO84" s="22">
        <f>VLOOKUP($A84,tabCustoUnit[],COLUMN(CUSTO_GLOBAL[[#Headers],[Aviso Prévio Indenizado (API) e Reflexo do Aviso Prévio Indenizado]])-2,0)*($G84-$H84)</f>
        <v>34.677154249479166</v>
      </c>
      <c r="AP84" s="22">
        <f>VLOOKUP($A84,tabCustoUnit[],COLUMN(CUSTO_GLOBAL[[#Headers],[Incidência do FGTS sobre API e Reflexo do API]])-2,0)*($G84-$H84)</f>
        <v>2.7741723399583336</v>
      </c>
      <c r="AQ84" s="22">
        <f>VLOOKUP($A84,tabCustoUnit[],COLUMN(CUSTO_GLOBAL[[#Headers],[Multa Rescisória do FGTS sobre o Aviso Prévio Indenizado]])-2,0)*($G84-$H84)</f>
        <v>1.1096689359833336</v>
      </c>
      <c r="AR84" s="22">
        <f>VLOOKUP($A84,tabCustoUnit[],COLUMN(CUSTO_GLOBAL[[#Headers],[Aviso Prévio Trabalhado - APT]])-2,0)*($G84-$H84)</f>
        <v>17.309479950000004</v>
      </c>
      <c r="AS84" s="22">
        <f>VLOOKUP($A84,tabCustoUnit[],COLUMN(CUSTO_GLOBAL[[#Headers],[Incidência dos encargos do submódulo 2.1 sobre Aviso Prévio Trabalhado]])-2,0)*($G84-$H84)</f>
        <v>6.5429834211000024</v>
      </c>
      <c r="AT84" s="22">
        <f>VLOOKUP($A84,tabCustoUnit[],COLUMN(CUSTO_GLOBAL[[#Headers],[Multa Rescisória do FGTS]])-2,0)*($G84-$H84)</f>
        <v>151.22440895999998</v>
      </c>
      <c r="AU84" s="22">
        <f>VLOOKUP($A84,tabCustoUnit[],COLUMN(CUSTO_GLOBAL[[#Headers],[Indenização Adicional (Art. 9º da Lei nº 7.238/84)]])-2,0)*($G84-$H84)</f>
        <v>4.1213047500000002</v>
      </c>
      <c r="AV84" s="22">
        <f>VLOOKUP($A84,tabCustoUnit[],COLUMN(CUSTO_GLOBAL[[#Headers],[MÓDULO 3 – PROVISÃO PARA RESCISÃO]])-2,0)*($G84-$H84)</f>
        <v>217.75917260652079</v>
      </c>
      <c r="AW84" s="22">
        <f>VLOOKUP($A84,tabCustoUnit[],COLUMN(CUSTO_GLOBAL[[#Headers],[Ausência por Doença]])-2,0)*($G84-$H84)</f>
        <v>41.762554799999997</v>
      </c>
      <c r="AX84" s="22">
        <f>VLOOKUP($A84,tabCustoUnit[],COLUMN(CUSTO_GLOBAL[[#Headers],[Ausências Legais]])-2,0)*($G84-$H84)</f>
        <v>10.028508224999999</v>
      </c>
      <c r="AY84" s="22">
        <f>VLOOKUP($A84,tabCustoUnit[],COLUMN(CUSTO_GLOBAL[[#Headers],[Licença Paternidade]])-2,0)*($G84-$H84)</f>
        <v>0.84486747374999993</v>
      </c>
      <c r="AZ84" s="22">
        <f>VLOOKUP($A84,tabCustoUnit[],COLUMN(CUSTO_GLOBAL[[#Headers],[Ausência por Acidente de Trabalho]])-2,0)*($G84-$H84)</f>
        <v>1.0303261875</v>
      </c>
      <c r="BA84" s="22">
        <f>VLOOKUP($A84,tabCustoUnit[],COLUMN(CUSTO_GLOBAL[[#Headers],[Férias, Adicional de Férias e 13º  com empregada em gozo de Licença Maternidade]])-2,0)*($G84-$H84)</f>
        <v>6.4109184999999993</v>
      </c>
      <c r="BB84" s="22">
        <f>VLOOKUP($A84,tabCustoUnit[],COLUMN(CUSTO_GLOBAL[[#Headers],[Incidência do Submódulo 2.1 sobre Ausências Legais]])-2,0)*($G84-$H84)</f>
        <v>22.709172220402504</v>
      </c>
      <c r="BC84" s="22">
        <f>VLOOKUP($A84,tabCustoUnit[],COLUMN(CUSTO_GLOBAL[[#Headers],[Submódulo 4.1]])-2,0)*($G84-$H84)</f>
        <v>82.786347406652496</v>
      </c>
      <c r="BD84" s="22">
        <f>VLOOKUP($A84,tabCustoUnit[],COLUMN(CUSTO_GLOBAL[[#Headers],[Intervalo para Repouso ou Alimentação]])-2,0)*($G84-$H84)</f>
        <v>0</v>
      </c>
      <c r="BE84" s="22">
        <f>VLOOKUP($A84,tabCustoUnit[],COLUMN(CUSTO_GLOBAL[[#Headers],[Submódulo 4.2]])-2,0)*($G84-$H84)</f>
        <v>0</v>
      </c>
      <c r="BF84" s="22">
        <f>VLOOKUP($A84,tabCustoUnit[],COLUMN(CUSTO_GLOBAL[[#Headers],[Suspensão Temporária do Contrato de Trabalho]])-2,0)*($G84-$H84)</f>
        <v>0</v>
      </c>
      <c r="BG84" s="22">
        <f>VLOOKUP($A84,tabCustoUnit[],COLUMN(CUSTO_GLOBAL[[#Headers],[Submódulo 4.3]])-2,0)*($G84-$H84)</f>
        <v>0</v>
      </c>
      <c r="BH84" s="22">
        <f>VLOOKUP($A84,tabCustoUnit[],COLUMN(CUSTO_GLOBAL[[#Headers],[MÓDULO 4 – CUSTO DE REPOSIÇÃO DO PROFISSIONAL AUSENTE]])-2,0)*($G84-$H84)</f>
        <v>82.786347406652496</v>
      </c>
      <c r="BI84" s="22">
        <f>VLOOKUP($A84,tabCustoUnit[],COLUMN(CUSTO_GLOBAL[[#Headers],[Uniformes e EPIs]])-2,0)*($G84-$H84)</f>
        <v>302.42749999999995</v>
      </c>
      <c r="BJ84" s="22">
        <f>VLOOKUP($A84,tabCustoUnit[],COLUMN(CUSTO_GLOBAL[[#Headers],[Materiais de Consumo]])-2,0)*($G84-$H84)</f>
        <v>106.55463887575166</v>
      </c>
      <c r="BK84" s="22">
        <f>VLOOKUP($A84,tabCustoUnit[],COLUMN(CUSTO_GLOBAL[[#Headers],[Máquinas e Equipamentos (depreciação)]])-2,0)*($G84-$H84)</f>
        <v>193.58818174447674</v>
      </c>
      <c r="BL84" s="22">
        <f>VLOOKUP($A84,tabCustoUnit[],COLUMN(CUSTO_GLOBAL[[#Headers],[Produtos de Limpeza e Materiais de Higiene Pessoal]])-2,0)*($G84-$H84)</f>
        <v>2070.8145983379495</v>
      </c>
      <c r="BM84" s="22">
        <f>VLOOKUP($A84,tabCustoUnit[],COLUMN(CUSTO_GLOBAL[[#Headers],[Outros (especificar)]])-2,0)*($G84-$H84)</f>
        <v>0</v>
      </c>
      <c r="BN84" s="22">
        <f>VLOOKUP($A84,tabCustoUnit[],COLUMN(CUSTO_GLOBAL[[#Headers],[MÓDULO 5 – INSUMOS DIVERSOS]])-2,0)*($G84-$H84)</f>
        <v>2673.3849189581779</v>
      </c>
      <c r="BO84" s="22">
        <f>VLOOKUP($A84,tabCustoUnit[],COLUMN(CUSTO_GLOBAL[[#Headers],[TOTAL MÓDULOS 1+2+3+4+5]])-2,0)*($G84-$H84)</f>
        <v>13506.02642752135</v>
      </c>
      <c r="BP84" s="22">
        <f>VLOOKUP($A84,tabCustoUnit[],COLUMN(CUSTO_GLOBAL[[#Headers],[Custos Indiretos]])-2,0)*($G84-$H84)</f>
        <v>568.94640420727842</v>
      </c>
      <c r="BQ84" s="22">
        <f>VLOOKUP($A84,tabCustoUnit[],COLUMN(CUSTO_GLOBAL[[#Headers],[Lucro]])-2,0)*($G84-$H84)</f>
        <v>477.91497953411385</v>
      </c>
      <c r="BR84" s="26">
        <f>VLOOKUP($A84,tabCustoUnit[],COLUMN(CUSTO_GLOBAL[[#Headers],[COFINS]])-2,0)</f>
        <v>8.5633802816901458E-2</v>
      </c>
      <c r="BS84" s="26">
        <f>VLOOKUP($A84,tabCustoUnit[],COLUMN(CUSTO_GLOBAL[[#Headers],[PIS]])-2,0)</f>
        <v>1.8591549295774657E-2</v>
      </c>
      <c r="BT84" s="28">
        <f>VLOOKUP($A84,tabCustoUnit[],COLUMN(CUSTO_GLOBAL[[#Headers],[ISS]])-2,0)</f>
        <v>0.02</v>
      </c>
      <c r="BU84" s="26">
        <f>VLOOKUP($A84,tabCustoUnit[],COLUMN(CUSTO_GLOBAL[[#Headers],[ISS (Conversão Alíquota s/ fatura)]])-2,0)</f>
        <v>2.2535211267605645E-2</v>
      </c>
      <c r="BV84" s="26">
        <f>VLOOKUP($A84,tabCustoUnit[],COLUMN(CUSTO_GLOBAL[[#Headers],[Resumo de Alíquotas (PIS+CONFINS+ISS)]])-2,0)</f>
        <v>0.1125</v>
      </c>
      <c r="BW84" s="138">
        <f>VLOOKUP($A84,tabCustoUnit[],COLUMN(CUSTO_GLOBAL[[#Headers],[PIS + COFINS + ISS (Total Conversão  Alíquota s/ Fatura)]])-2,0)</f>
        <v>0.12676056338028174</v>
      </c>
      <c r="BX84" s="22">
        <f>VLOOKUP($A84,tabCustoUnit[],COLUMN(CUSTO_GLOBAL[[#Headers],[Valor dos Tributos (ISS, PIS, CONFINS)]])-2,0)*($G84-$H84)</f>
        <v>1844.7322577657005</v>
      </c>
      <c r="BY84" s="22">
        <f>VLOOKUP($A84,tabCustoUnit[],COLUMN(CUSTO_GLOBAL[[#Headers],[MÓDULO 6 – CUSTOS INDIRETOS, TRIBUTOS E LUCRO]])-2,0)*($G84-$H84)</f>
        <v>2891.5936415070928</v>
      </c>
      <c r="BZ84" s="22">
        <f>VLOOKUP($A84,tabCustoUnit[],COLUMN(CUSTO_GLOBAL[[#Headers],[CUSTO TOTAL MENSAL]])-2,0)*($G84-$H84)</f>
        <v>16397.620069028442</v>
      </c>
      <c r="CA84" s="22">
        <f>CUSTO_GLOBAL[[#This Row],[CUSTO TOTAL MENSAL]]*12</f>
        <v>196771.44082834129</v>
      </c>
      <c r="CB84" s="24">
        <f>VLOOKUP($A84,tabCustoUnit[],COLUMN(CUSTO_GLOBAL[[#Headers],[ANO DA CCT]])-2,0)</f>
        <v>45658</v>
      </c>
      <c r="CC84" s="25" t="str">
        <f>VLOOKUP($A84,tabCustoUnit[],COLUMN(CUSTO_GLOBAL[[#Headers],[Nº DE PEDIDO DA CCT]])-2,0)</f>
        <v>-</v>
      </c>
      <c r="CD84" s="25" t="str">
        <f>VLOOKUP($A84,tabCustoUnit[],COLUMN(CUSTO_GLOBAL[[#Headers],[TERMO ADITIVO  ALTERAÇÃO DA CCT]])-2,0)</f>
        <v>-</v>
      </c>
      <c r="CF84" s="22"/>
      <c r="CG84" s="22"/>
    </row>
    <row r="85" spans="1:85" x14ac:dyDescent="0.25">
      <c r="A85" s="20" t="s">
        <v>1425</v>
      </c>
      <c r="B85" t="s">
        <v>82</v>
      </c>
      <c r="C85" t="s">
        <v>1245</v>
      </c>
      <c r="D85" t="s">
        <v>81</v>
      </c>
      <c r="E85" s="20" t="s">
        <v>9</v>
      </c>
      <c r="F85" s="20" t="s">
        <v>10</v>
      </c>
      <c r="G85" s="20">
        <v>1</v>
      </c>
      <c r="H85" s="20">
        <v>0</v>
      </c>
      <c r="I85" s="21">
        <f>VLOOKUP($A85,tabCustoUnit[],COLUMN(CUSTO_GLOBAL[[#Headers],[Salário Base]])-2,0)*($G85-$H85)</f>
        <v>1596.28</v>
      </c>
      <c r="J85" s="21">
        <f>VLOOKUP($A85,tabCustoUnit[],COLUMN(CUSTO_GLOBAL[[#Headers],[Adicional Periculosidade]])-2,0)*($G85-$H85)</f>
        <v>0</v>
      </c>
      <c r="K85" s="21">
        <f>VLOOKUP($A85,tabCustoUnit[],COLUMN(CUSTO_GLOBAL[[#Headers],[Adicional Insalubridade]])-2,0)*($G85-$H85)</f>
        <v>0</v>
      </c>
      <c r="L85" s="21">
        <f>VLOOKUP($A85,tabCustoUnit[],COLUMN(CUSTO_GLOBAL[[#Headers],[Adicional Noturno]])-2,0)*($G85-$H85)</f>
        <v>0</v>
      </c>
      <c r="M85" s="21">
        <f>VLOOKUP($A85,tabCustoUnit[],COLUMN(CUSTO_GLOBAL[[#Headers],[Adicional Motorista II (Gratificação)]])-2,0)*($G85-$H85)</f>
        <v>0</v>
      </c>
      <c r="N85" s="21">
        <f>VLOOKUP($A85,tabCustoUnit[],COLUMN(CUSTO_GLOBAL[[#Headers],[Adicional de Sobreaviso]])-2,0)*($G85-$H85)</f>
        <v>0</v>
      </c>
      <c r="O85" s="21">
        <f>VLOOKUP($A85,tabCustoUnit[],COLUMN(CUSTO_GLOBAL[[#Headers],[Horas Extras TI]])-2,0)*($G85-$H85)</f>
        <v>0</v>
      </c>
      <c r="P85" s="21">
        <f>VLOOKUP($A85,tabCustoUnit[],COLUMN(CUSTO_GLOBAL[[#Headers],[Adicional de Acúmulo de função]])-2,0)*($G85-$H85)</f>
        <v>52.241900000000001</v>
      </c>
      <c r="Q85" s="21">
        <f>VLOOKUP($A85,tabCustoUnit[],COLUMN(CUSTO_GLOBAL[[#Headers],[MODULO 1 - REMUNERAÇÃO ]])-2,0)*($G85-$H85)</f>
        <v>1648.5219</v>
      </c>
      <c r="R85" s="21">
        <f>VLOOKUP($A85,tabCustoUnit[],COLUMN(CUSTO_GLOBAL[[#Headers],[INSS]])-2,0)*($G85-$H85)</f>
        <v>329.70438000000001</v>
      </c>
      <c r="S85" s="21">
        <f>VLOOKUP($A85,tabCustoUnit[],COLUMN(CUSTO_GLOBAL[[#Headers],[SESI OU SESC]])-2,0)*($G85-$H85)</f>
        <v>24.727828499999998</v>
      </c>
      <c r="T85" s="21">
        <f>VLOOKUP($A85,tabCustoUnit[],COLUMN(CUSTO_GLOBAL[[#Headers],[SENAI OU SENAC]])-2,0)*($G85-$H85)</f>
        <v>16.485219000000001</v>
      </c>
      <c r="U85" s="21">
        <f>VLOOKUP($A85,tabCustoUnit[],COLUMN(CUSTO_GLOBAL[[#Headers],[INCRA]])-2,0)*($G85-$H85)</f>
        <v>3.2970438</v>
      </c>
      <c r="V85" s="21">
        <f>VLOOKUP($A85,tabCustoUnit[],COLUMN(CUSTO_GLOBAL[[#Headers],[Salário Educação]])-2,0)*($G85-$H85)</f>
        <v>41.213047500000002</v>
      </c>
      <c r="W85" s="21">
        <f>VLOOKUP($A85,tabCustoUnit[],COLUMN(CUSTO_GLOBAL[[#Headers],[FGTS]])-2,0)*($G85-$H85)</f>
        <v>131.88175200000001</v>
      </c>
      <c r="X85" s="21">
        <f>VLOOKUP($A85,tabCustoUnit[],COLUMN(CUSTO_GLOBAL[[#Headers],[RAT Ajustado]])-2,0)*($G85-$H85)</f>
        <v>65.940876000000003</v>
      </c>
      <c r="Y85" s="21">
        <f>VLOOKUP($A85,tabCustoUnit[],COLUMN(CUSTO_GLOBAL[[#Headers],[SEBRAE]])-2,0)*($G85-$H85)</f>
        <v>9.8911314000000008</v>
      </c>
      <c r="Z85" s="21">
        <f>VLOOKUP($A85,tabCustoUnit[],COLUMN(CUSTO_GLOBAL[[#Headers],[Submódulo 2.1]])-2,0)*($G85-$H85)</f>
        <v>623.14127819999999</v>
      </c>
      <c r="AA85" s="21">
        <f>VLOOKUP($A85,tabCustoUnit[],COLUMN(CUSTO_GLOBAL[[#Headers],[13º salário (titular)]])-2,0)*($G85-$H85)</f>
        <v>137.376825</v>
      </c>
      <c r="AB85" s="21">
        <f>VLOOKUP($A85,tabCustoUnit[],COLUMN(CUSTO_GLOBAL[[#Headers],[Férias e Adicional de Férias (titular)]])-2,0)*($G85-$H85)</f>
        <v>183.16909999999999</v>
      </c>
      <c r="AC85" s="21">
        <f>VLOOKUP($A85,tabCustoUnit[],COLUMN(CUSTO_GLOBAL[[#Headers],[Incidência do Submódulo 2.1 sobre 13º Salário, Férias e Adicional de Férias]])-2,0)*($G85-$H85)</f>
        <v>121.16635965</v>
      </c>
      <c r="AD85" s="21">
        <f>VLOOKUP($A85,tabCustoUnit[],COLUMN(CUSTO_GLOBAL[[#Headers],[Submódulo 2.2]])-2,0)*($G85-$H85)</f>
        <v>441.71228465000002</v>
      </c>
      <c r="AE85" s="22">
        <f>VLOOKUP($A85,tabCustoUnit[],COLUMN(CUSTO_GLOBAL[[#Headers],[Vale - Transporte (Descontada parcela do empregado)]])-2,0)*($G85-$H85)</f>
        <v>160.22320000000002</v>
      </c>
      <c r="AF85" s="22">
        <f>VLOOKUP($A85,tabCustoUnit[],COLUMN(CUSTO_GLOBAL[[#Headers],[Vale - Alimentação (Descontada parcela do empregado)]])-2,0)*($G85-$H85)</f>
        <v>582</v>
      </c>
      <c r="AG85" s="22">
        <f>VLOOKUP($A85,tabCustoUnit[],COLUMN(CUSTO_GLOBAL[[#Headers],[Cesta Básica]])-2,0)*($G85-$H85)</f>
        <v>0</v>
      </c>
      <c r="AH85" s="22">
        <f>VLOOKUP($A85,tabCustoUnit[],COLUMN(CUSTO_GLOBAL[[#Headers],[PAF]])-2,0)*($G85-$H85)</f>
        <v>51.74</v>
      </c>
      <c r="AI85" s="22">
        <f>VLOOKUP($A85,tabCustoUnit[],COLUMN(CUSTO_GLOBAL[[#Headers],[PQM]])-2,0)*($G85-$H85)</f>
        <v>0</v>
      </c>
      <c r="AJ85" s="22">
        <v>0</v>
      </c>
      <c r="AK85" s="22">
        <f>VLOOKUP($A85,tabCustoUnit[],COLUMN(CUSTO_GLOBAL[[#Headers],[Seguro de Vida]])-2,0)*($G85-$H85)</f>
        <v>3.36</v>
      </c>
      <c r="AL85" s="22">
        <f>VLOOKUP($A85,tabCustoUnit[],COLUMN(CUSTO_GLOBAL[[#Headers],[Despesas de Viagem]])-2,0)*($G85-$H85)</f>
        <v>0</v>
      </c>
      <c r="AM85" s="22">
        <f>VLOOKUP($A85,tabCustoUnit[],COLUMN(CUSTO_GLOBAL[[#Headers],[Submódulo 2.3]])-2,0)*($G85-$H85)</f>
        <v>797.32320000000004</v>
      </c>
      <c r="AN85" s="22">
        <f>VLOOKUP($A85,tabCustoUnit[],COLUMN(CUSTO_GLOBAL[[#Headers],[MÓDULO 2 - Total Encargos e Benefícios mensais e diários]])-2,0)*($G85-$H85)</f>
        <v>1862.1767628499999</v>
      </c>
      <c r="AO85" s="22">
        <f>VLOOKUP($A85,tabCustoUnit[],COLUMN(CUSTO_GLOBAL[[#Headers],[Aviso Prévio Indenizado (API) e Reflexo do Aviso Prévio Indenizado]])-2,0)*($G85-$H85)</f>
        <v>11.559051416493055</v>
      </c>
      <c r="AP85" s="22">
        <f>VLOOKUP($A85,tabCustoUnit[],COLUMN(CUSTO_GLOBAL[[#Headers],[Incidência do FGTS sobre API e Reflexo do API]])-2,0)*($G85-$H85)</f>
        <v>0.92472411331944449</v>
      </c>
      <c r="AQ85" s="22">
        <f>VLOOKUP($A85,tabCustoUnit[],COLUMN(CUSTO_GLOBAL[[#Headers],[Multa Rescisória do FGTS sobre o Aviso Prévio Indenizado]])-2,0)*($G85-$H85)</f>
        <v>0.36988964532777785</v>
      </c>
      <c r="AR85" s="22">
        <f>VLOOKUP($A85,tabCustoUnit[],COLUMN(CUSTO_GLOBAL[[#Headers],[Aviso Prévio Trabalhado - APT]])-2,0)*($G85-$H85)</f>
        <v>5.7698266500000006</v>
      </c>
      <c r="AS85" s="22">
        <f>VLOOKUP($A85,tabCustoUnit[],COLUMN(CUSTO_GLOBAL[[#Headers],[Incidência dos encargos do submódulo 2.1 sobre Aviso Prévio Trabalhado]])-2,0)*($G85-$H85)</f>
        <v>2.1809944737000007</v>
      </c>
      <c r="AT85" s="22">
        <f>VLOOKUP($A85,tabCustoUnit[],COLUMN(CUSTO_GLOBAL[[#Headers],[Multa Rescisória do FGTS]])-2,0)*($G85-$H85)</f>
        <v>50.40813631999999</v>
      </c>
      <c r="AU85" s="22">
        <f>VLOOKUP($A85,tabCustoUnit[],COLUMN(CUSTO_GLOBAL[[#Headers],[Indenização Adicional (Art. 9º da Lei nº 7.238/84)]])-2,0)*($G85-$H85)</f>
        <v>1.3737682500000001</v>
      </c>
      <c r="AV85" s="22">
        <f>VLOOKUP($A85,tabCustoUnit[],COLUMN(CUSTO_GLOBAL[[#Headers],[MÓDULO 3 – PROVISÃO PARA RESCISÃO]])-2,0)*($G85-$H85)</f>
        <v>72.586390868840269</v>
      </c>
      <c r="AW85" s="22">
        <f>VLOOKUP($A85,tabCustoUnit[],COLUMN(CUSTO_GLOBAL[[#Headers],[Ausência por Doença]])-2,0)*($G85-$H85)</f>
        <v>13.920851599999999</v>
      </c>
      <c r="AX85" s="22">
        <f>VLOOKUP($A85,tabCustoUnit[],COLUMN(CUSTO_GLOBAL[[#Headers],[Ausências Legais]])-2,0)*($G85-$H85)</f>
        <v>3.3428360749999997</v>
      </c>
      <c r="AY85" s="22">
        <f>VLOOKUP($A85,tabCustoUnit[],COLUMN(CUSTO_GLOBAL[[#Headers],[Licença Paternidade]])-2,0)*($G85-$H85)</f>
        <v>0.28162249125</v>
      </c>
      <c r="AZ85" s="22">
        <f>VLOOKUP($A85,tabCustoUnit[],COLUMN(CUSTO_GLOBAL[[#Headers],[Ausência por Acidente de Trabalho]])-2,0)*($G85-$H85)</f>
        <v>0.34344206250000003</v>
      </c>
      <c r="BA85" s="22">
        <f>VLOOKUP($A85,tabCustoUnit[],COLUMN(CUSTO_GLOBAL[[#Headers],[Férias, Adicional de Férias e 13º  com empregada em gozo de Licença Maternidade]])-2,0)*($G85-$H85)</f>
        <v>2.1369728333333331</v>
      </c>
      <c r="BB85" s="22">
        <f>VLOOKUP($A85,tabCustoUnit[],COLUMN(CUSTO_GLOBAL[[#Headers],[Incidência do Submódulo 2.1 sobre Ausências Legais]])-2,0)*($G85-$H85)</f>
        <v>7.5697240734675013</v>
      </c>
      <c r="BC85" s="22">
        <f>VLOOKUP($A85,tabCustoUnit[],COLUMN(CUSTO_GLOBAL[[#Headers],[Submódulo 4.1]])-2,0)*($G85-$H85)</f>
        <v>27.595449135550833</v>
      </c>
      <c r="BD85" s="22">
        <f>VLOOKUP($A85,tabCustoUnit[],COLUMN(CUSTO_GLOBAL[[#Headers],[Intervalo para Repouso ou Alimentação]])-2,0)*($G85-$H85)</f>
        <v>0</v>
      </c>
      <c r="BE85" s="22">
        <f>VLOOKUP($A85,tabCustoUnit[],COLUMN(CUSTO_GLOBAL[[#Headers],[Submódulo 4.2]])-2,0)*($G85-$H85)</f>
        <v>0</v>
      </c>
      <c r="BF85" s="22">
        <f>VLOOKUP($A85,tabCustoUnit[],COLUMN(CUSTO_GLOBAL[[#Headers],[Suspensão Temporária do Contrato de Trabalho]])-2,0)*($G85-$H85)</f>
        <v>0</v>
      </c>
      <c r="BG85" s="22">
        <f>VLOOKUP($A85,tabCustoUnit[],COLUMN(CUSTO_GLOBAL[[#Headers],[Submódulo 4.3]])-2,0)*($G85-$H85)</f>
        <v>0</v>
      </c>
      <c r="BH85" s="22">
        <f>VLOOKUP($A85,tabCustoUnit[],COLUMN(CUSTO_GLOBAL[[#Headers],[MÓDULO 4 – CUSTO DE REPOSIÇÃO DO PROFISSIONAL AUSENTE]])-2,0)*($G85-$H85)</f>
        <v>27.595449135550833</v>
      </c>
      <c r="BI85" s="22">
        <f>VLOOKUP($A85,tabCustoUnit[],COLUMN(CUSTO_GLOBAL[[#Headers],[Uniformes e EPIs]])-2,0)*($G85-$H85)</f>
        <v>100.80916666666666</v>
      </c>
      <c r="BJ85" s="22">
        <f>VLOOKUP($A85,tabCustoUnit[],COLUMN(CUSTO_GLOBAL[[#Headers],[Materiais de Consumo]])-2,0)*($G85-$H85)</f>
        <v>35.518212958583888</v>
      </c>
      <c r="BK85" s="22">
        <f>VLOOKUP($A85,tabCustoUnit[],COLUMN(CUSTO_GLOBAL[[#Headers],[Máquinas e Equipamentos (depreciação)]])-2,0)*($G85-$H85)</f>
        <v>64.529393914825576</v>
      </c>
      <c r="BL85" s="22">
        <f>VLOOKUP($A85,tabCustoUnit[],COLUMN(CUSTO_GLOBAL[[#Headers],[Produtos de Limpeza e Materiais de Higiene Pessoal]])-2,0)*($G85-$H85)</f>
        <v>690.27153277931654</v>
      </c>
      <c r="BM85" s="22">
        <f>VLOOKUP($A85,tabCustoUnit[],COLUMN(CUSTO_GLOBAL[[#Headers],[Outros (especificar)]])-2,0)*($G85-$H85)</f>
        <v>0</v>
      </c>
      <c r="BN85" s="22">
        <f>VLOOKUP($A85,tabCustoUnit[],COLUMN(CUSTO_GLOBAL[[#Headers],[MÓDULO 5 – INSUMOS DIVERSOS]])-2,0)*($G85-$H85)</f>
        <v>891.12830631939266</v>
      </c>
      <c r="BO85" s="22">
        <f>VLOOKUP($A85,tabCustoUnit[],COLUMN(CUSTO_GLOBAL[[#Headers],[TOTAL MÓDULOS 1+2+3+4+5]])-2,0)*($G85-$H85)</f>
        <v>4502.0088091737834</v>
      </c>
      <c r="BP85" s="22">
        <f>VLOOKUP($A85,tabCustoUnit[],COLUMN(CUSTO_GLOBAL[[#Headers],[Custos Indiretos]])-2,0)*($G85-$H85)</f>
        <v>189.64880140242613</v>
      </c>
      <c r="BQ85" s="22">
        <f>VLOOKUP($A85,tabCustoUnit[],COLUMN(CUSTO_GLOBAL[[#Headers],[Lucro]])-2,0)*($G85-$H85)</f>
        <v>159.30499317803796</v>
      </c>
      <c r="BR85" s="26">
        <f>VLOOKUP($A85,tabCustoUnit[],COLUMN(CUSTO_GLOBAL[[#Headers],[COFINS]])-2,0)</f>
        <v>8.6609686609686695E-2</v>
      </c>
      <c r="BS85" s="26">
        <f>VLOOKUP($A85,tabCustoUnit[],COLUMN(CUSTO_GLOBAL[[#Headers],[PIS]])-2,0)</f>
        <v>1.880341880341882E-2</v>
      </c>
      <c r="BT85" s="28">
        <f>VLOOKUP($A85,tabCustoUnit[],COLUMN(CUSTO_GLOBAL[[#Headers],[ISS]])-2,0)</f>
        <v>0.03</v>
      </c>
      <c r="BU85" s="26">
        <f>VLOOKUP($A85,tabCustoUnit[],COLUMN(CUSTO_GLOBAL[[#Headers],[ISS (Conversão Alíquota s/ fatura)]])-2,0)</f>
        <v>3.4188034188034219E-2</v>
      </c>
      <c r="BV85" s="26">
        <f>VLOOKUP($A85,tabCustoUnit[],COLUMN(CUSTO_GLOBAL[[#Headers],[Resumo de Alíquotas (PIS+CONFINS+ISS)]])-2,0)</f>
        <v>0.1225</v>
      </c>
      <c r="BW85" s="138">
        <f>VLOOKUP($A85,tabCustoUnit[],COLUMN(CUSTO_GLOBAL[[#Headers],[PIS + COFINS + ISS (Total Conversão  Alíquota s/ Fatura)]])-2,0)</f>
        <v>0.13960113960113973</v>
      </c>
      <c r="BX85" s="22">
        <f>VLOOKUP($A85,tabCustoUnit[],COLUMN(CUSTO_GLOBAL[[#Headers],[Valor dos Tributos (ISS, PIS, CONFINS)]])-2,0)*($G85-$H85)</f>
        <v>677.19990764660497</v>
      </c>
      <c r="BY85" s="22">
        <f>VLOOKUP($A85,tabCustoUnit[],COLUMN(CUSTO_GLOBAL[[#Headers],[MÓDULO 6 – CUSTOS INDIRETOS, TRIBUTOS E LUCRO]])-2,0)*($G85-$H85)</f>
        <v>1026.1537022270691</v>
      </c>
      <c r="BZ85" s="22">
        <f>VLOOKUP($A85,tabCustoUnit[],COLUMN(CUSTO_GLOBAL[[#Headers],[CUSTO TOTAL MENSAL]])-2,0)*($G85-$H85)</f>
        <v>5528.162511400853</v>
      </c>
      <c r="CA85" s="22">
        <f>CUSTO_GLOBAL[[#This Row],[CUSTO TOTAL MENSAL]]*12</f>
        <v>66337.950136810236</v>
      </c>
      <c r="CB85" s="24">
        <f>VLOOKUP($A85,tabCustoUnit[],COLUMN(CUSTO_GLOBAL[[#Headers],[ANO DA CCT]])-2,0)</f>
        <v>45658</v>
      </c>
      <c r="CC85" s="25" t="str">
        <f>VLOOKUP($A85,tabCustoUnit[],COLUMN(CUSTO_GLOBAL[[#Headers],[Nº DE PEDIDO DA CCT]])-2,0)</f>
        <v>-</v>
      </c>
      <c r="CD85" s="25" t="str">
        <f>VLOOKUP($A85,tabCustoUnit[],COLUMN(CUSTO_GLOBAL[[#Headers],[TERMO ADITIVO  ALTERAÇÃO DA CCT]])-2,0)</f>
        <v>-</v>
      </c>
      <c r="CF85" s="22"/>
      <c r="CG85" s="22"/>
    </row>
    <row r="86" spans="1:85" x14ac:dyDescent="0.25">
      <c r="A86" s="20" t="s">
        <v>1426</v>
      </c>
      <c r="B86" t="s">
        <v>83</v>
      </c>
      <c r="C86" t="s">
        <v>1247</v>
      </c>
      <c r="D86" t="s">
        <v>1037</v>
      </c>
      <c r="E86" s="20" t="s">
        <v>9</v>
      </c>
      <c r="F86" s="20" t="s">
        <v>10</v>
      </c>
      <c r="G86" s="20">
        <v>1</v>
      </c>
      <c r="H86" s="20">
        <v>0</v>
      </c>
      <c r="I86" s="21">
        <f>VLOOKUP($A86,tabCustoUnit[],COLUMN(CUSTO_GLOBAL[[#Headers],[Salário Base]])-2,0)*($G86-$H86)</f>
        <v>544.17999999999995</v>
      </c>
      <c r="J86" s="21">
        <f>VLOOKUP($A86,tabCustoUnit[],COLUMN(CUSTO_GLOBAL[[#Headers],[Adicional Periculosidade]])-2,0)*($G86-$H86)</f>
        <v>0</v>
      </c>
      <c r="K86" s="21">
        <f>VLOOKUP($A86,tabCustoUnit[],COLUMN(CUSTO_GLOBAL[[#Headers],[Adicional Insalubridade]])-2,0)*($G86-$H86)</f>
        <v>0</v>
      </c>
      <c r="L86" s="21">
        <f>VLOOKUP($A86,tabCustoUnit[],COLUMN(CUSTO_GLOBAL[[#Headers],[Adicional Noturno]])-2,0)*($G86-$H86)</f>
        <v>0</v>
      </c>
      <c r="M86" s="21">
        <f>VLOOKUP($A86,tabCustoUnit[],COLUMN(CUSTO_GLOBAL[[#Headers],[Adicional Motorista II (Gratificação)]])-2,0)*($G86-$H86)</f>
        <v>0</v>
      </c>
      <c r="N86" s="21">
        <f>VLOOKUP($A86,tabCustoUnit[],COLUMN(CUSTO_GLOBAL[[#Headers],[Adicional de Sobreaviso]])-2,0)*($G86-$H86)</f>
        <v>0</v>
      </c>
      <c r="O86" s="21">
        <f>VLOOKUP($A86,tabCustoUnit[],COLUMN(CUSTO_GLOBAL[[#Headers],[Horas Extras TI]])-2,0)*($G86-$H86)</f>
        <v>0</v>
      </c>
      <c r="P86" s="21">
        <f>VLOOKUP($A86,tabCustoUnit[],COLUMN(CUSTO_GLOBAL[[#Headers],[Adicional de Acúmulo de função]])-2,0)*($G86-$H86)</f>
        <v>19.590499999999999</v>
      </c>
      <c r="Q86" s="21">
        <f>VLOOKUP($A86,tabCustoUnit[],COLUMN(CUSTO_GLOBAL[[#Headers],[MODULO 1 - REMUNERAÇÃO ]])-2,0)*($G86-$H86)</f>
        <v>563.77049999999997</v>
      </c>
      <c r="R86" s="21">
        <f>VLOOKUP($A86,tabCustoUnit[],COLUMN(CUSTO_GLOBAL[[#Headers],[INSS]])-2,0)*($G86-$H86)</f>
        <v>112.75409999999999</v>
      </c>
      <c r="S86" s="21">
        <f>VLOOKUP($A86,tabCustoUnit[],COLUMN(CUSTO_GLOBAL[[#Headers],[SESI OU SESC]])-2,0)*($G86-$H86)</f>
        <v>8.4565574999999988</v>
      </c>
      <c r="T86" s="21">
        <f>VLOOKUP($A86,tabCustoUnit[],COLUMN(CUSTO_GLOBAL[[#Headers],[SENAI OU SENAC]])-2,0)*($G86-$H86)</f>
        <v>5.6377049999999995</v>
      </c>
      <c r="U86" s="21">
        <f>VLOOKUP($A86,tabCustoUnit[],COLUMN(CUSTO_GLOBAL[[#Headers],[INCRA]])-2,0)*($G86-$H86)</f>
        <v>1.1275409999999999</v>
      </c>
      <c r="V86" s="21">
        <f>VLOOKUP($A86,tabCustoUnit[],COLUMN(CUSTO_GLOBAL[[#Headers],[Salário Educação]])-2,0)*($G86-$H86)</f>
        <v>14.094262499999999</v>
      </c>
      <c r="W86" s="21">
        <f>VLOOKUP($A86,tabCustoUnit[],COLUMN(CUSTO_GLOBAL[[#Headers],[FGTS]])-2,0)*($G86-$H86)</f>
        <v>45.101639999999996</v>
      </c>
      <c r="X86" s="21">
        <f>VLOOKUP($A86,tabCustoUnit[],COLUMN(CUSTO_GLOBAL[[#Headers],[RAT Ajustado]])-2,0)*($G86-$H86)</f>
        <v>22.550819999999998</v>
      </c>
      <c r="Y86" s="21">
        <f>VLOOKUP($A86,tabCustoUnit[],COLUMN(CUSTO_GLOBAL[[#Headers],[SEBRAE]])-2,0)*($G86-$H86)</f>
        <v>3.3826229999999997</v>
      </c>
      <c r="Z86" s="21">
        <f>VLOOKUP($A86,tabCustoUnit[],COLUMN(CUSTO_GLOBAL[[#Headers],[Submódulo 2.1]])-2,0)*($G86-$H86)</f>
        <v>213.10524899999996</v>
      </c>
      <c r="AA86" s="21">
        <f>VLOOKUP($A86,tabCustoUnit[],COLUMN(CUSTO_GLOBAL[[#Headers],[13º salário (titular)]])-2,0)*($G86-$H86)</f>
        <v>46.980874999999997</v>
      </c>
      <c r="AB86" s="21">
        <f>VLOOKUP($A86,tabCustoUnit[],COLUMN(CUSTO_GLOBAL[[#Headers],[Férias e Adicional de Férias (titular)]])-2,0)*($G86-$H86)</f>
        <v>62.641166666666663</v>
      </c>
      <c r="AC86" s="21">
        <f>VLOOKUP($A86,tabCustoUnit[],COLUMN(CUSTO_GLOBAL[[#Headers],[Incidência do Submódulo 2.1 sobre 13º Salário, Férias e Adicional de Férias]])-2,0)*($G86-$H86)</f>
        <v>41.437131749999992</v>
      </c>
      <c r="AD86" s="21">
        <f>VLOOKUP($A86,tabCustoUnit[],COLUMN(CUSTO_GLOBAL[[#Headers],[Submódulo 2.2]])-2,0)*($G86-$H86)</f>
        <v>151.05917341666665</v>
      </c>
      <c r="AE86" s="22">
        <f>VLOOKUP($A86,tabCustoUnit[],COLUMN(CUSTO_GLOBAL[[#Headers],[Vale - Transporte (Descontada parcela do empregado)]])-2,0)*($G86-$H86)</f>
        <v>223.3492</v>
      </c>
      <c r="AF86" s="22">
        <f>VLOOKUP($A86,tabCustoUnit[],COLUMN(CUSTO_GLOBAL[[#Headers],[Vale - Alimentação (Descontada parcela do empregado)]])-2,0)*($G86-$H86)</f>
        <v>582</v>
      </c>
      <c r="AG86" s="22">
        <f>VLOOKUP($A86,tabCustoUnit[],COLUMN(CUSTO_GLOBAL[[#Headers],[Cesta Básica]])-2,0)*($G86-$H86)</f>
        <v>0</v>
      </c>
      <c r="AH86" s="22">
        <f>VLOOKUP($A86,tabCustoUnit[],COLUMN(CUSTO_GLOBAL[[#Headers],[PAF]])-2,0)*($G86-$H86)</f>
        <v>0</v>
      </c>
      <c r="AI86" s="22">
        <f>VLOOKUP($A86,tabCustoUnit[],COLUMN(CUSTO_GLOBAL[[#Headers],[PQM]])-2,0)*($G86-$H86)</f>
        <v>0</v>
      </c>
      <c r="AJ86" s="22">
        <v>0</v>
      </c>
      <c r="AK86" s="22">
        <f>VLOOKUP($A86,tabCustoUnit[],COLUMN(CUSTO_GLOBAL[[#Headers],[Seguro de Vida]])-2,0)*($G86-$H86)</f>
        <v>3.36</v>
      </c>
      <c r="AL86" s="22">
        <f>VLOOKUP($A86,tabCustoUnit[],COLUMN(CUSTO_GLOBAL[[#Headers],[Despesas de Viagem]])-2,0)*($G86-$H86)</f>
        <v>0</v>
      </c>
      <c r="AM86" s="22">
        <f>VLOOKUP($A86,tabCustoUnit[],COLUMN(CUSTO_GLOBAL[[#Headers],[Submódulo 2.3]])-2,0)*($G86-$H86)</f>
        <v>808.70920000000001</v>
      </c>
      <c r="AN86" s="22">
        <f>VLOOKUP($A86,tabCustoUnit[],COLUMN(CUSTO_GLOBAL[[#Headers],[MÓDULO 2 - Total Encargos e Benefícios mensais e diários]])-2,0)*($G86-$H86)</f>
        <v>1172.8736224166666</v>
      </c>
      <c r="AO86" s="22">
        <f>VLOOKUP($A86,tabCustoUnit[],COLUMN(CUSTO_GLOBAL[[#Headers],[Aviso Prévio Indenizado (API) e Reflexo do Aviso Prévio Indenizado]])-2,0)*($G86-$H86)</f>
        <v>3.9530273735532404</v>
      </c>
      <c r="AP86" s="22">
        <f>VLOOKUP($A86,tabCustoUnit[],COLUMN(CUSTO_GLOBAL[[#Headers],[Incidência do FGTS sobre API e Reflexo do API]])-2,0)*($G86-$H86)</f>
        <v>0.31624218988425928</v>
      </c>
      <c r="AQ86" s="22">
        <f>VLOOKUP($A86,tabCustoUnit[],COLUMN(CUSTO_GLOBAL[[#Headers],[Multa Rescisória do FGTS sobre o Aviso Prévio Indenizado]])-2,0)*($G86-$H86)</f>
        <v>0.12649687595370371</v>
      </c>
      <c r="AR86" s="22">
        <f>VLOOKUP($A86,tabCustoUnit[],COLUMN(CUSTO_GLOBAL[[#Headers],[Aviso Prévio Trabalhado - APT]])-2,0)*($G86-$H86)</f>
        <v>1.9731967500000003</v>
      </c>
      <c r="AS86" s="22">
        <f>VLOOKUP($A86,tabCustoUnit[],COLUMN(CUSTO_GLOBAL[[#Headers],[Incidência dos encargos do submódulo 2.1 sobre Aviso Prévio Trabalhado]])-2,0)*($G86-$H86)</f>
        <v>0.74586837150000018</v>
      </c>
      <c r="AT86" s="22">
        <f>VLOOKUP($A86,tabCustoUnit[],COLUMN(CUSTO_GLOBAL[[#Headers],[Multa Rescisória do FGTS]])-2,0)*($G86-$H86)</f>
        <v>17.238849066666663</v>
      </c>
      <c r="AU86" s="22">
        <f>VLOOKUP($A86,tabCustoUnit[],COLUMN(CUSTO_GLOBAL[[#Headers],[Indenização Adicional (Art. 9º da Lei nº 7.238/84)]])-2,0)*($G86-$H86)</f>
        <v>0.46980875</v>
      </c>
      <c r="AV86" s="22">
        <f>VLOOKUP($A86,tabCustoUnit[],COLUMN(CUSTO_GLOBAL[[#Headers],[MÓDULO 3 – PROVISÃO PARA RESCISÃO]])-2,0)*($G86-$H86)</f>
        <v>24.823489377557866</v>
      </c>
      <c r="AW86" s="22">
        <f>VLOOKUP($A86,tabCustoUnit[],COLUMN(CUSTO_GLOBAL[[#Headers],[Ausência por Doença]])-2,0)*($G86-$H86)</f>
        <v>4.7607286666666662</v>
      </c>
      <c r="AX86" s="22">
        <f>VLOOKUP($A86,tabCustoUnit[],COLUMN(CUSTO_GLOBAL[[#Headers],[Ausências Legais]])-2,0)*($G86-$H86)</f>
        <v>1.1432012916666665</v>
      </c>
      <c r="AY86" s="22">
        <f>VLOOKUP($A86,tabCustoUnit[],COLUMN(CUSTO_GLOBAL[[#Headers],[Licença Paternidade]])-2,0)*($G86-$H86)</f>
        <v>9.6310793749999998E-2</v>
      </c>
      <c r="AZ86" s="22">
        <f>VLOOKUP($A86,tabCustoUnit[],COLUMN(CUSTO_GLOBAL[[#Headers],[Ausência por Acidente de Trabalho]])-2,0)*($G86-$H86)</f>
        <v>0.1174521875</v>
      </c>
      <c r="BA86" s="22">
        <f>VLOOKUP($A86,tabCustoUnit[],COLUMN(CUSTO_GLOBAL[[#Headers],[Férias, Adicional de Férias e 13º  com empregada em gozo de Licença Maternidade]])-2,0)*($G86-$H86)</f>
        <v>0.73081361111111109</v>
      </c>
      <c r="BB86" s="22">
        <f>VLOOKUP($A86,tabCustoUnit[],COLUMN(CUSTO_GLOBAL[[#Headers],[Incidência do Submódulo 2.1 sobre Ausências Legais]])-2,0)*($G86-$H86)</f>
        <v>2.5887354761625003</v>
      </c>
      <c r="BC86" s="22">
        <f>VLOOKUP($A86,tabCustoUnit[],COLUMN(CUSTO_GLOBAL[[#Headers],[Submódulo 4.1]])-2,0)*($G86-$H86)</f>
        <v>9.4372420268569428</v>
      </c>
      <c r="BD86" s="22">
        <f>VLOOKUP($A86,tabCustoUnit[],COLUMN(CUSTO_GLOBAL[[#Headers],[Intervalo para Repouso ou Alimentação]])-2,0)*($G86-$H86)</f>
        <v>0</v>
      </c>
      <c r="BE86" s="22">
        <f>VLOOKUP($A86,tabCustoUnit[],COLUMN(CUSTO_GLOBAL[[#Headers],[Submódulo 4.2]])-2,0)*($G86-$H86)</f>
        <v>0</v>
      </c>
      <c r="BF86" s="22">
        <f>VLOOKUP($A86,tabCustoUnit[],COLUMN(CUSTO_GLOBAL[[#Headers],[Suspensão Temporária do Contrato de Trabalho]])-2,0)*($G86-$H86)</f>
        <v>0</v>
      </c>
      <c r="BG86" s="22">
        <f>VLOOKUP($A86,tabCustoUnit[],COLUMN(CUSTO_GLOBAL[[#Headers],[Submódulo 4.3]])-2,0)*($G86-$H86)</f>
        <v>0</v>
      </c>
      <c r="BH86" s="22">
        <f>VLOOKUP($A86,tabCustoUnit[],COLUMN(CUSTO_GLOBAL[[#Headers],[MÓDULO 4 – CUSTO DE REPOSIÇÃO DO PROFISSIONAL AUSENTE]])-2,0)*($G86-$H86)</f>
        <v>9.4372420268569428</v>
      </c>
      <c r="BI86" s="22">
        <f>VLOOKUP($A86,tabCustoUnit[],COLUMN(CUSTO_GLOBAL[[#Headers],[Uniformes e EPIs]])-2,0)*($G86-$H86)</f>
        <v>62.806666666666665</v>
      </c>
      <c r="BJ86" s="22">
        <f>VLOOKUP($A86,tabCustoUnit[],COLUMN(CUSTO_GLOBAL[[#Headers],[Materiais de Consumo]])-2,0)*($G86-$H86)</f>
        <v>12.108481690426325</v>
      </c>
      <c r="BK86" s="22">
        <f>VLOOKUP($A86,tabCustoUnit[],COLUMN(CUSTO_GLOBAL[[#Headers],[Máquinas e Equipamentos (depreciação)]])-2,0)*($G86-$H86)</f>
        <v>21.998657016417809</v>
      </c>
      <c r="BL86" s="22">
        <f>VLOOKUP($A86,tabCustoUnit[],COLUMN(CUSTO_GLOBAL[[#Headers],[Produtos de Limpeza e Materiais de Higiene Pessoal]])-2,0)*($G86-$H86)</f>
        <v>235.31984072022155</v>
      </c>
      <c r="BM86" s="22">
        <f>VLOOKUP($A86,tabCustoUnit[],COLUMN(CUSTO_GLOBAL[[#Headers],[Outros (especificar)]])-2,0)*($G86-$H86)</f>
        <v>0</v>
      </c>
      <c r="BN86" s="22">
        <f>VLOOKUP($A86,tabCustoUnit[],COLUMN(CUSTO_GLOBAL[[#Headers],[MÓDULO 5 – INSUMOS DIVERSOS]])-2,0)*($G86-$H86)</f>
        <v>332.23364609373232</v>
      </c>
      <c r="BO86" s="22">
        <f>VLOOKUP($A86,tabCustoUnit[],COLUMN(CUSTO_GLOBAL[[#Headers],[TOTAL MÓDULOS 1+2+3+4+5]])-2,0)*($G86-$H86)</f>
        <v>2103.1384999148136</v>
      </c>
      <c r="BP86" s="22">
        <f>VLOOKUP($A86,tabCustoUnit[],COLUMN(CUSTO_GLOBAL[[#Headers],[Custos Indiretos]])-2,0)*($G86-$H86)</f>
        <v>189.64880140242613</v>
      </c>
      <c r="BQ86" s="22">
        <f>VLOOKUP($A86,tabCustoUnit[],COLUMN(CUSTO_GLOBAL[[#Headers],[Lucro]])-2,0)*($G86-$H86)</f>
        <v>159.30499317803796</v>
      </c>
      <c r="BR86" s="26">
        <f>VLOOKUP($A86,tabCustoUnit[],COLUMN(CUSTO_GLOBAL[[#Headers],[COFINS]])-2,0)</f>
        <v>8.8629737609329504E-2</v>
      </c>
      <c r="BS86" s="26">
        <f>VLOOKUP($A86,tabCustoUnit[],COLUMN(CUSTO_GLOBAL[[#Headers],[PIS]])-2,0)</f>
        <v>1.9241982507288629E-2</v>
      </c>
      <c r="BT86" s="28">
        <f>VLOOKUP($A86,tabCustoUnit[],COLUMN(CUSTO_GLOBAL[[#Headers],[ISS]])-2,0)</f>
        <v>0.05</v>
      </c>
      <c r="BU86" s="26">
        <f>VLOOKUP($A86,tabCustoUnit[],COLUMN(CUSTO_GLOBAL[[#Headers],[ISS (Conversão Alíquota s/ fatura)]])-2,0)</f>
        <v>5.8309037900874633E-2</v>
      </c>
      <c r="BV86" s="26">
        <f>VLOOKUP($A86,tabCustoUnit[],COLUMN(CUSTO_GLOBAL[[#Headers],[Resumo de Alíquotas (PIS+CONFINS+ISS)]])-2,0)</f>
        <v>0.14250000000000002</v>
      </c>
      <c r="BW86" s="138">
        <f>VLOOKUP($A86,tabCustoUnit[],COLUMN(CUSTO_GLOBAL[[#Headers],[PIS + COFINS + ISS (Total Conversão  Alíquota s/ Fatura)]])-2,0)</f>
        <v>0.16618075801749277</v>
      </c>
      <c r="BX86" s="22">
        <f>VLOOKUP($A86,tabCustoUnit[],COLUMN(CUSTO_GLOBAL[[#Headers],[Valor dos Tributos (ISS, PIS, CONFINS)]])-2,0)*($G86-$H86)</f>
        <v>407.49055622807833</v>
      </c>
      <c r="BY86" s="22">
        <f>VLOOKUP($A86,tabCustoUnit[],COLUMN(CUSTO_GLOBAL[[#Headers],[MÓDULO 6 – CUSTOS INDIRETOS, TRIBUTOS E LUCRO]])-2,0)*($G86-$H86)</f>
        <v>756.44435080854237</v>
      </c>
      <c r="BZ86" s="22">
        <f>VLOOKUP($A86,tabCustoUnit[],COLUMN(CUSTO_GLOBAL[[#Headers],[CUSTO TOTAL MENSAL]])-2,0)*($G86-$H86)</f>
        <v>2859.5828507233559</v>
      </c>
      <c r="CA86" s="22">
        <f>CUSTO_GLOBAL[[#This Row],[CUSTO TOTAL MENSAL]]*12</f>
        <v>34314.994208680269</v>
      </c>
      <c r="CB86" s="24">
        <f>VLOOKUP($A86,tabCustoUnit[],COLUMN(CUSTO_GLOBAL[[#Headers],[ANO DA CCT]])-2,0)</f>
        <v>45658</v>
      </c>
      <c r="CC86" s="25" t="str">
        <f>VLOOKUP($A86,tabCustoUnit[],COLUMN(CUSTO_GLOBAL[[#Headers],[Nº DE PEDIDO DA CCT]])-2,0)</f>
        <v>-</v>
      </c>
      <c r="CD86" s="25" t="str">
        <f>VLOOKUP($A86,tabCustoUnit[],COLUMN(CUSTO_GLOBAL[[#Headers],[TERMO ADITIVO  ALTERAÇÃO DA CCT]])-2,0)</f>
        <v>-</v>
      </c>
      <c r="CF86" s="22"/>
      <c r="CG86" s="22"/>
    </row>
    <row r="87" spans="1:85" x14ac:dyDescent="0.25">
      <c r="A87" s="20" t="s">
        <v>1271</v>
      </c>
      <c r="B87" t="s">
        <v>84</v>
      </c>
      <c r="C87" t="s">
        <v>1246</v>
      </c>
      <c r="D87" t="s">
        <v>84</v>
      </c>
      <c r="E87" s="20" t="s">
        <v>9</v>
      </c>
      <c r="F87" s="20" t="s">
        <v>10</v>
      </c>
      <c r="G87" s="20">
        <v>1</v>
      </c>
      <c r="H87" s="20">
        <v>0</v>
      </c>
      <c r="I87" s="21">
        <f>VLOOKUP($A87,tabCustoUnit[],COLUMN(CUSTO_GLOBAL[[#Headers],[Salário Base]])-2,0)*($G87-$H87)</f>
        <v>1124.3900000000001</v>
      </c>
      <c r="J87" s="21">
        <f>VLOOKUP($A87,tabCustoUnit[],COLUMN(CUSTO_GLOBAL[[#Headers],[Adicional Periculosidade]])-2,0)*($G87-$H87)</f>
        <v>0</v>
      </c>
      <c r="K87" s="21">
        <f>VLOOKUP($A87,tabCustoUnit[],COLUMN(CUSTO_GLOBAL[[#Headers],[Adicional Insalubridade]])-2,0)*($G87-$H87)</f>
        <v>0</v>
      </c>
      <c r="L87" s="21">
        <f>VLOOKUP($A87,tabCustoUnit[],COLUMN(CUSTO_GLOBAL[[#Headers],[Adicional Noturno]])-2,0)*($G87-$H87)</f>
        <v>0</v>
      </c>
      <c r="M87" s="21">
        <f>VLOOKUP($A87,tabCustoUnit[],COLUMN(CUSTO_GLOBAL[[#Headers],[Adicional Motorista II (Gratificação)]])-2,0)*($G87-$H87)</f>
        <v>0</v>
      </c>
      <c r="N87" s="21">
        <f>VLOOKUP($A87,tabCustoUnit[],COLUMN(CUSTO_GLOBAL[[#Headers],[Adicional de Sobreaviso]])-2,0)*($G87-$H87)</f>
        <v>0</v>
      </c>
      <c r="O87" s="21">
        <f>VLOOKUP($A87,tabCustoUnit[],COLUMN(CUSTO_GLOBAL[[#Headers],[Horas Extras TI]])-2,0)*($G87-$H87)</f>
        <v>0</v>
      </c>
      <c r="P87" s="21">
        <f>VLOOKUP($A87,tabCustoUnit[],COLUMN(CUSTO_GLOBAL[[#Headers],[Adicional de Acúmulo de função]])-2,0)*($G87-$H87)</f>
        <v>40.478000000000002</v>
      </c>
      <c r="Q87" s="21">
        <f>VLOOKUP($A87,tabCustoUnit[],COLUMN(CUSTO_GLOBAL[[#Headers],[MODULO 1 - REMUNERAÇÃO ]])-2,0)*($G87-$H87)</f>
        <v>1164.8680000000002</v>
      </c>
      <c r="R87" s="21">
        <f>VLOOKUP($A87,tabCustoUnit[],COLUMN(CUSTO_GLOBAL[[#Headers],[INSS]])-2,0)*($G87-$H87)</f>
        <v>232.97360000000003</v>
      </c>
      <c r="S87" s="21">
        <f>VLOOKUP($A87,tabCustoUnit[],COLUMN(CUSTO_GLOBAL[[#Headers],[SESI OU SESC]])-2,0)*($G87-$H87)</f>
        <v>17.473020000000002</v>
      </c>
      <c r="T87" s="21">
        <f>VLOOKUP($A87,tabCustoUnit[],COLUMN(CUSTO_GLOBAL[[#Headers],[SENAI OU SENAC]])-2,0)*($G87-$H87)</f>
        <v>11.648680000000002</v>
      </c>
      <c r="U87" s="21">
        <f>VLOOKUP($A87,tabCustoUnit[],COLUMN(CUSTO_GLOBAL[[#Headers],[INCRA]])-2,0)*($G87-$H87)</f>
        <v>2.3297360000000005</v>
      </c>
      <c r="V87" s="21">
        <f>VLOOKUP($A87,tabCustoUnit[],COLUMN(CUSTO_GLOBAL[[#Headers],[Salário Educação]])-2,0)*($G87-$H87)</f>
        <v>29.121700000000004</v>
      </c>
      <c r="W87" s="21">
        <f>VLOOKUP($A87,tabCustoUnit[],COLUMN(CUSTO_GLOBAL[[#Headers],[FGTS]])-2,0)*($G87-$H87)</f>
        <v>93.189440000000019</v>
      </c>
      <c r="X87" s="21">
        <f>VLOOKUP($A87,tabCustoUnit[],COLUMN(CUSTO_GLOBAL[[#Headers],[RAT Ajustado]])-2,0)*($G87-$H87)</f>
        <v>46.594720000000009</v>
      </c>
      <c r="Y87" s="21">
        <f>VLOOKUP($A87,tabCustoUnit[],COLUMN(CUSTO_GLOBAL[[#Headers],[SEBRAE]])-2,0)*($G87-$H87)</f>
        <v>6.9892080000000014</v>
      </c>
      <c r="Z87" s="21">
        <f>VLOOKUP($A87,tabCustoUnit[],COLUMN(CUSTO_GLOBAL[[#Headers],[Submódulo 2.1]])-2,0)*($G87-$H87)</f>
        <v>440.32010400000001</v>
      </c>
      <c r="AA87" s="21">
        <f>VLOOKUP($A87,tabCustoUnit[],COLUMN(CUSTO_GLOBAL[[#Headers],[13º salário (titular)]])-2,0)*($G87-$H87)</f>
        <v>97.072333333333347</v>
      </c>
      <c r="AB87" s="21">
        <f>VLOOKUP($A87,tabCustoUnit[],COLUMN(CUSTO_GLOBAL[[#Headers],[Férias e Adicional de Férias (titular)]])-2,0)*($G87-$H87)</f>
        <v>129.42977777777779</v>
      </c>
      <c r="AC87" s="21">
        <f>VLOOKUP($A87,tabCustoUnit[],COLUMN(CUSTO_GLOBAL[[#Headers],[Incidência do Submódulo 2.1 sobre 13º Salário, Férias e Adicional de Férias]])-2,0)*($G87-$H87)</f>
        <v>85.617797999999993</v>
      </c>
      <c r="AD87" s="21">
        <f>VLOOKUP($A87,tabCustoUnit[],COLUMN(CUSTO_GLOBAL[[#Headers],[Submódulo 2.2]])-2,0)*($G87-$H87)</f>
        <v>312.11990911111116</v>
      </c>
      <c r="AE87" s="22">
        <f>VLOOKUP($A87,tabCustoUnit[],COLUMN(CUSTO_GLOBAL[[#Headers],[Vale - Transporte (Descontada parcela do empregado)]])-2,0)*($G87-$H87)</f>
        <v>188.53659999999999</v>
      </c>
      <c r="AF87" s="22">
        <f>VLOOKUP($A87,tabCustoUnit[],COLUMN(CUSTO_GLOBAL[[#Headers],[Vale - Alimentação (Descontada parcela do empregado)]])-2,0)*($G87-$H87)</f>
        <v>582</v>
      </c>
      <c r="AG87" s="22">
        <f>VLOOKUP($A87,tabCustoUnit[],COLUMN(CUSTO_GLOBAL[[#Headers],[Cesta Básica]])-2,0)*($G87-$H87)</f>
        <v>0</v>
      </c>
      <c r="AH87" s="22">
        <f>VLOOKUP($A87,tabCustoUnit[],COLUMN(CUSTO_GLOBAL[[#Headers],[PAF]])-2,0)*($G87-$H87)</f>
        <v>51.88</v>
      </c>
      <c r="AI87" s="22">
        <f>VLOOKUP($A87,tabCustoUnit[],COLUMN(CUSTO_GLOBAL[[#Headers],[PQM]])-2,0)*($G87-$H87)</f>
        <v>0</v>
      </c>
      <c r="AJ87" s="22">
        <v>0</v>
      </c>
      <c r="AK87" s="22">
        <f>VLOOKUP($A87,tabCustoUnit[],COLUMN(CUSTO_GLOBAL[[#Headers],[Seguro de Vida]])-2,0)*($G87-$H87)</f>
        <v>3.36</v>
      </c>
      <c r="AL87" s="22">
        <f>VLOOKUP($A87,tabCustoUnit[],COLUMN(CUSTO_GLOBAL[[#Headers],[Despesas de Viagem]])-2,0)*($G87-$H87)</f>
        <v>0</v>
      </c>
      <c r="AM87" s="22">
        <f>VLOOKUP($A87,tabCustoUnit[],COLUMN(CUSTO_GLOBAL[[#Headers],[Submódulo 2.3]])-2,0)*($G87-$H87)</f>
        <v>825.77660000000003</v>
      </c>
      <c r="AN87" s="22">
        <f>VLOOKUP($A87,tabCustoUnit[],COLUMN(CUSTO_GLOBAL[[#Headers],[MÓDULO 2 - Total Encargos e Benefícios mensais e diários]])-2,0)*($G87-$H87)</f>
        <v>1578.2166131111112</v>
      </c>
      <c r="AO87" s="22">
        <f>VLOOKUP($A87,tabCustoUnit[],COLUMN(CUSTO_GLOBAL[[#Headers],[Aviso Prévio Indenizado (API) e Reflexo do Aviso Prévio Indenizado]])-2,0)*($G87-$H87)</f>
        <v>8.1677829729938285</v>
      </c>
      <c r="AP87" s="22">
        <f>VLOOKUP($A87,tabCustoUnit[],COLUMN(CUSTO_GLOBAL[[#Headers],[Incidência do FGTS sobre API e Reflexo do API]])-2,0)*($G87-$H87)</f>
        <v>0.65342263783950627</v>
      </c>
      <c r="AQ87" s="22">
        <f>VLOOKUP($A87,tabCustoUnit[],COLUMN(CUSTO_GLOBAL[[#Headers],[Multa Rescisória do FGTS sobre o Aviso Prévio Indenizado]])-2,0)*($G87-$H87)</f>
        <v>0.26136905513580255</v>
      </c>
      <c r="AR87" s="22">
        <f>VLOOKUP($A87,tabCustoUnit[],COLUMN(CUSTO_GLOBAL[[#Headers],[Aviso Prévio Trabalhado - APT]])-2,0)*($G87-$H87)</f>
        <v>4.0770380000000008</v>
      </c>
      <c r="AS87" s="22">
        <f>VLOOKUP($A87,tabCustoUnit[],COLUMN(CUSTO_GLOBAL[[#Headers],[Incidência dos encargos do submódulo 2.1 sobre Aviso Prévio Trabalhado]])-2,0)*($G87-$H87)</f>
        <v>1.5411203640000006</v>
      </c>
      <c r="AT87" s="22">
        <f>VLOOKUP($A87,tabCustoUnit[],COLUMN(CUSTO_GLOBAL[[#Headers],[Multa Rescisória do FGTS]])-2,0)*($G87-$H87)</f>
        <v>35.619074844444441</v>
      </c>
      <c r="AU87" s="22">
        <f>VLOOKUP($A87,tabCustoUnit[],COLUMN(CUSTO_GLOBAL[[#Headers],[Indenização Adicional (Art. 9º da Lei nº 7.238/84)]])-2,0)*($G87-$H87)</f>
        <v>0.97072333333333349</v>
      </c>
      <c r="AV87" s="22">
        <f>VLOOKUP($A87,tabCustoUnit[],COLUMN(CUSTO_GLOBAL[[#Headers],[MÓDULO 3 – PROVISÃO PARA RESCISÃO]])-2,0)*($G87-$H87)</f>
        <v>51.290531207746916</v>
      </c>
      <c r="AW87" s="22">
        <f>VLOOKUP($A87,tabCustoUnit[],COLUMN(CUSTO_GLOBAL[[#Headers],[Ausência por Doença]])-2,0)*($G87-$H87)</f>
        <v>9.8366631111111111</v>
      </c>
      <c r="AX87" s="22">
        <f>VLOOKUP($A87,tabCustoUnit[],COLUMN(CUSTO_GLOBAL[[#Headers],[Ausências Legais]])-2,0)*($G87-$H87)</f>
        <v>2.3620934444444446</v>
      </c>
      <c r="AY87" s="22">
        <f>VLOOKUP($A87,tabCustoUnit[],COLUMN(CUSTO_GLOBAL[[#Headers],[Licença Paternidade]])-2,0)*($G87-$H87)</f>
        <v>0.19899828333333336</v>
      </c>
      <c r="AZ87" s="22">
        <f>VLOOKUP($A87,tabCustoUnit[],COLUMN(CUSTO_GLOBAL[[#Headers],[Ausência por Acidente de Trabalho]])-2,0)*($G87-$H87)</f>
        <v>0.24268083333333337</v>
      </c>
      <c r="BA87" s="22">
        <f>VLOOKUP($A87,tabCustoUnit[],COLUMN(CUSTO_GLOBAL[[#Headers],[Férias, Adicional de Férias e 13º  com empregada em gozo de Licença Maternidade]])-2,0)*($G87-$H87)</f>
        <v>1.5100140740740742</v>
      </c>
      <c r="BB87" s="22">
        <f>VLOOKUP($A87,tabCustoUnit[],COLUMN(CUSTO_GLOBAL[[#Headers],[Incidência do Submódulo 2.1 sobre Ausências Legais]])-2,0)*($G87-$H87)</f>
        <v>5.3488700041000019</v>
      </c>
      <c r="BC87" s="22">
        <f>VLOOKUP($A87,tabCustoUnit[],COLUMN(CUSTO_GLOBAL[[#Headers],[Submódulo 4.1]])-2,0)*($G87-$H87)</f>
        <v>19.499319750396296</v>
      </c>
      <c r="BD87" s="22">
        <f>VLOOKUP($A87,tabCustoUnit[],COLUMN(CUSTO_GLOBAL[[#Headers],[Intervalo para Repouso ou Alimentação]])-2,0)*($G87-$H87)</f>
        <v>0</v>
      </c>
      <c r="BE87" s="22">
        <f>VLOOKUP($A87,tabCustoUnit[],COLUMN(CUSTO_GLOBAL[[#Headers],[Submódulo 4.2]])-2,0)*($G87-$H87)</f>
        <v>0</v>
      </c>
      <c r="BF87" s="22">
        <f>VLOOKUP($A87,tabCustoUnit[],COLUMN(CUSTO_GLOBAL[[#Headers],[Suspensão Temporária do Contrato de Trabalho]])-2,0)*($G87-$H87)</f>
        <v>0</v>
      </c>
      <c r="BG87" s="22">
        <f>VLOOKUP($A87,tabCustoUnit[],COLUMN(CUSTO_GLOBAL[[#Headers],[Submódulo 4.3]])-2,0)*($G87-$H87)</f>
        <v>0</v>
      </c>
      <c r="BH87" s="22">
        <f>VLOOKUP($A87,tabCustoUnit[],COLUMN(CUSTO_GLOBAL[[#Headers],[MÓDULO 4 – CUSTO DE REPOSIÇÃO DO PROFISSIONAL AUSENTE]])-2,0)*($G87-$H87)</f>
        <v>19.499319750396296</v>
      </c>
      <c r="BI87" s="22">
        <f>VLOOKUP($A87,tabCustoUnit[],COLUMN(CUSTO_GLOBAL[[#Headers],[Uniformes e EPIs]])-2,0)*($G87-$H87)</f>
        <v>100.80916666666666</v>
      </c>
      <c r="BJ87" s="22">
        <f>VLOOKUP($A87,tabCustoUnit[],COLUMN(CUSTO_GLOBAL[[#Headers],[Materiais de Consumo]])-2,0)*($G87-$H87)</f>
        <v>24.216963380852651</v>
      </c>
      <c r="BK87" s="22">
        <f>VLOOKUP($A87,tabCustoUnit[],COLUMN(CUSTO_GLOBAL[[#Headers],[Máquinas e Equipamentos (depreciação)]])-2,0)*($G87-$H87)</f>
        <v>43.997314032835618</v>
      </c>
      <c r="BL87" s="22">
        <f>VLOOKUP($A87,tabCustoUnit[],COLUMN(CUSTO_GLOBAL[[#Headers],[Produtos de Limpeza e Materiais de Higiene Pessoal]])-2,0)*($G87-$H87)</f>
        <v>470.6396814404431</v>
      </c>
      <c r="BM87" s="22">
        <f>VLOOKUP($A87,tabCustoUnit[],COLUMN(CUSTO_GLOBAL[[#Headers],[Outros (especificar)]])-2,0)*($G87-$H87)</f>
        <v>0</v>
      </c>
      <c r="BN87" s="22">
        <f>VLOOKUP($A87,tabCustoUnit[],COLUMN(CUSTO_GLOBAL[[#Headers],[MÓDULO 5 – INSUMOS DIVERSOS]])-2,0)*($G87-$H87)</f>
        <v>639.66312552079808</v>
      </c>
      <c r="BO87" s="22">
        <f>VLOOKUP($A87,tabCustoUnit[],COLUMN(CUSTO_GLOBAL[[#Headers],[TOTAL MÓDULOS 1+2+3+4+5]])-2,0)*($G87-$H87)</f>
        <v>3453.5375895900524</v>
      </c>
      <c r="BP87" s="22">
        <f>VLOOKUP($A87,tabCustoUnit[],COLUMN(CUSTO_GLOBAL[[#Headers],[Custos Indiretos]])-2,0)*($G87-$H87)</f>
        <v>189.64880140242613</v>
      </c>
      <c r="BQ87" s="22">
        <f>VLOOKUP($A87,tabCustoUnit[],COLUMN(CUSTO_GLOBAL[[#Headers],[Lucro]])-2,0)*($G87-$H87)</f>
        <v>159.30499317803796</v>
      </c>
      <c r="BR87" s="26">
        <f>VLOOKUP($A87,tabCustoUnit[],COLUMN(CUSTO_GLOBAL[[#Headers],[COFINS]])-2,0)</f>
        <v>8.6609686609686695E-2</v>
      </c>
      <c r="BS87" s="26">
        <f>VLOOKUP($A87,tabCustoUnit[],COLUMN(CUSTO_GLOBAL[[#Headers],[PIS]])-2,0)</f>
        <v>1.880341880341882E-2</v>
      </c>
      <c r="BT87" s="28">
        <f>VLOOKUP($A87,tabCustoUnit[],COLUMN(CUSTO_GLOBAL[[#Headers],[ISS]])-2,0)</f>
        <v>0.03</v>
      </c>
      <c r="BU87" s="26">
        <f>VLOOKUP($A87,tabCustoUnit[],COLUMN(CUSTO_GLOBAL[[#Headers],[ISS (Conversão Alíquota s/ fatura)]])-2,0)</f>
        <v>3.4188034188034219E-2</v>
      </c>
      <c r="BV87" s="26">
        <f>VLOOKUP($A87,tabCustoUnit[],COLUMN(CUSTO_GLOBAL[[#Headers],[Resumo de Alíquotas (PIS+CONFINS+ISS)]])-2,0)</f>
        <v>0.1225</v>
      </c>
      <c r="BW87" s="138">
        <f>VLOOKUP($A87,tabCustoUnit[],COLUMN(CUSTO_GLOBAL[[#Headers],[PIS + COFINS + ISS (Total Conversão  Alíquota s/ Fatura)]])-2,0)</f>
        <v>0.13960113960113973</v>
      </c>
      <c r="BX87" s="22">
        <f>VLOOKUP($A87,tabCustoUnit[],COLUMN(CUSTO_GLOBAL[[#Headers],[Valor dos Tributos (ISS, PIS, CONFINS)]])-2,0)*($G87-$H87)</f>
        <v>530.83213055371937</v>
      </c>
      <c r="BY87" s="22">
        <f>VLOOKUP($A87,tabCustoUnit[],COLUMN(CUSTO_GLOBAL[[#Headers],[MÓDULO 6 – CUSTOS INDIRETOS, TRIBUTOS E LUCRO]])-2,0)*($G87-$H87)</f>
        <v>879.78592513418346</v>
      </c>
      <c r="BZ87" s="22">
        <f>VLOOKUP($A87,tabCustoUnit[],COLUMN(CUSTO_GLOBAL[[#Headers],[CUSTO TOTAL MENSAL]])-2,0)*($G87-$H87)</f>
        <v>4333.3235147242358</v>
      </c>
      <c r="CA87" s="22">
        <f>CUSTO_GLOBAL[[#This Row],[CUSTO TOTAL MENSAL]]*12</f>
        <v>51999.88217669083</v>
      </c>
      <c r="CB87" s="24">
        <f>VLOOKUP($A87,tabCustoUnit[],COLUMN(CUSTO_GLOBAL[[#Headers],[ANO DA CCT]])-2,0)</f>
        <v>45658</v>
      </c>
      <c r="CC87" s="25" t="str">
        <f>VLOOKUP($A87,tabCustoUnit[],COLUMN(CUSTO_GLOBAL[[#Headers],[Nº DE PEDIDO DA CCT]])-2,0)</f>
        <v>-</v>
      </c>
      <c r="CD87" s="25" t="str">
        <f>VLOOKUP($A87,tabCustoUnit[],COLUMN(CUSTO_GLOBAL[[#Headers],[TERMO ADITIVO  ALTERAÇÃO DA CCT]])-2,0)</f>
        <v>-</v>
      </c>
      <c r="CF87" s="22"/>
      <c r="CG87" s="22"/>
    </row>
    <row r="88" spans="1:85" x14ac:dyDescent="0.25">
      <c r="A88" s="20" t="s">
        <v>1427</v>
      </c>
      <c r="B88" t="s">
        <v>84</v>
      </c>
      <c r="C88" t="s">
        <v>1245</v>
      </c>
      <c r="D88" t="s">
        <v>84</v>
      </c>
      <c r="E88" s="20" t="s">
        <v>9</v>
      </c>
      <c r="F88" s="20" t="s">
        <v>10</v>
      </c>
      <c r="G88" s="20">
        <v>2</v>
      </c>
      <c r="H88" s="20">
        <v>0</v>
      </c>
      <c r="I88" s="21">
        <f>VLOOKUP($A88,tabCustoUnit[],COLUMN(CUSTO_GLOBAL[[#Headers],[Salário Base]])-2,0)*($G88-$H88)</f>
        <v>3298.24</v>
      </c>
      <c r="J88" s="21">
        <f>VLOOKUP($A88,tabCustoUnit[],COLUMN(CUSTO_GLOBAL[[#Headers],[Adicional Periculosidade]])-2,0)*($G88-$H88)</f>
        <v>0</v>
      </c>
      <c r="K88" s="21">
        <f>VLOOKUP($A88,tabCustoUnit[],COLUMN(CUSTO_GLOBAL[[#Headers],[Adicional Insalubridade]])-2,0)*($G88-$H88)</f>
        <v>0</v>
      </c>
      <c r="L88" s="21">
        <f>VLOOKUP($A88,tabCustoUnit[],COLUMN(CUSTO_GLOBAL[[#Headers],[Adicional Noturno]])-2,0)*($G88-$H88)</f>
        <v>0</v>
      </c>
      <c r="M88" s="21">
        <f>VLOOKUP($A88,tabCustoUnit[],COLUMN(CUSTO_GLOBAL[[#Headers],[Adicional Motorista II (Gratificação)]])-2,0)*($G88-$H88)</f>
        <v>0</v>
      </c>
      <c r="N88" s="21">
        <f>VLOOKUP($A88,tabCustoUnit[],COLUMN(CUSTO_GLOBAL[[#Headers],[Adicional de Sobreaviso]])-2,0)*($G88-$H88)</f>
        <v>0</v>
      </c>
      <c r="O88" s="21">
        <f>VLOOKUP($A88,tabCustoUnit[],COLUMN(CUSTO_GLOBAL[[#Headers],[Horas Extras TI]])-2,0)*($G88-$H88)</f>
        <v>0</v>
      </c>
      <c r="P88" s="21">
        <f>VLOOKUP($A88,tabCustoUnit[],COLUMN(CUSTO_GLOBAL[[#Headers],[Adicional de Acúmulo de função]])-2,0)*($G88-$H88)</f>
        <v>107.94240000000001</v>
      </c>
      <c r="Q88" s="21">
        <f>VLOOKUP($A88,tabCustoUnit[],COLUMN(CUSTO_GLOBAL[[#Headers],[MODULO 1 - REMUNERAÇÃO ]])-2,0)*($G88-$H88)</f>
        <v>3406.1823999999997</v>
      </c>
      <c r="R88" s="21">
        <f>VLOOKUP($A88,tabCustoUnit[],COLUMN(CUSTO_GLOBAL[[#Headers],[INSS]])-2,0)*($G88-$H88)</f>
        <v>681.23648000000003</v>
      </c>
      <c r="S88" s="21">
        <f>VLOOKUP($A88,tabCustoUnit[],COLUMN(CUSTO_GLOBAL[[#Headers],[SESI OU SESC]])-2,0)*($G88-$H88)</f>
        <v>51.092735999999995</v>
      </c>
      <c r="T88" s="21">
        <f>VLOOKUP($A88,tabCustoUnit[],COLUMN(CUSTO_GLOBAL[[#Headers],[SENAI OU SENAC]])-2,0)*($G88-$H88)</f>
        <v>34.061823999999994</v>
      </c>
      <c r="U88" s="21">
        <f>VLOOKUP($A88,tabCustoUnit[],COLUMN(CUSTO_GLOBAL[[#Headers],[INCRA]])-2,0)*($G88-$H88)</f>
        <v>6.8123647999999992</v>
      </c>
      <c r="V88" s="21">
        <f>VLOOKUP($A88,tabCustoUnit[],COLUMN(CUSTO_GLOBAL[[#Headers],[Salário Educação]])-2,0)*($G88-$H88)</f>
        <v>85.154560000000004</v>
      </c>
      <c r="W88" s="21">
        <f>VLOOKUP($A88,tabCustoUnit[],COLUMN(CUSTO_GLOBAL[[#Headers],[FGTS]])-2,0)*($G88-$H88)</f>
        <v>272.49459199999995</v>
      </c>
      <c r="X88" s="21">
        <f>VLOOKUP($A88,tabCustoUnit[],COLUMN(CUSTO_GLOBAL[[#Headers],[RAT Ajustado]])-2,0)*($G88-$H88)</f>
        <v>136.24729599999998</v>
      </c>
      <c r="Y88" s="21">
        <f>VLOOKUP($A88,tabCustoUnit[],COLUMN(CUSTO_GLOBAL[[#Headers],[SEBRAE]])-2,0)*($G88-$H88)</f>
        <v>20.437094399999999</v>
      </c>
      <c r="Z88" s="21">
        <f>VLOOKUP($A88,tabCustoUnit[],COLUMN(CUSTO_GLOBAL[[#Headers],[Submódulo 2.1]])-2,0)*($G88-$H88)</f>
        <v>1287.5369472</v>
      </c>
      <c r="AA88" s="21">
        <f>VLOOKUP($A88,tabCustoUnit[],COLUMN(CUSTO_GLOBAL[[#Headers],[13º salário (titular)]])-2,0)*($G88-$H88)</f>
        <v>283.84853333333331</v>
      </c>
      <c r="AB88" s="21">
        <f>VLOOKUP($A88,tabCustoUnit[],COLUMN(CUSTO_GLOBAL[[#Headers],[Férias e Adicional de Férias (titular)]])-2,0)*($G88-$H88)</f>
        <v>378.46471111111106</v>
      </c>
      <c r="AC88" s="21">
        <f>VLOOKUP($A88,tabCustoUnit[],COLUMN(CUSTO_GLOBAL[[#Headers],[Incidência do Submódulo 2.1 sobre 13º Salário, Férias e Adicional de Férias]])-2,0)*($G88-$H88)</f>
        <v>250.35440639999999</v>
      </c>
      <c r="AD88" s="21">
        <f>VLOOKUP($A88,tabCustoUnit[],COLUMN(CUSTO_GLOBAL[[#Headers],[Submódulo 2.2]])-2,0)*($G88-$H88)</f>
        <v>912.66765084444432</v>
      </c>
      <c r="AE88" s="22">
        <f>VLOOKUP($A88,tabCustoUnit[],COLUMN(CUSTO_GLOBAL[[#Headers],[Vale - Transporte (Descontada parcela do empregado)]])-2,0)*($G88-$H88)</f>
        <v>314.10559999999998</v>
      </c>
      <c r="AF88" s="22">
        <f>VLOOKUP($A88,tabCustoUnit[],COLUMN(CUSTO_GLOBAL[[#Headers],[Vale - Alimentação (Descontada parcela do empregado)]])-2,0)*($G88-$H88)</f>
        <v>1164</v>
      </c>
      <c r="AG88" s="22">
        <f>VLOOKUP($A88,tabCustoUnit[],COLUMN(CUSTO_GLOBAL[[#Headers],[Cesta Básica]])-2,0)*($G88-$H88)</f>
        <v>0</v>
      </c>
      <c r="AH88" s="22">
        <f>VLOOKUP($A88,tabCustoUnit[],COLUMN(CUSTO_GLOBAL[[#Headers],[PAF]])-2,0)*($G88-$H88)</f>
        <v>103.76</v>
      </c>
      <c r="AI88" s="22">
        <f>VLOOKUP($A88,tabCustoUnit[],COLUMN(CUSTO_GLOBAL[[#Headers],[PQM]])-2,0)*($G88-$H88)</f>
        <v>0</v>
      </c>
      <c r="AJ88" s="22">
        <v>0</v>
      </c>
      <c r="AK88" s="22">
        <f>VLOOKUP($A88,tabCustoUnit[],COLUMN(CUSTO_GLOBAL[[#Headers],[Seguro de Vida]])-2,0)*($G88-$H88)</f>
        <v>6.72</v>
      </c>
      <c r="AL88" s="22">
        <f>VLOOKUP($A88,tabCustoUnit[],COLUMN(CUSTO_GLOBAL[[#Headers],[Despesas de Viagem]])-2,0)*($G88-$H88)</f>
        <v>0</v>
      </c>
      <c r="AM88" s="22">
        <f>VLOOKUP($A88,tabCustoUnit[],COLUMN(CUSTO_GLOBAL[[#Headers],[Submódulo 2.3]])-2,0)*($G88-$H88)</f>
        <v>1588.5855999999999</v>
      </c>
      <c r="AN88" s="22">
        <f>VLOOKUP($A88,tabCustoUnit[],COLUMN(CUSTO_GLOBAL[[#Headers],[MÓDULO 2 - Total Encargos e Benefícios mensais e diários]])-2,0)*($G88-$H88)</f>
        <v>3788.7901980444444</v>
      </c>
      <c r="AO88" s="22">
        <f>VLOOKUP($A88,tabCustoUnit[],COLUMN(CUSTO_GLOBAL[[#Headers],[Aviso Prévio Indenizado (API) e Reflexo do Aviso Prévio Indenizado]])-2,0)*($G88-$H88)</f>
        <v>23.883357264197528</v>
      </c>
      <c r="AP88" s="22">
        <f>VLOOKUP($A88,tabCustoUnit[],COLUMN(CUSTO_GLOBAL[[#Headers],[Incidência do FGTS sobre API e Reflexo do API]])-2,0)*($G88-$H88)</f>
        <v>1.9106685811358024</v>
      </c>
      <c r="AQ88" s="22">
        <f>VLOOKUP($A88,tabCustoUnit[],COLUMN(CUSTO_GLOBAL[[#Headers],[Multa Rescisória do FGTS sobre o Aviso Prévio Indenizado]])-2,0)*($G88-$H88)</f>
        <v>0.76426743245432105</v>
      </c>
      <c r="AR88" s="22">
        <f>VLOOKUP($A88,tabCustoUnit[],COLUMN(CUSTO_GLOBAL[[#Headers],[Aviso Prévio Trabalhado - APT]])-2,0)*($G88-$H88)</f>
        <v>11.921638400000001</v>
      </c>
      <c r="AS88" s="22">
        <f>VLOOKUP($A88,tabCustoUnit[],COLUMN(CUSTO_GLOBAL[[#Headers],[Incidência dos encargos do submódulo 2.1 sobre Aviso Prévio Trabalhado]])-2,0)*($G88-$H88)</f>
        <v>4.5063793152000011</v>
      </c>
      <c r="AT88" s="22">
        <f>VLOOKUP($A88,tabCustoUnit[],COLUMN(CUSTO_GLOBAL[[#Headers],[Multa Rescisória do FGTS]])-2,0)*($G88-$H88)</f>
        <v>104.15348849777776</v>
      </c>
      <c r="AU88" s="22">
        <f>VLOOKUP($A88,tabCustoUnit[],COLUMN(CUSTO_GLOBAL[[#Headers],[Indenização Adicional (Art. 9º da Lei nº 7.238/84)]])-2,0)*($G88-$H88)</f>
        <v>2.8384853333333333</v>
      </c>
      <c r="AV88" s="22">
        <f>VLOOKUP($A88,tabCustoUnit[],COLUMN(CUSTO_GLOBAL[[#Headers],[MÓDULO 3 – PROVISÃO PARA RESCISÃO]])-2,0)*($G88-$H88)</f>
        <v>149.97828482409875</v>
      </c>
      <c r="AW88" s="22">
        <f>VLOOKUP($A88,tabCustoUnit[],COLUMN(CUSTO_GLOBAL[[#Headers],[Ausência por Doença]])-2,0)*($G88-$H88)</f>
        <v>28.763318044444439</v>
      </c>
      <c r="AX88" s="22">
        <f>VLOOKUP($A88,tabCustoUnit[],COLUMN(CUSTO_GLOBAL[[#Headers],[Ausências Legais]])-2,0)*($G88-$H88)</f>
        <v>6.9069809777777769</v>
      </c>
      <c r="AY88" s="22">
        <f>VLOOKUP($A88,tabCustoUnit[],COLUMN(CUSTO_GLOBAL[[#Headers],[Licença Paternidade]])-2,0)*($G88-$H88)</f>
        <v>0.58188949333333329</v>
      </c>
      <c r="AZ88" s="22">
        <f>VLOOKUP($A88,tabCustoUnit[],COLUMN(CUSTO_GLOBAL[[#Headers],[Ausência por Acidente de Trabalho]])-2,0)*($G88-$H88)</f>
        <v>0.70962133333333333</v>
      </c>
      <c r="BA88" s="22">
        <f>VLOOKUP($A88,tabCustoUnit[],COLUMN(CUSTO_GLOBAL[[#Headers],[Férias, Adicional de Férias e 13º  com empregada em gozo de Licença Maternidade]])-2,0)*($G88-$H88)</f>
        <v>4.4154216296296287</v>
      </c>
      <c r="BB88" s="22">
        <f>VLOOKUP($A88,tabCustoUnit[],COLUMN(CUSTO_GLOBAL[[#Headers],[Incidência do Submódulo 2.1 sobre Ausências Legais]])-2,0)*($G88-$H88)</f>
        <v>15.640593498880001</v>
      </c>
      <c r="BC88" s="22">
        <f>VLOOKUP($A88,tabCustoUnit[],COLUMN(CUSTO_GLOBAL[[#Headers],[Submódulo 4.1]])-2,0)*($G88-$H88)</f>
        <v>57.017824977398512</v>
      </c>
      <c r="BD88" s="22">
        <f>VLOOKUP($A88,tabCustoUnit[],COLUMN(CUSTO_GLOBAL[[#Headers],[Intervalo para Repouso ou Alimentação]])-2,0)*($G88-$H88)</f>
        <v>0</v>
      </c>
      <c r="BE88" s="22">
        <f>VLOOKUP($A88,tabCustoUnit[],COLUMN(CUSTO_GLOBAL[[#Headers],[Submódulo 4.2]])-2,0)*($G88-$H88)</f>
        <v>0</v>
      </c>
      <c r="BF88" s="22">
        <f>VLOOKUP($A88,tabCustoUnit[],COLUMN(CUSTO_GLOBAL[[#Headers],[Suspensão Temporária do Contrato de Trabalho]])-2,0)*($G88-$H88)</f>
        <v>0</v>
      </c>
      <c r="BG88" s="22">
        <f>VLOOKUP($A88,tabCustoUnit[],COLUMN(CUSTO_GLOBAL[[#Headers],[Submódulo 4.3]])-2,0)*($G88-$H88)</f>
        <v>0</v>
      </c>
      <c r="BH88" s="22">
        <f>VLOOKUP($A88,tabCustoUnit[],COLUMN(CUSTO_GLOBAL[[#Headers],[MÓDULO 4 – CUSTO DE REPOSIÇÃO DO PROFISSIONAL AUSENTE]])-2,0)*($G88-$H88)</f>
        <v>57.017824977398512</v>
      </c>
      <c r="BI88" s="22">
        <f>VLOOKUP($A88,tabCustoUnit[],COLUMN(CUSTO_GLOBAL[[#Headers],[Uniformes e EPIs]])-2,0)*($G88-$H88)</f>
        <v>201.61833333333331</v>
      </c>
      <c r="BJ88" s="22">
        <f>VLOOKUP($A88,tabCustoUnit[],COLUMN(CUSTO_GLOBAL[[#Headers],[Materiais de Consumo]])-2,0)*($G88-$H88)</f>
        <v>71.036425917167776</v>
      </c>
      <c r="BK88" s="22">
        <f>VLOOKUP($A88,tabCustoUnit[],COLUMN(CUSTO_GLOBAL[[#Headers],[Máquinas e Equipamentos (depreciação)]])-2,0)*($G88-$H88)</f>
        <v>129.05878782965115</v>
      </c>
      <c r="BL88" s="22">
        <f>VLOOKUP($A88,tabCustoUnit[],COLUMN(CUSTO_GLOBAL[[#Headers],[Produtos de Limpeza e Materiais de Higiene Pessoal]])-2,0)*($G88-$H88)</f>
        <v>1380.5430655586331</v>
      </c>
      <c r="BM88" s="22">
        <f>VLOOKUP($A88,tabCustoUnit[],COLUMN(CUSTO_GLOBAL[[#Headers],[Outros (especificar)]])-2,0)*($G88-$H88)</f>
        <v>0</v>
      </c>
      <c r="BN88" s="22">
        <f>VLOOKUP($A88,tabCustoUnit[],COLUMN(CUSTO_GLOBAL[[#Headers],[MÓDULO 5 – INSUMOS DIVERSOS]])-2,0)*($G88-$H88)</f>
        <v>1782.2566126387853</v>
      </c>
      <c r="BO88" s="22">
        <f>VLOOKUP($A88,tabCustoUnit[],COLUMN(CUSTO_GLOBAL[[#Headers],[TOTAL MÓDULOS 1+2+3+4+5]])-2,0)*($G88-$H88)</f>
        <v>9184.2253204847257</v>
      </c>
      <c r="BP88" s="22">
        <f>VLOOKUP($A88,tabCustoUnit[],COLUMN(CUSTO_GLOBAL[[#Headers],[Custos Indiretos]])-2,0)*($G88-$H88)</f>
        <v>379.29760280485226</v>
      </c>
      <c r="BQ88" s="22">
        <f>VLOOKUP($A88,tabCustoUnit[],COLUMN(CUSTO_GLOBAL[[#Headers],[Lucro]])-2,0)*($G88-$H88)</f>
        <v>318.60998635607592</v>
      </c>
      <c r="BR88" s="26">
        <f>VLOOKUP($A88,tabCustoUnit[],COLUMN(CUSTO_GLOBAL[[#Headers],[COFINS]])-2,0)</f>
        <v>8.6609686609686695E-2</v>
      </c>
      <c r="BS88" s="26">
        <f>VLOOKUP($A88,tabCustoUnit[],COLUMN(CUSTO_GLOBAL[[#Headers],[PIS]])-2,0)</f>
        <v>1.880341880341882E-2</v>
      </c>
      <c r="BT88" s="28">
        <f>VLOOKUP($A88,tabCustoUnit[],COLUMN(CUSTO_GLOBAL[[#Headers],[ISS]])-2,0)</f>
        <v>0.03</v>
      </c>
      <c r="BU88" s="26">
        <f>VLOOKUP($A88,tabCustoUnit[],COLUMN(CUSTO_GLOBAL[[#Headers],[ISS (Conversão Alíquota s/ fatura)]])-2,0)</f>
        <v>3.4188034188034219E-2</v>
      </c>
      <c r="BV88" s="26">
        <f>VLOOKUP($A88,tabCustoUnit[],COLUMN(CUSTO_GLOBAL[[#Headers],[Resumo de Alíquotas (PIS+CONFINS+ISS)]])-2,0)</f>
        <v>0.1225</v>
      </c>
      <c r="BW88" s="138">
        <f>VLOOKUP($A88,tabCustoUnit[],COLUMN(CUSTO_GLOBAL[[#Headers],[PIS + COFINS + ISS (Total Conversão  Alíquota s/ Fatura)]])-2,0)</f>
        <v>0.13960113960113973</v>
      </c>
      <c r="BX88" s="22">
        <f>VLOOKUP($A88,tabCustoUnit[],COLUMN(CUSTO_GLOBAL[[#Headers],[Valor dos Tributos (ISS, PIS, CONFINS)]])-2,0)*($G88-$H88)</f>
        <v>1379.5570158764601</v>
      </c>
      <c r="BY88" s="22">
        <f>VLOOKUP($A88,tabCustoUnit[],COLUMN(CUSTO_GLOBAL[[#Headers],[MÓDULO 6 – CUSTOS INDIRETOS, TRIBUTOS E LUCRO]])-2,0)*($G88-$H88)</f>
        <v>2077.4646050373885</v>
      </c>
      <c r="BZ88" s="22">
        <f>VLOOKUP($A88,tabCustoUnit[],COLUMN(CUSTO_GLOBAL[[#Headers],[CUSTO TOTAL MENSAL]])-2,0)*($G88-$H88)</f>
        <v>11261.689925522114</v>
      </c>
      <c r="CA88" s="22">
        <f>CUSTO_GLOBAL[[#This Row],[CUSTO TOTAL MENSAL]]*12</f>
        <v>135140.27910626537</v>
      </c>
      <c r="CB88" s="24">
        <f>VLOOKUP($A88,tabCustoUnit[],COLUMN(CUSTO_GLOBAL[[#Headers],[ANO DA CCT]])-2,0)</f>
        <v>45658</v>
      </c>
      <c r="CC88" s="25" t="str">
        <f>VLOOKUP($A88,tabCustoUnit[],COLUMN(CUSTO_GLOBAL[[#Headers],[Nº DE PEDIDO DA CCT]])-2,0)</f>
        <v>-</v>
      </c>
      <c r="CD88" s="25" t="str">
        <f>VLOOKUP($A88,tabCustoUnit[],COLUMN(CUSTO_GLOBAL[[#Headers],[TERMO ADITIVO  ALTERAÇÃO DA CCT]])-2,0)</f>
        <v>-</v>
      </c>
      <c r="CF88" s="22"/>
      <c r="CG88" s="22"/>
    </row>
    <row r="89" spans="1:85" x14ac:dyDescent="0.25">
      <c r="A89" s="20" t="s">
        <v>1428</v>
      </c>
      <c r="B89" t="s">
        <v>85</v>
      </c>
      <c r="C89" t="s">
        <v>1247</v>
      </c>
      <c r="D89" t="s">
        <v>1010</v>
      </c>
      <c r="E89" s="20" t="s">
        <v>9</v>
      </c>
      <c r="F89" s="20" t="s">
        <v>10</v>
      </c>
      <c r="G89" s="20">
        <v>1</v>
      </c>
      <c r="H89" s="20">
        <v>0</v>
      </c>
      <c r="I89" s="21">
        <f>VLOOKUP($A89,tabCustoUnit[],COLUMN(CUSTO_GLOBAL[[#Headers],[Salário Base]])-2,0)*($G89-$H89)</f>
        <v>544.17999999999995</v>
      </c>
      <c r="J89" s="21">
        <f>VLOOKUP($A89,tabCustoUnit[],COLUMN(CUSTO_GLOBAL[[#Headers],[Adicional Periculosidade]])-2,0)*($G89-$H89)</f>
        <v>0</v>
      </c>
      <c r="K89" s="21">
        <f>VLOOKUP($A89,tabCustoUnit[],COLUMN(CUSTO_GLOBAL[[#Headers],[Adicional Insalubridade]])-2,0)*($G89-$H89)</f>
        <v>0</v>
      </c>
      <c r="L89" s="21">
        <f>VLOOKUP($A89,tabCustoUnit[],COLUMN(CUSTO_GLOBAL[[#Headers],[Adicional Noturno]])-2,0)*($G89-$H89)</f>
        <v>0</v>
      </c>
      <c r="M89" s="21">
        <f>VLOOKUP($A89,tabCustoUnit[],COLUMN(CUSTO_GLOBAL[[#Headers],[Adicional Motorista II (Gratificação)]])-2,0)*($G89-$H89)</f>
        <v>0</v>
      </c>
      <c r="N89" s="21">
        <f>VLOOKUP($A89,tabCustoUnit[],COLUMN(CUSTO_GLOBAL[[#Headers],[Adicional de Sobreaviso]])-2,0)*($G89-$H89)</f>
        <v>0</v>
      </c>
      <c r="O89" s="21">
        <f>VLOOKUP($A89,tabCustoUnit[],COLUMN(CUSTO_GLOBAL[[#Headers],[Horas Extras TI]])-2,0)*($G89-$H89)</f>
        <v>0</v>
      </c>
      <c r="P89" s="21">
        <f>VLOOKUP($A89,tabCustoUnit[],COLUMN(CUSTO_GLOBAL[[#Headers],[Adicional de Acúmulo de função]])-2,0)*($G89-$H89)</f>
        <v>19.590499999999999</v>
      </c>
      <c r="Q89" s="21">
        <f>VLOOKUP($A89,tabCustoUnit[],COLUMN(CUSTO_GLOBAL[[#Headers],[MODULO 1 - REMUNERAÇÃO ]])-2,0)*($G89-$H89)</f>
        <v>563.77049999999997</v>
      </c>
      <c r="R89" s="21">
        <f>VLOOKUP($A89,tabCustoUnit[],COLUMN(CUSTO_GLOBAL[[#Headers],[INSS]])-2,0)*($G89-$H89)</f>
        <v>112.75409999999999</v>
      </c>
      <c r="S89" s="21">
        <f>VLOOKUP($A89,tabCustoUnit[],COLUMN(CUSTO_GLOBAL[[#Headers],[SESI OU SESC]])-2,0)*($G89-$H89)</f>
        <v>8.4565574999999988</v>
      </c>
      <c r="T89" s="21">
        <f>VLOOKUP($A89,tabCustoUnit[],COLUMN(CUSTO_GLOBAL[[#Headers],[SENAI OU SENAC]])-2,0)*($G89-$H89)</f>
        <v>5.6377049999999995</v>
      </c>
      <c r="U89" s="21">
        <f>VLOOKUP($A89,tabCustoUnit[],COLUMN(CUSTO_GLOBAL[[#Headers],[INCRA]])-2,0)*($G89-$H89)</f>
        <v>1.1275409999999999</v>
      </c>
      <c r="V89" s="21">
        <f>VLOOKUP($A89,tabCustoUnit[],COLUMN(CUSTO_GLOBAL[[#Headers],[Salário Educação]])-2,0)*($G89-$H89)</f>
        <v>14.094262499999999</v>
      </c>
      <c r="W89" s="21">
        <f>VLOOKUP($A89,tabCustoUnit[],COLUMN(CUSTO_GLOBAL[[#Headers],[FGTS]])-2,0)*($G89-$H89)</f>
        <v>45.101639999999996</v>
      </c>
      <c r="X89" s="21">
        <f>VLOOKUP($A89,tabCustoUnit[],COLUMN(CUSTO_GLOBAL[[#Headers],[RAT Ajustado]])-2,0)*($G89-$H89)</f>
        <v>22.550819999999998</v>
      </c>
      <c r="Y89" s="21">
        <f>VLOOKUP($A89,tabCustoUnit[],COLUMN(CUSTO_GLOBAL[[#Headers],[SEBRAE]])-2,0)*($G89-$H89)</f>
        <v>3.3826229999999997</v>
      </c>
      <c r="Z89" s="21">
        <f>VLOOKUP($A89,tabCustoUnit[],COLUMN(CUSTO_GLOBAL[[#Headers],[Submódulo 2.1]])-2,0)*($G89-$H89)</f>
        <v>213.10524899999996</v>
      </c>
      <c r="AA89" s="21">
        <f>VLOOKUP($A89,tabCustoUnit[],COLUMN(CUSTO_GLOBAL[[#Headers],[13º salário (titular)]])-2,0)*($G89-$H89)</f>
        <v>46.980874999999997</v>
      </c>
      <c r="AB89" s="21">
        <f>VLOOKUP($A89,tabCustoUnit[],COLUMN(CUSTO_GLOBAL[[#Headers],[Férias e Adicional de Férias (titular)]])-2,0)*($G89-$H89)</f>
        <v>62.641166666666663</v>
      </c>
      <c r="AC89" s="21">
        <f>VLOOKUP($A89,tabCustoUnit[],COLUMN(CUSTO_GLOBAL[[#Headers],[Incidência do Submódulo 2.1 sobre 13º Salário, Férias e Adicional de Férias]])-2,0)*($G89-$H89)</f>
        <v>41.437131749999992</v>
      </c>
      <c r="AD89" s="21">
        <f>VLOOKUP($A89,tabCustoUnit[],COLUMN(CUSTO_GLOBAL[[#Headers],[Submódulo 2.2]])-2,0)*($G89-$H89)</f>
        <v>151.05917341666665</v>
      </c>
      <c r="AE89" s="22">
        <f>VLOOKUP($A89,tabCustoUnit[],COLUMN(CUSTO_GLOBAL[[#Headers],[Vale - Transporte (Descontada parcela do empregado)]])-2,0)*($G89-$H89)</f>
        <v>223.3492</v>
      </c>
      <c r="AF89" s="22">
        <f>VLOOKUP($A89,tabCustoUnit[],COLUMN(CUSTO_GLOBAL[[#Headers],[Vale - Alimentação (Descontada parcela do empregado)]])-2,0)*($G89-$H89)</f>
        <v>582</v>
      </c>
      <c r="AG89" s="22">
        <f>VLOOKUP($A89,tabCustoUnit[],COLUMN(CUSTO_GLOBAL[[#Headers],[Cesta Básica]])-2,0)*($G89-$H89)</f>
        <v>0</v>
      </c>
      <c r="AH89" s="22">
        <f>VLOOKUP($A89,tabCustoUnit[],COLUMN(CUSTO_GLOBAL[[#Headers],[PAF]])-2,0)*($G89-$H89)</f>
        <v>0</v>
      </c>
      <c r="AI89" s="22">
        <f>VLOOKUP($A89,tabCustoUnit[],COLUMN(CUSTO_GLOBAL[[#Headers],[PQM]])-2,0)*($G89-$H89)</f>
        <v>0</v>
      </c>
      <c r="AJ89" s="22">
        <v>0</v>
      </c>
      <c r="AK89" s="22">
        <f>VLOOKUP($A89,tabCustoUnit[],COLUMN(CUSTO_GLOBAL[[#Headers],[Seguro de Vida]])-2,0)*($G89-$H89)</f>
        <v>3.36</v>
      </c>
      <c r="AL89" s="22">
        <f>VLOOKUP($A89,tabCustoUnit[],COLUMN(CUSTO_GLOBAL[[#Headers],[Despesas de Viagem]])-2,0)*($G89-$H89)</f>
        <v>0</v>
      </c>
      <c r="AM89" s="22">
        <f>VLOOKUP($A89,tabCustoUnit[],COLUMN(CUSTO_GLOBAL[[#Headers],[Submódulo 2.3]])-2,0)*($G89-$H89)</f>
        <v>808.70920000000001</v>
      </c>
      <c r="AN89" s="22">
        <f>VLOOKUP($A89,tabCustoUnit[],COLUMN(CUSTO_GLOBAL[[#Headers],[MÓDULO 2 - Total Encargos e Benefícios mensais e diários]])-2,0)*($G89-$H89)</f>
        <v>1172.8736224166666</v>
      </c>
      <c r="AO89" s="22">
        <f>VLOOKUP($A89,tabCustoUnit[],COLUMN(CUSTO_GLOBAL[[#Headers],[Aviso Prévio Indenizado (API) e Reflexo do Aviso Prévio Indenizado]])-2,0)*($G89-$H89)</f>
        <v>3.9530273735532404</v>
      </c>
      <c r="AP89" s="22">
        <f>VLOOKUP($A89,tabCustoUnit[],COLUMN(CUSTO_GLOBAL[[#Headers],[Incidência do FGTS sobre API e Reflexo do API]])-2,0)*($G89-$H89)</f>
        <v>0.31624218988425928</v>
      </c>
      <c r="AQ89" s="22">
        <f>VLOOKUP($A89,tabCustoUnit[],COLUMN(CUSTO_GLOBAL[[#Headers],[Multa Rescisória do FGTS sobre o Aviso Prévio Indenizado]])-2,0)*($G89-$H89)</f>
        <v>0.12649687595370371</v>
      </c>
      <c r="AR89" s="22">
        <f>VLOOKUP($A89,tabCustoUnit[],COLUMN(CUSTO_GLOBAL[[#Headers],[Aviso Prévio Trabalhado - APT]])-2,0)*($G89-$H89)</f>
        <v>1.9731967500000003</v>
      </c>
      <c r="AS89" s="22">
        <f>VLOOKUP($A89,tabCustoUnit[],COLUMN(CUSTO_GLOBAL[[#Headers],[Incidência dos encargos do submódulo 2.1 sobre Aviso Prévio Trabalhado]])-2,0)*($G89-$H89)</f>
        <v>0.74586837150000018</v>
      </c>
      <c r="AT89" s="22">
        <f>VLOOKUP($A89,tabCustoUnit[],COLUMN(CUSTO_GLOBAL[[#Headers],[Multa Rescisória do FGTS]])-2,0)*($G89-$H89)</f>
        <v>17.238849066666663</v>
      </c>
      <c r="AU89" s="22">
        <f>VLOOKUP($A89,tabCustoUnit[],COLUMN(CUSTO_GLOBAL[[#Headers],[Indenização Adicional (Art. 9º da Lei nº 7.238/84)]])-2,0)*($G89-$H89)</f>
        <v>0.46980875</v>
      </c>
      <c r="AV89" s="22">
        <f>VLOOKUP($A89,tabCustoUnit[],COLUMN(CUSTO_GLOBAL[[#Headers],[MÓDULO 3 – PROVISÃO PARA RESCISÃO]])-2,0)*($G89-$H89)</f>
        <v>24.823489377557866</v>
      </c>
      <c r="AW89" s="22">
        <f>VLOOKUP($A89,tabCustoUnit[],COLUMN(CUSTO_GLOBAL[[#Headers],[Ausência por Doença]])-2,0)*($G89-$H89)</f>
        <v>4.7607286666666662</v>
      </c>
      <c r="AX89" s="22">
        <f>VLOOKUP($A89,tabCustoUnit[],COLUMN(CUSTO_GLOBAL[[#Headers],[Ausências Legais]])-2,0)*($G89-$H89)</f>
        <v>1.1432012916666665</v>
      </c>
      <c r="AY89" s="22">
        <f>VLOOKUP($A89,tabCustoUnit[],COLUMN(CUSTO_GLOBAL[[#Headers],[Licença Paternidade]])-2,0)*($G89-$H89)</f>
        <v>9.6310793749999998E-2</v>
      </c>
      <c r="AZ89" s="22">
        <f>VLOOKUP($A89,tabCustoUnit[],COLUMN(CUSTO_GLOBAL[[#Headers],[Ausência por Acidente de Trabalho]])-2,0)*($G89-$H89)</f>
        <v>0.1174521875</v>
      </c>
      <c r="BA89" s="22">
        <f>VLOOKUP($A89,tabCustoUnit[],COLUMN(CUSTO_GLOBAL[[#Headers],[Férias, Adicional de Férias e 13º  com empregada em gozo de Licença Maternidade]])-2,0)*($G89-$H89)</f>
        <v>0.73081361111111109</v>
      </c>
      <c r="BB89" s="22">
        <f>VLOOKUP($A89,tabCustoUnit[],COLUMN(CUSTO_GLOBAL[[#Headers],[Incidência do Submódulo 2.1 sobre Ausências Legais]])-2,0)*($G89-$H89)</f>
        <v>2.5887354761625003</v>
      </c>
      <c r="BC89" s="22">
        <f>VLOOKUP($A89,tabCustoUnit[],COLUMN(CUSTO_GLOBAL[[#Headers],[Submódulo 4.1]])-2,0)*($G89-$H89)</f>
        <v>9.4372420268569428</v>
      </c>
      <c r="BD89" s="22">
        <f>VLOOKUP($A89,tabCustoUnit[],COLUMN(CUSTO_GLOBAL[[#Headers],[Intervalo para Repouso ou Alimentação]])-2,0)*($G89-$H89)</f>
        <v>0</v>
      </c>
      <c r="BE89" s="22">
        <f>VLOOKUP($A89,tabCustoUnit[],COLUMN(CUSTO_GLOBAL[[#Headers],[Submódulo 4.2]])-2,0)*($G89-$H89)</f>
        <v>0</v>
      </c>
      <c r="BF89" s="22">
        <f>VLOOKUP($A89,tabCustoUnit[],COLUMN(CUSTO_GLOBAL[[#Headers],[Suspensão Temporária do Contrato de Trabalho]])-2,0)*($G89-$H89)</f>
        <v>0</v>
      </c>
      <c r="BG89" s="22">
        <f>VLOOKUP($A89,tabCustoUnit[],COLUMN(CUSTO_GLOBAL[[#Headers],[Submódulo 4.3]])-2,0)*($G89-$H89)</f>
        <v>0</v>
      </c>
      <c r="BH89" s="22">
        <f>VLOOKUP($A89,tabCustoUnit[],COLUMN(CUSTO_GLOBAL[[#Headers],[MÓDULO 4 – CUSTO DE REPOSIÇÃO DO PROFISSIONAL AUSENTE]])-2,0)*($G89-$H89)</f>
        <v>9.4372420268569428</v>
      </c>
      <c r="BI89" s="22">
        <f>VLOOKUP($A89,tabCustoUnit[],COLUMN(CUSTO_GLOBAL[[#Headers],[Uniformes e EPIs]])-2,0)*($G89-$H89)</f>
        <v>62.806666666666665</v>
      </c>
      <c r="BJ89" s="22">
        <f>VLOOKUP($A89,tabCustoUnit[],COLUMN(CUSTO_GLOBAL[[#Headers],[Materiais de Consumo]])-2,0)*($G89-$H89)</f>
        <v>12.108481690426325</v>
      </c>
      <c r="BK89" s="22">
        <f>VLOOKUP($A89,tabCustoUnit[],COLUMN(CUSTO_GLOBAL[[#Headers],[Máquinas e Equipamentos (depreciação)]])-2,0)*($G89-$H89)</f>
        <v>21.998657016417809</v>
      </c>
      <c r="BL89" s="22">
        <f>VLOOKUP($A89,tabCustoUnit[],COLUMN(CUSTO_GLOBAL[[#Headers],[Produtos de Limpeza e Materiais de Higiene Pessoal]])-2,0)*($G89-$H89)</f>
        <v>235.31984072022155</v>
      </c>
      <c r="BM89" s="22">
        <f>VLOOKUP($A89,tabCustoUnit[],COLUMN(CUSTO_GLOBAL[[#Headers],[Outros (especificar)]])-2,0)*($G89-$H89)</f>
        <v>0</v>
      </c>
      <c r="BN89" s="22">
        <f>VLOOKUP($A89,tabCustoUnit[],COLUMN(CUSTO_GLOBAL[[#Headers],[MÓDULO 5 – INSUMOS DIVERSOS]])-2,0)*($G89-$H89)</f>
        <v>332.23364609373232</v>
      </c>
      <c r="BO89" s="22">
        <f>VLOOKUP($A89,tabCustoUnit[],COLUMN(CUSTO_GLOBAL[[#Headers],[TOTAL MÓDULOS 1+2+3+4+5]])-2,0)*($G89-$H89)</f>
        <v>2103.1384999148136</v>
      </c>
      <c r="BP89" s="22">
        <f>VLOOKUP($A89,tabCustoUnit[],COLUMN(CUSTO_GLOBAL[[#Headers],[Custos Indiretos]])-2,0)*($G89-$H89)</f>
        <v>189.64880140242613</v>
      </c>
      <c r="BQ89" s="22">
        <f>VLOOKUP($A89,tabCustoUnit[],COLUMN(CUSTO_GLOBAL[[#Headers],[Lucro]])-2,0)*($G89-$H89)</f>
        <v>159.30499317803796</v>
      </c>
      <c r="BR89" s="26">
        <f>VLOOKUP($A89,tabCustoUnit[],COLUMN(CUSTO_GLOBAL[[#Headers],[COFINS]])-2,0)</f>
        <v>8.5633802816901458E-2</v>
      </c>
      <c r="BS89" s="26">
        <f>VLOOKUP($A89,tabCustoUnit[],COLUMN(CUSTO_GLOBAL[[#Headers],[PIS]])-2,0)</f>
        <v>1.8591549295774657E-2</v>
      </c>
      <c r="BT89" s="28">
        <f>VLOOKUP($A89,tabCustoUnit[],COLUMN(CUSTO_GLOBAL[[#Headers],[ISS]])-2,0)</f>
        <v>0.02</v>
      </c>
      <c r="BU89" s="26">
        <f>VLOOKUP($A89,tabCustoUnit[],COLUMN(CUSTO_GLOBAL[[#Headers],[ISS (Conversão Alíquota s/ fatura)]])-2,0)</f>
        <v>2.2535211267605645E-2</v>
      </c>
      <c r="BV89" s="26">
        <f>VLOOKUP($A89,tabCustoUnit[],COLUMN(CUSTO_GLOBAL[[#Headers],[Resumo de Alíquotas (PIS+CONFINS+ISS)]])-2,0)</f>
        <v>0.1125</v>
      </c>
      <c r="BW89" s="138">
        <f>VLOOKUP($A89,tabCustoUnit[],COLUMN(CUSTO_GLOBAL[[#Headers],[PIS + COFINS + ISS (Total Conversão  Alíquota s/ Fatura)]])-2,0)</f>
        <v>0.12676056338028174</v>
      </c>
      <c r="BX89" s="22">
        <f>VLOOKUP($A89,tabCustoUnit[],COLUMN(CUSTO_GLOBAL[[#Headers],[Valor dos Tributos (ISS, PIS, CONFINS)]])-2,0)*($G89-$H89)</f>
        <v>310.82860071066915</v>
      </c>
      <c r="BY89" s="22">
        <f>VLOOKUP($A89,tabCustoUnit[],COLUMN(CUSTO_GLOBAL[[#Headers],[MÓDULO 6 – CUSTOS INDIRETOS, TRIBUTOS E LUCRO]])-2,0)*($G89-$H89)</f>
        <v>659.7823952911333</v>
      </c>
      <c r="BZ89" s="22">
        <f>VLOOKUP($A89,tabCustoUnit[],COLUMN(CUSTO_GLOBAL[[#Headers],[CUSTO TOTAL MENSAL]])-2,0)*($G89-$H89)</f>
        <v>2762.9208952059471</v>
      </c>
      <c r="CA89" s="22">
        <f>CUSTO_GLOBAL[[#This Row],[CUSTO TOTAL MENSAL]]*12</f>
        <v>33155.050742471365</v>
      </c>
      <c r="CB89" s="24">
        <f>VLOOKUP($A89,tabCustoUnit[],COLUMN(CUSTO_GLOBAL[[#Headers],[ANO DA CCT]])-2,0)</f>
        <v>45658</v>
      </c>
      <c r="CC89" s="25" t="str">
        <f>VLOOKUP($A89,tabCustoUnit[],COLUMN(CUSTO_GLOBAL[[#Headers],[Nº DE PEDIDO DA CCT]])-2,0)</f>
        <v>-</v>
      </c>
      <c r="CD89" s="25" t="str">
        <f>VLOOKUP($A89,tabCustoUnit[],COLUMN(CUSTO_GLOBAL[[#Headers],[TERMO ADITIVO  ALTERAÇÃO DA CCT]])-2,0)</f>
        <v>-</v>
      </c>
      <c r="CF89" s="22"/>
      <c r="CG89" s="22"/>
    </row>
    <row r="90" spans="1:85" x14ac:dyDescent="0.25">
      <c r="A90" s="20" t="s">
        <v>1429</v>
      </c>
      <c r="B90" t="s">
        <v>86</v>
      </c>
      <c r="C90" t="s">
        <v>1247</v>
      </c>
      <c r="D90" t="s">
        <v>1023</v>
      </c>
      <c r="E90" s="20" t="s">
        <v>9</v>
      </c>
      <c r="F90" s="20" t="s">
        <v>10</v>
      </c>
      <c r="G90" s="20">
        <v>1</v>
      </c>
      <c r="H90" s="20">
        <v>0</v>
      </c>
      <c r="I90" s="21">
        <f>VLOOKUP($A90,tabCustoUnit[],COLUMN(CUSTO_GLOBAL[[#Headers],[Salário Base]])-2,0)*($G90-$H90)</f>
        <v>544.17999999999995</v>
      </c>
      <c r="J90" s="21">
        <f>VLOOKUP($A90,tabCustoUnit[],COLUMN(CUSTO_GLOBAL[[#Headers],[Adicional Periculosidade]])-2,0)*($G90-$H90)</f>
        <v>0</v>
      </c>
      <c r="K90" s="21">
        <f>VLOOKUP($A90,tabCustoUnit[],COLUMN(CUSTO_GLOBAL[[#Headers],[Adicional Insalubridade]])-2,0)*($G90-$H90)</f>
        <v>0</v>
      </c>
      <c r="L90" s="21">
        <f>VLOOKUP($A90,tabCustoUnit[],COLUMN(CUSTO_GLOBAL[[#Headers],[Adicional Noturno]])-2,0)*($G90-$H90)</f>
        <v>0</v>
      </c>
      <c r="M90" s="21">
        <f>VLOOKUP($A90,tabCustoUnit[],COLUMN(CUSTO_GLOBAL[[#Headers],[Adicional Motorista II (Gratificação)]])-2,0)*($G90-$H90)</f>
        <v>0</v>
      </c>
      <c r="N90" s="21">
        <f>VLOOKUP($A90,tabCustoUnit[],COLUMN(CUSTO_GLOBAL[[#Headers],[Adicional de Sobreaviso]])-2,0)*($G90-$H90)</f>
        <v>0</v>
      </c>
      <c r="O90" s="21">
        <f>VLOOKUP($A90,tabCustoUnit[],COLUMN(CUSTO_GLOBAL[[#Headers],[Horas Extras TI]])-2,0)*($G90-$H90)</f>
        <v>0</v>
      </c>
      <c r="P90" s="21">
        <f>VLOOKUP($A90,tabCustoUnit[],COLUMN(CUSTO_GLOBAL[[#Headers],[Adicional de Acúmulo de função]])-2,0)*($G90-$H90)</f>
        <v>19.590499999999999</v>
      </c>
      <c r="Q90" s="21">
        <f>VLOOKUP($A90,tabCustoUnit[],COLUMN(CUSTO_GLOBAL[[#Headers],[MODULO 1 - REMUNERAÇÃO ]])-2,0)*($G90-$H90)</f>
        <v>563.77049999999997</v>
      </c>
      <c r="R90" s="21">
        <f>VLOOKUP($A90,tabCustoUnit[],COLUMN(CUSTO_GLOBAL[[#Headers],[INSS]])-2,0)*($G90-$H90)</f>
        <v>112.75409999999999</v>
      </c>
      <c r="S90" s="21">
        <f>VLOOKUP($A90,tabCustoUnit[],COLUMN(CUSTO_GLOBAL[[#Headers],[SESI OU SESC]])-2,0)*($G90-$H90)</f>
        <v>8.4565574999999988</v>
      </c>
      <c r="T90" s="21">
        <f>VLOOKUP($A90,tabCustoUnit[],COLUMN(CUSTO_GLOBAL[[#Headers],[SENAI OU SENAC]])-2,0)*($G90-$H90)</f>
        <v>5.6377049999999995</v>
      </c>
      <c r="U90" s="21">
        <f>VLOOKUP($A90,tabCustoUnit[],COLUMN(CUSTO_GLOBAL[[#Headers],[INCRA]])-2,0)*($G90-$H90)</f>
        <v>1.1275409999999999</v>
      </c>
      <c r="V90" s="21">
        <f>VLOOKUP($A90,tabCustoUnit[],COLUMN(CUSTO_GLOBAL[[#Headers],[Salário Educação]])-2,0)*($G90-$H90)</f>
        <v>14.094262499999999</v>
      </c>
      <c r="W90" s="21">
        <f>VLOOKUP($A90,tabCustoUnit[],COLUMN(CUSTO_GLOBAL[[#Headers],[FGTS]])-2,0)*($G90-$H90)</f>
        <v>45.101639999999996</v>
      </c>
      <c r="X90" s="21">
        <f>VLOOKUP($A90,tabCustoUnit[],COLUMN(CUSTO_GLOBAL[[#Headers],[RAT Ajustado]])-2,0)*($G90-$H90)</f>
        <v>22.550819999999998</v>
      </c>
      <c r="Y90" s="21">
        <f>VLOOKUP($A90,tabCustoUnit[],COLUMN(CUSTO_GLOBAL[[#Headers],[SEBRAE]])-2,0)*($G90-$H90)</f>
        <v>3.3826229999999997</v>
      </c>
      <c r="Z90" s="21">
        <f>VLOOKUP($A90,tabCustoUnit[],COLUMN(CUSTO_GLOBAL[[#Headers],[Submódulo 2.1]])-2,0)*($G90-$H90)</f>
        <v>213.10524899999996</v>
      </c>
      <c r="AA90" s="21">
        <f>VLOOKUP($A90,tabCustoUnit[],COLUMN(CUSTO_GLOBAL[[#Headers],[13º salário (titular)]])-2,0)*($G90-$H90)</f>
        <v>46.980874999999997</v>
      </c>
      <c r="AB90" s="21">
        <f>VLOOKUP($A90,tabCustoUnit[],COLUMN(CUSTO_GLOBAL[[#Headers],[Férias e Adicional de Férias (titular)]])-2,0)*($G90-$H90)</f>
        <v>62.641166666666663</v>
      </c>
      <c r="AC90" s="21">
        <f>VLOOKUP($A90,tabCustoUnit[],COLUMN(CUSTO_GLOBAL[[#Headers],[Incidência do Submódulo 2.1 sobre 13º Salário, Férias e Adicional de Férias]])-2,0)*($G90-$H90)</f>
        <v>41.437131749999992</v>
      </c>
      <c r="AD90" s="21">
        <f>VLOOKUP($A90,tabCustoUnit[],COLUMN(CUSTO_GLOBAL[[#Headers],[Submódulo 2.2]])-2,0)*($G90-$H90)</f>
        <v>151.05917341666665</v>
      </c>
      <c r="AE90" s="22">
        <f>VLOOKUP($A90,tabCustoUnit[],COLUMN(CUSTO_GLOBAL[[#Headers],[Vale - Transporte (Descontada parcela do empregado)]])-2,0)*($G90-$H90)</f>
        <v>223.3492</v>
      </c>
      <c r="AF90" s="22">
        <f>VLOOKUP($A90,tabCustoUnit[],COLUMN(CUSTO_GLOBAL[[#Headers],[Vale - Alimentação (Descontada parcela do empregado)]])-2,0)*($G90-$H90)</f>
        <v>582</v>
      </c>
      <c r="AG90" s="22">
        <f>VLOOKUP($A90,tabCustoUnit[],COLUMN(CUSTO_GLOBAL[[#Headers],[Cesta Básica]])-2,0)*($G90-$H90)</f>
        <v>0</v>
      </c>
      <c r="AH90" s="22">
        <f>VLOOKUP($A90,tabCustoUnit[],COLUMN(CUSTO_GLOBAL[[#Headers],[PAF]])-2,0)*($G90-$H90)</f>
        <v>0</v>
      </c>
      <c r="AI90" s="22">
        <f>VLOOKUP($A90,tabCustoUnit[],COLUMN(CUSTO_GLOBAL[[#Headers],[PQM]])-2,0)*($G90-$H90)</f>
        <v>0</v>
      </c>
      <c r="AJ90" s="22">
        <v>0</v>
      </c>
      <c r="AK90" s="22">
        <f>VLOOKUP($A90,tabCustoUnit[],COLUMN(CUSTO_GLOBAL[[#Headers],[Seguro de Vida]])-2,0)*($G90-$H90)</f>
        <v>3.36</v>
      </c>
      <c r="AL90" s="22">
        <f>VLOOKUP($A90,tabCustoUnit[],COLUMN(CUSTO_GLOBAL[[#Headers],[Despesas de Viagem]])-2,0)*($G90-$H90)</f>
        <v>0</v>
      </c>
      <c r="AM90" s="22">
        <f>VLOOKUP($A90,tabCustoUnit[],COLUMN(CUSTO_GLOBAL[[#Headers],[Submódulo 2.3]])-2,0)*($G90-$H90)</f>
        <v>808.70920000000001</v>
      </c>
      <c r="AN90" s="22">
        <f>VLOOKUP($A90,tabCustoUnit[],COLUMN(CUSTO_GLOBAL[[#Headers],[MÓDULO 2 - Total Encargos e Benefícios mensais e diários]])-2,0)*($G90-$H90)</f>
        <v>1172.8736224166666</v>
      </c>
      <c r="AO90" s="22">
        <f>VLOOKUP($A90,tabCustoUnit[],COLUMN(CUSTO_GLOBAL[[#Headers],[Aviso Prévio Indenizado (API) e Reflexo do Aviso Prévio Indenizado]])-2,0)*($G90-$H90)</f>
        <v>3.9530273735532404</v>
      </c>
      <c r="AP90" s="22">
        <f>VLOOKUP($A90,tabCustoUnit[],COLUMN(CUSTO_GLOBAL[[#Headers],[Incidência do FGTS sobre API e Reflexo do API]])-2,0)*($G90-$H90)</f>
        <v>0.31624218988425928</v>
      </c>
      <c r="AQ90" s="22">
        <f>VLOOKUP($A90,tabCustoUnit[],COLUMN(CUSTO_GLOBAL[[#Headers],[Multa Rescisória do FGTS sobre o Aviso Prévio Indenizado]])-2,0)*($G90-$H90)</f>
        <v>0.12649687595370371</v>
      </c>
      <c r="AR90" s="22">
        <f>VLOOKUP($A90,tabCustoUnit[],COLUMN(CUSTO_GLOBAL[[#Headers],[Aviso Prévio Trabalhado - APT]])-2,0)*($G90-$H90)</f>
        <v>1.9731967500000003</v>
      </c>
      <c r="AS90" s="22">
        <f>VLOOKUP($A90,tabCustoUnit[],COLUMN(CUSTO_GLOBAL[[#Headers],[Incidência dos encargos do submódulo 2.1 sobre Aviso Prévio Trabalhado]])-2,0)*($G90-$H90)</f>
        <v>0.74586837150000018</v>
      </c>
      <c r="AT90" s="22">
        <f>VLOOKUP($A90,tabCustoUnit[],COLUMN(CUSTO_GLOBAL[[#Headers],[Multa Rescisória do FGTS]])-2,0)*($G90-$H90)</f>
        <v>17.238849066666663</v>
      </c>
      <c r="AU90" s="22">
        <f>VLOOKUP($A90,tabCustoUnit[],COLUMN(CUSTO_GLOBAL[[#Headers],[Indenização Adicional (Art. 9º da Lei nº 7.238/84)]])-2,0)*($G90-$H90)</f>
        <v>0.46980875</v>
      </c>
      <c r="AV90" s="22">
        <f>VLOOKUP($A90,tabCustoUnit[],COLUMN(CUSTO_GLOBAL[[#Headers],[MÓDULO 3 – PROVISÃO PARA RESCISÃO]])-2,0)*($G90-$H90)</f>
        <v>24.823489377557866</v>
      </c>
      <c r="AW90" s="22">
        <f>VLOOKUP($A90,tabCustoUnit[],COLUMN(CUSTO_GLOBAL[[#Headers],[Ausência por Doença]])-2,0)*($G90-$H90)</f>
        <v>4.7607286666666662</v>
      </c>
      <c r="AX90" s="22">
        <f>VLOOKUP($A90,tabCustoUnit[],COLUMN(CUSTO_GLOBAL[[#Headers],[Ausências Legais]])-2,0)*($G90-$H90)</f>
        <v>1.1432012916666665</v>
      </c>
      <c r="AY90" s="22">
        <f>VLOOKUP($A90,tabCustoUnit[],COLUMN(CUSTO_GLOBAL[[#Headers],[Licença Paternidade]])-2,0)*($G90-$H90)</f>
        <v>9.6310793749999998E-2</v>
      </c>
      <c r="AZ90" s="22">
        <f>VLOOKUP($A90,tabCustoUnit[],COLUMN(CUSTO_GLOBAL[[#Headers],[Ausência por Acidente de Trabalho]])-2,0)*($G90-$H90)</f>
        <v>0.1174521875</v>
      </c>
      <c r="BA90" s="22">
        <f>VLOOKUP($A90,tabCustoUnit[],COLUMN(CUSTO_GLOBAL[[#Headers],[Férias, Adicional de Férias e 13º  com empregada em gozo de Licença Maternidade]])-2,0)*($G90-$H90)</f>
        <v>0.73081361111111109</v>
      </c>
      <c r="BB90" s="22">
        <f>VLOOKUP($A90,tabCustoUnit[],COLUMN(CUSTO_GLOBAL[[#Headers],[Incidência do Submódulo 2.1 sobre Ausências Legais]])-2,0)*($G90-$H90)</f>
        <v>2.5887354761625003</v>
      </c>
      <c r="BC90" s="22">
        <f>VLOOKUP($A90,tabCustoUnit[],COLUMN(CUSTO_GLOBAL[[#Headers],[Submódulo 4.1]])-2,0)*($G90-$H90)</f>
        <v>9.4372420268569428</v>
      </c>
      <c r="BD90" s="22">
        <f>VLOOKUP($A90,tabCustoUnit[],COLUMN(CUSTO_GLOBAL[[#Headers],[Intervalo para Repouso ou Alimentação]])-2,0)*($G90-$H90)</f>
        <v>0</v>
      </c>
      <c r="BE90" s="22">
        <f>VLOOKUP($A90,tabCustoUnit[],COLUMN(CUSTO_GLOBAL[[#Headers],[Submódulo 4.2]])-2,0)*($G90-$H90)</f>
        <v>0</v>
      </c>
      <c r="BF90" s="22">
        <f>VLOOKUP($A90,tabCustoUnit[],COLUMN(CUSTO_GLOBAL[[#Headers],[Suspensão Temporária do Contrato de Trabalho]])-2,0)*($G90-$H90)</f>
        <v>0</v>
      </c>
      <c r="BG90" s="22">
        <f>VLOOKUP($A90,tabCustoUnit[],COLUMN(CUSTO_GLOBAL[[#Headers],[Submódulo 4.3]])-2,0)*($G90-$H90)</f>
        <v>0</v>
      </c>
      <c r="BH90" s="22">
        <f>VLOOKUP($A90,tabCustoUnit[],COLUMN(CUSTO_GLOBAL[[#Headers],[MÓDULO 4 – CUSTO DE REPOSIÇÃO DO PROFISSIONAL AUSENTE]])-2,0)*($G90-$H90)</f>
        <v>9.4372420268569428</v>
      </c>
      <c r="BI90" s="22">
        <f>VLOOKUP($A90,tabCustoUnit[],COLUMN(CUSTO_GLOBAL[[#Headers],[Uniformes e EPIs]])-2,0)*($G90-$H90)</f>
        <v>62.806666666666665</v>
      </c>
      <c r="BJ90" s="22">
        <f>VLOOKUP($A90,tabCustoUnit[],COLUMN(CUSTO_GLOBAL[[#Headers],[Materiais de Consumo]])-2,0)*($G90-$H90)</f>
        <v>12.108481690426325</v>
      </c>
      <c r="BK90" s="22">
        <f>VLOOKUP($A90,tabCustoUnit[],COLUMN(CUSTO_GLOBAL[[#Headers],[Máquinas e Equipamentos (depreciação)]])-2,0)*($G90-$H90)</f>
        <v>21.998657016417809</v>
      </c>
      <c r="BL90" s="22">
        <f>VLOOKUP($A90,tabCustoUnit[],COLUMN(CUSTO_GLOBAL[[#Headers],[Produtos de Limpeza e Materiais de Higiene Pessoal]])-2,0)*($G90-$H90)</f>
        <v>235.31984072022155</v>
      </c>
      <c r="BM90" s="22">
        <f>VLOOKUP($A90,tabCustoUnit[],COLUMN(CUSTO_GLOBAL[[#Headers],[Outros (especificar)]])-2,0)*($G90-$H90)</f>
        <v>0</v>
      </c>
      <c r="BN90" s="22">
        <f>VLOOKUP($A90,tabCustoUnit[],COLUMN(CUSTO_GLOBAL[[#Headers],[MÓDULO 5 – INSUMOS DIVERSOS]])-2,0)*($G90-$H90)</f>
        <v>332.23364609373232</v>
      </c>
      <c r="BO90" s="22">
        <f>VLOOKUP($A90,tabCustoUnit[],COLUMN(CUSTO_GLOBAL[[#Headers],[TOTAL MÓDULOS 1+2+3+4+5]])-2,0)*($G90-$H90)</f>
        <v>2103.1384999148136</v>
      </c>
      <c r="BP90" s="22">
        <f>VLOOKUP($A90,tabCustoUnit[],COLUMN(CUSTO_GLOBAL[[#Headers],[Custos Indiretos]])-2,0)*($G90-$H90)</f>
        <v>189.64880140242613</v>
      </c>
      <c r="BQ90" s="22">
        <f>VLOOKUP($A90,tabCustoUnit[],COLUMN(CUSTO_GLOBAL[[#Headers],[Lucro]])-2,0)*($G90-$H90)</f>
        <v>159.30499317803796</v>
      </c>
      <c r="BR90" s="26">
        <f>VLOOKUP($A90,tabCustoUnit[],COLUMN(CUSTO_GLOBAL[[#Headers],[COFINS]])-2,0)</f>
        <v>8.8629737609329504E-2</v>
      </c>
      <c r="BS90" s="26">
        <f>VLOOKUP($A90,tabCustoUnit[],COLUMN(CUSTO_GLOBAL[[#Headers],[PIS]])-2,0)</f>
        <v>1.9241982507288629E-2</v>
      </c>
      <c r="BT90" s="28">
        <f>VLOOKUP($A90,tabCustoUnit[],COLUMN(CUSTO_GLOBAL[[#Headers],[ISS]])-2,0)</f>
        <v>0.05</v>
      </c>
      <c r="BU90" s="26">
        <f>VLOOKUP($A90,tabCustoUnit[],COLUMN(CUSTO_GLOBAL[[#Headers],[ISS (Conversão Alíquota s/ fatura)]])-2,0)</f>
        <v>5.8309037900874633E-2</v>
      </c>
      <c r="BV90" s="26">
        <f>VLOOKUP($A90,tabCustoUnit[],COLUMN(CUSTO_GLOBAL[[#Headers],[Resumo de Alíquotas (PIS+CONFINS+ISS)]])-2,0)</f>
        <v>0.14250000000000002</v>
      </c>
      <c r="BW90" s="138">
        <f>VLOOKUP($A90,tabCustoUnit[],COLUMN(CUSTO_GLOBAL[[#Headers],[PIS + COFINS + ISS (Total Conversão  Alíquota s/ Fatura)]])-2,0)</f>
        <v>0.16618075801749277</v>
      </c>
      <c r="BX90" s="22">
        <f>VLOOKUP($A90,tabCustoUnit[],COLUMN(CUSTO_GLOBAL[[#Headers],[Valor dos Tributos (ISS, PIS, CONFINS)]])-2,0)*($G90-$H90)</f>
        <v>407.49055622807833</v>
      </c>
      <c r="BY90" s="22">
        <f>VLOOKUP($A90,tabCustoUnit[],COLUMN(CUSTO_GLOBAL[[#Headers],[MÓDULO 6 – CUSTOS INDIRETOS, TRIBUTOS E LUCRO]])-2,0)*($G90-$H90)</f>
        <v>756.44435080854237</v>
      </c>
      <c r="BZ90" s="22">
        <f>VLOOKUP($A90,tabCustoUnit[],COLUMN(CUSTO_GLOBAL[[#Headers],[CUSTO TOTAL MENSAL]])-2,0)*($G90-$H90)</f>
        <v>2859.5828507233559</v>
      </c>
      <c r="CA90" s="22">
        <f>CUSTO_GLOBAL[[#This Row],[CUSTO TOTAL MENSAL]]*12</f>
        <v>34314.994208680269</v>
      </c>
      <c r="CB90" s="24">
        <f>VLOOKUP($A90,tabCustoUnit[],COLUMN(CUSTO_GLOBAL[[#Headers],[ANO DA CCT]])-2,0)</f>
        <v>45658</v>
      </c>
      <c r="CC90" s="25" t="str">
        <f>VLOOKUP($A90,tabCustoUnit[],COLUMN(CUSTO_GLOBAL[[#Headers],[Nº DE PEDIDO DA CCT]])-2,0)</f>
        <v>-</v>
      </c>
      <c r="CD90" s="25" t="str">
        <f>VLOOKUP($A90,tabCustoUnit[],COLUMN(CUSTO_GLOBAL[[#Headers],[TERMO ADITIVO  ALTERAÇÃO DA CCT]])-2,0)</f>
        <v>-</v>
      </c>
      <c r="CF90" s="22"/>
      <c r="CG90" s="22"/>
    </row>
    <row r="91" spans="1:85" x14ac:dyDescent="0.25">
      <c r="A91" s="20" t="s">
        <v>1430</v>
      </c>
      <c r="B91" t="s">
        <v>87</v>
      </c>
      <c r="C91" t="s">
        <v>1247</v>
      </c>
      <c r="D91" t="s">
        <v>1050</v>
      </c>
      <c r="E91" s="20" t="s">
        <v>9</v>
      </c>
      <c r="F91" s="20" t="s">
        <v>10</v>
      </c>
      <c r="G91" s="20">
        <v>1</v>
      </c>
      <c r="H91" s="20">
        <v>0</v>
      </c>
      <c r="I91" s="21">
        <f>VLOOKUP($A91,tabCustoUnit[],COLUMN(CUSTO_GLOBAL[[#Headers],[Salário Base]])-2,0)*($G91-$H91)</f>
        <v>544.17999999999995</v>
      </c>
      <c r="J91" s="21">
        <f>VLOOKUP($A91,tabCustoUnit[],COLUMN(CUSTO_GLOBAL[[#Headers],[Adicional Periculosidade]])-2,0)*($G91-$H91)</f>
        <v>0</v>
      </c>
      <c r="K91" s="21">
        <f>VLOOKUP($A91,tabCustoUnit[],COLUMN(CUSTO_GLOBAL[[#Headers],[Adicional Insalubridade]])-2,0)*($G91-$H91)</f>
        <v>0</v>
      </c>
      <c r="L91" s="21">
        <f>VLOOKUP($A91,tabCustoUnit[],COLUMN(CUSTO_GLOBAL[[#Headers],[Adicional Noturno]])-2,0)*($G91-$H91)</f>
        <v>0</v>
      </c>
      <c r="M91" s="21">
        <f>VLOOKUP($A91,tabCustoUnit[],COLUMN(CUSTO_GLOBAL[[#Headers],[Adicional Motorista II (Gratificação)]])-2,0)*($G91-$H91)</f>
        <v>0</v>
      </c>
      <c r="N91" s="21">
        <f>VLOOKUP($A91,tabCustoUnit[],COLUMN(CUSTO_GLOBAL[[#Headers],[Adicional de Sobreaviso]])-2,0)*($G91-$H91)</f>
        <v>0</v>
      </c>
      <c r="O91" s="21">
        <f>VLOOKUP($A91,tabCustoUnit[],COLUMN(CUSTO_GLOBAL[[#Headers],[Horas Extras TI]])-2,0)*($G91-$H91)</f>
        <v>0</v>
      </c>
      <c r="P91" s="21">
        <f>VLOOKUP($A91,tabCustoUnit[],COLUMN(CUSTO_GLOBAL[[#Headers],[Adicional de Acúmulo de função]])-2,0)*($G91-$H91)</f>
        <v>19.590499999999999</v>
      </c>
      <c r="Q91" s="21">
        <f>VLOOKUP($A91,tabCustoUnit[],COLUMN(CUSTO_GLOBAL[[#Headers],[MODULO 1 - REMUNERAÇÃO ]])-2,0)*($G91-$H91)</f>
        <v>563.77049999999997</v>
      </c>
      <c r="R91" s="21">
        <f>VLOOKUP($A91,tabCustoUnit[],COLUMN(CUSTO_GLOBAL[[#Headers],[INSS]])-2,0)*($G91-$H91)</f>
        <v>112.75409999999999</v>
      </c>
      <c r="S91" s="21">
        <f>VLOOKUP($A91,tabCustoUnit[],COLUMN(CUSTO_GLOBAL[[#Headers],[SESI OU SESC]])-2,0)*($G91-$H91)</f>
        <v>8.4565574999999988</v>
      </c>
      <c r="T91" s="21">
        <f>VLOOKUP($A91,tabCustoUnit[],COLUMN(CUSTO_GLOBAL[[#Headers],[SENAI OU SENAC]])-2,0)*($G91-$H91)</f>
        <v>5.6377049999999995</v>
      </c>
      <c r="U91" s="21">
        <f>VLOOKUP($A91,tabCustoUnit[],COLUMN(CUSTO_GLOBAL[[#Headers],[INCRA]])-2,0)*($G91-$H91)</f>
        <v>1.1275409999999999</v>
      </c>
      <c r="V91" s="21">
        <f>VLOOKUP($A91,tabCustoUnit[],COLUMN(CUSTO_GLOBAL[[#Headers],[Salário Educação]])-2,0)*($G91-$H91)</f>
        <v>14.094262499999999</v>
      </c>
      <c r="W91" s="21">
        <f>VLOOKUP($A91,tabCustoUnit[],COLUMN(CUSTO_GLOBAL[[#Headers],[FGTS]])-2,0)*($G91-$H91)</f>
        <v>45.101639999999996</v>
      </c>
      <c r="X91" s="21">
        <f>VLOOKUP($A91,tabCustoUnit[],COLUMN(CUSTO_GLOBAL[[#Headers],[RAT Ajustado]])-2,0)*($G91-$H91)</f>
        <v>22.550819999999998</v>
      </c>
      <c r="Y91" s="21">
        <f>VLOOKUP($A91,tabCustoUnit[],COLUMN(CUSTO_GLOBAL[[#Headers],[SEBRAE]])-2,0)*($G91-$H91)</f>
        <v>3.3826229999999997</v>
      </c>
      <c r="Z91" s="21">
        <f>VLOOKUP($A91,tabCustoUnit[],COLUMN(CUSTO_GLOBAL[[#Headers],[Submódulo 2.1]])-2,0)*($G91-$H91)</f>
        <v>213.10524899999996</v>
      </c>
      <c r="AA91" s="21">
        <f>VLOOKUP($A91,tabCustoUnit[],COLUMN(CUSTO_GLOBAL[[#Headers],[13º salário (titular)]])-2,0)*($G91-$H91)</f>
        <v>46.980874999999997</v>
      </c>
      <c r="AB91" s="21">
        <f>VLOOKUP($A91,tabCustoUnit[],COLUMN(CUSTO_GLOBAL[[#Headers],[Férias e Adicional de Férias (titular)]])-2,0)*($G91-$H91)</f>
        <v>62.641166666666663</v>
      </c>
      <c r="AC91" s="21">
        <f>VLOOKUP($A91,tabCustoUnit[],COLUMN(CUSTO_GLOBAL[[#Headers],[Incidência do Submódulo 2.1 sobre 13º Salário, Férias e Adicional de Férias]])-2,0)*($G91-$H91)</f>
        <v>41.437131749999992</v>
      </c>
      <c r="AD91" s="21">
        <f>VLOOKUP($A91,tabCustoUnit[],COLUMN(CUSTO_GLOBAL[[#Headers],[Submódulo 2.2]])-2,0)*($G91-$H91)</f>
        <v>151.05917341666665</v>
      </c>
      <c r="AE91" s="22">
        <f>VLOOKUP($A91,tabCustoUnit[],COLUMN(CUSTO_GLOBAL[[#Headers],[Vale - Transporte (Descontada parcela do empregado)]])-2,0)*($G91-$H91)</f>
        <v>223.3492</v>
      </c>
      <c r="AF91" s="22">
        <f>VLOOKUP($A91,tabCustoUnit[],COLUMN(CUSTO_GLOBAL[[#Headers],[Vale - Alimentação (Descontada parcela do empregado)]])-2,0)*($G91-$H91)</f>
        <v>582</v>
      </c>
      <c r="AG91" s="22">
        <f>VLOOKUP($A91,tabCustoUnit[],COLUMN(CUSTO_GLOBAL[[#Headers],[Cesta Básica]])-2,0)*($G91-$H91)</f>
        <v>0</v>
      </c>
      <c r="AH91" s="22">
        <f>VLOOKUP($A91,tabCustoUnit[],COLUMN(CUSTO_GLOBAL[[#Headers],[PAF]])-2,0)*($G91-$H91)</f>
        <v>51.86</v>
      </c>
      <c r="AI91" s="22">
        <f>VLOOKUP($A91,tabCustoUnit[],COLUMN(CUSTO_GLOBAL[[#Headers],[PQM]])-2,0)*($G91-$H91)</f>
        <v>0</v>
      </c>
      <c r="AJ91" s="22">
        <v>0</v>
      </c>
      <c r="AK91" s="22">
        <f>VLOOKUP($A91,tabCustoUnit[],COLUMN(CUSTO_GLOBAL[[#Headers],[Seguro de Vida]])-2,0)*($G91-$H91)</f>
        <v>3.36</v>
      </c>
      <c r="AL91" s="22">
        <f>VLOOKUP($A91,tabCustoUnit[],COLUMN(CUSTO_GLOBAL[[#Headers],[Despesas de Viagem]])-2,0)*($G91-$H91)</f>
        <v>0</v>
      </c>
      <c r="AM91" s="22">
        <f>VLOOKUP($A91,tabCustoUnit[],COLUMN(CUSTO_GLOBAL[[#Headers],[Submódulo 2.3]])-2,0)*($G91-$H91)</f>
        <v>860.56920000000002</v>
      </c>
      <c r="AN91" s="22">
        <f>VLOOKUP($A91,tabCustoUnit[],COLUMN(CUSTO_GLOBAL[[#Headers],[MÓDULO 2 - Total Encargos e Benefícios mensais e diários]])-2,0)*($G91-$H91)</f>
        <v>1224.7336224166665</v>
      </c>
      <c r="AO91" s="22">
        <f>VLOOKUP($A91,tabCustoUnit[],COLUMN(CUSTO_GLOBAL[[#Headers],[Aviso Prévio Indenizado (API) e Reflexo do Aviso Prévio Indenizado]])-2,0)*($G91-$H91)</f>
        <v>3.9530273735532404</v>
      </c>
      <c r="AP91" s="22">
        <f>VLOOKUP($A91,tabCustoUnit[],COLUMN(CUSTO_GLOBAL[[#Headers],[Incidência do FGTS sobre API e Reflexo do API]])-2,0)*($G91-$H91)</f>
        <v>0.31624218988425928</v>
      </c>
      <c r="AQ91" s="22">
        <f>VLOOKUP($A91,tabCustoUnit[],COLUMN(CUSTO_GLOBAL[[#Headers],[Multa Rescisória do FGTS sobre o Aviso Prévio Indenizado]])-2,0)*($G91-$H91)</f>
        <v>0.12649687595370371</v>
      </c>
      <c r="AR91" s="22">
        <f>VLOOKUP($A91,tabCustoUnit[],COLUMN(CUSTO_GLOBAL[[#Headers],[Aviso Prévio Trabalhado - APT]])-2,0)*($G91-$H91)</f>
        <v>1.9731967500000003</v>
      </c>
      <c r="AS91" s="22">
        <f>VLOOKUP($A91,tabCustoUnit[],COLUMN(CUSTO_GLOBAL[[#Headers],[Incidência dos encargos do submódulo 2.1 sobre Aviso Prévio Trabalhado]])-2,0)*($G91-$H91)</f>
        <v>0.74586837150000018</v>
      </c>
      <c r="AT91" s="22">
        <f>VLOOKUP($A91,tabCustoUnit[],COLUMN(CUSTO_GLOBAL[[#Headers],[Multa Rescisória do FGTS]])-2,0)*($G91-$H91)</f>
        <v>17.238849066666663</v>
      </c>
      <c r="AU91" s="22">
        <f>VLOOKUP($A91,tabCustoUnit[],COLUMN(CUSTO_GLOBAL[[#Headers],[Indenização Adicional (Art. 9º da Lei nº 7.238/84)]])-2,0)*($G91-$H91)</f>
        <v>0.46980875</v>
      </c>
      <c r="AV91" s="22">
        <f>VLOOKUP($A91,tabCustoUnit[],COLUMN(CUSTO_GLOBAL[[#Headers],[MÓDULO 3 – PROVISÃO PARA RESCISÃO]])-2,0)*($G91-$H91)</f>
        <v>24.823489377557866</v>
      </c>
      <c r="AW91" s="22">
        <f>VLOOKUP($A91,tabCustoUnit[],COLUMN(CUSTO_GLOBAL[[#Headers],[Ausência por Doença]])-2,0)*($G91-$H91)</f>
        <v>4.7607286666666662</v>
      </c>
      <c r="AX91" s="22">
        <f>VLOOKUP($A91,tabCustoUnit[],COLUMN(CUSTO_GLOBAL[[#Headers],[Ausências Legais]])-2,0)*($G91-$H91)</f>
        <v>1.1432012916666665</v>
      </c>
      <c r="AY91" s="22">
        <f>VLOOKUP($A91,tabCustoUnit[],COLUMN(CUSTO_GLOBAL[[#Headers],[Licença Paternidade]])-2,0)*($G91-$H91)</f>
        <v>9.6310793749999998E-2</v>
      </c>
      <c r="AZ91" s="22">
        <f>VLOOKUP($A91,tabCustoUnit[],COLUMN(CUSTO_GLOBAL[[#Headers],[Ausência por Acidente de Trabalho]])-2,0)*($G91-$H91)</f>
        <v>0.1174521875</v>
      </c>
      <c r="BA91" s="22">
        <f>VLOOKUP($A91,tabCustoUnit[],COLUMN(CUSTO_GLOBAL[[#Headers],[Férias, Adicional de Férias e 13º  com empregada em gozo de Licença Maternidade]])-2,0)*($G91-$H91)</f>
        <v>0.73081361111111109</v>
      </c>
      <c r="BB91" s="22">
        <f>VLOOKUP($A91,tabCustoUnit[],COLUMN(CUSTO_GLOBAL[[#Headers],[Incidência do Submódulo 2.1 sobre Ausências Legais]])-2,0)*($G91-$H91)</f>
        <v>2.5887354761625003</v>
      </c>
      <c r="BC91" s="22">
        <f>VLOOKUP($A91,tabCustoUnit[],COLUMN(CUSTO_GLOBAL[[#Headers],[Submódulo 4.1]])-2,0)*($G91-$H91)</f>
        <v>9.4372420268569428</v>
      </c>
      <c r="BD91" s="22">
        <f>VLOOKUP($A91,tabCustoUnit[],COLUMN(CUSTO_GLOBAL[[#Headers],[Intervalo para Repouso ou Alimentação]])-2,0)*($G91-$H91)</f>
        <v>0</v>
      </c>
      <c r="BE91" s="22">
        <f>VLOOKUP($A91,tabCustoUnit[],COLUMN(CUSTO_GLOBAL[[#Headers],[Submódulo 4.2]])-2,0)*($G91-$H91)</f>
        <v>0</v>
      </c>
      <c r="BF91" s="22">
        <f>VLOOKUP($A91,tabCustoUnit[],COLUMN(CUSTO_GLOBAL[[#Headers],[Suspensão Temporária do Contrato de Trabalho]])-2,0)*($G91-$H91)</f>
        <v>0</v>
      </c>
      <c r="BG91" s="22">
        <f>VLOOKUP($A91,tabCustoUnit[],COLUMN(CUSTO_GLOBAL[[#Headers],[Submódulo 4.3]])-2,0)*($G91-$H91)</f>
        <v>0</v>
      </c>
      <c r="BH91" s="22">
        <f>VLOOKUP($A91,tabCustoUnit[],COLUMN(CUSTO_GLOBAL[[#Headers],[MÓDULO 4 – CUSTO DE REPOSIÇÃO DO PROFISSIONAL AUSENTE]])-2,0)*($G91-$H91)</f>
        <v>9.4372420268569428</v>
      </c>
      <c r="BI91" s="22">
        <f>VLOOKUP($A91,tabCustoUnit[],COLUMN(CUSTO_GLOBAL[[#Headers],[Uniformes e EPIs]])-2,0)*($G91-$H91)</f>
        <v>62.806666666666665</v>
      </c>
      <c r="BJ91" s="22">
        <f>VLOOKUP($A91,tabCustoUnit[],COLUMN(CUSTO_GLOBAL[[#Headers],[Materiais de Consumo]])-2,0)*($G91-$H91)</f>
        <v>12.108481690426325</v>
      </c>
      <c r="BK91" s="22">
        <f>VLOOKUP($A91,tabCustoUnit[],COLUMN(CUSTO_GLOBAL[[#Headers],[Máquinas e Equipamentos (depreciação)]])-2,0)*($G91-$H91)</f>
        <v>21.998657016417809</v>
      </c>
      <c r="BL91" s="22">
        <f>VLOOKUP($A91,tabCustoUnit[],COLUMN(CUSTO_GLOBAL[[#Headers],[Produtos de Limpeza e Materiais de Higiene Pessoal]])-2,0)*($G91-$H91)</f>
        <v>235.31984072022155</v>
      </c>
      <c r="BM91" s="22">
        <f>VLOOKUP($A91,tabCustoUnit[],COLUMN(CUSTO_GLOBAL[[#Headers],[Outros (especificar)]])-2,0)*($G91-$H91)</f>
        <v>0</v>
      </c>
      <c r="BN91" s="22">
        <f>VLOOKUP($A91,tabCustoUnit[],COLUMN(CUSTO_GLOBAL[[#Headers],[MÓDULO 5 – INSUMOS DIVERSOS]])-2,0)*($G91-$H91)</f>
        <v>332.23364609373232</v>
      </c>
      <c r="BO91" s="22">
        <f>VLOOKUP($A91,tabCustoUnit[],COLUMN(CUSTO_GLOBAL[[#Headers],[TOTAL MÓDULOS 1+2+3+4+5]])-2,0)*($G91-$H91)</f>
        <v>2154.9984999148137</v>
      </c>
      <c r="BP91" s="22">
        <f>VLOOKUP($A91,tabCustoUnit[],COLUMN(CUSTO_GLOBAL[[#Headers],[Custos Indiretos]])-2,0)*($G91-$H91)</f>
        <v>189.64880140242613</v>
      </c>
      <c r="BQ91" s="22">
        <f>VLOOKUP($A91,tabCustoUnit[],COLUMN(CUSTO_GLOBAL[[#Headers],[Lucro]])-2,0)*($G91-$H91)</f>
        <v>159.30499317803796</v>
      </c>
      <c r="BR91" s="26">
        <f>VLOOKUP($A91,tabCustoUnit[],COLUMN(CUSTO_GLOBAL[[#Headers],[COFINS]])-2,0)</f>
        <v>8.6609686609686695E-2</v>
      </c>
      <c r="BS91" s="26">
        <f>VLOOKUP($A91,tabCustoUnit[],COLUMN(CUSTO_GLOBAL[[#Headers],[PIS]])-2,0)</f>
        <v>1.880341880341882E-2</v>
      </c>
      <c r="BT91" s="28">
        <f>VLOOKUP($A91,tabCustoUnit[],COLUMN(CUSTO_GLOBAL[[#Headers],[ISS]])-2,0)</f>
        <v>0.03</v>
      </c>
      <c r="BU91" s="26">
        <f>VLOOKUP($A91,tabCustoUnit[],COLUMN(CUSTO_GLOBAL[[#Headers],[ISS (Conversão Alíquota s/ fatura)]])-2,0)</f>
        <v>3.4188034188034219E-2</v>
      </c>
      <c r="BV91" s="26">
        <f>VLOOKUP($A91,tabCustoUnit[],COLUMN(CUSTO_GLOBAL[[#Headers],[Resumo de Alíquotas (PIS+CONFINS+ISS)]])-2,0)</f>
        <v>0.1225</v>
      </c>
      <c r="BW91" s="138">
        <f>VLOOKUP($A91,tabCustoUnit[],COLUMN(CUSTO_GLOBAL[[#Headers],[PIS + COFINS + ISS (Total Conversão  Alíquota s/ Fatura)]])-2,0)</f>
        <v>0.13960113960113973</v>
      </c>
      <c r="BX91" s="22">
        <f>VLOOKUP($A91,tabCustoUnit[],COLUMN(CUSTO_GLOBAL[[#Headers],[Valor dos Tributos (ISS, PIS, CONFINS)]])-2,0)*($G91-$H91)</f>
        <v>349.55459381842945</v>
      </c>
      <c r="BY91" s="22">
        <f>VLOOKUP($A91,tabCustoUnit[],COLUMN(CUSTO_GLOBAL[[#Headers],[MÓDULO 6 – CUSTOS INDIRETOS, TRIBUTOS E LUCRO]])-2,0)*($G91-$H91)</f>
        <v>698.50838839889354</v>
      </c>
      <c r="BZ91" s="22">
        <f>VLOOKUP($A91,tabCustoUnit[],COLUMN(CUSTO_GLOBAL[[#Headers],[CUSTO TOTAL MENSAL]])-2,0)*($G91-$H91)</f>
        <v>2853.5068883137073</v>
      </c>
      <c r="CA91" s="22">
        <f>CUSTO_GLOBAL[[#This Row],[CUSTO TOTAL MENSAL]]*12</f>
        <v>34242.082659764492</v>
      </c>
      <c r="CB91" s="24">
        <f>VLOOKUP($A91,tabCustoUnit[],COLUMN(CUSTO_GLOBAL[[#Headers],[ANO DA CCT]])-2,0)</f>
        <v>45658</v>
      </c>
      <c r="CC91" s="25" t="str">
        <f>VLOOKUP($A91,tabCustoUnit[],COLUMN(CUSTO_GLOBAL[[#Headers],[Nº DE PEDIDO DA CCT]])-2,0)</f>
        <v>-</v>
      </c>
      <c r="CD91" s="25" t="str">
        <f>VLOOKUP($A91,tabCustoUnit[],COLUMN(CUSTO_GLOBAL[[#Headers],[TERMO ADITIVO  ALTERAÇÃO DA CCT]])-2,0)</f>
        <v>-</v>
      </c>
      <c r="CF91" s="22"/>
      <c r="CG91" s="22"/>
    </row>
    <row r="92" spans="1:85" x14ac:dyDescent="0.25">
      <c r="A92" s="20" t="s">
        <v>1431</v>
      </c>
      <c r="B92" t="s">
        <v>88</v>
      </c>
      <c r="C92" t="s">
        <v>1244</v>
      </c>
      <c r="D92" t="s">
        <v>1002</v>
      </c>
      <c r="E92" s="20" t="s">
        <v>9</v>
      </c>
      <c r="F92" s="20" t="s">
        <v>10</v>
      </c>
      <c r="G92" s="20">
        <v>1</v>
      </c>
      <c r="H92" s="20">
        <v>0</v>
      </c>
      <c r="I92" s="21">
        <f>VLOOKUP($A92,tabCustoUnit[],COLUMN(CUSTO_GLOBAL[[#Headers],[Salário Base]])-2,0)*($G92-$H92)</f>
        <v>824.56</v>
      </c>
      <c r="J92" s="21">
        <f>VLOOKUP($A92,tabCustoUnit[],COLUMN(CUSTO_GLOBAL[[#Headers],[Adicional Periculosidade]])-2,0)*($G92-$H92)</f>
        <v>0</v>
      </c>
      <c r="K92" s="21">
        <f>VLOOKUP($A92,tabCustoUnit[],COLUMN(CUSTO_GLOBAL[[#Headers],[Adicional Insalubridade]])-2,0)*($G92-$H92)</f>
        <v>0</v>
      </c>
      <c r="L92" s="21">
        <f>VLOOKUP($A92,tabCustoUnit[],COLUMN(CUSTO_GLOBAL[[#Headers],[Adicional Noturno]])-2,0)*($G92-$H92)</f>
        <v>0</v>
      </c>
      <c r="M92" s="21">
        <f>VLOOKUP($A92,tabCustoUnit[],COLUMN(CUSTO_GLOBAL[[#Headers],[Adicional Motorista II (Gratificação)]])-2,0)*($G92-$H92)</f>
        <v>0</v>
      </c>
      <c r="N92" s="21">
        <f>VLOOKUP($A92,tabCustoUnit[],COLUMN(CUSTO_GLOBAL[[#Headers],[Adicional de Sobreaviso]])-2,0)*($G92-$H92)</f>
        <v>0</v>
      </c>
      <c r="O92" s="21">
        <f>VLOOKUP($A92,tabCustoUnit[],COLUMN(CUSTO_GLOBAL[[#Headers],[Horas Extras TI]])-2,0)*($G92-$H92)</f>
        <v>0</v>
      </c>
      <c r="P92" s="21">
        <f>VLOOKUP($A92,tabCustoUnit[],COLUMN(CUSTO_GLOBAL[[#Headers],[Adicional de Acúmulo de função]])-2,0)*($G92-$H92)</f>
        <v>26.985600000000002</v>
      </c>
      <c r="Q92" s="21">
        <f>VLOOKUP($A92,tabCustoUnit[],COLUMN(CUSTO_GLOBAL[[#Headers],[MODULO 1 - REMUNERAÇÃO ]])-2,0)*($G92-$H92)</f>
        <v>851.54559999999992</v>
      </c>
      <c r="R92" s="21">
        <f>VLOOKUP($A92,tabCustoUnit[],COLUMN(CUSTO_GLOBAL[[#Headers],[INSS]])-2,0)*($G92-$H92)</f>
        <v>170.30912000000001</v>
      </c>
      <c r="S92" s="21">
        <f>VLOOKUP($A92,tabCustoUnit[],COLUMN(CUSTO_GLOBAL[[#Headers],[SESI OU SESC]])-2,0)*($G92-$H92)</f>
        <v>12.773183999999999</v>
      </c>
      <c r="T92" s="21">
        <f>VLOOKUP($A92,tabCustoUnit[],COLUMN(CUSTO_GLOBAL[[#Headers],[SENAI OU SENAC]])-2,0)*($G92-$H92)</f>
        <v>8.5154559999999986</v>
      </c>
      <c r="U92" s="21">
        <f>VLOOKUP($A92,tabCustoUnit[],COLUMN(CUSTO_GLOBAL[[#Headers],[INCRA]])-2,0)*($G92-$H92)</f>
        <v>1.7030911999999998</v>
      </c>
      <c r="V92" s="21">
        <f>VLOOKUP($A92,tabCustoUnit[],COLUMN(CUSTO_GLOBAL[[#Headers],[Salário Educação]])-2,0)*($G92-$H92)</f>
        <v>21.288640000000001</v>
      </c>
      <c r="W92" s="21">
        <f>VLOOKUP($A92,tabCustoUnit[],COLUMN(CUSTO_GLOBAL[[#Headers],[FGTS]])-2,0)*($G92-$H92)</f>
        <v>68.123647999999989</v>
      </c>
      <c r="X92" s="21">
        <f>VLOOKUP($A92,tabCustoUnit[],COLUMN(CUSTO_GLOBAL[[#Headers],[RAT Ajustado]])-2,0)*($G92-$H92)</f>
        <v>34.061823999999994</v>
      </c>
      <c r="Y92" s="21">
        <f>VLOOKUP($A92,tabCustoUnit[],COLUMN(CUSTO_GLOBAL[[#Headers],[SEBRAE]])-2,0)*($G92-$H92)</f>
        <v>5.1092735999999999</v>
      </c>
      <c r="Z92" s="21">
        <f>VLOOKUP($A92,tabCustoUnit[],COLUMN(CUSTO_GLOBAL[[#Headers],[Submódulo 2.1]])-2,0)*($G92-$H92)</f>
        <v>321.8842368</v>
      </c>
      <c r="AA92" s="21">
        <f>VLOOKUP($A92,tabCustoUnit[],COLUMN(CUSTO_GLOBAL[[#Headers],[13º salário (titular)]])-2,0)*($G92-$H92)</f>
        <v>70.962133333333327</v>
      </c>
      <c r="AB92" s="21">
        <f>VLOOKUP($A92,tabCustoUnit[],COLUMN(CUSTO_GLOBAL[[#Headers],[Férias e Adicional de Férias (titular)]])-2,0)*($G92-$H92)</f>
        <v>94.616177777777764</v>
      </c>
      <c r="AC92" s="21">
        <f>VLOOKUP($A92,tabCustoUnit[],COLUMN(CUSTO_GLOBAL[[#Headers],[Incidência do Submódulo 2.1 sobre 13º Salário, Férias e Adicional de Férias]])-2,0)*($G92-$H92)</f>
        <v>62.588601599999997</v>
      </c>
      <c r="AD92" s="21">
        <f>VLOOKUP($A92,tabCustoUnit[],COLUMN(CUSTO_GLOBAL[[#Headers],[Submódulo 2.2]])-2,0)*($G92-$H92)</f>
        <v>228.16691271111108</v>
      </c>
      <c r="AE92" s="22">
        <f>VLOOKUP($A92,tabCustoUnit[],COLUMN(CUSTO_GLOBAL[[#Headers],[Vale - Transporte (Descontada parcela do empregado)]])-2,0)*($G92-$H92)</f>
        <v>206.5264</v>
      </c>
      <c r="AF92" s="22">
        <f>VLOOKUP($A92,tabCustoUnit[],COLUMN(CUSTO_GLOBAL[[#Headers],[Vale - Alimentação (Descontada parcela do empregado)]])-2,0)*($G92-$H92)</f>
        <v>582</v>
      </c>
      <c r="AG92" s="22">
        <f>VLOOKUP($A92,tabCustoUnit[],COLUMN(CUSTO_GLOBAL[[#Headers],[Cesta Básica]])-2,0)*($G92-$H92)</f>
        <v>0</v>
      </c>
      <c r="AH92" s="22">
        <f>VLOOKUP($A92,tabCustoUnit[],COLUMN(CUSTO_GLOBAL[[#Headers],[PAF]])-2,0)*($G92-$H92)</f>
        <v>0</v>
      </c>
      <c r="AI92" s="22">
        <f>VLOOKUP($A92,tabCustoUnit[],COLUMN(CUSTO_GLOBAL[[#Headers],[PQM]])-2,0)*($G92-$H92)</f>
        <v>15.07</v>
      </c>
      <c r="AJ92" s="22">
        <v>0</v>
      </c>
      <c r="AK92" s="22">
        <f>VLOOKUP($A92,tabCustoUnit[],COLUMN(CUSTO_GLOBAL[[#Headers],[Seguro de Vida]])-2,0)*($G92-$H92)</f>
        <v>3.36</v>
      </c>
      <c r="AL92" s="22">
        <f>VLOOKUP($A92,tabCustoUnit[],COLUMN(CUSTO_GLOBAL[[#Headers],[Despesas de Viagem]])-2,0)*($G92-$H92)</f>
        <v>0</v>
      </c>
      <c r="AM92" s="22">
        <f>VLOOKUP($A92,tabCustoUnit[],COLUMN(CUSTO_GLOBAL[[#Headers],[Submódulo 2.3]])-2,0)*($G92-$H92)</f>
        <v>806.95640000000003</v>
      </c>
      <c r="AN92" s="22">
        <f>VLOOKUP($A92,tabCustoUnit[],COLUMN(CUSTO_GLOBAL[[#Headers],[MÓDULO 2 - Total Encargos e Benefícios mensais e diários]])-2,0)*($G92-$H92)</f>
        <v>1357.0075495111112</v>
      </c>
      <c r="AO92" s="22">
        <f>VLOOKUP($A92,tabCustoUnit[],COLUMN(CUSTO_GLOBAL[[#Headers],[Aviso Prévio Indenizado (API) e Reflexo do Aviso Prévio Indenizado]])-2,0)*($G92-$H92)</f>
        <v>5.970839316049382</v>
      </c>
      <c r="AP92" s="22">
        <f>VLOOKUP($A92,tabCustoUnit[],COLUMN(CUSTO_GLOBAL[[#Headers],[Incidência do FGTS sobre API e Reflexo do API]])-2,0)*($G92-$H92)</f>
        <v>0.4776671452839506</v>
      </c>
      <c r="AQ92" s="22">
        <f>VLOOKUP($A92,tabCustoUnit[],COLUMN(CUSTO_GLOBAL[[#Headers],[Multa Rescisória do FGTS sobre o Aviso Prévio Indenizado]])-2,0)*($G92-$H92)</f>
        <v>0.19106685811358026</v>
      </c>
      <c r="AR92" s="22">
        <f>VLOOKUP($A92,tabCustoUnit[],COLUMN(CUSTO_GLOBAL[[#Headers],[Aviso Prévio Trabalhado - APT]])-2,0)*($G92-$H92)</f>
        <v>2.9804096000000002</v>
      </c>
      <c r="AS92" s="22">
        <f>VLOOKUP($A92,tabCustoUnit[],COLUMN(CUSTO_GLOBAL[[#Headers],[Incidência dos encargos do submódulo 2.1 sobre Aviso Prévio Trabalhado]])-2,0)*($G92-$H92)</f>
        <v>1.1265948288000003</v>
      </c>
      <c r="AT92" s="22">
        <f>VLOOKUP($A92,tabCustoUnit[],COLUMN(CUSTO_GLOBAL[[#Headers],[Multa Rescisória do FGTS]])-2,0)*($G92-$H92)</f>
        <v>26.038372124444439</v>
      </c>
      <c r="AU92" s="22">
        <f>VLOOKUP($A92,tabCustoUnit[],COLUMN(CUSTO_GLOBAL[[#Headers],[Indenização Adicional (Art. 9º da Lei nº 7.238/84)]])-2,0)*($G92-$H92)</f>
        <v>0.70962133333333333</v>
      </c>
      <c r="AV92" s="22">
        <f>VLOOKUP($A92,tabCustoUnit[],COLUMN(CUSTO_GLOBAL[[#Headers],[MÓDULO 3 – PROVISÃO PARA RESCISÃO]])-2,0)*($G92-$H92)</f>
        <v>37.494571206024688</v>
      </c>
      <c r="AW92" s="22">
        <f>VLOOKUP($A92,tabCustoUnit[],COLUMN(CUSTO_GLOBAL[[#Headers],[Ausência por Doença]])-2,0)*($G92-$H92)</f>
        <v>7.1908295111111098</v>
      </c>
      <c r="AX92" s="22">
        <f>VLOOKUP($A92,tabCustoUnit[],COLUMN(CUSTO_GLOBAL[[#Headers],[Ausências Legais]])-2,0)*($G92-$H92)</f>
        <v>1.7267452444444442</v>
      </c>
      <c r="AY92" s="22">
        <f>VLOOKUP($A92,tabCustoUnit[],COLUMN(CUSTO_GLOBAL[[#Headers],[Licença Paternidade]])-2,0)*($G92-$H92)</f>
        <v>0.14547237333333332</v>
      </c>
      <c r="AZ92" s="22">
        <f>VLOOKUP($A92,tabCustoUnit[],COLUMN(CUSTO_GLOBAL[[#Headers],[Ausência por Acidente de Trabalho]])-2,0)*($G92-$H92)</f>
        <v>0.17740533333333333</v>
      </c>
      <c r="BA92" s="22">
        <f>VLOOKUP($A92,tabCustoUnit[],COLUMN(CUSTO_GLOBAL[[#Headers],[Férias, Adicional de Férias e 13º  com empregada em gozo de Licença Maternidade]])-2,0)*($G92-$H92)</f>
        <v>1.1038554074074072</v>
      </c>
      <c r="BB92" s="22">
        <f>VLOOKUP($A92,tabCustoUnit[],COLUMN(CUSTO_GLOBAL[[#Headers],[Incidência do Submódulo 2.1 sobre Ausências Legais]])-2,0)*($G92-$H92)</f>
        <v>3.9101483747200003</v>
      </c>
      <c r="BC92" s="22">
        <f>VLOOKUP($A92,tabCustoUnit[],COLUMN(CUSTO_GLOBAL[[#Headers],[Submódulo 4.1]])-2,0)*($G92-$H92)</f>
        <v>14.254456244349628</v>
      </c>
      <c r="BD92" s="22">
        <f>VLOOKUP($A92,tabCustoUnit[],COLUMN(CUSTO_GLOBAL[[#Headers],[Intervalo para Repouso ou Alimentação]])-2,0)*($G92-$H92)</f>
        <v>0</v>
      </c>
      <c r="BE92" s="22">
        <f>VLOOKUP($A92,tabCustoUnit[],COLUMN(CUSTO_GLOBAL[[#Headers],[Submódulo 4.2]])-2,0)*($G92-$H92)</f>
        <v>0</v>
      </c>
      <c r="BF92" s="22">
        <f>VLOOKUP($A92,tabCustoUnit[],COLUMN(CUSTO_GLOBAL[[#Headers],[Suspensão Temporária do Contrato de Trabalho]])-2,0)*($G92-$H92)</f>
        <v>0</v>
      </c>
      <c r="BG92" s="22">
        <f>VLOOKUP($A92,tabCustoUnit[],COLUMN(CUSTO_GLOBAL[[#Headers],[Submódulo 4.3]])-2,0)*($G92-$H92)</f>
        <v>0</v>
      </c>
      <c r="BH92" s="22">
        <f>VLOOKUP($A92,tabCustoUnit[],COLUMN(CUSTO_GLOBAL[[#Headers],[MÓDULO 4 – CUSTO DE REPOSIÇÃO DO PROFISSIONAL AUSENTE]])-2,0)*($G92-$H92)</f>
        <v>14.254456244349628</v>
      </c>
      <c r="BI92" s="22">
        <f>VLOOKUP($A92,tabCustoUnit[],COLUMN(CUSTO_GLOBAL[[#Headers],[Uniformes e EPIs]])-2,0)*($G92-$H92)</f>
        <v>62.806666666666665</v>
      </c>
      <c r="BJ92" s="22">
        <f>VLOOKUP($A92,tabCustoUnit[],COLUMN(CUSTO_GLOBAL[[#Headers],[Materiais de Consumo]])-2,0)*($G92-$H92)</f>
        <v>17.759106479291944</v>
      </c>
      <c r="BK92" s="22">
        <f>VLOOKUP($A92,tabCustoUnit[],COLUMN(CUSTO_GLOBAL[[#Headers],[Máquinas e Equipamentos (depreciação)]])-2,0)*($G92-$H92)</f>
        <v>32.264696957412788</v>
      </c>
      <c r="BL92" s="22">
        <f>VLOOKUP($A92,tabCustoUnit[],COLUMN(CUSTO_GLOBAL[[#Headers],[Produtos de Limpeza e Materiais de Higiene Pessoal]])-2,0)*($G92-$H92)</f>
        <v>345.13576638965827</v>
      </c>
      <c r="BM92" s="22">
        <f>VLOOKUP($A92,tabCustoUnit[],COLUMN(CUSTO_GLOBAL[[#Headers],[Outros (especificar)]])-2,0)*($G92-$H92)</f>
        <v>0</v>
      </c>
      <c r="BN92" s="22">
        <f>VLOOKUP($A92,tabCustoUnit[],COLUMN(CUSTO_GLOBAL[[#Headers],[MÓDULO 5 – INSUMOS DIVERSOS]])-2,0)*($G92-$H92)</f>
        <v>457.96623649302967</v>
      </c>
      <c r="BO92" s="22">
        <f>VLOOKUP($A92,tabCustoUnit[],COLUMN(CUSTO_GLOBAL[[#Headers],[TOTAL MÓDULOS 1+2+3+4+5]])-2,0)*($G92-$H92)</f>
        <v>2718.2684134545148</v>
      </c>
      <c r="BP92" s="22">
        <f>VLOOKUP($A92,tabCustoUnit[],COLUMN(CUSTO_GLOBAL[[#Headers],[Custos Indiretos]])-2,0)*($G92-$H92)</f>
        <v>189.64880140242613</v>
      </c>
      <c r="BQ92" s="22">
        <f>VLOOKUP($A92,tabCustoUnit[],COLUMN(CUSTO_GLOBAL[[#Headers],[Lucro]])-2,0)*($G92-$H92)</f>
        <v>159.30499317803796</v>
      </c>
      <c r="BR92" s="26">
        <f>VLOOKUP($A92,tabCustoUnit[],COLUMN(CUSTO_GLOBAL[[#Headers],[COFINS]])-2,0)</f>
        <v>8.5633802816901458E-2</v>
      </c>
      <c r="BS92" s="26">
        <f>VLOOKUP($A92,tabCustoUnit[],COLUMN(CUSTO_GLOBAL[[#Headers],[PIS]])-2,0)</f>
        <v>1.8591549295774657E-2</v>
      </c>
      <c r="BT92" s="28">
        <f>VLOOKUP($A92,tabCustoUnit[],COLUMN(CUSTO_GLOBAL[[#Headers],[ISS]])-2,0)</f>
        <v>0.02</v>
      </c>
      <c r="BU92" s="26">
        <f>VLOOKUP($A92,tabCustoUnit[],COLUMN(CUSTO_GLOBAL[[#Headers],[ISS (Conversão Alíquota s/ fatura)]])-2,0)</f>
        <v>2.2535211267605645E-2</v>
      </c>
      <c r="BV92" s="26">
        <f>VLOOKUP($A92,tabCustoUnit[],COLUMN(CUSTO_GLOBAL[[#Headers],[Resumo de Alíquotas (PIS+CONFINS+ISS)]])-2,0)</f>
        <v>0.1125</v>
      </c>
      <c r="BW92" s="138">
        <f>VLOOKUP($A92,tabCustoUnit[],COLUMN(CUSTO_GLOBAL[[#Headers],[PIS + COFINS + ISS (Total Conversão  Alíquota s/ Fatura)]])-2,0)</f>
        <v>0.12676056338028174</v>
      </c>
      <c r="BX92" s="22">
        <f>VLOOKUP($A92,tabCustoUnit[],COLUMN(CUSTO_GLOBAL[[#Headers],[Valor dos Tributos (ISS, PIS, CONFINS)]])-2,0)*($G92-$H92)</f>
        <v>388.80281510302564</v>
      </c>
      <c r="BY92" s="22">
        <f>VLOOKUP($A92,tabCustoUnit[],COLUMN(CUSTO_GLOBAL[[#Headers],[MÓDULO 6 – CUSTOS INDIRETOS, TRIBUTOS E LUCRO]])-2,0)*($G92-$H92)</f>
        <v>737.75660968348973</v>
      </c>
      <c r="BZ92" s="22">
        <f>VLOOKUP($A92,tabCustoUnit[],COLUMN(CUSTO_GLOBAL[[#Headers],[CUSTO TOTAL MENSAL]])-2,0)*($G92-$H92)</f>
        <v>3456.0250231380046</v>
      </c>
      <c r="CA92" s="22">
        <f>CUSTO_GLOBAL[[#This Row],[CUSTO TOTAL MENSAL]]*12</f>
        <v>41472.300277656053</v>
      </c>
      <c r="CB92" s="24">
        <f>VLOOKUP($A92,tabCustoUnit[],COLUMN(CUSTO_GLOBAL[[#Headers],[ANO DA CCT]])-2,0)</f>
        <v>45658</v>
      </c>
      <c r="CC92" s="25" t="str">
        <f>VLOOKUP($A92,tabCustoUnit[],COLUMN(CUSTO_GLOBAL[[#Headers],[Nº DE PEDIDO DA CCT]])-2,0)</f>
        <v>-</v>
      </c>
      <c r="CD92" s="25" t="str">
        <f>VLOOKUP($A92,tabCustoUnit[],COLUMN(CUSTO_GLOBAL[[#Headers],[TERMO ADITIVO  ALTERAÇÃO DA CCT]])-2,0)</f>
        <v>-</v>
      </c>
      <c r="CF92" s="22"/>
      <c r="CG92" s="22"/>
    </row>
    <row r="93" spans="1:85" x14ac:dyDescent="0.25">
      <c r="A93" s="20" t="s">
        <v>1432</v>
      </c>
      <c r="B93" t="s">
        <v>89</v>
      </c>
      <c r="C93" t="s">
        <v>1247</v>
      </c>
      <c r="D93" t="s">
        <v>1041</v>
      </c>
      <c r="E93" s="20" t="s">
        <v>9</v>
      </c>
      <c r="F93" s="20" t="s">
        <v>10</v>
      </c>
      <c r="G93" s="20">
        <v>1</v>
      </c>
      <c r="H93" s="20">
        <v>0</v>
      </c>
      <c r="I93" s="21">
        <f>VLOOKUP($A93,tabCustoUnit[],COLUMN(CUSTO_GLOBAL[[#Headers],[Salário Base]])-2,0)*($G93-$H93)</f>
        <v>544.17999999999995</v>
      </c>
      <c r="J93" s="21">
        <f>VLOOKUP($A93,tabCustoUnit[],COLUMN(CUSTO_GLOBAL[[#Headers],[Adicional Periculosidade]])-2,0)*($G93-$H93)</f>
        <v>0</v>
      </c>
      <c r="K93" s="21">
        <f>VLOOKUP($A93,tabCustoUnit[],COLUMN(CUSTO_GLOBAL[[#Headers],[Adicional Insalubridade]])-2,0)*($G93-$H93)</f>
        <v>0</v>
      </c>
      <c r="L93" s="21">
        <f>VLOOKUP($A93,tabCustoUnit[],COLUMN(CUSTO_GLOBAL[[#Headers],[Adicional Noturno]])-2,0)*($G93-$H93)</f>
        <v>0</v>
      </c>
      <c r="M93" s="21">
        <f>VLOOKUP($A93,tabCustoUnit[],COLUMN(CUSTO_GLOBAL[[#Headers],[Adicional Motorista II (Gratificação)]])-2,0)*($G93-$H93)</f>
        <v>0</v>
      </c>
      <c r="N93" s="21">
        <f>VLOOKUP($A93,tabCustoUnit[],COLUMN(CUSTO_GLOBAL[[#Headers],[Adicional de Sobreaviso]])-2,0)*($G93-$H93)</f>
        <v>0</v>
      </c>
      <c r="O93" s="21">
        <f>VLOOKUP($A93,tabCustoUnit[],COLUMN(CUSTO_GLOBAL[[#Headers],[Horas Extras TI]])-2,0)*($G93-$H93)</f>
        <v>0</v>
      </c>
      <c r="P93" s="21">
        <f>VLOOKUP($A93,tabCustoUnit[],COLUMN(CUSTO_GLOBAL[[#Headers],[Adicional de Acúmulo de função]])-2,0)*($G93-$H93)</f>
        <v>19.590499999999999</v>
      </c>
      <c r="Q93" s="21">
        <f>VLOOKUP($A93,tabCustoUnit[],COLUMN(CUSTO_GLOBAL[[#Headers],[MODULO 1 - REMUNERAÇÃO ]])-2,0)*($G93-$H93)</f>
        <v>563.77049999999997</v>
      </c>
      <c r="R93" s="21">
        <f>VLOOKUP($A93,tabCustoUnit[],COLUMN(CUSTO_GLOBAL[[#Headers],[INSS]])-2,0)*($G93-$H93)</f>
        <v>112.75409999999999</v>
      </c>
      <c r="S93" s="21">
        <f>VLOOKUP($A93,tabCustoUnit[],COLUMN(CUSTO_GLOBAL[[#Headers],[SESI OU SESC]])-2,0)*($G93-$H93)</f>
        <v>8.4565574999999988</v>
      </c>
      <c r="T93" s="21">
        <f>VLOOKUP($A93,tabCustoUnit[],COLUMN(CUSTO_GLOBAL[[#Headers],[SENAI OU SENAC]])-2,0)*($G93-$H93)</f>
        <v>5.6377049999999995</v>
      </c>
      <c r="U93" s="21">
        <f>VLOOKUP($A93,tabCustoUnit[],COLUMN(CUSTO_GLOBAL[[#Headers],[INCRA]])-2,0)*($G93-$H93)</f>
        <v>1.1275409999999999</v>
      </c>
      <c r="V93" s="21">
        <f>VLOOKUP($A93,tabCustoUnit[],COLUMN(CUSTO_GLOBAL[[#Headers],[Salário Educação]])-2,0)*($G93-$H93)</f>
        <v>14.094262499999999</v>
      </c>
      <c r="W93" s="21">
        <f>VLOOKUP($A93,tabCustoUnit[],COLUMN(CUSTO_GLOBAL[[#Headers],[FGTS]])-2,0)*($G93-$H93)</f>
        <v>45.101639999999996</v>
      </c>
      <c r="X93" s="21">
        <f>VLOOKUP($A93,tabCustoUnit[],COLUMN(CUSTO_GLOBAL[[#Headers],[RAT Ajustado]])-2,0)*($G93-$H93)</f>
        <v>22.550819999999998</v>
      </c>
      <c r="Y93" s="21">
        <f>VLOOKUP($A93,tabCustoUnit[],COLUMN(CUSTO_GLOBAL[[#Headers],[SEBRAE]])-2,0)*($G93-$H93)</f>
        <v>3.3826229999999997</v>
      </c>
      <c r="Z93" s="21">
        <f>VLOOKUP($A93,tabCustoUnit[],COLUMN(CUSTO_GLOBAL[[#Headers],[Submódulo 2.1]])-2,0)*($G93-$H93)</f>
        <v>213.10524899999996</v>
      </c>
      <c r="AA93" s="21">
        <f>VLOOKUP($A93,tabCustoUnit[],COLUMN(CUSTO_GLOBAL[[#Headers],[13º salário (titular)]])-2,0)*($G93-$H93)</f>
        <v>46.980874999999997</v>
      </c>
      <c r="AB93" s="21">
        <f>VLOOKUP($A93,tabCustoUnit[],COLUMN(CUSTO_GLOBAL[[#Headers],[Férias e Adicional de Férias (titular)]])-2,0)*($G93-$H93)</f>
        <v>62.641166666666663</v>
      </c>
      <c r="AC93" s="21">
        <f>VLOOKUP($A93,tabCustoUnit[],COLUMN(CUSTO_GLOBAL[[#Headers],[Incidência do Submódulo 2.1 sobre 13º Salário, Férias e Adicional de Férias]])-2,0)*($G93-$H93)</f>
        <v>41.437131749999992</v>
      </c>
      <c r="AD93" s="21">
        <f>VLOOKUP($A93,tabCustoUnit[],COLUMN(CUSTO_GLOBAL[[#Headers],[Submódulo 2.2]])-2,0)*($G93-$H93)</f>
        <v>151.05917341666665</v>
      </c>
      <c r="AE93" s="22">
        <f>VLOOKUP($A93,tabCustoUnit[],COLUMN(CUSTO_GLOBAL[[#Headers],[Vale - Transporte (Descontada parcela do empregado)]])-2,0)*($G93-$H93)</f>
        <v>223.3492</v>
      </c>
      <c r="AF93" s="22">
        <f>VLOOKUP($A93,tabCustoUnit[],COLUMN(CUSTO_GLOBAL[[#Headers],[Vale - Alimentação (Descontada parcela do empregado)]])-2,0)*($G93-$H93)</f>
        <v>582</v>
      </c>
      <c r="AG93" s="22">
        <f>VLOOKUP($A93,tabCustoUnit[],COLUMN(CUSTO_GLOBAL[[#Headers],[Cesta Básica]])-2,0)*($G93-$H93)</f>
        <v>0</v>
      </c>
      <c r="AH93" s="22">
        <f>VLOOKUP($A93,tabCustoUnit[],COLUMN(CUSTO_GLOBAL[[#Headers],[PAF]])-2,0)*($G93-$H93)</f>
        <v>0</v>
      </c>
      <c r="AI93" s="22">
        <f>VLOOKUP($A93,tabCustoUnit[],COLUMN(CUSTO_GLOBAL[[#Headers],[PQM]])-2,0)*($G93-$H93)</f>
        <v>0</v>
      </c>
      <c r="AJ93" s="22">
        <v>0</v>
      </c>
      <c r="AK93" s="22">
        <f>VLOOKUP($A93,tabCustoUnit[],COLUMN(CUSTO_GLOBAL[[#Headers],[Seguro de Vida]])-2,0)*($G93-$H93)</f>
        <v>3.36</v>
      </c>
      <c r="AL93" s="22">
        <f>VLOOKUP($A93,tabCustoUnit[],COLUMN(CUSTO_GLOBAL[[#Headers],[Despesas de Viagem]])-2,0)*($G93-$H93)</f>
        <v>0</v>
      </c>
      <c r="AM93" s="22">
        <f>VLOOKUP($A93,tabCustoUnit[],COLUMN(CUSTO_GLOBAL[[#Headers],[Submódulo 2.3]])-2,0)*($G93-$H93)</f>
        <v>808.70920000000001</v>
      </c>
      <c r="AN93" s="22">
        <f>VLOOKUP($A93,tabCustoUnit[],COLUMN(CUSTO_GLOBAL[[#Headers],[MÓDULO 2 - Total Encargos e Benefícios mensais e diários]])-2,0)*($G93-$H93)</f>
        <v>1172.8736224166666</v>
      </c>
      <c r="AO93" s="22">
        <f>VLOOKUP($A93,tabCustoUnit[],COLUMN(CUSTO_GLOBAL[[#Headers],[Aviso Prévio Indenizado (API) e Reflexo do Aviso Prévio Indenizado]])-2,0)*($G93-$H93)</f>
        <v>3.9530273735532404</v>
      </c>
      <c r="AP93" s="22">
        <f>VLOOKUP($A93,tabCustoUnit[],COLUMN(CUSTO_GLOBAL[[#Headers],[Incidência do FGTS sobre API e Reflexo do API]])-2,0)*($G93-$H93)</f>
        <v>0.31624218988425928</v>
      </c>
      <c r="AQ93" s="22">
        <f>VLOOKUP($A93,tabCustoUnit[],COLUMN(CUSTO_GLOBAL[[#Headers],[Multa Rescisória do FGTS sobre o Aviso Prévio Indenizado]])-2,0)*($G93-$H93)</f>
        <v>0.12649687595370371</v>
      </c>
      <c r="AR93" s="22">
        <f>VLOOKUP($A93,tabCustoUnit[],COLUMN(CUSTO_GLOBAL[[#Headers],[Aviso Prévio Trabalhado - APT]])-2,0)*($G93-$H93)</f>
        <v>1.9731967500000003</v>
      </c>
      <c r="AS93" s="22">
        <f>VLOOKUP($A93,tabCustoUnit[],COLUMN(CUSTO_GLOBAL[[#Headers],[Incidência dos encargos do submódulo 2.1 sobre Aviso Prévio Trabalhado]])-2,0)*($G93-$H93)</f>
        <v>0.74586837150000018</v>
      </c>
      <c r="AT93" s="22">
        <f>VLOOKUP($A93,tabCustoUnit[],COLUMN(CUSTO_GLOBAL[[#Headers],[Multa Rescisória do FGTS]])-2,0)*($G93-$H93)</f>
        <v>17.238849066666663</v>
      </c>
      <c r="AU93" s="22">
        <f>VLOOKUP($A93,tabCustoUnit[],COLUMN(CUSTO_GLOBAL[[#Headers],[Indenização Adicional (Art. 9º da Lei nº 7.238/84)]])-2,0)*($G93-$H93)</f>
        <v>0.46980875</v>
      </c>
      <c r="AV93" s="22">
        <f>VLOOKUP($A93,tabCustoUnit[],COLUMN(CUSTO_GLOBAL[[#Headers],[MÓDULO 3 – PROVISÃO PARA RESCISÃO]])-2,0)*($G93-$H93)</f>
        <v>24.823489377557866</v>
      </c>
      <c r="AW93" s="22">
        <f>VLOOKUP($A93,tabCustoUnit[],COLUMN(CUSTO_GLOBAL[[#Headers],[Ausência por Doença]])-2,0)*($G93-$H93)</f>
        <v>4.7607286666666662</v>
      </c>
      <c r="AX93" s="22">
        <f>VLOOKUP($A93,tabCustoUnit[],COLUMN(CUSTO_GLOBAL[[#Headers],[Ausências Legais]])-2,0)*($G93-$H93)</f>
        <v>1.1432012916666665</v>
      </c>
      <c r="AY93" s="22">
        <f>VLOOKUP($A93,tabCustoUnit[],COLUMN(CUSTO_GLOBAL[[#Headers],[Licença Paternidade]])-2,0)*($G93-$H93)</f>
        <v>9.6310793749999998E-2</v>
      </c>
      <c r="AZ93" s="22">
        <f>VLOOKUP($A93,tabCustoUnit[],COLUMN(CUSTO_GLOBAL[[#Headers],[Ausência por Acidente de Trabalho]])-2,0)*($G93-$H93)</f>
        <v>0.1174521875</v>
      </c>
      <c r="BA93" s="22">
        <f>VLOOKUP($A93,tabCustoUnit[],COLUMN(CUSTO_GLOBAL[[#Headers],[Férias, Adicional de Férias e 13º  com empregada em gozo de Licença Maternidade]])-2,0)*($G93-$H93)</f>
        <v>0.73081361111111109</v>
      </c>
      <c r="BB93" s="22">
        <f>VLOOKUP($A93,tabCustoUnit[],COLUMN(CUSTO_GLOBAL[[#Headers],[Incidência do Submódulo 2.1 sobre Ausências Legais]])-2,0)*($G93-$H93)</f>
        <v>2.5887354761625003</v>
      </c>
      <c r="BC93" s="22">
        <f>VLOOKUP($A93,tabCustoUnit[],COLUMN(CUSTO_GLOBAL[[#Headers],[Submódulo 4.1]])-2,0)*($G93-$H93)</f>
        <v>9.4372420268569428</v>
      </c>
      <c r="BD93" s="22">
        <f>VLOOKUP($A93,tabCustoUnit[],COLUMN(CUSTO_GLOBAL[[#Headers],[Intervalo para Repouso ou Alimentação]])-2,0)*($G93-$H93)</f>
        <v>0</v>
      </c>
      <c r="BE93" s="22">
        <f>VLOOKUP($A93,tabCustoUnit[],COLUMN(CUSTO_GLOBAL[[#Headers],[Submódulo 4.2]])-2,0)*($G93-$H93)</f>
        <v>0</v>
      </c>
      <c r="BF93" s="22">
        <f>VLOOKUP($A93,tabCustoUnit[],COLUMN(CUSTO_GLOBAL[[#Headers],[Suspensão Temporária do Contrato de Trabalho]])-2,0)*($G93-$H93)</f>
        <v>0</v>
      </c>
      <c r="BG93" s="22">
        <f>VLOOKUP($A93,tabCustoUnit[],COLUMN(CUSTO_GLOBAL[[#Headers],[Submódulo 4.3]])-2,0)*($G93-$H93)</f>
        <v>0</v>
      </c>
      <c r="BH93" s="22">
        <f>VLOOKUP($A93,tabCustoUnit[],COLUMN(CUSTO_GLOBAL[[#Headers],[MÓDULO 4 – CUSTO DE REPOSIÇÃO DO PROFISSIONAL AUSENTE]])-2,0)*($G93-$H93)</f>
        <v>9.4372420268569428</v>
      </c>
      <c r="BI93" s="22">
        <f>VLOOKUP($A93,tabCustoUnit[],COLUMN(CUSTO_GLOBAL[[#Headers],[Uniformes e EPIs]])-2,0)*($G93-$H93)</f>
        <v>62.806666666666665</v>
      </c>
      <c r="BJ93" s="22">
        <f>VLOOKUP($A93,tabCustoUnit[],COLUMN(CUSTO_GLOBAL[[#Headers],[Materiais de Consumo]])-2,0)*($G93-$H93)</f>
        <v>12.108481690426325</v>
      </c>
      <c r="BK93" s="22">
        <f>VLOOKUP($A93,tabCustoUnit[],COLUMN(CUSTO_GLOBAL[[#Headers],[Máquinas e Equipamentos (depreciação)]])-2,0)*($G93-$H93)</f>
        <v>21.998657016417809</v>
      </c>
      <c r="BL93" s="22">
        <f>VLOOKUP($A93,tabCustoUnit[],COLUMN(CUSTO_GLOBAL[[#Headers],[Produtos de Limpeza e Materiais de Higiene Pessoal]])-2,0)*($G93-$H93)</f>
        <v>235.31984072022155</v>
      </c>
      <c r="BM93" s="22">
        <f>VLOOKUP($A93,tabCustoUnit[],COLUMN(CUSTO_GLOBAL[[#Headers],[Outros (especificar)]])-2,0)*($G93-$H93)</f>
        <v>0</v>
      </c>
      <c r="BN93" s="22">
        <f>VLOOKUP($A93,tabCustoUnit[],COLUMN(CUSTO_GLOBAL[[#Headers],[MÓDULO 5 – INSUMOS DIVERSOS]])-2,0)*($G93-$H93)</f>
        <v>332.23364609373232</v>
      </c>
      <c r="BO93" s="22">
        <f>VLOOKUP($A93,tabCustoUnit[],COLUMN(CUSTO_GLOBAL[[#Headers],[TOTAL MÓDULOS 1+2+3+4+5]])-2,0)*($G93-$H93)</f>
        <v>2103.1384999148136</v>
      </c>
      <c r="BP93" s="22">
        <f>VLOOKUP($A93,tabCustoUnit[],COLUMN(CUSTO_GLOBAL[[#Headers],[Custos Indiretos]])-2,0)*($G93-$H93)</f>
        <v>189.64880140242613</v>
      </c>
      <c r="BQ93" s="22">
        <f>VLOOKUP($A93,tabCustoUnit[],COLUMN(CUSTO_GLOBAL[[#Headers],[Lucro]])-2,0)*($G93-$H93)</f>
        <v>159.30499317803796</v>
      </c>
      <c r="BR93" s="26">
        <f>VLOOKUP($A93,tabCustoUnit[],COLUMN(CUSTO_GLOBAL[[#Headers],[COFINS]])-2,0)</f>
        <v>8.6609686609686695E-2</v>
      </c>
      <c r="BS93" s="26">
        <f>VLOOKUP($A93,tabCustoUnit[],COLUMN(CUSTO_GLOBAL[[#Headers],[PIS]])-2,0)</f>
        <v>1.880341880341882E-2</v>
      </c>
      <c r="BT93" s="28">
        <f>VLOOKUP($A93,tabCustoUnit[],COLUMN(CUSTO_GLOBAL[[#Headers],[ISS]])-2,0)</f>
        <v>0.03</v>
      </c>
      <c r="BU93" s="26">
        <f>VLOOKUP($A93,tabCustoUnit[],COLUMN(CUSTO_GLOBAL[[#Headers],[ISS (Conversão Alíquota s/ fatura)]])-2,0)</f>
        <v>3.4188034188034219E-2</v>
      </c>
      <c r="BV93" s="26">
        <f>VLOOKUP($A93,tabCustoUnit[],COLUMN(CUSTO_GLOBAL[[#Headers],[Resumo de Alíquotas (PIS+CONFINS+ISS)]])-2,0)</f>
        <v>0.1225</v>
      </c>
      <c r="BW93" s="138">
        <f>VLOOKUP($A93,tabCustoUnit[],COLUMN(CUSTO_GLOBAL[[#Headers],[PIS + COFINS + ISS (Total Conversão  Alíquota s/ Fatura)]])-2,0)</f>
        <v>0.13960113960113973</v>
      </c>
      <c r="BX93" s="22">
        <f>VLOOKUP($A93,tabCustoUnit[],COLUMN(CUSTO_GLOBAL[[#Headers],[Valor dos Tributos (ISS, PIS, CONFINS)]])-2,0)*($G93-$H93)</f>
        <v>342.31487871871428</v>
      </c>
      <c r="BY93" s="22">
        <f>VLOOKUP($A93,tabCustoUnit[],COLUMN(CUSTO_GLOBAL[[#Headers],[MÓDULO 6 – CUSTOS INDIRETOS, TRIBUTOS E LUCRO]])-2,0)*($G93-$H93)</f>
        <v>691.26867329917832</v>
      </c>
      <c r="BZ93" s="22">
        <f>VLOOKUP($A93,tabCustoUnit[],COLUMN(CUSTO_GLOBAL[[#Headers],[CUSTO TOTAL MENSAL]])-2,0)*($G93-$H93)</f>
        <v>2794.4071732139919</v>
      </c>
      <c r="CA93" s="22">
        <f>CUSTO_GLOBAL[[#This Row],[CUSTO TOTAL MENSAL]]*12</f>
        <v>33532.886078567899</v>
      </c>
      <c r="CB93" s="24">
        <f>VLOOKUP($A93,tabCustoUnit[],COLUMN(CUSTO_GLOBAL[[#Headers],[ANO DA CCT]])-2,0)</f>
        <v>45658</v>
      </c>
      <c r="CC93" s="25" t="str">
        <f>VLOOKUP($A93,tabCustoUnit[],COLUMN(CUSTO_GLOBAL[[#Headers],[Nº DE PEDIDO DA CCT]])-2,0)</f>
        <v>-</v>
      </c>
      <c r="CD93" s="25" t="str">
        <f>VLOOKUP($A93,tabCustoUnit[],COLUMN(CUSTO_GLOBAL[[#Headers],[TERMO ADITIVO  ALTERAÇÃO DA CCT]])-2,0)</f>
        <v>-</v>
      </c>
      <c r="CF93" s="22"/>
      <c r="CG93" s="22"/>
    </row>
    <row r="94" spans="1:85" x14ac:dyDescent="0.25">
      <c r="A94" s="20" t="s">
        <v>1433</v>
      </c>
      <c r="B94" t="s">
        <v>90</v>
      </c>
      <c r="C94" t="s">
        <v>1245</v>
      </c>
      <c r="D94" t="s">
        <v>1023</v>
      </c>
      <c r="E94" s="20" t="s">
        <v>9</v>
      </c>
      <c r="F94" s="20" t="s">
        <v>10</v>
      </c>
      <c r="G94" s="20">
        <v>1</v>
      </c>
      <c r="H94" s="20">
        <v>0</v>
      </c>
      <c r="I94" s="21">
        <f>VLOOKUP($A94,tabCustoUnit[],COLUMN(CUSTO_GLOBAL[[#Headers],[Salário Base]])-2,0)*($G94-$H94)</f>
        <v>1596.28</v>
      </c>
      <c r="J94" s="21">
        <f>VLOOKUP($A94,tabCustoUnit[],COLUMN(CUSTO_GLOBAL[[#Headers],[Adicional Periculosidade]])-2,0)*($G94-$H94)</f>
        <v>0</v>
      </c>
      <c r="K94" s="21">
        <f>VLOOKUP($A94,tabCustoUnit[],COLUMN(CUSTO_GLOBAL[[#Headers],[Adicional Insalubridade]])-2,0)*($G94-$H94)</f>
        <v>0</v>
      </c>
      <c r="L94" s="21">
        <f>VLOOKUP($A94,tabCustoUnit[],COLUMN(CUSTO_GLOBAL[[#Headers],[Adicional Noturno]])-2,0)*($G94-$H94)</f>
        <v>0</v>
      </c>
      <c r="M94" s="21">
        <f>VLOOKUP($A94,tabCustoUnit[],COLUMN(CUSTO_GLOBAL[[#Headers],[Adicional Motorista II (Gratificação)]])-2,0)*($G94-$H94)</f>
        <v>0</v>
      </c>
      <c r="N94" s="21">
        <f>VLOOKUP($A94,tabCustoUnit[],COLUMN(CUSTO_GLOBAL[[#Headers],[Adicional de Sobreaviso]])-2,0)*($G94-$H94)</f>
        <v>0</v>
      </c>
      <c r="O94" s="21">
        <f>VLOOKUP($A94,tabCustoUnit[],COLUMN(CUSTO_GLOBAL[[#Headers],[Horas Extras TI]])-2,0)*($G94-$H94)</f>
        <v>0</v>
      </c>
      <c r="P94" s="21">
        <f>VLOOKUP($A94,tabCustoUnit[],COLUMN(CUSTO_GLOBAL[[#Headers],[Adicional de Acúmulo de função]])-2,0)*($G94-$H94)</f>
        <v>52.241900000000001</v>
      </c>
      <c r="Q94" s="21">
        <f>VLOOKUP($A94,tabCustoUnit[],COLUMN(CUSTO_GLOBAL[[#Headers],[MODULO 1 - REMUNERAÇÃO ]])-2,0)*($G94-$H94)</f>
        <v>1648.5219</v>
      </c>
      <c r="R94" s="21">
        <f>VLOOKUP($A94,tabCustoUnit[],COLUMN(CUSTO_GLOBAL[[#Headers],[INSS]])-2,0)*($G94-$H94)</f>
        <v>329.70438000000001</v>
      </c>
      <c r="S94" s="21">
        <f>VLOOKUP($A94,tabCustoUnit[],COLUMN(CUSTO_GLOBAL[[#Headers],[SESI OU SESC]])-2,0)*($G94-$H94)</f>
        <v>24.727828499999998</v>
      </c>
      <c r="T94" s="21">
        <f>VLOOKUP($A94,tabCustoUnit[],COLUMN(CUSTO_GLOBAL[[#Headers],[SENAI OU SENAC]])-2,0)*($G94-$H94)</f>
        <v>16.485219000000001</v>
      </c>
      <c r="U94" s="21">
        <f>VLOOKUP($A94,tabCustoUnit[],COLUMN(CUSTO_GLOBAL[[#Headers],[INCRA]])-2,0)*($G94-$H94)</f>
        <v>3.2970438</v>
      </c>
      <c r="V94" s="21">
        <f>VLOOKUP($A94,tabCustoUnit[],COLUMN(CUSTO_GLOBAL[[#Headers],[Salário Educação]])-2,0)*($G94-$H94)</f>
        <v>41.213047500000002</v>
      </c>
      <c r="W94" s="21">
        <f>VLOOKUP($A94,tabCustoUnit[],COLUMN(CUSTO_GLOBAL[[#Headers],[FGTS]])-2,0)*($G94-$H94)</f>
        <v>131.88175200000001</v>
      </c>
      <c r="X94" s="21">
        <f>VLOOKUP($A94,tabCustoUnit[],COLUMN(CUSTO_GLOBAL[[#Headers],[RAT Ajustado]])-2,0)*($G94-$H94)</f>
        <v>65.940876000000003</v>
      </c>
      <c r="Y94" s="21">
        <f>VLOOKUP($A94,tabCustoUnit[],COLUMN(CUSTO_GLOBAL[[#Headers],[SEBRAE]])-2,0)*($G94-$H94)</f>
        <v>9.8911314000000008</v>
      </c>
      <c r="Z94" s="21">
        <f>VLOOKUP($A94,tabCustoUnit[],COLUMN(CUSTO_GLOBAL[[#Headers],[Submódulo 2.1]])-2,0)*($G94-$H94)</f>
        <v>623.14127819999999</v>
      </c>
      <c r="AA94" s="21">
        <f>VLOOKUP($A94,tabCustoUnit[],COLUMN(CUSTO_GLOBAL[[#Headers],[13º salário (titular)]])-2,0)*($G94-$H94)</f>
        <v>137.376825</v>
      </c>
      <c r="AB94" s="21">
        <f>VLOOKUP($A94,tabCustoUnit[],COLUMN(CUSTO_GLOBAL[[#Headers],[Férias e Adicional de Férias (titular)]])-2,0)*($G94-$H94)</f>
        <v>183.16909999999999</v>
      </c>
      <c r="AC94" s="21">
        <f>VLOOKUP($A94,tabCustoUnit[],COLUMN(CUSTO_GLOBAL[[#Headers],[Incidência do Submódulo 2.1 sobre 13º Salário, Férias e Adicional de Férias]])-2,0)*($G94-$H94)</f>
        <v>121.16635965</v>
      </c>
      <c r="AD94" s="21">
        <f>VLOOKUP($A94,tabCustoUnit[],COLUMN(CUSTO_GLOBAL[[#Headers],[Submódulo 2.2]])-2,0)*($G94-$H94)</f>
        <v>441.71228465000002</v>
      </c>
      <c r="AE94" s="22">
        <f>VLOOKUP($A94,tabCustoUnit[],COLUMN(CUSTO_GLOBAL[[#Headers],[Vale - Transporte (Descontada parcela do empregado)]])-2,0)*($G94-$H94)</f>
        <v>160.22320000000002</v>
      </c>
      <c r="AF94" s="22">
        <f>VLOOKUP($A94,tabCustoUnit[],COLUMN(CUSTO_GLOBAL[[#Headers],[Vale - Alimentação (Descontada parcela do empregado)]])-2,0)*($G94-$H94)</f>
        <v>582</v>
      </c>
      <c r="AG94" s="22">
        <f>VLOOKUP($A94,tabCustoUnit[],COLUMN(CUSTO_GLOBAL[[#Headers],[Cesta Básica]])-2,0)*($G94-$H94)</f>
        <v>0</v>
      </c>
      <c r="AH94" s="22">
        <f>VLOOKUP($A94,tabCustoUnit[],COLUMN(CUSTO_GLOBAL[[#Headers],[PAF]])-2,0)*($G94-$H94)</f>
        <v>0</v>
      </c>
      <c r="AI94" s="22">
        <f>VLOOKUP($A94,tabCustoUnit[],COLUMN(CUSTO_GLOBAL[[#Headers],[PQM]])-2,0)*($G94-$H94)</f>
        <v>0</v>
      </c>
      <c r="AJ94" s="22">
        <v>0</v>
      </c>
      <c r="AK94" s="22">
        <f>VLOOKUP($A94,tabCustoUnit[],COLUMN(CUSTO_GLOBAL[[#Headers],[Seguro de Vida]])-2,0)*($G94-$H94)</f>
        <v>3.36</v>
      </c>
      <c r="AL94" s="22">
        <f>VLOOKUP($A94,tabCustoUnit[],COLUMN(CUSTO_GLOBAL[[#Headers],[Despesas de Viagem]])-2,0)*($G94-$H94)</f>
        <v>0</v>
      </c>
      <c r="AM94" s="22">
        <f>VLOOKUP($A94,tabCustoUnit[],COLUMN(CUSTO_GLOBAL[[#Headers],[Submódulo 2.3]])-2,0)*($G94-$H94)</f>
        <v>745.58320000000003</v>
      </c>
      <c r="AN94" s="22">
        <f>VLOOKUP($A94,tabCustoUnit[],COLUMN(CUSTO_GLOBAL[[#Headers],[MÓDULO 2 - Total Encargos e Benefícios mensais e diários]])-2,0)*($G94-$H94)</f>
        <v>1810.4367628499999</v>
      </c>
      <c r="AO94" s="22">
        <f>VLOOKUP($A94,tabCustoUnit[],COLUMN(CUSTO_GLOBAL[[#Headers],[Aviso Prévio Indenizado (API) e Reflexo do Aviso Prévio Indenizado]])-2,0)*($G94-$H94)</f>
        <v>11.559051416493055</v>
      </c>
      <c r="AP94" s="22">
        <f>VLOOKUP($A94,tabCustoUnit[],COLUMN(CUSTO_GLOBAL[[#Headers],[Incidência do FGTS sobre API e Reflexo do API]])-2,0)*($G94-$H94)</f>
        <v>0.92472411331944449</v>
      </c>
      <c r="AQ94" s="22">
        <f>VLOOKUP($A94,tabCustoUnit[],COLUMN(CUSTO_GLOBAL[[#Headers],[Multa Rescisória do FGTS sobre o Aviso Prévio Indenizado]])-2,0)*($G94-$H94)</f>
        <v>0.36988964532777785</v>
      </c>
      <c r="AR94" s="22">
        <f>VLOOKUP($A94,tabCustoUnit[],COLUMN(CUSTO_GLOBAL[[#Headers],[Aviso Prévio Trabalhado - APT]])-2,0)*($G94-$H94)</f>
        <v>5.7698266500000006</v>
      </c>
      <c r="AS94" s="22">
        <f>VLOOKUP($A94,tabCustoUnit[],COLUMN(CUSTO_GLOBAL[[#Headers],[Incidência dos encargos do submódulo 2.1 sobre Aviso Prévio Trabalhado]])-2,0)*($G94-$H94)</f>
        <v>2.1809944737000007</v>
      </c>
      <c r="AT94" s="22">
        <f>VLOOKUP($A94,tabCustoUnit[],COLUMN(CUSTO_GLOBAL[[#Headers],[Multa Rescisória do FGTS]])-2,0)*($G94-$H94)</f>
        <v>50.40813631999999</v>
      </c>
      <c r="AU94" s="22">
        <f>VLOOKUP($A94,tabCustoUnit[],COLUMN(CUSTO_GLOBAL[[#Headers],[Indenização Adicional (Art. 9º da Lei nº 7.238/84)]])-2,0)*($G94-$H94)</f>
        <v>1.3737682500000001</v>
      </c>
      <c r="AV94" s="22">
        <f>VLOOKUP($A94,tabCustoUnit[],COLUMN(CUSTO_GLOBAL[[#Headers],[MÓDULO 3 – PROVISÃO PARA RESCISÃO]])-2,0)*($G94-$H94)</f>
        <v>72.586390868840269</v>
      </c>
      <c r="AW94" s="22">
        <f>VLOOKUP($A94,tabCustoUnit[],COLUMN(CUSTO_GLOBAL[[#Headers],[Ausência por Doença]])-2,0)*($G94-$H94)</f>
        <v>13.920851599999999</v>
      </c>
      <c r="AX94" s="22">
        <f>VLOOKUP($A94,tabCustoUnit[],COLUMN(CUSTO_GLOBAL[[#Headers],[Ausências Legais]])-2,0)*($G94-$H94)</f>
        <v>3.3428360749999997</v>
      </c>
      <c r="AY94" s="22">
        <f>VLOOKUP($A94,tabCustoUnit[],COLUMN(CUSTO_GLOBAL[[#Headers],[Licença Paternidade]])-2,0)*($G94-$H94)</f>
        <v>0.28162249125</v>
      </c>
      <c r="AZ94" s="22">
        <f>VLOOKUP($A94,tabCustoUnit[],COLUMN(CUSTO_GLOBAL[[#Headers],[Ausência por Acidente de Trabalho]])-2,0)*($G94-$H94)</f>
        <v>0.34344206250000003</v>
      </c>
      <c r="BA94" s="22">
        <f>VLOOKUP($A94,tabCustoUnit[],COLUMN(CUSTO_GLOBAL[[#Headers],[Férias, Adicional de Férias e 13º  com empregada em gozo de Licença Maternidade]])-2,0)*($G94-$H94)</f>
        <v>2.1369728333333331</v>
      </c>
      <c r="BB94" s="22">
        <f>VLOOKUP($A94,tabCustoUnit[],COLUMN(CUSTO_GLOBAL[[#Headers],[Incidência do Submódulo 2.1 sobre Ausências Legais]])-2,0)*($G94-$H94)</f>
        <v>7.5697240734675013</v>
      </c>
      <c r="BC94" s="22">
        <f>VLOOKUP($A94,tabCustoUnit[],COLUMN(CUSTO_GLOBAL[[#Headers],[Submódulo 4.1]])-2,0)*($G94-$H94)</f>
        <v>27.595449135550833</v>
      </c>
      <c r="BD94" s="22">
        <f>VLOOKUP($A94,tabCustoUnit[],COLUMN(CUSTO_GLOBAL[[#Headers],[Intervalo para Repouso ou Alimentação]])-2,0)*($G94-$H94)</f>
        <v>0</v>
      </c>
      <c r="BE94" s="22">
        <f>VLOOKUP($A94,tabCustoUnit[],COLUMN(CUSTO_GLOBAL[[#Headers],[Submódulo 4.2]])-2,0)*($G94-$H94)</f>
        <v>0</v>
      </c>
      <c r="BF94" s="22">
        <f>VLOOKUP($A94,tabCustoUnit[],COLUMN(CUSTO_GLOBAL[[#Headers],[Suspensão Temporária do Contrato de Trabalho]])-2,0)*($G94-$H94)</f>
        <v>0</v>
      </c>
      <c r="BG94" s="22">
        <f>VLOOKUP($A94,tabCustoUnit[],COLUMN(CUSTO_GLOBAL[[#Headers],[Submódulo 4.3]])-2,0)*($G94-$H94)</f>
        <v>0</v>
      </c>
      <c r="BH94" s="22">
        <f>VLOOKUP($A94,tabCustoUnit[],COLUMN(CUSTO_GLOBAL[[#Headers],[MÓDULO 4 – CUSTO DE REPOSIÇÃO DO PROFISSIONAL AUSENTE]])-2,0)*($G94-$H94)</f>
        <v>27.595449135550833</v>
      </c>
      <c r="BI94" s="22">
        <f>VLOOKUP($A94,tabCustoUnit[],COLUMN(CUSTO_GLOBAL[[#Headers],[Uniformes e EPIs]])-2,0)*($G94-$H94)</f>
        <v>100.80916666666666</v>
      </c>
      <c r="BJ94" s="22">
        <f>VLOOKUP($A94,tabCustoUnit[],COLUMN(CUSTO_GLOBAL[[#Headers],[Materiais de Consumo]])-2,0)*($G94-$H94)</f>
        <v>35.518212958583888</v>
      </c>
      <c r="BK94" s="22">
        <f>VLOOKUP($A94,tabCustoUnit[],COLUMN(CUSTO_GLOBAL[[#Headers],[Máquinas e Equipamentos (depreciação)]])-2,0)*($G94-$H94)</f>
        <v>64.529393914825576</v>
      </c>
      <c r="BL94" s="22">
        <f>VLOOKUP($A94,tabCustoUnit[],COLUMN(CUSTO_GLOBAL[[#Headers],[Produtos de Limpeza e Materiais de Higiene Pessoal]])-2,0)*($G94-$H94)</f>
        <v>690.27153277931654</v>
      </c>
      <c r="BM94" s="22">
        <f>VLOOKUP($A94,tabCustoUnit[],COLUMN(CUSTO_GLOBAL[[#Headers],[Outros (especificar)]])-2,0)*($G94-$H94)</f>
        <v>0</v>
      </c>
      <c r="BN94" s="22">
        <f>VLOOKUP($A94,tabCustoUnit[],COLUMN(CUSTO_GLOBAL[[#Headers],[MÓDULO 5 – INSUMOS DIVERSOS]])-2,0)*($G94-$H94)</f>
        <v>891.12830631939266</v>
      </c>
      <c r="BO94" s="22">
        <f>VLOOKUP($A94,tabCustoUnit[],COLUMN(CUSTO_GLOBAL[[#Headers],[TOTAL MÓDULOS 1+2+3+4+5]])-2,0)*($G94-$H94)</f>
        <v>4450.2688091737837</v>
      </c>
      <c r="BP94" s="22">
        <f>VLOOKUP($A94,tabCustoUnit[],COLUMN(CUSTO_GLOBAL[[#Headers],[Custos Indiretos]])-2,0)*($G94-$H94)</f>
        <v>189.64880140242613</v>
      </c>
      <c r="BQ94" s="22">
        <f>VLOOKUP($A94,tabCustoUnit[],COLUMN(CUSTO_GLOBAL[[#Headers],[Lucro]])-2,0)*($G94-$H94)</f>
        <v>159.30499317803796</v>
      </c>
      <c r="BR94" s="26">
        <f>VLOOKUP($A94,tabCustoUnit[],COLUMN(CUSTO_GLOBAL[[#Headers],[COFINS]])-2,0)</f>
        <v>8.5633802816901458E-2</v>
      </c>
      <c r="BS94" s="26">
        <f>VLOOKUP($A94,tabCustoUnit[],COLUMN(CUSTO_GLOBAL[[#Headers],[PIS]])-2,0)</f>
        <v>1.8591549295774657E-2</v>
      </c>
      <c r="BT94" s="28">
        <f>VLOOKUP($A94,tabCustoUnit[],COLUMN(CUSTO_GLOBAL[[#Headers],[ISS]])-2,0)</f>
        <v>0.02</v>
      </c>
      <c r="BU94" s="26">
        <f>VLOOKUP($A94,tabCustoUnit[],COLUMN(CUSTO_GLOBAL[[#Headers],[ISS (Conversão Alíquota s/ fatura)]])-2,0)</f>
        <v>2.2535211267605645E-2</v>
      </c>
      <c r="BV94" s="26">
        <f>VLOOKUP($A94,tabCustoUnit[],COLUMN(CUSTO_GLOBAL[[#Headers],[Resumo de Alíquotas (PIS+CONFINS+ISS)]])-2,0)</f>
        <v>0.1125</v>
      </c>
      <c r="BW94" s="138">
        <f>VLOOKUP($A94,tabCustoUnit[],COLUMN(CUSTO_GLOBAL[[#Headers],[PIS + COFINS + ISS (Total Conversão  Alíquota s/ Fatura)]])-2,0)</f>
        <v>0.12676056338028174</v>
      </c>
      <c r="BX94" s="22">
        <f>VLOOKUP($A94,tabCustoUnit[],COLUMN(CUSTO_GLOBAL[[#Headers],[Valor dos Tributos (ISS, PIS, CONFINS)]])-2,0)*($G94-$H94)</f>
        <v>608.3521610392711</v>
      </c>
      <c r="BY94" s="22">
        <f>VLOOKUP($A94,tabCustoUnit[],COLUMN(CUSTO_GLOBAL[[#Headers],[MÓDULO 6 – CUSTOS INDIRETOS, TRIBUTOS E LUCRO]])-2,0)*($G94-$H94)</f>
        <v>957.30595561973519</v>
      </c>
      <c r="BZ94" s="22">
        <f>VLOOKUP($A94,tabCustoUnit[],COLUMN(CUSTO_GLOBAL[[#Headers],[CUSTO TOTAL MENSAL]])-2,0)*($G94-$H94)</f>
        <v>5407.5747647935186</v>
      </c>
      <c r="CA94" s="22">
        <f>CUSTO_GLOBAL[[#This Row],[CUSTO TOTAL MENSAL]]*12</f>
        <v>64890.897177522224</v>
      </c>
      <c r="CB94" s="24">
        <f>VLOOKUP($A94,tabCustoUnit[],COLUMN(CUSTO_GLOBAL[[#Headers],[ANO DA CCT]])-2,0)</f>
        <v>45658</v>
      </c>
      <c r="CC94" s="25" t="str">
        <f>VLOOKUP($A94,tabCustoUnit[],COLUMN(CUSTO_GLOBAL[[#Headers],[Nº DE PEDIDO DA CCT]])-2,0)</f>
        <v>-</v>
      </c>
      <c r="CD94" s="25" t="str">
        <f>VLOOKUP($A94,tabCustoUnit[],COLUMN(CUSTO_GLOBAL[[#Headers],[TERMO ADITIVO  ALTERAÇÃO DA CCT]])-2,0)</f>
        <v>-</v>
      </c>
      <c r="CF94" s="22"/>
      <c r="CG94" s="22"/>
    </row>
    <row r="95" spans="1:85" x14ac:dyDescent="0.25">
      <c r="A95" s="20" t="s">
        <v>1434</v>
      </c>
      <c r="B95" t="s">
        <v>91</v>
      </c>
      <c r="C95" t="s">
        <v>1244</v>
      </c>
      <c r="D95" t="s">
        <v>1023</v>
      </c>
      <c r="E95" s="20" t="s">
        <v>9</v>
      </c>
      <c r="F95" s="20" t="s">
        <v>10</v>
      </c>
      <c r="G95" s="20">
        <v>1</v>
      </c>
      <c r="H95" s="20">
        <v>0</v>
      </c>
      <c r="I95" s="21">
        <f>VLOOKUP($A95,tabCustoUnit[],COLUMN(CUSTO_GLOBAL[[#Headers],[Salário Base]])-2,0)*($G95-$H95)</f>
        <v>798.14</v>
      </c>
      <c r="J95" s="21">
        <f>VLOOKUP($A95,tabCustoUnit[],COLUMN(CUSTO_GLOBAL[[#Headers],[Adicional Periculosidade]])-2,0)*($G95-$H95)</f>
        <v>0</v>
      </c>
      <c r="K95" s="21">
        <f>VLOOKUP($A95,tabCustoUnit[],COLUMN(CUSTO_GLOBAL[[#Headers],[Adicional Insalubridade]])-2,0)*($G95-$H95)</f>
        <v>0</v>
      </c>
      <c r="L95" s="21">
        <f>VLOOKUP($A95,tabCustoUnit[],COLUMN(CUSTO_GLOBAL[[#Headers],[Adicional Noturno]])-2,0)*($G95-$H95)</f>
        <v>0</v>
      </c>
      <c r="M95" s="21">
        <f>VLOOKUP($A95,tabCustoUnit[],COLUMN(CUSTO_GLOBAL[[#Headers],[Adicional Motorista II (Gratificação)]])-2,0)*($G95-$H95)</f>
        <v>0</v>
      </c>
      <c r="N95" s="21">
        <f>VLOOKUP($A95,tabCustoUnit[],COLUMN(CUSTO_GLOBAL[[#Headers],[Adicional de Sobreaviso]])-2,0)*($G95-$H95)</f>
        <v>0</v>
      </c>
      <c r="O95" s="21">
        <f>VLOOKUP($A95,tabCustoUnit[],COLUMN(CUSTO_GLOBAL[[#Headers],[Horas Extras TI]])-2,0)*($G95-$H95)</f>
        <v>0</v>
      </c>
      <c r="P95" s="21">
        <f>VLOOKUP($A95,tabCustoUnit[],COLUMN(CUSTO_GLOBAL[[#Headers],[Adicional de Acúmulo de função]])-2,0)*($G95-$H95)</f>
        <v>26.120899999999999</v>
      </c>
      <c r="Q95" s="21">
        <f>VLOOKUP($A95,tabCustoUnit[],COLUMN(CUSTO_GLOBAL[[#Headers],[MODULO 1 - REMUNERAÇÃO ]])-2,0)*($G95-$H95)</f>
        <v>824.26089999999999</v>
      </c>
      <c r="R95" s="21">
        <f>VLOOKUP($A95,tabCustoUnit[],COLUMN(CUSTO_GLOBAL[[#Headers],[INSS]])-2,0)*($G95-$H95)</f>
        <v>164.85218</v>
      </c>
      <c r="S95" s="21">
        <f>VLOOKUP($A95,tabCustoUnit[],COLUMN(CUSTO_GLOBAL[[#Headers],[SESI OU SESC]])-2,0)*($G95-$H95)</f>
        <v>12.363913499999999</v>
      </c>
      <c r="T95" s="21">
        <f>VLOOKUP($A95,tabCustoUnit[],COLUMN(CUSTO_GLOBAL[[#Headers],[SENAI OU SENAC]])-2,0)*($G95-$H95)</f>
        <v>8.2426089999999999</v>
      </c>
      <c r="U95" s="21">
        <f>VLOOKUP($A95,tabCustoUnit[],COLUMN(CUSTO_GLOBAL[[#Headers],[INCRA]])-2,0)*($G95-$H95)</f>
        <v>1.6485217999999999</v>
      </c>
      <c r="V95" s="21">
        <f>VLOOKUP($A95,tabCustoUnit[],COLUMN(CUSTO_GLOBAL[[#Headers],[Salário Educação]])-2,0)*($G95-$H95)</f>
        <v>20.606522500000001</v>
      </c>
      <c r="W95" s="21">
        <f>VLOOKUP($A95,tabCustoUnit[],COLUMN(CUSTO_GLOBAL[[#Headers],[FGTS]])-2,0)*($G95-$H95)</f>
        <v>65.940871999999999</v>
      </c>
      <c r="X95" s="21">
        <f>VLOOKUP($A95,tabCustoUnit[],COLUMN(CUSTO_GLOBAL[[#Headers],[RAT Ajustado]])-2,0)*($G95-$H95)</f>
        <v>32.970435999999999</v>
      </c>
      <c r="Y95" s="21">
        <f>VLOOKUP($A95,tabCustoUnit[],COLUMN(CUSTO_GLOBAL[[#Headers],[SEBRAE]])-2,0)*($G95-$H95)</f>
        <v>4.9455654000000004</v>
      </c>
      <c r="Z95" s="21">
        <f>VLOOKUP($A95,tabCustoUnit[],COLUMN(CUSTO_GLOBAL[[#Headers],[Submódulo 2.1]])-2,0)*($G95-$H95)</f>
        <v>311.57062020000001</v>
      </c>
      <c r="AA95" s="21">
        <f>VLOOKUP($A95,tabCustoUnit[],COLUMN(CUSTO_GLOBAL[[#Headers],[13º salário (titular)]])-2,0)*($G95-$H95)</f>
        <v>68.688408333333328</v>
      </c>
      <c r="AB95" s="21">
        <f>VLOOKUP($A95,tabCustoUnit[],COLUMN(CUSTO_GLOBAL[[#Headers],[Férias e Adicional de Férias (titular)]])-2,0)*($G95-$H95)</f>
        <v>91.584544444444433</v>
      </c>
      <c r="AC95" s="21">
        <f>VLOOKUP($A95,tabCustoUnit[],COLUMN(CUSTO_GLOBAL[[#Headers],[Incidência do Submódulo 2.1 sobre 13º Salário, Férias e Adicional de Férias]])-2,0)*($G95-$H95)</f>
        <v>60.583176149999993</v>
      </c>
      <c r="AD95" s="21">
        <f>VLOOKUP($A95,tabCustoUnit[],COLUMN(CUSTO_GLOBAL[[#Headers],[Submódulo 2.2]])-2,0)*($G95-$H95)</f>
        <v>220.85612892777775</v>
      </c>
      <c r="AE95" s="22">
        <f>VLOOKUP($A95,tabCustoUnit[],COLUMN(CUSTO_GLOBAL[[#Headers],[Vale - Transporte (Descontada parcela do empregado)]])-2,0)*($G95-$H95)</f>
        <v>208.11160000000001</v>
      </c>
      <c r="AF95" s="22">
        <f>VLOOKUP($A95,tabCustoUnit[],COLUMN(CUSTO_GLOBAL[[#Headers],[Vale - Alimentação (Descontada parcela do empregado)]])-2,0)*($G95-$H95)</f>
        <v>582</v>
      </c>
      <c r="AG95" s="22">
        <f>VLOOKUP($A95,tabCustoUnit[],COLUMN(CUSTO_GLOBAL[[#Headers],[Cesta Básica]])-2,0)*($G95-$H95)</f>
        <v>0</v>
      </c>
      <c r="AH95" s="22">
        <f>VLOOKUP($A95,tabCustoUnit[],COLUMN(CUSTO_GLOBAL[[#Headers],[PAF]])-2,0)*($G95-$H95)</f>
        <v>0</v>
      </c>
      <c r="AI95" s="22">
        <f>VLOOKUP($A95,tabCustoUnit[],COLUMN(CUSTO_GLOBAL[[#Headers],[PQM]])-2,0)*($G95-$H95)</f>
        <v>0</v>
      </c>
      <c r="AJ95" s="22">
        <v>0</v>
      </c>
      <c r="AK95" s="22">
        <f>VLOOKUP($A95,tabCustoUnit[],COLUMN(CUSTO_GLOBAL[[#Headers],[Seguro de Vida]])-2,0)*($G95-$H95)</f>
        <v>3.36</v>
      </c>
      <c r="AL95" s="22">
        <f>VLOOKUP($A95,tabCustoUnit[],COLUMN(CUSTO_GLOBAL[[#Headers],[Despesas de Viagem]])-2,0)*($G95-$H95)</f>
        <v>0</v>
      </c>
      <c r="AM95" s="22">
        <f>VLOOKUP($A95,tabCustoUnit[],COLUMN(CUSTO_GLOBAL[[#Headers],[Submódulo 2.3]])-2,0)*($G95-$H95)</f>
        <v>793.47159999999997</v>
      </c>
      <c r="AN95" s="22">
        <f>VLOOKUP($A95,tabCustoUnit[],COLUMN(CUSTO_GLOBAL[[#Headers],[MÓDULO 2 - Total Encargos e Benefícios mensais e diários]])-2,0)*($G95-$H95)</f>
        <v>1325.8983491277777</v>
      </c>
      <c r="AO95" s="22">
        <f>VLOOKUP($A95,tabCustoUnit[],COLUMN(CUSTO_GLOBAL[[#Headers],[Aviso Prévio Indenizado (API) e Reflexo do Aviso Prévio Indenizado]])-2,0)*($G95-$H95)</f>
        <v>5.7795253576581791</v>
      </c>
      <c r="AP95" s="22">
        <f>VLOOKUP($A95,tabCustoUnit[],COLUMN(CUSTO_GLOBAL[[#Headers],[Incidência do FGTS sobre API e Reflexo do API]])-2,0)*($G95-$H95)</f>
        <v>0.46236202861265435</v>
      </c>
      <c r="AQ95" s="22">
        <f>VLOOKUP($A95,tabCustoUnit[],COLUMN(CUSTO_GLOBAL[[#Headers],[Multa Rescisória do FGTS sobre o Aviso Prévio Indenizado]])-2,0)*($G95-$H95)</f>
        <v>0.18494481144506175</v>
      </c>
      <c r="AR95" s="22">
        <f>VLOOKUP($A95,tabCustoUnit[],COLUMN(CUSTO_GLOBAL[[#Headers],[Aviso Prévio Trabalhado - APT]])-2,0)*($G95-$H95)</f>
        <v>2.8849131500000005</v>
      </c>
      <c r="AS95" s="22">
        <f>VLOOKUP($A95,tabCustoUnit[],COLUMN(CUSTO_GLOBAL[[#Headers],[Incidência dos encargos do submódulo 2.1 sobre Aviso Prévio Trabalhado]])-2,0)*($G95-$H95)</f>
        <v>1.0904971707000004</v>
      </c>
      <c r="AT95" s="22">
        <f>VLOOKUP($A95,tabCustoUnit[],COLUMN(CUSTO_GLOBAL[[#Headers],[Multa Rescisória do FGTS]])-2,0)*($G95-$H95)</f>
        <v>25.204066631111107</v>
      </c>
      <c r="AU95" s="22">
        <f>VLOOKUP($A95,tabCustoUnit[],COLUMN(CUSTO_GLOBAL[[#Headers],[Indenização Adicional (Art. 9º da Lei nº 7.238/84)]])-2,0)*($G95-$H95)</f>
        <v>0.6868840833333334</v>
      </c>
      <c r="AV95" s="22">
        <f>VLOOKUP($A95,tabCustoUnit[],COLUMN(CUSTO_GLOBAL[[#Headers],[MÓDULO 3 – PROVISÃO PARA RESCISÃO]])-2,0)*($G95-$H95)</f>
        <v>36.293193232860339</v>
      </c>
      <c r="AW95" s="22">
        <f>VLOOKUP($A95,tabCustoUnit[],COLUMN(CUSTO_GLOBAL[[#Headers],[Ausência por Doença]])-2,0)*($G95-$H95)</f>
        <v>6.9604253777777769</v>
      </c>
      <c r="AX95" s="22">
        <f>VLOOKUP($A95,tabCustoUnit[],COLUMN(CUSTO_GLOBAL[[#Headers],[Ausências Legais]])-2,0)*($G95-$H95)</f>
        <v>1.671417936111111</v>
      </c>
      <c r="AY95" s="22">
        <f>VLOOKUP($A95,tabCustoUnit[],COLUMN(CUSTO_GLOBAL[[#Headers],[Licença Paternidade]])-2,0)*($G95-$H95)</f>
        <v>0.14081123708333332</v>
      </c>
      <c r="AZ95" s="22">
        <f>VLOOKUP($A95,tabCustoUnit[],COLUMN(CUSTO_GLOBAL[[#Headers],[Ausência por Acidente de Trabalho]])-2,0)*($G95-$H95)</f>
        <v>0.17172102083333335</v>
      </c>
      <c r="BA95" s="22">
        <f>VLOOKUP($A95,tabCustoUnit[],COLUMN(CUSTO_GLOBAL[[#Headers],[Férias, Adicional de Férias e 13º  com empregada em gozo de Licença Maternidade]])-2,0)*($G95-$H95)</f>
        <v>1.0684863518518517</v>
      </c>
      <c r="BB95" s="22">
        <f>VLOOKUP($A95,tabCustoUnit[],COLUMN(CUSTO_GLOBAL[[#Headers],[Incidência do Submódulo 2.1 sobre Ausências Legais]])-2,0)*($G95-$H95)</f>
        <v>3.7848618071425006</v>
      </c>
      <c r="BC95" s="22">
        <f>VLOOKUP($A95,tabCustoUnit[],COLUMN(CUSTO_GLOBAL[[#Headers],[Submódulo 4.1]])-2,0)*($G95-$H95)</f>
        <v>13.797723730799909</v>
      </c>
      <c r="BD95" s="22">
        <f>VLOOKUP($A95,tabCustoUnit[],COLUMN(CUSTO_GLOBAL[[#Headers],[Intervalo para Repouso ou Alimentação]])-2,0)*($G95-$H95)</f>
        <v>0</v>
      </c>
      <c r="BE95" s="22">
        <f>VLOOKUP($A95,tabCustoUnit[],COLUMN(CUSTO_GLOBAL[[#Headers],[Submódulo 4.2]])-2,0)*($G95-$H95)</f>
        <v>0</v>
      </c>
      <c r="BF95" s="22">
        <f>VLOOKUP($A95,tabCustoUnit[],COLUMN(CUSTO_GLOBAL[[#Headers],[Suspensão Temporária do Contrato de Trabalho]])-2,0)*($G95-$H95)</f>
        <v>0</v>
      </c>
      <c r="BG95" s="22">
        <f>VLOOKUP($A95,tabCustoUnit[],COLUMN(CUSTO_GLOBAL[[#Headers],[Submódulo 4.3]])-2,0)*($G95-$H95)</f>
        <v>0</v>
      </c>
      <c r="BH95" s="22">
        <f>VLOOKUP($A95,tabCustoUnit[],COLUMN(CUSTO_GLOBAL[[#Headers],[MÓDULO 4 – CUSTO DE REPOSIÇÃO DO PROFISSIONAL AUSENTE]])-2,0)*($G95-$H95)</f>
        <v>13.797723730799909</v>
      </c>
      <c r="BI95" s="22">
        <f>VLOOKUP($A95,tabCustoUnit[],COLUMN(CUSTO_GLOBAL[[#Headers],[Uniformes e EPIs]])-2,0)*($G95-$H95)</f>
        <v>62.806666666666665</v>
      </c>
      <c r="BJ95" s="22">
        <f>VLOOKUP($A95,tabCustoUnit[],COLUMN(CUSTO_GLOBAL[[#Headers],[Materiais de Consumo]])-2,0)*($G95-$H95)</f>
        <v>17.759106479291944</v>
      </c>
      <c r="BK95" s="22">
        <f>VLOOKUP($A95,tabCustoUnit[],COLUMN(CUSTO_GLOBAL[[#Headers],[Máquinas e Equipamentos (depreciação)]])-2,0)*($G95-$H95)</f>
        <v>32.264696957412788</v>
      </c>
      <c r="BL95" s="22">
        <f>VLOOKUP($A95,tabCustoUnit[],COLUMN(CUSTO_GLOBAL[[#Headers],[Produtos de Limpeza e Materiais de Higiene Pessoal]])-2,0)*($G95-$H95)</f>
        <v>345.13576638965827</v>
      </c>
      <c r="BM95" s="22">
        <f>VLOOKUP($A95,tabCustoUnit[],COLUMN(CUSTO_GLOBAL[[#Headers],[Outros (especificar)]])-2,0)*($G95-$H95)</f>
        <v>0</v>
      </c>
      <c r="BN95" s="22">
        <f>VLOOKUP($A95,tabCustoUnit[],COLUMN(CUSTO_GLOBAL[[#Headers],[MÓDULO 5 – INSUMOS DIVERSOS]])-2,0)*($G95-$H95)</f>
        <v>457.96623649302967</v>
      </c>
      <c r="BO95" s="22">
        <f>VLOOKUP($A95,tabCustoUnit[],COLUMN(CUSTO_GLOBAL[[#Headers],[TOTAL MÓDULOS 1+2+3+4+5]])-2,0)*($G95-$H95)</f>
        <v>2658.2164025844677</v>
      </c>
      <c r="BP95" s="22">
        <f>VLOOKUP($A95,tabCustoUnit[],COLUMN(CUSTO_GLOBAL[[#Headers],[Custos Indiretos]])-2,0)*($G95-$H95)</f>
        <v>189.64880140242613</v>
      </c>
      <c r="BQ95" s="22">
        <f>VLOOKUP($A95,tabCustoUnit[],COLUMN(CUSTO_GLOBAL[[#Headers],[Lucro]])-2,0)*($G95-$H95)</f>
        <v>159.30499317803796</v>
      </c>
      <c r="BR95" s="26">
        <f>VLOOKUP($A95,tabCustoUnit[],COLUMN(CUSTO_GLOBAL[[#Headers],[COFINS]])-2,0)</f>
        <v>8.5633802816901458E-2</v>
      </c>
      <c r="BS95" s="26">
        <f>VLOOKUP($A95,tabCustoUnit[],COLUMN(CUSTO_GLOBAL[[#Headers],[PIS]])-2,0)</f>
        <v>1.8591549295774657E-2</v>
      </c>
      <c r="BT95" s="28">
        <f>VLOOKUP($A95,tabCustoUnit[],COLUMN(CUSTO_GLOBAL[[#Headers],[ISS]])-2,0)</f>
        <v>0.02</v>
      </c>
      <c r="BU95" s="26">
        <f>VLOOKUP($A95,tabCustoUnit[],COLUMN(CUSTO_GLOBAL[[#Headers],[ISS (Conversão Alíquota s/ fatura)]])-2,0)</f>
        <v>2.2535211267605645E-2</v>
      </c>
      <c r="BV95" s="26">
        <f>VLOOKUP($A95,tabCustoUnit[],COLUMN(CUSTO_GLOBAL[[#Headers],[Resumo de Alíquotas (PIS+CONFINS+ISS)]])-2,0)</f>
        <v>0.1125</v>
      </c>
      <c r="BW95" s="138">
        <f>VLOOKUP($A95,tabCustoUnit[],COLUMN(CUSTO_GLOBAL[[#Headers],[PIS + COFINS + ISS (Total Conversão  Alíquota s/ Fatura)]])-2,0)</f>
        <v>0.12676056338028174</v>
      </c>
      <c r="BX95" s="22">
        <f>VLOOKUP($A95,tabCustoUnit[],COLUMN(CUSTO_GLOBAL[[#Headers],[Valor dos Tributos (ISS, PIS, CONFINS)]])-2,0)*($G95-$H95)</f>
        <v>381.19058837301969</v>
      </c>
      <c r="BY95" s="22">
        <f>VLOOKUP($A95,tabCustoUnit[],COLUMN(CUSTO_GLOBAL[[#Headers],[MÓDULO 6 – CUSTOS INDIRETOS, TRIBUTOS E LUCRO]])-2,0)*($G95-$H95)</f>
        <v>730.14438295348373</v>
      </c>
      <c r="BZ95" s="22">
        <f>VLOOKUP($A95,tabCustoUnit[],COLUMN(CUSTO_GLOBAL[[#Headers],[CUSTO TOTAL MENSAL]])-2,0)*($G95-$H95)</f>
        <v>3388.3607855379514</v>
      </c>
      <c r="CA95" s="22">
        <f>CUSTO_GLOBAL[[#This Row],[CUSTO TOTAL MENSAL]]*12</f>
        <v>40660.329426455413</v>
      </c>
      <c r="CB95" s="24">
        <f>VLOOKUP($A95,tabCustoUnit[],COLUMN(CUSTO_GLOBAL[[#Headers],[ANO DA CCT]])-2,0)</f>
        <v>45658</v>
      </c>
      <c r="CC95" s="25" t="str">
        <f>VLOOKUP($A95,tabCustoUnit[],COLUMN(CUSTO_GLOBAL[[#Headers],[Nº DE PEDIDO DA CCT]])-2,0)</f>
        <v>-</v>
      </c>
      <c r="CD95" s="25" t="str">
        <f>VLOOKUP($A95,tabCustoUnit[],COLUMN(CUSTO_GLOBAL[[#Headers],[TERMO ADITIVO  ALTERAÇÃO DA CCT]])-2,0)</f>
        <v>-</v>
      </c>
      <c r="CF95" s="22"/>
      <c r="CG95" s="22"/>
    </row>
    <row r="96" spans="1:85" x14ac:dyDescent="0.25">
      <c r="A96" s="20" t="s">
        <v>1435</v>
      </c>
      <c r="B96" t="s">
        <v>91</v>
      </c>
      <c r="C96" t="s">
        <v>1245</v>
      </c>
      <c r="D96" t="s">
        <v>1023</v>
      </c>
      <c r="E96" s="20" t="s">
        <v>9</v>
      </c>
      <c r="F96" s="20" t="s">
        <v>10</v>
      </c>
      <c r="G96" s="20">
        <v>1</v>
      </c>
      <c r="H96" s="20">
        <v>0</v>
      </c>
      <c r="I96" s="21">
        <f>VLOOKUP($A96,tabCustoUnit[],COLUMN(CUSTO_GLOBAL[[#Headers],[Salário Base]])-2,0)*($G96-$H96)</f>
        <v>1596.28</v>
      </c>
      <c r="J96" s="21">
        <f>VLOOKUP($A96,tabCustoUnit[],COLUMN(CUSTO_GLOBAL[[#Headers],[Adicional Periculosidade]])-2,0)*($G96-$H96)</f>
        <v>0</v>
      </c>
      <c r="K96" s="21">
        <f>VLOOKUP($A96,tabCustoUnit[],COLUMN(CUSTO_GLOBAL[[#Headers],[Adicional Insalubridade]])-2,0)*($G96-$H96)</f>
        <v>0</v>
      </c>
      <c r="L96" s="21">
        <f>VLOOKUP($A96,tabCustoUnit[],COLUMN(CUSTO_GLOBAL[[#Headers],[Adicional Noturno]])-2,0)*($G96-$H96)</f>
        <v>0</v>
      </c>
      <c r="M96" s="21">
        <f>VLOOKUP($A96,tabCustoUnit[],COLUMN(CUSTO_GLOBAL[[#Headers],[Adicional Motorista II (Gratificação)]])-2,0)*($G96-$H96)</f>
        <v>0</v>
      </c>
      <c r="N96" s="21">
        <f>VLOOKUP($A96,tabCustoUnit[],COLUMN(CUSTO_GLOBAL[[#Headers],[Adicional de Sobreaviso]])-2,0)*($G96-$H96)</f>
        <v>0</v>
      </c>
      <c r="O96" s="21">
        <f>VLOOKUP($A96,tabCustoUnit[],COLUMN(CUSTO_GLOBAL[[#Headers],[Horas Extras TI]])-2,0)*($G96-$H96)</f>
        <v>0</v>
      </c>
      <c r="P96" s="21">
        <f>VLOOKUP($A96,tabCustoUnit[],COLUMN(CUSTO_GLOBAL[[#Headers],[Adicional de Acúmulo de função]])-2,0)*($G96-$H96)</f>
        <v>52.241900000000001</v>
      </c>
      <c r="Q96" s="21">
        <f>VLOOKUP($A96,tabCustoUnit[],COLUMN(CUSTO_GLOBAL[[#Headers],[MODULO 1 - REMUNERAÇÃO ]])-2,0)*($G96-$H96)</f>
        <v>1648.5219</v>
      </c>
      <c r="R96" s="21">
        <f>VLOOKUP($A96,tabCustoUnit[],COLUMN(CUSTO_GLOBAL[[#Headers],[INSS]])-2,0)*($G96-$H96)</f>
        <v>329.70438000000001</v>
      </c>
      <c r="S96" s="21">
        <f>VLOOKUP($A96,tabCustoUnit[],COLUMN(CUSTO_GLOBAL[[#Headers],[SESI OU SESC]])-2,0)*($G96-$H96)</f>
        <v>24.727828499999998</v>
      </c>
      <c r="T96" s="21">
        <f>VLOOKUP($A96,tabCustoUnit[],COLUMN(CUSTO_GLOBAL[[#Headers],[SENAI OU SENAC]])-2,0)*($G96-$H96)</f>
        <v>16.485219000000001</v>
      </c>
      <c r="U96" s="21">
        <f>VLOOKUP($A96,tabCustoUnit[],COLUMN(CUSTO_GLOBAL[[#Headers],[INCRA]])-2,0)*($G96-$H96)</f>
        <v>3.2970438</v>
      </c>
      <c r="V96" s="21">
        <f>VLOOKUP($A96,tabCustoUnit[],COLUMN(CUSTO_GLOBAL[[#Headers],[Salário Educação]])-2,0)*($G96-$H96)</f>
        <v>41.213047500000002</v>
      </c>
      <c r="W96" s="21">
        <f>VLOOKUP($A96,tabCustoUnit[],COLUMN(CUSTO_GLOBAL[[#Headers],[FGTS]])-2,0)*($G96-$H96)</f>
        <v>131.88175200000001</v>
      </c>
      <c r="X96" s="21">
        <f>VLOOKUP($A96,tabCustoUnit[],COLUMN(CUSTO_GLOBAL[[#Headers],[RAT Ajustado]])-2,0)*($G96-$H96)</f>
        <v>65.940876000000003</v>
      </c>
      <c r="Y96" s="21">
        <f>VLOOKUP($A96,tabCustoUnit[],COLUMN(CUSTO_GLOBAL[[#Headers],[SEBRAE]])-2,0)*($G96-$H96)</f>
        <v>9.8911314000000008</v>
      </c>
      <c r="Z96" s="21">
        <f>VLOOKUP($A96,tabCustoUnit[],COLUMN(CUSTO_GLOBAL[[#Headers],[Submódulo 2.1]])-2,0)*($G96-$H96)</f>
        <v>623.14127819999999</v>
      </c>
      <c r="AA96" s="21">
        <f>VLOOKUP($A96,tabCustoUnit[],COLUMN(CUSTO_GLOBAL[[#Headers],[13º salário (titular)]])-2,0)*($G96-$H96)</f>
        <v>137.376825</v>
      </c>
      <c r="AB96" s="21">
        <f>VLOOKUP($A96,tabCustoUnit[],COLUMN(CUSTO_GLOBAL[[#Headers],[Férias e Adicional de Férias (titular)]])-2,0)*($G96-$H96)</f>
        <v>183.16909999999999</v>
      </c>
      <c r="AC96" s="21">
        <f>VLOOKUP($A96,tabCustoUnit[],COLUMN(CUSTO_GLOBAL[[#Headers],[Incidência do Submódulo 2.1 sobre 13º Salário, Férias e Adicional de Férias]])-2,0)*($G96-$H96)</f>
        <v>121.16635965</v>
      </c>
      <c r="AD96" s="21">
        <f>VLOOKUP($A96,tabCustoUnit[],COLUMN(CUSTO_GLOBAL[[#Headers],[Submódulo 2.2]])-2,0)*($G96-$H96)</f>
        <v>441.71228465000002</v>
      </c>
      <c r="AE96" s="22">
        <f>VLOOKUP($A96,tabCustoUnit[],COLUMN(CUSTO_GLOBAL[[#Headers],[Vale - Transporte (Descontada parcela do empregado)]])-2,0)*($G96-$H96)</f>
        <v>160.22320000000002</v>
      </c>
      <c r="AF96" s="22">
        <f>VLOOKUP($A96,tabCustoUnit[],COLUMN(CUSTO_GLOBAL[[#Headers],[Vale - Alimentação (Descontada parcela do empregado)]])-2,0)*($G96-$H96)</f>
        <v>582</v>
      </c>
      <c r="AG96" s="22">
        <f>VLOOKUP($A96,tabCustoUnit[],COLUMN(CUSTO_GLOBAL[[#Headers],[Cesta Básica]])-2,0)*($G96-$H96)</f>
        <v>0</v>
      </c>
      <c r="AH96" s="22">
        <f>VLOOKUP($A96,tabCustoUnit[],COLUMN(CUSTO_GLOBAL[[#Headers],[PAF]])-2,0)*($G96-$H96)</f>
        <v>0</v>
      </c>
      <c r="AI96" s="22">
        <f>VLOOKUP($A96,tabCustoUnit[],COLUMN(CUSTO_GLOBAL[[#Headers],[PQM]])-2,0)*($G96-$H96)</f>
        <v>0</v>
      </c>
      <c r="AJ96" s="22">
        <v>0</v>
      </c>
      <c r="AK96" s="22">
        <f>VLOOKUP($A96,tabCustoUnit[],COLUMN(CUSTO_GLOBAL[[#Headers],[Seguro de Vida]])-2,0)*($G96-$H96)</f>
        <v>3.36</v>
      </c>
      <c r="AL96" s="22">
        <f>VLOOKUP($A96,tabCustoUnit[],COLUMN(CUSTO_GLOBAL[[#Headers],[Despesas de Viagem]])-2,0)*($G96-$H96)</f>
        <v>0</v>
      </c>
      <c r="AM96" s="22">
        <f>VLOOKUP($A96,tabCustoUnit[],COLUMN(CUSTO_GLOBAL[[#Headers],[Submódulo 2.3]])-2,0)*($G96-$H96)</f>
        <v>745.58320000000003</v>
      </c>
      <c r="AN96" s="22">
        <f>VLOOKUP($A96,tabCustoUnit[],COLUMN(CUSTO_GLOBAL[[#Headers],[MÓDULO 2 - Total Encargos e Benefícios mensais e diários]])-2,0)*($G96-$H96)</f>
        <v>1810.4367628499999</v>
      </c>
      <c r="AO96" s="22">
        <f>VLOOKUP($A96,tabCustoUnit[],COLUMN(CUSTO_GLOBAL[[#Headers],[Aviso Prévio Indenizado (API) e Reflexo do Aviso Prévio Indenizado]])-2,0)*($G96-$H96)</f>
        <v>11.559051416493055</v>
      </c>
      <c r="AP96" s="22">
        <f>VLOOKUP($A96,tabCustoUnit[],COLUMN(CUSTO_GLOBAL[[#Headers],[Incidência do FGTS sobre API e Reflexo do API]])-2,0)*($G96-$H96)</f>
        <v>0.92472411331944449</v>
      </c>
      <c r="AQ96" s="22">
        <f>VLOOKUP($A96,tabCustoUnit[],COLUMN(CUSTO_GLOBAL[[#Headers],[Multa Rescisória do FGTS sobre o Aviso Prévio Indenizado]])-2,0)*($G96-$H96)</f>
        <v>0.36988964532777785</v>
      </c>
      <c r="AR96" s="22">
        <f>VLOOKUP($A96,tabCustoUnit[],COLUMN(CUSTO_GLOBAL[[#Headers],[Aviso Prévio Trabalhado - APT]])-2,0)*($G96-$H96)</f>
        <v>5.7698266500000006</v>
      </c>
      <c r="AS96" s="22">
        <f>VLOOKUP($A96,tabCustoUnit[],COLUMN(CUSTO_GLOBAL[[#Headers],[Incidência dos encargos do submódulo 2.1 sobre Aviso Prévio Trabalhado]])-2,0)*($G96-$H96)</f>
        <v>2.1809944737000007</v>
      </c>
      <c r="AT96" s="22">
        <f>VLOOKUP($A96,tabCustoUnit[],COLUMN(CUSTO_GLOBAL[[#Headers],[Multa Rescisória do FGTS]])-2,0)*($G96-$H96)</f>
        <v>50.40813631999999</v>
      </c>
      <c r="AU96" s="22">
        <f>VLOOKUP($A96,tabCustoUnit[],COLUMN(CUSTO_GLOBAL[[#Headers],[Indenização Adicional (Art. 9º da Lei nº 7.238/84)]])-2,0)*($G96-$H96)</f>
        <v>1.3737682500000001</v>
      </c>
      <c r="AV96" s="22">
        <f>VLOOKUP($A96,tabCustoUnit[],COLUMN(CUSTO_GLOBAL[[#Headers],[MÓDULO 3 – PROVISÃO PARA RESCISÃO]])-2,0)*($G96-$H96)</f>
        <v>72.586390868840269</v>
      </c>
      <c r="AW96" s="22">
        <f>VLOOKUP($A96,tabCustoUnit[],COLUMN(CUSTO_GLOBAL[[#Headers],[Ausência por Doença]])-2,0)*($G96-$H96)</f>
        <v>13.920851599999999</v>
      </c>
      <c r="AX96" s="22">
        <f>VLOOKUP($A96,tabCustoUnit[],COLUMN(CUSTO_GLOBAL[[#Headers],[Ausências Legais]])-2,0)*($G96-$H96)</f>
        <v>3.3428360749999997</v>
      </c>
      <c r="AY96" s="22">
        <f>VLOOKUP($A96,tabCustoUnit[],COLUMN(CUSTO_GLOBAL[[#Headers],[Licença Paternidade]])-2,0)*($G96-$H96)</f>
        <v>0.28162249125</v>
      </c>
      <c r="AZ96" s="22">
        <f>VLOOKUP($A96,tabCustoUnit[],COLUMN(CUSTO_GLOBAL[[#Headers],[Ausência por Acidente de Trabalho]])-2,0)*($G96-$H96)</f>
        <v>0.34344206250000003</v>
      </c>
      <c r="BA96" s="22">
        <f>VLOOKUP($A96,tabCustoUnit[],COLUMN(CUSTO_GLOBAL[[#Headers],[Férias, Adicional de Férias e 13º  com empregada em gozo de Licença Maternidade]])-2,0)*($G96-$H96)</f>
        <v>2.1369728333333331</v>
      </c>
      <c r="BB96" s="22">
        <f>VLOOKUP($A96,tabCustoUnit[],COLUMN(CUSTO_GLOBAL[[#Headers],[Incidência do Submódulo 2.1 sobre Ausências Legais]])-2,0)*($G96-$H96)</f>
        <v>7.5697240734675013</v>
      </c>
      <c r="BC96" s="22">
        <f>VLOOKUP($A96,tabCustoUnit[],COLUMN(CUSTO_GLOBAL[[#Headers],[Submódulo 4.1]])-2,0)*($G96-$H96)</f>
        <v>27.595449135550833</v>
      </c>
      <c r="BD96" s="22">
        <f>VLOOKUP($A96,tabCustoUnit[],COLUMN(CUSTO_GLOBAL[[#Headers],[Intervalo para Repouso ou Alimentação]])-2,0)*($G96-$H96)</f>
        <v>0</v>
      </c>
      <c r="BE96" s="22">
        <f>VLOOKUP($A96,tabCustoUnit[],COLUMN(CUSTO_GLOBAL[[#Headers],[Submódulo 4.2]])-2,0)*($G96-$H96)</f>
        <v>0</v>
      </c>
      <c r="BF96" s="22">
        <f>VLOOKUP($A96,tabCustoUnit[],COLUMN(CUSTO_GLOBAL[[#Headers],[Suspensão Temporária do Contrato de Trabalho]])-2,0)*($G96-$H96)</f>
        <v>0</v>
      </c>
      <c r="BG96" s="22">
        <f>VLOOKUP($A96,tabCustoUnit[],COLUMN(CUSTO_GLOBAL[[#Headers],[Submódulo 4.3]])-2,0)*($G96-$H96)</f>
        <v>0</v>
      </c>
      <c r="BH96" s="22">
        <f>VLOOKUP($A96,tabCustoUnit[],COLUMN(CUSTO_GLOBAL[[#Headers],[MÓDULO 4 – CUSTO DE REPOSIÇÃO DO PROFISSIONAL AUSENTE]])-2,0)*($G96-$H96)</f>
        <v>27.595449135550833</v>
      </c>
      <c r="BI96" s="22">
        <f>VLOOKUP($A96,tabCustoUnit[],COLUMN(CUSTO_GLOBAL[[#Headers],[Uniformes e EPIs]])-2,0)*($G96-$H96)</f>
        <v>100.80916666666666</v>
      </c>
      <c r="BJ96" s="22">
        <f>VLOOKUP($A96,tabCustoUnit[],COLUMN(CUSTO_GLOBAL[[#Headers],[Materiais de Consumo]])-2,0)*($G96-$H96)</f>
        <v>35.518212958583888</v>
      </c>
      <c r="BK96" s="22">
        <f>VLOOKUP($A96,tabCustoUnit[],COLUMN(CUSTO_GLOBAL[[#Headers],[Máquinas e Equipamentos (depreciação)]])-2,0)*($G96-$H96)</f>
        <v>64.529393914825576</v>
      </c>
      <c r="BL96" s="22">
        <f>VLOOKUP($A96,tabCustoUnit[],COLUMN(CUSTO_GLOBAL[[#Headers],[Produtos de Limpeza e Materiais de Higiene Pessoal]])-2,0)*($G96-$H96)</f>
        <v>690.27153277931654</v>
      </c>
      <c r="BM96" s="22">
        <f>VLOOKUP($A96,tabCustoUnit[],COLUMN(CUSTO_GLOBAL[[#Headers],[Outros (especificar)]])-2,0)*($G96-$H96)</f>
        <v>0</v>
      </c>
      <c r="BN96" s="22">
        <f>VLOOKUP($A96,tabCustoUnit[],COLUMN(CUSTO_GLOBAL[[#Headers],[MÓDULO 5 – INSUMOS DIVERSOS]])-2,0)*($G96-$H96)</f>
        <v>891.12830631939266</v>
      </c>
      <c r="BO96" s="22">
        <f>VLOOKUP($A96,tabCustoUnit[],COLUMN(CUSTO_GLOBAL[[#Headers],[TOTAL MÓDULOS 1+2+3+4+5]])-2,0)*($G96-$H96)</f>
        <v>4450.2688091737837</v>
      </c>
      <c r="BP96" s="22">
        <f>VLOOKUP($A96,tabCustoUnit[],COLUMN(CUSTO_GLOBAL[[#Headers],[Custos Indiretos]])-2,0)*($G96-$H96)</f>
        <v>189.64880140242613</v>
      </c>
      <c r="BQ96" s="22">
        <f>VLOOKUP($A96,tabCustoUnit[],COLUMN(CUSTO_GLOBAL[[#Headers],[Lucro]])-2,0)*($G96-$H96)</f>
        <v>159.30499317803796</v>
      </c>
      <c r="BR96" s="26">
        <f>VLOOKUP($A96,tabCustoUnit[],COLUMN(CUSTO_GLOBAL[[#Headers],[COFINS]])-2,0)</f>
        <v>8.5633802816901458E-2</v>
      </c>
      <c r="BS96" s="26">
        <f>VLOOKUP($A96,tabCustoUnit[],COLUMN(CUSTO_GLOBAL[[#Headers],[PIS]])-2,0)</f>
        <v>1.8591549295774657E-2</v>
      </c>
      <c r="BT96" s="28">
        <f>VLOOKUP($A96,tabCustoUnit[],COLUMN(CUSTO_GLOBAL[[#Headers],[ISS]])-2,0)</f>
        <v>0.02</v>
      </c>
      <c r="BU96" s="26">
        <f>VLOOKUP($A96,tabCustoUnit[],COLUMN(CUSTO_GLOBAL[[#Headers],[ISS (Conversão Alíquota s/ fatura)]])-2,0)</f>
        <v>2.2535211267605645E-2</v>
      </c>
      <c r="BV96" s="26">
        <f>VLOOKUP($A96,tabCustoUnit[],COLUMN(CUSTO_GLOBAL[[#Headers],[Resumo de Alíquotas (PIS+CONFINS+ISS)]])-2,0)</f>
        <v>0.1125</v>
      </c>
      <c r="BW96" s="138">
        <f>VLOOKUP($A96,tabCustoUnit[],COLUMN(CUSTO_GLOBAL[[#Headers],[PIS + COFINS + ISS (Total Conversão  Alíquota s/ Fatura)]])-2,0)</f>
        <v>0.12676056338028174</v>
      </c>
      <c r="BX96" s="22">
        <f>VLOOKUP($A96,tabCustoUnit[],COLUMN(CUSTO_GLOBAL[[#Headers],[Valor dos Tributos (ISS, PIS, CONFINS)]])-2,0)*($G96-$H96)</f>
        <v>608.3521610392711</v>
      </c>
      <c r="BY96" s="22">
        <f>VLOOKUP($A96,tabCustoUnit[],COLUMN(CUSTO_GLOBAL[[#Headers],[MÓDULO 6 – CUSTOS INDIRETOS, TRIBUTOS E LUCRO]])-2,0)*($G96-$H96)</f>
        <v>957.30595561973519</v>
      </c>
      <c r="BZ96" s="22">
        <f>VLOOKUP($A96,tabCustoUnit[],COLUMN(CUSTO_GLOBAL[[#Headers],[CUSTO TOTAL MENSAL]])-2,0)*($G96-$H96)</f>
        <v>5407.5747647935186</v>
      </c>
      <c r="CA96" s="22">
        <f>CUSTO_GLOBAL[[#This Row],[CUSTO TOTAL MENSAL]]*12</f>
        <v>64890.897177522224</v>
      </c>
      <c r="CB96" s="24">
        <f>VLOOKUP($A96,tabCustoUnit[],COLUMN(CUSTO_GLOBAL[[#Headers],[ANO DA CCT]])-2,0)</f>
        <v>45658</v>
      </c>
      <c r="CC96" s="25" t="str">
        <f>VLOOKUP($A96,tabCustoUnit[],COLUMN(CUSTO_GLOBAL[[#Headers],[Nº DE PEDIDO DA CCT]])-2,0)</f>
        <v>-</v>
      </c>
      <c r="CD96" s="25" t="str">
        <f>VLOOKUP($A96,tabCustoUnit[],COLUMN(CUSTO_GLOBAL[[#Headers],[TERMO ADITIVO  ALTERAÇÃO DA CCT]])-2,0)</f>
        <v>-</v>
      </c>
      <c r="CF96" s="22"/>
      <c r="CG96" s="22"/>
    </row>
    <row r="97" spans="1:85" x14ac:dyDescent="0.25">
      <c r="A97" s="20" t="s">
        <v>1436</v>
      </c>
      <c r="B97" t="s">
        <v>92</v>
      </c>
      <c r="C97" t="s">
        <v>1245</v>
      </c>
      <c r="D97" t="s">
        <v>1041</v>
      </c>
      <c r="E97" s="20" t="s">
        <v>9</v>
      </c>
      <c r="F97" s="20" t="s">
        <v>10</v>
      </c>
      <c r="G97" s="20">
        <v>1</v>
      </c>
      <c r="H97" s="20">
        <v>0</v>
      </c>
      <c r="I97" s="21">
        <f>VLOOKUP($A97,tabCustoUnit[],COLUMN(CUSTO_GLOBAL[[#Headers],[Salário Base]])-2,0)*($G97-$H97)</f>
        <v>1596.28</v>
      </c>
      <c r="J97" s="21">
        <f>VLOOKUP($A97,tabCustoUnit[],COLUMN(CUSTO_GLOBAL[[#Headers],[Adicional Periculosidade]])-2,0)*($G97-$H97)</f>
        <v>0</v>
      </c>
      <c r="K97" s="21">
        <f>VLOOKUP($A97,tabCustoUnit[],COLUMN(CUSTO_GLOBAL[[#Headers],[Adicional Insalubridade]])-2,0)*($G97-$H97)</f>
        <v>0</v>
      </c>
      <c r="L97" s="21">
        <f>VLOOKUP($A97,tabCustoUnit[],COLUMN(CUSTO_GLOBAL[[#Headers],[Adicional Noturno]])-2,0)*($G97-$H97)</f>
        <v>0</v>
      </c>
      <c r="M97" s="21">
        <f>VLOOKUP($A97,tabCustoUnit[],COLUMN(CUSTO_GLOBAL[[#Headers],[Adicional Motorista II (Gratificação)]])-2,0)*($G97-$H97)</f>
        <v>0</v>
      </c>
      <c r="N97" s="21">
        <f>VLOOKUP($A97,tabCustoUnit[],COLUMN(CUSTO_GLOBAL[[#Headers],[Adicional de Sobreaviso]])-2,0)*($G97-$H97)</f>
        <v>0</v>
      </c>
      <c r="O97" s="21">
        <f>VLOOKUP($A97,tabCustoUnit[],COLUMN(CUSTO_GLOBAL[[#Headers],[Horas Extras TI]])-2,0)*($G97-$H97)</f>
        <v>0</v>
      </c>
      <c r="P97" s="21">
        <f>VLOOKUP($A97,tabCustoUnit[],COLUMN(CUSTO_GLOBAL[[#Headers],[Adicional de Acúmulo de função]])-2,0)*($G97-$H97)</f>
        <v>52.241900000000001</v>
      </c>
      <c r="Q97" s="21">
        <f>VLOOKUP($A97,tabCustoUnit[],COLUMN(CUSTO_GLOBAL[[#Headers],[MODULO 1 - REMUNERAÇÃO ]])-2,0)*($G97-$H97)</f>
        <v>1648.5219</v>
      </c>
      <c r="R97" s="21">
        <f>VLOOKUP($A97,tabCustoUnit[],COLUMN(CUSTO_GLOBAL[[#Headers],[INSS]])-2,0)*($G97-$H97)</f>
        <v>329.70438000000001</v>
      </c>
      <c r="S97" s="21">
        <f>VLOOKUP($A97,tabCustoUnit[],COLUMN(CUSTO_GLOBAL[[#Headers],[SESI OU SESC]])-2,0)*($G97-$H97)</f>
        <v>24.727828499999998</v>
      </c>
      <c r="T97" s="21">
        <f>VLOOKUP($A97,tabCustoUnit[],COLUMN(CUSTO_GLOBAL[[#Headers],[SENAI OU SENAC]])-2,0)*($G97-$H97)</f>
        <v>16.485219000000001</v>
      </c>
      <c r="U97" s="21">
        <f>VLOOKUP($A97,tabCustoUnit[],COLUMN(CUSTO_GLOBAL[[#Headers],[INCRA]])-2,0)*($G97-$H97)</f>
        <v>3.2970438</v>
      </c>
      <c r="V97" s="21">
        <f>VLOOKUP($A97,tabCustoUnit[],COLUMN(CUSTO_GLOBAL[[#Headers],[Salário Educação]])-2,0)*($G97-$H97)</f>
        <v>41.213047500000002</v>
      </c>
      <c r="W97" s="21">
        <f>VLOOKUP($A97,tabCustoUnit[],COLUMN(CUSTO_GLOBAL[[#Headers],[FGTS]])-2,0)*($G97-$H97)</f>
        <v>131.88175200000001</v>
      </c>
      <c r="X97" s="21">
        <f>VLOOKUP($A97,tabCustoUnit[],COLUMN(CUSTO_GLOBAL[[#Headers],[RAT Ajustado]])-2,0)*($G97-$H97)</f>
        <v>65.940876000000003</v>
      </c>
      <c r="Y97" s="21">
        <f>VLOOKUP($A97,tabCustoUnit[],COLUMN(CUSTO_GLOBAL[[#Headers],[SEBRAE]])-2,0)*($G97-$H97)</f>
        <v>9.8911314000000008</v>
      </c>
      <c r="Z97" s="21">
        <f>VLOOKUP($A97,tabCustoUnit[],COLUMN(CUSTO_GLOBAL[[#Headers],[Submódulo 2.1]])-2,0)*($G97-$H97)</f>
        <v>623.14127819999999</v>
      </c>
      <c r="AA97" s="21">
        <f>VLOOKUP($A97,tabCustoUnit[],COLUMN(CUSTO_GLOBAL[[#Headers],[13º salário (titular)]])-2,0)*($G97-$H97)</f>
        <v>137.376825</v>
      </c>
      <c r="AB97" s="21">
        <f>VLOOKUP($A97,tabCustoUnit[],COLUMN(CUSTO_GLOBAL[[#Headers],[Férias e Adicional de Férias (titular)]])-2,0)*($G97-$H97)</f>
        <v>183.16909999999999</v>
      </c>
      <c r="AC97" s="21">
        <f>VLOOKUP($A97,tabCustoUnit[],COLUMN(CUSTO_GLOBAL[[#Headers],[Incidência do Submódulo 2.1 sobre 13º Salário, Férias e Adicional de Férias]])-2,0)*($G97-$H97)</f>
        <v>121.16635965</v>
      </c>
      <c r="AD97" s="21">
        <f>VLOOKUP($A97,tabCustoUnit[],COLUMN(CUSTO_GLOBAL[[#Headers],[Submódulo 2.2]])-2,0)*($G97-$H97)</f>
        <v>441.71228465000002</v>
      </c>
      <c r="AE97" s="22">
        <f>VLOOKUP($A97,tabCustoUnit[],COLUMN(CUSTO_GLOBAL[[#Headers],[Vale - Transporte (Descontada parcela do empregado)]])-2,0)*($G97-$H97)</f>
        <v>160.22320000000002</v>
      </c>
      <c r="AF97" s="22">
        <f>VLOOKUP($A97,tabCustoUnit[],COLUMN(CUSTO_GLOBAL[[#Headers],[Vale - Alimentação (Descontada parcela do empregado)]])-2,0)*($G97-$H97)</f>
        <v>582</v>
      </c>
      <c r="AG97" s="22">
        <f>VLOOKUP($A97,tabCustoUnit[],COLUMN(CUSTO_GLOBAL[[#Headers],[Cesta Básica]])-2,0)*($G97-$H97)</f>
        <v>0</v>
      </c>
      <c r="AH97" s="22">
        <f>VLOOKUP($A97,tabCustoUnit[],COLUMN(CUSTO_GLOBAL[[#Headers],[PAF]])-2,0)*($G97-$H97)</f>
        <v>0</v>
      </c>
      <c r="AI97" s="22">
        <f>VLOOKUP($A97,tabCustoUnit[],COLUMN(CUSTO_GLOBAL[[#Headers],[PQM]])-2,0)*($G97-$H97)</f>
        <v>0</v>
      </c>
      <c r="AJ97" s="22">
        <v>0</v>
      </c>
      <c r="AK97" s="22">
        <f>VLOOKUP($A97,tabCustoUnit[],COLUMN(CUSTO_GLOBAL[[#Headers],[Seguro de Vida]])-2,0)*($G97-$H97)</f>
        <v>3.36</v>
      </c>
      <c r="AL97" s="22">
        <f>VLOOKUP($A97,tabCustoUnit[],COLUMN(CUSTO_GLOBAL[[#Headers],[Despesas de Viagem]])-2,0)*($G97-$H97)</f>
        <v>0</v>
      </c>
      <c r="AM97" s="22">
        <f>VLOOKUP($A97,tabCustoUnit[],COLUMN(CUSTO_GLOBAL[[#Headers],[Submódulo 2.3]])-2,0)*($G97-$H97)</f>
        <v>745.58320000000003</v>
      </c>
      <c r="AN97" s="22">
        <f>VLOOKUP($A97,tabCustoUnit[],COLUMN(CUSTO_GLOBAL[[#Headers],[MÓDULO 2 - Total Encargos e Benefícios mensais e diários]])-2,0)*($G97-$H97)</f>
        <v>1810.4367628499999</v>
      </c>
      <c r="AO97" s="22">
        <f>VLOOKUP($A97,tabCustoUnit[],COLUMN(CUSTO_GLOBAL[[#Headers],[Aviso Prévio Indenizado (API) e Reflexo do Aviso Prévio Indenizado]])-2,0)*($G97-$H97)</f>
        <v>11.559051416493055</v>
      </c>
      <c r="AP97" s="22">
        <f>VLOOKUP($A97,tabCustoUnit[],COLUMN(CUSTO_GLOBAL[[#Headers],[Incidência do FGTS sobre API e Reflexo do API]])-2,0)*($G97-$H97)</f>
        <v>0.92472411331944449</v>
      </c>
      <c r="AQ97" s="22">
        <f>VLOOKUP($A97,tabCustoUnit[],COLUMN(CUSTO_GLOBAL[[#Headers],[Multa Rescisória do FGTS sobre o Aviso Prévio Indenizado]])-2,0)*($G97-$H97)</f>
        <v>0.36988964532777785</v>
      </c>
      <c r="AR97" s="22">
        <f>VLOOKUP($A97,tabCustoUnit[],COLUMN(CUSTO_GLOBAL[[#Headers],[Aviso Prévio Trabalhado - APT]])-2,0)*($G97-$H97)</f>
        <v>5.7698266500000006</v>
      </c>
      <c r="AS97" s="22">
        <f>VLOOKUP($A97,tabCustoUnit[],COLUMN(CUSTO_GLOBAL[[#Headers],[Incidência dos encargos do submódulo 2.1 sobre Aviso Prévio Trabalhado]])-2,0)*($G97-$H97)</f>
        <v>2.1809944737000007</v>
      </c>
      <c r="AT97" s="22">
        <f>VLOOKUP($A97,tabCustoUnit[],COLUMN(CUSTO_GLOBAL[[#Headers],[Multa Rescisória do FGTS]])-2,0)*($G97-$H97)</f>
        <v>50.40813631999999</v>
      </c>
      <c r="AU97" s="22">
        <f>VLOOKUP($A97,tabCustoUnit[],COLUMN(CUSTO_GLOBAL[[#Headers],[Indenização Adicional (Art. 9º da Lei nº 7.238/84)]])-2,0)*($G97-$H97)</f>
        <v>1.3737682500000001</v>
      </c>
      <c r="AV97" s="22">
        <f>VLOOKUP($A97,tabCustoUnit[],COLUMN(CUSTO_GLOBAL[[#Headers],[MÓDULO 3 – PROVISÃO PARA RESCISÃO]])-2,0)*($G97-$H97)</f>
        <v>72.586390868840269</v>
      </c>
      <c r="AW97" s="22">
        <f>VLOOKUP($A97,tabCustoUnit[],COLUMN(CUSTO_GLOBAL[[#Headers],[Ausência por Doença]])-2,0)*($G97-$H97)</f>
        <v>13.920851599999999</v>
      </c>
      <c r="AX97" s="22">
        <f>VLOOKUP($A97,tabCustoUnit[],COLUMN(CUSTO_GLOBAL[[#Headers],[Ausências Legais]])-2,0)*($G97-$H97)</f>
        <v>3.3428360749999997</v>
      </c>
      <c r="AY97" s="22">
        <f>VLOOKUP($A97,tabCustoUnit[],COLUMN(CUSTO_GLOBAL[[#Headers],[Licença Paternidade]])-2,0)*($G97-$H97)</f>
        <v>0.28162249125</v>
      </c>
      <c r="AZ97" s="22">
        <f>VLOOKUP($A97,tabCustoUnit[],COLUMN(CUSTO_GLOBAL[[#Headers],[Ausência por Acidente de Trabalho]])-2,0)*($G97-$H97)</f>
        <v>0.34344206250000003</v>
      </c>
      <c r="BA97" s="22">
        <f>VLOOKUP($A97,tabCustoUnit[],COLUMN(CUSTO_GLOBAL[[#Headers],[Férias, Adicional de Férias e 13º  com empregada em gozo de Licença Maternidade]])-2,0)*($G97-$H97)</f>
        <v>2.1369728333333331</v>
      </c>
      <c r="BB97" s="22">
        <f>VLOOKUP($A97,tabCustoUnit[],COLUMN(CUSTO_GLOBAL[[#Headers],[Incidência do Submódulo 2.1 sobre Ausências Legais]])-2,0)*($G97-$H97)</f>
        <v>7.5697240734675013</v>
      </c>
      <c r="BC97" s="22">
        <f>VLOOKUP($A97,tabCustoUnit[],COLUMN(CUSTO_GLOBAL[[#Headers],[Submódulo 4.1]])-2,0)*($G97-$H97)</f>
        <v>27.595449135550833</v>
      </c>
      <c r="BD97" s="22">
        <f>VLOOKUP($A97,tabCustoUnit[],COLUMN(CUSTO_GLOBAL[[#Headers],[Intervalo para Repouso ou Alimentação]])-2,0)*($G97-$H97)</f>
        <v>0</v>
      </c>
      <c r="BE97" s="22">
        <f>VLOOKUP($A97,tabCustoUnit[],COLUMN(CUSTO_GLOBAL[[#Headers],[Submódulo 4.2]])-2,0)*($G97-$H97)</f>
        <v>0</v>
      </c>
      <c r="BF97" s="22">
        <f>VLOOKUP($A97,tabCustoUnit[],COLUMN(CUSTO_GLOBAL[[#Headers],[Suspensão Temporária do Contrato de Trabalho]])-2,0)*($G97-$H97)</f>
        <v>0</v>
      </c>
      <c r="BG97" s="22">
        <f>VLOOKUP($A97,tabCustoUnit[],COLUMN(CUSTO_GLOBAL[[#Headers],[Submódulo 4.3]])-2,0)*($G97-$H97)</f>
        <v>0</v>
      </c>
      <c r="BH97" s="22">
        <f>VLOOKUP($A97,tabCustoUnit[],COLUMN(CUSTO_GLOBAL[[#Headers],[MÓDULO 4 – CUSTO DE REPOSIÇÃO DO PROFISSIONAL AUSENTE]])-2,0)*($G97-$H97)</f>
        <v>27.595449135550833</v>
      </c>
      <c r="BI97" s="22">
        <f>VLOOKUP($A97,tabCustoUnit[],COLUMN(CUSTO_GLOBAL[[#Headers],[Uniformes e EPIs]])-2,0)*($G97-$H97)</f>
        <v>100.80916666666666</v>
      </c>
      <c r="BJ97" s="22">
        <f>VLOOKUP($A97,tabCustoUnit[],COLUMN(CUSTO_GLOBAL[[#Headers],[Materiais de Consumo]])-2,0)*($G97-$H97)</f>
        <v>35.518212958583888</v>
      </c>
      <c r="BK97" s="22">
        <f>VLOOKUP($A97,tabCustoUnit[],COLUMN(CUSTO_GLOBAL[[#Headers],[Máquinas e Equipamentos (depreciação)]])-2,0)*($G97-$H97)</f>
        <v>64.529393914825576</v>
      </c>
      <c r="BL97" s="22">
        <f>VLOOKUP($A97,tabCustoUnit[],COLUMN(CUSTO_GLOBAL[[#Headers],[Produtos de Limpeza e Materiais de Higiene Pessoal]])-2,0)*($G97-$H97)</f>
        <v>690.27153277931654</v>
      </c>
      <c r="BM97" s="22">
        <f>VLOOKUP($A97,tabCustoUnit[],COLUMN(CUSTO_GLOBAL[[#Headers],[Outros (especificar)]])-2,0)*($G97-$H97)</f>
        <v>0</v>
      </c>
      <c r="BN97" s="22">
        <f>VLOOKUP($A97,tabCustoUnit[],COLUMN(CUSTO_GLOBAL[[#Headers],[MÓDULO 5 – INSUMOS DIVERSOS]])-2,0)*($G97-$H97)</f>
        <v>891.12830631939266</v>
      </c>
      <c r="BO97" s="22">
        <f>VLOOKUP($A97,tabCustoUnit[],COLUMN(CUSTO_GLOBAL[[#Headers],[TOTAL MÓDULOS 1+2+3+4+5]])-2,0)*($G97-$H97)</f>
        <v>4450.2688091737837</v>
      </c>
      <c r="BP97" s="22">
        <f>VLOOKUP($A97,tabCustoUnit[],COLUMN(CUSTO_GLOBAL[[#Headers],[Custos Indiretos]])-2,0)*($G97-$H97)</f>
        <v>189.64880140242613</v>
      </c>
      <c r="BQ97" s="22">
        <f>VLOOKUP($A97,tabCustoUnit[],COLUMN(CUSTO_GLOBAL[[#Headers],[Lucro]])-2,0)*($G97-$H97)</f>
        <v>159.30499317803796</v>
      </c>
      <c r="BR97" s="26">
        <f>VLOOKUP($A97,tabCustoUnit[],COLUMN(CUSTO_GLOBAL[[#Headers],[COFINS]])-2,0)</f>
        <v>8.5633802816901458E-2</v>
      </c>
      <c r="BS97" s="26">
        <f>VLOOKUP($A97,tabCustoUnit[],COLUMN(CUSTO_GLOBAL[[#Headers],[PIS]])-2,0)</f>
        <v>1.8591549295774657E-2</v>
      </c>
      <c r="BT97" s="28">
        <f>VLOOKUP($A97,tabCustoUnit[],COLUMN(CUSTO_GLOBAL[[#Headers],[ISS]])-2,0)</f>
        <v>0.02</v>
      </c>
      <c r="BU97" s="26">
        <f>VLOOKUP($A97,tabCustoUnit[],COLUMN(CUSTO_GLOBAL[[#Headers],[ISS (Conversão Alíquota s/ fatura)]])-2,0)</f>
        <v>2.2535211267605645E-2</v>
      </c>
      <c r="BV97" s="26">
        <f>VLOOKUP($A97,tabCustoUnit[],COLUMN(CUSTO_GLOBAL[[#Headers],[Resumo de Alíquotas (PIS+CONFINS+ISS)]])-2,0)</f>
        <v>0.1125</v>
      </c>
      <c r="BW97" s="138">
        <f>VLOOKUP($A97,tabCustoUnit[],COLUMN(CUSTO_GLOBAL[[#Headers],[PIS + COFINS + ISS (Total Conversão  Alíquota s/ Fatura)]])-2,0)</f>
        <v>0.12676056338028174</v>
      </c>
      <c r="BX97" s="22">
        <f>VLOOKUP($A97,tabCustoUnit[],COLUMN(CUSTO_GLOBAL[[#Headers],[Valor dos Tributos (ISS, PIS, CONFINS)]])-2,0)*($G97-$H97)</f>
        <v>608.3521610392711</v>
      </c>
      <c r="BY97" s="22">
        <f>VLOOKUP($A97,tabCustoUnit[],COLUMN(CUSTO_GLOBAL[[#Headers],[MÓDULO 6 – CUSTOS INDIRETOS, TRIBUTOS E LUCRO]])-2,0)*($G97-$H97)</f>
        <v>957.30595561973519</v>
      </c>
      <c r="BZ97" s="22">
        <f>VLOOKUP($A97,tabCustoUnit[],COLUMN(CUSTO_GLOBAL[[#Headers],[CUSTO TOTAL MENSAL]])-2,0)*($G97-$H97)</f>
        <v>5407.5747647935186</v>
      </c>
      <c r="CA97" s="22">
        <f>CUSTO_GLOBAL[[#This Row],[CUSTO TOTAL MENSAL]]*12</f>
        <v>64890.897177522224</v>
      </c>
      <c r="CB97" s="24">
        <f>VLOOKUP($A97,tabCustoUnit[],COLUMN(CUSTO_GLOBAL[[#Headers],[ANO DA CCT]])-2,0)</f>
        <v>45658</v>
      </c>
      <c r="CC97" s="25" t="str">
        <f>VLOOKUP($A97,tabCustoUnit[],COLUMN(CUSTO_GLOBAL[[#Headers],[Nº DE PEDIDO DA CCT]])-2,0)</f>
        <v>-</v>
      </c>
      <c r="CD97" s="25" t="str">
        <f>VLOOKUP($A97,tabCustoUnit[],COLUMN(CUSTO_GLOBAL[[#Headers],[TERMO ADITIVO  ALTERAÇÃO DA CCT]])-2,0)</f>
        <v>-</v>
      </c>
      <c r="CF97" s="22"/>
      <c r="CG97" s="22"/>
    </row>
    <row r="98" spans="1:85" x14ac:dyDescent="0.25">
      <c r="A98" s="20" t="s">
        <v>1437</v>
      </c>
      <c r="B98" t="s">
        <v>93</v>
      </c>
      <c r="C98" t="s">
        <v>1244</v>
      </c>
      <c r="D98" t="s">
        <v>1028</v>
      </c>
      <c r="E98" s="20" t="s">
        <v>9</v>
      </c>
      <c r="F98" s="20" t="s">
        <v>10</v>
      </c>
      <c r="G98" s="20">
        <v>1</v>
      </c>
      <c r="H98" s="20">
        <v>0</v>
      </c>
      <c r="I98" s="21">
        <f>VLOOKUP($A98,tabCustoUnit[],COLUMN(CUSTO_GLOBAL[[#Headers],[Salário Base]])-2,0)*($G98-$H98)</f>
        <v>798.14</v>
      </c>
      <c r="J98" s="21">
        <f>VLOOKUP($A98,tabCustoUnit[],COLUMN(CUSTO_GLOBAL[[#Headers],[Adicional Periculosidade]])-2,0)*($G98-$H98)</f>
        <v>0</v>
      </c>
      <c r="K98" s="21">
        <f>VLOOKUP($A98,tabCustoUnit[],COLUMN(CUSTO_GLOBAL[[#Headers],[Adicional Insalubridade]])-2,0)*($G98-$H98)</f>
        <v>0</v>
      </c>
      <c r="L98" s="21">
        <f>VLOOKUP($A98,tabCustoUnit[],COLUMN(CUSTO_GLOBAL[[#Headers],[Adicional Noturno]])-2,0)*($G98-$H98)</f>
        <v>0</v>
      </c>
      <c r="M98" s="21">
        <f>VLOOKUP($A98,tabCustoUnit[],COLUMN(CUSTO_GLOBAL[[#Headers],[Adicional Motorista II (Gratificação)]])-2,0)*($G98-$H98)</f>
        <v>0</v>
      </c>
      <c r="N98" s="21">
        <f>VLOOKUP($A98,tabCustoUnit[],COLUMN(CUSTO_GLOBAL[[#Headers],[Adicional de Sobreaviso]])-2,0)*($G98-$H98)</f>
        <v>0</v>
      </c>
      <c r="O98" s="21">
        <f>VLOOKUP($A98,tabCustoUnit[],COLUMN(CUSTO_GLOBAL[[#Headers],[Horas Extras TI]])-2,0)*($G98-$H98)</f>
        <v>0</v>
      </c>
      <c r="P98" s="21">
        <f>VLOOKUP($A98,tabCustoUnit[],COLUMN(CUSTO_GLOBAL[[#Headers],[Adicional de Acúmulo de função]])-2,0)*($G98-$H98)</f>
        <v>26.120899999999999</v>
      </c>
      <c r="Q98" s="21">
        <f>VLOOKUP($A98,tabCustoUnit[],COLUMN(CUSTO_GLOBAL[[#Headers],[MODULO 1 - REMUNERAÇÃO ]])-2,0)*($G98-$H98)</f>
        <v>824.26089999999999</v>
      </c>
      <c r="R98" s="21">
        <f>VLOOKUP($A98,tabCustoUnit[],COLUMN(CUSTO_GLOBAL[[#Headers],[INSS]])-2,0)*($G98-$H98)</f>
        <v>164.85218</v>
      </c>
      <c r="S98" s="21">
        <f>VLOOKUP($A98,tabCustoUnit[],COLUMN(CUSTO_GLOBAL[[#Headers],[SESI OU SESC]])-2,0)*($G98-$H98)</f>
        <v>12.363913499999999</v>
      </c>
      <c r="T98" s="21">
        <f>VLOOKUP($A98,tabCustoUnit[],COLUMN(CUSTO_GLOBAL[[#Headers],[SENAI OU SENAC]])-2,0)*($G98-$H98)</f>
        <v>8.2426089999999999</v>
      </c>
      <c r="U98" s="21">
        <f>VLOOKUP($A98,tabCustoUnit[],COLUMN(CUSTO_GLOBAL[[#Headers],[INCRA]])-2,0)*($G98-$H98)</f>
        <v>1.6485217999999999</v>
      </c>
      <c r="V98" s="21">
        <f>VLOOKUP($A98,tabCustoUnit[],COLUMN(CUSTO_GLOBAL[[#Headers],[Salário Educação]])-2,0)*($G98-$H98)</f>
        <v>20.606522500000001</v>
      </c>
      <c r="W98" s="21">
        <f>VLOOKUP($A98,tabCustoUnit[],COLUMN(CUSTO_GLOBAL[[#Headers],[FGTS]])-2,0)*($G98-$H98)</f>
        <v>65.940871999999999</v>
      </c>
      <c r="X98" s="21">
        <f>VLOOKUP($A98,tabCustoUnit[],COLUMN(CUSTO_GLOBAL[[#Headers],[RAT Ajustado]])-2,0)*($G98-$H98)</f>
        <v>32.970435999999999</v>
      </c>
      <c r="Y98" s="21">
        <f>VLOOKUP($A98,tabCustoUnit[],COLUMN(CUSTO_GLOBAL[[#Headers],[SEBRAE]])-2,0)*($G98-$H98)</f>
        <v>4.9455654000000004</v>
      </c>
      <c r="Z98" s="21">
        <f>VLOOKUP($A98,tabCustoUnit[],COLUMN(CUSTO_GLOBAL[[#Headers],[Submódulo 2.1]])-2,0)*($G98-$H98)</f>
        <v>311.57062020000001</v>
      </c>
      <c r="AA98" s="21">
        <f>VLOOKUP($A98,tabCustoUnit[],COLUMN(CUSTO_GLOBAL[[#Headers],[13º salário (titular)]])-2,0)*($G98-$H98)</f>
        <v>68.688408333333328</v>
      </c>
      <c r="AB98" s="21">
        <f>VLOOKUP($A98,tabCustoUnit[],COLUMN(CUSTO_GLOBAL[[#Headers],[Férias e Adicional de Férias (titular)]])-2,0)*($G98-$H98)</f>
        <v>91.584544444444433</v>
      </c>
      <c r="AC98" s="21">
        <f>VLOOKUP($A98,tabCustoUnit[],COLUMN(CUSTO_GLOBAL[[#Headers],[Incidência do Submódulo 2.1 sobre 13º Salário, Férias e Adicional de Férias]])-2,0)*($G98-$H98)</f>
        <v>60.583176149999993</v>
      </c>
      <c r="AD98" s="21">
        <f>VLOOKUP($A98,tabCustoUnit[],COLUMN(CUSTO_GLOBAL[[#Headers],[Submódulo 2.2]])-2,0)*($G98-$H98)</f>
        <v>220.85612892777775</v>
      </c>
      <c r="AE98" s="22">
        <f>VLOOKUP($A98,tabCustoUnit[],COLUMN(CUSTO_GLOBAL[[#Headers],[Vale - Transporte (Descontada parcela do empregado)]])-2,0)*($G98-$H98)</f>
        <v>208.11160000000001</v>
      </c>
      <c r="AF98" s="22">
        <f>VLOOKUP($A98,tabCustoUnit[],COLUMN(CUSTO_GLOBAL[[#Headers],[Vale - Alimentação (Descontada parcela do empregado)]])-2,0)*($G98-$H98)</f>
        <v>582</v>
      </c>
      <c r="AG98" s="22">
        <f>VLOOKUP($A98,tabCustoUnit[],COLUMN(CUSTO_GLOBAL[[#Headers],[Cesta Básica]])-2,0)*($G98-$H98)</f>
        <v>0</v>
      </c>
      <c r="AH98" s="22">
        <f>VLOOKUP($A98,tabCustoUnit[],COLUMN(CUSTO_GLOBAL[[#Headers],[PAF]])-2,0)*($G98-$H98)</f>
        <v>51.86</v>
      </c>
      <c r="AI98" s="22">
        <f>VLOOKUP($A98,tabCustoUnit[],COLUMN(CUSTO_GLOBAL[[#Headers],[PQM]])-2,0)*($G98-$H98)</f>
        <v>0</v>
      </c>
      <c r="AJ98" s="22">
        <v>0</v>
      </c>
      <c r="AK98" s="22">
        <f>VLOOKUP($A98,tabCustoUnit[],COLUMN(CUSTO_GLOBAL[[#Headers],[Seguro de Vida]])-2,0)*($G98-$H98)</f>
        <v>3.36</v>
      </c>
      <c r="AL98" s="22">
        <f>VLOOKUP($A98,tabCustoUnit[],COLUMN(CUSTO_GLOBAL[[#Headers],[Despesas de Viagem]])-2,0)*($G98-$H98)</f>
        <v>0</v>
      </c>
      <c r="AM98" s="22">
        <f>VLOOKUP($A98,tabCustoUnit[],COLUMN(CUSTO_GLOBAL[[#Headers],[Submódulo 2.3]])-2,0)*($G98-$H98)</f>
        <v>845.33159999999998</v>
      </c>
      <c r="AN98" s="22">
        <f>VLOOKUP($A98,tabCustoUnit[],COLUMN(CUSTO_GLOBAL[[#Headers],[MÓDULO 2 - Total Encargos e Benefícios mensais e diários]])-2,0)*($G98-$H98)</f>
        <v>1377.7583491277778</v>
      </c>
      <c r="AO98" s="22">
        <f>VLOOKUP($A98,tabCustoUnit[],COLUMN(CUSTO_GLOBAL[[#Headers],[Aviso Prévio Indenizado (API) e Reflexo do Aviso Prévio Indenizado]])-2,0)*($G98-$H98)</f>
        <v>5.7795253576581791</v>
      </c>
      <c r="AP98" s="22">
        <f>VLOOKUP($A98,tabCustoUnit[],COLUMN(CUSTO_GLOBAL[[#Headers],[Incidência do FGTS sobre API e Reflexo do API]])-2,0)*($G98-$H98)</f>
        <v>0.46236202861265435</v>
      </c>
      <c r="AQ98" s="22">
        <f>VLOOKUP($A98,tabCustoUnit[],COLUMN(CUSTO_GLOBAL[[#Headers],[Multa Rescisória do FGTS sobre o Aviso Prévio Indenizado]])-2,0)*($G98-$H98)</f>
        <v>0.18494481144506175</v>
      </c>
      <c r="AR98" s="22">
        <f>VLOOKUP($A98,tabCustoUnit[],COLUMN(CUSTO_GLOBAL[[#Headers],[Aviso Prévio Trabalhado - APT]])-2,0)*($G98-$H98)</f>
        <v>2.8849131500000005</v>
      </c>
      <c r="AS98" s="22">
        <f>VLOOKUP($A98,tabCustoUnit[],COLUMN(CUSTO_GLOBAL[[#Headers],[Incidência dos encargos do submódulo 2.1 sobre Aviso Prévio Trabalhado]])-2,0)*($G98-$H98)</f>
        <v>1.0904971707000004</v>
      </c>
      <c r="AT98" s="22">
        <f>VLOOKUP($A98,tabCustoUnit[],COLUMN(CUSTO_GLOBAL[[#Headers],[Multa Rescisória do FGTS]])-2,0)*($G98-$H98)</f>
        <v>25.204066631111107</v>
      </c>
      <c r="AU98" s="22">
        <f>VLOOKUP($A98,tabCustoUnit[],COLUMN(CUSTO_GLOBAL[[#Headers],[Indenização Adicional (Art. 9º da Lei nº 7.238/84)]])-2,0)*($G98-$H98)</f>
        <v>0.6868840833333334</v>
      </c>
      <c r="AV98" s="22">
        <f>VLOOKUP($A98,tabCustoUnit[],COLUMN(CUSTO_GLOBAL[[#Headers],[MÓDULO 3 – PROVISÃO PARA RESCISÃO]])-2,0)*($G98-$H98)</f>
        <v>36.293193232860339</v>
      </c>
      <c r="AW98" s="22">
        <f>VLOOKUP($A98,tabCustoUnit[],COLUMN(CUSTO_GLOBAL[[#Headers],[Ausência por Doença]])-2,0)*($G98-$H98)</f>
        <v>6.9604253777777769</v>
      </c>
      <c r="AX98" s="22">
        <f>VLOOKUP($A98,tabCustoUnit[],COLUMN(CUSTO_GLOBAL[[#Headers],[Ausências Legais]])-2,0)*($G98-$H98)</f>
        <v>1.671417936111111</v>
      </c>
      <c r="AY98" s="22">
        <f>VLOOKUP($A98,tabCustoUnit[],COLUMN(CUSTO_GLOBAL[[#Headers],[Licença Paternidade]])-2,0)*($G98-$H98)</f>
        <v>0.14081123708333332</v>
      </c>
      <c r="AZ98" s="22">
        <f>VLOOKUP($A98,tabCustoUnit[],COLUMN(CUSTO_GLOBAL[[#Headers],[Ausência por Acidente de Trabalho]])-2,0)*($G98-$H98)</f>
        <v>0.17172102083333335</v>
      </c>
      <c r="BA98" s="22">
        <f>VLOOKUP($A98,tabCustoUnit[],COLUMN(CUSTO_GLOBAL[[#Headers],[Férias, Adicional de Férias e 13º  com empregada em gozo de Licença Maternidade]])-2,0)*($G98-$H98)</f>
        <v>1.0684863518518517</v>
      </c>
      <c r="BB98" s="22">
        <f>VLOOKUP($A98,tabCustoUnit[],COLUMN(CUSTO_GLOBAL[[#Headers],[Incidência do Submódulo 2.1 sobre Ausências Legais]])-2,0)*($G98-$H98)</f>
        <v>3.7848618071425006</v>
      </c>
      <c r="BC98" s="22">
        <f>VLOOKUP($A98,tabCustoUnit[],COLUMN(CUSTO_GLOBAL[[#Headers],[Submódulo 4.1]])-2,0)*($G98-$H98)</f>
        <v>13.797723730799909</v>
      </c>
      <c r="BD98" s="22">
        <f>VLOOKUP($A98,tabCustoUnit[],COLUMN(CUSTO_GLOBAL[[#Headers],[Intervalo para Repouso ou Alimentação]])-2,0)*($G98-$H98)</f>
        <v>0</v>
      </c>
      <c r="BE98" s="22">
        <f>VLOOKUP($A98,tabCustoUnit[],COLUMN(CUSTO_GLOBAL[[#Headers],[Submódulo 4.2]])-2,0)*($G98-$H98)</f>
        <v>0</v>
      </c>
      <c r="BF98" s="22">
        <f>VLOOKUP($A98,tabCustoUnit[],COLUMN(CUSTO_GLOBAL[[#Headers],[Suspensão Temporária do Contrato de Trabalho]])-2,0)*($G98-$H98)</f>
        <v>0</v>
      </c>
      <c r="BG98" s="22">
        <f>VLOOKUP($A98,tabCustoUnit[],COLUMN(CUSTO_GLOBAL[[#Headers],[Submódulo 4.3]])-2,0)*($G98-$H98)</f>
        <v>0</v>
      </c>
      <c r="BH98" s="22">
        <f>VLOOKUP($A98,tabCustoUnit[],COLUMN(CUSTO_GLOBAL[[#Headers],[MÓDULO 4 – CUSTO DE REPOSIÇÃO DO PROFISSIONAL AUSENTE]])-2,0)*($G98-$H98)</f>
        <v>13.797723730799909</v>
      </c>
      <c r="BI98" s="22">
        <f>VLOOKUP($A98,tabCustoUnit[],COLUMN(CUSTO_GLOBAL[[#Headers],[Uniformes e EPIs]])-2,0)*($G98-$H98)</f>
        <v>62.806666666666665</v>
      </c>
      <c r="BJ98" s="22">
        <f>VLOOKUP($A98,tabCustoUnit[],COLUMN(CUSTO_GLOBAL[[#Headers],[Materiais de Consumo]])-2,0)*($G98-$H98)</f>
        <v>17.759106479291944</v>
      </c>
      <c r="BK98" s="22">
        <f>VLOOKUP($A98,tabCustoUnit[],COLUMN(CUSTO_GLOBAL[[#Headers],[Máquinas e Equipamentos (depreciação)]])-2,0)*($G98-$H98)</f>
        <v>32.264696957412788</v>
      </c>
      <c r="BL98" s="22">
        <f>VLOOKUP($A98,tabCustoUnit[],COLUMN(CUSTO_GLOBAL[[#Headers],[Produtos de Limpeza e Materiais de Higiene Pessoal]])-2,0)*($G98-$H98)</f>
        <v>345.13576638965827</v>
      </c>
      <c r="BM98" s="22">
        <f>VLOOKUP($A98,tabCustoUnit[],COLUMN(CUSTO_GLOBAL[[#Headers],[Outros (especificar)]])-2,0)*($G98-$H98)</f>
        <v>0</v>
      </c>
      <c r="BN98" s="22">
        <f>VLOOKUP($A98,tabCustoUnit[],COLUMN(CUSTO_GLOBAL[[#Headers],[MÓDULO 5 – INSUMOS DIVERSOS]])-2,0)*($G98-$H98)</f>
        <v>457.96623649302967</v>
      </c>
      <c r="BO98" s="22">
        <f>VLOOKUP($A98,tabCustoUnit[],COLUMN(CUSTO_GLOBAL[[#Headers],[TOTAL MÓDULOS 1+2+3+4+5]])-2,0)*($G98-$H98)</f>
        <v>2710.0764025844674</v>
      </c>
      <c r="BP98" s="22">
        <f>VLOOKUP($A98,tabCustoUnit[],COLUMN(CUSTO_GLOBAL[[#Headers],[Custos Indiretos]])-2,0)*($G98-$H98)</f>
        <v>189.64880140242613</v>
      </c>
      <c r="BQ98" s="22">
        <f>VLOOKUP($A98,tabCustoUnit[],COLUMN(CUSTO_GLOBAL[[#Headers],[Lucro]])-2,0)*($G98-$H98)</f>
        <v>159.30499317803796</v>
      </c>
      <c r="BR98" s="26">
        <f>VLOOKUP($A98,tabCustoUnit[],COLUMN(CUSTO_GLOBAL[[#Headers],[COFINS]])-2,0)</f>
        <v>8.5633802816901458E-2</v>
      </c>
      <c r="BS98" s="26">
        <f>VLOOKUP($A98,tabCustoUnit[],COLUMN(CUSTO_GLOBAL[[#Headers],[PIS]])-2,0)</f>
        <v>1.8591549295774657E-2</v>
      </c>
      <c r="BT98" s="28">
        <f>VLOOKUP($A98,tabCustoUnit[],COLUMN(CUSTO_GLOBAL[[#Headers],[ISS]])-2,0)</f>
        <v>0.02</v>
      </c>
      <c r="BU98" s="26">
        <f>VLOOKUP($A98,tabCustoUnit[],COLUMN(CUSTO_GLOBAL[[#Headers],[ISS (Conversão Alíquota s/ fatura)]])-2,0)</f>
        <v>2.2535211267605645E-2</v>
      </c>
      <c r="BV98" s="26">
        <f>VLOOKUP($A98,tabCustoUnit[],COLUMN(CUSTO_GLOBAL[[#Headers],[Resumo de Alíquotas (PIS+CONFINS+ISS)]])-2,0)</f>
        <v>0.1125</v>
      </c>
      <c r="BW98" s="138">
        <f>VLOOKUP($A98,tabCustoUnit[],COLUMN(CUSTO_GLOBAL[[#Headers],[PIS + COFINS + ISS (Total Conversão  Alíquota s/ Fatura)]])-2,0)</f>
        <v>0.12676056338028174</v>
      </c>
      <c r="BX98" s="22">
        <f>VLOOKUP($A98,tabCustoUnit[],COLUMN(CUSTO_GLOBAL[[#Headers],[Valor dos Tributos (ISS, PIS, CONFINS)]])-2,0)*($G98-$H98)</f>
        <v>387.76439118992107</v>
      </c>
      <c r="BY98" s="22">
        <f>VLOOKUP($A98,tabCustoUnit[],COLUMN(CUSTO_GLOBAL[[#Headers],[MÓDULO 6 – CUSTOS INDIRETOS, TRIBUTOS E LUCRO]])-2,0)*($G98-$H98)</f>
        <v>736.71818577038516</v>
      </c>
      <c r="BZ98" s="22">
        <f>VLOOKUP($A98,tabCustoUnit[],COLUMN(CUSTO_GLOBAL[[#Headers],[CUSTO TOTAL MENSAL]])-2,0)*($G98-$H98)</f>
        <v>3446.7945883548527</v>
      </c>
      <c r="CA98" s="22">
        <f>CUSTO_GLOBAL[[#This Row],[CUSTO TOTAL MENSAL]]*12</f>
        <v>41361.535060258233</v>
      </c>
      <c r="CB98" s="24">
        <f>VLOOKUP($A98,tabCustoUnit[],COLUMN(CUSTO_GLOBAL[[#Headers],[ANO DA CCT]])-2,0)</f>
        <v>45658</v>
      </c>
      <c r="CC98" s="25" t="str">
        <f>VLOOKUP($A98,tabCustoUnit[],COLUMN(CUSTO_GLOBAL[[#Headers],[Nº DE PEDIDO DA CCT]])-2,0)</f>
        <v>-</v>
      </c>
      <c r="CD98" s="25" t="str">
        <f>VLOOKUP($A98,tabCustoUnit[],COLUMN(CUSTO_GLOBAL[[#Headers],[TERMO ADITIVO  ALTERAÇÃO DA CCT]])-2,0)</f>
        <v>-</v>
      </c>
      <c r="CF98" s="22"/>
      <c r="CG98" s="22"/>
    </row>
    <row r="99" spans="1:85" x14ac:dyDescent="0.25">
      <c r="A99" s="20" t="s">
        <v>1438</v>
      </c>
      <c r="B99" t="s">
        <v>93</v>
      </c>
      <c r="C99" t="s">
        <v>1245</v>
      </c>
      <c r="D99" t="s">
        <v>1028</v>
      </c>
      <c r="E99" s="20" t="s">
        <v>9</v>
      </c>
      <c r="F99" s="20" t="s">
        <v>10</v>
      </c>
      <c r="G99" s="20">
        <v>1</v>
      </c>
      <c r="H99" s="20">
        <v>0</v>
      </c>
      <c r="I99" s="21">
        <f>VLOOKUP($A99,tabCustoUnit[],COLUMN(CUSTO_GLOBAL[[#Headers],[Salário Base]])-2,0)*($G99-$H99)</f>
        <v>1596.28</v>
      </c>
      <c r="J99" s="21">
        <f>VLOOKUP($A99,tabCustoUnit[],COLUMN(CUSTO_GLOBAL[[#Headers],[Adicional Periculosidade]])-2,0)*($G99-$H99)</f>
        <v>0</v>
      </c>
      <c r="K99" s="21">
        <f>VLOOKUP($A99,tabCustoUnit[],COLUMN(CUSTO_GLOBAL[[#Headers],[Adicional Insalubridade]])-2,0)*($G99-$H99)</f>
        <v>0</v>
      </c>
      <c r="L99" s="21">
        <f>VLOOKUP($A99,tabCustoUnit[],COLUMN(CUSTO_GLOBAL[[#Headers],[Adicional Noturno]])-2,0)*($G99-$H99)</f>
        <v>0</v>
      </c>
      <c r="M99" s="21">
        <f>VLOOKUP($A99,tabCustoUnit[],COLUMN(CUSTO_GLOBAL[[#Headers],[Adicional Motorista II (Gratificação)]])-2,0)*($G99-$H99)</f>
        <v>0</v>
      </c>
      <c r="N99" s="21">
        <f>VLOOKUP($A99,tabCustoUnit[],COLUMN(CUSTO_GLOBAL[[#Headers],[Adicional de Sobreaviso]])-2,0)*($G99-$H99)</f>
        <v>0</v>
      </c>
      <c r="O99" s="21">
        <f>VLOOKUP($A99,tabCustoUnit[],COLUMN(CUSTO_GLOBAL[[#Headers],[Horas Extras TI]])-2,0)*($G99-$H99)</f>
        <v>0</v>
      </c>
      <c r="P99" s="21">
        <f>VLOOKUP($A99,tabCustoUnit[],COLUMN(CUSTO_GLOBAL[[#Headers],[Adicional de Acúmulo de função]])-2,0)*($G99-$H99)</f>
        <v>52.241900000000001</v>
      </c>
      <c r="Q99" s="21">
        <f>VLOOKUP($A99,tabCustoUnit[],COLUMN(CUSTO_GLOBAL[[#Headers],[MODULO 1 - REMUNERAÇÃO ]])-2,0)*($G99-$H99)</f>
        <v>1648.5219</v>
      </c>
      <c r="R99" s="21">
        <f>VLOOKUP($A99,tabCustoUnit[],COLUMN(CUSTO_GLOBAL[[#Headers],[INSS]])-2,0)*($G99-$H99)</f>
        <v>329.70438000000001</v>
      </c>
      <c r="S99" s="21">
        <f>VLOOKUP($A99,tabCustoUnit[],COLUMN(CUSTO_GLOBAL[[#Headers],[SESI OU SESC]])-2,0)*($G99-$H99)</f>
        <v>24.727828499999998</v>
      </c>
      <c r="T99" s="21">
        <f>VLOOKUP($A99,tabCustoUnit[],COLUMN(CUSTO_GLOBAL[[#Headers],[SENAI OU SENAC]])-2,0)*($G99-$H99)</f>
        <v>16.485219000000001</v>
      </c>
      <c r="U99" s="21">
        <f>VLOOKUP($A99,tabCustoUnit[],COLUMN(CUSTO_GLOBAL[[#Headers],[INCRA]])-2,0)*($G99-$H99)</f>
        <v>3.2970438</v>
      </c>
      <c r="V99" s="21">
        <f>VLOOKUP($A99,tabCustoUnit[],COLUMN(CUSTO_GLOBAL[[#Headers],[Salário Educação]])-2,0)*($G99-$H99)</f>
        <v>41.213047500000002</v>
      </c>
      <c r="W99" s="21">
        <f>VLOOKUP($A99,tabCustoUnit[],COLUMN(CUSTO_GLOBAL[[#Headers],[FGTS]])-2,0)*($G99-$H99)</f>
        <v>131.88175200000001</v>
      </c>
      <c r="X99" s="21">
        <f>VLOOKUP($A99,tabCustoUnit[],COLUMN(CUSTO_GLOBAL[[#Headers],[RAT Ajustado]])-2,0)*($G99-$H99)</f>
        <v>65.940876000000003</v>
      </c>
      <c r="Y99" s="21">
        <f>VLOOKUP($A99,tabCustoUnit[],COLUMN(CUSTO_GLOBAL[[#Headers],[SEBRAE]])-2,0)*($G99-$H99)</f>
        <v>9.8911314000000008</v>
      </c>
      <c r="Z99" s="21">
        <f>VLOOKUP($A99,tabCustoUnit[],COLUMN(CUSTO_GLOBAL[[#Headers],[Submódulo 2.1]])-2,0)*($G99-$H99)</f>
        <v>623.14127819999999</v>
      </c>
      <c r="AA99" s="21">
        <f>VLOOKUP($A99,tabCustoUnit[],COLUMN(CUSTO_GLOBAL[[#Headers],[13º salário (titular)]])-2,0)*($G99-$H99)</f>
        <v>137.376825</v>
      </c>
      <c r="AB99" s="21">
        <f>VLOOKUP($A99,tabCustoUnit[],COLUMN(CUSTO_GLOBAL[[#Headers],[Férias e Adicional de Férias (titular)]])-2,0)*($G99-$H99)</f>
        <v>183.16909999999999</v>
      </c>
      <c r="AC99" s="21">
        <f>VLOOKUP($A99,tabCustoUnit[],COLUMN(CUSTO_GLOBAL[[#Headers],[Incidência do Submódulo 2.1 sobre 13º Salário, Férias e Adicional de Férias]])-2,0)*($G99-$H99)</f>
        <v>121.16635965</v>
      </c>
      <c r="AD99" s="21">
        <f>VLOOKUP($A99,tabCustoUnit[],COLUMN(CUSTO_GLOBAL[[#Headers],[Submódulo 2.2]])-2,0)*($G99-$H99)</f>
        <v>441.71228465000002</v>
      </c>
      <c r="AE99" s="22">
        <f>VLOOKUP($A99,tabCustoUnit[],COLUMN(CUSTO_GLOBAL[[#Headers],[Vale - Transporte (Descontada parcela do empregado)]])-2,0)*($G99-$H99)</f>
        <v>160.22320000000002</v>
      </c>
      <c r="AF99" s="22">
        <f>VLOOKUP($A99,tabCustoUnit[],COLUMN(CUSTO_GLOBAL[[#Headers],[Vale - Alimentação (Descontada parcela do empregado)]])-2,0)*($G99-$H99)</f>
        <v>582</v>
      </c>
      <c r="AG99" s="22">
        <f>VLOOKUP($A99,tabCustoUnit[],COLUMN(CUSTO_GLOBAL[[#Headers],[Cesta Básica]])-2,0)*($G99-$H99)</f>
        <v>0</v>
      </c>
      <c r="AH99" s="22">
        <f>VLOOKUP($A99,tabCustoUnit[],COLUMN(CUSTO_GLOBAL[[#Headers],[PAF]])-2,0)*($G99-$H99)</f>
        <v>51.86</v>
      </c>
      <c r="AI99" s="22">
        <f>VLOOKUP($A99,tabCustoUnit[],COLUMN(CUSTO_GLOBAL[[#Headers],[PQM]])-2,0)*($G99-$H99)</f>
        <v>0</v>
      </c>
      <c r="AJ99" s="22">
        <v>0</v>
      </c>
      <c r="AK99" s="22">
        <f>VLOOKUP($A99,tabCustoUnit[],COLUMN(CUSTO_GLOBAL[[#Headers],[Seguro de Vida]])-2,0)*($G99-$H99)</f>
        <v>3.36</v>
      </c>
      <c r="AL99" s="22">
        <f>VLOOKUP($A99,tabCustoUnit[],COLUMN(CUSTO_GLOBAL[[#Headers],[Despesas de Viagem]])-2,0)*($G99-$H99)</f>
        <v>0</v>
      </c>
      <c r="AM99" s="22">
        <f>VLOOKUP($A99,tabCustoUnit[],COLUMN(CUSTO_GLOBAL[[#Headers],[Submódulo 2.3]])-2,0)*($G99-$H99)</f>
        <v>797.44320000000005</v>
      </c>
      <c r="AN99" s="22">
        <f>VLOOKUP($A99,tabCustoUnit[],COLUMN(CUSTO_GLOBAL[[#Headers],[MÓDULO 2 - Total Encargos e Benefícios mensais e diários]])-2,0)*($G99-$H99)</f>
        <v>1862.2967628500001</v>
      </c>
      <c r="AO99" s="22">
        <f>VLOOKUP($A99,tabCustoUnit[],COLUMN(CUSTO_GLOBAL[[#Headers],[Aviso Prévio Indenizado (API) e Reflexo do Aviso Prévio Indenizado]])-2,0)*($G99-$H99)</f>
        <v>11.559051416493055</v>
      </c>
      <c r="AP99" s="22">
        <f>VLOOKUP($A99,tabCustoUnit[],COLUMN(CUSTO_GLOBAL[[#Headers],[Incidência do FGTS sobre API e Reflexo do API]])-2,0)*($G99-$H99)</f>
        <v>0.92472411331944449</v>
      </c>
      <c r="AQ99" s="22">
        <f>VLOOKUP($A99,tabCustoUnit[],COLUMN(CUSTO_GLOBAL[[#Headers],[Multa Rescisória do FGTS sobre o Aviso Prévio Indenizado]])-2,0)*($G99-$H99)</f>
        <v>0.36988964532777785</v>
      </c>
      <c r="AR99" s="22">
        <f>VLOOKUP($A99,tabCustoUnit[],COLUMN(CUSTO_GLOBAL[[#Headers],[Aviso Prévio Trabalhado - APT]])-2,0)*($G99-$H99)</f>
        <v>5.7698266500000006</v>
      </c>
      <c r="AS99" s="22">
        <f>VLOOKUP($A99,tabCustoUnit[],COLUMN(CUSTO_GLOBAL[[#Headers],[Incidência dos encargos do submódulo 2.1 sobre Aviso Prévio Trabalhado]])-2,0)*($G99-$H99)</f>
        <v>2.1809944737000007</v>
      </c>
      <c r="AT99" s="22">
        <f>VLOOKUP($A99,tabCustoUnit[],COLUMN(CUSTO_GLOBAL[[#Headers],[Multa Rescisória do FGTS]])-2,0)*($G99-$H99)</f>
        <v>50.40813631999999</v>
      </c>
      <c r="AU99" s="22">
        <f>VLOOKUP($A99,tabCustoUnit[],COLUMN(CUSTO_GLOBAL[[#Headers],[Indenização Adicional (Art. 9º da Lei nº 7.238/84)]])-2,0)*($G99-$H99)</f>
        <v>1.3737682500000001</v>
      </c>
      <c r="AV99" s="22">
        <f>VLOOKUP($A99,tabCustoUnit[],COLUMN(CUSTO_GLOBAL[[#Headers],[MÓDULO 3 – PROVISÃO PARA RESCISÃO]])-2,0)*($G99-$H99)</f>
        <v>72.586390868840269</v>
      </c>
      <c r="AW99" s="22">
        <f>VLOOKUP($A99,tabCustoUnit[],COLUMN(CUSTO_GLOBAL[[#Headers],[Ausência por Doença]])-2,0)*($G99-$H99)</f>
        <v>13.920851599999999</v>
      </c>
      <c r="AX99" s="22">
        <f>VLOOKUP($A99,tabCustoUnit[],COLUMN(CUSTO_GLOBAL[[#Headers],[Ausências Legais]])-2,0)*($G99-$H99)</f>
        <v>3.3428360749999997</v>
      </c>
      <c r="AY99" s="22">
        <f>VLOOKUP($A99,tabCustoUnit[],COLUMN(CUSTO_GLOBAL[[#Headers],[Licença Paternidade]])-2,0)*($G99-$H99)</f>
        <v>0.28162249125</v>
      </c>
      <c r="AZ99" s="22">
        <f>VLOOKUP($A99,tabCustoUnit[],COLUMN(CUSTO_GLOBAL[[#Headers],[Ausência por Acidente de Trabalho]])-2,0)*($G99-$H99)</f>
        <v>0.34344206250000003</v>
      </c>
      <c r="BA99" s="22">
        <f>VLOOKUP($A99,tabCustoUnit[],COLUMN(CUSTO_GLOBAL[[#Headers],[Férias, Adicional de Férias e 13º  com empregada em gozo de Licença Maternidade]])-2,0)*($G99-$H99)</f>
        <v>2.1369728333333331</v>
      </c>
      <c r="BB99" s="22">
        <f>VLOOKUP($A99,tabCustoUnit[],COLUMN(CUSTO_GLOBAL[[#Headers],[Incidência do Submódulo 2.1 sobre Ausências Legais]])-2,0)*($G99-$H99)</f>
        <v>7.5697240734675013</v>
      </c>
      <c r="BC99" s="22">
        <f>VLOOKUP($A99,tabCustoUnit[],COLUMN(CUSTO_GLOBAL[[#Headers],[Submódulo 4.1]])-2,0)*($G99-$H99)</f>
        <v>27.595449135550833</v>
      </c>
      <c r="BD99" s="22">
        <f>VLOOKUP($A99,tabCustoUnit[],COLUMN(CUSTO_GLOBAL[[#Headers],[Intervalo para Repouso ou Alimentação]])-2,0)*($G99-$H99)</f>
        <v>0</v>
      </c>
      <c r="BE99" s="22">
        <f>VLOOKUP($A99,tabCustoUnit[],COLUMN(CUSTO_GLOBAL[[#Headers],[Submódulo 4.2]])-2,0)*($G99-$H99)</f>
        <v>0</v>
      </c>
      <c r="BF99" s="22">
        <f>VLOOKUP($A99,tabCustoUnit[],COLUMN(CUSTO_GLOBAL[[#Headers],[Suspensão Temporária do Contrato de Trabalho]])-2,0)*($G99-$H99)</f>
        <v>0</v>
      </c>
      <c r="BG99" s="22">
        <f>VLOOKUP($A99,tabCustoUnit[],COLUMN(CUSTO_GLOBAL[[#Headers],[Submódulo 4.3]])-2,0)*($G99-$H99)</f>
        <v>0</v>
      </c>
      <c r="BH99" s="22">
        <f>VLOOKUP($A99,tabCustoUnit[],COLUMN(CUSTO_GLOBAL[[#Headers],[MÓDULO 4 – CUSTO DE REPOSIÇÃO DO PROFISSIONAL AUSENTE]])-2,0)*($G99-$H99)</f>
        <v>27.595449135550833</v>
      </c>
      <c r="BI99" s="22">
        <f>VLOOKUP($A99,tabCustoUnit[],COLUMN(CUSTO_GLOBAL[[#Headers],[Uniformes e EPIs]])-2,0)*($G99-$H99)</f>
        <v>100.80916666666666</v>
      </c>
      <c r="BJ99" s="22">
        <f>VLOOKUP($A99,tabCustoUnit[],COLUMN(CUSTO_GLOBAL[[#Headers],[Materiais de Consumo]])-2,0)*($G99-$H99)</f>
        <v>35.518212958583888</v>
      </c>
      <c r="BK99" s="22">
        <f>VLOOKUP($A99,tabCustoUnit[],COLUMN(CUSTO_GLOBAL[[#Headers],[Máquinas e Equipamentos (depreciação)]])-2,0)*($G99-$H99)</f>
        <v>64.529393914825576</v>
      </c>
      <c r="BL99" s="22">
        <f>VLOOKUP($A99,tabCustoUnit[],COLUMN(CUSTO_GLOBAL[[#Headers],[Produtos de Limpeza e Materiais de Higiene Pessoal]])-2,0)*($G99-$H99)</f>
        <v>690.27153277931654</v>
      </c>
      <c r="BM99" s="22">
        <f>VLOOKUP($A99,tabCustoUnit[],COLUMN(CUSTO_GLOBAL[[#Headers],[Outros (especificar)]])-2,0)*($G99-$H99)</f>
        <v>0</v>
      </c>
      <c r="BN99" s="22">
        <f>VLOOKUP($A99,tabCustoUnit[],COLUMN(CUSTO_GLOBAL[[#Headers],[MÓDULO 5 – INSUMOS DIVERSOS]])-2,0)*($G99-$H99)</f>
        <v>891.12830631939266</v>
      </c>
      <c r="BO99" s="22">
        <f>VLOOKUP($A99,tabCustoUnit[],COLUMN(CUSTO_GLOBAL[[#Headers],[TOTAL MÓDULOS 1+2+3+4+5]])-2,0)*($G99-$H99)</f>
        <v>4502.1288091737833</v>
      </c>
      <c r="BP99" s="22">
        <f>VLOOKUP($A99,tabCustoUnit[],COLUMN(CUSTO_GLOBAL[[#Headers],[Custos Indiretos]])-2,0)*($G99-$H99)</f>
        <v>189.64880140242613</v>
      </c>
      <c r="BQ99" s="22">
        <f>VLOOKUP($A99,tabCustoUnit[],COLUMN(CUSTO_GLOBAL[[#Headers],[Lucro]])-2,0)*($G99-$H99)</f>
        <v>159.30499317803796</v>
      </c>
      <c r="BR99" s="26">
        <f>VLOOKUP($A99,tabCustoUnit[],COLUMN(CUSTO_GLOBAL[[#Headers],[COFINS]])-2,0)</f>
        <v>8.5633802816901458E-2</v>
      </c>
      <c r="BS99" s="26">
        <f>VLOOKUP($A99,tabCustoUnit[],COLUMN(CUSTO_GLOBAL[[#Headers],[PIS]])-2,0)</f>
        <v>1.8591549295774657E-2</v>
      </c>
      <c r="BT99" s="28">
        <f>VLOOKUP($A99,tabCustoUnit[],COLUMN(CUSTO_GLOBAL[[#Headers],[ISS]])-2,0)</f>
        <v>0.02</v>
      </c>
      <c r="BU99" s="26">
        <f>VLOOKUP($A99,tabCustoUnit[],COLUMN(CUSTO_GLOBAL[[#Headers],[ISS (Conversão Alíquota s/ fatura)]])-2,0)</f>
        <v>2.2535211267605645E-2</v>
      </c>
      <c r="BV99" s="26">
        <f>VLOOKUP($A99,tabCustoUnit[],COLUMN(CUSTO_GLOBAL[[#Headers],[Resumo de Alíquotas (PIS+CONFINS+ISS)]])-2,0)</f>
        <v>0.1125</v>
      </c>
      <c r="BW99" s="138">
        <f>VLOOKUP($A99,tabCustoUnit[],COLUMN(CUSTO_GLOBAL[[#Headers],[PIS + COFINS + ISS (Total Conversão  Alíquota s/ Fatura)]])-2,0)</f>
        <v>0.12676056338028174</v>
      </c>
      <c r="BX99" s="22">
        <f>VLOOKUP($A99,tabCustoUnit[],COLUMN(CUSTO_GLOBAL[[#Headers],[Valor dos Tributos (ISS, PIS, CONFINS)]])-2,0)*($G99-$H99)</f>
        <v>614.92596385617242</v>
      </c>
      <c r="BY99" s="22">
        <f>VLOOKUP($A99,tabCustoUnit[],COLUMN(CUSTO_GLOBAL[[#Headers],[MÓDULO 6 – CUSTOS INDIRETOS, TRIBUTOS E LUCRO]])-2,0)*($G99-$H99)</f>
        <v>963.87975843663651</v>
      </c>
      <c r="BZ99" s="22">
        <f>VLOOKUP($A99,tabCustoUnit[],COLUMN(CUSTO_GLOBAL[[#Headers],[CUSTO TOTAL MENSAL]])-2,0)*($G99-$H99)</f>
        <v>5466.00856761042</v>
      </c>
      <c r="CA99" s="22">
        <f>CUSTO_GLOBAL[[#This Row],[CUSTO TOTAL MENSAL]]*12</f>
        <v>65592.102811325036</v>
      </c>
      <c r="CB99" s="24">
        <f>VLOOKUP($A99,tabCustoUnit[],COLUMN(CUSTO_GLOBAL[[#Headers],[ANO DA CCT]])-2,0)</f>
        <v>45658</v>
      </c>
      <c r="CC99" s="25" t="str">
        <f>VLOOKUP($A99,tabCustoUnit[],COLUMN(CUSTO_GLOBAL[[#Headers],[Nº DE PEDIDO DA CCT]])-2,0)</f>
        <v>-</v>
      </c>
      <c r="CD99" s="25" t="str">
        <f>VLOOKUP($A99,tabCustoUnit[],COLUMN(CUSTO_GLOBAL[[#Headers],[TERMO ADITIVO  ALTERAÇÃO DA CCT]])-2,0)</f>
        <v>-</v>
      </c>
      <c r="CF99" s="22"/>
      <c r="CG99" s="22"/>
    </row>
    <row r="100" spans="1:85" x14ac:dyDescent="0.25">
      <c r="A100" s="20" t="s">
        <v>1439</v>
      </c>
      <c r="B100" t="s">
        <v>94</v>
      </c>
      <c r="C100" t="s">
        <v>1244</v>
      </c>
      <c r="D100" t="s">
        <v>1004</v>
      </c>
      <c r="E100" s="20" t="s">
        <v>9</v>
      </c>
      <c r="F100" s="20" t="s">
        <v>10</v>
      </c>
      <c r="G100" s="20">
        <v>1</v>
      </c>
      <c r="H100" s="20">
        <v>0</v>
      </c>
      <c r="I100" s="21">
        <f>VLOOKUP($A100,tabCustoUnit[],COLUMN(CUSTO_GLOBAL[[#Headers],[Salário Base]])-2,0)*($G100-$H100)</f>
        <v>824.56</v>
      </c>
      <c r="J100" s="21">
        <f>VLOOKUP($A100,tabCustoUnit[],COLUMN(CUSTO_GLOBAL[[#Headers],[Adicional Periculosidade]])-2,0)*($G100-$H100)</f>
        <v>0</v>
      </c>
      <c r="K100" s="21">
        <f>VLOOKUP($A100,tabCustoUnit[],COLUMN(CUSTO_GLOBAL[[#Headers],[Adicional Insalubridade]])-2,0)*($G100-$H100)</f>
        <v>0</v>
      </c>
      <c r="L100" s="21">
        <f>VLOOKUP($A100,tabCustoUnit[],COLUMN(CUSTO_GLOBAL[[#Headers],[Adicional Noturno]])-2,0)*($G100-$H100)</f>
        <v>0</v>
      </c>
      <c r="M100" s="21">
        <f>VLOOKUP($A100,tabCustoUnit[],COLUMN(CUSTO_GLOBAL[[#Headers],[Adicional Motorista II (Gratificação)]])-2,0)*($G100-$H100)</f>
        <v>0</v>
      </c>
      <c r="N100" s="21">
        <f>VLOOKUP($A100,tabCustoUnit[],COLUMN(CUSTO_GLOBAL[[#Headers],[Adicional de Sobreaviso]])-2,0)*($G100-$H100)</f>
        <v>0</v>
      </c>
      <c r="O100" s="21">
        <f>VLOOKUP($A100,tabCustoUnit[],COLUMN(CUSTO_GLOBAL[[#Headers],[Horas Extras TI]])-2,0)*($G100-$H100)</f>
        <v>0</v>
      </c>
      <c r="P100" s="21">
        <f>VLOOKUP($A100,tabCustoUnit[],COLUMN(CUSTO_GLOBAL[[#Headers],[Adicional de Acúmulo de função]])-2,0)*($G100-$H100)</f>
        <v>26.985600000000002</v>
      </c>
      <c r="Q100" s="21">
        <f>VLOOKUP($A100,tabCustoUnit[],COLUMN(CUSTO_GLOBAL[[#Headers],[MODULO 1 - REMUNERAÇÃO ]])-2,0)*($G100-$H100)</f>
        <v>851.54559999999992</v>
      </c>
      <c r="R100" s="21">
        <f>VLOOKUP($A100,tabCustoUnit[],COLUMN(CUSTO_GLOBAL[[#Headers],[INSS]])-2,0)*($G100-$H100)</f>
        <v>170.30912000000001</v>
      </c>
      <c r="S100" s="21">
        <f>VLOOKUP($A100,tabCustoUnit[],COLUMN(CUSTO_GLOBAL[[#Headers],[SESI OU SESC]])-2,0)*($G100-$H100)</f>
        <v>12.773183999999999</v>
      </c>
      <c r="T100" s="21">
        <f>VLOOKUP($A100,tabCustoUnit[],COLUMN(CUSTO_GLOBAL[[#Headers],[SENAI OU SENAC]])-2,0)*($G100-$H100)</f>
        <v>8.5154559999999986</v>
      </c>
      <c r="U100" s="21">
        <f>VLOOKUP($A100,tabCustoUnit[],COLUMN(CUSTO_GLOBAL[[#Headers],[INCRA]])-2,0)*($G100-$H100)</f>
        <v>1.7030911999999998</v>
      </c>
      <c r="V100" s="21">
        <f>VLOOKUP($A100,tabCustoUnit[],COLUMN(CUSTO_GLOBAL[[#Headers],[Salário Educação]])-2,0)*($G100-$H100)</f>
        <v>21.288640000000001</v>
      </c>
      <c r="W100" s="21">
        <f>VLOOKUP($A100,tabCustoUnit[],COLUMN(CUSTO_GLOBAL[[#Headers],[FGTS]])-2,0)*($G100-$H100)</f>
        <v>68.123647999999989</v>
      </c>
      <c r="X100" s="21">
        <f>VLOOKUP($A100,tabCustoUnit[],COLUMN(CUSTO_GLOBAL[[#Headers],[RAT Ajustado]])-2,0)*($G100-$H100)</f>
        <v>34.061823999999994</v>
      </c>
      <c r="Y100" s="21">
        <f>VLOOKUP($A100,tabCustoUnit[],COLUMN(CUSTO_GLOBAL[[#Headers],[SEBRAE]])-2,0)*($G100-$H100)</f>
        <v>5.1092735999999999</v>
      </c>
      <c r="Z100" s="21">
        <f>VLOOKUP($A100,tabCustoUnit[],COLUMN(CUSTO_GLOBAL[[#Headers],[Submódulo 2.1]])-2,0)*($G100-$H100)</f>
        <v>321.8842368</v>
      </c>
      <c r="AA100" s="21">
        <f>VLOOKUP($A100,tabCustoUnit[],COLUMN(CUSTO_GLOBAL[[#Headers],[13º salário (titular)]])-2,0)*($G100-$H100)</f>
        <v>70.962133333333327</v>
      </c>
      <c r="AB100" s="21">
        <f>VLOOKUP($A100,tabCustoUnit[],COLUMN(CUSTO_GLOBAL[[#Headers],[Férias e Adicional de Férias (titular)]])-2,0)*($G100-$H100)</f>
        <v>94.616177777777764</v>
      </c>
      <c r="AC100" s="21">
        <f>VLOOKUP($A100,tabCustoUnit[],COLUMN(CUSTO_GLOBAL[[#Headers],[Incidência do Submódulo 2.1 sobre 13º Salário, Férias e Adicional de Férias]])-2,0)*($G100-$H100)</f>
        <v>62.588601599999997</v>
      </c>
      <c r="AD100" s="21">
        <f>VLOOKUP($A100,tabCustoUnit[],COLUMN(CUSTO_GLOBAL[[#Headers],[Submódulo 2.2]])-2,0)*($G100-$H100)</f>
        <v>228.16691271111108</v>
      </c>
      <c r="AE100" s="22">
        <f>VLOOKUP($A100,tabCustoUnit[],COLUMN(CUSTO_GLOBAL[[#Headers],[Vale - Transporte (Descontada parcela do empregado)]])-2,0)*($G100-$H100)</f>
        <v>206.5264</v>
      </c>
      <c r="AF100" s="22">
        <f>VLOOKUP($A100,tabCustoUnit[],COLUMN(CUSTO_GLOBAL[[#Headers],[Vale - Alimentação (Descontada parcela do empregado)]])-2,0)*($G100-$H100)</f>
        <v>582</v>
      </c>
      <c r="AG100" s="22">
        <f>VLOOKUP($A100,tabCustoUnit[],COLUMN(CUSTO_GLOBAL[[#Headers],[Cesta Básica]])-2,0)*($G100-$H100)</f>
        <v>0</v>
      </c>
      <c r="AH100" s="22">
        <f>VLOOKUP($A100,tabCustoUnit[],COLUMN(CUSTO_GLOBAL[[#Headers],[PAF]])-2,0)*($G100-$H100)</f>
        <v>51.88</v>
      </c>
      <c r="AI100" s="22">
        <f>VLOOKUP($A100,tabCustoUnit[],COLUMN(CUSTO_GLOBAL[[#Headers],[PQM]])-2,0)*($G100-$H100)</f>
        <v>0</v>
      </c>
      <c r="AJ100" s="22">
        <v>0</v>
      </c>
      <c r="AK100" s="22">
        <f>VLOOKUP($A100,tabCustoUnit[],COLUMN(CUSTO_GLOBAL[[#Headers],[Seguro de Vida]])-2,0)*($G100-$H100)</f>
        <v>3.36</v>
      </c>
      <c r="AL100" s="22">
        <f>VLOOKUP($A100,tabCustoUnit[],COLUMN(CUSTO_GLOBAL[[#Headers],[Despesas de Viagem]])-2,0)*($G100-$H100)</f>
        <v>0</v>
      </c>
      <c r="AM100" s="22">
        <f>VLOOKUP($A100,tabCustoUnit[],COLUMN(CUSTO_GLOBAL[[#Headers],[Submódulo 2.3]])-2,0)*($G100-$H100)</f>
        <v>843.76639999999998</v>
      </c>
      <c r="AN100" s="22">
        <f>VLOOKUP($A100,tabCustoUnit[],COLUMN(CUSTO_GLOBAL[[#Headers],[MÓDULO 2 - Total Encargos e Benefícios mensais e diários]])-2,0)*($G100-$H100)</f>
        <v>1393.8175495111111</v>
      </c>
      <c r="AO100" s="22">
        <f>VLOOKUP($A100,tabCustoUnit[],COLUMN(CUSTO_GLOBAL[[#Headers],[Aviso Prévio Indenizado (API) e Reflexo do Aviso Prévio Indenizado]])-2,0)*($G100-$H100)</f>
        <v>5.970839316049382</v>
      </c>
      <c r="AP100" s="22">
        <f>VLOOKUP($A100,tabCustoUnit[],COLUMN(CUSTO_GLOBAL[[#Headers],[Incidência do FGTS sobre API e Reflexo do API]])-2,0)*($G100-$H100)</f>
        <v>0.4776671452839506</v>
      </c>
      <c r="AQ100" s="22">
        <f>VLOOKUP($A100,tabCustoUnit[],COLUMN(CUSTO_GLOBAL[[#Headers],[Multa Rescisória do FGTS sobre o Aviso Prévio Indenizado]])-2,0)*($G100-$H100)</f>
        <v>0.19106685811358026</v>
      </c>
      <c r="AR100" s="22">
        <f>VLOOKUP($A100,tabCustoUnit[],COLUMN(CUSTO_GLOBAL[[#Headers],[Aviso Prévio Trabalhado - APT]])-2,0)*($G100-$H100)</f>
        <v>2.9804096000000002</v>
      </c>
      <c r="AS100" s="22">
        <f>VLOOKUP($A100,tabCustoUnit[],COLUMN(CUSTO_GLOBAL[[#Headers],[Incidência dos encargos do submódulo 2.1 sobre Aviso Prévio Trabalhado]])-2,0)*($G100-$H100)</f>
        <v>1.1265948288000003</v>
      </c>
      <c r="AT100" s="22">
        <f>VLOOKUP($A100,tabCustoUnit[],COLUMN(CUSTO_GLOBAL[[#Headers],[Multa Rescisória do FGTS]])-2,0)*($G100-$H100)</f>
        <v>26.038372124444439</v>
      </c>
      <c r="AU100" s="22">
        <f>VLOOKUP($A100,tabCustoUnit[],COLUMN(CUSTO_GLOBAL[[#Headers],[Indenização Adicional (Art. 9º da Lei nº 7.238/84)]])-2,0)*($G100-$H100)</f>
        <v>0.70962133333333333</v>
      </c>
      <c r="AV100" s="22">
        <f>VLOOKUP($A100,tabCustoUnit[],COLUMN(CUSTO_GLOBAL[[#Headers],[MÓDULO 3 – PROVISÃO PARA RESCISÃO]])-2,0)*($G100-$H100)</f>
        <v>37.494571206024688</v>
      </c>
      <c r="AW100" s="22">
        <f>VLOOKUP($A100,tabCustoUnit[],COLUMN(CUSTO_GLOBAL[[#Headers],[Ausência por Doença]])-2,0)*($G100-$H100)</f>
        <v>7.1908295111111098</v>
      </c>
      <c r="AX100" s="22">
        <f>VLOOKUP($A100,tabCustoUnit[],COLUMN(CUSTO_GLOBAL[[#Headers],[Ausências Legais]])-2,0)*($G100-$H100)</f>
        <v>1.7267452444444442</v>
      </c>
      <c r="AY100" s="22">
        <f>VLOOKUP($A100,tabCustoUnit[],COLUMN(CUSTO_GLOBAL[[#Headers],[Licença Paternidade]])-2,0)*($G100-$H100)</f>
        <v>0.14547237333333332</v>
      </c>
      <c r="AZ100" s="22">
        <f>VLOOKUP($A100,tabCustoUnit[],COLUMN(CUSTO_GLOBAL[[#Headers],[Ausência por Acidente de Trabalho]])-2,0)*($G100-$H100)</f>
        <v>0.17740533333333333</v>
      </c>
      <c r="BA100" s="22">
        <f>VLOOKUP($A100,tabCustoUnit[],COLUMN(CUSTO_GLOBAL[[#Headers],[Férias, Adicional de Férias e 13º  com empregada em gozo de Licença Maternidade]])-2,0)*($G100-$H100)</f>
        <v>1.1038554074074072</v>
      </c>
      <c r="BB100" s="22">
        <f>VLOOKUP($A100,tabCustoUnit[],COLUMN(CUSTO_GLOBAL[[#Headers],[Incidência do Submódulo 2.1 sobre Ausências Legais]])-2,0)*($G100-$H100)</f>
        <v>3.9101483747200003</v>
      </c>
      <c r="BC100" s="22">
        <f>VLOOKUP($A100,tabCustoUnit[],COLUMN(CUSTO_GLOBAL[[#Headers],[Submódulo 4.1]])-2,0)*($G100-$H100)</f>
        <v>14.254456244349628</v>
      </c>
      <c r="BD100" s="22">
        <f>VLOOKUP($A100,tabCustoUnit[],COLUMN(CUSTO_GLOBAL[[#Headers],[Intervalo para Repouso ou Alimentação]])-2,0)*($G100-$H100)</f>
        <v>0</v>
      </c>
      <c r="BE100" s="22">
        <f>VLOOKUP($A100,tabCustoUnit[],COLUMN(CUSTO_GLOBAL[[#Headers],[Submódulo 4.2]])-2,0)*($G100-$H100)</f>
        <v>0</v>
      </c>
      <c r="BF100" s="22">
        <f>VLOOKUP($A100,tabCustoUnit[],COLUMN(CUSTO_GLOBAL[[#Headers],[Suspensão Temporária do Contrato de Trabalho]])-2,0)*($G100-$H100)</f>
        <v>0</v>
      </c>
      <c r="BG100" s="22">
        <f>VLOOKUP($A100,tabCustoUnit[],COLUMN(CUSTO_GLOBAL[[#Headers],[Submódulo 4.3]])-2,0)*($G100-$H100)</f>
        <v>0</v>
      </c>
      <c r="BH100" s="22">
        <f>VLOOKUP($A100,tabCustoUnit[],COLUMN(CUSTO_GLOBAL[[#Headers],[MÓDULO 4 – CUSTO DE REPOSIÇÃO DO PROFISSIONAL AUSENTE]])-2,0)*($G100-$H100)</f>
        <v>14.254456244349628</v>
      </c>
      <c r="BI100" s="22">
        <f>VLOOKUP($A100,tabCustoUnit[],COLUMN(CUSTO_GLOBAL[[#Headers],[Uniformes e EPIs]])-2,0)*($G100-$H100)</f>
        <v>62.806666666666665</v>
      </c>
      <c r="BJ100" s="22">
        <f>VLOOKUP($A100,tabCustoUnit[],COLUMN(CUSTO_GLOBAL[[#Headers],[Materiais de Consumo]])-2,0)*($G100-$H100)</f>
        <v>17.759106479291944</v>
      </c>
      <c r="BK100" s="22">
        <f>VLOOKUP($A100,tabCustoUnit[],COLUMN(CUSTO_GLOBAL[[#Headers],[Máquinas e Equipamentos (depreciação)]])-2,0)*($G100-$H100)</f>
        <v>32.264696957412788</v>
      </c>
      <c r="BL100" s="22">
        <f>VLOOKUP($A100,tabCustoUnit[],COLUMN(CUSTO_GLOBAL[[#Headers],[Produtos de Limpeza e Materiais de Higiene Pessoal]])-2,0)*($G100-$H100)</f>
        <v>345.13576638965827</v>
      </c>
      <c r="BM100" s="22">
        <f>VLOOKUP($A100,tabCustoUnit[],COLUMN(CUSTO_GLOBAL[[#Headers],[Outros (especificar)]])-2,0)*($G100-$H100)</f>
        <v>0</v>
      </c>
      <c r="BN100" s="22">
        <f>VLOOKUP($A100,tabCustoUnit[],COLUMN(CUSTO_GLOBAL[[#Headers],[MÓDULO 5 – INSUMOS DIVERSOS]])-2,0)*($G100-$H100)</f>
        <v>457.96623649302967</v>
      </c>
      <c r="BO100" s="22">
        <f>VLOOKUP($A100,tabCustoUnit[],COLUMN(CUSTO_GLOBAL[[#Headers],[TOTAL MÓDULOS 1+2+3+4+5]])-2,0)*($G100-$H100)</f>
        <v>2755.0784134545152</v>
      </c>
      <c r="BP100" s="22">
        <f>VLOOKUP($A100,tabCustoUnit[],COLUMN(CUSTO_GLOBAL[[#Headers],[Custos Indiretos]])-2,0)*($G100-$H100)</f>
        <v>189.64880140242613</v>
      </c>
      <c r="BQ100" s="22">
        <f>VLOOKUP($A100,tabCustoUnit[],COLUMN(CUSTO_GLOBAL[[#Headers],[Lucro]])-2,0)*($G100-$H100)</f>
        <v>159.30499317803796</v>
      </c>
      <c r="BR100" s="26">
        <f>VLOOKUP($A100,tabCustoUnit[],COLUMN(CUSTO_GLOBAL[[#Headers],[COFINS]])-2,0)</f>
        <v>8.8629737609329504E-2</v>
      </c>
      <c r="BS100" s="26">
        <f>VLOOKUP($A100,tabCustoUnit[],COLUMN(CUSTO_GLOBAL[[#Headers],[PIS]])-2,0)</f>
        <v>1.9241982507288629E-2</v>
      </c>
      <c r="BT100" s="28">
        <f>VLOOKUP($A100,tabCustoUnit[],COLUMN(CUSTO_GLOBAL[[#Headers],[ISS]])-2,0)</f>
        <v>0.05</v>
      </c>
      <c r="BU100" s="26">
        <f>VLOOKUP($A100,tabCustoUnit[],COLUMN(CUSTO_GLOBAL[[#Headers],[ISS (Conversão Alíquota s/ fatura)]])-2,0)</f>
        <v>5.8309037900874633E-2</v>
      </c>
      <c r="BV100" s="26">
        <f>VLOOKUP($A100,tabCustoUnit[],COLUMN(CUSTO_GLOBAL[[#Headers],[Resumo de Alíquotas (PIS+CONFINS+ISS)]])-2,0)</f>
        <v>0.14250000000000002</v>
      </c>
      <c r="BW100" s="138">
        <f>VLOOKUP($A100,tabCustoUnit[],COLUMN(CUSTO_GLOBAL[[#Headers],[PIS + COFINS + ISS (Total Conversão  Alíquota s/ Fatura)]])-2,0)</f>
        <v>0.16618075801749277</v>
      </c>
      <c r="BX100" s="22">
        <f>VLOOKUP($A100,tabCustoUnit[],COLUMN(CUSTO_GLOBAL[[#Headers],[Valor dos Tributos (ISS, PIS, CONFINS)]])-2,0)*($G100-$H100)</f>
        <v>515.83042524196469</v>
      </c>
      <c r="BY100" s="22">
        <f>VLOOKUP($A100,tabCustoUnit[],COLUMN(CUSTO_GLOBAL[[#Headers],[MÓDULO 6 – CUSTOS INDIRETOS, TRIBUTOS E LUCRO]])-2,0)*($G100-$H100)</f>
        <v>864.78421982242878</v>
      </c>
      <c r="BZ100" s="22">
        <f>VLOOKUP($A100,tabCustoUnit[],COLUMN(CUSTO_GLOBAL[[#Headers],[CUSTO TOTAL MENSAL]])-2,0)*($G100-$H100)</f>
        <v>3619.8626332769441</v>
      </c>
      <c r="CA100" s="22">
        <f>CUSTO_GLOBAL[[#This Row],[CUSTO TOTAL MENSAL]]*12</f>
        <v>43438.35159932333</v>
      </c>
      <c r="CB100" s="24">
        <f>VLOOKUP($A100,tabCustoUnit[],COLUMN(CUSTO_GLOBAL[[#Headers],[ANO DA CCT]])-2,0)</f>
        <v>45658</v>
      </c>
      <c r="CC100" s="25" t="str">
        <f>VLOOKUP($A100,tabCustoUnit[],COLUMN(CUSTO_GLOBAL[[#Headers],[Nº DE PEDIDO DA CCT]])-2,0)</f>
        <v>-</v>
      </c>
      <c r="CD100" s="25" t="str">
        <f>VLOOKUP($A100,tabCustoUnit[],COLUMN(CUSTO_GLOBAL[[#Headers],[TERMO ADITIVO  ALTERAÇÃO DA CCT]])-2,0)</f>
        <v>-</v>
      </c>
      <c r="CF100" s="22"/>
      <c r="CG100" s="22"/>
    </row>
    <row r="101" spans="1:85" x14ac:dyDescent="0.25">
      <c r="A101" s="20" t="s">
        <v>1440</v>
      </c>
      <c r="B101" t="s">
        <v>94</v>
      </c>
      <c r="C101" t="s">
        <v>1245</v>
      </c>
      <c r="D101" t="s">
        <v>1004</v>
      </c>
      <c r="E101" s="20" t="s">
        <v>9</v>
      </c>
      <c r="F101" s="20" t="s">
        <v>10</v>
      </c>
      <c r="G101" s="20">
        <v>8</v>
      </c>
      <c r="H101" s="20">
        <v>0</v>
      </c>
      <c r="I101" s="21">
        <f>VLOOKUP($A101,tabCustoUnit[],COLUMN(CUSTO_GLOBAL[[#Headers],[Salário Base]])-2,0)*($G101-$H101)</f>
        <v>13192.9288</v>
      </c>
      <c r="J101" s="21">
        <f>VLOOKUP($A101,tabCustoUnit[],COLUMN(CUSTO_GLOBAL[[#Headers],[Adicional Periculosidade]])-2,0)*($G101-$H101)</f>
        <v>0</v>
      </c>
      <c r="K101" s="21">
        <f>VLOOKUP($A101,tabCustoUnit[],COLUMN(CUSTO_GLOBAL[[#Headers],[Adicional Insalubridade]])-2,0)*($G101-$H101)</f>
        <v>0</v>
      </c>
      <c r="L101" s="21">
        <f>VLOOKUP($A101,tabCustoUnit[],COLUMN(CUSTO_GLOBAL[[#Headers],[Adicional Noturno]])-2,0)*($G101-$H101)</f>
        <v>0</v>
      </c>
      <c r="M101" s="21">
        <f>VLOOKUP($A101,tabCustoUnit[],COLUMN(CUSTO_GLOBAL[[#Headers],[Adicional Motorista II (Gratificação)]])-2,0)*($G101-$H101)</f>
        <v>0</v>
      </c>
      <c r="N101" s="21">
        <f>VLOOKUP($A101,tabCustoUnit[],COLUMN(CUSTO_GLOBAL[[#Headers],[Adicional de Sobreaviso]])-2,0)*($G101-$H101)</f>
        <v>0</v>
      </c>
      <c r="O101" s="21">
        <f>VLOOKUP($A101,tabCustoUnit[],COLUMN(CUSTO_GLOBAL[[#Headers],[Horas Extras TI]])-2,0)*($G101-$H101)</f>
        <v>0</v>
      </c>
      <c r="P101" s="21">
        <f>VLOOKUP($A101,tabCustoUnit[],COLUMN(CUSTO_GLOBAL[[#Headers],[Adicional de Acúmulo de função]])-2,0)*($G101-$H101)</f>
        <v>431.7688</v>
      </c>
      <c r="Q101" s="21">
        <f>VLOOKUP($A101,tabCustoUnit[],COLUMN(CUSTO_GLOBAL[[#Headers],[MODULO 1 - REMUNERAÇÃO ]])-2,0)*($G101-$H101)</f>
        <v>13624.6976</v>
      </c>
      <c r="R101" s="21">
        <f>VLOOKUP($A101,tabCustoUnit[],COLUMN(CUSTO_GLOBAL[[#Headers],[INSS]])-2,0)*($G101-$H101)</f>
        <v>2724.9395199999999</v>
      </c>
      <c r="S101" s="21">
        <f>VLOOKUP($A101,tabCustoUnit[],COLUMN(CUSTO_GLOBAL[[#Headers],[SESI OU SESC]])-2,0)*($G101-$H101)</f>
        <v>204.370464</v>
      </c>
      <c r="T101" s="21">
        <f>VLOOKUP($A101,tabCustoUnit[],COLUMN(CUSTO_GLOBAL[[#Headers],[SENAI OU SENAC]])-2,0)*($G101-$H101)</f>
        <v>136.24697599999999</v>
      </c>
      <c r="U101" s="21">
        <f>VLOOKUP($A101,tabCustoUnit[],COLUMN(CUSTO_GLOBAL[[#Headers],[INCRA]])-2,0)*($G101-$H101)</f>
        <v>27.249395199999999</v>
      </c>
      <c r="V101" s="21">
        <f>VLOOKUP($A101,tabCustoUnit[],COLUMN(CUSTO_GLOBAL[[#Headers],[Salário Educação]])-2,0)*($G101-$H101)</f>
        <v>340.61743999999999</v>
      </c>
      <c r="W101" s="21">
        <f>VLOOKUP($A101,tabCustoUnit[],COLUMN(CUSTO_GLOBAL[[#Headers],[FGTS]])-2,0)*($G101-$H101)</f>
        <v>1089.9758079999999</v>
      </c>
      <c r="X101" s="21">
        <f>VLOOKUP($A101,tabCustoUnit[],COLUMN(CUSTO_GLOBAL[[#Headers],[RAT Ajustado]])-2,0)*($G101-$H101)</f>
        <v>544.98790399999996</v>
      </c>
      <c r="Y101" s="21">
        <f>VLOOKUP($A101,tabCustoUnit[],COLUMN(CUSTO_GLOBAL[[#Headers],[SEBRAE]])-2,0)*($G101-$H101)</f>
        <v>81.748185599999999</v>
      </c>
      <c r="Z101" s="21">
        <f>VLOOKUP($A101,tabCustoUnit[],COLUMN(CUSTO_GLOBAL[[#Headers],[Submódulo 2.1]])-2,0)*($G101-$H101)</f>
        <v>5150.1356927999996</v>
      </c>
      <c r="AA101" s="21">
        <f>VLOOKUP($A101,tabCustoUnit[],COLUMN(CUSTO_GLOBAL[[#Headers],[13º salário (titular)]])-2,0)*($G101-$H101)</f>
        <v>1135.3914666666665</v>
      </c>
      <c r="AB101" s="21">
        <f>VLOOKUP($A101,tabCustoUnit[],COLUMN(CUSTO_GLOBAL[[#Headers],[Férias e Adicional de Férias (titular)]])-2,0)*($G101-$H101)</f>
        <v>1513.8552888888887</v>
      </c>
      <c r="AC101" s="21">
        <f>VLOOKUP($A101,tabCustoUnit[],COLUMN(CUSTO_GLOBAL[[#Headers],[Incidência do Submódulo 2.1 sobre 13º Salário, Férias e Adicional de Férias]])-2,0)*($G101-$H101)</f>
        <v>1001.4152735999998</v>
      </c>
      <c r="AD101" s="21">
        <f>VLOOKUP($A101,tabCustoUnit[],COLUMN(CUSTO_GLOBAL[[#Headers],[Submódulo 2.2]])-2,0)*($G101-$H101)</f>
        <v>3650.6620291555546</v>
      </c>
      <c r="AE101" s="22">
        <f>VLOOKUP($A101,tabCustoUnit[],COLUMN(CUSTO_GLOBAL[[#Headers],[Vale - Transporte (Descontada parcela do empregado)]])-2,0)*($G101-$H101)</f>
        <v>1256.4242720000002</v>
      </c>
      <c r="AF101" s="22">
        <f>VLOOKUP($A101,tabCustoUnit[],COLUMN(CUSTO_GLOBAL[[#Headers],[Vale - Alimentação (Descontada parcela do empregado)]])-2,0)*($G101-$H101)</f>
        <v>4656</v>
      </c>
      <c r="AG101" s="22">
        <f>VLOOKUP($A101,tabCustoUnit[],COLUMN(CUSTO_GLOBAL[[#Headers],[Cesta Básica]])-2,0)*($G101-$H101)</f>
        <v>0</v>
      </c>
      <c r="AH101" s="22">
        <f>VLOOKUP($A101,tabCustoUnit[],COLUMN(CUSTO_GLOBAL[[#Headers],[PAF]])-2,0)*($G101-$H101)</f>
        <v>415.04</v>
      </c>
      <c r="AI101" s="22">
        <f>VLOOKUP($A101,tabCustoUnit[],COLUMN(CUSTO_GLOBAL[[#Headers],[PQM]])-2,0)*($G101-$H101)</f>
        <v>0</v>
      </c>
      <c r="AJ101" s="22">
        <v>0</v>
      </c>
      <c r="AK101" s="22">
        <f>VLOOKUP($A101,tabCustoUnit[],COLUMN(CUSTO_GLOBAL[[#Headers],[Seguro de Vida]])-2,0)*($G101-$H101)</f>
        <v>26.88</v>
      </c>
      <c r="AL101" s="22">
        <f>VLOOKUP($A101,tabCustoUnit[],COLUMN(CUSTO_GLOBAL[[#Headers],[Despesas de Viagem]])-2,0)*($G101-$H101)</f>
        <v>0</v>
      </c>
      <c r="AM101" s="22">
        <f>VLOOKUP($A101,tabCustoUnit[],COLUMN(CUSTO_GLOBAL[[#Headers],[Submódulo 2.3]])-2,0)*($G101-$H101)</f>
        <v>6354.3442720000003</v>
      </c>
      <c r="AN101" s="22">
        <f>VLOOKUP($A101,tabCustoUnit[],COLUMN(CUSTO_GLOBAL[[#Headers],[MÓDULO 2 - Total Encargos e Benefícios mensais e diários]])-2,0)*($G101-$H101)</f>
        <v>15155.141993955554</v>
      </c>
      <c r="AO101" s="22">
        <f>VLOOKUP($A101,tabCustoUnit[],COLUMN(CUSTO_GLOBAL[[#Headers],[Aviso Prévio Indenizado (API) e Reflexo do Aviso Prévio Indenizado]])-2,0)*($G101-$H101)</f>
        <v>95.533204680246911</v>
      </c>
      <c r="AP101" s="22">
        <f>VLOOKUP($A101,tabCustoUnit[],COLUMN(CUSTO_GLOBAL[[#Headers],[Incidência do FGTS sobre API e Reflexo do API]])-2,0)*($G101-$H101)</f>
        <v>7.6426563744197535</v>
      </c>
      <c r="AQ101" s="22">
        <f>VLOOKUP($A101,tabCustoUnit[],COLUMN(CUSTO_GLOBAL[[#Headers],[Multa Rescisória do FGTS sobre o Aviso Prévio Indenizado]])-2,0)*($G101-$H101)</f>
        <v>3.0570625497679016</v>
      </c>
      <c r="AR101" s="22">
        <f>VLOOKUP($A101,tabCustoUnit[],COLUMN(CUSTO_GLOBAL[[#Headers],[Aviso Prévio Trabalhado - APT]])-2,0)*($G101-$H101)</f>
        <v>47.686441600000002</v>
      </c>
      <c r="AS101" s="22">
        <f>VLOOKUP($A101,tabCustoUnit[],COLUMN(CUSTO_GLOBAL[[#Headers],[Incidência dos encargos do submódulo 2.1 sobre Aviso Prévio Trabalhado]])-2,0)*($G101-$H101)</f>
        <v>18.025474924800005</v>
      </c>
      <c r="AT101" s="22">
        <f>VLOOKUP($A101,tabCustoUnit[],COLUMN(CUSTO_GLOBAL[[#Headers],[Multa Rescisória do FGTS]])-2,0)*($G101-$H101)</f>
        <v>416.61297550222213</v>
      </c>
      <c r="AU101" s="22">
        <f>VLOOKUP($A101,tabCustoUnit[],COLUMN(CUSTO_GLOBAL[[#Headers],[Indenização Adicional (Art. 9º da Lei nº 7.238/84)]])-2,0)*($G101-$H101)</f>
        <v>11.353914666666666</v>
      </c>
      <c r="AV101" s="22">
        <f>VLOOKUP($A101,tabCustoUnit[],COLUMN(CUSTO_GLOBAL[[#Headers],[MÓDULO 3 – PROVISÃO PARA RESCISÃO]])-2,0)*($G101-$H101)</f>
        <v>599.91173029812342</v>
      </c>
      <c r="AW101" s="22">
        <f>VLOOKUP($A101,tabCustoUnit[],COLUMN(CUSTO_GLOBAL[[#Headers],[Ausência por Doença]])-2,0)*($G101-$H101)</f>
        <v>115.05300195555554</v>
      </c>
      <c r="AX101" s="22">
        <f>VLOOKUP($A101,tabCustoUnit[],COLUMN(CUSTO_GLOBAL[[#Headers],[Ausências Legais]])-2,0)*($G101-$H101)</f>
        <v>27.627859022222218</v>
      </c>
      <c r="AY101" s="22">
        <f>VLOOKUP($A101,tabCustoUnit[],COLUMN(CUSTO_GLOBAL[[#Headers],[Licença Paternidade]])-2,0)*($G101-$H101)</f>
        <v>2.3275525066666667</v>
      </c>
      <c r="AZ101" s="22">
        <f>VLOOKUP($A101,tabCustoUnit[],COLUMN(CUSTO_GLOBAL[[#Headers],[Ausência por Acidente de Trabalho]])-2,0)*($G101-$H101)</f>
        <v>2.8384786666666666</v>
      </c>
      <c r="BA101" s="22">
        <f>VLOOKUP($A101,tabCustoUnit[],COLUMN(CUSTO_GLOBAL[[#Headers],[Férias, Adicional de Férias e 13º  com empregada em gozo de Licença Maternidade]])-2,0)*($G101-$H101)</f>
        <v>17.661645037037037</v>
      </c>
      <c r="BB101" s="22">
        <f>VLOOKUP($A101,tabCustoUnit[],COLUMN(CUSTO_GLOBAL[[#Headers],[Incidência do Submódulo 2.1 sobre Ausências Legais]])-2,0)*($G101-$H101)</f>
        <v>62.562227057120005</v>
      </c>
      <c r="BC101" s="22">
        <f>VLOOKUP($A101,tabCustoUnit[],COLUMN(CUSTO_GLOBAL[[#Headers],[Submódulo 4.1]])-2,0)*($G101-$H101)</f>
        <v>228.07076424526815</v>
      </c>
      <c r="BD101" s="22">
        <f>VLOOKUP($A101,tabCustoUnit[],COLUMN(CUSTO_GLOBAL[[#Headers],[Intervalo para Repouso ou Alimentação]])-2,0)*($G101-$H101)</f>
        <v>0</v>
      </c>
      <c r="BE101" s="22">
        <f>VLOOKUP($A101,tabCustoUnit[],COLUMN(CUSTO_GLOBAL[[#Headers],[Submódulo 4.2]])-2,0)*($G101-$H101)</f>
        <v>0</v>
      </c>
      <c r="BF101" s="22">
        <f>VLOOKUP($A101,tabCustoUnit[],COLUMN(CUSTO_GLOBAL[[#Headers],[Suspensão Temporária do Contrato de Trabalho]])-2,0)*($G101-$H101)</f>
        <v>0</v>
      </c>
      <c r="BG101" s="22">
        <f>VLOOKUP($A101,tabCustoUnit[],COLUMN(CUSTO_GLOBAL[[#Headers],[Submódulo 4.3]])-2,0)*($G101-$H101)</f>
        <v>0</v>
      </c>
      <c r="BH101" s="22">
        <f>VLOOKUP($A101,tabCustoUnit[],COLUMN(CUSTO_GLOBAL[[#Headers],[MÓDULO 4 – CUSTO DE REPOSIÇÃO DO PROFISSIONAL AUSENTE]])-2,0)*($G101-$H101)</f>
        <v>228.07076424526815</v>
      </c>
      <c r="BI101" s="22">
        <f>VLOOKUP($A101,tabCustoUnit[],COLUMN(CUSTO_GLOBAL[[#Headers],[Uniformes e EPIs]])-2,0)*($G101-$H101)</f>
        <v>806.47333333333324</v>
      </c>
      <c r="BJ101" s="22">
        <f>VLOOKUP($A101,tabCustoUnit[],COLUMN(CUSTO_GLOBAL[[#Headers],[Materiais de Consumo]])-2,0)*($G101-$H101)</f>
        <v>284.1457036686711</v>
      </c>
      <c r="BK101" s="22">
        <f>VLOOKUP($A101,tabCustoUnit[],COLUMN(CUSTO_GLOBAL[[#Headers],[Máquinas e Equipamentos (depreciação)]])-2,0)*($G101-$H101)</f>
        <v>516.23515131860461</v>
      </c>
      <c r="BL101" s="22">
        <f>VLOOKUP($A101,tabCustoUnit[],COLUMN(CUSTO_GLOBAL[[#Headers],[Produtos de Limpeza e Materiais de Higiene Pessoal]])-2,0)*($G101-$H101)</f>
        <v>5522.1722622345324</v>
      </c>
      <c r="BM101" s="22">
        <f>VLOOKUP($A101,tabCustoUnit[],COLUMN(CUSTO_GLOBAL[[#Headers],[Outros (especificar)]])-2,0)*($G101-$H101)</f>
        <v>0</v>
      </c>
      <c r="BN101" s="22">
        <f>VLOOKUP($A101,tabCustoUnit[],COLUMN(CUSTO_GLOBAL[[#Headers],[MÓDULO 5 – INSUMOS DIVERSOS]])-2,0)*($G101-$H101)</f>
        <v>7129.0264505551413</v>
      </c>
      <c r="BO101" s="22">
        <f>VLOOKUP($A101,tabCustoUnit[],COLUMN(CUSTO_GLOBAL[[#Headers],[TOTAL MÓDULOS 1+2+3+4+5]])-2,0)*($G101-$H101)</f>
        <v>36736.848539054088</v>
      </c>
      <c r="BP101" s="22">
        <f>VLOOKUP($A101,tabCustoUnit[],COLUMN(CUSTO_GLOBAL[[#Headers],[Custos Indiretos]])-2,0)*($G101-$H101)</f>
        <v>1517.190411219409</v>
      </c>
      <c r="BQ101" s="22">
        <f>VLOOKUP($A101,tabCustoUnit[],COLUMN(CUSTO_GLOBAL[[#Headers],[Lucro]])-2,0)*($G101-$H101)</f>
        <v>1274.4399454243037</v>
      </c>
      <c r="BR101" s="26">
        <f>VLOOKUP($A101,tabCustoUnit[],COLUMN(CUSTO_GLOBAL[[#Headers],[COFINS]])-2,0)</f>
        <v>8.8629737609329504E-2</v>
      </c>
      <c r="BS101" s="26">
        <f>VLOOKUP($A101,tabCustoUnit[],COLUMN(CUSTO_GLOBAL[[#Headers],[PIS]])-2,0)</f>
        <v>1.9241982507288629E-2</v>
      </c>
      <c r="BT101" s="28">
        <f>VLOOKUP($A101,tabCustoUnit[],COLUMN(CUSTO_GLOBAL[[#Headers],[ISS]])-2,0)</f>
        <v>0.05</v>
      </c>
      <c r="BU101" s="26">
        <f>VLOOKUP($A101,tabCustoUnit[],COLUMN(CUSTO_GLOBAL[[#Headers],[ISS (Conversão Alíquota s/ fatura)]])-2,0)</f>
        <v>5.8309037900874633E-2</v>
      </c>
      <c r="BV101" s="26">
        <f>VLOOKUP($A101,tabCustoUnit[],COLUMN(CUSTO_GLOBAL[[#Headers],[Resumo de Alíquotas (PIS+CONFINS+ISS)]])-2,0)</f>
        <v>0.14250000000000002</v>
      </c>
      <c r="BW101" s="138">
        <f>VLOOKUP($A101,tabCustoUnit[],COLUMN(CUSTO_GLOBAL[[#Headers],[PIS + COFINS + ISS (Total Conversão  Alíquota s/ Fatura)]])-2,0)</f>
        <v>0.16618075801749277</v>
      </c>
      <c r="BX101" s="22">
        <f>VLOOKUP($A101,tabCustoUnit[],COLUMN(CUSTO_GLOBAL[[#Headers],[Valor dos Tributos (ISS, PIS, CONFINS)]])-2,0)*($G101-$H101)</f>
        <v>6568.8725861655257</v>
      </c>
      <c r="BY101" s="22">
        <f>VLOOKUP($A101,tabCustoUnit[],COLUMN(CUSTO_GLOBAL[[#Headers],[MÓDULO 6 – CUSTOS INDIRETOS, TRIBUTOS E LUCRO]])-2,0)*($G101-$H101)</f>
        <v>9360.5029428092384</v>
      </c>
      <c r="BZ101" s="22">
        <f>VLOOKUP($A101,tabCustoUnit[],COLUMN(CUSTO_GLOBAL[[#Headers],[CUSTO TOTAL MENSAL]])-2,0)*($G101-$H101)</f>
        <v>46097.351481863327</v>
      </c>
      <c r="CA101" s="22">
        <f>CUSTO_GLOBAL[[#This Row],[CUSTO TOTAL MENSAL]]*12</f>
        <v>553168.21778235992</v>
      </c>
      <c r="CB101" s="24">
        <f>VLOOKUP($A101,tabCustoUnit[],COLUMN(CUSTO_GLOBAL[[#Headers],[ANO DA CCT]])-2,0)</f>
        <v>45658</v>
      </c>
      <c r="CC101" s="25" t="str">
        <f>VLOOKUP($A101,tabCustoUnit[],COLUMN(CUSTO_GLOBAL[[#Headers],[Nº DE PEDIDO DA CCT]])-2,0)</f>
        <v>-</v>
      </c>
      <c r="CD101" s="25" t="str">
        <f>VLOOKUP($A101,tabCustoUnit[],COLUMN(CUSTO_GLOBAL[[#Headers],[TERMO ADITIVO  ALTERAÇÃO DA CCT]])-2,0)</f>
        <v>-</v>
      </c>
      <c r="CF101" s="22"/>
      <c r="CG101" s="22"/>
    </row>
    <row r="102" spans="1:85" x14ac:dyDescent="0.25">
      <c r="A102" s="20" t="s">
        <v>1441</v>
      </c>
      <c r="B102" t="s">
        <v>95</v>
      </c>
      <c r="C102" t="s">
        <v>1247</v>
      </c>
      <c r="D102" t="s">
        <v>1041</v>
      </c>
      <c r="E102" s="20" t="s">
        <v>9</v>
      </c>
      <c r="F102" s="20" t="s">
        <v>10</v>
      </c>
      <c r="G102" s="20">
        <v>1</v>
      </c>
      <c r="H102" s="20">
        <v>0</v>
      </c>
      <c r="I102" s="21">
        <f>VLOOKUP($A102,tabCustoUnit[],COLUMN(CUSTO_GLOBAL[[#Headers],[Salário Base]])-2,0)*($G102-$H102)</f>
        <v>544.17999999999995</v>
      </c>
      <c r="J102" s="21">
        <f>VLOOKUP($A102,tabCustoUnit[],COLUMN(CUSTO_GLOBAL[[#Headers],[Adicional Periculosidade]])-2,0)*($G102-$H102)</f>
        <v>0</v>
      </c>
      <c r="K102" s="21">
        <f>VLOOKUP($A102,tabCustoUnit[],COLUMN(CUSTO_GLOBAL[[#Headers],[Adicional Insalubridade]])-2,0)*($G102-$H102)</f>
        <v>0</v>
      </c>
      <c r="L102" s="21">
        <f>VLOOKUP($A102,tabCustoUnit[],COLUMN(CUSTO_GLOBAL[[#Headers],[Adicional Noturno]])-2,0)*($G102-$H102)</f>
        <v>0</v>
      </c>
      <c r="M102" s="21">
        <f>VLOOKUP($A102,tabCustoUnit[],COLUMN(CUSTO_GLOBAL[[#Headers],[Adicional Motorista II (Gratificação)]])-2,0)*($G102-$H102)</f>
        <v>0</v>
      </c>
      <c r="N102" s="21">
        <f>VLOOKUP($A102,tabCustoUnit[],COLUMN(CUSTO_GLOBAL[[#Headers],[Adicional de Sobreaviso]])-2,0)*($G102-$H102)</f>
        <v>0</v>
      </c>
      <c r="O102" s="21">
        <f>VLOOKUP($A102,tabCustoUnit[],COLUMN(CUSTO_GLOBAL[[#Headers],[Horas Extras TI]])-2,0)*($G102-$H102)</f>
        <v>0</v>
      </c>
      <c r="P102" s="21">
        <f>VLOOKUP($A102,tabCustoUnit[],COLUMN(CUSTO_GLOBAL[[#Headers],[Adicional de Acúmulo de função]])-2,0)*($G102-$H102)</f>
        <v>19.590499999999999</v>
      </c>
      <c r="Q102" s="21">
        <f>VLOOKUP($A102,tabCustoUnit[],COLUMN(CUSTO_GLOBAL[[#Headers],[MODULO 1 - REMUNERAÇÃO ]])-2,0)*($G102-$H102)</f>
        <v>563.77049999999997</v>
      </c>
      <c r="R102" s="21">
        <f>VLOOKUP($A102,tabCustoUnit[],COLUMN(CUSTO_GLOBAL[[#Headers],[INSS]])-2,0)*($G102-$H102)</f>
        <v>112.75409999999999</v>
      </c>
      <c r="S102" s="21">
        <f>VLOOKUP($A102,tabCustoUnit[],COLUMN(CUSTO_GLOBAL[[#Headers],[SESI OU SESC]])-2,0)*($G102-$H102)</f>
        <v>8.4565574999999988</v>
      </c>
      <c r="T102" s="21">
        <f>VLOOKUP($A102,tabCustoUnit[],COLUMN(CUSTO_GLOBAL[[#Headers],[SENAI OU SENAC]])-2,0)*($G102-$H102)</f>
        <v>5.6377049999999995</v>
      </c>
      <c r="U102" s="21">
        <f>VLOOKUP($A102,tabCustoUnit[],COLUMN(CUSTO_GLOBAL[[#Headers],[INCRA]])-2,0)*($G102-$H102)</f>
        <v>1.1275409999999999</v>
      </c>
      <c r="V102" s="21">
        <f>VLOOKUP($A102,tabCustoUnit[],COLUMN(CUSTO_GLOBAL[[#Headers],[Salário Educação]])-2,0)*($G102-$H102)</f>
        <v>14.094262499999999</v>
      </c>
      <c r="W102" s="21">
        <f>VLOOKUP($A102,tabCustoUnit[],COLUMN(CUSTO_GLOBAL[[#Headers],[FGTS]])-2,0)*($G102-$H102)</f>
        <v>45.101639999999996</v>
      </c>
      <c r="X102" s="21">
        <f>VLOOKUP($A102,tabCustoUnit[],COLUMN(CUSTO_GLOBAL[[#Headers],[RAT Ajustado]])-2,0)*($G102-$H102)</f>
        <v>22.550819999999998</v>
      </c>
      <c r="Y102" s="21">
        <f>VLOOKUP($A102,tabCustoUnit[],COLUMN(CUSTO_GLOBAL[[#Headers],[SEBRAE]])-2,0)*($G102-$H102)</f>
        <v>3.3826229999999997</v>
      </c>
      <c r="Z102" s="21">
        <f>VLOOKUP($A102,tabCustoUnit[],COLUMN(CUSTO_GLOBAL[[#Headers],[Submódulo 2.1]])-2,0)*($G102-$H102)</f>
        <v>213.10524899999996</v>
      </c>
      <c r="AA102" s="21">
        <f>VLOOKUP($A102,tabCustoUnit[],COLUMN(CUSTO_GLOBAL[[#Headers],[13º salário (titular)]])-2,0)*($G102-$H102)</f>
        <v>46.980874999999997</v>
      </c>
      <c r="AB102" s="21">
        <f>VLOOKUP($A102,tabCustoUnit[],COLUMN(CUSTO_GLOBAL[[#Headers],[Férias e Adicional de Férias (titular)]])-2,0)*($G102-$H102)</f>
        <v>62.641166666666663</v>
      </c>
      <c r="AC102" s="21">
        <f>VLOOKUP($A102,tabCustoUnit[],COLUMN(CUSTO_GLOBAL[[#Headers],[Incidência do Submódulo 2.1 sobre 13º Salário, Férias e Adicional de Férias]])-2,0)*($G102-$H102)</f>
        <v>41.437131749999992</v>
      </c>
      <c r="AD102" s="21">
        <f>VLOOKUP($A102,tabCustoUnit[],COLUMN(CUSTO_GLOBAL[[#Headers],[Submódulo 2.2]])-2,0)*($G102-$H102)</f>
        <v>151.05917341666665</v>
      </c>
      <c r="AE102" s="22">
        <f>VLOOKUP($A102,tabCustoUnit[],COLUMN(CUSTO_GLOBAL[[#Headers],[Vale - Transporte (Descontada parcela do empregado)]])-2,0)*($G102-$H102)</f>
        <v>223.3492</v>
      </c>
      <c r="AF102" s="22">
        <f>VLOOKUP($A102,tabCustoUnit[],COLUMN(CUSTO_GLOBAL[[#Headers],[Vale - Alimentação (Descontada parcela do empregado)]])-2,0)*($G102-$H102)</f>
        <v>582</v>
      </c>
      <c r="AG102" s="22">
        <f>VLOOKUP($A102,tabCustoUnit[],COLUMN(CUSTO_GLOBAL[[#Headers],[Cesta Básica]])-2,0)*($G102-$H102)</f>
        <v>0</v>
      </c>
      <c r="AH102" s="22">
        <f>VLOOKUP($A102,tabCustoUnit[],COLUMN(CUSTO_GLOBAL[[#Headers],[PAF]])-2,0)*($G102-$H102)</f>
        <v>0</v>
      </c>
      <c r="AI102" s="22">
        <f>VLOOKUP($A102,tabCustoUnit[],COLUMN(CUSTO_GLOBAL[[#Headers],[PQM]])-2,0)*($G102-$H102)</f>
        <v>0</v>
      </c>
      <c r="AJ102" s="22">
        <v>0</v>
      </c>
      <c r="AK102" s="22">
        <f>VLOOKUP($A102,tabCustoUnit[],COLUMN(CUSTO_GLOBAL[[#Headers],[Seguro de Vida]])-2,0)*($G102-$H102)</f>
        <v>3.36</v>
      </c>
      <c r="AL102" s="22">
        <f>VLOOKUP($A102,tabCustoUnit[],COLUMN(CUSTO_GLOBAL[[#Headers],[Despesas de Viagem]])-2,0)*($G102-$H102)</f>
        <v>0</v>
      </c>
      <c r="AM102" s="22">
        <f>VLOOKUP($A102,tabCustoUnit[],COLUMN(CUSTO_GLOBAL[[#Headers],[Submódulo 2.3]])-2,0)*($G102-$H102)</f>
        <v>808.70920000000001</v>
      </c>
      <c r="AN102" s="22">
        <f>VLOOKUP($A102,tabCustoUnit[],COLUMN(CUSTO_GLOBAL[[#Headers],[MÓDULO 2 - Total Encargos e Benefícios mensais e diários]])-2,0)*($G102-$H102)</f>
        <v>1172.8736224166666</v>
      </c>
      <c r="AO102" s="22">
        <f>VLOOKUP($A102,tabCustoUnit[],COLUMN(CUSTO_GLOBAL[[#Headers],[Aviso Prévio Indenizado (API) e Reflexo do Aviso Prévio Indenizado]])-2,0)*($G102-$H102)</f>
        <v>3.9530273735532404</v>
      </c>
      <c r="AP102" s="22">
        <f>VLOOKUP($A102,tabCustoUnit[],COLUMN(CUSTO_GLOBAL[[#Headers],[Incidência do FGTS sobre API e Reflexo do API]])-2,0)*($G102-$H102)</f>
        <v>0.31624218988425928</v>
      </c>
      <c r="AQ102" s="22">
        <f>VLOOKUP($A102,tabCustoUnit[],COLUMN(CUSTO_GLOBAL[[#Headers],[Multa Rescisória do FGTS sobre o Aviso Prévio Indenizado]])-2,0)*($G102-$H102)</f>
        <v>0.12649687595370371</v>
      </c>
      <c r="AR102" s="22">
        <f>VLOOKUP($A102,tabCustoUnit[],COLUMN(CUSTO_GLOBAL[[#Headers],[Aviso Prévio Trabalhado - APT]])-2,0)*($G102-$H102)</f>
        <v>1.9731967500000003</v>
      </c>
      <c r="AS102" s="22">
        <f>VLOOKUP($A102,tabCustoUnit[],COLUMN(CUSTO_GLOBAL[[#Headers],[Incidência dos encargos do submódulo 2.1 sobre Aviso Prévio Trabalhado]])-2,0)*($G102-$H102)</f>
        <v>0.74586837150000018</v>
      </c>
      <c r="AT102" s="22">
        <f>VLOOKUP($A102,tabCustoUnit[],COLUMN(CUSTO_GLOBAL[[#Headers],[Multa Rescisória do FGTS]])-2,0)*($G102-$H102)</f>
        <v>17.238849066666663</v>
      </c>
      <c r="AU102" s="22">
        <f>VLOOKUP($A102,tabCustoUnit[],COLUMN(CUSTO_GLOBAL[[#Headers],[Indenização Adicional (Art. 9º da Lei nº 7.238/84)]])-2,0)*($G102-$H102)</f>
        <v>0.46980875</v>
      </c>
      <c r="AV102" s="22">
        <f>VLOOKUP($A102,tabCustoUnit[],COLUMN(CUSTO_GLOBAL[[#Headers],[MÓDULO 3 – PROVISÃO PARA RESCISÃO]])-2,0)*($G102-$H102)</f>
        <v>24.823489377557866</v>
      </c>
      <c r="AW102" s="22">
        <f>VLOOKUP($A102,tabCustoUnit[],COLUMN(CUSTO_GLOBAL[[#Headers],[Ausência por Doença]])-2,0)*($G102-$H102)</f>
        <v>4.7607286666666662</v>
      </c>
      <c r="AX102" s="22">
        <f>VLOOKUP($A102,tabCustoUnit[],COLUMN(CUSTO_GLOBAL[[#Headers],[Ausências Legais]])-2,0)*($G102-$H102)</f>
        <v>1.1432012916666665</v>
      </c>
      <c r="AY102" s="22">
        <f>VLOOKUP($A102,tabCustoUnit[],COLUMN(CUSTO_GLOBAL[[#Headers],[Licença Paternidade]])-2,0)*($G102-$H102)</f>
        <v>9.6310793749999998E-2</v>
      </c>
      <c r="AZ102" s="22">
        <f>VLOOKUP($A102,tabCustoUnit[],COLUMN(CUSTO_GLOBAL[[#Headers],[Ausência por Acidente de Trabalho]])-2,0)*($G102-$H102)</f>
        <v>0.1174521875</v>
      </c>
      <c r="BA102" s="22">
        <f>VLOOKUP($A102,tabCustoUnit[],COLUMN(CUSTO_GLOBAL[[#Headers],[Férias, Adicional de Férias e 13º  com empregada em gozo de Licença Maternidade]])-2,0)*($G102-$H102)</f>
        <v>0.73081361111111109</v>
      </c>
      <c r="BB102" s="22">
        <f>VLOOKUP($A102,tabCustoUnit[],COLUMN(CUSTO_GLOBAL[[#Headers],[Incidência do Submódulo 2.1 sobre Ausências Legais]])-2,0)*($G102-$H102)</f>
        <v>2.5887354761625003</v>
      </c>
      <c r="BC102" s="22">
        <f>VLOOKUP($A102,tabCustoUnit[],COLUMN(CUSTO_GLOBAL[[#Headers],[Submódulo 4.1]])-2,0)*($G102-$H102)</f>
        <v>9.4372420268569428</v>
      </c>
      <c r="BD102" s="22">
        <f>VLOOKUP($A102,tabCustoUnit[],COLUMN(CUSTO_GLOBAL[[#Headers],[Intervalo para Repouso ou Alimentação]])-2,0)*($G102-$H102)</f>
        <v>0</v>
      </c>
      <c r="BE102" s="22">
        <f>VLOOKUP($A102,tabCustoUnit[],COLUMN(CUSTO_GLOBAL[[#Headers],[Submódulo 4.2]])-2,0)*($G102-$H102)</f>
        <v>0</v>
      </c>
      <c r="BF102" s="22">
        <f>VLOOKUP($A102,tabCustoUnit[],COLUMN(CUSTO_GLOBAL[[#Headers],[Suspensão Temporária do Contrato de Trabalho]])-2,0)*($G102-$H102)</f>
        <v>0</v>
      </c>
      <c r="BG102" s="22">
        <f>VLOOKUP($A102,tabCustoUnit[],COLUMN(CUSTO_GLOBAL[[#Headers],[Submódulo 4.3]])-2,0)*($G102-$H102)</f>
        <v>0</v>
      </c>
      <c r="BH102" s="22">
        <f>VLOOKUP($A102,tabCustoUnit[],COLUMN(CUSTO_GLOBAL[[#Headers],[MÓDULO 4 – CUSTO DE REPOSIÇÃO DO PROFISSIONAL AUSENTE]])-2,0)*($G102-$H102)</f>
        <v>9.4372420268569428</v>
      </c>
      <c r="BI102" s="22">
        <f>VLOOKUP($A102,tabCustoUnit[],COLUMN(CUSTO_GLOBAL[[#Headers],[Uniformes e EPIs]])-2,0)*($G102-$H102)</f>
        <v>62.806666666666665</v>
      </c>
      <c r="BJ102" s="22">
        <f>VLOOKUP($A102,tabCustoUnit[],COLUMN(CUSTO_GLOBAL[[#Headers],[Materiais de Consumo]])-2,0)*($G102-$H102)</f>
        <v>12.108481690426325</v>
      </c>
      <c r="BK102" s="22">
        <f>VLOOKUP($A102,tabCustoUnit[],COLUMN(CUSTO_GLOBAL[[#Headers],[Máquinas e Equipamentos (depreciação)]])-2,0)*($G102-$H102)</f>
        <v>21.998657016417809</v>
      </c>
      <c r="BL102" s="22">
        <f>VLOOKUP($A102,tabCustoUnit[],COLUMN(CUSTO_GLOBAL[[#Headers],[Produtos de Limpeza e Materiais de Higiene Pessoal]])-2,0)*($G102-$H102)</f>
        <v>235.31984072022155</v>
      </c>
      <c r="BM102" s="22">
        <f>VLOOKUP($A102,tabCustoUnit[],COLUMN(CUSTO_GLOBAL[[#Headers],[Outros (especificar)]])-2,0)*($G102-$H102)</f>
        <v>0</v>
      </c>
      <c r="BN102" s="22">
        <f>VLOOKUP($A102,tabCustoUnit[],COLUMN(CUSTO_GLOBAL[[#Headers],[MÓDULO 5 – INSUMOS DIVERSOS]])-2,0)*($G102-$H102)</f>
        <v>332.23364609373232</v>
      </c>
      <c r="BO102" s="22">
        <f>VLOOKUP($A102,tabCustoUnit[],COLUMN(CUSTO_GLOBAL[[#Headers],[TOTAL MÓDULOS 1+2+3+4+5]])-2,0)*($G102-$H102)</f>
        <v>2103.1384999148136</v>
      </c>
      <c r="BP102" s="22">
        <f>VLOOKUP($A102,tabCustoUnit[],COLUMN(CUSTO_GLOBAL[[#Headers],[Custos Indiretos]])-2,0)*($G102-$H102)</f>
        <v>189.64880140242613</v>
      </c>
      <c r="BQ102" s="22">
        <f>VLOOKUP($A102,tabCustoUnit[],COLUMN(CUSTO_GLOBAL[[#Headers],[Lucro]])-2,0)*($G102-$H102)</f>
        <v>159.30499317803796</v>
      </c>
      <c r="BR102" s="26">
        <f>VLOOKUP($A102,tabCustoUnit[],COLUMN(CUSTO_GLOBAL[[#Headers],[COFINS]])-2,0)</f>
        <v>8.5633802816901458E-2</v>
      </c>
      <c r="BS102" s="26">
        <f>VLOOKUP($A102,tabCustoUnit[],COLUMN(CUSTO_GLOBAL[[#Headers],[PIS]])-2,0)</f>
        <v>1.8591549295774657E-2</v>
      </c>
      <c r="BT102" s="28">
        <f>VLOOKUP($A102,tabCustoUnit[],COLUMN(CUSTO_GLOBAL[[#Headers],[ISS]])-2,0)</f>
        <v>0.02</v>
      </c>
      <c r="BU102" s="26">
        <f>VLOOKUP($A102,tabCustoUnit[],COLUMN(CUSTO_GLOBAL[[#Headers],[ISS (Conversão Alíquota s/ fatura)]])-2,0)</f>
        <v>2.2535211267605645E-2</v>
      </c>
      <c r="BV102" s="26">
        <f>VLOOKUP($A102,tabCustoUnit[],COLUMN(CUSTO_GLOBAL[[#Headers],[Resumo de Alíquotas (PIS+CONFINS+ISS)]])-2,0)</f>
        <v>0.1125</v>
      </c>
      <c r="BW102" s="138">
        <f>VLOOKUP($A102,tabCustoUnit[],COLUMN(CUSTO_GLOBAL[[#Headers],[PIS + COFINS + ISS (Total Conversão  Alíquota s/ Fatura)]])-2,0)</f>
        <v>0.12676056338028174</v>
      </c>
      <c r="BX102" s="22">
        <f>VLOOKUP($A102,tabCustoUnit[],COLUMN(CUSTO_GLOBAL[[#Headers],[Valor dos Tributos (ISS, PIS, CONFINS)]])-2,0)*($G102-$H102)</f>
        <v>310.82860071066915</v>
      </c>
      <c r="BY102" s="22">
        <f>VLOOKUP($A102,tabCustoUnit[],COLUMN(CUSTO_GLOBAL[[#Headers],[MÓDULO 6 – CUSTOS INDIRETOS, TRIBUTOS E LUCRO]])-2,0)*($G102-$H102)</f>
        <v>659.7823952911333</v>
      </c>
      <c r="BZ102" s="22">
        <f>VLOOKUP($A102,tabCustoUnit[],COLUMN(CUSTO_GLOBAL[[#Headers],[CUSTO TOTAL MENSAL]])-2,0)*($G102-$H102)</f>
        <v>2762.9208952059471</v>
      </c>
      <c r="CA102" s="22">
        <f>CUSTO_GLOBAL[[#This Row],[CUSTO TOTAL MENSAL]]*12</f>
        <v>33155.050742471365</v>
      </c>
      <c r="CB102" s="24">
        <f>VLOOKUP($A102,tabCustoUnit[],COLUMN(CUSTO_GLOBAL[[#Headers],[ANO DA CCT]])-2,0)</f>
        <v>45658</v>
      </c>
      <c r="CC102" s="25" t="str">
        <f>VLOOKUP($A102,tabCustoUnit[],COLUMN(CUSTO_GLOBAL[[#Headers],[Nº DE PEDIDO DA CCT]])-2,0)</f>
        <v>-</v>
      </c>
      <c r="CD102" s="25" t="str">
        <f>VLOOKUP($A102,tabCustoUnit[],COLUMN(CUSTO_GLOBAL[[#Headers],[TERMO ADITIVO  ALTERAÇÃO DA CCT]])-2,0)</f>
        <v>-</v>
      </c>
      <c r="CF102" s="22"/>
      <c r="CG102" s="22"/>
    </row>
    <row r="103" spans="1:85" x14ac:dyDescent="0.25">
      <c r="A103" s="20" t="s">
        <v>1442</v>
      </c>
      <c r="B103" t="s">
        <v>96</v>
      </c>
      <c r="C103" t="s">
        <v>1246</v>
      </c>
      <c r="D103" t="s">
        <v>1037</v>
      </c>
      <c r="E103" s="20" t="s">
        <v>9</v>
      </c>
      <c r="F103" s="20" t="s">
        <v>10</v>
      </c>
      <c r="G103" s="20">
        <v>1</v>
      </c>
      <c r="H103" s="20">
        <v>0</v>
      </c>
      <c r="I103" s="21">
        <f>VLOOKUP($A103,tabCustoUnit[],COLUMN(CUSTO_GLOBAL[[#Headers],[Salário Base]])-2,0)*($G103-$H103)</f>
        <v>1088.3699999999999</v>
      </c>
      <c r="J103" s="21">
        <f>VLOOKUP($A103,tabCustoUnit[],COLUMN(CUSTO_GLOBAL[[#Headers],[Adicional Periculosidade]])-2,0)*($G103-$H103)</f>
        <v>0</v>
      </c>
      <c r="K103" s="21">
        <f>VLOOKUP($A103,tabCustoUnit[],COLUMN(CUSTO_GLOBAL[[#Headers],[Adicional Insalubridade]])-2,0)*($G103-$H103)</f>
        <v>0</v>
      </c>
      <c r="L103" s="21">
        <f>VLOOKUP($A103,tabCustoUnit[],COLUMN(CUSTO_GLOBAL[[#Headers],[Adicional Noturno]])-2,0)*($G103-$H103)</f>
        <v>0</v>
      </c>
      <c r="M103" s="21">
        <f>VLOOKUP($A103,tabCustoUnit[],COLUMN(CUSTO_GLOBAL[[#Headers],[Adicional Motorista II (Gratificação)]])-2,0)*($G103-$H103)</f>
        <v>0</v>
      </c>
      <c r="N103" s="21">
        <f>VLOOKUP($A103,tabCustoUnit[],COLUMN(CUSTO_GLOBAL[[#Headers],[Adicional de Sobreaviso]])-2,0)*($G103-$H103)</f>
        <v>0</v>
      </c>
      <c r="O103" s="21">
        <f>VLOOKUP($A103,tabCustoUnit[],COLUMN(CUSTO_GLOBAL[[#Headers],[Horas Extras TI]])-2,0)*($G103-$H103)</f>
        <v>0</v>
      </c>
      <c r="P103" s="21">
        <f>VLOOKUP($A103,tabCustoUnit[],COLUMN(CUSTO_GLOBAL[[#Headers],[Adicional de Acúmulo de função]])-2,0)*($G103-$H103)</f>
        <v>39.1813</v>
      </c>
      <c r="Q103" s="21">
        <f>VLOOKUP($A103,tabCustoUnit[],COLUMN(CUSTO_GLOBAL[[#Headers],[MODULO 1 - REMUNERAÇÃO ]])-2,0)*($G103-$H103)</f>
        <v>1127.5512999999999</v>
      </c>
      <c r="R103" s="21">
        <f>VLOOKUP($A103,tabCustoUnit[],COLUMN(CUSTO_GLOBAL[[#Headers],[INSS]])-2,0)*($G103-$H103)</f>
        <v>225.51025999999999</v>
      </c>
      <c r="S103" s="21">
        <f>VLOOKUP($A103,tabCustoUnit[],COLUMN(CUSTO_GLOBAL[[#Headers],[SESI OU SESC]])-2,0)*($G103-$H103)</f>
        <v>16.913269499999998</v>
      </c>
      <c r="T103" s="21">
        <f>VLOOKUP($A103,tabCustoUnit[],COLUMN(CUSTO_GLOBAL[[#Headers],[SENAI OU SENAC]])-2,0)*($G103-$H103)</f>
        <v>11.275512999999998</v>
      </c>
      <c r="U103" s="21">
        <f>VLOOKUP($A103,tabCustoUnit[],COLUMN(CUSTO_GLOBAL[[#Headers],[INCRA]])-2,0)*($G103-$H103)</f>
        <v>2.2551025999999998</v>
      </c>
      <c r="V103" s="21">
        <f>VLOOKUP($A103,tabCustoUnit[],COLUMN(CUSTO_GLOBAL[[#Headers],[Salário Educação]])-2,0)*($G103-$H103)</f>
        <v>28.188782499999999</v>
      </c>
      <c r="W103" s="21">
        <f>VLOOKUP($A103,tabCustoUnit[],COLUMN(CUSTO_GLOBAL[[#Headers],[FGTS]])-2,0)*($G103-$H103)</f>
        <v>90.204103999999987</v>
      </c>
      <c r="X103" s="21">
        <f>VLOOKUP($A103,tabCustoUnit[],COLUMN(CUSTO_GLOBAL[[#Headers],[RAT Ajustado]])-2,0)*($G103-$H103)</f>
        <v>45.102051999999993</v>
      </c>
      <c r="Y103" s="21">
        <f>VLOOKUP($A103,tabCustoUnit[],COLUMN(CUSTO_GLOBAL[[#Headers],[SEBRAE]])-2,0)*($G103-$H103)</f>
        <v>6.7653077999999995</v>
      </c>
      <c r="Z103" s="21">
        <f>VLOOKUP($A103,tabCustoUnit[],COLUMN(CUSTO_GLOBAL[[#Headers],[Submódulo 2.1]])-2,0)*($G103-$H103)</f>
        <v>426.21439139999995</v>
      </c>
      <c r="AA103" s="21">
        <f>VLOOKUP($A103,tabCustoUnit[],COLUMN(CUSTO_GLOBAL[[#Headers],[13º salário (titular)]])-2,0)*($G103-$H103)</f>
        <v>93.962608333333321</v>
      </c>
      <c r="AB103" s="21">
        <f>VLOOKUP($A103,tabCustoUnit[],COLUMN(CUSTO_GLOBAL[[#Headers],[Férias e Adicional de Férias (titular)]])-2,0)*($G103-$H103)</f>
        <v>125.28347777777776</v>
      </c>
      <c r="AC103" s="21">
        <f>VLOOKUP($A103,tabCustoUnit[],COLUMN(CUSTO_GLOBAL[[#Headers],[Incidência do Submódulo 2.1 sobre 13º Salário, Férias e Adicional de Férias]])-2,0)*($G103-$H103)</f>
        <v>82.875020549999988</v>
      </c>
      <c r="AD103" s="21">
        <f>VLOOKUP($A103,tabCustoUnit[],COLUMN(CUSTO_GLOBAL[[#Headers],[Submódulo 2.2]])-2,0)*($G103-$H103)</f>
        <v>302.12110666111107</v>
      </c>
      <c r="AE103" s="22">
        <f>VLOOKUP($A103,tabCustoUnit[],COLUMN(CUSTO_GLOBAL[[#Headers],[Vale - Transporte (Descontada parcela do empregado)]])-2,0)*($G103-$H103)</f>
        <v>190.69780000000003</v>
      </c>
      <c r="AF103" s="22">
        <f>VLOOKUP($A103,tabCustoUnit[],COLUMN(CUSTO_GLOBAL[[#Headers],[Vale - Alimentação (Descontada parcela do empregado)]])-2,0)*($G103-$H103)</f>
        <v>582</v>
      </c>
      <c r="AG103" s="22">
        <f>VLOOKUP($A103,tabCustoUnit[],COLUMN(CUSTO_GLOBAL[[#Headers],[Cesta Básica]])-2,0)*($G103-$H103)</f>
        <v>0</v>
      </c>
      <c r="AH103" s="22">
        <f>VLOOKUP($A103,tabCustoUnit[],COLUMN(CUSTO_GLOBAL[[#Headers],[PAF]])-2,0)*($G103-$H103)</f>
        <v>0</v>
      </c>
      <c r="AI103" s="22">
        <f>VLOOKUP($A103,tabCustoUnit[],COLUMN(CUSTO_GLOBAL[[#Headers],[PQM]])-2,0)*($G103-$H103)</f>
        <v>0</v>
      </c>
      <c r="AJ103" s="22">
        <v>0</v>
      </c>
      <c r="AK103" s="22">
        <f>VLOOKUP($A103,tabCustoUnit[],COLUMN(CUSTO_GLOBAL[[#Headers],[Seguro de Vida]])-2,0)*($G103-$H103)</f>
        <v>3.36</v>
      </c>
      <c r="AL103" s="22">
        <f>VLOOKUP($A103,tabCustoUnit[],COLUMN(CUSTO_GLOBAL[[#Headers],[Despesas de Viagem]])-2,0)*($G103-$H103)</f>
        <v>0</v>
      </c>
      <c r="AM103" s="22">
        <f>VLOOKUP($A103,tabCustoUnit[],COLUMN(CUSTO_GLOBAL[[#Headers],[Submódulo 2.3]])-2,0)*($G103-$H103)</f>
        <v>776.05780000000004</v>
      </c>
      <c r="AN103" s="22">
        <f>VLOOKUP($A103,tabCustoUnit[],COLUMN(CUSTO_GLOBAL[[#Headers],[MÓDULO 2 - Total Encargos e Benefícios mensais e diários]])-2,0)*($G103-$H103)</f>
        <v>1504.3932980611112</v>
      </c>
      <c r="AO103" s="22">
        <f>VLOOKUP($A103,tabCustoUnit[],COLUMN(CUSTO_GLOBAL[[#Headers],[Aviso Prévio Indenizado (API) e Reflexo do Aviso Prévio Indenizado]])-2,0)*($G103-$H103)</f>
        <v>7.9061269683063262</v>
      </c>
      <c r="AP103" s="22">
        <f>VLOOKUP($A103,tabCustoUnit[],COLUMN(CUSTO_GLOBAL[[#Headers],[Incidência do FGTS sobre API e Reflexo do API]])-2,0)*($G103-$H103)</f>
        <v>0.6324901574645061</v>
      </c>
      <c r="AQ103" s="22">
        <f>VLOOKUP($A103,tabCustoUnit[],COLUMN(CUSTO_GLOBAL[[#Headers],[Multa Rescisória do FGTS sobre o Aviso Prévio Indenizado]])-2,0)*($G103-$H103)</f>
        <v>0.25299606298580246</v>
      </c>
      <c r="AR103" s="22">
        <f>VLOOKUP($A103,tabCustoUnit[],COLUMN(CUSTO_GLOBAL[[#Headers],[Aviso Prévio Trabalhado - APT]])-2,0)*($G103-$H103)</f>
        <v>3.94642955</v>
      </c>
      <c r="AS103" s="22">
        <f>VLOOKUP($A103,tabCustoUnit[],COLUMN(CUSTO_GLOBAL[[#Headers],[Incidência dos encargos do submódulo 2.1 sobre Aviso Prévio Trabalhado]])-2,0)*($G103-$H103)</f>
        <v>1.4917503699000003</v>
      </c>
      <c r="AT103" s="22">
        <f>VLOOKUP($A103,tabCustoUnit[],COLUMN(CUSTO_GLOBAL[[#Headers],[Multa Rescisória do FGTS]])-2,0)*($G103-$H103)</f>
        <v>34.478013084444434</v>
      </c>
      <c r="AU103" s="22">
        <f>VLOOKUP($A103,tabCustoUnit[],COLUMN(CUSTO_GLOBAL[[#Headers],[Indenização Adicional (Art. 9º da Lei nº 7.238/84)]])-2,0)*($G103-$H103)</f>
        <v>0.93962608333333331</v>
      </c>
      <c r="AV103" s="22">
        <f>VLOOKUP($A103,tabCustoUnit[],COLUMN(CUSTO_GLOBAL[[#Headers],[MÓDULO 3 – PROVISÃO PARA RESCISÃO]])-2,0)*($G103-$H103)</f>
        <v>49.647432276434401</v>
      </c>
      <c r="AW103" s="22">
        <f>VLOOKUP($A103,tabCustoUnit[],COLUMN(CUSTO_GLOBAL[[#Headers],[Ausência por Doença]])-2,0)*($G103-$H103)</f>
        <v>9.5215443111111089</v>
      </c>
      <c r="AX103" s="22">
        <f>VLOOKUP($A103,tabCustoUnit[],COLUMN(CUSTO_GLOBAL[[#Headers],[Ausências Legais]])-2,0)*($G103-$H103)</f>
        <v>2.2864234694444439</v>
      </c>
      <c r="AY103" s="22">
        <f>VLOOKUP($A103,tabCustoUnit[],COLUMN(CUSTO_GLOBAL[[#Headers],[Licença Paternidade]])-2,0)*($G103-$H103)</f>
        <v>0.19262334708333331</v>
      </c>
      <c r="AZ103" s="22">
        <f>VLOOKUP($A103,tabCustoUnit[],COLUMN(CUSTO_GLOBAL[[#Headers],[Ausência por Acidente de Trabalho]])-2,0)*($G103-$H103)</f>
        <v>0.23490652083333333</v>
      </c>
      <c r="BA103" s="22">
        <f>VLOOKUP($A103,tabCustoUnit[],COLUMN(CUSTO_GLOBAL[[#Headers],[Férias, Adicional de Férias e 13º  com empregada em gozo de Licença Maternidade]])-2,0)*($G103-$H103)</f>
        <v>1.4616405740740739</v>
      </c>
      <c r="BB103" s="22">
        <f>VLOOKUP($A103,tabCustoUnit[],COLUMN(CUSTO_GLOBAL[[#Headers],[Incidência do Submódulo 2.1 sobre Ausências Legais]])-2,0)*($G103-$H103)</f>
        <v>5.1775182481225004</v>
      </c>
      <c r="BC103" s="22">
        <f>VLOOKUP($A103,tabCustoUnit[],COLUMN(CUSTO_GLOBAL[[#Headers],[Submódulo 4.1]])-2,0)*($G103-$H103)</f>
        <v>18.874656470668793</v>
      </c>
      <c r="BD103" s="22">
        <f>VLOOKUP($A103,tabCustoUnit[],COLUMN(CUSTO_GLOBAL[[#Headers],[Intervalo para Repouso ou Alimentação]])-2,0)*($G103-$H103)</f>
        <v>0</v>
      </c>
      <c r="BE103" s="22">
        <f>VLOOKUP($A103,tabCustoUnit[],COLUMN(CUSTO_GLOBAL[[#Headers],[Submódulo 4.2]])-2,0)*($G103-$H103)</f>
        <v>0</v>
      </c>
      <c r="BF103" s="22">
        <f>VLOOKUP($A103,tabCustoUnit[],COLUMN(CUSTO_GLOBAL[[#Headers],[Suspensão Temporária do Contrato de Trabalho]])-2,0)*($G103-$H103)</f>
        <v>0</v>
      </c>
      <c r="BG103" s="22">
        <f>VLOOKUP($A103,tabCustoUnit[],COLUMN(CUSTO_GLOBAL[[#Headers],[Submódulo 4.3]])-2,0)*($G103-$H103)</f>
        <v>0</v>
      </c>
      <c r="BH103" s="22">
        <f>VLOOKUP($A103,tabCustoUnit[],COLUMN(CUSTO_GLOBAL[[#Headers],[MÓDULO 4 – CUSTO DE REPOSIÇÃO DO PROFISSIONAL AUSENTE]])-2,0)*($G103-$H103)</f>
        <v>18.874656470668793</v>
      </c>
      <c r="BI103" s="22">
        <f>VLOOKUP($A103,tabCustoUnit[],COLUMN(CUSTO_GLOBAL[[#Headers],[Uniformes e EPIs]])-2,0)*($G103-$H103)</f>
        <v>100.80916666666666</v>
      </c>
      <c r="BJ103" s="22">
        <f>VLOOKUP($A103,tabCustoUnit[],COLUMN(CUSTO_GLOBAL[[#Headers],[Materiais de Consumo]])-2,0)*($G103-$H103)</f>
        <v>24.216963380852651</v>
      </c>
      <c r="BK103" s="22">
        <f>VLOOKUP($A103,tabCustoUnit[],COLUMN(CUSTO_GLOBAL[[#Headers],[Máquinas e Equipamentos (depreciação)]])-2,0)*($G103-$H103)</f>
        <v>43.997314032835618</v>
      </c>
      <c r="BL103" s="22">
        <f>VLOOKUP($A103,tabCustoUnit[],COLUMN(CUSTO_GLOBAL[[#Headers],[Produtos de Limpeza e Materiais de Higiene Pessoal]])-2,0)*($G103-$H103)</f>
        <v>470.6396814404431</v>
      </c>
      <c r="BM103" s="22">
        <f>VLOOKUP($A103,tabCustoUnit[],COLUMN(CUSTO_GLOBAL[[#Headers],[Outros (especificar)]])-2,0)*($G103-$H103)</f>
        <v>0</v>
      </c>
      <c r="BN103" s="22">
        <f>VLOOKUP($A103,tabCustoUnit[],COLUMN(CUSTO_GLOBAL[[#Headers],[MÓDULO 5 – INSUMOS DIVERSOS]])-2,0)*($G103-$H103)</f>
        <v>639.66312552079808</v>
      </c>
      <c r="BO103" s="22">
        <f>VLOOKUP($A103,tabCustoUnit[],COLUMN(CUSTO_GLOBAL[[#Headers],[TOTAL MÓDULOS 1+2+3+4+5]])-2,0)*($G103-$H103)</f>
        <v>3340.1298123290121</v>
      </c>
      <c r="BP103" s="22">
        <f>VLOOKUP($A103,tabCustoUnit[],COLUMN(CUSTO_GLOBAL[[#Headers],[Custos Indiretos]])-2,0)*($G103-$H103)</f>
        <v>189.64880140242613</v>
      </c>
      <c r="BQ103" s="22">
        <f>VLOOKUP($A103,tabCustoUnit[],COLUMN(CUSTO_GLOBAL[[#Headers],[Lucro]])-2,0)*($G103-$H103)</f>
        <v>159.30499317803796</v>
      </c>
      <c r="BR103" s="26">
        <f>VLOOKUP($A103,tabCustoUnit[],COLUMN(CUSTO_GLOBAL[[#Headers],[COFINS]])-2,0)</f>
        <v>8.8629737609329504E-2</v>
      </c>
      <c r="BS103" s="26">
        <f>VLOOKUP($A103,tabCustoUnit[],COLUMN(CUSTO_GLOBAL[[#Headers],[PIS]])-2,0)</f>
        <v>1.9241982507288629E-2</v>
      </c>
      <c r="BT103" s="28">
        <f>VLOOKUP($A103,tabCustoUnit[],COLUMN(CUSTO_GLOBAL[[#Headers],[ISS]])-2,0)</f>
        <v>0.05</v>
      </c>
      <c r="BU103" s="26">
        <f>VLOOKUP($A103,tabCustoUnit[],COLUMN(CUSTO_GLOBAL[[#Headers],[ISS (Conversão Alíquota s/ fatura)]])-2,0)</f>
        <v>5.8309037900874633E-2</v>
      </c>
      <c r="BV103" s="26">
        <f>VLOOKUP($A103,tabCustoUnit[],COLUMN(CUSTO_GLOBAL[[#Headers],[Resumo de Alíquotas (PIS+CONFINS+ISS)]])-2,0)</f>
        <v>0.14250000000000002</v>
      </c>
      <c r="BW103" s="138">
        <f>VLOOKUP($A103,tabCustoUnit[],COLUMN(CUSTO_GLOBAL[[#Headers],[PIS + COFINS + ISS (Total Conversão  Alíquota s/ Fatura)]])-2,0)</f>
        <v>0.16618075801749277</v>
      </c>
      <c r="BX103" s="22">
        <f>VLOOKUP($A103,tabCustoUnit[],COLUMN(CUSTO_GLOBAL[[#Headers],[Valor dos Tributos (ISS, PIS, CONFINS)]])-2,0)*($G103-$H103)</f>
        <v>613.05471018612309</v>
      </c>
      <c r="BY103" s="22">
        <f>VLOOKUP($A103,tabCustoUnit[],COLUMN(CUSTO_GLOBAL[[#Headers],[MÓDULO 6 – CUSTOS INDIRETOS, TRIBUTOS E LUCRO]])-2,0)*($G103-$H103)</f>
        <v>962.00850476658718</v>
      </c>
      <c r="BZ103" s="22">
        <f>VLOOKUP($A103,tabCustoUnit[],COLUMN(CUSTO_GLOBAL[[#Headers],[CUSTO TOTAL MENSAL]])-2,0)*($G103-$H103)</f>
        <v>4302.1383170955996</v>
      </c>
      <c r="CA103" s="22">
        <f>CUSTO_GLOBAL[[#This Row],[CUSTO TOTAL MENSAL]]*12</f>
        <v>51625.659805147196</v>
      </c>
      <c r="CB103" s="24">
        <f>VLOOKUP($A103,tabCustoUnit[],COLUMN(CUSTO_GLOBAL[[#Headers],[ANO DA CCT]])-2,0)</f>
        <v>45658</v>
      </c>
      <c r="CC103" s="25" t="str">
        <f>VLOOKUP($A103,tabCustoUnit[],COLUMN(CUSTO_GLOBAL[[#Headers],[Nº DE PEDIDO DA CCT]])-2,0)</f>
        <v>-</v>
      </c>
      <c r="CD103" s="25" t="str">
        <f>VLOOKUP($A103,tabCustoUnit[],COLUMN(CUSTO_GLOBAL[[#Headers],[TERMO ADITIVO  ALTERAÇÃO DA CCT]])-2,0)</f>
        <v>-</v>
      </c>
      <c r="CF103" s="22"/>
      <c r="CG103" s="22"/>
    </row>
    <row r="104" spans="1:85" x14ac:dyDescent="0.25">
      <c r="A104" s="20" t="s">
        <v>1443</v>
      </c>
      <c r="B104" t="s">
        <v>97</v>
      </c>
      <c r="C104" t="s">
        <v>1244</v>
      </c>
      <c r="D104" t="s">
        <v>1023</v>
      </c>
      <c r="E104" s="20" t="s">
        <v>9</v>
      </c>
      <c r="F104" s="20" t="s">
        <v>10</v>
      </c>
      <c r="G104" s="20">
        <v>1</v>
      </c>
      <c r="H104" s="20">
        <v>0</v>
      </c>
      <c r="I104" s="21">
        <f>VLOOKUP($A104,tabCustoUnit[],COLUMN(CUSTO_GLOBAL[[#Headers],[Salário Base]])-2,0)*($G104-$H104)</f>
        <v>798.14</v>
      </c>
      <c r="J104" s="21">
        <f>VLOOKUP($A104,tabCustoUnit[],COLUMN(CUSTO_GLOBAL[[#Headers],[Adicional Periculosidade]])-2,0)*($G104-$H104)</f>
        <v>0</v>
      </c>
      <c r="K104" s="21">
        <f>VLOOKUP($A104,tabCustoUnit[],COLUMN(CUSTO_GLOBAL[[#Headers],[Adicional Insalubridade]])-2,0)*($G104-$H104)</f>
        <v>0</v>
      </c>
      <c r="L104" s="21">
        <f>VLOOKUP($A104,tabCustoUnit[],COLUMN(CUSTO_GLOBAL[[#Headers],[Adicional Noturno]])-2,0)*($G104-$H104)</f>
        <v>0</v>
      </c>
      <c r="M104" s="21">
        <f>VLOOKUP($A104,tabCustoUnit[],COLUMN(CUSTO_GLOBAL[[#Headers],[Adicional Motorista II (Gratificação)]])-2,0)*($G104-$H104)</f>
        <v>0</v>
      </c>
      <c r="N104" s="21">
        <f>VLOOKUP($A104,tabCustoUnit[],COLUMN(CUSTO_GLOBAL[[#Headers],[Adicional de Sobreaviso]])-2,0)*($G104-$H104)</f>
        <v>0</v>
      </c>
      <c r="O104" s="21">
        <f>VLOOKUP($A104,tabCustoUnit[],COLUMN(CUSTO_GLOBAL[[#Headers],[Horas Extras TI]])-2,0)*($G104-$H104)</f>
        <v>0</v>
      </c>
      <c r="P104" s="21">
        <f>VLOOKUP($A104,tabCustoUnit[],COLUMN(CUSTO_GLOBAL[[#Headers],[Adicional de Acúmulo de função]])-2,0)*($G104-$H104)</f>
        <v>26.120899999999999</v>
      </c>
      <c r="Q104" s="21">
        <f>VLOOKUP($A104,tabCustoUnit[],COLUMN(CUSTO_GLOBAL[[#Headers],[MODULO 1 - REMUNERAÇÃO ]])-2,0)*($G104-$H104)</f>
        <v>824.26089999999999</v>
      </c>
      <c r="R104" s="21">
        <f>VLOOKUP($A104,tabCustoUnit[],COLUMN(CUSTO_GLOBAL[[#Headers],[INSS]])-2,0)*($G104-$H104)</f>
        <v>164.85218</v>
      </c>
      <c r="S104" s="21">
        <f>VLOOKUP($A104,tabCustoUnit[],COLUMN(CUSTO_GLOBAL[[#Headers],[SESI OU SESC]])-2,0)*($G104-$H104)</f>
        <v>12.363913499999999</v>
      </c>
      <c r="T104" s="21">
        <f>VLOOKUP($A104,tabCustoUnit[],COLUMN(CUSTO_GLOBAL[[#Headers],[SENAI OU SENAC]])-2,0)*($G104-$H104)</f>
        <v>8.2426089999999999</v>
      </c>
      <c r="U104" s="21">
        <f>VLOOKUP($A104,tabCustoUnit[],COLUMN(CUSTO_GLOBAL[[#Headers],[INCRA]])-2,0)*($G104-$H104)</f>
        <v>1.6485217999999999</v>
      </c>
      <c r="V104" s="21">
        <f>VLOOKUP($A104,tabCustoUnit[],COLUMN(CUSTO_GLOBAL[[#Headers],[Salário Educação]])-2,0)*($G104-$H104)</f>
        <v>20.606522500000001</v>
      </c>
      <c r="W104" s="21">
        <f>VLOOKUP($A104,tabCustoUnit[],COLUMN(CUSTO_GLOBAL[[#Headers],[FGTS]])-2,0)*($G104-$H104)</f>
        <v>65.940871999999999</v>
      </c>
      <c r="X104" s="21">
        <f>VLOOKUP($A104,tabCustoUnit[],COLUMN(CUSTO_GLOBAL[[#Headers],[RAT Ajustado]])-2,0)*($G104-$H104)</f>
        <v>32.970435999999999</v>
      </c>
      <c r="Y104" s="21">
        <f>VLOOKUP($A104,tabCustoUnit[],COLUMN(CUSTO_GLOBAL[[#Headers],[SEBRAE]])-2,0)*($G104-$H104)</f>
        <v>4.9455654000000004</v>
      </c>
      <c r="Z104" s="21">
        <f>VLOOKUP($A104,tabCustoUnit[],COLUMN(CUSTO_GLOBAL[[#Headers],[Submódulo 2.1]])-2,0)*($G104-$H104)</f>
        <v>311.57062020000001</v>
      </c>
      <c r="AA104" s="21">
        <f>VLOOKUP($A104,tabCustoUnit[],COLUMN(CUSTO_GLOBAL[[#Headers],[13º salário (titular)]])-2,0)*($G104-$H104)</f>
        <v>68.688408333333328</v>
      </c>
      <c r="AB104" s="21">
        <f>VLOOKUP($A104,tabCustoUnit[],COLUMN(CUSTO_GLOBAL[[#Headers],[Férias e Adicional de Férias (titular)]])-2,0)*($G104-$H104)</f>
        <v>91.584544444444433</v>
      </c>
      <c r="AC104" s="21">
        <f>VLOOKUP($A104,tabCustoUnit[],COLUMN(CUSTO_GLOBAL[[#Headers],[Incidência do Submódulo 2.1 sobre 13º Salário, Férias e Adicional de Férias]])-2,0)*($G104-$H104)</f>
        <v>60.583176149999993</v>
      </c>
      <c r="AD104" s="21">
        <f>VLOOKUP($A104,tabCustoUnit[],COLUMN(CUSTO_GLOBAL[[#Headers],[Submódulo 2.2]])-2,0)*($G104-$H104)</f>
        <v>220.85612892777775</v>
      </c>
      <c r="AE104" s="22">
        <f>VLOOKUP($A104,tabCustoUnit[],COLUMN(CUSTO_GLOBAL[[#Headers],[Vale - Transporte (Descontada parcela do empregado)]])-2,0)*($G104-$H104)</f>
        <v>208.11160000000001</v>
      </c>
      <c r="AF104" s="22">
        <f>VLOOKUP($A104,tabCustoUnit[],COLUMN(CUSTO_GLOBAL[[#Headers],[Vale - Alimentação (Descontada parcela do empregado)]])-2,0)*($G104-$H104)</f>
        <v>582</v>
      </c>
      <c r="AG104" s="22">
        <f>VLOOKUP($A104,tabCustoUnit[],COLUMN(CUSTO_GLOBAL[[#Headers],[Cesta Básica]])-2,0)*($G104-$H104)</f>
        <v>0</v>
      </c>
      <c r="AH104" s="22">
        <f>VLOOKUP($A104,tabCustoUnit[],COLUMN(CUSTO_GLOBAL[[#Headers],[PAF]])-2,0)*($G104-$H104)</f>
        <v>0</v>
      </c>
      <c r="AI104" s="22">
        <f>VLOOKUP($A104,tabCustoUnit[],COLUMN(CUSTO_GLOBAL[[#Headers],[PQM]])-2,0)*($G104-$H104)</f>
        <v>0</v>
      </c>
      <c r="AJ104" s="22">
        <v>0</v>
      </c>
      <c r="AK104" s="22">
        <f>VLOOKUP($A104,tabCustoUnit[],COLUMN(CUSTO_GLOBAL[[#Headers],[Seguro de Vida]])-2,0)*($G104-$H104)</f>
        <v>3.36</v>
      </c>
      <c r="AL104" s="22">
        <f>VLOOKUP($A104,tabCustoUnit[],COLUMN(CUSTO_GLOBAL[[#Headers],[Despesas de Viagem]])-2,0)*($G104-$H104)</f>
        <v>0</v>
      </c>
      <c r="AM104" s="22">
        <f>VLOOKUP($A104,tabCustoUnit[],COLUMN(CUSTO_GLOBAL[[#Headers],[Submódulo 2.3]])-2,0)*($G104-$H104)</f>
        <v>793.47159999999997</v>
      </c>
      <c r="AN104" s="22">
        <f>VLOOKUP($A104,tabCustoUnit[],COLUMN(CUSTO_GLOBAL[[#Headers],[MÓDULO 2 - Total Encargos e Benefícios mensais e diários]])-2,0)*($G104-$H104)</f>
        <v>1325.8983491277777</v>
      </c>
      <c r="AO104" s="22">
        <f>VLOOKUP($A104,tabCustoUnit[],COLUMN(CUSTO_GLOBAL[[#Headers],[Aviso Prévio Indenizado (API) e Reflexo do Aviso Prévio Indenizado]])-2,0)*($G104-$H104)</f>
        <v>5.7795253576581791</v>
      </c>
      <c r="AP104" s="22">
        <f>VLOOKUP($A104,tabCustoUnit[],COLUMN(CUSTO_GLOBAL[[#Headers],[Incidência do FGTS sobre API e Reflexo do API]])-2,0)*($G104-$H104)</f>
        <v>0.46236202861265435</v>
      </c>
      <c r="AQ104" s="22">
        <f>VLOOKUP($A104,tabCustoUnit[],COLUMN(CUSTO_GLOBAL[[#Headers],[Multa Rescisória do FGTS sobre o Aviso Prévio Indenizado]])-2,0)*($G104-$H104)</f>
        <v>0.18494481144506175</v>
      </c>
      <c r="AR104" s="22">
        <f>VLOOKUP($A104,tabCustoUnit[],COLUMN(CUSTO_GLOBAL[[#Headers],[Aviso Prévio Trabalhado - APT]])-2,0)*($G104-$H104)</f>
        <v>2.8849131500000005</v>
      </c>
      <c r="AS104" s="22">
        <f>VLOOKUP($A104,tabCustoUnit[],COLUMN(CUSTO_GLOBAL[[#Headers],[Incidência dos encargos do submódulo 2.1 sobre Aviso Prévio Trabalhado]])-2,0)*($G104-$H104)</f>
        <v>1.0904971707000004</v>
      </c>
      <c r="AT104" s="22">
        <f>VLOOKUP($A104,tabCustoUnit[],COLUMN(CUSTO_GLOBAL[[#Headers],[Multa Rescisória do FGTS]])-2,0)*($G104-$H104)</f>
        <v>25.204066631111107</v>
      </c>
      <c r="AU104" s="22">
        <f>VLOOKUP($A104,tabCustoUnit[],COLUMN(CUSTO_GLOBAL[[#Headers],[Indenização Adicional (Art. 9º da Lei nº 7.238/84)]])-2,0)*($G104-$H104)</f>
        <v>0.6868840833333334</v>
      </c>
      <c r="AV104" s="22">
        <f>VLOOKUP($A104,tabCustoUnit[],COLUMN(CUSTO_GLOBAL[[#Headers],[MÓDULO 3 – PROVISÃO PARA RESCISÃO]])-2,0)*($G104-$H104)</f>
        <v>36.293193232860339</v>
      </c>
      <c r="AW104" s="22">
        <f>VLOOKUP($A104,tabCustoUnit[],COLUMN(CUSTO_GLOBAL[[#Headers],[Ausência por Doença]])-2,0)*($G104-$H104)</f>
        <v>6.9604253777777769</v>
      </c>
      <c r="AX104" s="22">
        <f>VLOOKUP($A104,tabCustoUnit[],COLUMN(CUSTO_GLOBAL[[#Headers],[Ausências Legais]])-2,0)*($G104-$H104)</f>
        <v>1.671417936111111</v>
      </c>
      <c r="AY104" s="22">
        <f>VLOOKUP($A104,tabCustoUnit[],COLUMN(CUSTO_GLOBAL[[#Headers],[Licença Paternidade]])-2,0)*($G104-$H104)</f>
        <v>0.14081123708333332</v>
      </c>
      <c r="AZ104" s="22">
        <f>VLOOKUP($A104,tabCustoUnit[],COLUMN(CUSTO_GLOBAL[[#Headers],[Ausência por Acidente de Trabalho]])-2,0)*($G104-$H104)</f>
        <v>0.17172102083333335</v>
      </c>
      <c r="BA104" s="22">
        <f>VLOOKUP($A104,tabCustoUnit[],COLUMN(CUSTO_GLOBAL[[#Headers],[Férias, Adicional de Férias e 13º  com empregada em gozo de Licença Maternidade]])-2,0)*($G104-$H104)</f>
        <v>1.0684863518518517</v>
      </c>
      <c r="BB104" s="22">
        <f>VLOOKUP($A104,tabCustoUnit[],COLUMN(CUSTO_GLOBAL[[#Headers],[Incidência do Submódulo 2.1 sobre Ausências Legais]])-2,0)*($G104-$H104)</f>
        <v>3.7848618071425006</v>
      </c>
      <c r="BC104" s="22">
        <f>VLOOKUP($A104,tabCustoUnit[],COLUMN(CUSTO_GLOBAL[[#Headers],[Submódulo 4.1]])-2,0)*($G104-$H104)</f>
        <v>13.797723730799909</v>
      </c>
      <c r="BD104" s="22">
        <f>VLOOKUP($A104,tabCustoUnit[],COLUMN(CUSTO_GLOBAL[[#Headers],[Intervalo para Repouso ou Alimentação]])-2,0)*($G104-$H104)</f>
        <v>0</v>
      </c>
      <c r="BE104" s="22">
        <f>VLOOKUP($A104,tabCustoUnit[],COLUMN(CUSTO_GLOBAL[[#Headers],[Submódulo 4.2]])-2,0)*($G104-$H104)</f>
        <v>0</v>
      </c>
      <c r="BF104" s="22">
        <f>VLOOKUP($A104,tabCustoUnit[],COLUMN(CUSTO_GLOBAL[[#Headers],[Suspensão Temporária do Contrato de Trabalho]])-2,0)*($G104-$H104)</f>
        <v>0</v>
      </c>
      <c r="BG104" s="22">
        <f>VLOOKUP($A104,tabCustoUnit[],COLUMN(CUSTO_GLOBAL[[#Headers],[Submódulo 4.3]])-2,0)*($G104-$H104)</f>
        <v>0</v>
      </c>
      <c r="BH104" s="22">
        <f>VLOOKUP($A104,tabCustoUnit[],COLUMN(CUSTO_GLOBAL[[#Headers],[MÓDULO 4 – CUSTO DE REPOSIÇÃO DO PROFISSIONAL AUSENTE]])-2,0)*($G104-$H104)</f>
        <v>13.797723730799909</v>
      </c>
      <c r="BI104" s="22">
        <f>VLOOKUP($A104,tabCustoUnit[],COLUMN(CUSTO_GLOBAL[[#Headers],[Uniformes e EPIs]])-2,0)*($G104-$H104)</f>
        <v>62.806666666666665</v>
      </c>
      <c r="BJ104" s="22">
        <f>VLOOKUP($A104,tabCustoUnit[],COLUMN(CUSTO_GLOBAL[[#Headers],[Materiais de Consumo]])-2,0)*($G104-$H104)</f>
        <v>17.759106479291944</v>
      </c>
      <c r="BK104" s="22">
        <f>VLOOKUP($A104,tabCustoUnit[],COLUMN(CUSTO_GLOBAL[[#Headers],[Máquinas e Equipamentos (depreciação)]])-2,0)*($G104-$H104)</f>
        <v>32.264696957412788</v>
      </c>
      <c r="BL104" s="22">
        <f>VLOOKUP($A104,tabCustoUnit[],COLUMN(CUSTO_GLOBAL[[#Headers],[Produtos de Limpeza e Materiais de Higiene Pessoal]])-2,0)*($G104-$H104)</f>
        <v>345.13576638965827</v>
      </c>
      <c r="BM104" s="22">
        <f>VLOOKUP($A104,tabCustoUnit[],COLUMN(CUSTO_GLOBAL[[#Headers],[Outros (especificar)]])-2,0)*($G104-$H104)</f>
        <v>0</v>
      </c>
      <c r="BN104" s="22">
        <f>VLOOKUP($A104,tabCustoUnit[],COLUMN(CUSTO_GLOBAL[[#Headers],[MÓDULO 5 – INSUMOS DIVERSOS]])-2,0)*($G104-$H104)</f>
        <v>457.96623649302967</v>
      </c>
      <c r="BO104" s="22">
        <f>VLOOKUP($A104,tabCustoUnit[],COLUMN(CUSTO_GLOBAL[[#Headers],[TOTAL MÓDULOS 1+2+3+4+5]])-2,0)*($G104-$H104)</f>
        <v>2658.2164025844677</v>
      </c>
      <c r="BP104" s="22">
        <f>VLOOKUP($A104,tabCustoUnit[],COLUMN(CUSTO_GLOBAL[[#Headers],[Custos Indiretos]])-2,0)*($G104-$H104)</f>
        <v>189.64880140242613</v>
      </c>
      <c r="BQ104" s="22">
        <f>VLOOKUP($A104,tabCustoUnit[],COLUMN(CUSTO_GLOBAL[[#Headers],[Lucro]])-2,0)*($G104-$H104)</f>
        <v>159.30499317803796</v>
      </c>
      <c r="BR104" s="26">
        <f>VLOOKUP($A104,tabCustoUnit[],COLUMN(CUSTO_GLOBAL[[#Headers],[COFINS]])-2,0)</f>
        <v>8.5633802816901458E-2</v>
      </c>
      <c r="BS104" s="26">
        <f>VLOOKUP($A104,tabCustoUnit[],COLUMN(CUSTO_GLOBAL[[#Headers],[PIS]])-2,0)</f>
        <v>1.8591549295774657E-2</v>
      </c>
      <c r="BT104" s="28">
        <f>VLOOKUP($A104,tabCustoUnit[],COLUMN(CUSTO_GLOBAL[[#Headers],[ISS]])-2,0)</f>
        <v>0.02</v>
      </c>
      <c r="BU104" s="26">
        <f>VLOOKUP($A104,tabCustoUnit[],COLUMN(CUSTO_GLOBAL[[#Headers],[ISS (Conversão Alíquota s/ fatura)]])-2,0)</f>
        <v>2.2535211267605645E-2</v>
      </c>
      <c r="BV104" s="26">
        <f>VLOOKUP($A104,tabCustoUnit[],COLUMN(CUSTO_GLOBAL[[#Headers],[Resumo de Alíquotas (PIS+CONFINS+ISS)]])-2,0)</f>
        <v>0.1125</v>
      </c>
      <c r="BW104" s="138">
        <f>VLOOKUP($A104,tabCustoUnit[],COLUMN(CUSTO_GLOBAL[[#Headers],[PIS + COFINS + ISS (Total Conversão  Alíquota s/ Fatura)]])-2,0)</f>
        <v>0.12676056338028174</v>
      </c>
      <c r="BX104" s="22">
        <f>VLOOKUP($A104,tabCustoUnit[],COLUMN(CUSTO_GLOBAL[[#Headers],[Valor dos Tributos (ISS, PIS, CONFINS)]])-2,0)*($G104-$H104)</f>
        <v>381.19058837301969</v>
      </c>
      <c r="BY104" s="22">
        <f>VLOOKUP($A104,tabCustoUnit[],COLUMN(CUSTO_GLOBAL[[#Headers],[MÓDULO 6 – CUSTOS INDIRETOS, TRIBUTOS E LUCRO]])-2,0)*($G104-$H104)</f>
        <v>730.14438295348373</v>
      </c>
      <c r="BZ104" s="22">
        <f>VLOOKUP($A104,tabCustoUnit[],COLUMN(CUSTO_GLOBAL[[#Headers],[CUSTO TOTAL MENSAL]])-2,0)*($G104-$H104)</f>
        <v>3388.3607855379514</v>
      </c>
      <c r="CA104" s="22">
        <f>CUSTO_GLOBAL[[#This Row],[CUSTO TOTAL MENSAL]]*12</f>
        <v>40660.329426455413</v>
      </c>
      <c r="CB104" s="24">
        <f>VLOOKUP($A104,tabCustoUnit[],COLUMN(CUSTO_GLOBAL[[#Headers],[ANO DA CCT]])-2,0)</f>
        <v>45658</v>
      </c>
      <c r="CC104" s="25" t="str">
        <f>VLOOKUP($A104,tabCustoUnit[],COLUMN(CUSTO_GLOBAL[[#Headers],[Nº DE PEDIDO DA CCT]])-2,0)</f>
        <v>-</v>
      </c>
      <c r="CD104" s="25" t="str">
        <f>VLOOKUP($A104,tabCustoUnit[],COLUMN(CUSTO_GLOBAL[[#Headers],[TERMO ADITIVO  ALTERAÇÃO DA CCT]])-2,0)</f>
        <v>-</v>
      </c>
      <c r="CF104" s="22"/>
      <c r="CG104" s="22"/>
    </row>
    <row r="105" spans="1:85" x14ac:dyDescent="0.25">
      <c r="A105" s="20" t="s">
        <v>1444</v>
      </c>
      <c r="B105" t="s">
        <v>1347</v>
      </c>
      <c r="C105" t="s">
        <v>1244</v>
      </c>
      <c r="D105" t="s">
        <v>1018</v>
      </c>
      <c r="E105" s="20" t="s">
        <v>9</v>
      </c>
      <c r="F105" s="20" t="s">
        <v>10</v>
      </c>
      <c r="G105" s="20">
        <v>1</v>
      </c>
      <c r="H105" s="20">
        <v>0</v>
      </c>
      <c r="I105" s="21">
        <f>VLOOKUP($A105,tabCustoUnit[],COLUMN(CUSTO_GLOBAL[[#Headers],[Salário Base]])-2,0)*($G105-$H105)</f>
        <v>798.14</v>
      </c>
      <c r="J105" s="21">
        <f>VLOOKUP($A105,tabCustoUnit[],COLUMN(CUSTO_GLOBAL[[#Headers],[Adicional Periculosidade]])-2,0)*($G105-$H105)</f>
        <v>0</v>
      </c>
      <c r="K105" s="21">
        <f>VLOOKUP($A105,tabCustoUnit[],COLUMN(CUSTO_GLOBAL[[#Headers],[Adicional Insalubridade]])-2,0)*($G105-$H105)</f>
        <v>0</v>
      </c>
      <c r="L105" s="21">
        <f>VLOOKUP($A105,tabCustoUnit[],COLUMN(CUSTO_GLOBAL[[#Headers],[Adicional Noturno]])-2,0)*($G105-$H105)</f>
        <v>0</v>
      </c>
      <c r="M105" s="21">
        <f>VLOOKUP($A105,tabCustoUnit[],COLUMN(CUSTO_GLOBAL[[#Headers],[Adicional Motorista II (Gratificação)]])-2,0)*($G105-$H105)</f>
        <v>0</v>
      </c>
      <c r="N105" s="21">
        <f>VLOOKUP($A105,tabCustoUnit[],COLUMN(CUSTO_GLOBAL[[#Headers],[Adicional de Sobreaviso]])-2,0)*($G105-$H105)</f>
        <v>0</v>
      </c>
      <c r="O105" s="21">
        <f>VLOOKUP($A105,tabCustoUnit[],COLUMN(CUSTO_GLOBAL[[#Headers],[Horas Extras TI]])-2,0)*($G105-$H105)</f>
        <v>0</v>
      </c>
      <c r="P105" s="21">
        <f>VLOOKUP($A105,tabCustoUnit[],COLUMN(CUSTO_GLOBAL[[#Headers],[Adicional de Acúmulo de função]])-2,0)*($G105-$H105)</f>
        <v>26.120899999999999</v>
      </c>
      <c r="Q105" s="21">
        <f>VLOOKUP($A105,tabCustoUnit[],COLUMN(CUSTO_GLOBAL[[#Headers],[MODULO 1 - REMUNERAÇÃO ]])-2,0)*($G105-$H105)</f>
        <v>824.26089999999999</v>
      </c>
      <c r="R105" s="21">
        <f>VLOOKUP($A105,tabCustoUnit[],COLUMN(CUSTO_GLOBAL[[#Headers],[INSS]])-2,0)*($G105-$H105)</f>
        <v>164.85218</v>
      </c>
      <c r="S105" s="21">
        <f>VLOOKUP($A105,tabCustoUnit[],COLUMN(CUSTO_GLOBAL[[#Headers],[SESI OU SESC]])-2,0)*($G105-$H105)</f>
        <v>12.363913499999999</v>
      </c>
      <c r="T105" s="21">
        <f>VLOOKUP($A105,tabCustoUnit[],COLUMN(CUSTO_GLOBAL[[#Headers],[SENAI OU SENAC]])-2,0)*($G105-$H105)</f>
        <v>8.2426089999999999</v>
      </c>
      <c r="U105" s="21">
        <f>VLOOKUP($A105,tabCustoUnit[],COLUMN(CUSTO_GLOBAL[[#Headers],[INCRA]])-2,0)*($G105-$H105)</f>
        <v>1.6485217999999999</v>
      </c>
      <c r="V105" s="21">
        <f>VLOOKUP($A105,tabCustoUnit[],COLUMN(CUSTO_GLOBAL[[#Headers],[Salário Educação]])-2,0)*($G105-$H105)</f>
        <v>20.606522500000001</v>
      </c>
      <c r="W105" s="21">
        <f>VLOOKUP($A105,tabCustoUnit[],COLUMN(CUSTO_GLOBAL[[#Headers],[FGTS]])-2,0)*($G105-$H105)</f>
        <v>65.940871999999999</v>
      </c>
      <c r="X105" s="21">
        <f>VLOOKUP($A105,tabCustoUnit[],COLUMN(CUSTO_GLOBAL[[#Headers],[RAT Ajustado]])-2,0)*($G105-$H105)</f>
        <v>32.970435999999999</v>
      </c>
      <c r="Y105" s="21">
        <f>VLOOKUP($A105,tabCustoUnit[],COLUMN(CUSTO_GLOBAL[[#Headers],[SEBRAE]])-2,0)*($G105-$H105)</f>
        <v>4.9455654000000004</v>
      </c>
      <c r="Z105" s="21">
        <f>VLOOKUP($A105,tabCustoUnit[],COLUMN(CUSTO_GLOBAL[[#Headers],[Submódulo 2.1]])-2,0)*($G105-$H105)</f>
        <v>311.57062020000001</v>
      </c>
      <c r="AA105" s="21">
        <f>VLOOKUP($A105,tabCustoUnit[],COLUMN(CUSTO_GLOBAL[[#Headers],[13º salário (titular)]])-2,0)*($G105-$H105)</f>
        <v>68.688408333333328</v>
      </c>
      <c r="AB105" s="21">
        <f>VLOOKUP($A105,tabCustoUnit[],COLUMN(CUSTO_GLOBAL[[#Headers],[Férias e Adicional de Férias (titular)]])-2,0)*($G105-$H105)</f>
        <v>91.584544444444433</v>
      </c>
      <c r="AC105" s="21">
        <f>VLOOKUP($A105,tabCustoUnit[],COLUMN(CUSTO_GLOBAL[[#Headers],[Incidência do Submódulo 2.1 sobre 13º Salário, Férias e Adicional de Férias]])-2,0)*($G105-$H105)</f>
        <v>60.583176149999993</v>
      </c>
      <c r="AD105" s="21">
        <f>VLOOKUP($A105,tabCustoUnit[],COLUMN(CUSTO_GLOBAL[[#Headers],[Submódulo 2.2]])-2,0)*($G105-$H105)</f>
        <v>220.85612892777775</v>
      </c>
      <c r="AE105" s="22">
        <f>VLOOKUP($A105,tabCustoUnit[],COLUMN(CUSTO_GLOBAL[[#Headers],[Vale - Transporte (Descontada parcela do empregado)]])-2,0)*($G105-$H105)</f>
        <v>208.11160000000001</v>
      </c>
      <c r="AF105" s="22">
        <f>VLOOKUP($A105,tabCustoUnit[],COLUMN(CUSTO_GLOBAL[[#Headers],[Vale - Alimentação (Descontada parcela do empregado)]])-2,0)*($G105-$H105)</f>
        <v>582</v>
      </c>
      <c r="AG105" s="22">
        <f>VLOOKUP($A105,tabCustoUnit[],COLUMN(CUSTO_GLOBAL[[#Headers],[Cesta Básica]])-2,0)*($G105-$H105)</f>
        <v>0</v>
      </c>
      <c r="AH105" s="22">
        <f>VLOOKUP($A105,tabCustoUnit[],COLUMN(CUSTO_GLOBAL[[#Headers],[PAF]])-2,0)*($G105-$H105)</f>
        <v>51.88</v>
      </c>
      <c r="AI105" s="22">
        <f>VLOOKUP($A105,tabCustoUnit[],COLUMN(CUSTO_GLOBAL[[#Headers],[PQM]])-2,0)*($G105-$H105)</f>
        <v>0</v>
      </c>
      <c r="AJ105" s="22">
        <v>0</v>
      </c>
      <c r="AK105" s="22">
        <f>VLOOKUP($A105,tabCustoUnit[],COLUMN(CUSTO_GLOBAL[[#Headers],[Seguro de Vida]])-2,0)*($G105-$H105)</f>
        <v>3.36</v>
      </c>
      <c r="AL105" s="22">
        <f>VLOOKUP($A105,tabCustoUnit[],COLUMN(CUSTO_GLOBAL[[#Headers],[Despesas de Viagem]])-2,0)*($G105-$H105)</f>
        <v>0</v>
      </c>
      <c r="AM105" s="22">
        <f>VLOOKUP($A105,tabCustoUnit[],COLUMN(CUSTO_GLOBAL[[#Headers],[Submódulo 2.3]])-2,0)*($G105-$H105)</f>
        <v>845.35159999999996</v>
      </c>
      <c r="AN105" s="22">
        <f>VLOOKUP($A105,tabCustoUnit[],COLUMN(CUSTO_GLOBAL[[#Headers],[MÓDULO 2 - Total Encargos e Benefícios mensais e diários]])-2,0)*($G105-$H105)</f>
        <v>1377.7783491277778</v>
      </c>
      <c r="AO105" s="22">
        <f>VLOOKUP($A105,tabCustoUnit[],COLUMN(CUSTO_GLOBAL[[#Headers],[Aviso Prévio Indenizado (API) e Reflexo do Aviso Prévio Indenizado]])-2,0)*($G105-$H105)</f>
        <v>5.7795253576581791</v>
      </c>
      <c r="AP105" s="22">
        <f>VLOOKUP($A105,tabCustoUnit[],COLUMN(CUSTO_GLOBAL[[#Headers],[Incidência do FGTS sobre API e Reflexo do API]])-2,0)*($G105-$H105)</f>
        <v>0.46236202861265435</v>
      </c>
      <c r="AQ105" s="22">
        <f>VLOOKUP($A105,tabCustoUnit[],COLUMN(CUSTO_GLOBAL[[#Headers],[Multa Rescisória do FGTS sobre o Aviso Prévio Indenizado]])-2,0)*($G105-$H105)</f>
        <v>0.18494481144506175</v>
      </c>
      <c r="AR105" s="22">
        <f>VLOOKUP($A105,tabCustoUnit[],COLUMN(CUSTO_GLOBAL[[#Headers],[Aviso Prévio Trabalhado - APT]])-2,0)*($G105-$H105)</f>
        <v>2.8849131500000005</v>
      </c>
      <c r="AS105" s="22">
        <f>VLOOKUP($A105,tabCustoUnit[],COLUMN(CUSTO_GLOBAL[[#Headers],[Incidência dos encargos do submódulo 2.1 sobre Aviso Prévio Trabalhado]])-2,0)*($G105-$H105)</f>
        <v>1.0904971707000004</v>
      </c>
      <c r="AT105" s="22">
        <f>VLOOKUP($A105,tabCustoUnit[],COLUMN(CUSTO_GLOBAL[[#Headers],[Multa Rescisória do FGTS]])-2,0)*($G105-$H105)</f>
        <v>25.204066631111107</v>
      </c>
      <c r="AU105" s="22">
        <f>VLOOKUP($A105,tabCustoUnit[],COLUMN(CUSTO_GLOBAL[[#Headers],[Indenização Adicional (Art. 9º da Lei nº 7.238/84)]])-2,0)*($G105-$H105)</f>
        <v>0.6868840833333334</v>
      </c>
      <c r="AV105" s="22">
        <f>VLOOKUP($A105,tabCustoUnit[],COLUMN(CUSTO_GLOBAL[[#Headers],[MÓDULO 3 – PROVISÃO PARA RESCISÃO]])-2,0)*($G105-$H105)</f>
        <v>36.293193232860339</v>
      </c>
      <c r="AW105" s="22">
        <f>VLOOKUP($A105,tabCustoUnit[],COLUMN(CUSTO_GLOBAL[[#Headers],[Ausência por Doença]])-2,0)*($G105-$H105)</f>
        <v>6.9604253777777769</v>
      </c>
      <c r="AX105" s="22">
        <f>VLOOKUP($A105,tabCustoUnit[],COLUMN(CUSTO_GLOBAL[[#Headers],[Ausências Legais]])-2,0)*($G105-$H105)</f>
        <v>1.671417936111111</v>
      </c>
      <c r="AY105" s="22">
        <f>VLOOKUP($A105,tabCustoUnit[],COLUMN(CUSTO_GLOBAL[[#Headers],[Licença Paternidade]])-2,0)*($G105-$H105)</f>
        <v>0.14081123708333332</v>
      </c>
      <c r="AZ105" s="22">
        <f>VLOOKUP($A105,tabCustoUnit[],COLUMN(CUSTO_GLOBAL[[#Headers],[Ausência por Acidente de Trabalho]])-2,0)*($G105-$H105)</f>
        <v>0.17172102083333335</v>
      </c>
      <c r="BA105" s="22">
        <f>VLOOKUP($A105,tabCustoUnit[],COLUMN(CUSTO_GLOBAL[[#Headers],[Férias, Adicional de Férias e 13º  com empregada em gozo de Licença Maternidade]])-2,0)*($G105-$H105)</f>
        <v>1.0684863518518517</v>
      </c>
      <c r="BB105" s="22">
        <f>VLOOKUP($A105,tabCustoUnit[],COLUMN(CUSTO_GLOBAL[[#Headers],[Incidência do Submódulo 2.1 sobre Ausências Legais]])-2,0)*($G105-$H105)</f>
        <v>3.7848618071425006</v>
      </c>
      <c r="BC105" s="22">
        <f>VLOOKUP($A105,tabCustoUnit[],COLUMN(CUSTO_GLOBAL[[#Headers],[Submódulo 4.1]])-2,0)*($G105-$H105)</f>
        <v>13.797723730799909</v>
      </c>
      <c r="BD105" s="22">
        <f>VLOOKUP($A105,tabCustoUnit[],COLUMN(CUSTO_GLOBAL[[#Headers],[Intervalo para Repouso ou Alimentação]])-2,0)*($G105-$H105)</f>
        <v>0</v>
      </c>
      <c r="BE105" s="22">
        <f>VLOOKUP($A105,tabCustoUnit[],COLUMN(CUSTO_GLOBAL[[#Headers],[Submódulo 4.2]])-2,0)*($G105-$H105)</f>
        <v>0</v>
      </c>
      <c r="BF105" s="22">
        <f>VLOOKUP($A105,tabCustoUnit[],COLUMN(CUSTO_GLOBAL[[#Headers],[Suspensão Temporária do Contrato de Trabalho]])-2,0)*($G105-$H105)</f>
        <v>0</v>
      </c>
      <c r="BG105" s="22">
        <f>VLOOKUP($A105,tabCustoUnit[],COLUMN(CUSTO_GLOBAL[[#Headers],[Submódulo 4.3]])-2,0)*($G105-$H105)</f>
        <v>0</v>
      </c>
      <c r="BH105" s="22">
        <f>VLOOKUP($A105,tabCustoUnit[],COLUMN(CUSTO_GLOBAL[[#Headers],[MÓDULO 4 – CUSTO DE REPOSIÇÃO DO PROFISSIONAL AUSENTE]])-2,0)*($G105-$H105)</f>
        <v>13.797723730799909</v>
      </c>
      <c r="BI105" s="22">
        <f>VLOOKUP($A105,tabCustoUnit[],COLUMN(CUSTO_GLOBAL[[#Headers],[Uniformes e EPIs]])-2,0)*($G105-$H105)</f>
        <v>62.806666666666665</v>
      </c>
      <c r="BJ105" s="22">
        <f>VLOOKUP($A105,tabCustoUnit[],COLUMN(CUSTO_GLOBAL[[#Headers],[Materiais de Consumo]])-2,0)*($G105-$H105)</f>
        <v>17.759106479291944</v>
      </c>
      <c r="BK105" s="22">
        <f>VLOOKUP($A105,tabCustoUnit[],COLUMN(CUSTO_GLOBAL[[#Headers],[Máquinas e Equipamentos (depreciação)]])-2,0)*($G105-$H105)</f>
        <v>32.264696957412788</v>
      </c>
      <c r="BL105" s="22">
        <f>VLOOKUP($A105,tabCustoUnit[],COLUMN(CUSTO_GLOBAL[[#Headers],[Produtos de Limpeza e Materiais de Higiene Pessoal]])-2,0)*($G105-$H105)</f>
        <v>345.13576638965827</v>
      </c>
      <c r="BM105" s="22">
        <f>VLOOKUP($A105,tabCustoUnit[],COLUMN(CUSTO_GLOBAL[[#Headers],[Outros (especificar)]])-2,0)*($G105-$H105)</f>
        <v>0</v>
      </c>
      <c r="BN105" s="22">
        <f>VLOOKUP($A105,tabCustoUnit[],COLUMN(CUSTO_GLOBAL[[#Headers],[MÓDULO 5 – INSUMOS DIVERSOS]])-2,0)*($G105-$H105)</f>
        <v>457.96623649302967</v>
      </c>
      <c r="BO105" s="22">
        <f>VLOOKUP($A105,tabCustoUnit[],COLUMN(CUSTO_GLOBAL[[#Headers],[TOTAL MÓDULOS 1+2+3+4+5]])-2,0)*($G105-$H105)</f>
        <v>2710.0964025844678</v>
      </c>
      <c r="BP105" s="22">
        <f>VLOOKUP($A105,tabCustoUnit[],COLUMN(CUSTO_GLOBAL[[#Headers],[Custos Indiretos]])-2,0)*($G105-$H105)</f>
        <v>189.64880140242613</v>
      </c>
      <c r="BQ105" s="22">
        <f>VLOOKUP($A105,tabCustoUnit[],COLUMN(CUSTO_GLOBAL[[#Headers],[Lucro]])-2,0)*($G105-$H105)</f>
        <v>159.30499317803796</v>
      </c>
      <c r="BR105" s="26">
        <f>VLOOKUP($A105,tabCustoUnit[],COLUMN(CUSTO_GLOBAL[[#Headers],[COFINS]])-2,0)</f>
        <v>8.5633802816901458E-2</v>
      </c>
      <c r="BS105" s="26">
        <f>VLOOKUP($A105,tabCustoUnit[],COLUMN(CUSTO_GLOBAL[[#Headers],[PIS]])-2,0)</f>
        <v>1.8591549295774657E-2</v>
      </c>
      <c r="BT105" s="28">
        <f>VLOOKUP($A105,tabCustoUnit[],COLUMN(CUSTO_GLOBAL[[#Headers],[ISS]])-2,0)</f>
        <v>0.02</v>
      </c>
      <c r="BU105" s="26">
        <f>VLOOKUP($A105,tabCustoUnit[],COLUMN(CUSTO_GLOBAL[[#Headers],[ISS (Conversão Alíquota s/ fatura)]])-2,0)</f>
        <v>2.2535211267605645E-2</v>
      </c>
      <c r="BV105" s="26">
        <f>VLOOKUP($A105,tabCustoUnit[],COLUMN(CUSTO_GLOBAL[[#Headers],[Resumo de Alíquotas (PIS+CONFINS+ISS)]])-2,0)</f>
        <v>0.1125</v>
      </c>
      <c r="BW105" s="138">
        <f>VLOOKUP($A105,tabCustoUnit[],COLUMN(CUSTO_GLOBAL[[#Headers],[PIS + COFINS + ISS (Total Conversão  Alíquota s/ Fatura)]])-2,0)</f>
        <v>0.12676056338028174</v>
      </c>
      <c r="BX105" s="22">
        <f>VLOOKUP($A105,tabCustoUnit[],COLUMN(CUSTO_GLOBAL[[#Headers],[Valor dos Tributos (ISS, PIS, CONFINS)]])-2,0)*($G105-$H105)</f>
        <v>387.7669264011887</v>
      </c>
      <c r="BY105" s="22">
        <f>VLOOKUP($A105,tabCustoUnit[],COLUMN(CUSTO_GLOBAL[[#Headers],[MÓDULO 6 – CUSTOS INDIRETOS, TRIBUTOS E LUCRO]])-2,0)*($G105-$H105)</f>
        <v>736.72072098165279</v>
      </c>
      <c r="BZ105" s="22">
        <f>VLOOKUP($A105,tabCustoUnit[],COLUMN(CUSTO_GLOBAL[[#Headers],[CUSTO TOTAL MENSAL]])-2,0)*($G105-$H105)</f>
        <v>3446.8171235661207</v>
      </c>
      <c r="CA105" s="22">
        <f>CUSTO_GLOBAL[[#This Row],[CUSTO TOTAL MENSAL]]*12</f>
        <v>41361.805482793447</v>
      </c>
      <c r="CB105" s="24">
        <f>VLOOKUP($A105,tabCustoUnit[],COLUMN(CUSTO_GLOBAL[[#Headers],[ANO DA CCT]])-2,0)</f>
        <v>45658</v>
      </c>
      <c r="CC105" s="25" t="str">
        <f>VLOOKUP($A105,tabCustoUnit[],COLUMN(CUSTO_GLOBAL[[#Headers],[Nº DE PEDIDO DA CCT]])-2,0)</f>
        <v>-</v>
      </c>
      <c r="CD105" s="25" t="str">
        <f>VLOOKUP($A105,tabCustoUnit[],COLUMN(CUSTO_GLOBAL[[#Headers],[TERMO ADITIVO  ALTERAÇÃO DA CCT]])-2,0)</f>
        <v>-</v>
      </c>
      <c r="CF105" s="22"/>
      <c r="CG105" s="22"/>
    </row>
    <row r="106" spans="1:85" x14ac:dyDescent="0.25">
      <c r="A106" s="20" t="s">
        <v>1445</v>
      </c>
      <c r="B106" t="s">
        <v>98</v>
      </c>
      <c r="C106" t="s">
        <v>1246</v>
      </c>
      <c r="D106" t="s">
        <v>1000</v>
      </c>
      <c r="E106" s="20" t="s">
        <v>9</v>
      </c>
      <c r="F106" s="20" t="s">
        <v>10</v>
      </c>
      <c r="G106" s="20">
        <v>1</v>
      </c>
      <c r="H106" s="20">
        <v>0</v>
      </c>
      <c r="I106" s="21">
        <f>VLOOKUP($A106,tabCustoUnit[],COLUMN(CUSTO_GLOBAL[[#Headers],[Salário Base]])-2,0)*($G106-$H106)</f>
        <v>1088.3699999999999</v>
      </c>
      <c r="J106" s="21">
        <f>VLOOKUP($A106,tabCustoUnit[],COLUMN(CUSTO_GLOBAL[[#Headers],[Adicional Periculosidade]])-2,0)*($G106-$H106)</f>
        <v>0</v>
      </c>
      <c r="K106" s="21">
        <f>VLOOKUP($A106,tabCustoUnit[],COLUMN(CUSTO_GLOBAL[[#Headers],[Adicional Insalubridade]])-2,0)*($G106-$H106)</f>
        <v>0</v>
      </c>
      <c r="L106" s="21">
        <f>VLOOKUP($A106,tabCustoUnit[],COLUMN(CUSTO_GLOBAL[[#Headers],[Adicional Noturno]])-2,0)*($G106-$H106)</f>
        <v>0</v>
      </c>
      <c r="M106" s="21">
        <f>VLOOKUP($A106,tabCustoUnit[],COLUMN(CUSTO_GLOBAL[[#Headers],[Adicional Motorista II (Gratificação)]])-2,0)*($G106-$H106)</f>
        <v>0</v>
      </c>
      <c r="N106" s="21">
        <f>VLOOKUP($A106,tabCustoUnit[],COLUMN(CUSTO_GLOBAL[[#Headers],[Adicional de Sobreaviso]])-2,0)*($G106-$H106)</f>
        <v>0</v>
      </c>
      <c r="O106" s="21">
        <f>VLOOKUP($A106,tabCustoUnit[],COLUMN(CUSTO_GLOBAL[[#Headers],[Horas Extras TI]])-2,0)*($G106-$H106)</f>
        <v>0</v>
      </c>
      <c r="P106" s="21">
        <f>VLOOKUP($A106,tabCustoUnit[],COLUMN(CUSTO_GLOBAL[[#Headers],[Adicional de Acúmulo de função]])-2,0)*($G106-$H106)</f>
        <v>39.1813</v>
      </c>
      <c r="Q106" s="21">
        <f>VLOOKUP($A106,tabCustoUnit[],COLUMN(CUSTO_GLOBAL[[#Headers],[MODULO 1 - REMUNERAÇÃO ]])-2,0)*($G106-$H106)</f>
        <v>1127.5512999999999</v>
      </c>
      <c r="R106" s="21">
        <f>VLOOKUP($A106,tabCustoUnit[],COLUMN(CUSTO_GLOBAL[[#Headers],[INSS]])-2,0)*($G106-$H106)</f>
        <v>225.51025999999999</v>
      </c>
      <c r="S106" s="21">
        <f>VLOOKUP($A106,tabCustoUnit[],COLUMN(CUSTO_GLOBAL[[#Headers],[SESI OU SESC]])-2,0)*($G106-$H106)</f>
        <v>16.913269499999998</v>
      </c>
      <c r="T106" s="21">
        <f>VLOOKUP($A106,tabCustoUnit[],COLUMN(CUSTO_GLOBAL[[#Headers],[SENAI OU SENAC]])-2,0)*($G106-$H106)</f>
        <v>11.275512999999998</v>
      </c>
      <c r="U106" s="21">
        <f>VLOOKUP($A106,tabCustoUnit[],COLUMN(CUSTO_GLOBAL[[#Headers],[INCRA]])-2,0)*($G106-$H106)</f>
        <v>2.2551025999999998</v>
      </c>
      <c r="V106" s="21">
        <f>VLOOKUP($A106,tabCustoUnit[],COLUMN(CUSTO_GLOBAL[[#Headers],[Salário Educação]])-2,0)*($G106-$H106)</f>
        <v>28.188782499999999</v>
      </c>
      <c r="W106" s="21">
        <f>VLOOKUP($A106,tabCustoUnit[],COLUMN(CUSTO_GLOBAL[[#Headers],[FGTS]])-2,0)*($G106-$H106)</f>
        <v>90.204103999999987</v>
      </c>
      <c r="X106" s="21">
        <f>VLOOKUP($A106,tabCustoUnit[],COLUMN(CUSTO_GLOBAL[[#Headers],[RAT Ajustado]])-2,0)*($G106-$H106)</f>
        <v>45.102051999999993</v>
      </c>
      <c r="Y106" s="21">
        <f>VLOOKUP($A106,tabCustoUnit[],COLUMN(CUSTO_GLOBAL[[#Headers],[SEBRAE]])-2,0)*($G106-$H106)</f>
        <v>6.7653077999999995</v>
      </c>
      <c r="Z106" s="21">
        <f>VLOOKUP($A106,tabCustoUnit[],COLUMN(CUSTO_GLOBAL[[#Headers],[Submódulo 2.1]])-2,0)*($G106-$H106)</f>
        <v>426.21439139999995</v>
      </c>
      <c r="AA106" s="21">
        <f>VLOOKUP($A106,tabCustoUnit[],COLUMN(CUSTO_GLOBAL[[#Headers],[13º salário (titular)]])-2,0)*($G106-$H106)</f>
        <v>93.962608333333321</v>
      </c>
      <c r="AB106" s="21">
        <f>VLOOKUP($A106,tabCustoUnit[],COLUMN(CUSTO_GLOBAL[[#Headers],[Férias e Adicional de Férias (titular)]])-2,0)*($G106-$H106)</f>
        <v>125.28347777777776</v>
      </c>
      <c r="AC106" s="21">
        <f>VLOOKUP($A106,tabCustoUnit[],COLUMN(CUSTO_GLOBAL[[#Headers],[Incidência do Submódulo 2.1 sobre 13º Salário, Férias e Adicional de Férias]])-2,0)*($G106-$H106)</f>
        <v>82.875020549999988</v>
      </c>
      <c r="AD106" s="21">
        <f>VLOOKUP($A106,tabCustoUnit[],COLUMN(CUSTO_GLOBAL[[#Headers],[Submódulo 2.2]])-2,0)*($G106-$H106)</f>
        <v>302.12110666111107</v>
      </c>
      <c r="AE106" s="22">
        <f>VLOOKUP($A106,tabCustoUnit[],COLUMN(CUSTO_GLOBAL[[#Headers],[Vale - Transporte (Descontada parcela do empregado)]])-2,0)*($G106-$H106)</f>
        <v>190.69780000000003</v>
      </c>
      <c r="AF106" s="22">
        <f>VLOOKUP($A106,tabCustoUnit[],COLUMN(CUSTO_GLOBAL[[#Headers],[Vale - Alimentação (Descontada parcela do empregado)]])-2,0)*($G106-$H106)</f>
        <v>582</v>
      </c>
      <c r="AG106" s="22">
        <f>VLOOKUP($A106,tabCustoUnit[],COLUMN(CUSTO_GLOBAL[[#Headers],[Cesta Básica]])-2,0)*($G106-$H106)</f>
        <v>0</v>
      </c>
      <c r="AH106" s="22">
        <f>VLOOKUP($A106,tabCustoUnit[],COLUMN(CUSTO_GLOBAL[[#Headers],[PAF]])-2,0)*($G106-$H106)</f>
        <v>0</v>
      </c>
      <c r="AI106" s="22">
        <f>VLOOKUP($A106,tabCustoUnit[],COLUMN(CUSTO_GLOBAL[[#Headers],[PQM]])-2,0)*($G106-$H106)</f>
        <v>15.07</v>
      </c>
      <c r="AJ106" s="22">
        <v>0</v>
      </c>
      <c r="AK106" s="22">
        <f>VLOOKUP($A106,tabCustoUnit[],COLUMN(CUSTO_GLOBAL[[#Headers],[Seguro de Vida]])-2,0)*($G106-$H106)</f>
        <v>3.36</v>
      </c>
      <c r="AL106" s="22">
        <f>VLOOKUP($A106,tabCustoUnit[],COLUMN(CUSTO_GLOBAL[[#Headers],[Despesas de Viagem]])-2,0)*($G106-$H106)</f>
        <v>0</v>
      </c>
      <c r="AM106" s="22">
        <f>VLOOKUP($A106,tabCustoUnit[],COLUMN(CUSTO_GLOBAL[[#Headers],[Submódulo 2.3]])-2,0)*($G106-$H106)</f>
        <v>791.12780000000009</v>
      </c>
      <c r="AN106" s="22">
        <f>VLOOKUP($A106,tabCustoUnit[],COLUMN(CUSTO_GLOBAL[[#Headers],[MÓDULO 2 - Total Encargos e Benefícios mensais e diários]])-2,0)*($G106-$H106)</f>
        <v>1519.4632980611111</v>
      </c>
      <c r="AO106" s="22">
        <f>VLOOKUP($A106,tabCustoUnit[],COLUMN(CUSTO_GLOBAL[[#Headers],[Aviso Prévio Indenizado (API) e Reflexo do Aviso Prévio Indenizado]])-2,0)*($G106-$H106)</f>
        <v>7.9061269683063262</v>
      </c>
      <c r="AP106" s="22">
        <f>VLOOKUP($A106,tabCustoUnit[],COLUMN(CUSTO_GLOBAL[[#Headers],[Incidência do FGTS sobre API e Reflexo do API]])-2,0)*($G106-$H106)</f>
        <v>0.6324901574645061</v>
      </c>
      <c r="AQ106" s="22">
        <f>VLOOKUP($A106,tabCustoUnit[],COLUMN(CUSTO_GLOBAL[[#Headers],[Multa Rescisória do FGTS sobre o Aviso Prévio Indenizado]])-2,0)*($G106-$H106)</f>
        <v>0.25299606298580246</v>
      </c>
      <c r="AR106" s="22">
        <f>VLOOKUP($A106,tabCustoUnit[],COLUMN(CUSTO_GLOBAL[[#Headers],[Aviso Prévio Trabalhado - APT]])-2,0)*($G106-$H106)</f>
        <v>3.94642955</v>
      </c>
      <c r="AS106" s="22">
        <f>VLOOKUP($A106,tabCustoUnit[],COLUMN(CUSTO_GLOBAL[[#Headers],[Incidência dos encargos do submódulo 2.1 sobre Aviso Prévio Trabalhado]])-2,0)*($G106-$H106)</f>
        <v>1.4917503699000003</v>
      </c>
      <c r="AT106" s="22">
        <f>VLOOKUP($A106,tabCustoUnit[],COLUMN(CUSTO_GLOBAL[[#Headers],[Multa Rescisória do FGTS]])-2,0)*($G106-$H106)</f>
        <v>34.478013084444434</v>
      </c>
      <c r="AU106" s="22">
        <f>VLOOKUP($A106,tabCustoUnit[],COLUMN(CUSTO_GLOBAL[[#Headers],[Indenização Adicional (Art. 9º da Lei nº 7.238/84)]])-2,0)*($G106-$H106)</f>
        <v>0.93962608333333331</v>
      </c>
      <c r="AV106" s="22">
        <f>VLOOKUP($A106,tabCustoUnit[],COLUMN(CUSTO_GLOBAL[[#Headers],[MÓDULO 3 – PROVISÃO PARA RESCISÃO]])-2,0)*($G106-$H106)</f>
        <v>49.647432276434401</v>
      </c>
      <c r="AW106" s="22">
        <f>VLOOKUP($A106,tabCustoUnit[],COLUMN(CUSTO_GLOBAL[[#Headers],[Ausência por Doença]])-2,0)*($G106-$H106)</f>
        <v>9.5215443111111089</v>
      </c>
      <c r="AX106" s="22">
        <f>VLOOKUP($A106,tabCustoUnit[],COLUMN(CUSTO_GLOBAL[[#Headers],[Ausências Legais]])-2,0)*($G106-$H106)</f>
        <v>2.2864234694444439</v>
      </c>
      <c r="AY106" s="22">
        <f>VLOOKUP($A106,tabCustoUnit[],COLUMN(CUSTO_GLOBAL[[#Headers],[Licença Paternidade]])-2,0)*($G106-$H106)</f>
        <v>0.19262334708333331</v>
      </c>
      <c r="AZ106" s="22">
        <f>VLOOKUP($A106,tabCustoUnit[],COLUMN(CUSTO_GLOBAL[[#Headers],[Ausência por Acidente de Trabalho]])-2,0)*($G106-$H106)</f>
        <v>0.23490652083333333</v>
      </c>
      <c r="BA106" s="22">
        <f>VLOOKUP($A106,tabCustoUnit[],COLUMN(CUSTO_GLOBAL[[#Headers],[Férias, Adicional de Férias e 13º  com empregada em gozo de Licença Maternidade]])-2,0)*($G106-$H106)</f>
        <v>1.4616405740740739</v>
      </c>
      <c r="BB106" s="22">
        <f>VLOOKUP($A106,tabCustoUnit[],COLUMN(CUSTO_GLOBAL[[#Headers],[Incidência do Submódulo 2.1 sobre Ausências Legais]])-2,0)*($G106-$H106)</f>
        <v>5.1775182481225004</v>
      </c>
      <c r="BC106" s="22">
        <f>VLOOKUP($A106,tabCustoUnit[],COLUMN(CUSTO_GLOBAL[[#Headers],[Submódulo 4.1]])-2,0)*($G106-$H106)</f>
        <v>18.874656470668793</v>
      </c>
      <c r="BD106" s="22">
        <f>VLOOKUP($A106,tabCustoUnit[],COLUMN(CUSTO_GLOBAL[[#Headers],[Intervalo para Repouso ou Alimentação]])-2,0)*($G106-$H106)</f>
        <v>0</v>
      </c>
      <c r="BE106" s="22">
        <f>VLOOKUP($A106,tabCustoUnit[],COLUMN(CUSTO_GLOBAL[[#Headers],[Submódulo 4.2]])-2,0)*($G106-$H106)</f>
        <v>0</v>
      </c>
      <c r="BF106" s="22">
        <f>VLOOKUP($A106,tabCustoUnit[],COLUMN(CUSTO_GLOBAL[[#Headers],[Suspensão Temporária do Contrato de Trabalho]])-2,0)*($G106-$H106)</f>
        <v>0</v>
      </c>
      <c r="BG106" s="22">
        <f>VLOOKUP($A106,tabCustoUnit[],COLUMN(CUSTO_GLOBAL[[#Headers],[Submódulo 4.3]])-2,0)*($G106-$H106)</f>
        <v>0</v>
      </c>
      <c r="BH106" s="22">
        <f>VLOOKUP($A106,tabCustoUnit[],COLUMN(CUSTO_GLOBAL[[#Headers],[MÓDULO 4 – CUSTO DE REPOSIÇÃO DO PROFISSIONAL AUSENTE]])-2,0)*($G106-$H106)</f>
        <v>18.874656470668793</v>
      </c>
      <c r="BI106" s="22">
        <f>VLOOKUP($A106,tabCustoUnit[],COLUMN(CUSTO_GLOBAL[[#Headers],[Uniformes e EPIs]])-2,0)*($G106-$H106)</f>
        <v>100.80916666666666</v>
      </c>
      <c r="BJ106" s="22">
        <f>VLOOKUP($A106,tabCustoUnit[],COLUMN(CUSTO_GLOBAL[[#Headers],[Materiais de Consumo]])-2,0)*($G106-$H106)</f>
        <v>24.216963380852651</v>
      </c>
      <c r="BK106" s="22">
        <f>VLOOKUP($A106,tabCustoUnit[],COLUMN(CUSTO_GLOBAL[[#Headers],[Máquinas e Equipamentos (depreciação)]])-2,0)*($G106-$H106)</f>
        <v>43.997314032835618</v>
      </c>
      <c r="BL106" s="22">
        <f>VLOOKUP($A106,tabCustoUnit[],COLUMN(CUSTO_GLOBAL[[#Headers],[Produtos de Limpeza e Materiais de Higiene Pessoal]])-2,0)*($G106-$H106)</f>
        <v>470.6396814404431</v>
      </c>
      <c r="BM106" s="22">
        <f>VLOOKUP($A106,tabCustoUnit[],COLUMN(CUSTO_GLOBAL[[#Headers],[Outros (especificar)]])-2,0)*($G106-$H106)</f>
        <v>0</v>
      </c>
      <c r="BN106" s="22">
        <f>VLOOKUP($A106,tabCustoUnit[],COLUMN(CUSTO_GLOBAL[[#Headers],[MÓDULO 5 – INSUMOS DIVERSOS]])-2,0)*($G106-$H106)</f>
        <v>639.66312552079808</v>
      </c>
      <c r="BO106" s="22">
        <f>VLOOKUP($A106,tabCustoUnit[],COLUMN(CUSTO_GLOBAL[[#Headers],[TOTAL MÓDULOS 1+2+3+4+5]])-2,0)*($G106-$H106)</f>
        <v>3355.1998123290123</v>
      </c>
      <c r="BP106" s="22">
        <f>VLOOKUP($A106,tabCustoUnit[],COLUMN(CUSTO_GLOBAL[[#Headers],[Custos Indiretos]])-2,0)*($G106-$H106)</f>
        <v>189.64880140242613</v>
      </c>
      <c r="BQ106" s="22">
        <f>VLOOKUP($A106,tabCustoUnit[],COLUMN(CUSTO_GLOBAL[[#Headers],[Lucro]])-2,0)*($G106-$H106)</f>
        <v>159.30499317803796</v>
      </c>
      <c r="BR106" s="26">
        <f>VLOOKUP($A106,tabCustoUnit[],COLUMN(CUSTO_GLOBAL[[#Headers],[COFINS]])-2,0)</f>
        <v>8.6118980169971604E-2</v>
      </c>
      <c r="BS106" s="26">
        <f>VLOOKUP($A106,tabCustoUnit[],COLUMN(CUSTO_GLOBAL[[#Headers],[PIS]])-2,0)</f>
        <v>1.8696883852691224E-2</v>
      </c>
      <c r="BT106" s="28">
        <f>VLOOKUP($A106,tabCustoUnit[],COLUMN(CUSTO_GLOBAL[[#Headers],[ISS]])-2,0)</f>
        <v>2.5000000000000001E-2</v>
      </c>
      <c r="BU106" s="26">
        <f>VLOOKUP($A106,tabCustoUnit[],COLUMN(CUSTO_GLOBAL[[#Headers],[ISS (Conversão Alíquota s/ fatura)]])-2,0)</f>
        <v>2.8328611898017008E-2</v>
      </c>
      <c r="BV106" s="26">
        <f>VLOOKUP($A106,tabCustoUnit[],COLUMN(CUSTO_GLOBAL[[#Headers],[Resumo de Alíquotas (PIS+CONFINS+ISS)]])-2,0)</f>
        <v>0.11749999999999999</v>
      </c>
      <c r="BW106" s="138">
        <f>VLOOKUP($A106,tabCustoUnit[],COLUMN(CUSTO_GLOBAL[[#Headers],[PIS + COFINS + ISS (Total Conversão  Alíquota s/ Fatura)]])-2,0)</f>
        <v>0.13314447592067982</v>
      </c>
      <c r="BX106" s="22">
        <f>VLOOKUP($A106,tabCustoUnit[],COLUMN(CUSTO_GLOBAL[[#Headers],[Valor dos Tributos (ISS, PIS, CONFINS)]])-2,0)*($G106-$H106)</f>
        <v>493.18759072165807</v>
      </c>
      <c r="BY106" s="22">
        <f>VLOOKUP($A106,tabCustoUnit[],COLUMN(CUSTO_GLOBAL[[#Headers],[MÓDULO 6 – CUSTOS INDIRETOS, TRIBUTOS E LUCRO]])-2,0)*($G106-$H106)</f>
        <v>842.14138530212222</v>
      </c>
      <c r="BZ106" s="22">
        <f>VLOOKUP($A106,tabCustoUnit[],COLUMN(CUSTO_GLOBAL[[#Headers],[CUSTO TOTAL MENSAL]])-2,0)*($G106-$H106)</f>
        <v>4197.3411976311345</v>
      </c>
      <c r="CA106" s="22">
        <f>CUSTO_GLOBAL[[#This Row],[CUSTO TOTAL MENSAL]]*12</f>
        <v>50368.094371573614</v>
      </c>
      <c r="CB106" s="24">
        <f>VLOOKUP($A106,tabCustoUnit[],COLUMN(CUSTO_GLOBAL[[#Headers],[ANO DA CCT]])-2,0)</f>
        <v>45658</v>
      </c>
      <c r="CC106" s="25" t="str">
        <f>VLOOKUP($A106,tabCustoUnit[],COLUMN(CUSTO_GLOBAL[[#Headers],[Nº DE PEDIDO DA CCT]])-2,0)</f>
        <v>-</v>
      </c>
      <c r="CD106" s="25" t="str">
        <f>VLOOKUP($A106,tabCustoUnit[],COLUMN(CUSTO_GLOBAL[[#Headers],[TERMO ADITIVO  ALTERAÇÃO DA CCT]])-2,0)</f>
        <v>-</v>
      </c>
      <c r="CF106" s="22"/>
      <c r="CG106" s="22"/>
    </row>
    <row r="107" spans="1:85" x14ac:dyDescent="0.25">
      <c r="A107" s="20" t="s">
        <v>1446</v>
      </c>
      <c r="B107" t="s">
        <v>99</v>
      </c>
      <c r="C107" t="s">
        <v>1247</v>
      </c>
      <c r="D107" t="s">
        <v>992</v>
      </c>
      <c r="E107" s="20" t="s">
        <v>9</v>
      </c>
      <c r="F107" s="20" t="s">
        <v>10</v>
      </c>
      <c r="G107" s="20">
        <v>1</v>
      </c>
      <c r="H107" s="20">
        <v>0</v>
      </c>
      <c r="I107" s="21">
        <f>VLOOKUP($A107,tabCustoUnit[],COLUMN(CUSTO_GLOBAL[[#Headers],[Salário Base]])-2,0)*($G107-$H107)</f>
        <v>544.17999999999995</v>
      </c>
      <c r="J107" s="21">
        <f>VLOOKUP($A107,tabCustoUnit[],COLUMN(CUSTO_GLOBAL[[#Headers],[Adicional Periculosidade]])-2,0)*($G107-$H107)</f>
        <v>0</v>
      </c>
      <c r="K107" s="21">
        <f>VLOOKUP($A107,tabCustoUnit[],COLUMN(CUSTO_GLOBAL[[#Headers],[Adicional Insalubridade]])-2,0)*($G107-$H107)</f>
        <v>0</v>
      </c>
      <c r="L107" s="21">
        <f>VLOOKUP($A107,tabCustoUnit[],COLUMN(CUSTO_GLOBAL[[#Headers],[Adicional Noturno]])-2,0)*($G107-$H107)</f>
        <v>0</v>
      </c>
      <c r="M107" s="21">
        <f>VLOOKUP($A107,tabCustoUnit[],COLUMN(CUSTO_GLOBAL[[#Headers],[Adicional Motorista II (Gratificação)]])-2,0)*($G107-$H107)</f>
        <v>0</v>
      </c>
      <c r="N107" s="21">
        <f>VLOOKUP($A107,tabCustoUnit[],COLUMN(CUSTO_GLOBAL[[#Headers],[Adicional de Sobreaviso]])-2,0)*($G107-$H107)</f>
        <v>0</v>
      </c>
      <c r="O107" s="21">
        <f>VLOOKUP($A107,tabCustoUnit[],COLUMN(CUSTO_GLOBAL[[#Headers],[Horas Extras TI]])-2,0)*($G107-$H107)</f>
        <v>0</v>
      </c>
      <c r="P107" s="21">
        <f>VLOOKUP($A107,tabCustoUnit[],COLUMN(CUSTO_GLOBAL[[#Headers],[Adicional de Acúmulo de função]])-2,0)*($G107-$H107)</f>
        <v>19.590499999999999</v>
      </c>
      <c r="Q107" s="21">
        <f>VLOOKUP($A107,tabCustoUnit[],COLUMN(CUSTO_GLOBAL[[#Headers],[MODULO 1 - REMUNERAÇÃO ]])-2,0)*($G107-$H107)</f>
        <v>563.77049999999997</v>
      </c>
      <c r="R107" s="21">
        <f>VLOOKUP($A107,tabCustoUnit[],COLUMN(CUSTO_GLOBAL[[#Headers],[INSS]])-2,0)*($G107-$H107)</f>
        <v>112.75409999999999</v>
      </c>
      <c r="S107" s="21">
        <f>VLOOKUP($A107,tabCustoUnit[],COLUMN(CUSTO_GLOBAL[[#Headers],[SESI OU SESC]])-2,0)*($G107-$H107)</f>
        <v>8.4565574999999988</v>
      </c>
      <c r="T107" s="21">
        <f>VLOOKUP($A107,tabCustoUnit[],COLUMN(CUSTO_GLOBAL[[#Headers],[SENAI OU SENAC]])-2,0)*($G107-$H107)</f>
        <v>5.6377049999999995</v>
      </c>
      <c r="U107" s="21">
        <f>VLOOKUP($A107,tabCustoUnit[],COLUMN(CUSTO_GLOBAL[[#Headers],[INCRA]])-2,0)*($G107-$H107)</f>
        <v>1.1275409999999999</v>
      </c>
      <c r="V107" s="21">
        <f>VLOOKUP($A107,tabCustoUnit[],COLUMN(CUSTO_GLOBAL[[#Headers],[Salário Educação]])-2,0)*($G107-$H107)</f>
        <v>14.094262499999999</v>
      </c>
      <c r="W107" s="21">
        <f>VLOOKUP($A107,tabCustoUnit[],COLUMN(CUSTO_GLOBAL[[#Headers],[FGTS]])-2,0)*($G107-$H107)</f>
        <v>45.101639999999996</v>
      </c>
      <c r="X107" s="21">
        <f>VLOOKUP($A107,tabCustoUnit[],COLUMN(CUSTO_GLOBAL[[#Headers],[RAT Ajustado]])-2,0)*($G107-$H107)</f>
        <v>22.550819999999998</v>
      </c>
      <c r="Y107" s="21">
        <f>VLOOKUP($A107,tabCustoUnit[],COLUMN(CUSTO_GLOBAL[[#Headers],[SEBRAE]])-2,0)*($G107-$H107)</f>
        <v>3.3826229999999997</v>
      </c>
      <c r="Z107" s="21">
        <f>VLOOKUP($A107,tabCustoUnit[],COLUMN(CUSTO_GLOBAL[[#Headers],[Submódulo 2.1]])-2,0)*($G107-$H107)</f>
        <v>213.10524899999996</v>
      </c>
      <c r="AA107" s="21">
        <f>VLOOKUP($A107,tabCustoUnit[],COLUMN(CUSTO_GLOBAL[[#Headers],[13º salário (titular)]])-2,0)*($G107-$H107)</f>
        <v>46.980874999999997</v>
      </c>
      <c r="AB107" s="21">
        <f>VLOOKUP($A107,tabCustoUnit[],COLUMN(CUSTO_GLOBAL[[#Headers],[Férias e Adicional de Férias (titular)]])-2,0)*($G107-$H107)</f>
        <v>62.641166666666663</v>
      </c>
      <c r="AC107" s="21">
        <f>VLOOKUP($A107,tabCustoUnit[],COLUMN(CUSTO_GLOBAL[[#Headers],[Incidência do Submódulo 2.1 sobre 13º Salário, Férias e Adicional de Férias]])-2,0)*($G107-$H107)</f>
        <v>41.437131749999992</v>
      </c>
      <c r="AD107" s="21">
        <f>VLOOKUP($A107,tabCustoUnit[],COLUMN(CUSTO_GLOBAL[[#Headers],[Submódulo 2.2]])-2,0)*($G107-$H107)</f>
        <v>151.05917341666665</v>
      </c>
      <c r="AE107" s="22">
        <f>VLOOKUP($A107,tabCustoUnit[],COLUMN(CUSTO_GLOBAL[[#Headers],[Vale - Transporte (Descontada parcela do empregado)]])-2,0)*($G107-$H107)</f>
        <v>223.3492</v>
      </c>
      <c r="AF107" s="22">
        <f>VLOOKUP($A107,tabCustoUnit[],COLUMN(CUSTO_GLOBAL[[#Headers],[Vale - Alimentação (Descontada parcela do empregado)]])-2,0)*($G107-$H107)</f>
        <v>0</v>
      </c>
      <c r="AG107" s="22">
        <f>VLOOKUP($A107,tabCustoUnit[],COLUMN(CUSTO_GLOBAL[[#Headers],[Cesta Básica]])-2,0)*($G107-$H107)</f>
        <v>387.79</v>
      </c>
      <c r="AH107" s="22">
        <f>VLOOKUP($A107,tabCustoUnit[],COLUMN(CUSTO_GLOBAL[[#Headers],[PAF]])-2,0)*($G107-$H107)</f>
        <v>42.97</v>
      </c>
      <c r="AI107" s="22">
        <f>VLOOKUP($A107,tabCustoUnit[],COLUMN(CUSTO_GLOBAL[[#Headers],[PQM]])-2,0)*($G107-$H107)</f>
        <v>0</v>
      </c>
      <c r="AJ107" s="22">
        <v>0</v>
      </c>
      <c r="AK107" s="22">
        <f>VLOOKUP($A107,tabCustoUnit[],COLUMN(CUSTO_GLOBAL[[#Headers],[Seguro de Vida]])-2,0)*($G107-$H107)</f>
        <v>3.36</v>
      </c>
      <c r="AL107" s="22">
        <f>VLOOKUP($A107,tabCustoUnit[],COLUMN(CUSTO_GLOBAL[[#Headers],[Despesas de Viagem]])-2,0)*($G107-$H107)</f>
        <v>0</v>
      </c>
      <c r="AM107" s="22">
        <f>VLOOKUP($A107,tabCustoUnit[],COLUMN(CUSTO_GLOBAL[[#Headers],[Submódulo 2.3]])-2,0)*($G107-$H107)</f>
        <v>657.46920000000011</v>
      </c>
      <c r="AN107" s="22">
        <f>VLOOKUP($A107,tabCustoUnit[],COLUMN(CUSTO_GLOBAL[[#Headers],[MÓDULO 2 - Total Encargos e Benefícios mensais e diários]])-2,0)*($G107-$H107)</f>
        <v>1021.6336224166668</v>
      </c>
      <c r="AO107" s="22">
        <f>VLOOKUP($A107,tabCustoUnit[],COLUMN(CUSTO_GLOBAL[[#Headers],[Aviso Prévio Indenizado (API) e Reflexo do Aviso Prévio Indenizado]])-2,0)*($G107-$H107)</f>
        <v>3.9530273735532404</v>
      </c>
      <c r="AP107" s="22">
        <f>VLOOKUP($A107,tabCustoUnit[],COLUMN(CUSTO_GLOBAL[[#Headers],[Incidência do FGTS sobre API e Reflexo do API]])-2,0)*($G107-$H107)</f>
        <v>0.31624218988425928</v>
      </c>
      <c r="AQ107" s="22">
        <f>VLOOKUP($A107,tabCustoUnit[],COLUMN(CUSTO_GLOBAL[[#Headers],[Multa Rescisória do FGTS sobre o Aviso Prévio Indenizado]])-2,0)*($G107-$H107)</f>
        <v>0.12649687595370371</v>
      </c>
      <c r="AR107" s="22">
        <f>VLOOKUP($A107,tabCustoUnit[],COLUMN(CUSTO_GLOBAL[[#Headers],[Aviso Prévio Trabalhado - APT]])-2,0)*($G107-$H107)</f>
        <v>1.9731967500000003</v>
      </c>
      <c r="AS107" s="22">
        <f>VLOOKUP($A107,tabCustoUnit[],COLUMN(CUSTO_GLOBAL[[#Headers],[Incidência dos encargos do submódulo 2.1 sobre Aviso Prévio Trabalhado]])-2,0)*($G107-$H107)</f>
        <v>0.74586837150000018</v>
      </c>
      <c r="AT107" s="22">
        <f>VLOOKUP($A107,tabCustoUnit[],COLUMN(CUSTO_GLOBAL[[#Headers],[Multa Rescisória do FGTS]])-2,0)*($G107-$H107)</f>
        <v>17.238849066666663</v>
      </c>
      <c r="AU107" s="22">
        <f>VLOOKUP($A107,tabCustoUnit[],COLUMN(CUSTO_GLOBAL[[#Headers],[Indenização Adicional (Art. 9º da Lei nº 7.238/84)]])-2,0)*($G107-$H107)</f>
        <v>0.46980875</v>
      </c>
      <c r="AV107" s="22">
        <f>VLOOKUP($A107,tabCustoUnit[],COLUMN(CUSTO_GLOBAL[[#Headers],[MÓDULO 3 – PROVISÃO PARA RESCISÃO]])-2,0)*($G107-$H107)</f>
        <v>24.823489377557866</v>
      </c>
      <c r="AW107" s="22">
        <f>VLOOKUP($A107,tabCustoUnit[],COLUMN(CUSTO_GLOBAL[[#Headers],[Ausência por Doença]])-2,0)*($G107-$H107)</f>
        <v>4.7607286666666662</v>
      </c>
      <c r="AX107" s="22">
        <f>VLOOKUP($A107,tabCustoUnit[],COLUMN(CUSTO_GLOBAL[[#Headers],[Ausências Legais]])-2,0)*($G107-$H107)</f>
        <v>1.1432012916666665</v>
      </c>
      <c r="AY107" s="22">
        <f>VLOOKUP($A107,tabCustoUnit[],COLUMN(CUSTO_GLOBAL[[#Headers],[Licença Paternidade]])-2,0)*($G107-$H107)</f>
        <v>9.6310793749999998E-2</v>
      </c>
      <c r="AZ107" s="22">
        <f>VLOOKUP($A107,tabCustoUnit[],COLUMN(CUSTO_GLOBAL[[#Headers],[Ausência por Acidente de Trabalho]])-2,0)*($G107-$H107)</f>
        <v>0.1174521875</v>
      </c>
      <c r="BA107" s="22">
        <f>VLOOKUP($A107,tabCustoUnit[],COLUMN(CUSTO_GLOBAL[[#Headers],[Férias, Adicional de Férias e 13º  com empregada em gozo de Licença Maternidade]])-2,0)*($G107-$H107)</f>
        <v>0.73081361111111109</v>
      </c>
      <c r="BB107" s="22">
        <f>VLOOKUP($A107,tabCustoUnit[],COLUMN(CUSTO_GLOBAL[[#Headers],[Incidência do Submódulo 2.1 sobre Ausências Legais]])-2,0)*($G107-$H107)</f>
        <v>2.5887354761625003</v>
      </c>
      <c r="BC107" s="22">
        <f>VLOOKUP($A107,tabCustoUnit[],COLUMN(CUSTO_GLOBAL[[#Headers],[Submódulo 4.1]])-2,0)*($G107-$H107)</f>
        <v>9.4372420268569428</v>
      </c>
      <c r="BD107" s="22">
        <f>VLOOKUP($A107,tabCustoUnit[],COLUMN(CUSTO_GLOBAL[[#Headers],[Intervalo para Repouso ou Alimentação]])-2,0)*($G107-$H107)</f>
        <v>0</v>
      </c>
      <c r="BE107" s="22">
        <f>VLOOKUP($A107,tabCustoUnit[],COLUMN(CUSTO_GLOBAL[[#Headers],[Submódulo 4.2]])-2,0)*($G107-$H107)</f>
        <v>0</v>
      </c>
      <c r="BF107" s="22">
        <f>VLOOKUP($A107,tabCustoUnit[],COLUMN(CUSTO_GLOBAL[[#Headers],[Suspensão Temporária do Contrato de Trabalho]])-2,0)*($G107-$H107)</f>
        <v>0</v>
      </c>
      <c r="BG107" s="22">
        <f>VLOOKUP($A107,tabCustoUnit[],COLUMN(CUSTO_GLOBAL[[#Headers],[Submódulo 4.3]])-2,0)*($G107-$H107)</f>
        <v>0</v>
      </c>
      <c r="BH107" s="22">
        <f>VLOOKUP($A107,tabCustoUnit[],COLUMN(CUSTO_GLOBAL[[#Headers],[MÓDULO 4 – CUSTO DE REPOSIÇÃO DO PROFISSIONAL AUSENTE]])-2,0)*($G107-$H107)</f>
        <v>9.4372420268569428</v>
      </c>
      <c r="BI107" s="22">
        <f>VLOOKUP($A107,tabCustoUnit[],COLUMN(CUSTO_GLOBAL[[#Headers],[Uniformes e EPIs]])-2,0)*($G107-$H107)</f>
        <v>62.806666666666665</v>
      </c>
      <c r="BJ107" s="22">
        <f>VLOOKUP($A107,tabCustoUnit[],COLUMN(CUSTO_GLOBAL[[#Headers],[Materiais de Consumo]])-2,0)*($G107-$H107)</f>
        <v>12.108481690426325</v>
      </c>
      <c r="BK107" s="22">
        <f>VLOOKUP($A107,tabCustoUnit[],COLUMN(CUSTO_GLOBAL[[#Headers],[Máquinas e Equipamentos (depreciação)]])-2,0)*($G107-$H107)</f>
        <v>21.998657016417809</v>
      </c>
      <c r="BL107" s="22">
        <f>VLOOKUP($A107,tabCustoUnit[],COLUMN(CUSTO_GLOBAL[[#Headers],[Produtos de Limpeza e Materiais de Higiene Pessoal]])-2,0)*($G107-$H107)</f>
        <v>235.31984072022155</v>
      </c>
      <c r="BM107" s="22">
        <f>VLOOKUP($A107,tabCustoUnit[],COLUMN(CUSTO_GLOBAL[[#Headers],[Outros (especificar)]])-2,0)*($G107-$H107)</f>
        <v>0</v>
      </c>
      <c r="BN107" s="22">
        <f>VLOOKUP($A107,tabCustoUnit[],COLUMN(CUSTO_GLOBAL[[#Headers],[MÓDULO 5 – INSUMOS DIVERSOS]])-2,0)*($G107-$H107)</f>
        <v>332.23364609373232</v>
      </c>
      <c r="BO107" s="22">
        <f>VLOOKUP($A107,tabCustoUnit[],COLUMN(CUSTO_GLOBAL[[#Headers],[TOTAL MÓDULOS 1+2+3+4+5]])-2,0)*($G107-$H107)</f>
        <v>1951.8984999148138</v>
      </c>
      <c r="BP107" s="22">
        <f>VLOOKUP($A107,tabCustoUnit[],COLUMN(CUSTO_GLOBAL[[#Headers],[Custos Indiretos]])-2,0)*($G107-$H107)</f>
        <v>189.64880140242613</v>
      </c>
      <c r="BQ107" s="22">
        <f>VLOOKUP($A107,tabCustoUnit[],COLUMN(CUSTO_GLOBAL[[#Headers],[Lucro]])-2,0)*($G107-$H107)</f>
        <v>159.30499317803796</v>
      </c>
      <c r="BR107" s="26">
        <f>VLOOKUP($A107,tabCustoUnit[],COLUMN(CUSTO_GLOBAL[[#Headers],[COFINS]])-2,0)</f>
        <v>8.5633802816901458E-2</v>
      </c>
      <c r="BS107" s="26">
        <f>VLOOKUP($A107,tabCustoUnit[],COLUMN(CUSTO_GLOBAL[[#Headers],[PIS]])-2,0)</f>
        <v>1.8591549295774657E-2</v>
      </c>
      <c r="BT107" s="28">
        <f>VLOOKUP($A107,tabCustoUnit[],COLUMN(CUSTO_GLOBAL[[#Headers],[ISS]])-2,0)</f>
        <v>0.02</v>
      </c>
      <c r="BU107" s="26">
        <f>VLOOKUP($A107,tabCustoUnit[],COLUMN(CUSTO_GLOBAL[[#Headers],[ISS (Conversão Alíquota s/ fatura)]])-2,0)</f>
        <v>2.2535211267605645E-2</v>
      </c>
      <c r="BV107" s="26">
        <f>VLOOKUP($A107,tabCustoUnit[],COLUMN(CUSTO_GLOBAL[[#Headers],[Resumo de Alíquotas (PIS+CONFINS+ISS)]])-2,0)</f>
        <v>0.1125</v>
      </c>
      <c r="BW107" s="138">
        <f>VLOOKUP($A107,tabCustoUnit[],COLUMN(CUSTO_GLOBAL[[#Headers],[PIS + COFINS + ISS (Total Conversão  Alíquota s/ Fatura)]])-2,0)</f>
        <v>0.12676056338028174</v>
      </c>
      <c r="BX107" s="22">
        <f>VLOOKUP($A107,tabCustoUnit[],COLUMN(CUSTO_GLOBAL[[#Headers],[Valor dos Tributos (ISS, PIS, CONFINS)]])-2,0)*($G107-$H107)</f>
        <v>291.65733310503532</v>
      </c>
      <c r="BY107" s="22">
        <f>VLOOKUP($A107,tabCustoUnit[],COLUMN(CUSTO_GLOBAL[[#Headers],[MÓDULO 6 – CUSTOS INDIRETOS, TRIBUTOS E LUCRO]])-2,0)*($G107-$H107)</f>
        <v>640.61112768549947</v>
      </c>
      <c r="BZ107" s="22">
        <f>VLOOKUP($A107,tabCustoUnit[],COLUMN(CUSTO_GLOBAL[[#Headers],[CUSTO TOTAL MENSAL]])-2,0)*($G107-$H107)</f>
        <v>2592.5096276003133</v>
      </c>
      <c r="CA107" s="22">
        <f>CUSTO_GLOBAL[[#This Row],[CUSTO TOTAL MENSAL]]*12</f>
        <v>31110.115531203759</v>
      </c>
      <c r="CB107" s="24">
        <f>VLOOKUP($A107,tabCustoUnit[],COLUMN(CUSTO_GLOBAL[[#Headers],[ANO DA CCT]])-2,0)</f>
        <v>45658</v>
      </c>
      <c r="CC107" s="25" t="str">
        <f>VLOOKUP($A107,tabCustoUnit[],COLUMN(CUSTO_GLOBAL[[#Headers],[Nº DE PEDIDO DA CCT]])-2,0)</f>
        <v>-</v>
      </c>
      <c r="CD107" s="25" t="str">
        <f>VLOOKUP($A107,tabCustoUnit[],COLUMN(CUSTO_GLOBAL[[#Headers],[TERMO ADITIVO  ALTERAÇÃO DA CCT]])-2,0)</f>
        <v>-</v>
      </c>
      <c r="CF107" s="22"/>
      <c r="CG107" s="22"/>
    </row>
    <row r="108" spans="1:85" x14ac:dyDescent="0.25">
      <c r="A108" s="20" t="s">
        <v>1447</v>
      </c>
      <c r="B108" t="s">
        <v>100</v>
      </c>
      <c r="C108" t="s">
        <v>1247</v>
      </c>
      <c r="D108" t="s">
        <v>1000</v>
      </c>
      <c r="E108" s="20" t="s">
        <v>9</v>
      </c>
      <c r="F108" s="20" t="s">
        <v>10</v>
      </c>
      <c r="G108" s="20">
        <v>1</v>
      </c>
      <c r="H108" s="20">
        <v>0</v>
      </c>
      <c r="I108" s="21">
        <f>VLOOKUP($A108,tabCustoUnit[],COLUMN(CUSTO_GLOBAL[[#Headers],[Salário Base]])-2,0)*($G108-$H108)</f>
        <v>544.17999999999995</v>
      </c>
      <c r="J108" s="21">
        <f>VLOOKUP($A108,tabCustoUnit[],COLUMN(CUSTO_GLOBAL[[#Headers],[Adicional Periculosidade]])-2,0)*($G108-$H108)</f>
        <v>0</v>
      </c>
      <c r="K108" s="21">
        <f>VLOOKUP($A108,tabCustoUnit[],COLUMN(CUSTO_GLOBAL[[#Headers],[Adicional Insalubridade]])-2,0)*($G108-$H108)</f>
        <v>0</v>
      </c>
      <c r="L108" s="21">
        <f>VLOOKUP($A108,tabCustoUnit[],COLUMN(CUSTO_GLOBAL[[#Headers],[Adicional Noturno]])-2,0)*($G108-$H108)</f>
        <v>0</v>
      </c>
      <c r="M108" s="21">
        <f>VLOOKUP($A108,tabCustoUnit[],COLUMN(CUSTO_GLOBAL[[#Headers],[Adicional Motorista II (Gratificação)]])-2,0)*($G108-$H108)</f>
        <v>0</v>
      </c>
      <c r="N108" s="21">
        <f>VLOOKUP($A108,tabCustoUnit[],COLUMN(CUSTO_GLOBAL[[#Headers],[Adicional de Sobreaviso]])-2,0)*($G108-$H108)</f>
        <v>0</v>
      </c>
      <c r="O108" s="21">
        <f>VLOOKUP($A108,tabCustoUnit[],COLUMN(CUSTO_GLOBAL[[#Headers],[Horas Extras TI]])-2,0)*($G108-$H108)</f>
        <v>0</v>
      </c>
      <c r="P108" s="21">
        <f>VLOOKUP($A108,tabCustoUnit[],COLUMN(CUSTO_GLOBAL[[#Headers],[Adicional de Acúmulo de função]])-2,0)*($G108-$H108)</f>
        <v>19.590499999999999</v>
      </c>
      <c r="Q108" s="21">
        <f>VLOOKUP($A108,tabCustoUnit[],COLUMN(CUSTO_GLOBAL[[#Headers],[MODULO 1 - REMUNERAÇÃO ]])-2,0)*($G108-$H108)</f>
        <v>563.77049999999997</v>
      </c>
      <c r="R108" s="21">
        <f>VLOOKUP($A108,tabCustoUnit[],COLUMN(CUSTO_GLOBAL[[#Headers],[INSS]])-2,0)*($G108-$H108)</f>
        <v>112.75409999999999</v>
      </c>
      <c r="S108" s="21">
        <f>VLOOKUP($A108,tabCustoUnit[],COLUMN(CUSTO_GLOBAL[[#Headers],[SESI OU SESC]])-2,0)*($G108-$H108)</f>
        <v>8.4565574999999988</v>
      </c>
      <c r="T108" s="21">
        <f>VLOOKUP($A108,tabCustoUnit[],COLUMN(CUSTO_GLOBAL[[#Headers],[SENAI OU SENAC]])-2,0)*($G108-$H108)</f>
        <v>5.6377049999999995</v>
      </c>
      <c r="U108" s="21">
        <f>VLOOKUP($A108,tabCustoUnit[],COLUMN(CUSTO_GLOBAL[[#Headers],[INCRA]])-2,0)*($G108-$H108)</f>
        <v>1.1275409999999999</v>
      </c>
      <c r="V108" s="21">
        <f>VLOOKUP($A108,tabCustoUnit[],COLUMN(CUSTO_GLOBAL[[#Headers],[Salário Educação]])-2,0)*($G108-$H108)</f>
        <v>14.094262499999999</v>
      </c>
      <c r="W108" s="21">
        <f>VLOOKUP($A108,tabCustoUnit[],COLUMN(CUSTO_GLOBAL[[#Headers],[FGTS]])-2,0)*($G108-$H108)</f>
        <v>45.101639999999996</v>
      </c>
      <c r="X108" s="21">
        <f>VLOOKUP($A108,tabCustoUnit[],COLUMN(CUSTO_GLOBAL[[#Headers],[RAT Ajustado]])-2,0)*($G108-$H108)</f>
        <v>22.550819999999998</v>
      </c>
      <c r="Y108" s="21">
        <f>VLOOKUP($A108,tabCustoUnit[],COLUMN(CUSTO_GLOBAL[[#Headers],[SEBRAE]])-2,0)*($G108-$H108)</f>
        <v>3.3826229999999997</v>
      </c>
      <c r="Z108" s="21">
        <f>VLOOKUP($A108,tabCustoUnit[],COLUMN(CUSTO_GLOBAL[[#Headers],[Submódulo 2.1]])-2,0)*($G108-$H108)</f>
        <v>213.10524899999996</v>
      </c>
      <c r="AA108" s="21">
        <f>VLOOKUP($A108,tabCustoUnit[],COLUMN(CUSTO_GLOBAL[[#Headers],[13º salário (titular)]])-2,0)*($G108-$H108)</f>
        <v>46.980874999999997</v>
      </c>
      <c r="AB108" s="21">
        <f>VLOOKUP($A108,tabCustoUnit[],COLUMN(CUSTO_GLOBAL[[#Headers],[Férias e Adicional de Férias (titular)]])-2,0)*($G108-$H108)</f>
        <v>62.641166666666663</v>
      </c>
      <c r="AC108" s="21">
        <f>VLOOKUP($A108,tabCustoUnit[],COLUMN(CUSTO_GLOBAL[[#Headers],[Incidência do Submódulo 2.1 sobre 13º Salário, Férias e Adicional de Férias]])-2,0)*($G108-$H108)</f>
        <v>41.437131749999992</v>
      </c>
      <c r="AD108" s="21">
        <f>VLOOKUP($A108,tabCustoUnit[],COLUMN(CUSTO_GLOBAL[[#Headers],[Submódulo 2.2]])-2,0)*($G108-$H108)</f>
        <v>151.05917341666665</v>
      </c>
      <c r="AE108" s="22">
        <f>VLOOKUP($A108,tabCustoUnit[],COLUMN(CUSTO_GLOBAL[[#Headers],[Vale - Transporte (Descontada parcela do empregado)]])-2,0)*($G108-$H108)</f>
        <v>223.3492</v>
      </c>
      <c r="AF108" s="22">
        <f>VLOOKUP($A108,tabCustoUnit[],COLUMN(CUSTO_GLOBAL[[#Headers],[Vale - Alimentação (Descontada parcela do empregado)]])-2,0)*($G108-$H108)</f>
        <v>582</v>
      </c>
      <c r="AG108" s="22">
        <f>VLOOKUP($A108,tabCustoUnit[],COLUMN(CUSTO_GLOBAL[[#Headers],[Cesta Básica]])-2,0)*($G108-$H108)</f>
        <v>0</v>
      </c>
      <c r="AH108" s="22">
        <f>VLOOKUP($A108,tabCustoUnit[],COLUMN(CUSTO_GLOBAL[[#Headers],[PAF]])-2,0)*($G108-$H108)</f>
        <v>0</v>
      </c>
      <c r="AI108" s="22">
        <f>VLOOKUP($A108,tabCustoUnit[],COLUMN(CUSTO_GLOBAL[[#Headers],[PQM]])-2,0)*($G108-$H108)</f>
        <v>15.07</v>
      </c>
      <c r="AJ108" s="22">
        <v>0</v>
      </c>
      <c r="AK108" s="22">
        <f>VLOOKUP($A108,tabCustoUnit[],COLUMN(CUSTO_GLOBAL[[#Headers],[Seguro de Vida]])-2,0)*($G108-$H108)</f>
        <v>3.36</v>
      </c>
      <c r="AL108" s="22">
        <f>VLOOKUP($A108,tabCustoUnit[],COLUMN(CUSTO_GLOBAL[[#Headers],[Despesas de Viagem]])-2,0)*($G108-$H108)</f>
        <v>0</v>
      </c>
      <c r="AM108" s="22">
        <f>VLOOKUP($A108,tabCustoUnit[],COLUMN(CUSTO_GLOBAL[[#Headers],[Submódulo 2.3]])-2,0)*($G108-$H108)</f>
        <v>823.77920000000006</v>
      </c>
      <c r="AN108" s="22">
        <f>VLOOKUP($A108,tabCustoUnit[],COLUMN(CUSTO_GLOBAL[[#Headers],[MÓDULO 2 - Total Encargos e Benefícios mensais e diários]])-2,0)*($G108-$H108)</f>
        <v>1187.9436224166666</v>
      </c>
      <c r="AO108" s="22">
        <f>VLOOKUP($A108,tabCustoUnit[],COLUMN(CUSTO_GLOBAL[[#Headers],[Aviso Prévio Indenizado (API) e Reflexo do Aviso Prévio Indenizado]])-2,0)*($G108-$H108)</f>
        <v>3.9530273735532404</v>
      </c>
      <c r="AP108" s="22">
        <f>VLOOKUP($A108,tabCustoUnit[],COLUMN(CUSTO_GLOBAL[[#Headers],[Incidência do FGTS sobre API e Reflexo do API]])-2,0)*($G108-$H108)</f>
        <v>0.31624218988425928</v>
      </c>
      <c r="AQ108" s="22">
        <f>VLOOKUP($A108,tabCustoUnit[],COLUMN(CUSTO_GLOBAL[[#Headers],[Multa Rescisória do FGTS sobre o Aviso Prévio Indenizado]])-2,0)*($G108-$H108)</f>
        <v>0.12649687595370371</v>
      </c>
      <c r="AR108" s="22">
        <f>VLOOKUP($A108,tabCustoUnit[],COLUMN(CUSTO_GLOBAL[[#Headers],[Aviso Prévio Trabalhado - APT]])-2,0)*($G108-$H108)</f>
        <v>1.9731967500000003</v>
      </c>
      <c r="AS108" s="22">
        <f>VLOOKUP($A108,tabCustoUnit[],COLUMN(CUSTO_GLOBAL[[#Headers],[Incidência dos encargos do submódulo 2.1 sobre Aviso Prévio Trabalhado]])-2,0)*($G108-$H108)</f>
        <v>0.74586837150000018</v>
      </c>
      <c r="AT108" s="22">
        <f>VLOOKUP($A108,tabCustoUnit[],COLUMN(CUSTO_GLOBAL[[#Headers],[Multa Rescisória do FGTS]])-2,0)*($G108-$H108)</f>
        <v>17.238849066666663</v>
      </c>
      <c r="AU108" s="22">
        <f>VLOOKUP($A108,tabCustoUnit[],COLUMN(CUSTO_GLOBAL[[#Headers],[Indenização Adicional (Art. 9º da Lei nº 7.238/84)]])-2,0)*($G108-$H108)</f>
        <v>0.46980875</v>
      </c>
      <c r="AV108" s="22">
        <f>VLOOKUP($A108,tabCustoUnit[],COLUMN(CUSTO_GLOBAL[[#Headers],[MÓDULO 3 – PROVISÃO PARA RESCISÃO]])-2,0)*($G108-$H108)</f>
        <v>24.823489377557866</v>
      </c>
      <c r="AW108" s="22">
        <f>VLOOKUP($A108,tabCustoUnit[],COLUMN(CUSTO_GLOBAL[[#Headers],[Ausência por Doença]])-2,0)*($G108-$H108)</f>
        <v>4.7607286666666662</v>
      </c>
      <c r="AX108" s="22">
        <f>VLOOKUP($A108,tabCustoUnit[],COLUMN(CUSTO_GLOBAL[[#Headers],[Ausências Legais]])-2,0)*($G108-$H108)</f>
        <v>1.1432012916666665</v>
      </c>
      <c r="AY108" s="22">
        <f>VLOOKUP($A108,tabCustoUnit[],COLUMN(CUSTO_GLOBAL[[#Headers],[Licença Paternidade]])-2,0)*($G108-$H108)</f>
        <v>9.6310793749999998E-2</v>
      </c>
      <c r="AZ108" s="22">
        <f>VLOOKUP($A108,tabCustoUnit[],COLUMN(CUSTO_GLOBAL[[#Headers],[Ausência por Acidente de Trabalho]])-2,0)*($G108-$H108)</f>
        <v>0.1174521875</v>
      </c>
      <c r="BA108" s="22">
        <f>VLOOKUP($A108,tabCustoUnit[],COLUMN(CUSTO_GLOBAL[[#Headers],[Férias, Adicional de Férias e 13º  com empregada em gozo de Licença Maternidade]])-2,0)*($G108-$H108)</f>
        <v>0.73081361111111109</v>
      </c>
      <c r="BB108" s="22">
        <f>VLOOKUP($A108,tabCustoUnit[],COLUMN(CUSTO_GLOBAL[[#Headers],[Incidência do Submódulo 2.1 sobre Ausências Legais]])-2,0)*($G108-$H108)</f>
        <v>2.5887354761625003</v>
      </c>
      <c r="BC108" s="22">
        <f>VLOOKUP($A108,tabCustoUnit[],COLUMN(CUSTO_GLOBAL[[#Headers],[Submódulo 4.1]])-2,0)*($G108-$H108)</f>
        <v>9.4372420268569428</v>
      </c>
      <c r="BD108" s="22">
        <f>VLOOKUP($A108,tabCustoUnit[],COLUMN(CUSTO_GLOBAL[[#Headers],[Intervalo para Repouso ou Alimentação]])-2,0)*($G108-$H108)</f>
        <v>0</v>
      </c>
      <c r="BE108" s="22">
        <f>VLOOKUP($A108,tabCustoUnit[],COLUMN(CUSTO_GLOBAL[[#Headers],[Submódulo 4.2]])-2,0)*($G108-$H108)</f>
        <v>0</v>
      </c>
      <c r="BF108" s="22">
        <f>VLOOKUP($A108,tabCustoUnit[],COLUMN(CUSTO_GLOBAL[[#Headers],[Suspensão Temporária do Contrato de Trabalho]])-2,0)*($G108-$H108)</f>
        <v>0</v>
      </c>
      <c r="BG108" s="22">
        <f>VLOOKUP($A108,tabCustoUnit[],COLUMN(CUSTO_GLOBAL[[#Headers],[Submódulo 4.3]])-2,0)*($G108-$H108)</f>
        <v>0</v>
      </c>
      <c r="BH108" s="22">
        <f>VLOOKUP($A108,tabCustoUnit[],COLUMN(CUSTO_GLOBAL[[#Headers],[MÓDULO 4 – CUSTO DE REPOSIÇÃO DO PROFISSIONAL AUSENTE]])-2,0)*($G108-$H108)</f>
        <v>9.4372420268569428</v>
      </c>
      <c r="BI108" s="22">
        <f>VLOOKUP($A108,tabCustoUnit[],COLUMN(CUSTO_GLOBAL[[#Headers],[Uniformes e EPIs]])-2,0)*($G108-$H108)</f>
        <v>62.806666666666665</v>
      </c>
      <c r="BJ108" s="22">
        <f>VLOOKUP($A108,tabCustoUnit[],COLUMN(CUSTO_GLOBAL[[#Headers],[Materiais de Consumo]])-2,0)*($G108-$H108)</f>
        <v>12.108481690426325</v>
      </c>
      <c r="BK108" s="22">
        <f>VLOOKUP($A108,tabCustoUnit[],COLUMN(CUSTO_GLOBAL[[#Headers],[Máquinas e Equipamentos (depreciação)]])-2,0)*($G108-$H108)</f>
        <v>21.998657016417809</v>
      </c>
      <c r="BL108" s="22">
        <f>VLOOKUP($A108,tabCustoUnit[],COLUMN(CUSTO_GLOBAL[[#Headers],[Produtos de Limpeza e Materiais de Higiene Pessoal]])-2,0)*($G108-$H108)</f>
        <v>235.31984072022155</v>
      </c>
      <c r="BM108" s="22">
        <f>VLOOKUP($A108,tabCustoUnit[],COLUMN(CUSTO_GLOBAL[[#Headers],[Outros (especificar)]])-2,0)*($G108-$H108)</f>
        <v>0</v>
      </c>
      <c r="BN108" s="22">
        <f>VLOOKUP($A108,tabCustoUnit[],COLUMN(CUSTO_GLOBAL[[#Headers],[MÓDULO 5 – INSUMOS DIVERSOS]])-2,0)*($G108-$H108)</f>
        <v>332.23364609373232</v>
      </c>
      <c r="BO108" s="22">
        <f>VLOOKUP($A108,tabCustoUnit[],COLUMN(CUSTO_GLOBAL[[#Headers],[TOTAL MÓDULOS 1+2+3+4+5]])-2,0)*($G108-$H108)</f>
        <v>2118.2084999148137</v>
      </c>
      <c r="BP108" s="22">
        <f>VLOOKUP($A108,tabCustoUnit[],COLUMN(CUSTO_GLOBAL[[#Headers],[Custos Indiretos]])-2,0)*($G108-$H108)</f>
        <v>189.64880140242613</v>
      </c>
      <c r="BQ108" s="22">
        <f>VLOOKUP($A108,tabCustoUnit[],COLUMN(CUSTO_GLOBAL[[#Headers],[Lucro]])-2,0)*($G108-$H108)</f>
        <v>159.30499317803796</v>
      </c>
      <c r="BR108" s="26">
        <f>VLOOKUP($A108,tabCustoUnit[],COLUMN(CUSTO_GLOBAL[[#Headers],[COFINS]])-2,0)</f>
        <v>8.6609686609686695E-2</v>
      </c>
      <c r="BS108" s="26">
        <f>VLOOKUP($A108,tabCustoUnit[],COLUMN(CUSTO_GLOBAL[[#Headers],[PIS]])-2,0)</f>
        <v>1.880341880341882E-2</v>
      </c>
      <c r="BT108" s="28">
        <f>VLOOKUP($A108,tabCustoUnit[],COLUMN(CUSTO_GLOBAL[[#Headers],[ISS]])-2,0)</f>
        <v>0.03</v>
      </c>
      <c r="BU108" s="26">
        <f>VLOOKUP($A108,tabCustoUnit[],COLUMN(CUSTO_GLOBAL[[#Headers],[ISS (Conversão Alíquota s/ fatura)]])-2,0)</f>
        <v>3.4188034188034219E-2</v>
      </c>
      <c r="BV108" s="26">
        <f>VLOOKUP($A108,tabCustoUnit[],COLUMN(CUSTO_GLOBAL[[#Headers],[Resumo de Alíquotas (PIS+CONFINS+ISS)]])-2,0)</f>
        <v>0.1225</v>
      </c>
      <c r="BW108" s="138">
        <f>VLOOKUP($A108,tabCustoUnit[],COLUMN(CUSTO_GLOBAL[[#Headers],[PIS + COFINS + ISS (Total Conversão  Alíquota s/ Fatura)]])-2,0)</f>
        <v>0.13960113960113973</v>
      </c>
      <c r="BX108" s="22">
        <f>VLOOKUP($A108,tabCustoUnit[],COLUMN(CUSTO_GLOBAL[[#Headers],[Valor dos Tributos (ISS, PIS, CONFINS)]])-2,0)*($G108-$H108)</f>
        <v>344.41866789250349</v>
      </c>
      <c r="BY108" s="22">
        <f>VLOOKUP($A108,tabCustoUnit[],COLUMN(CUSTO_GLOBAL[[#Headers],[MÓDULO 6 – CUSTOS INDIRETOS, TRIBUTOS E LUCRO]])-2,0)*($G108-$H108)</f>
        <v>693.37246247296753</v>
      </c>
      <c r="BZ108" s="22">
        <f>VLOOKUP($A108,tabCustoUnit[],COLUMN(CUSTO_GLOBAL[[#Headers],[CUSTO TOTAL MENSAL]])-2,0)*($G108-$H108)</f>
        <v>2811.5809623877813</v>
      </c>
      <c r="CA108" s="22">
        <f>CUSTO_GLOBAL[[#This Row],[CUSTO TOTAL MENSAL]]*12</f>
        <v>33738.971548653375</v>
      </c>
      <c r="CB108" s="24">
        <f>VLOOKUP($A108,tabCustoUnit[],COLUMN(CUSTO_GLOBAL[[#Headers],[ANO DA CCT]])-2,0)</f>
        <v>45658</v>
      </c>
      <c r="CC108" s="25" t="str">
        <f>VLOOKUP($A108,tabCustoUnit[],COLUMN(CUSTO_GLOBAL[[#Headers],[Nº DE PEDIDO DA CCT]])-2,0)</f>
        <v>-</v>
      </c>
      <c r="CD108" s="25" t="str">
        <f>VLOOKUP($A108,tabCustoUnit[],COLUMN(CUSTO_GLOBAL[[#Headers],[TERMO ADITIVO  ALTERAÇÃO DA CCT]])-2,0)</f>
        <v>-</v>
      </c>
      <c r="CF108" s="22"/>
      <c r="CG108" s="22"/>
    </row>
    <row r="109" spans="1:85" x14ac:dyDescent="0.25">
      <c r="A109" s="20" t="s">
        <v>1448</v>
      </c>
      <c r="B109" t="s">
        <v>101</v>
      </c>
      <c r="C109" t="s">
        <v>1245</v>
      </c>
      <c r="D109" t="s">
        <v>1045</v>
      </c>
      <c r="E109" s="20" t="s">
        <v>9</v>
      </c>
      <c r="F109" s="20" t="s">
        <v>10</v>
      </c>
      <c r="G109" s="20">
        <v>1</v>
      </c>
      <c r="H109" s="20">
        <v>0</v>
      </c>
      <c r="I109" s="21">
        <f>VLOOKUP($A109,tabCustoUnit[],COLUMN(CUSTO_GLOBAL[[#Headers],[Salário Base]])-2,0)*($G109-$H109)</f>
        <v>1649.12</v>
      </c>
      <c r="J109" s="21">
        <f>VLOOKUP($A109,tabCustoUnit[],COLUMN(CUSTO_GLOBAL[[#Headers],[Adicional Periculosidade]])-2,0)*($G109-$H109)</f>
        <v>0</v>
      </c>
      <c r="K109" s="21">
        <f>VLOOKUP($A109,tabCustoUnit[],COLUMN(CUSTO_GLOBAL[[#Headers],[Adicional Insalubridade]])-2,0)*($G109-$H109)</f>
        <v>0</v>
      </c>
      <c r="L109" s="21">
        <f>VLOOKUP($A109,tabCustoUnit[],COLUMN(CUSTO_GLOBAL[[#Headers],[Adicional Noturno]])-2,0)*($G109-$H109)</f>
        <v>0</v>
      </c>
      <c r="M109" s="21">
        <f>VLOOKUP($A109,tabCustoUnit[],COLUMN(CUSTO_GLOBAL[[#Headers],[Adicional Motorista II (Gratificação)]])-2,0)*($G109-$H109)</f>
        <v>0</v>
      </c>
      <c r="N109" s="21">
        <f>VLOOKUP($A109,tabCustoUnit[],COLUMN(CUSTO_GLOBAL[[#Headers],[Adicional de Sobreaviso]])-2,0)*($G109-$H109)</f>
        <v>0</v>
      </c>
      <c r="O109" s="21">
        <f>VLOOKUP($A109,tabCustoUnit[],COLUMN(CUSTO_GLOBAL[[#Headers],[Horas Extras TI]])-2,0)*($G109-$H109)</f>
        <v>0</v>
      </c>
      <c r="P109" s="21">
        <f>VLOOKUP($A109,tabCustoUnit[],COLUMN(CUSTO_GLOBAL[[#Headers],[Adicional de Acúmulo de função]])-2,0)*($G109-$H109)</f>
        <v>53.971200000000003</v>
      </c>
      <c r="Q109" s="21">
        <f>VLOOKUP($A109,tabCustoUnit[],COLUMN(CUSTO_GLOBAL[[#Headers],[MODULO 1 - REMUNERAÇÃO ]])-2,0)*($G109-$H109)</f>
        <v>1703.0911999999998</v>
      </c>
      <c r="R109" s="21">
        <f>VLOOKUP($A109,tabCustoUnit[],COLUMN(CUSTO_GLOBAL[[#Headers],[INSS]])-2,0)*($G109-$H109)</f>
        <v>340.61824000000001</v>
      </c>
      <c r="S109" s="21">
        <f>VLOOKUP($A109,tabCustoUnit[],COLUMN(CUSTO_GLOBAL[[#Headers],[SESI OU SESC]])-2,0)*($G109-$H109)</f>
        <v>25.546367999999998</v>
      </c>
      <c r="T109" s="21">
        <f>VLOOKUP($A109,tabCustoUnit[],COLUMN(CUSTO_GLOBAL[[#Headers],[SENAI OU SENAC]])-2,0)*($G109-$H109)</f>
        <v>17.030911999999997</v>
      </c>
      <c r="U109" s="21">
        <f>VLOOKUP($A109,tabCustoUnit[],COLUMN(CUSTO_GLOBAL[[#Headers],[INCRA]])-2,0)*($G109-$H109)</f>
        <v>3.4061823999999996</v>
      </c>
      <c r="V109" s="21">
        <f>VLOOKUP($A109,tabCustoUnit[],COLUMN(CUSTO_GLOBAL[[#Headers],[Salário Educação]])-2,0)*($G109-$H109)</f>
        <v>42.577280000000002</v>
      </c>
      <c r="W109" s="21">
        <f>VLOOKUP($A109,tabCustoUnit[],COLUMN(CUSTO_GLOBAL[[#Headers],[FGTS]])-2,0)*($G109-$H109)</f>
        <v>136.24729599999998</v>
      </c>
      <c r="X109" s="21">
        <f>VLOOKUP($A109,tabCustoUnit[],COLUMN(CUSTO_GLOBAL[[#Headers],[RAT Ajustado]])-2,0)*($G109-$H109)</f>
        <v>68.123647999999989</v>
      </c>
      <c r="Y109" s="21">
        <f>VLOOKUP($A109,tabCustoUnit[],COLUMN(CUSTO_GLOBAL[[#Headers],[SEBRAE]])-2,0)*($G109-$H109)</f>
        <v>10.2185472</v>
      </c>
      <c r="Z109" s="21">
        <f>VLOOKUP($A109,tabCustoUnit[],COLUMN(CUSTO_GLOBAL[[#Headers],[Submódulo 2.1]])-2,0)*($G109-$H109)</f>
        <v>643.76847359999999</v>
      </c>
      <c r="AA109" s="21">
        <f>VLOOKUP($A109,tabCustoUnit[],COLUMN(CUSTO_GLOBAL[[#Headers],[13º salário (titular)]])-2,0)*($G109-$H109)</f>
        <v>141.92426666666665</v>
      </c>
      <c r="AB109" s="21">
        <f>VLOOKUP($A109,tabCustoUnit[],COLUMN(CUSTO_GLOBAL[[#Headers],[Férias e Adicional de Férias (titular)]])-2,0)*($G109-$H109)</f>
        <v>189.23235555555553</v>
      </c>
      <c r="AC109" s="21">
        <f>VLOOKUP($A109,tabCustoUnit[],COLUMN(CUSTO_GLOBAL[[#Headers],[Incidência do Submódulo 2.1 sobre 13º Salário, Férias e Adicional de Férias]])-2,0)*($G109-$H109)</f>
        <v>125.17720319999999</v>
      </c>
      <c r="AD109" s="21">
        <f>VLOOKUP($A109,tabCustoUnit[],COLUMN(CUSTO_GLOBAL[[#Headers],[Submódulo 2.2]])-2,0)*($G109-$H109)</f>
        <v>456.33382542222216</v>
      </c>
      <c r="AE109" s="22">
        <f>VLOOKUP($A109,tabCustoUnit[],COLUMN(CUSTO_GLOBAL[[#Headers],[Vale - Transporte (Descontada parcela do empregado)]])-2,0)*($G109-$H109)</f>
        <v>157.05279999999999</v>
      </c>
      <c r="AF109" s="22">
        <f>VLOOKUP($A109,tabCustoUnit[],COLUMN(CUSTO_GLOBAL[[#Headers],[Vale - Alimentação (Descontada parcela do empregado)]])-2,0)*($G109-$H109)</f>
        <v>582</v>
      </c>
      <c r="AG109" s="22">
        <f>VLOOKUP($A109,tabCustoUnit[],COLUMN(CUSTO_GLOBAL[[#Headers],[Cesta Básica]])-2,0)*($G109-$H109)</f>
        <v>0</v>
      </c>
      <c r="AH109" s="22">
        <f>VLOOKUP($A109,tabCustoUnit[],COLUMN(CUSTO_GLOBAL[[#Headers],[PAF]])-2,0)*($G109-$H109)</f>
        <v>77.25</v>
      </c>
      <c r="AI109" s="22">
        <f>VLOOKUP($A109,tabCustoUnit[],COLUMN(CUSTO_GLOBAL[[#Headers],[PQM]])-2,0)*($G109-$H109)</f>
        <v>0</v>
      </c>
      <c r="AJ109" s="22">
        <v>0</v>
      </c>
      <c r="AK109" s="22">
        <f>VLOOKUP($A109,tabCustoUnit[],COLUMN(CUSTO_GLOBAL[[#Headers],[Seguro de Vida]])-2,0)*($G109-$H109)</f>
        <v>3.36</v>
      </c>
      <c r="AL109" s="22">
        <f>VLOOKUP($A109,tabCustoUnit[],COLUMN(CUSTO_GLOBAL[[#Headers],[Despesas de Viagem]])-2,0)*($G109-$H109)</f>
        <v>0</v>
      </c>
      <c r="AM109" s="22">
        <f>VLOOKUP($A109,tabCustoUnit[],COLUMN(CUSTO_GLOBAL[[#Headers],[Submódulo 2.3]])-2,0)*($G109-$H109)</f>
        <v>819.66279999999995</v>
      </c>
      <c r="AN109" s="22">
        <f>VLOOKUP($A109,tabCustoUnit[],COLUMN(CUSTO_GLOBAL[[#Headers],[MÓDULO 2 - Total Encargos e Benefícios mensais e diários]])-2,0)*($G109-$H109)</f>
        <v>1919.7650990222223</v>
      </c>
      <c r="AO109" s="22">
        <f>VLOOKUP($A109,tabCustoUnit[],COLUMN(CUSTO_GLOBAL[[#Headers],[Aviso Prévio Indenizado (API) e Reflexo do Aviso Prévio Indenizado]])-2,0)*($G109-$H109)</f>
        <v>11.941678632098764</v>
      </c>
      <c r="AP109" s="22">
        <f>VLOOKUP($A109,tabCustoUnit[],COLUMN(CUSTO_GLOBAL[[#Headers],[Incidência do FGTS sobre API e Reflexo do API]])-2,0)*($G109-$H109)</f>
        <v>0.9553342905679012</v>
      </c>
      <c r="AQ109" s="22">
        <f>VLOOKUP($A109,tabCustoUnit[],COLUMN(CUSTO_GLOBAL[[#Headers],[Multa Rescisória do FGTS sobre o Aviso Prévio Indenizado]])-2,0)*($G109-$H109)</f>
        <v>0.38213371622716052</v>
      </c>
      <c r="AR109" s="22">
        <f>VLOOKUP($A109,tabCustoUnit[],COLUMN(CUSTO_GLOBAL[[#Headers],[Aviso Prévio Trabalhado - APT]])-2,0)*($G109-$H109)</f>
        <v>5.9608192000000004</v>
      </c>
      <c r="AS109" s="22">
        <f>VLOOKUP($A109,tabCustoUnit[],COLUMN(CUSTO_GLOBAL[[#Headers],[Incidência dos encargos do submódulo 2.1 sobre Aviso Prévio Trabalhado]])-2,0)*($G109-$H109)</f>
        <v>2.2531896576000006</v>
      </c>
      <c r="AT109" s="22">
        <f>VLOOKUP($A109,tabCustoUnit[],COLUMN(CUSTO_GLOBAL[[#Headers],[Multa Rescisória do FGTS]])-2,0)*($G109-$H109)</f>
        <v>52.076744248888879</v>
      </c>
      <c r="AU109" s="22">
        <f>VLOOKUP($A109,tabCustoUnit[],COLUMN(CUSTO_GLOBAL[[#Headers],[Indenização Adicional (Art. 9º da Lei nº 7.238/84)]])-2,0)*($G109-$H109)</f>
        <v>1.4192426666666667</v>
      </c>
      <c r="AV109" s="22">
        <f>VLOOKUP($A109,tabCustoUnit[],COLUMN(CUSTO_GLOBAL[[#Headers],[MÓDULO 3 – PROVISÃO PARA RESCISÃO]])-2,0)*($G109-$H109)</f>
        <v>74.989142412049375</v>
      </c>
      <c r="AW109" s="22">
        <f>VLOOKUP($A109,tabCustoUnit[],COLUMN(CUSTO_GLOBAL[[#Headers],[Ausência por Doença]])-2,0)*($G109-$H109)</f>
        <v>14.38165902222222</v>
      </c>
      <c r="AX109" s="22">
        <f>VLOOKUP($A109,tabCustoUnit[],COLUMN(CUSTO_GLOBAL[[#Headers],[Ausências Legais]])-2,0)*($G109-$H109)</f>
        <v>3.4534904888888884</v>
      </c>
      <c r="AY109" s="22">
        <f>VLOOKUP($A109,tabCustoUnit[],COLUMN(CUSTO_GLOBAL[[#Headers],[Licença Paternidade]])-2,0)*($G109-$H109)</f>
        <v>0.29094474666666664</v>
      </c>
      <c r="AZ109" s="22">
        <f>VLOOKUP($A109,tabCustoUnit[],COLUMN(CUSTO_GLOBAL[[#Headers],[Ausência por Acidente de Trabalho]])-2,0)*($G109-$H109)</f>
        <v>0.35481066666666666</v>
      </c>
      <c r="BA109" s="22">
        <f>VLOOKUP($A109,tabCustoUnit[],COLUMN(CUSTO_GLOBAL[[#Headers],[Férias, Adicional de Férias e 13º  com empregada em gozo de Licença Maternidade]])-2,0)*($G109-$H109)</f>
        <v>2.2077108148148143</v>
      </c>
      <c r="BB109" s="22">
        <f>VLOOKUP($A109,tabCustoUnit[],COLUMN(CUSTO_GLOBAL[[#Headers],[Incidência do Submódulo 2.1 sobre Ausências Legais]])-2,0)*($G109-$H109)</f>
        <v>7.8202967494400006</v>
      </c>
      <c r="BC109" s="22">
        <f>VLOOKUP($A109,tabCustoUnit[],COLUMN(CUSTO_GLOBAL[[#Headers],[Submódulo 4.1]])-2,0)*($G109-$H109)</f>
        <v>28.508912488699256</v>
      </c>
      <c r="BD109" s="22">
        <f>VLOOKUP($A109,tabCustoUnit[],COLUMN(CUSTO_GLOBAL[[#Headers],[Intervalo para Repouso ou Alimentação]])-2,0)*($G109-$H109)</f>
        <v>0</v>
      </c>
      <c r="BE109" s="22">
        <f>VLOOKUP($A109,tabCustoUnit[],COLUMN(CUSTO_GLOBAL[[#Headers],[Submódulo 4.2]])-2,0)*($G109-$H109)</f>
        <v>0</v>
      </c>
      <c r="BF109" s="22">
        <f>VLOOKUP($A109,tabCustoUnit[],COLUMN(CUSTO_GLOBAL[[#Headers],[Suspensão Temporária do Contrato de Trabalho]])-2,0)*($G109-$H109)</f>
        <v>0</v>
      </c>
      <c r="BG109" s="22">
        <f>VLOOKUP($A109,tabCustoUnit[],COLUMN(CUSTO_GLOBAL[[#Headers],[Submódulo 4.3]])-2,0)*($G109-$H109)</f>
        <v>0</v>
      </c>
      <c r="BH109" s="22">
        <f>VLOOKUP($A109,tabCustoUnit[],COLUMN(CUSTO_GLOBAL[[#Headers],[MÓDULO 4 – CUSTO DE REPOSIÇÃO DO PROFISSIONAL AUSENTE]])-2,0)*($G109-$H109)</f>
        <v>28.508912488699256</v>
      </c>
      <c r="BI109" s="22">
        <f>VLOOKUP($A109,tabCustoUnit[],COLUMN(CUSTO_GLOBAL[[#Headers],[Uniformes e EPIs]])-2,0)*($G109-$H109)</f>
        <v>100.80916666666666</v>
      </c>
      <c r="BJ109" s="22">
        <f>VLOOKUP($A109,tabCustoUnit[],COLUMN(CUSTO_GLOBAL[[#Headers],[Materiais de Consumo]])-2,0)*($G109-$H109)</f>
        <v>35.518212958583888</v>
      </c>
      <c r="BK109" s="22">
        <f>VLOOKUP($A109,tabCustoUnit[],COLUMN(CUSTO_GLOBAL[[#Headers],[Máquinas e Equipamentos (depreciação)]])-2,0)*($G109-$H109)</f>
        <v>64.529393914825576</v>
      </c>
      <c r="BL109" s="22">
        <f>VLOOKUP($A109,tabCustoUnit[],COLUMN(CUSTO_GLOBAL[[#Headers],[Produtos de Limpeza e Materiais de Higiene Pessoal]])-2,0)*($G109-$H109)</f>
        <v>690.27153277931654</v>
      </c>
      <c r="BM109" s="22">
        <f>VLOOKUP($A109,tabCustoUnit[],COLUMN(CUSTO_GLOBAL[[#Headers],[Outros (especificar)]])-2,0)*($G109-$H109)</f>
        <v>0</v>
      </c>
      <c r="BN109" s="22">
        <f>VLOOKUP($A109,tabCustoUnit[],COLUMN(CUSTO_GLOBAL[[#Headers],[MÓDULO 5 – INSUMOS DIVERSOS]])-2,0)*($G109-$H109)</f>
        <v>891.12830631939266</v>
      </c>
      <c r="BO109" s="22">
        <f>VLOOKUP($A109,tabCustoUnit[],COLUMN(CUSTO_GLOBAL[[#Headers],[TOTAL MÓDULOS 1+2+3+4+5]])-2,0)*($G109-$H109)</f>
        <v>4617.4826602423636</v>
      </c>
      <c r="BP109" s="22">
        <f>VLOOKUP($A109,tabCustoUnit[],COLUMN(CUSTO_GLOBAL[[#Headers],[Custos Indiretos]])-2,0)*($G109-$H109)</f>
        <v>189.64880140242613</v>
      </c>
      <c r="BQ109" s="22">
        <f>VLOOKUP($A109,tabCustoUnit[],COLUMN(CUSTO_GLOBAL[[#Headers],[Lucro]])-2,0)*($G109-$H109)</f>
        <v>159.30499317803796</v>
      </c>
      <c r="BR109" s="26">
        <f>VLOOKUP($A109,tabCustoUnit[],COLUMN(CUSTO_GLOBAL[[#Headers],[COFINS]])-2,0)</f>
        <v>8.7608069164265154E-2</v>
      </c>
      <c r="BS109" s="26">
        <f>VLOOKUP($A109,tabCustoUnit[],COLUMN(CUSTO_GLOBAL[[#Headers],[PIS]])-2,0)</f>
        <v>1.9020172910662814E-2</v>
      </c>
      <c r="BT109" s="28">
        <f>VLOOKUP($A109,tabCustoUnit[],COLUMN(CUSTO_GLOBAL[[#Headers],[ISS]])-2,0)</f>
        <v>0.04</v>
      </c>
      <c r="BU109" s="26">
        <f>VLOOKUP($A109,tabCustoUnit[],COLUMN(CUSTO_GLOBAL[[#Headers],[ISS (Conversão Alíquota s/ fatura)]])-2,0)</f>
        <v>4.6109510086455294E-2</v>
      </c>
      <c r="BV109" s="26">
        <f>VLOOKUP($A109,tabCustoUnit[],COLUMN(CUSTO_GLOBAL[[#Headers],[Resumo de Alíquotas (PIS+CONFINS+ISS)]])-2,0)</f>
        <v>0.13250000000000001</v>
      </c>
      <c r="BW109" s="138">
        <f>VLOOKUP($A109,tabCustoUnit[],COLUMN(CUSTO_GLOBAL[[#Headers],[PIS + COFINS + ISS (Total Conversão  Alíquota s/ Fatura)]])-2,0)</f>
        <v>0.15273775216138324</v>
      </c>
      <c r="BX109" s="22">
        <f>VLOOKUP($A109,tabCustoUnit[],COLUMN(CUSTO_GLOBAL[[#Headers],[Valor dos Tributos (ISS, PIS, CONFINS)]])-2,0)*($G109-$H109)</f>
        <v>758.56234036198794</v>
      </c>
      <c r="BY109" s="22">
        <f>VLOOKUP($A109,tabCustoUnit[],COLUMN(CUSTO_GLOBAL[[#Headers],[MÓDULO 6 – CUSTOS INDIRETOS, TRIBUTOS E LUCRO]])-2,0)*($G109-$H109)</f>
        <v>1107.516134942452</v>
      </c>
      <c r="BZ109" s="22">
        <f>VLOOKUP($A109,tabCustoUnit[],COLUMN(CUSTO_GLOBAL[[#Headers],[CUSTO TOTAL MENSAL]])-2,0)*($G109-$H109)</f>
        <v>5724.9987951848161</v>
      </c>
      <c r="CA109" s="22">
        <f>CUSTO_GLOBAL[[#This Row],[CUSTO TOTAL MENSAL]]*12</f>
        <v>68699.985542217793</v>
      </c>
      <c r="CB109" s="24">
        <f>VLOOKUP($A109,tabCustoUnit[],COLUMN(CUSTO_GLOBAL[[#Headers],[ANO DA CCT]])-2,0)</f>
        <v>45658</v>
      </c>
      <c r="CC109" s="25" t="str">
        <f>VLOOKUP($A109,tabCustoUnit[],COLUMN(CUSTO_GLOBAL[[#Headers],[Nº DE PEDIDO DA CCT]])-2,0)</f>
        <v>-</v>
      </c>
      <c r="CD109" s="25" t="str">
        <f>VLOOKUP($A109,tabCustoUnit[],COLUMN(CUSTO_GLOBAL[[#Headers],[TERMO ADITIVO  ALTERAÇÃO DA CCT]])-2,0)</f>
        <v>-</v>
      </c>
      <c r="CF109" s="22"/>
      <c r="CG109" s="22"/>
    </row>
    <row r="110" spans="1:85" x14ac:dyDescent="0.25">
      <c r="A110" s="20" t="s">
        <v>1449</v>
      </c>
      <c r="B110" t="s">
        <v>102</v>
      </c>
      <c r="C110" t="s">
        <v>1246</v>
      </c>
      <c r="D110" t="s">
        <v>1002</v>
      </c>
      <c r="E110" s="20" t="s">
        <v>9</v>
      </c>
      <c r="F110" s="20" t="s">
        <v>10</v>
      </c>
      <c r="G110" s="20">
        <v>1</v>
      </c>
      <c r="H110" s="20">
        <v>0</v>
      </c>
      <c r="I110" s="21">
        <f>VLOOKUP($A110,tabCustoUnit[],COLUMN(CUSTO_GLOBAL[[#Headers],[Salário Base]])-2,0)*($G110-$H110)</f>
        <v>1124.3900000000001</v>
      </c>
      <c r="J110" s="21">
        <f>VLOOKUP($A110,tabCustoUnit[],COLUMN(CUSTO_GLOBAL[[#Headers],[Adicional Periculosidade]])-2,0)*($G110-$H110)</f>
        <v>0</v>
      </c>
      <c r="K110" s="21">
        <f>VLOOKUP($A110,tabCustoUnit[],COLUMN(CUSTO_GLOBAL[[#Headers],[Adicional Insalubridade]])-2,0)*($G110-$H110)</f>
        <v>0</v>
      </c>
      <c r="L110" s="21">
        <f>VLOOKUP($A110,tabCustoUnit[],COLUMN(CUSTO_GLOBAL[[#Headers],[Adicional Noturno]])-2,0)*($G110-$H110)</f>
        <v>0</v>
      </c>
      <c r="M110" s="21">
        <f>VLOOKUP($A110,tabCustoUnit[],COLUMN(CUSTO_GLOBAL[[#Headers],[Adicional Motorista II (Gratificação)]])-2,0)*($G110-$H110)</f>
        <v>0</v>
      </c>
      <c r="N110" s="21">
        <f>VLOOKUP($A110,tabCustoUnit[],COLUMN(CUSTO_GLOBAL[[#Headers],[Adicional de Sobreaviso]])-2,0)*($G110-$H110)</f>
        <v>0</v>
      </c>
      <c r="O110" s="21">
        <f>VLOOKUP($A110,tabCustoUnit[],COLUMN(CUSTO_GLOBAL[[#Headers],[Horas Extras TI]])-2,0)*($G110-$H110)</f>
        <v>0</v>
      </c>
      <c r="P110" s="21">
        <f>VLOOKUP($A110,tabCustoUnit[],COLUMN(CUSTO_GLOBAL[[#Headers],[Adicional de Acúmulo de função]])-2,0)*($G110-$H110)</f>
        <v>40.478000000000002</v>
      </c>
      <c r="Q110" s="21">
        <f>VLOOKUP($A110,tabCustoUnit[],COLUMN(CUSTO_GLOBAL[[#Headers],[MODULO 1 - REMUNERAÇÃO ]])-2,0)*($G110-$H110)</f>
        <v>1164.8680000000002</v>
      </c>
      <c r="R110" s="21">
        <f>VLOOKUP($A110,tabCustoUnit[],COLUMN(CUSTO_GLOBAL[[#Headers],[INSS]])-2,0)*($G110-$H110)</f>
        <v>232.97360000000003</v>
      </c>
      <c r="S110" s="21">
        <f>VLOOKUP($A110,tabCustoUnit[],COLUMN(CUSTO_GLOBAL[[#Headers],[SESI OU SESC]])-2,0)*($G110-$H110)</f>
        <v>17.473020000000002</v>
      </c>
      <c r="T110" s="21">
        <f>VLOOKUP($A110,tabCustoUnit[],COLUMN(CUSTO_GLOBAL[[#Headers],[SENAI OU SENAC]])-2,0)*($G110-$H110)</f>
        <v>11.648680000000002</v>
      </c>
      <c r="U110" s="21">
        <f>VLOOKUP($A110,tabCustoUnit[],COLUMN(CUSTO_GLOBAL[[#Headers],[INCRA]])-2,0)*($G110-$H110)</f>
        <v>2.3297360000000005</v>
      </c>
      <c r="V110" s="21">
        <f>VLOOKUP($A110,tabCustoUnit[],COLUMN(CUSTO_GLOBAL[[#Headers],[Salário Educação]])-2,0)*($G110-$H110)</f>
        <v>29.121700000000004</v>
      </c>
      <c r="W110" s="21">
        <f>VLOOKUP($A110,tabCustoUnit[],COLUMN(CUSTO_GLOBAL[[#Headers],[FGTS]])-2,0)*($G110-$H110)</f>
        <v>93.189440000000019</v>
      </c>
      <c r="X110" s="21">
        <f>VLOOKUP($A110,tabCustoUnit[],COLUMN(CUSTO_GLOBAL[[#Headers],[RAT Ajustado]])-2,0)*($G110-$H110)</f>
        <v>46.594720000000009</v>
      </c>
      <c r="Y110" s="21">
        <f>VLOOKUP($A110,tabCustoUnit[],COLUMN(CUSTO_GLOBAL[[#Headers],[SEBRAE]])-2,0)*($G110-$H110)</f>
        <v>6.9892080000000014</v>
      </c>
      <c r="Z110" s="21">
        <f>VLOOKUP($A110,tabCustoUnit[],COLUMN(CUSTO_GLOBAL[[#Headers],[Submódulo 2.1]])-2,0)*($G110-$H110)</f>
        <v>440.32010400000001</v>
      </c>
      <c r="AA110" s="21">
        <f>VLOOKUP($A110,tabCustoUnit[],COLUMN(CUSTO_GLOBAL[[#Headers],[13º salário (titular)]])-2,0)*($G110-$H110)</f>
        <v>97.072333333333347</v>
      </c>
      <c r="AB110" s="21">
        <f>VLOOKUP($A110,tabCustoUnit[],COLUMN(CUSTO_GLOBAL[[#Headers],[Férias e Adicional de Férias (titular)]])-2,0)*($G110-$H110)</f>
        <v>129.42977777777779</v>
      </c>
      <c r="AC110" s="21">
        <f>VLOOKUP($A110,tabCustoUnit[],COLUMN(CUSTO_GLOBAL[[#Headers],[Incidência do Submódulo 2.1 sobre 13º Salário, Férias e Adicional de Férias]])-2,0)*($G110-$H110)</f>
        <v>85.617797999999993</v>
      </c>
      <c r="AD110" s="21">
        <f>VLOOKUP($A110,tabCustoUnit[],COLUMN(CUSTO_GLOBAL[[#Headers],[Submódulo 2.2]])-2,0)*($G110-$H110)</f>
        <v>312.11990911111116</v>
      </c>
      <c r="AE110" s="22">
        <f>VLOOKUP($A110,tabCustoUnit[],COLUMN(CUSTO_GLOBAL[[#Headers],[Vale - Transporte (Descontada parcela do empregado)]])-2,0)*($G110-$H110)</f>
        <v>188.53659999999999</v>
      </c>
      <c r="AF110" s="22">
        <f>VLOOKUP($A110,tabCustoUnit[],COLUMN(CUSTO_GLOBAL[[#Headers],[Vale - Alimentação (Descontada parcela do empregado)]])-2,0)*($G110-$H110)</f>
        <v>582</v>
      </c>
      <c r="AG110" s="22">
        <f>VLOOKUP($A110,tabCustoUnit[],COLUMN(CUSTO_GLOBAL[[#Headers],[Cesta Básica]])-2,0)*($G110-$H110)</f>
        <v>0</v>
      </c>
      <c r="AH110" s="22">
        <f>VLOOKUP($A110,tabCustoUnit[],COLUMN(CUSTO_GLOBAL[[#Headers],[PAF]])-2,0)*($G110-$H110)</f>
        <v>0</v>
      </c>
      <c r="AI110" s="22">
        <f>VLOOKUP($A110,tabCustoUnit[],COLUMN(CUSTO_GLOBAL[[#Headers],[PQM]])-2,0)*($G110-$H110)</f>
        <v>15.07</v>
      </c>
      <c r="AJ110" s="22">
        <v>0</v>
      </c>
      <c r="AK110" s="22">
        <f>VLOOKUP($A110,tabCustoUnit[],COLUMN(CUSTO_GLOBAL[[#Headers],[Seguro de Vida]])-2,0)*($G110-$H110)</f>
        <v>3.36</v>
      </c>
      <c r="AL110" s="22">
        <f>VLOOKUP($A110,tabCustoUnit[],COLUMN(CUSTO_GLOBAL[[#Headers],[Despesas de Viagem]])-2,0)*($G110-$H110)</f>
        <v>0</v>
      </c>
      <c r="AM110" s="22">
        <f>VLOOKUP($A110,tabCustoUnit[],COLUMN(CUSTO_GLOBAL[[#Headers],[Submódulo 2.3]])-2,0)*($G110-$H110)</f>
        <v>788.96660000000008</v>
      </c>
      <c r="AN110" s="22">
        <f>VLOOKUP($A110,tabCustoUnit[],COLUMN(CUSTO_GLOBAL[[#Headers],[MÓDULO 2 - Total Encargos e Benefícios mensais e diários]])-2,0)*($G110-$H110)</f>
        <v>1541.4066131111113</v>
      </c>
      <c r="AO110" s="22">
        <f>VLOOKUP($A110,tabCustoUnit[],COLUMN(CUSTO_GLOBAL[[#Headers],[Aviso Prévio Indenizado (API) e Reflexo do Aviso Prévio Indenizado]])-2,0)*($G110-$H110)</f>
        <v>8.1677829729938285</v>
      </c>
      <c r="AP110" s="22">
        <f>VLOOKUP($A110,tabCustoUnit[],COLUMN(CUSTO_GLOBAL[[#Headers],[Incidência do FGTS sobre API e Reflexo do API]])-2,0)*($G110-$H110)</f>
        <v>0.65342263783950627</v>
      </c>
      <c r="AQ110" s="22">
        <f>VLOOKUP($A110,tabCustoUnit[],COLUMN(CUSTO_GLOBAL[[#Headers],[Multa Rescisória do FGTS sobre o Aviso Prévio Indenizado]])-2,0)*($G110-$H110)</f>
        <v>0.26136905513580255</v>
      </c>
      <c r="AR110" s="22">
        <f>VLOOKUP($A110,tabCustoUnit[],COLUMN(CUSTO_GLOBAL[[#Headers],[Aviso Prévio Trabalhado - APT]])-2,0)*($G110-$H110)</f>
        <v>4.0770380000000008</v>
      </c>
      <c r="AS110" s="22">
        <f>VLOOKUP($A110,tabCustoUnit[],COLUMN(CUSTO_GLOBAL[[#Headers],[Incidência dos encargos do submódulo 2.1 sobre Aviso Prévio Trabalhado]])-2,0)*($G110-$H110)</f>
        <v>1.5411203640000006</v>
      </c>
      <c r="AT110" s="22">
        <f>VLOOKUP($A110,tabCustoUnit[],COLUMN(CUSTO_GLOBAL[[#Headers],[Multa Rescisória do FGTS]])-2,0)*($G110-$H110)</f>
        <v>35.619074844444441</v>
      </c>
      <c r="AU110" s="22">
        <f>VLOOKUP($A110,tabCustoUnit[],COLUMN(CUSTO_GLOBAL[[#Headers],[Indenização Adicional (Art. 9º da Lei nº 7.238/84)]])-2,0)*($G110-$H110)</f>
        <v>0.97072333333333349</v>
      </c>
      <c r="AV110" s="22">
        <f>VLOOKUP($A110,tabCustoUnit[],COLUMN(CUSTO_GLOBAL[[#Headers],[MÓDULO 3 – PROVISÃO PARA RESCISÃO]])-2,0)*($G110-$H110)</f>
        <v>51.290531207746916</v>
      </c>
      <c r="AW110" s="22">
        <f>VLOOKUP($A110,tabCustoUnit[],COLUMN(CUSTO_GLOBAL[[#Headers],[Ausência por Doença]])-2,0)*($G110-$H110)</f>
        <v>9.8366631111111111</v>
      </c>
      <c r="AX110" s="22">
        <f>VLOOKUP($A110,tabCustoUnit[],COLUMN(CUSTO_GLOBAL[[#Headers],[Ausências Legais]])-2,0)*($G110-$H110)</f>
        <v>2.3620934444444446</v>
      </c>
      <c r="AY110" s="22">
        <f>VLOOKUP($A110,tabCustoUnit[],COLUMN(CUSTO_GLOBAL[[#Headers],[Licença Paternidade]])-2,0)*($G110-$H110)</f>
        <v>0.19899828333333336</v>
      </c>
      <c r="AZ110" s="22">
        <f>VLOOKUP($A110,tabCustoUnit[],COLUMN(CUSTO_GLOBAL[[#Headers],[Ausência por Acidente de Trabalho]])-2,0)*($G110-$H110)</f>
        <v>0.24268083333333337</v>
      </c>
      <c r="BA110" s="22">
        <f>VLOOKUP($A110,tabCustoUnit[],COLUMN(CUSTO_GLOBAL[[#Headers],[Férias, Adicional de Férias e 13º  com empregada em gozo de Licença Maternidade]])-2,0)*($G110-$H110)</f>
        <v>1.5100140740740742</v>
      </c>
      <c r="BB110" s="22">
        <f>VLOOKUP($A110,tabCustoUnit[],COLUMN(CUSTO_GLOBAL[[#Headers],[Incidência do Submódulo 2.1 sobre Ausências Legais]])-2,0)*($G110-$H110)</f>
        <v>5.3488700041000019</v>
      </c>
      <c r="BC110" s="22">
        <f>VLOOKUP($A110,tabCustoUnit[],COLUMN(CUSTO_GLOBAL[[#Headers],[Submódulo 4.1]])-2,0)*($G110-$H110)</f>
        <v>19.499319750396296</v>
      </c>
      <c r="BD110" s="22">
        <f>VLOOKUP($A110,tabCustoUnit[],COLUMN(CUSTO_GLOBAL[[#Headers],[Intervalo para Repouso ou Alimentação]])-2,0)*($G110-$H110)</f>
        <v>0</v>
      </c>
      <c r="BE110" s="22">
        <f>VLOOKUP($A110,tabCustoUnit[],COLUMN(CUSTO_GLOBAL[[#Headers],[Submódulo 4.2]])-2,0)*($G110-$H110)</f>
        <v>0</v>
      </c>
      <c r="BF110" s="22">
        <f>VLOOKUP($A110,tabCustoUnit[],COLUMN(CUSTO_GLOBAL[[#Headers],[Suspensão Temporária do Contrato de Trabalho]])-2,0)*($G110-$H110)</f>
        <v>0</v>
      </c>
      <c r="BG110" s="22">
        <f>VLOOKUP($A110,tabCustoUnit[],COLUMN(CUSTO_GLOBAL[[#Headers],[Submódulo 4.3]])-2,0)*($G110-$H110)</f>
        <v>0</v>
      </c>
      <c r="BH110" s="22">
        <f>VLOOKUP($A110,tabCustoUnit[],COLUMN(CUSTO_GLOBAL[[#Headers],[MÓDULO 4 – CUSTO DE REPOSIÇÃO DO PROFISSIONAL AUSENTE]])-2,0)*($G110-$H110)</f>
        <v>19.499319750396296</v>
      </c>
      <c r="BI110" s="22">
        <f>VLOOKUP($A110,tabCustoUnit[],COLUMN(CUSTO_GLOBAL[[#Headers],[Uniformes e EPIs]])-2,0)*($G110-$H110)</f>
        <v>100.80916666666666</v>
      </c>
      <c r="BJ110" s="22">
        <f>VLOOKUP($A110,tabCustoUnit[],COLUMN(CUSTO_GLOBAL[[#Headers],[Materiais de Consumo]])-2,0)*($G110-$H110)</f>
        <v>24.216963380852651</v>
      </c>
      <c r="BK110" s="22">
        <f>VLOOKUP($A110,tabCustoUnit[],COLUMN(CUSTO_GLOBAL[[#Headers],[Máquinas e Equipamentos (depreciação)]])-2,0)*($G110-$H110)</f>
        <v>43.997314032835618</v>
      </c>
      <c r="BL110" s="22">
        <f>VLOOKUP($A110,tabCustoUnit[],COLUMN(CUSTO_GLOBAL[[#Headers],[Produtos de Limpeza e Materiais de Higiene Pessoal]])-2,0)*($G110-$H110)</f>
        <v>470.6396814404431</v>
      </c>
      <c r="BM110" s="22">
        <f>VLOOKUP($A110,tabCustoUnit[],COLUMN(CUSTO_GLOBAL[[#Headers],[Outros (especificar)]])-2,0)*($G110-$H110)</f>
        <v>0</v>
      </c>
      <c r="BN110" s="22">
        <f>VLOOKUP($A110,tabCustoUnit[],COLUMN(CUSTO_GLOBAL[[#Headers],[MÓDULO 5 – INSUMOS DIVERSOS]])-2,0)*($G110-$H110)</f>
        <v>639.66312552079808</v>
      </c>
      <c r="BO110" s="22">
        <f>VLOOKUP($A110,tabCustoUnit[],COLUMN(CUSTO_GLOBAL[[#Headers],[TOTAL MÓDULOS 1+2+3+4+5]])-2,0)*($G110-$H110)</f>
        <v>3416.727589590053</v>
      </c>
      <c r="BP110" s="22">
        <f>VLOOKUP($A110,tabCustoUnit[],COLUMN(CUSTO_GLOBAL[[#Headers],[Custos Indiretos]])-2,0)*($G110-$H110)</f>
        <v>189.64880140242613</v>
      </c>
      <c r="BQ110" s="22">
        <f>VLOOKUP($A110,tabCustoUnit[],COLUMN(CUSTO_GLOBAL[[#Headers],[Lucro]])-2,0)*($G110-$H110)</f>
        <v>159.30499317803796</v>
      </c>
      <c r="BR110" s="26">
        <f>VLOOKUP($A110,tabCustoUnit[],COLUMN(CUSTO_GLOBAL[[#Headers],[COFINS]])-2,0)</f>
        <v>8.5633802816901458E-2</v>
      </c>
      <c r="BS110" s="26">
        <f>VLOOKUP($A110,tabCustoUnit[],COLUMN(CUSTO_GLOBAL[[#Headers],[PIS]])-2,0)</f>
        <v>1.8591549295774657E-2</v>
      </c>
      <c r="BT110" s="28">
        <f>VLOOKUP($A110,tabCustoUnit[],COLUMN(CUSTO_GLOBAL[[#Headers],[ISS]])-2,0)</f>
        <v>0.02</v>
      </c>
      <c r="BU110" s="26">
        <f>VLOOKUP($A110,tabCustoUnit[],COLUMN(CUSTO_GLOBAL[[#Headers],[ISS (Conversão Alíquota s/ fatura)]])-2,0)</f>
        <v>2.2535211267605645E-2</v>
      </c>
      <c r="BV110" s="26">
        <f>VLOOKUP($A110,tabCustoUnit[],COLUMN(CUSTO_GLOBAL[[#Headers],[Resumo de Alíquotas (PIS+CONFINS+ISS)]])-2,0)</f>
        <v>0.1125</v>
      </c>
      <c r="BW110" s="138">
        <f>VLOOKUP($A110,tabCustoUnit[],COLUMN(CUSTO_GLOBAL[[#Headers],[PIS + COFINS + ISS (Total Conversão  Alíquota s/ Fatura)]])-2,0)</f>
        <v>0.12676056338028174</v>
      </c>
      <c r="BX110" s="22">
        <f>VLOOKUP($A110,tabCustoUnit[],COLUMN(CUSTO_GLOBAL[[#Headers],[Valor dos Tributos (ISS, PIS, CONFINS)]])-2,0)*($G110-$H110)</f>
        <v>477.33989376809393</v>
      </c>
      <c r="BY110" s="22">
        <f>VLOOKUP($A110,tabCustoUnit[],COLUMN(CUSTO_GLOBAL[[#Headers],[MÓDULO 6 – CUSTOS INDIRETOS, TRIBUTOS E LUCRO]])-2,0)*($G110-$H110)</f>
        <v>826.29368834855802</v>
      </c>
      <c r="BZ110" s="22">
        <f>VLOOKUP($A110,tabCustoUnit[],COLUMN(CUSTO_GLOBAL[[#Headers],[CUSTO TOTAL MENSAL]])-2,0)*($G110-$H110)</f>
        <v>4243.0212779386111</v>
      </c>
      <c r="CA110" s="22">
        <f>CUSTO_GLOBAL[[#This Row],[CUSTO TOTAL MENSAL]]*12</f>
        <v>50916.255335263333</v>
      </c>
      <c r="CB110" s="24">
        <f>VLOOKUP($A110,tabCustoUnit[],COLUMN(CUSTO_GLOBAL[[#Headers],[ANO DA CCT]])-2,0)</f>
        <v>45658</v>
      </c>
      <c r="CC110" s="25" t="str">
        <f>VLOOKUP($A110,tabCustoUnit[],COLUMN(CUSTO_GLOBAL[[#Headers],[Nº DE PEDIDO DA CCT]])-2,0)</f>
        <v>-</v>
      </c>
      <c r="CD110" s="25" t="str">
        <f>VLOOKUP($A110,tabCustoUnit[],COLUMN(CUSTO_GLOBAL[[#Headers],[TERMO ADITIVO  ALTERAÇÃO DA CCT]])-2,0)</f>
        <v>-</v>
      </c>
      <c r="CF110" s="22"/>
      <c r="CG110" s="22"/>
    </row>
    <row r="111" spans="1:85" x14ac:dyDescent="0.25">
      <c r="A111" s="20" t="s">
        <v>1450</v>
      </c>
      <c r="B111" t="s">
        <v>103</v>
      </c>
      <c r="C111" t="s">
        <v>1244</v>
      </c>
      <c r="D111" t="s">
        <v>1037</v>
      </c>
      <c r="E111" s="20" t="s">
        <v>9</v>
      </c>
      <c r="F111" s="20" t="s">
        <v>10</v>
      </c>
      <c r="G111" s="20">
        <v>1</v>
      </c>
      <c r="H111" s="20">
        <v>0</v>
      </c>
      <c r="I111" s="21">
        <f>VLOOKUP($A111,tabCustoUnit[],COLUMN(CUSTO_GLOBAL[[#Headers],[Salário Base]])-2,0)*($G111-$H111)</f>
        <v>798.14</v>
      </c>
      <c r="J111" s="21">
        <f>VLOOKUP($A111,tabCustoUnit[],COLUMN(CUSTO_GLOBAL[[#Headers],[Adicional Periculosidade]])-2,0)*($G111-$H111)</f>
        <v>0</v>
      </c>
      <c r="K111" s="21">
        <f>VLOOKUP($A111,tabCustoUnit[],COLUMN(CUSTO_GLOBAL[[#Headers],[Adicional Insalubridade]])-2,0)*($G111-$H111)</f>
        <v>0</v>
      </c>
      <c r="L111" s="21">
        <f>VLOOKUP($A111,tabCustoUnit[],COLUMN(CUSTO_GLOBAL[[#Headers],[Adicional Noturno]])-2,0)*($G111-$H111)</f>
        <v>0</v>
      </c>
      <c r="M111" s="21">
        <f>VLOOKUP($A111,tabCustoUnit[],COLUMN(CUSTO_GLOBAL[[#Headers],[Adicional Motorista II (Gratificação)]])-2,0)*($G111-$H111)</f>
        <v>0</v>
      </c>
      <c r="N111" s="21">
        <f>VLOOKUP($A111,tabCustoUnit[],COLUMN(CUSTO_GLOBAL[[#Headers],[Adicional de Sobreaviso]])-2,0)*($G111-$H111)</f>
        <v>0</v>
      </c>
      <c r="O111" s="21">
        <f>VLOOKUP($A111,tabCustoUnit[],COLUMN(CUSTO_GLOBAL[[#Headers],[Horas Extras TI]])-2,0)*($G111-$H111)</f>
        <v>0</v>
      </c>
      <c r="P111" s="21">
        <f>VLOOKUP($A111,tabCustoUnit[],COLUMN(CUSTO_GLOBAL[[#Headers],[Adicional de Acúmulo de função]])-2,0)*($G111-$H111)</f>
        <v>26.120899999999999</v>
      </c>
      <c r="Q111" s="21">
        <f>VLOOKUP($A111,tabCustoUnit[],COLUMN(CUSTO_GLOBAL[[#Headers],[MODULO 1 - REMUNERAÇÃO ]])-2,0)*($G111-$H111)</f>
        <v>824.26089999999999</v>
      </c>
      <c r="R111" s="21">
        <f>VLOOKUP($A111,tabCustoUnit[],COLUMN(CUSTO_GLOBAL[[#Headers],[INSS]])-2,0)*($G111-$H111)</f>
        <v>164.85218</v>
      </c>
      <c r="S111" s="21">
        <f>VLOOKUP($A111,tabCustoUnit[],COLUMN(CUSTO_GLOBAL[[#Headers],[SESI OU SESC]])-2,0)*($G111-$H111)</f>
        <v>12.363913499999999</v>
      </c>
      <c r="T111" s="21">
        <f>VLOOKUP($A111,tabCustoUnit[],COLUMN(CUSTO_GLOBAL[[#Headers],[SENAI OU SENAC]])-2,0)*($G111-$H111)</f>
        <v>8.2426089999999999</v>
      </c>
      <c r="U111" s="21">
        <f>VLOOKUP($A111,tabCustoUnit[],COLUMN(CUSTO_GLOBAL[[#Headers],[INCRA]])-2,0)*($G111-$H111)</f>
        <v>1.6485217999999999</v>
      </c>
      <c r="V111" s="21">
        <f>VLOOKUP($A111,tabCustoUnit[],COLUMN(CUSTO_GLOBAL[[#Headers],[Salário Educação]])-2,0)*($G111-$H111)</f>
        <v>20.606522500000001</v>
      </c>
      <c r="W111" s="21">
        <f>VLOOKUP($A111,tabCustoUnit[],COLUMN(CUSTO_GLOBAL[[#Headers],[FGTS]])-2,0)*($G111-$H111)</f>
        <v>65.940871999999999</v>
      </c>
      <c r="X111" s="21">
        <f>VLOOKUP($A111,tabCustoUnit[],COLUMN(CUSTO_GLOBAL[[#Headers],[RAT Ajustado]])-2,0)*($G111-$H111)</f>
        <v>32.970435999999999</v>
      </c>
      <c r="Y111" s="21">
        <f>VLOOKUP($A111,tabCustoUnit[],COLUMN(CUSTO_GLOBAL[[#Headers],[SEBRAE]])-2,0)*($G111-$H111)</f>
        <v>4.9455654000000004</v>
      </c>
      <c r="Z111" s="21">
        <f>VLOOKUP($A111,tabCustoUnit[],COLUMN(CUSTO_GLOBAL[[#Headers],[Submódulo 2.1]])-2,0)*($G111-$H111)</f>
        <v>311.57062020000001</v>
      </c>
      <c r="AA111" s="21">
        <f>VLOOKUP($A111,tabCustoUnit[],COLUMN(CUSTO_GLOBAL[[#Headers],[13º salário (titular)]])-2,0)*($G111-$H111)</f>
        <v>68.688408333333328</v>
      </c>
      <c r="AB111" s="21">
        <f>VLOOKUP($A111,tabCustoUnit[],COLUMN(CUSTO_GLOBAL[[#Headers],[Férias e Adicional de Férias (titular)]])-2,0)*($G111-$H111)</f>
        <v>91.584544444444433</v>
      </c>
      <c r="AC111" s="21">
        <f>VLOOKUP($A111,tabCustoUnit[],COLUMN(CUSTO_GLOBAL[[#Headers],[Incidência do Submódulo 2.1 sobre 13º Salário, Férias e Adicional de Férias]])-2,0)*($G111-$H111)</f>
        <v>60.583176149999993</v>
      </c>
      <c r="AD111" s="21">
        <f>VLOOKUP($A111,tabCustoUnit[],COLUMN(CUSTO_GLOBAL[[#Headers],[Submódulo 2.2]])-2,0)*($G111-$H111)</f>
        <v>220.85612892777775</v>
      </c>
      <c r="AE111" s="22">
        <f>VLOOKUP($A111,tabCustoUnit[],COLUMN(CUSTO_GLOBAL[[#Headers],[Vale - Transporte (Descontada parcela do empregado)]])-2,0)*($G111-$H111)</f>
        <v>208.11160000000001</v>
      </c>
      <c r="AF111" s="22">
        <f>VLOOKUP($A111,tabCustoUnit[],COLUMN(CUSTO_GLOBAL[[#Headers],[Vale - Alimentação (Descontada parcela do empregado)]])-2,0)*($G111-$H111)</f>
        <v>582</v>
      </c>
      <c r="AG111" s="22">
        <f>VLOOKUP($A111,tabCustoUnit[],COLUMN(CUSTO_GLOBAL[[#Headers],[Cesta Básica]])-2,0)*($G111-$H111)</f>
        <v>0</v>
      </c>
      <c r="AH111" s="22">
        <f>VLOOKUP($A111,tabCustoUnit[],COLUMN(CUSTO_GLOBAL[[#Headers],[PAF]])-2,0)*($G111-$H111)</f>
        <v>51.86</v>
      </c>
      <c r="AI111" s="22">
        <f>VLOOKUP($A111,tabCustoUnit[],COLUMN(CUSTO_GLOBAL[[#Headers],[PQM]])-2,0)*($G111-$H111)</f>
        <v>0</v>
      </c>
      <c r="AJ111" s="22">
        <v>0</v>
      </c>
      <c r="AK111" s="22">
        <f>VLOOKUP($A111,tabCustoUnit[],COLUMN(CUSTO_GLOBAL[[#Headers],[Seguro de Vida]])-2,0)*($G111-$H111)</f>
        <v>3.36</v>
      </c>
      <c r="AL111" s="22">
        <f>VLOOKUP($A111,tabCustoUnit[],COLUMN(CUSTO_GLOBAL[[#Headers],[Despesas de Viagem]])-2,0)*($G111-$H111)</f>
        <v>0</v>
      </c>
      <c r="AM111" s="22">
        <f>VLOOKUP($A111,tabCustoUnit[],COLUMN(CUSTO_GLOBAL[[#Headers],[Submódulo 2.3]])-2,0)*($G111-$H111)</f>
        <v>845.33159999999998</v>
      </c>
      <c r="AN111" s="22">
        <f>VLOOKUP($A111,tabCustoUnit[],COLUMN(CUSTO_GLOBAL[[#Headers],[MÓDULO 2 - Total Encargos e Benefícios mensais e diários]])-2,0)*($G111-$H111)</f>
        <v>1377.7583491277778</v>
      </c>
      <c r="AO111" s="22">
        <f>VLOOKUP($A111,tabCustoUnit[],COLUMN(CUSTO_GLOBAL[[#Headers],[Aviso Prévio Indenizado (API) e Reflexo do Aviso Prévio Indenizado]])-2,0)*($G111-$H111)</f>
        <v>5.7795253576581791</v>
      </c>
      <c r="AP111" s="22">
        <f>VLOOKUP($A111,tabCustoUnit[],COLUMN(CUSTO_GLOBAL[[#Headers],[Incidência do FGTS sobre API e Reflexo do API]])-2,0)*($G111-$H111)</f>
        <v>0.46236202861265435</v>
      </c>
      <c r="AQ111" s="22">
        <f>VLOOKUP($A111,tabCustoUnit[],COLUMN(CUSTO_GLOBAL[[#Headers],[Multa Rescisória do FGTS sobre o Aviso Prévio Indenizado]])-2,0)*($G111-$H111)</f>
        <v>0.18494481144506175</v>
      </c>
      <c r="AR111" s="22">
        <f>VLOOKUP($A111,tabCustoUnit[],COLUMN(CUSTO_GLOBAL[[#Headers],[Aviso Prévio Trabalhado - APT]])-2,0)*($G111-$H111)</f>
        <v>2.8849131500000005</v>
      </c>
      <c r="AS111" s="22">
        <f>VLOOKUP($A111,tabCustoUnit[],COLUMN(CUSTO_GLOBAL[[#Headers],[Incidência dos encargos do submódulo 2.1 sobre Aviso Prévio Trabalhado]])-2,0)*($G111-$H111)</f>
        <v>1.0904971707000004</v>
      </c>
      <c r="AT111" s="22">
        <f>VLOOKUP($A111,tabCustoUnit[],COLUMN(CUSTO_GLOBAL[[#Headers],[Multa Rescisória do FGTS]])-2,0)*($G111-$H111)</f>
        <v>25.204066631111107</v>
      </c>
      <c r="AU111" s="22">
        <f>VLOOKUP($A111,tabCustoUnit[],COLUMN(CUSTO_GLOBAL[[#Headers],[Indenização Adicional (Art. 9º da Lei nº 7.238/84)]])-2,0)*($G111-$H111)</f>
        <v>0.6868840833333334</v>
      </c>
      <c r="AV111" s="22">
        <f>VLOOKUP($A111,tabCustoUnit[],COLUMN(CUSTO_GLOBAL[[#Headers],[MÓDULO 3 – PROVISÃO PARA RESCISÃO]])-2,0)*($G111-$H111)</f>
        <v>36.293193232860339</v>
      </c>
      <c r="AW111" s="22">
        <f>VLOOKUP($A111,tabCustoUnit[],COLUMN(CUSTO_GLOBAL[[#Headers],[Ausência por Doença]])-2,0)*($G111-$H111)</f>
        <v>6.9604253777777769</v>
      </c>
      <c r="AX111" s="22">
        <f>VLOOKUP($A111,tabCustoUnit[],COLUMN(CUSTO_GLOBAL[[#Headers],[Ausências Legais]])-2,0)*($G111-$H111)</f>
        <v>1.671417936111111</v>
      </c>
      <c r="AY111" s="22">
        <f>VLOOKUP($A111,tabCustoUnit[],COLUMN(CUSTO_GLOBAL[[#Headers],[Licença Paternidade]])-2,0)*($G111-$H111)</f>
        <v>0.14081123708333332</v>
      </c>
      <c r="AZ111" s="22">
        <f>VLOOKUP($A111,tabCustoUnit[],COLUMN(CUSTO_GLOBAL[[#Headers],[Ausência por Acidente de Trabalho]])-2,0)*($G111-$H111)</f>
        <v>0.17172102083333335</v>
      </c>
      <c r="BA111" s="22">
        <f>VLOOKUP($A111,tabCustoUnit[],COLUMN(CUSTO_GLOBAL[[#Headers],[Férias, Adicional de Férias e 13º  com empregada em gozo de Licença Maternidade]])-2,0)*($G111-$H111)</f>
        <v>1.0684863518518517</v>
      </c>
      <c r="BB111" s="22">
        <f>VLOOKUP($A111,tabCustoUnit[],COLUMN(CUSTO_GLOBAL[[#Headers],[Incidência do Submódulo 2.1 sobre Ausências Legais]])-2,0)*($G111-$H111)</f>
        <v>3.7848618071425006</v>
      </c>
      <c r="BC111" s="22">
        <f>VLOOKUP($A111,tabCustoUnit[],COLUMN(CUSTO_GLOBAL[[#Headers],[Submódulo 4.1]])-2,0)*($G111-$H111)</f>
        <v>13.797723730799909</v>
      </c>
      <c r="BD111" s="22">
        <f>VLOOKUP($A111,tabCustoUnit[],COLUMN(CUSTO_GLOBAL[[#Headers],[Intervalo para Repouso ou Alimentação]])-2,0)*($G111-$H111)</f>
        <v>0</v>
      </c>
      <c r="BE111" s="22">
        <f>VLOOKUP($A111,tabCustoUnit[],COLUMN(CUSTO_GLOBAL[[#Headers],[Submódulo 4.2]])-2,0)*($G111-$H111)</f>
        <v>0</v>
      </c>
      <c r="BF111" s="22">
        <f>VLOOKUP($A111,tabCustoUnit[],COLUMN(CUSTO_GLOBAL[[#Headers],[Suspensão Temporária do Contrato de Trabalho]])-2,0)*($G111-$H111)</f>
        <v>0</v>
      </c>
      <c r="BG111" s="22">
        <f>VLOOKUP($A111,tabCustoUnit[],COLUMN(CUSTO_GLOBAL[[#Headers],[Submódulo 4.3]])-2,0)*($G111-$H111)</f>
        <v>0</v>
      </c>
      <c r="BH111" s="22">
        <f>VLOOKUP($A111,tabCustoUnit[],COLUMN(CUSTO_GLOBAL[[#Headers],[MÓDULO 4 – CUSTO DE REPOSIÇÃO DO PROFISSIONAL AUSENTE]])-2,0)*($G111-$H111)</f>
        <v>13.797723730799909</v>
      </c>
      <c r="BI111" s="22">
        <f>VLOOKUP($A111,tabCustoUnit[],COLUMN(CUSTO_GLOBAL[[#Headers],[Uniformes e EPIs]])-2,0)*($G111-$H111)</f>
        <v>62.806666666666665</v>
      </c>
      <c r="BJ111" s="22">
        <f>VLOOKUP($A111,tabCustoUnit[],COLUMN(CUSTO_GLOBAL[[#Headers],[Materiais de Consumo]])-2,0)*($G111-$H111)</f>
        <v>17.759106479291944</v>
      </c>
      <c r="BK111" s="22">
        <f>VLOOKUP($A111,tabCustoUnit[],COLUMN(CUSTO_GLOBAL[[#Headers],[Máquinas e Equipamentos (depreciação)]])-2,0)*($G111-$H111)</f>
        <v>32.264696957412788</v>
      </c>
      <c r="BL111" s="22">
        <f>VLOOKUP($A111,tabCustoUnit[],COLUMN(CUSTO_GLOBAL[[#Headers],[Produtos de Limpeza e Materiais de Higiene Pessoal]])-2,0)*($G111-$H111)</f>
        <v>345.13576638965827</v>
      </c>
      <c r="BM111" s="22">
        <f>VLOOKUP($A111,tabCustoUnit[],COLUMN(CUSTO_GLOBAL[[#Headers],[Outros (especificar)]])-2,0)*($G111-$H111)</f>
        <v>0</v>
      </c>
      <c r="BN111" s="22">
        <f>VLOOKUP($A111,tabCustoUnit[],COLUMN(CUSTO_GLOBAL[[#Headers],[MÓDULO 5 – INSUMOS DIVERSOS]])-2,0)*($G111-$H111)</f>
        <v>457.96623649302967</v>
      </c>
      <c r="BO111" s="22">
        <f>VLOOKUP($A111,tabCustoUnit[],COLUMN(CUSTO_GLOBAL[[#Headers],[TOTAL MÓDULOS 1+2+3+4+5]])-2,0)*($G111-$H111)</f>
        <v>2710.0764025844674</v>
      </c>
      <c r="BP111" s="22">
        <f>VLOOKUP($A111,tabCustoUnit[],COLUMN(CUSTO_GLOBAL[[#Headers],[Custos Indiretos]])-2,0)*($G111-$H111)</f>
        <v>189.64880140242613</v>
      </c>
      <c r="BQ111" s="22">
        <f>VLOOKUP($A111,tabCustoUnit[],COLUMN(CUSTO_GLOBAL[[#Headers],[Lucro]])-2,0)*($G111-$H111)</f>
        <v>159.30499317803796</v>
      </c>
      <c r="BR111" s="26">
        <f>VLOOKUP($A111,tabCustoUnit[],COLUMN(CUSTO_GLOBAL[[#Headers],[COFINS]])-2,0)</f>
        <v>8.8629737609329504E-2</v>
      </c>
      <c r="BS111" s="26">
        <f>VLOOKUP($A111,tabCustoUnit[],COLUMN(CUSTO_GLOBAL[[#Headers],[PIS]])-2,0)</f>
        <v>1.9241982507288629E-2</v>
      </c>
      <c r="BT111" s="28">
        <f>VLOOKUP($A111,tabCustoUnit[],COLUMN(CUSTO_GLOBAL[[#Headers],[ISS]])-2,0)</f>
        <v>0.05</v>
      </c>
      <c r="BU111" s="26">
        <f>VLOOKUP($A111,tabCustoUnit[],COLUMN(CUSTO_GLOBAL[[#Headers],[ISS (Conversão Alíquota s/ fatura)]])-2,0)</f>
        <v>5.8309037900874633E-2</v>
      </c>
      <c r="BV111" s="26">
        <f>VLOOKUP($A111,tabCustoUnit[],COLUMN(CUSTO_GLOBAL[[#Headers],[Resumo de Alíquotas (PIS+CONFINS+ISS)]])-2,0)</f>
        <v>0.14250000000000002</v>
      </c>
      <c r="BW111" s="138">
        <f>VLOOKUP($A111,tabCustoUnit[],COLUMN(CUSTO_GLOBAL[[#Headers],[PIS + COFINS + ISS (Total Conversão  Alíquota s/ Fatura)]])-2,0)</f>
        <v>0.16618075801749277</v>
      </c>
      <c r="BX111" s="22">
        <f>VLOOKUP($A111,tabCustoUnit[],COLUMN(CUSTO_GLOBAL[[#Headers],[Valor dos Tributos (ISS, PIS, CONFINS)]])-2,0)*($G111-$H111)</f>
        <v>508.35195696326866</v>
      </c>
      <c r="BY111" s="22">
        <f>VLOOKUP($A111,tabCustoUnit[],COLUMN(CUSTO_GLOBAL[[#Headers],[MÓDULO 6 – CUSTOS INDIRETOS, TRIBUTOS E LUCRO]])-2,0)*($G111-$H111)</f>
        <v>857.30575154373275</v>
      </c>
      <c r="BZ111" s="22">
        <f>VLOOKUP($A111,tabCustoUnit[],COLUMN(CUSTO_GLOBAL[[#Headers],[CUSTO TOTAL MENSAL]])-2,0)*($G111-$H111)</f>
        <v>3567.3821541282</v>
      </c>
      <c r="CA111" s="22">
        <f>CUSTO_GLOBAL[[#This Row],[CUSTO TOTAL MENSAL]]*12</f>
        <v>42808.585849538402</v>
      </c>
      <c r="CB111" s="24">
        <f>VLOOKUP($A111,tabCustoUnit[],COLUMN(CUSTO_GLOBAL[[#Headers],[ANO DA CCT]])-2,0)</f>
        <v>45658</v>
      </c>
      <c r="CC111" s="25" t="str">
        <f>VLOOKUP($A111,tabCustoUnit[],COLUMN(CUSTO_GLOBAL[[#Headers],[Nº DE PEDIDO DA CCT]])-2,0)</f>
        <v>-</v>
      </c>
      <c r="CD111" s="25" t="str">
        <f>VLOOKUP($A111,tabCustoUnit[],COLUMN(CUSTO_GLOBAL[[#Headers],[TERMO ADITIVO  ALTERAÇÃO DA CCT]])-2,0)</f>
        <v>-</v>
      </c>
      <c r="CF111" s="22"/>
      <c r="CG111" s="22"/>
    </row>
    <row r="112" spans="1:85" x14ac:dyDescent="0.25">
      <c r="A112" s="20" t="s">
        <v>1451</v>
      </c>
      <c r="B112" t="s">
        <v>104</v>
      </c>
      <c r="C112" t="s">
        <v>1247</v>
      </c>
      <c r="D112" t="s">
        <v>1000</v>
      </c>
      <c r="E112" s="20" t="s">
        <v>9</v>
      </c>
      <c r="F112" s="20" t="s">
        <v>10</v>
      </c>
      <c r="G112" s="20">
        <v>1</v>
      </c>
      <c r="H112" s="20">
        <v>0</v>
      </c>
      <c r="I112" s="21">
        <f>VLOOKUP($A112,tabCustoUnit[],COLUMN(CUSTO_GLOBAL[[#Headers],[Salário Base]])-2,0)*($G112-$H112)</f>
        <v>544.17999999999995</v>
      </c>
      <c r="J112" s="21">
        <f>VLOOKUP($A112,tabCustoUnit[],COLUMN(CUSTO_GLOBAL[[#Headers],[Adicional Periculosidade]])-2,0)*($G112-$H112)</f>
        <v>0</v>
      </c>
      <c r="K112" s="21">
        <f>VLOOKUP($A112,tabCustoUnit[],COLUMN(CUSTO_GLOBAL[[#Headers],[Adicional Insalubridade]])-2,0)*($G112-$H112)</f>
        <v>0</v>
      </c>
      <c r="L112" s="21">
        <f>VLOOKUP($A112,tabCustoUnit[],COLUMN(CUSTO_GLOBAL[[#Headers],[Adicional Noturno]])-2,0)*($G112-$H112)</f>
        <v>0</v>
      </c>
      <c r="M112" s="21">
        <f>VLOOKUP($A112,tabCustoUnit[],COLUMN(CUSTO_GLOBAL[[#Headers],[Adicional Motorista II (Gratificação)]])-2,0)*($G112-$H112)</f>
        <v>0</v>
      </c>
      <c r="N112" s="21">
        <f>VLOOKUP($A112,tabCustoUnit[],COLUMN(CUSTO_GLOBAL[[#Headers],[Adicional de Sobreaviso]])-2,0)*($G112-$H112)</f>
        <v>0</v>
      </c>
      <c r="O112" s="21">
        <f>VLOOKUP($A112,tabCustoUnit[],COLUMN(CUSTO_GLOBAL[[#Headers],[Horas Extras TI]])-2,0)*($G112-$H112)</f>
        <v>0</v>
      </c>
      <c r="P112" s="21">
        <f>VLOOKUP($A112,tabCustoUnit[],COLUMN(CUSTO_GLOBAL[[#Headers],[Adicional de Acúmulo de função]])-2,0)*($G112-$H112)</f>
        <v>19.590499999999999</v>
      </c>
      <c r="Q112" s="21">
        <f>VLOOKUP($A112,tabCustoUnit[],COLUMN(CUSTO_GLOBAL[[#Headers],[MODULO 1 - REMUNERAÇÃO ]])-2,0)*($G112-$H112)</f>
        <v>563.77049999999997</v>
      </c>
      <c r="R112" s="21">
        <f>VLOOKUP($A112,tabCustoUnit[],COLUMN(CUSTO_GLOBAL[[#Headers],[INSS]])-2,0)*($G112-$H112)</f>
        <v>112.75409999999999</v>
      </c>
      <c r="S112" s="21">
        <f>VLOOKUP($A112,tabCustoUnit[],COLUMN(CUSTO_GLOBAL[[#Headers],[SESI OU SESC]])-2,0)*($G112-$H112)</f>
        <v>8.4565574999999988</v>
      </c>
      <c r="T112" s="21">
        <f>VLOOKUP($A112,tabCustoUnit[],COLUMN(CUSTO_GLOBAL[[#Headers],[SENAI OU SENAC]])-2,0)*($G112-$H112)</f>
        <v>5.6377049999999995</v>
      </c>
      <c r="U112" s="21">
        <f>VLOOKUP($A112,tabCustoUnit[],COLUMN(CUSTO_GLOBAL[[#Headers],[INCRA]])-2,0)*($G112-$H112)</f>
        <v>1.1275409999999999</v>
      </c>
      <c r="V112" s="21">
        <f>VLOOKUP($A112,tabCustoUnit[],COLUMN(CUSTO_GLOBAL[[#Headers],[Salário Educação]])-2,0)*($G112-$H112)</f>
        <v>14.094262499999999</v>
      </c>
      <c r="W112" s="21">
        <f>VLOOKUP($A112,tabCustoUnit[],COLUMN(CUSTO_GLOBAL[[#Headers],[FGTS]])-2,0)*($G112-$H112)</f>
        <v>45.101639999999996</v>
      </c>
      <c r="X112" s="21">
        <f>VLOOKUP($A112,tabCustoUnit[],COLUMN(CUSTO_GLOBAL[[#Headers],[RAT Ajustado]])-2,0)*($G112-$H112)</f>
        <v>22.550819999999998</v>
      </c>
      <c r="Y112" s="21">
        <f>VLOOKUP($A112,tabCustoUnit[],COLUMN(CUSTO_GLOBAL[[#Headers],[SEBRAE]])-2,0)*($G112-$H112)</f>
        <v>3.3826229999999997</v>
      </c>
      <c r="Z112" s="21">
        <f>VLOOKUP($A112,tabCustoUnit[],COLUMN(CUSTO_GLOBAL[[#Headers],[Submódulo 2.1]])-2,0)*($G112-$H112)</f>
        <v>213.10524899999996</v>
      </c>
      <c r="AA112" s="21">
        <f>VLOOKUP($A112,tabCustoUnit[],COLUMN(CUSTO_GLOBAL[[#Headers],[13º salário (titular)]])-2,0)*($G112-$H112)</f>
        <v>46.980874999999997</v>
      </c>
      <c r="AB112" s="21">
        <f>VLOOKUP($A112,tabCustoUnit[],COLUMN(CUSTO_GLOBAL[[#Headers],[Férias e Adicional de Férias (titular)]])-2,0)*($G112-$H112)</f>
        <v>62.641166666666663</v>
      </c>
      <c r="AC112" s="21">
        <f>VLOOKUP($A112,tabCustoUnit[],COLUMN(CUSTO_GLOBAL[[#Headers],[Incidência do Submódulo 2.1 sobre 13º Salário, Férias e Adicional de Férias]])-2,0)*($G112-$H112)</f>
        <v>41.437131749999992</v>
      </c>
      <c r="AD112" s="21">
        <f>VLOOKUP($A112,tabCustoUnit[],COLUMN(CUSTO_GLOBAL[[#Headers],[Submódulo 2.2]])-2,0)*($G112-$H112)</f>
        <v>151.05917341666665</v>
      </c>
      <c r="AE112" s="22">
        <f>VLOOKUP($A112,tabCustoUnit[],COLUMN(CUSTO_GLOBAL[[#Headers],[Vale - Transporte (Descontada parcela do empregado)]])-2,0)*($G112-$H112)</f>
        <v>223.3492</v>
      </c>
      <c r="AF112" s="22">
        <f>VLOOKUP($A112,tabCustoUnit[],COLUMN(CUSTO_GLOBAL[[#Headers],[Vale - Alimentação (Descontada parcela do empregado)]])-2,0)*($G112-$H112)</f>
        <v>582</v>
      </c>
      <c r="AG112" s="22">
        <f>VLOOKUP($A112,tabCustoUnit[],COLUMN(CUSTO_GLOBAL[[#Headers],[Cesta Básica]])-2,0)*($G112-$H112)</f>
        <v>0</v>
      </c>
      <c r="AH112" s="22">
        <f>VLOOKUP($A112,tabCustoUnit[],COLUMN(CUSTO_GLOBAL[[#Headers],[PAF]])-2,0)*($G112-$H112)</f>
        <v>0</v>
      </c>
      <c r="AI112" s="22">
        <f>VLOOKUP($A112,tabCustoUnit[],COLUMN(CUSTO_GLOBAL[[#Headers],[PQM]])-2,0)*($G112-$H112)</f>
        <v>15.07</v>
      </c>
      <c r="AJ112" s="22">
        <v>0</v>
      </c>
      <c r="AK112" s="22">
        <f>VLOOKUP($A112,tabCustoUnit[],COLUMN(CUSTO_GLOBAL[[#Headers],[Seguro de Vida]])-2,0)*($G112-$H112)</f>
        <v>3.36</v>
      </c>
      <c r="AL112" s="22">
        <f>VLOOKUP($A112,tabCustoUnit[],COLUMN(CUSTO_GLOBAL[[#Headers],[Despesas de Viagem]])-2,0)*($G112-$H112)</f>
        <v>0</v>
      </c>
      <c r="AM112" s="22">
        <f>VLOOKUP($A112,tabCustoUnit[],COLUMN(CUSTO_GLOBAL[[#Headers],[Submódulo 2.3]])-2,0)*($G112-$H112)</f>
        <v>823.77920000000006</v>
      </c>
      <c r="AN112" s="22">
        <f>VLOOKUP($A112,tabCustoUnit[],COLUMN(CUSTO_GLOBAL[[#Headers],[MÓDULO 2 - Total Encargos e Benefícios mensais e diários]])-2,0)*($G112-$H112)</f>
        <v>1187.9436224166666</v>
      </c>
      <c r="AO112" s="22">
        <f>VLOOKUP($A112,tabCustoUnit[],COLUMN(CUSTO_GLOBAL[[#Headers],[Aviso Prévio Indenizado (API) e Reflexo do Aviso Prévio Indenizado]])-2,0)*($G112-$H112)</f>
        <v>3.9530273735532404</v>
      </c>
      <c r="AP112" s="22">
        <f>VLOOKUP($A112,tabCustoUnit[],COLUMN(CUSTO_GLOBAL[[#Headers],[Incidência do FGTS sobre API e Reflexo do API]])-2,0)*($G112-$H112)</f>
        <v>0.31624218988425928</v>
      </c>
      <c r="AQ112" s="22">
        <f>VLOOKUP($A112,tabCustoUnit[],COLUMN(CUSTO_GLOBAL[[#Headers],[Multa Rescisória do FGTS sobre o Aviso Prévio Indenizado]])-2,0)*($G112-$H112)</f>
        <v>0.12649687595370371</v>
      </c>
      <c r="AR112" s="22">
        <f>VLOOKUP($A112,tabCustoUnit[],COLUMN(CUSTO_GLOBAL[[#Headers],[Aviso Prévio Trabalhado - APT]])-2,0)*($G112-$H112)</f>
        <v>1.9731967500000003</v>
      </c>
      <c r="AS112" s="22">
        <f>VLOOKUP($A112,tabCustoUnit[],COLUMN(CUSTO_GLOBAL[[#Headers],[Incidência dos encargos do submódulo 2.1 sobre Aviso Prévio Trabalhado]])-2,0)*($G112-$H112)</f>
        <v>0.74586837150000018</v>
      </c>
      <c r="AT112" s="22">
        <f>VLOOKUP($A112,tabCustoUnit[],COLUMN(CUSTO_GLOBAL[[#Headers],[Multa Rescisória do FGTS]])-2,0)*($G112-$H112)</f>
        <v>17.238849066666663</v>
      </c>
      <c r="AU112" s="22">
        <f>VLOOKUP($A112,tabCustoUnit[],COLUMN(CUSTO_GLOBAL[[#Headers],[Indenização Adicional (Art. 9º da Lei nº 7.238/84)]])-2,0)*($G112-$H112)</f>
        <v>0.46980875</v>
      </c>
      <c r="AV112" s="22">
        <f>VLOOKUP($A112,tabCustoUnit[],COLUMN(CUSTO_GLOBAL[[#Headers],[MÓDULO 3 – PROVISÃO PARA RESCISÃO]])-2,0)*($G112-$H112)</f>
        <v>24.823489377557866</v>
      </c>
      <c r="AW112" s="22">
        <f>VLOOKUP($A112,tabCustoUnit[],COLUMN(CUSTO_GLOBAL[[#Headers],[Ausência por Doença]])-2,0)*($G112-$H112)</f>
        <v>4.7607286666666662</v>
      </c>
      <c r="AX112" s="22">
        <f>VLOOKUP($A112,tabCustoUnit[],COLUMN(CUSTO_GLOBAL[[#Headers],[Ausências Legais]])-2,0)*($G112-$H112)</f>
        <v>1.1432012916666665</v>
      </c>
      <c r="AY112" s="22">
        <f>VLOOKUP($A112,tabCustoUnit[],COLUMN(CUSTO_GLOBAL[[#Headers],[Licença Paternidade]])-2,0)*($G112-$H112)</f>
        <v>9.6310793749999998E-2</v>
      </c>
      <c r="AZ112" s="22">
        <f>VLOOKUP($A112,tabCustoUnit[],COLUMN(CUSTO_GLOBAL[[#Headers],[Ausência por Acidente de Trabalho]])-2,0)*($G112-$H112)</f>
        <v>0.1174521875</v>
      </c>
      <c r="BA112" s="22">
        <f>VLOOKUP($A112,tabCustoUnit[],COLUMN(CUSTO_GLOBAL[[#Headers],[Férias, Adicional de Férias e 13º  com empregada em gozo de Licença Maternidade]])-2,0)*($G112-$H112)</f>
        <v>0.73081361111111109</v>
      </c>
      <c r="BB112" s="22">
        <f>VLOOKUP($A112,tabCustoUnit[],COLUMN(CUSTO_GLOBAL[[#Headers],[Incidência do Submódulo 2.1 sobre Ausências Legais]])-2,0)*($G112-$H112)</f>
        <v>2.5887354761625003</v>
      </c>
      <c r="BC112" s="22">
        <f>VLOOKUP($A112,tabCustoUnit[],COLUMN(CUSTO_GLOBAL[[#Headers],[Submódulo 4.1]])-2,0)*($G112-$H112)</f>
        <v>9.4372420268569428</v>
      </c>
      <c r="BD112" s="22">
        <f>VLOOKUP($A112,tabCustoUnit[],COLUMN(CUSTO_GLOBAL[[#Headers],[Intervalo para Repouso ou Alimentação]])-2,0)*($G112-$H112)</f>
        <v>0</v>
      </c>
      <c r="BE112" s="22">
        <f>VLOOKUP($A112,tabCustoUnit[],COLUMN(CUSTO_GLOBAL[[#Headers],[Submódulo 4.2]])-2,0)*($G112-$H112)</f>
        <v>0</v>
      </c>
      <c r="BF112" s="22">
        <f>VLOOKUP($A112,tabCustoUnit[],COLUMN(CUSTO_GLOBAL[[#Headers],[Suspensão Temporária do Contrato de Trabalho]])-2,0)*($G112-$H112)</f>
        <v>0</v>
      </c>
      <c r="BG112" s="22">
        <f>VLOOKUP($A112,tabCustoUnit[],COLUMN(CUSTO_GLOBAL[[#Headers],[Submódulo 4.3]])-2,0)*($G112-$H112)</f>
        <v>0</v>
      </c>
      <c r="BH112" s="22">
        <f>VLOOKUP($A112,tabCustoUnit[],COLUMN(CUSTO_GLOBAL[[#Headers],[MÓDULO 4 – CUSTO DE REPOSIÇÃO DO PROFISSIONAL AUSENTE]])-2,0)*($G112-$H112)</f>
        <v>9.4372420268569428</v>
      </c>
      <c r="BI112" s="22">
        <f>VLOOKUP($A112,tabCustoUnit[],COLUMN(CUSTO_GLOBAL[[#Headers],[Uniformes e EPIs]])-2,0)*($G112-$H112)</f>
        <v>62.806666666666665</v>
      </c>
      <c r="BJ112" s="22">
        <f>VLOOKUP($A112,tabCustoUnit[],COLUMN(CUSTO_GLOBAL[[#Headers],[Materiais de Consumo]])-2,0)*($G112-$H112)</f>
        <v>12.108481690426325</v>
      </c>
      <c r="BK112" s="22">
        <f>VLOOKUP($A112,tabCustoUnit[],COLUMN(CUSTO_GLOBAL[[#Headers],[Máquinas e Equipamentos (depreciação)]])-2,0)*($G112-$H112)</f>
        <v>21.998657016417809</v>
      </c>
      <c r="BL112" s="22">
        <f>VLOOKUP($A112,tabCustoUnit[],COLUMN(CUSTO_GLOBAL[[#Headers],[Produtos de Limpeza e Materiais de Higiene Pessoal]])-2,0)*($G112-$H112)</f>
        <v>235.31984072022155</v>
      </c>
      <c r="BM112" s="22">
        <f>VLOOKUP($A112,tabCustoUnit[],COLUMN(CUSTO_GLOBAL[[#Headers],[Outros (especificar)]])-2,0)*($G112-$H112)</f>
        <v>0</v>
      </c>
      <c r="BN112" s="22">
        <f>VLOOKUP($A112,tabCustoUnit[],COLUMN(CUSTO_GLOBAL[[#Headers],[MÓDULO 5 – INSUMOS DIVERSOS]])-2,0)*($G112-$H112)</f>
        <v>332.23364609373232</v>
      </c>
      <c r="BO112" s="22">
        <f>VLOOKUP($A112,tabCustoUnit[],COLUMN(CUSTO_GLOBAL[[#Headers],[TOTAL MÓDULOS 1+2+3+4+5]])-2,0)*($G112-$H112)</f>
        <v>2118.2084999148137</v>
      </c>
      <c r="BP112" s="22">
        <f>VLOOKUP($A112,tabCustoUnit[],COLUMN(CUSTO_GLOBAL[[#Headers],[Custos Indiretos]])-2,0)*($G112-$H112)</f>
        <v>189.64880140242613</v>
      </c>
      <c r="BQ112" s="22">
        <f>VLOOKUP($A112,tabCustoUnit[],COLUMN(CUSTO_GLOBAL[[#Headers],[Lucro]])-2,0)*($G112-$H112)</f>
        <v>159.30499317803796</v>
      </c>
      <c r="BR112" s="26">
        <f>VLOOKUP($A112,tabCustoUnit[],COLUMN(CUSTO_GLOBAL[[#Headers],[COFINS]])-2,0)</f>
        <v>8.8629737609329504E-2</v>
      </c>
      <c r="BS112" s="26">
        <f>VLOOKUP($A112,tabCustoUnit[],COLUMN(CUSTO_GLOBAL[[#Headers],[PIS]])-2,0)</f>
        <v>1.9241982507288629E-2</v>
      </c>
      <c r="BT112" s="28">
        <f>VLOOKUP($A112,tabCustoUnit[],COLUMN(CUSTO_GLOBAL[[#Headers],[ISS]])-2,0)</f>
        <v>0.05</v>
      </c>
      <c r="BU112" s="26">
        <f>VLOOKUP($A112,tabCustoUnit[],COLUMN(CUSTO_GLOBAL[[#Headers],[ISS (Conversão Alíquota s/ fatura)]])-2,0)</f>
        <v>5.8309037900874633E-2</v>
      </c>
      <c r="BV112" s="26">
        <f>VLOOKUP($A112,tabCustoUnit[],COLUMN(CUSTO_GLOBAL[[#Headers],[Resumo de Alíquotas (PIS+CONFINS+ISS)]])-2,0)</f>
        <v>0.14250000000000002</v>
      </c>
      <c r="BW112" s="138">
        <f>VLOOKUP($A112,tabCustoUnit[],COLUMN(CUSTO_GLOBAL[[#Headers],[PIS + COFINS + ISS (Total Conversão  Alíquota s/ Fatura)]])-2,0)</f>
        <v>0.16618075801749277</v>
      </c>
      <c r="BX112" s="22">
        <f>VLOOKUP($A112,tabCustoUnit[],COLUMN(CUSTO_GLOBAL[[#Headers],[Valor dos Tributos (ISS, PIS, CONFINS)]])-2,0)*($G112-$H112)</f>
        <v>409.99490025140199</v>
      </c>
      <c r="BY112" s="22">
        <f>VLOOKUP($A112,tabCustoUnit[],COLUMN(CUSTO_GLOBAL[[#Headers],[MÓDULO 6 – CUSTOS INDIRETOS, TRIBUTOS E LUCRO]])-2,0)*($G112-$H112)</f>
        <v>758.94869483186608</v>
      </c>
      <c r="BZ112" s="22">
        <f>VLOOKUP($A112,tabCustoUnit[],COLUMN(CUSTO_GLOBAL[[#Headers],[CUSTO TOTAL MENSAL]])-2,0)*($G112-$H112)</f>
        <v>2877.15719474668</v>
      </c>
      <c r="CA112" s="22">
        <f>CUSTO_GLOBAL[[#This Row],[CUSTO TOTAL MENSAL]]*12</f>
        <v>34525.88633696016</v>
      </c>
      <c r="CB112" s="24">
        <f>VLOOKUP($A112,tabCustoUnit[],COLUMN(CUSTO_GLOBAL[[#Headers],[ANO DA CCT]])-2,0)</f>
        <v>45658</v>
      </c>
      <c r="CC112" s="25" t="str">
        <f>VLOOKUP($A112,tabCustoUnit[],COLUMN(CUSTO_GLOBAL[[#Headers],[Nº DE PEDIDO DA CCT]])-2,0)</f>
        <v>-</v>
      </c>
      <c r="CD112" s="25" t="str">
        <f>VLOOKUP($A112,tabCustoUnit[],COLUMN(CUSTO_GLOBAL[[#Headers],[TERMO ADITIVO  ALTERAÇÃO DA CCT]])-2,0)</f>
        <v>-</v>
      </c>
      <c r="CF112" s="22"/>
      <c r="CG112" s="22"/>
    </row>
    <row r="113" spans="1:85" x14ac:dyDescent="0.25">
      <c r="A113" s="20" t="s">
        <v>1090</v>
      </c>
      <c r="B113" t="s">
        <v>105</v>
      </c>
      <c r="C113" t="s">
        <v>1244</v>
      </c>
      <c r="D113" t="s">
        <v>1035</v>
      </c>
      <c r="E113" s="20" t="s">
        <v>9</v>
      </c>
      <c r="F113" s="20" t="s">
        <v>10</v>
      </c>
      <c r="G113" s="20">
        <v>1</v>
      </c>
      <c r="H113" s="20">
        <v>0</v>
      </c>
      <c r="I113" s="21">
        <f>VLOOKUP($A113,tabCustoUnit[],COLUMN(CUSTO_GLOBAL[[#Headers],[Salário Base]])-2,0)*($G113-$H113)</f>
        <v>824.56</v>
      </c>
      <c r="J113" s="21">
        <f>VLOOKUP($A113,tabCustoUnit[],COLUMN(CUSTO_GLOBAL[[#Headers],[Adicional Periculosidade]])-2,0)*($G113-$H113)</f>
        <v>0</v>
      </c>
      <c r="K113" s="21">
        <f>VLOOKUP($A113,tabCustoUnit[],COLUMN(CUSTO_GLOBAL[[#Headers],[Adicional Insalubridade]])-2,0)*($G113-$H113)</f>
        <v>0</v>
      </c>
      <c r="L113" s="21">
        <f>VLOOKUP($A113,tabCustoUnit[],COLUMN(CUSTO_GLOBAL[[#Headers],[Adicional Noturno]])-2,0)*($G113-$H113)</f>
        <v>0</v>
      </c>
      <c r="M113" s="21">
        <f>VLOOKUP($A113,tabCustoUnit[],COLUMN(CUSTO_GLOBAL[[#Headers],[Adicional Motorista II (Gratificação)]])-2,0)*($G113-$H113)</f>
        <v>0</v>
      </c>
      <c r="N113" s="21">
        <f>VLOOKUP($A113,tabCustoUnit[],COLUMN(CUSTO_GLOBAL[[#Headers],[Adicional de Sobreaviso]])-2,0)*($G113-$H113)</f>
        <v>0</v>
      </c>
      <c r="O113" s="21">
        <f>VLOOKUP($A113,tabCustoUnit[],COLUMN(CUSTO_GLOBAL[[#Headers],[Horas Extras TI]])-2,0)*($G113-$H113)</f>
        <v>0</v>
      </c>
      <c r="P113" s="21">
        <f>VLOOKUP($A113,tabCustoUnit[],COLUMN(CUSTO_GLOBAL[[#Headers],[Adicional de Acúmulo de função]])-2,0)*($G113-$H113)</f>
        <v>26.985600000000002</v>
      </c>
      <c r="Q113" s="21">
        <f>VLOOKUP($A113,tabCustoUnit[],COLUMN(CUSTO_GLOBAL[[#Headers],[MODULO 1 - REMUNERAÇÃO ]])-2,0)*($G113-$H113)</f>
        <v>851.54559999999992</v>
      </c>
      <c r="R113" s="21">
        <f>VLOOKUP($A113,tabCustoUnit[],COLUMN(CUSTO_GLOBAL[[#Headers],[INSS]])-2,0)*($G113-$H113)</f>
        <v>170.30912000000001</v>
      </c>
      <c r="S113" s="21">
        <f>VLOOKUP($A113,tabCustoUnit[],COLUMN(CUSTO_GLOBAL[[#Headers],[SESI OU SESC]])-2,0)*($G113-$H113)</f>
        <v>12.773183999999999</v>
      </c>
      <c r="T113" s="21">
        <f>VLOOKUP($A113,tabCustoUnit[],COLUMN(CUSTO_GLOBAL[[#Headers],[SENAI OU SENAC]])-2,0)*($G113-$H113)</f>
        <v>8.5154559999999986</v>
      </c>
      <c r="U113" s="21">
        <f>VLOOKUP($A113,tabCustoUnit[],COLUMN(CUSTO_GLOBAL[[#Headers],[INCRA]])-2,0)*($G113-$H113)</f>
        <v>1.7030911999999998</v>
      </c>
      <c r="V113" s="21">
        <f>VLOOKUP($A113,tabCustoUnit[],COLUMN(CUSTO_GLOBAL[[#Headers],[Salário Educação]])-2,0)*($G113-$H113)</f>
        <v>21.288640000000001</v>
      </c>
      <c r="W113" s="21">
        <f>VLOOKUP($A113,tabCustoUnit[],COLUMN(CUSTO_GLOBAL[[#Headers],[FGTS]])-2,0)*($G113-$H113)</f>
        <v>68.123647999999989</v>
      </c>
      <c r="X113" s="21">
        <f>VLOOKUP($A113,tabCustoUnit[],COLUMN(CUSTO_GLOBAL[[#Headers],[RAT Ajustado]])-2,0)*($G113-$H113)</f>
        <v>34.061823999999994</v>
      </c>
      <c r="Y113" s="21">
        <f>VLOOKUP($A113,tabCustoUnit[],COLUMN(CUSTO_GLOBAL[[#Headers],[SEBRAE]])-2,0)*($G113-$H113)</f>
        <v>5.1092735999999999</v>
      </c>
      <c r="Z113" s="21">
        <f>VLOOKUP($A113,tabCustoUnit[],COLUMN(CUSTO_GLOBAL[[#Headers],[Submódulo 2.1]])-2,0)*($G113-$H113)</f>
        <v>321.8842368</v>
      </c>
      <c r="AA113" s="21">
        <f>VLOOKUP($A113,tabCustoUnit[],COLUMN(CUSTO_GLOBAL[[#Headers],[13º salário (titular)]])-2,0)*($G113-$H113)</f>
        <v>70.962133333333327</v>
      </c>
      <c r="AB113" s="21">
        <f>VLOOKUP($A113,tabCustoUnit[],COLUMN(CUSTO_GLOBAL[[#Headers],[Férias e Adicional de Férias (titular)]])-2,0)*($G113-$H113)</f>
        <v>94.616177777777764</v>
      </c>
      <c r="AC113" s="21">
        <f>VLOOKUP($A113,tabCustoUnit[],COLUMN(CUSTO_GLOBAL[[#Headers],[Incidência do Submódulo 2.1 sobre 13º Salário, Férias e Adicional de Férias]])-2,0)*($G113-$H113)</f>
        <v>62.588601599999997</v>
      </c>
      <c r="AD113" s="21">
        <f>VLOOKUP($A113,tabCustoUnit[],COLUMN(CUSTO_GLOBAL[[#Headers],[Submódulo 2.2]])-2,0)*($G113-$H113)</f>
        <v>228.16691271111108</v>
      </c>
      <c r="AE113" s="22">
        <f>VLOOKUP($A113,tabCustoUnit[],COLUMN(CUSTO_GLOBAL[[#Headers],[Vale - Transporte (Descontada parcela do empregado)]])-2,0)*($G113-$H113)</f>
        <v>206.5264</v>
      </c>
      <c r="AF113" s="22">
        <f>VLOOKUP($A113,tabCustoUnit[],COLUMN(CUSTO_GLOBAL[[#Headers],[Vale - Alimentação (Descontada parcela do empregado)]])-2,0)*($G113-$H113)</f>
        <v>582</v>
      </c>
      <c r="AG113" s="22">
        <f>VLOOKUP($A113,tabCustoUnit[],COLUMN(CUSTO_GLOBAL[[#Headers],[Cesta Básica]])-2,0)*($G113-$H113)</f>
        <v>0</v>
      </c>
      <c r="AH113" s="22">
        <f>VLOOKUP($A113,tabCustoUnit[],COLUMN(CUSTO_GLOBAL[[#Headers],[PAF]])-2,0)*($G113-$H113)</f>
        <v>51.86</v>
      </c>
      <c r="AI113" s="22">
        <f>VLOOKUP($A113,tabCustoUnit[],COLUMN(CUSTO_GLOBAL[[#Headers],[PQM]])-2,0)*($G113-$H113)</f>
        <v>0</v>
      </c>
      <c r="AJ113" s="22">
        <v>0</v>
      </c>
      <c r="AK113" s="22">
        <f>VLOOKUP($A113,tabCustoUnit[],COLUMN(CUSTO_GLOBAL[[#Headers],[Seguro de Vida]])-2,0)*($G113-$H113)</f>
        <v>3.36</v>
      </c>
      <c r="AL113" s="22">
        <f>VLOOKUP($A113,tabCustoUnit[],COLUMN(CUSTO_GLOBAL[[#Headers],[Despesas de Viagem]])-2,0)*($G113-$H113)</f>
        <v>0</v>
      </c>
      <c r="AM113" s="22">
        <f>VLOOKUP($A113,tabCustoUnit[],COLUMN(CUSTO_GLOBAL[[#Headers],[Submódulo 2.3]])-2,0)*($G113-$H113)</f>
        <v>843.74639999999999</v>
      </c>
      <c r="AN113" s="22">
        <f>VLOOKUP($A113,tabCustoUnit[],COLUMN(CUSTO_GLOBAL[[#Headers],[MÓDULO 2 - Total Encargos e Benefícios mensais e diários]])-2,0)*($G113-$H113)</f>
        <v>1393.7975495111111</v>
      </c>
      <c r="AO113" s="22">
        <f>VLOOKUP($A113,tabCustoUnit[],COLUMN(CUSTO_GLOBAL[[#Headers],[Aviso Prévio Indenizado (API) e Reflexo do Aviso Prévio Indenizado]])-2,0)*($G113-$H113)</f>
        <v>5.970839316049382</v>
      </c>
      <c r="AP113" s="22">
        <f>VLOOKUP($A113,tabCustoUnit[],COLUMN(CUSTO_GLOBAL[[#Headers],[Incidência do FGTS sobre API e Reflexo do API]])-2,0)*($G113-$H113)</f>
        <v>0.4776671452839506</v>
      </c>
      <c r="AQ113" s="22">
        <f>VLOOKUP($A113,tabCustoUnit[],COLUMN(CUSTO_GLOBAL[[#Headers],[Multa Rescisória do FGTS sobre o Aviso Prévio Indenizado]])-2,0)*($G113-$H113)</f>
        <v>0.19106685811358026</v>
      </c>
      <c r="AR113" s="22">
        <f>VLOOKUP($A113,tabCustoUnit[],COLUMN(CUSTO_GLOBAL[[#Headers],[Aviso Prévio Trabalhado - APT]])-2,0)*($G113-$H113)</f>
        <v>2.9804096000000002</v>
      </c>
      <c r="AS113" s="22">
        <f>VLOOKUP($A113,tabCustoUnit[],COLUMN(CUSTO_GLOBAL[[#Headers],[Incidência dos encargos do submódulo 2.1 sobre Aviso Prévio Trabalhado]])-2,0)*($G113-$H113)</f>
        <v>1.1265948288000003</v>
      </c>
      <c r="AT113" s="22">
        <f>VLOOKUP($A113,tabCustoUnit[],COLUMN(CUSTO_GLOBAL[[#Headers],[Multa Rescisória do FGTS]])-2,0)*($G113-$H113)</f>
        <v>26.038372124444439</v>
      </c>
      <c r="AU113" s="22">
        <f>VLOOKUP($A113,tabCustoUnit[],COLUMN(CUSTO_GLOBAL[[#Headers],[Indenização Adicional (Art. 9º da Lei nº 7.238/84)]])-2,0)*($G113-$H113)</f>
        <v>0.70962133333333333</v>
      </c>
      <c r="AV113" s="22">
        <f>VLOOKUP($A113,tabCustoUnit[],COLUMN(CUSTO_GLOBAL[[#Headers],[MÓDULO 3 – PROVISÃO PARA RESCISÃO]])-2,0)*($G113-$H113)</f>
        <v>37.494571206024688</v>
      </c>
      <c r="AW113" s="22">
        <f>VLOOKUP($A113,tabCustoUnit[],COLUMN(CUSTO_GLOBAL[[#Headers],[Ausência por Doença]])-2,0)*($G113-$H113)</f>
        <v>7.1908295111111098</v>
      </c>
      <c r="AX113" s="22">
        <f>VLOOKUP($A113,tabCustoUnit[],COLUMN(CUSTO_GLOBAL[[#Headers],[Ausências Legais]])-2,0)*($G113-$H113)</f>
        <v>1.7267452444444442</v>
      </c>
      <c r="AY113" s="22">
        <f>VLOOKUP($A113,tabCustoUnit[],COLUMN(CUSTO_GLOBAL[[#Headers],[Licença Paternidade]])-2,0)*($G113-$H113)</f>
        <v>0.14547237333333332</v>
      </c>
      <c r="AZ113" s="22">
        <f>VLOOKUP($A113,tabCustoUnit[],COLUMN(CUSTO_GLOBAL[[#Headers],[Ausência por Acidente de Trabalho]])-2,0)*($G113-$H113)</f>
        <v>0.17740533333333333</v>
      </c>
      <c r="BA113" s="22">
        <f>VLOOKUP($A113,tabCustoUnit[],COLUMN(CUSTO_GLOBAL[[#Headers],[Férias, Adicional de Férias e 13º  com empregada em gozo de Licença Maternidade]])-2,0)*($G113-$H113)</f>
        <v>1.1038554074074072</v>
      </c>
      <c r="BB113" s="22">
        <f>VLOOKUP($A113,tabCustoUnit[],COLUMN(CUSTO_GLOBAL[[#Headers],[Incidência do Submódulo 2.1 sobre Ausências Legais]])-2,0)*($G113-$H113)</f>
        <v>3.9101483747200003</v>
      </c>
      <c r="BC113" s="22">
        <f>VLOOKUP($A113,tabCustoUnit[],COLUMN(CUSTO_GLOBAL[[#Headers],[Submódulo 4.1]])-2,0)*($G113-$H113)</f>
        <v>14.254456244349628</v>
      </c>
      <c r="BD113" s="22">
        <f>VLOOKUP($A113,tabCustoUnit[],COLUMN(CUSTO_GLOBAL[[#Headers],[Intervalo para Repouso ou Alimentação]])-2,0)*($G113-$H113)</f>
        <v>0</v>
      </c>
      <c r="BE113" s="22">
        <f>VLOOKUP($A113,tabCustoUnit[],COLUMN(CUSTO_GLOBAL[[#Headers],[Submódulo 4.2]])-2,0)*($G113-$H113)</f>
        <v>0</v>
      </c>
      <c r="BF113" s="22">
        <f>VLOOKUP($A113,tabCustoUnit[],COLUMN(CUSTO_GLOBAL[[#Headers],[Suspensão Temporária do Contrato de Trabalho]])-2,0)*($G113-$H113)</f>
        <v>0</v>
      </c>
      <c r="BG113" s="22">
        <f>VLOOKUP($A113,tabCustoUnit[],COLUMN(CUSTO_GLOBAL[[#Headers],[Submódulo 4.3]])-2,0)*($G113-$H113)</f>
        <v>0</v>
      </c>
      <c r="BH113" s="22">
        <f>VLOOKUP($A113,tabCustoUnit[],COLUMN(CUSTO_GLOBAL[[#Headers],[MÓDULO 4 – CUSTO DE REPOSIÇÃO DO PROFISSIONAL AUSENTE]])-2,0)*($G113-$H113)</f>
        <v>14.254456244349628</v>
      </c>
      <c r="BI113" s="22">
        <f>VLOOKUP($A113,tabCustoUnit[],COLUMN(CUSTO_GLOBAL[[#Headers],[Uniformes e EPIs]])-2,0)*($G113-$H113)</f>
        <v>62.806666666666665</v>
      </c>
      <c r="BJ113" s="22">
        <f>VLOOKUP($A113,tabCustoUnit[],COLUMN(CUSTO_GLOBAL[[#Headers],[Materiais de Consumo]])-2,0)*($G113-$H113)</f>
        <v>17.759106479291944</v>
      </c>
      <c r="BK113" s="22">
        <f>VLOOKUP($A113,tabCustoUnit[],COLUMN(CUSTO_GLOBAL[[#Headers],[Máquinas e Equipamentos (depreciação)]])-2,0)*($G113-$H113)</f>
        <v>32.264696957412788</v>
      </c>
      <c r="BL113" s="22">
        <f>VLOOKUP($A113,tabCustoUnit[],COLUMN(CUSTO_GLOBAL[[#Headers],[Produtos de Limpeza e Materiais de Higiene Pessoal]])-2,0)*($G113-$H113)</f>
        <v>345.13576638965827</v>
      </c>
      <c r="BM113" s="22">
        <f>VLOOKUP($A113,tabCustoUnit[],COLUMN(CUSTO_GLOBAL[[#Headers],[Outros (especificar)]])-2,0)*($G113-$H113)</f>
        <v>0</v>
      </c>
      <c r="BN113" s="22">
        <f>VLOOKUP($A113,tabCustoUnit[],COLUMN(CUSTO_GLOBAL[[#Headers],[MÓDULO 5 – INSUMOS DIVERSOS]])-2,0)*($G113-$H113)</f>
        <v>457.96623649302967</v>
      </c>
      <c r="BO113" s="22">
        <f>VLOOKUP($A113,tabCustoUnit[],COLUMN(CUSTO_GLOBAL[[#Headers],[TOTAL MÓDULOS 1+2+3+4+5]])-2,0)*($G113-$H113)</f>
        <v>2755.0584134545147</v>
      </c>
      <c r="BP113" s="22">
        <f>VLOOKUP($A113,tabCustoUnit[],COLUMN(CUSTO_GLOBAL[[#Headers],[Custos Indiretos]])-2,0)*($G113-$H113)</f>
        <v>189.64880140242613</v>
      </c>
      <c r="BQ113" s="22">
        <f>VLOOKUP($A113,tabCustoUnit[],COLUMN(CUSTO_GLOBAL[[#Headers],[Lucro]])-2,0)*($G113-$H113)</f>
        <v>159.30499317803796</v>
      </c>
      <c r="BR113" s="26">
        <f>VLOOKUP($A113,tabCustoUnit[],COLUMN(CUSTO_GLOBAL[[#Headers],[COFINS]])-2,0)</f>
        <v>8.6609686609686695E-2</v>
      </c>
      <c r="BS113" s="26">
        <f>VLOOKUP($A113,tabCustoUnit[],COLUMN(CUSTO_GLOBAL[[#Headers],[PIS]])-2,0)</f>
        <v>1.880341880341882E-2</v>
      </c>
      <c r="BT113" s="28">
        <f>VLOOKUP($A113,tabCustoUnit[],COLUMN(CUSTO_GLOBAL[[#Headers],[ISS]])-2,0)</f>
        <v>0.03</v>
      </c>
      <c r="BU113" s="26">
        <f>VLOOKUP($A113,tabCustoUnit[],COLUMN(CUSTO_GLOBAL[[#Headers],[ISS (Conversão Alíquota s/ fatura)]])-2,0)</f>
        <v>3.4188034188034219E-2</v>
      </c>
      <c r="BV113" s="26">
        <f>VLOOKUP($A113,tabCustoUnit[],COLUMN(CUSTO_GLOBAL[[#Headers],[Resumo de Alíquotas (PIS+CONFINS+ISS)]])-2,0)</f>
        <v>0.1225</v>
      </c>
      <c r="BW113" s="138">
        <f>VLOOKUP($A113,tabCustoUnit[],COLUMN(CUSTO_GLOBAL[[#Headers],[PIS + COFINS + ISS (Total Conversão  Alíquota s/ Fatura)]])-2,0)</f>
        <v>0.13960113960113973</v>
      </c>
      <c r="BX113" s="22">
        <f>VLOOKUP($A113,tabCustoUnit[],COLUMN(CUSTO_GLOBAL[[#Headers],[Valor dos Tributos (ISS, PIS, CONFINS)]])-2,0)*($G113-$H113)</f>
        <v>433.32364157753307</v>
      </c>
      <c r="BY113" s="22">
        <f>VLOOKUP($A113,tabCustoUnit[],COLUMN(CUSTO_GLOBAL[[#Headers],[MÓDULO 6 – CUSTOS INDIRETOS, TRIBUTOS E LUCRO]])-2,0)*($G113-$H113)</f>
        <v>782.27743615799716</v>
      </c>
      <c r="BZ113" s="22">
        <f>VLOOKUP($A113,tabCustoUnit[],COLUMN(CUSTO_GLOBAL[[#Headers],[CUSTO TOTAL MENSAL]])-2,0)*($G113-$H113)</f>
        <v>3537.335849612512</v>
      </c>
      <c r="CA113" s="22">
        <f>CUSTO_GLOBAL[[#This Row],[CUSTO TOTAL MENSAL]]*12</f>
        <v>42448.030195350148</v>
      </c>
      <c r="CB113" s="24">
        <f>VLOOKUP($A113,tabCustoUnit[],COLUMN(CUSTO_GLOBAL[[#Headers],[ANO DA CCT]])-2,0)</f>
        <v>45658</v>
      </c>
      <c r="CC113" s="25" t="str">
        <f>VLOOKUP($A113,tabCustoUnit[],COLUMN(CUSTO_GLOBAL[[#Headers],[Nº DE PEDIDO DA CCT]])-2,0)</f>
        <v>-</v>
      </c>
      <c r="CD113" s="25" t="str">
        <f>VLOOKUP($A113,tabCustoUnit[],COLUMN(CUSTO_GLOBAL[[#Headers],[TERMO ADITIVO  ALTERAÇÃO DA CCT]])-2,0)</f>
        <v>-</v>
      </c>
      <c r="CF113" s="22"/>
      <c r="CG113" s="22"/>
    </row>
    <row r="114" spans="1:85" x14ac:dyDescent="0.25">
      <c r="A114" s="20" t="s">
        <v>1272</v>
      </c>
      <c r="B114" t="s">
        <v>105</v>
      </c>
      <c r="C114" t="s">
        <v>1246</v>
      </c>
      <c r="D114" t="s">
        <v>1035</v>
      </c>
      <c r="E114" s="20" t="s">
        <v>9</v>
      </c>
      <c r="F114" s="20" t="s">
        <v>10</v>
      </c>
      <c r="G114" s="20">
        <v>1</v>
      </c>
      <c r="H114" s="20">
        <v>0</v>
      </c>
      <c r="I114" s="21">
        <f>VLOOKUP($A114,tabCustoUnit[],COLUMN(CUSTO_GLOBAL[[#Headers],[Salário Base]])-2,0)*($G114-$H114)</f>
        <v>1124.3900000000001</v>
      </c>
      <c r="J114" s="21">
        <f>VLOOKUP($A114,tabCustoUnit[],COLUMN(CUSTO_GLOBAL[[#Headers],[Adicional Periculosidade]])-2,0)*($G114-$H114)</f>
        <v>0</v>
      </c>
      <c r="K114" s="21">
        <f>VLOOKUP($A114,tabCustoUnit[],COLUMN(CUSTO_GLOBAL[[#Headers],[Adicional Insalubridade]])-2,0)*($G114-$H114)</f>
        <v>0</v>
      </c>
      <c r="L114" s="21">
        <f>VLOOKUP($A114,tabCustoUnit[],COLUMN(CUSTO_GLOBAL[[#Headers],[Adicional Noturno]])-2,0)*($G114-$H114)</f>
        <v>0</v>
      </c>
      <c r="M114" s="21">
        <f>VLOOKUP($A114,tabCustoUnit[],COLUMN(CUSTO_GLOBAL[[#Headers],[Adicional Motorista II (Gratificação)]])-2,0)*($G114-$H114)</f>
        <v>0</v>
      </c>
      <c r="N114" s="21">
        <f>VLOOKUP($A114,tabCustoUnit[],COLUMN(CUSTO_GLOBAL[[#Headers],[Adicional de Sobreaviso]])-2,0)*($G114-$H114)</f>
        <v>0</v>
      </c>
      <c r="O114" s="21">
        <f>VLOOKUP($A114,tabCustoUnit[],COLUMN(CUSTO_GLOBAL[[#Headers],[Horas Extras TI]])-2,0)*($G114-$H114)</f>
        <v>0</v>
      </c>
      <c r="P114" s="21">
        <f>VLOOKUP($A114,tabCustoUnit[],COLUMN(CUSTO_GLOBAL[[#Headers],[Adicional de Acúmulo de função]])-2,0)*($G114-$H114)</f>
        <v>40.478000000000002</v>
      </c>
      <c r="Q114" s="21">
        <f>VLOOKUP($A114,tabCustoUnit[],COLUMN(CUSTO_GLOBAL[[#Headers],[MODULO 1 - REMUNERAÇÃO ]])-2,0)*($G114-$H114)</f>
        <v>1164.8680000000002</v>
      </c>
      <c r="R114" s="21">
        <f>VLOOKUP($A114,tabCustoUnit[],COLUMN(CUSTO_GLOBAL[[#Headers],[INSS]])-2,0)*($G114-$H114)</f>
        <v>232.97360000000003</v>
      </c>
      <c r="S114" s="21">
        <f>VLOOKUP($A114,tabCustoUnit[],COLUMN(CUSTO_GLOBAL[[#Headers],[SESI OU SESC]])-2,0)*($G114-$H114)</f>
        <v>17.473020000000002</v>
      </c>
      <c r="T114" s="21">
        <f>VLOOKUP($A114,tabCustoUnit[],COLUMN(CUSTO_GLOBAL[[#Headers],[SENAI OU SENAC]])-2,0)*($G114-$H114)</f>
        <v>11.648680000000002</v>
      </c>
      <c r="U114" s="21">
        <f>VLOOKUP($A114,tabCustoUnit[],COLUMN(CUSTO_GLOBAL[[#Headers],[INCRA]])-2,0)*($G114-$H114)</f>
        <v>2.3297360000000005</v>
      </c>
      <c r="V114" s="21">
        <f>VLOOKUP($A114,tabCustoUnit[],COLUMN(CUSTO_GLOBAL[[#Headers],[Salário Educação]])-2,0)*($G114-$H114)</f>
        <v>29.121700000000004</v>
      </c>
      <c r="W114" s="21">
        <f>VLOOKUP($A114,tabCustoUnit[],COLUMN(CUSTO_GLOBAL[[#Headers],[FGTS]])-2,0)*($G114-$H114)</f>
        <v>93.189440000000019</v>
      </c>
      <c r="X114" s="21">
        <f>VLOOKUP($A114,tabCustoUnit[],COLUMN(CUSTO_GLOBAL[[#Headers],[RAT Ajustado]])-2,0)*($G114-$H114)</f>
        <v>46.594720000000009</v>
      </c>
      <c r="Y114" s="21">
        <f>VLOOKUP($A114,tabCustoUnit[],COLUMN(CUSTO_GLOBAL[[#Headers],[SEBRAE]])-2,0)*($G114-$H114)</f>
        <v>6.9892080000000014</v>
      </c>
      <c r="Z114" s="21">
        <f>VLOOKUP($A114,tabCustoUnit[],COLUMN(CUSTO_GLOBAL[[#Headers],[Submódulo 2.1]])-2,0)*($G114-$H114)</f>
        <v>440.32010400000001</v>
      </c>
      <c r="AA114" s="21">
        <f>VLOOKUP($A114,tabCustoUnit[],COLUMN(CUSTO_GLOBAL[[#Headers],[13º salário (titular)]])-2,0)*($G114-$H114)</f>
        <v>97.072333333333347</v>
      </c>
      <c r="AB114" s="21">
        <f>VLOOKUP($A114,tabCustoUnit[],COLUMN(CUSTO_GLOBAL[[#Headers],[Férias e Adicional de Férias (titular)]])-2,0)*($G114-$H114)</f>
        <v>129.42977777777779</v>
      </c>
      <c r="AC114" s="21">
        <f>VLOOKUP($A114,tabCustoUnit[],COLUMN(CUSTO_GLOBAL[[#Headers],[Incidência do Submódulo 2.1 sobre 13º Salário, Férias e Adicional de Férias]])-2,0)*($G114-$H114)</f>
        <v>85.617797999999993</v>
      </c>
      <c r="AD114" s="21">
        <f>VLOOKUP($A114,tabCustoUnit[],COLUMN(CUSTO_GLOBAL[[#Headers],[Submódulo 2.2]])-2,0)*($G114-$H114)</f>
        <v>312.11990911111116</v>
      </c>
      <c r="AE114" s="22">
        <f>VLOOKUP($A114,tabCustoUnit[],COLUMN(CUSTO_GLOBAL[[#Headers],[Vale - Transporte (Descontada parcela do empregado)]])-2,0)*($G114-$H114)</f>
        <v>188.53659999999999</v>
      </c>
      <c r="AF114" s="22">
        <f>VLOOKUP($A114,tabCustoUnit[],COLUMN(CUSTO_GLOBAL[[#Headers],[Vale - Alimentação (Descontada parcela do empregado)]])-2,0)*($G114-$H114)</f>
        <v>582</v>
      </c>
      <c r="AG114" s="22">
        <f>VLOOKUP($A114,tabCustoUnit[],COLUMN(CUSTO_GLOBAL[[#Headers],[Cesta Básica]])-2,0)*($G114-$H114)</f>
        <v>0</v>
      </c>
      <c r="AH114" s="22">
        <f>VLOOKUP($A114,tabCustoUnit[],COLUMN(CUSTO_GLOBAL[[#Headers],[PAF]])-2,0)*($G114-$H114)</f>
        <v>51.86</v>
      </c>
      <c r="AI114" s="22">
        <f>VLOOKUP($A114,tabCustoUnit[],COLUMN(CUSTO_GLOBAL[[#Headers],[PQM]])-2,0)*($G114-$H114)</f>
        <v>0</v>
      </c>
      <c r="AJ114" s="22">
        <v>0</v>
      </c>
      <c r="AK114" s="22">
        <f>VLOOKUP($A114,tabCustoUnit[],COLUMN(CUSTO_GLOBAL[[#Headers],[Seguro de Vida]])-2,0)*($G114-$H114)</f>
        <v>3.36</v>
      </c>
      <c r="AL114" s="22">
        <f>VLOOKUP($A114,tabCustoUnit[],COLUMN(CUSTO_GLOBAL[[#Headers],[Despesas de Viagem]])-2,0)*($G114-$H114)</f>
        <v>0</v>
      </c>
      <c r="AM114" s="22">
        <f>VLOOKUP($A114,tabCustoUnit[],COLUMN(CUSTO_GLOBAL[[#Headers],[Submódulo 2.3]])-2,0)*($G114-$H114)</f>
        <v>825.75660000000005</v>
      </c>
      <c r="AN114" s="22">
        <f>VLOOKUP($A114,tabCustoUnit[],COLUMN(CUSTO_GLOBAL[[#Headers],[MÓDULO 2 - Total Encargos e Benefícios mensais e diários]])-2,0)*($G114-$H114)</f>
        <v>1578.1966131111112</v>
      </c>
      <c r="AO114" s="22">
        <f>VLOOKUP($A114,tabCustoUnit[],COLUMN(CUSTO_GLOBAL[[#Headers],[Aviso Prévio Indenizado (API) e Reflexo do Aviso Prévio Indenizado]])-2,0)*($G114-$H114)</f>
        <v>8.1677829729938285</v>
      </c>
      <c r="AP114" s="22">
        <f>VLOOKUP($A114,tabCustoUnit[],COLUMN(CUSTO_GLOBAL[[#Headers],[Incidência do FGTS sobre API e Reflexo do API]])-2,0)*($G114-$H114)</f>
        <v>0.65342263783950627</v>
      </c>
      <c r="AQ114" s="22">
        <f>VLOOKUP($A114,tabCustoUnit[],COLUMN(CUSTO_GLOBAL[[#Headers],[Multa Rescisória do FGTS sobre o Aviso Prévio Indenizado]])-2,0)*($G114-$H114)</f>
        <v>0.26136905513580255</v>
      </c>
      <c r="AR114" s="22">
        <f>VLOOKUP($A114,tabCustoUnit[],COLUMN(CUSTO_GLOBAL[[#Headers],[Aviso Prévio Trabalhado - APT]])-2,0)*($G114-$H114)</f>
        <v>4.0770380000000008</v>
      </c>
      <c r="AS114" s="22">
        <f>VLOOKUP($A114,tabCustoUnit[],COLUMN(CUSTO_GLOBAL[[#Headers],[Incidência dos encargos do submódulo 2.1 sobre Aviso Prévio Trabalhado]])-2,0)*($G114-$H114)</f>
        <v>1.5411203640000006</v>
      </c>
      <c r="AT114" s="22">
        <f>VLOOKUP($A114,tabCustoUnit[],COLUMN(CUSTO_GLOBAL[[#Headers],[Multa Rescisória do FGTS]])-2,0)*($G114-$H114)</f>
        <v>35.619074844444441</v>
      </c>
      <c r="AU114" s="22">
        <f>VLOOKUP($A114,tabCustoUnit[],COLUMN(CUSTO_GLOBAL[[#Headers],[Indenização Adicional (Art. 9º da Lei nº 7.238/84)]])-2,0)*($G114-$H114)</f>
        <v>0.97072333333333349</v>
      </c>
      <c r="AV114" s="22">
        <f>VLOOKUP($A114,tabCustoUnit[],COLUMN(CUSTO_GLOBAL[[#Headers],[MÓDULO 3 – PROVISÃO PARA RESCISÃO]])-2,0)*($G114-$H114)</f>
        <v>51.290531207746916</v>
      </c>
      <c r="AW114" s="22">
        <f>VLOOKUP($A114,tabCustoUnit[],COLUMN(CUSTO_GLOBAL[[#Headers],[Ausência por Doença]])-2,0)*($G114-$H114)</f>
        <v>9.8366631111111111</v>
      </c>
      <c r="AX114" s="22">
        <f>VLOOKUP($A114,tabCustoUnit[],COLUMN(CUSTO_GLOBAL[[#Headers],[Ausências Legais]])-2,0)*($G114-$H114)</f>
        <v>2.3620934444444446</v>
      </c>
      <c r="AY114" s="22">
        <f>VLOOKUP($A114,tabCustoUnit[],COLUMN(CUSTO_GLOBAL[[#Headers],[Licença Paternidade]])-2,0)*($G114-$H114)</f>
        <v>0.19899828333333336</v>
      </c>
      <c r="AZ114" s="22">
        <f>VLOOKUP($A114,tabCustoUnit[],COLUMN(CUSTO_GLOBAL[[#Headers],[Ausência por Acidente de Trabalho]])-2,0)*($G114-$H114)</f>
        <v>0.24268083333333337</v>
      </c>
      <c r="BA114" s="22">
        <f>VLOOKUP($A114,tabCustoUnit[],COLUMN(CUSTO_GLOBAL[[#Headers],[Férias, Adicional de Férias e 13º  com empregada em gozo de Licença Maternidade]])-2,0)*($G114-$H114)</f>
        <v>1.5100140740740742</v>
      </c>
      <c r="BB114" s="22">
        <f>VLOOKUP($A114,tabCustoUnit[],COLUMN(CUSTO_GLOBAL[[#Headers],[Incidência do Submódulo 2.1 sobre Ausências Legais]])-2,0)*($G114-$H114)</f>
        <v>5.3488700041000019</v>
      </c>
      <c r="BC114" s="22">
        <f>VLOOKUP($A114,tabCustoUnit[],COLUMN(CUSTO_GLOBAL[[#Headers],[Submódulo 4.1]])-2,0)*($G114-$H114)</f>
        <v>19.499319750396296</v>
      </c>
      <c r="BD114" s="22">
        <f>VLOOKUP($A114,tabCustoUnit[],COLUMN(CUSTO_GLOBAL[[#Headers],[Intervalo para Repouso ou Alimentação]])-2,0)*($G114-$H114)</f>
        <v>0</v>
      </c>
      <c r="BE114" s="22">
        <f>VLOOKUP($A114,tabCustoUnit[],COLUMN(CUSTO_GLOBAL[[#Headers],[Submódulo 4.2]])-2,0)*($G114-$H114)</f>
        <v>0</v>
      </c>
      <c r="BF114" s="22">
        <f>VLOOKUP($A114,tabCustoUnit[],COLUMN(CUSTO_GLOBAL[[#Headers],[Suspensão Temporária do Contrato de Trabalho]])-2,0)*($G114-$H114)</f>
        <v>0</v>
      </c>
      <c r="BG114" s="22">
        <f>VLOOKUP($A114,tabCustoUnit[],COLUMN(CUSTO_GLOBAL[[#Headers],[Submódulo 4.3]])-2,0)*($G114-$H114)</f>
        <v>0</v>
      </c>
      <c r="BH114" s="22">
        <f>VLOOKUP($A114,tabCustoUnit[],COLUMN(CUSTO_GLOBAL[[#Headers],[MÓDULO 4 – CUSTO DE REPOSIÇÃO DO PROFISSIONAL AUSENTE]])-2,0)*($G114-$H114)</f>
        <v>19.499319750396296</v>
      </c>
      <c r="BI114" s="22">
        <f>VLOOKUP($A114,tabCustoUnit[],COLUMN(CUSTO_GLOBAL[[#Headers],[Uniformes e EPIs]])-2,0)*($G114-$H114)</f>
        <v>100.80916666666666</v>
      </c>
      <c r="BJ114" s="22">
        <f>VLOOKUP($A114,tabCustoUnit[],COLUMN(CUSTO_GLOBAL[[#Headers],[Materiais de Consumo]])-2,0)*($G114-$H114)</f>
        <v>24.216963380852651</v>
      </c>
      <c r="BK114" s="22">
        <f>VLOOKUP($A114,tabCustoUnit[],COLUMN(CUSTO_GLOBAL[[#Headers],[Máquinas e Equipamentos (depreciação)]])-2,0)*($G114-$H114)</f>
        <v>43.997314032835618</v>
      </c>
      <c r="BL114" s="22">
        <f>VLOOKUP($A114,tabCustoUnit[],COLUMN(CUSTO_GLOBAL[[#Headers],[Produtos de Limpeza e Materiais de Higiene Pessoal]])-2,0)*($G114-$H114)</f>
        <v>470.6396814404431</v>
      </c>
      <c r="BM114" s="22">
        <f>VLOOKUP($A114,tabCustoUnit[],COLUMN(CUSTO_GLOBAL[[#Headers],[Outros (especificar)]])-2,0)*($G114-$H114)</f>
        <v>0</v>
      </c>
      <c r="BN114" s="22">
        <f>VLOOKUP($A114,tabCustoUnit[],COLUMN(CUSTO_GLOBAL[[#Headers],[MÓDULO 5 – INSUMOS DIVERSOS]])-2,0)*($G114-$H114)</f>
        <v>639.66312552079808</v>
      </c>
      <c r="BO114" s="22">
        <f>VLOOKUP($A114,tabCustoUnit[],COLUMN(CUSTO_GLOBAL[[#Headers],[TOTAL MÓDULOS 1+2+3+4+5]])-2,0)*($G114-$H114)</f>
        <v>3453.5175895900529</v>
      </c>
      <c r="BP114" s="22">
        <f>VLOOKUP($A114,tabCustoUnit[],COLUMN(CUSTO_GLOBAL[[#Headers],[Custos Indiretos]])-2,0)*($G114-$H114)</f>
        <v>189.64880140242613</v>
      </c>
      <c r="BQ114" s="22">
        <f>VLOOKUP($A114,tabCustoUnit[],COLUMN(CUSTO_GLOBAL[[#Headers],[Lucro]])-2,0)*($G114-$H114)</f>
        <v>159.30499317803796</v>
      </c>
      <c r="BR114" s="26">
        <f>VLOOKUP($A114,tabCustoUnit[],COLUMN(CUSTO_GLOBAL[[#Headers],[COFINS]])-2,0)</f>
        <v>8.6609686609686695E-2</v>
      </c>
      <c r="BS114" s="26">
        <f>VLOOKUP($A114,tabCustoUnit[],COLUMN(CUSTO_GLOBAL[[#Headers],[PIS]])-2,0)</f>
        <v>1.880341880341882E-2</v>
      </c>
      <c r="BT114" s="28">
        <f>VLOOKUP($A114,tabCustoUnit[],COLUMN(CUSTO_GLOBAL[[#Headers],[ISS]])-2,0)</f>
        <v>0.03</v>
      </c>
      <c r="BU114" s="26">
        <f>VLOOKUP($A114,tabCustoUnit[],COLUMN(CUSTO_GLOBAL[[#Headers],[ISS (Conversão Alíquota s/ fatura)]])-2,0)</f>
        <v>3.4188034188034219E-2</v>
      </c>
      <c r="BV114" s="26">
        <f>VLOOKUP($A114,tabCustoUnit[],COLUMN(CUSTO_GLOBAL[[#Headers],[Resumo de Alíquotas (PIS+CONFINS+ISS)]])-2,0)</f>
        <v>0.1225</v>
      </c>
      <c r="BW114" s="138">
        <f>VLOOKUP($A114,tabCustoUnit[],COLUMN(CUSTO_GLOBAL[[#Headers],[PIS + COFINS + ISS (Total Conversão  Alíquota s/ Fatura)]])-2,0)</f>
        <v>0.13960113960113973</v>
      </c>
      <c r="BX114" s="22">
        <f>VLOOKUP($A114,tabCustoUnit[],COLUMN(CUSTO_GLOBAL[[#Headers],[Valor dos Tributos (ISS, PIS, CONFINS)]])-2,0)*($G114-$H114)</f>
        <v>530.82933853092743</v>
      </c>
      <c r="BY114" s="22">
        <f>VLOOKUP($A114,tabCustoUnit[],COLUMN(CUSTO_GLOBAL[[#Headers],[MÓDULO 6 – CUSTOS INDIRETOS, TRIBUTOS E LUCRO]])-2,0)*($G114-$H114)</f>
        <v>879.78313311139152</v>
      </c>
      <c r="BZ114" s="22">
        <f>VLOOKUP($A114,tabCustoUnit[],COLUMN(CUSTO_GLOBAL[[#Headers],[CUSTO TOTAL MENSAL]])-2,0)*($G114-$H114)</f>
        <v>4333.3007227014441</v>
      </c>
      <c r="CA114" s="22">
        <f>CUSTO_GLOBAL[[#This Row],[CUSTO TOTAL MENSAL]]*12</f>
        <v>51999.608672417329</v>
      </c>
      <c r="CB114" s="24">
        <f>VLOOKUP($A114,tabCustoUnit[],COLUMN(CUSTO_GLOBAL[[#Headers],[ANO DA CCT]])-2,0)</f>
        <v>45658</v>
      </c>
      <c r="CC114" s="25" t="str">
        <f>VLOOKUP($A114,tabCustoUnit[],COLUMN(CUSTO_GLOBAL[[#Headers],[Nº DE PEDIDO DA CCT]])-2,0)</f>
        <v>-</v>
      </c>
      <c r="CD114" s="25" t="str">
        <f>VLOOKUP($A114,tabCustoUnit[],COLUMN(CUSTO_GLOBAL[[#Headers],[TERMO ADITIVO  ALTERAÇÃO DA CCT]])-2,0)</f>
        <v>-</v>
      </c>
      <c r="CF114" s="22"/>
      <c r="CG114" s="22"/>
    </row>
    <row r="115" spans="1:85" x14ac:dyDescent="0.25">
      <c r="A115" s="20" t="s">
        <v>1452</v>
      </c>
      <c r="B115" t="s">
        <v>105</v>
      </c>
      <c r="C115" t="s">
        <v>1245</v>
      </c>
      <c r="D115" t="s">
        <v>1035</v>
      </c>
      <c r="E115" s="20" t="s">
        <v>9</v>
      </c>
      <c r="F115" s="20" t="s">
        <v>10</v>
      </c>
      <c r="G115" s="20">
        <v>2</v>
      </c>
      <c r="H115" s="20">
        <v>0</v>
      </c>
      <c r="I115" s="21">
        <f>VLOOKUP($A115,tabCustoUnit[],COLUMN(CUSTO_GLOBAL[[#Headers],[Salário Base]])-2,0)*($G115-$H115)</f>
        <v>3298.24</v>
      </c>
      <c r="J115" s="21">
        <f>VLOOKUP($A115,tabCustoUnit[],COLUMN(CUSTO_GLOBAL[[#Headers],[Adicional Periculosidade]])-2,0)*($G115-$H115)</f>
        <v>0</v>
      </c>
      <c r="K115" s="21">
        <f>VLOOKUP($A115,tabCustoUnit[],COLUMN(CUSTO_GLOBAL[[#Headers],[Adicional Insalubridade]])-2,0)*($G115-$H115)</f>
        <v>0</v>
      </c>
      <c r="L115" s="21">
        <f>VLOOKUP($A115,tabCustoUnit[],COLUMN(CUSTO_GLOBAL[[#Headers],[Adicional Noturno]])-2,0)*($G115-$H115)</f>
        <v>0</v>
      </c>
      <c r="M115" s="21">
        <f>VLOOKUP($A115,tabCustoUnit[],COLUMN(CUSTO_GLOBAL[[#Headers],[Adicional Motorista II (Gratificação)]])-2,0)*($G115-$H115)</f>
        <v>0</v>
      </c>
      <c r="N115" s="21">
        <f>VLOOKUP($A115,tabCustoUnit[],COLUMN(CUSTO_GLOBAL[[#Headers],[Adicional de Sobreaviso]])-2,0)*($G115-$H115)</f>
        <v>0</v>
      </c>
      <c r="O115" s="21">
        <f>VLOOKUP($A115,tabCustoUnit[],COLUMN(CUSTO_GLOBAL[[#Headers],[Horas Extras TI]])-2,0)*($G115-$H115)</f>
        <v>0</v>
      </c>
      <c r="P115" s="21">
        <f>VLOOKUP($A115,tabCustoUnit[],COLUMN(CUSTO_GLOBAL[[#Headers],[Adicional de Acúmulo de função]])-2,0)*($G115-$H115)</f>
        <v>107.94240000000001</v>
      </c>
      <c r="Q115" s="21">
        <f>VLOOKUP($A115,tabCustoUnit[],COLUMN(CUSTO_GLOBAL[[#Headers],[MODULO 1 - REMUNERAÇÃO ]])-2,0)*($G115-$H115)</f>
        <v>3406.1823999999997</v>
      </c>
      <c r="R115" s="21">
        <f>VLOOKUP($A115,tabCustoUnit[],COLUMN(CUSTO_GLOBAL[[#Headers],[INSS]])-2,0)*($G115-$H115)</f>
        <v>681.23648000000003</v>
      </c>
      <c r="S115" s="21">
        <f>VLOOKUP($A115,tabCustoUnit[],COLUMN(CUSTO_GLOBAL[[#Headers],[SESI OU SESC]])-2,0)*($G115-$H115)</f>
        <v>51.092735999999995</v>
      </c>
      <c r="T115" s="21">
        <f>VLOOKUP($A115,tabCustoUnit[],COLUMN(CUSTO_GLOBAL[[#Headers],[SENAI OU SENAC]])-2,0)*($G115-$H115)</f>
        <v>34.061823999999994</v>
      </c>
      <c r="U115" s="21">
        <f>VLOOKUP($A115,tabCustoUnit[],COLUMN(CUSTO_GLOBAL[[#Headers],[INCRA]])-2,0)*($G115-$H115)</f>
        <v>6.8123647999999992</v>
      </c>
      <c r="V115" s="21">
        <f>VLOOKUP($A115,tabCustoUnit[],COLUMN(CUSTO_GLOBAL[[#Headers],[Salário Educação]])-2,0)*($G115-$H115)</f>
        <v>85.154560000000004</v>
      </c>
      <c r="W115" s="21">
        <f>VLOOKUP($A115,tabCustoUnit[],COLUMN(CUSTO_GLOBAL[[#Headers],[FGTS]])-2,0)*($G115-$H115)</f>
        <v>272.49459199999995</v>
      </c>
      <c r="X115" s="21">
        <f>VLOOKUP($A115,tabCustoUnit[],COLUMN(CUSTO_GLOBAL[[#Headers],[RAT Ajustado]])-2,0)*($G115-$H115)</f>
        <v>136.24729599999998</v>
      </c>
      <c r="Y115" s="21">
        <f>VLOOKUP($A115,tabCustoUnit[],COLUMN(CUSTO_GLOBAL[[#Headers],[SEBRAE]])-2,0)*($G115-$H115)</f>
        <v>20.437094399999999</v>
      </c>
      <c r="Z115" s="21">
        <f>VLOOKUP($A115,tabCustoUnit[],COLUMN(CUSTO_GLOBAL[[#Headers],[Submódulo 2.1]])-2,0)*($G115-$H115)</f>
        <v>1287.5369472</v>
      </c>
      <c r="AA115" s="21">
        <f>VLOOKUP($A115,tabCustoUnit[],COLUMN(CUSTO_GLOBAL[[#Headers],[13º salário (titular)]])-2,0)*($G115-$H115)</f>
        <v>283.84853333333331</v>
      </c>
      <c r="AB115" s="21">
        <f>VLOOKUP($A115,tabCustoUnit[],COLUMN(CUSTO_GLOBAL[[#Headers],[Férias e Adicional de Férias (titular)]])-2,0)*($G115-$H115)</f>
        <v>378.46471111111106</v>
      </c>
      <c r="AC115" s="21">
        <f>VLOOKUP($A115,tabCustoUnit[],COLUMN(CUSTO_GLOBAL[[#Headers],[Incidência do Submódulo 2.1 sobre 13º Salário, Férias e Adicional de Férias]])-2,0)*($G115-$H115)</f>
        <v>250.35440639999999</v>
      </c>
      <c r="AD115" s="21">
        <f>VLOOKUP($A115,tabCustoUnit[],COLUMN(CUSTO_GLOBAL[[#Headers],[Submódulo 2.2]])-2,0)*($G115-$H115)</f>
        <v>912.66765084444432</v>
      </c>
      <c r="AE115" s="22">
        <f>VLOOKUP($A115,tabCustoUnit[],COLUMN(CUSTO_GLOBAL[[#Headers],[Vale - Transporte (Descontada parcela do empregado)]])-2,0)*($G115-$H115)</f>
        <v>314.10559999999998</v>
      </c>
      <c r="AF115" s="22">
        <f>VLOOKUP($A115,tabCustoUnit[],COLUMN(CUSTO_GLOBAL[[#Headers],[Vale - Alimentação (Descontada parcela do empregado)]])-2,0)*($G115-$H115)</f>
        <v>1164</v>
      </c>
      <c r="AG115" s="22">
        <f>VLOOKUP($A115,tabCustoUnit[],COLUMN(CUSTO_GLOBAL[[#Headers],[Cesta Básica]])-2,0)*($G115-$H115)</f>
        <v>0</v>
      </c>
      <c r="AH115" s="22">
        <f>VLOOKUP($A115,tabCustoUnit[],COLUMN(CUSTO_GLOBAL[[#Headers],[PAF]])-2,0)*($G115-$H115)</f>
        <v>103.72</v>
      </c>
      <c r="AI115" s="22">
        <f>VLOOKUP($A115,tabCustoUnit[],COLUMN(CUSTO_GLOBAL[[#Headers],[PQM]])-2,0)*($G115-$H115)</f>
        <v>0</v>
      </c>
      <c r="AJ115" s="22">
        <v>0</v>
      </c>
      <c r="AK115" s="22">
        <f>VLOOKUP($A115,tabCustoUnit[],COLUMN(CUSTO_GLOBAL[[#Headers],[Seguro de Vida]])-2,0)*($G115-$H115)</f>
        <v>6.72</v>
      </c>
      <c r="AL115" s="22">
        <f>VLOOKUP($A115,tabCustoUnit[],COLUMN(CUSTO_GLOBAL[[#Headers],[Despesas de Viagem]])-2,0)*($G115-$H115)</f>
        <v>0</v>
      </c>
      <c r="AM115" s="22">
        <f>VLOOKUP($A115,tabCustoUnit[],COLUMN(CUSTO_GLOBAL[[#Headers],[Submódulo 2.3]])-2,0)*($G115-$H115)</f>
        <v>1588.5455999999999</v>
      </c>
      <c r="AN115" s="22">
        <f>VLOOKUP($A115,tabCustoUnit[],COLUMN(CUSTO_GLOBAL[[#Headers],[MÓDULO 2 - Total Encargos e Benefícios mensais e diários]])-2,0)*($G115-$H115)</f>
        <v>3788.7501980444445</v>
      </c>
      <c r="AO115" s="22">
        <f>VLOOKUP($A115,tabCustoUnit[],COLUMN(CUSTO_GLOBAL[[#Headers],[Aviso Prévio Indenizado (API) e Reflexo do Aviso Prévio Indenizado]])-2,0)*($G115-$H115)</f>
        <v>23.883357264197528</v>
      </c>
      <c r="AP115" s="22">
        <f>VLOOKUP($A115,tabCustoUnit[],COLUMN(CUSTO_GLOBAL[[#Headers],[Incidência do FGTS sobre API e Reflexo do API]])-2,0)*($G115-$H115)</f>
        <v>1.9106685811358024</v>
      </c>
      <c r="AQ115" s="22">
        <f>VLOOKUP($A115,tabCustoUnit[],COLUMN(CUSTO_GLOBAL[[#Headers],[Multa Rescisória do FGTS sobre o Aviso Prévio Indenizado]])-2,0)*($G115-$H115)</f>
        <v>0.76426743245432105</v>
      </c>
      <c r="AR115" s="22">
        <f>VLOOKUP($A115,tabCustoUnit[],COLUMN(CUSTO_GLOBAL[[#Headers],[Aviso Prévio Trabalhado - APT]])-2,0)*($G115-$H115)</f>
        <v>11.921638400000001</v>
      </c>
      <c r="AS115" s="22">
        <f>VLOOKUP($A115,tabCustoUnit[],COLUMN(CUSTO_GLOBAL[[#Headers],[Incidência dos encargos do submódulo 2.1 sobre Aviso Prévio Trabalhado]])-2,0)*($G115-$H115)</f>
        <v>4.5063793152000011</v>
      </c>
      <c r="AT115" s="22">
        <f>VLOOKUP($A115,tabCustoUnit[],COLUMN(CUSTO_GLOBAL[[#Headers],[Multa Rescisória do FGTS]])-2,0)*($G115-$H115)</f>
        <v>104.15348849777776</v>
      </c>
      <c r="AU115" s="22">
        <f>VLOOKUP($A115,tabCustoUnit[],COLUMN(CUSTO_GLOBAL[[#Headers],[Indenização Adicional (Art. 9º da Lei nº 7.238/84)]])-2,0)*($G115-$H115)</f>
        <v>2.8384853333333333</v>
      </c>
      <c r="AV115" s="22">
        <f>VLOOKUP($A115,tabCustoUnit[],COLUMN(CUSTO_GLOBAL[[#Headers],[MÓDULO 3 – PROVISÃO PARA RESCISÃO]])-2,0)*($G115-$H115)</f>
        <v>149.97828482409875</v>
      </c>
      <c r="AW115" s="22">
        <f>VLOOKUP($A115,tabCustoUnit[],COLUMN(CUSTO_GLOBAL[[#Headers],[Ausência por Doença]])-2,0)*($G115-$H115)</f>
        <v>28.763318044444439</v>
      </c>
      <c r="AX115" s="22">
        <f>VLOOKUP($A115,tabCustoUnit[],COLUMN(CUSTO_GLOBAL[[#Headers],[Ausências Legais]])-2,0)*($G115-$H115)</f>
        <v>6.9069809777777769</v>
      </c>
      <c r="AY115" s="22">
        <f>VLOOKUP($A115,tabCustoUnit[],COLUMN(CUSTO_GLOBAL[[#Headers],[Licença Paternidade]])-2,0)*($G115-$H115)</f>
        <v>0.58188949333333329</v>
      </c>
      <c r="AZ115" s="22">
        <f>VLOOKUP($A115,tabCustoUnit[],COLUMN(CUSTO_GLOBAL[[#Headers],[Ausência por Acidente de Trabalho]])-2,0)*($G115-$H115)</f>
        <v>0.70962133333333333</v>
      </c>
      <c r="BA115" s="22">
        <f>VLOOKUP($A115,tabCustoUnit[],COLUMN(CUSTO_GLOBAL[[#Headers],[Férias, Adicional de Férias e 13º  com empregada em gozo de Licença Maternidade]])-2,0)*($G115-$H115)</f>
        <v>4.4154216296296287</v>
      </c>
      <c r="BB115" s="22">
        <f>VLOOKUP($A115,tabCustoUnit[],COLUMN(CUSTO_GLOBAL[[#Headers],[Incidência do Submódulo 2.1 sobre Ausências Legais]])-2,0)*($G115-$H115)</f>
        <v>15.640593498880001</v>
      </c>
      <c r="BC115" s="22">
        <f>VLOOKUP($A115,tabCustoUnit[],COLUMN(CUSTO_GLOBAL[[#Headers],[Submódulo 4.1]])-2,0)*($G115-$H115)</f>
        <v>57.017824977398512</v>
      </c>
      <c r="BD115" s="22">
        <f>VLOOKUP($A115,tabCustoUnit[],COLUMN(CUSTO_GLOBAL[[#Headers],[Intervalo para Repouso ou Alimentação]])-2,0)*($G115-$H115)</f>
        <v>0</v>
      </c>
      <c r="BE115" s="22">
        <f>VLOOKUP($A115,tabCustoUnit[],COLUMN(CUSTO_GLOBAL[[#Headers],[Submódulo 4.2]])-2,0)*($G115-$H115)</f>
        <v>0</v>
      </c>
      <c r="BF115" s="22">
        <f>VLOOKUP($A115,tabCustoUnit[],COLUMN(CUSTO_GLOBAL[[#Headers],[Suspensão Temporária do Contrato de Trabalho]])-2,0)*($G115-$H115)</f>
        <v>0</v>
      </c>
      <c r="BG115" s="22">
        <f>VLOOKUP($A115,tabCustoUnit[],COLUMN(CUSTO_GLOBAL[[#Headers],[Submódulo 4.3]])-2,0)*($G115-$H115)</f>
        <v>0</v>
      </c>
      <c r="BH115" s="22">
        <f>VLOOKUP($A115,tabCustoUnit[],COLUMN(CUSTO_GLOBAL[[#Headers],[MÓDULO 4 – CUSTO DE REPOSIÇÃO DO PROFISSIONAL AUSENTE]])-2,0)*($G115-$H115)</f>
        <v>57.017824977398512</v>
      </c>
      <c r="BI115" s="22">
        <f>VLOOKUP($A115,tabCustoUnit[],COLUMN(CUSTO_GLOBAL[[#Headers],[Uniformes e EPIs]])-2,0)*($G115-$H115)</f>
        <v>201.61833333333331</v>
      </c>
      <c r="BJ115" s="22">
        <f>VLOOKUP($A115,tabCustoUnit[],COLUMN(CUSTO_GLOBAL[[#Headers],[Materiais de Consumo]])-2,0)*($G115-$H115)</f>
        <v>71.036425917167776</v>
      </c>
      <c r="BK115" s="22">
        <f>VLOOKUP($A115,tabCustoUnit[],COLUMN(CUSTO_GLOBAL[[#Headers],[Máquinas e Equipamentos (depreciação)]])-2,0)*($G115-$H115)</f>
        <v>129.05878782965115</v>
      </c>
      <c r="BL115" s="22">
        <f>VLOOKUP($A115,tabCustoUnit[],COLUMN(CUSTO_GLOBAL[[#Headers],[Produtos de Limpeza e Materiais de Higiene Pessoal]])-2,0)*($G115-$H115)</f>
        <v>1380.5430655586331</v>
      </c>
      <c r="BM115" s="22">
        <f>VLOOKUP($A115,tabCustoUnit[],COLUMN(CUSTO_GLOBAL[[#Headers],[Outros (especificar)]])-2,0)*($G115-$H115)</f>
        <v>0</v>
      </c>
      <c r="BN115" s="22">
        <f>VLOOKUP($A115,tabCustoUnit[],COLUMN(CUSTO_GLOBAL[[#Headers],[MÓDULO 5 – INSUMOS DIVERSOS]])-2,0)*($G115-$H115)</f>
        <v>1782.2566126387853</v>
      </c>
      <c r="BO115" s="22">
        <f>VLOOKUP($A115,tabCustoUnit[],COLUMN(CUSTO_GLOBAL[[#Headers],[TOTAL MÓDULOS 1+2+3+4+5]])-2,0)*($G115-$H115)</f>
        <v>9184.1853204847266</v>
      </c>
      <c r="BP115" s="22">
        <f>VLOOKUP($A115,tabCustoUnit[],COLUMN(CUSTO_GLOBAL[[#Headers],[Custos Indiretos]])-2,0)*($G115-$H115)</f>
        <v>379.29760280485226</v>
      </c>
      <c r="BQ115" s="22">
        <f>VLOOKUP($A115,tabCustoUnit[],COLUMN(CUSTO_GLOBAL[[#Headers],[Lucro]])-2,0)*($G115-$H115)</f>
        <v>318.60998635607592</v>
      </c>
      <c r="BR115" s="26">
        <f>VLOOKUP($A115,tabCustoUnit[],COLUMN(CUSTO_GLOBAL[[#Headers],[COFINS]])-2,0)</f>
        <v>8.6609686609686695E-2</v>
      </c>
      <c r="BS115" s="26">
        <f>VLOOKUP($A115,tabCustoUnit[],COLUMN(CUSTO_GLOBAL[[#Headers],[PIS]])-2,0)</f>
        <v>1.880341880341882E-2</v>
      </c>
      <c r="BT115" s="28">
        <f>VLOOKUP($A115,tabCustoUnit[],COLUMN(CUSTO_GLOBAL[[#Headers],[ISS]])-2,0)</f>
        <v>0.03</v>
      </c>
      <c r="BU115" s="26">
        <f>VLOOKUP($A115,tabCustoUnit[],COLUMN(CUSTO_GLOBAL[[#Headers],[ISS (Conversão Alíquota s/ fatura)]])-2,0)</f>
        <v>3.4188034188034219E-2</v>
      </c>
      <c r="BV115" s="26">
        <f>VLOOKUP($A115,tabCustoUnit[],COLUMN(CUSTO_GLOBAL[[#Headers],[Resumo de Alíquotas (PIS+CONFINS+ISS)]])-2,0)</f>
        <v>0.1225</v>
      </c>
      <c r="BW115" s="138">
        <f>VLOOKUP($A115,tabCustoUnit[],COLUMN(CUSTO_GLOBAL[[#Headers],[PIS + COFINS + ISS (Total Conversão  Alíquota s/ Fatura)]])-2,0)</f>
        <v>0.13960113960113973</v>
      </c>
      <c r="BX115" s="22">
        <f>VLOOKUP($A115,tabCustoUnit[],COLUMN(CUSTO_GLOBAL[[#Headers],[Valor dos Tributos (ISS, PIS, CONFINS)]])-2,0)*($G115-$H115)</f>
        <v>1379.5514318308763</v>
      </c>
      <c r="BY115" s="22">
        <f>VLOOKUP($A115,tabCustoUnit[],COLUMN(CUSTO_GLOBAL[[#Headers],[MÓDULO 6 – CUSTOS INDIRETOS, TRIBUTOS E LUCRO]])-2,0)*($G115-$H115)</f>
        <v>2077.4590209918042</v>
      </c>
      <c r="BZ115" s="22">
        <f>VLOOKUP($A115,tabCustoUnit[],COLUMN(CUSTO_GLOBAL[[#Headers],[CUSTO TOTAL MENSAL]])-2,0)*($G115-$H115)</f>
        <v>11261.644341476531</v>
      </c>
      <c r="CA115" s="22">
        <f>CUSTO_GLOBAL[[#This Row],[CUSTO TOTAL MENSAL]]*12</f>
        <v>135139.73209771837</v>
      </c>
      <c r="CB115" s="24">
        <f>VLOOKUP($A115,tabCustoUnit[],COLUMN(CUSTO_GLOBAL[[#Headers],[ANO DA CCT]])-2,0)</f>
        <v>45658</v>
      </c>
      <c r="CC115" s="25" t="str">
        <f>VLOOKUP($A115,tabCustoUnit[],COLUMN(CUSTO_GLOBAL[[#Headers],[Nº DE PEDIDO DA CCT]])-2,0)</f>
        <v>-</v>
      </c>
      <c r="CD115" s="25" t="str">
        <f>VLOOKUP($A115,tabCustoUnit[],COLUMN(CUSTO_GLOBAL[[#Headers],[TERMO ADITIVO  ALTERAÇÃO DA CCT]])-2,0)</f>
        <v>-</v>
      </c>
      <c r="CF115" s="22"/>
      <c r="CG115" s="22"/>
    </row>
    <row r="116" spans="1:85" x14ac:dyDescent="0.25">
      <c r="A116" s="20" t="s">
        <v>1453</v>
      </c>
      <c r="B116" t="s">
        <v>106</v>
      </c>
      <c r="C116" t="s">
        <v>1246</v>
      </c>
      <c r="D116" t="s">
        <v>106</v>
      </c>
      <c r="E116" s="20" t="s">
        <v>9</v>
      </c>
      <c r="F116" s="20" t="s">
        <v>10</v>
      </c>
      <c r="G116" s="20">
        <v>1</v>
      </c>
      <c r="H116" s="20">
        <v>0</v>
      </c>
      <c r="I116" s="21">
        <f>VLOOKUP($A116,tabCustoUnit[],COLUMN(CUSTO_GLOBAL[[#Headers],[Salário Base]])-2,0)*($G116-$H116)</f>
        <v>1124.3900000000001</v>
      </c>
      <c r="J116" s="21">
        <f>VLOOKUP($A116,tabCustoUnit[],COLUMN(CUSTO_GLOBAL[[#Headers],[Adicional Periculosidade]])-2,0)*($G116-$H116)</f>
        <v>0</v>
      </c>
      <c r="K116" s="21">
        <f>VLOOKUP($A116,tabCustoUnit[],COLUMN(CUSTO_GLOBAL[[#Headers],[Adicional Insalubridade]])-2,0)*($G116-$H116)</f>
        <v>0</v>
      </c>
      <c r="L116" s="21">
        <f>VLOOKUP($A116,tabCustoUnit[],COLUMN(CUSTO_GLOBAL[[#Headers],[Adicional Noturno]])-2,0)*($G116-$H116)</f>
        <v>0</v>
      </c>
      <c r="M116" s="21">
        <f>VLOOKUP($A116,tabCustoUnit[],COLUMN(CUSTO_GLOBAL[[#Headers],[Adicional Motorista II (Gratificação)]])-2,0)*($G116-$H116)</f>
        <v>0</v>
      </c>
      <c r="N116" s="21">
        <f>VLOOKUP($A116,tabCustoUnit[],COLUMN(CUSTO_GLOBAL[[#Headers],[Adicional de Sobreaviso]])-2,0)*($G116-$H116)</f>
        <v>0</v>
      </c>
      <c r="O116" s="21">
        <f>VLOOKUP($A116,tabCustoUnit[],COLUMN(CUSTO_GLOBAL[[#Headers],[Horas Extras TI]])-2,0)*($G116-$H116)</f>
        <v>0</v>
      </c>
      <c r="P116" s="21">
        <f>VLOOKUP($A116,tabCustoUnit[],COLUMN(CUSTO_GLOBAL[[#Headers],[Adicional de Acúmulo de função]])-2,0)*($G116-$H116)</f>
        <v>40.478000000000002</v>
      </c>
      <c r="Q116" s="21">
        <f>VLOOKUP($A116,tabCustoUnit[],COLUMN(CUSTO_GLOBAL[[#Headers],[MODULO 1 - REMUNERAÇÃO ]])-2,0)*($G116-$H116)</f>
        <v>1164.8680000000002</v>
      </c>
      <c r="R116" s="21">
        <f>VLOOKUP($A116,tabCustoUnit[],COLUMN(CUSTO_GLOBAL[[#Headers],[INSS]])-2,0)*($G116-$H116)</f>
        <v>232.97360000000003</v>
      </c>
      <c r="S116" s="21">
        <f>VLOOKUP($A116,tabCustoUnit[],COLUMN(CUSTO_GLOBAL[[#Headers],[SESI OU SESC]])-2,0)*($G116-$H116)</f>
        <v>17.473020000000002</v>
      </c>
      <c r="T116" s="21">
        <f>VLOOKUP($A116,tabCustoUnit[],COLUMN(CUSTO_GLOBAL[[#Headers],[SENAI OU SENAC]])-2,0)*($G116-$H116)</f>
        <v>11.648680000000002</v>
      </c>
      <c r="U116" s="21">
        <f>VLOOKUP($A116,tabCustoUnit[],COLUMN(CUSTO_GLOBAL[[#Headers],[INCRA]])-2,0)*($G116-$H116)</f>
        <v>2.3297360000000005</v>
      </c>
      <c r="V116" s="21">
        <f>VLOOKUP($A116,tabCustoUnit[],COLUMN(CUSTO_GLOBAL[[#Headers],[Salário Educação]])-2,0)*($G116-$H116)</f>
        <v>29.121700000000004</v>
      </c>
      <c r="W116" s="21">
        <f>VLOOKUP($A116,tabCustoUnit[],COLUMN(CUSTO_GLOBAL[[#Headers],[FGTS]])-2,0)*($G116-$H116)</f>
        <v>93.189440000000019</v>
      </c>
      <c r="X116" s="21">
        <f>VLOOKUP($A116,tabCustoUnit[],COLUMN(CUSTO_GLOBAL[[#Headers],[RAT Ajustado]])-2,0)*($G116-$H116)</f>
        <v>46.594720000000009</v>
      </c>
      <c r="Y116" s="21">
        <f>VLOOKUP($A116,tabCustoUnit[],COLUMN(CUSTO_GLOBAL[[#Headers],[SEBRAE]])-2,0)*($G116-$H116)</f>
        <v>6.9892080000000014</v>
      </c>
      <c r="Z116" s="21">
        <f>VLOOKUP($A116,tabCustoUnit[],COLUMN(CUSTO_GLOBAL[[#Headers],[Submódulo 2.1]])-2,0)*($G116-$H116)</f>
        <v>440.32010400000001</v>
      </c>
      <c r="AA116" s="21">
        <f>VLOOKUP($A116,tabCustoUnit[],COLUMN(CUSTO_GLOBAL[[#Headers],[13º salário (titular)]])-2,0)*($G116-$H116)</f>
        <v>97.072333333333347</v>
      </c>
      <c r="AB116" s="21">
        <f>VLOOKUP($A116,tabCustoUnit[],COLUMN(CUSTO_GLOBAL[[#Headers],[Férias e Adicional de Férias (titular)]])-2,0)*($G116-$H116)</f>
        <v>129.42977777777779</v>
      </c>
      <c r="AC116" s="21">
        <f>VLOOKUP($A116,tabCustoUnit[],COLUMN(CUSTO_GLOBAL[[#Headers],[Incidência do Submódulo 2.1 sobre 13º Salário, Férias e Adicional de Férias]])-2,0)*($G116-$H116)</f>
        <v>85.617797999999993</v>
      </c>
      <c r="AD116" s="21">
        <f>VLOOKUP($A116,tabCustoUnit[],COLUMN(CUSTO_GLOBAL[[#Headers],[Submódulo 2.2]])-2,0)*($G116-$H116)</f>
        <v>312.11990911111116</v>
      </c>
      <c r="AE116" s="22">
        <f>VLOOKUP($A116,tabCustoUnit[],COLUMN(CUSTO_GLOBAL[[#Headers],[Vale - Transporte (Descontada parcela do empregado)]])-2,0)*($G116-$H116)</f>
        <v>188.53659999999999</v>
      </c>
      <c r="AF116" s="22">
        <f>VLOOKUP($A116,tabCustoUnit[],COLUMN(CUSTO_GLOBAL[[#Headers],[Vale - Alimentação (Descontada parcela do empregado)]])-2,0)*($G116-$H116)</f>
        <v>582</v>
      </c>
      <c r="AG116" s="22">
        <f>VLOOKUP($A116,tabCustoUnit[],COLUMN(CUSTO_GLOBAL[[#Headers],[Cesta Básica]])-2,0)*($G116-$H116)</f>
        <v>0</v>
      </c>
      <c r="AH116" s="22">
        <f>VLOOKUP($A116,tabCustoUnit[],COLUMN(CUSTO_GLOBAL[[#Headers],[PAF]])-2,0)*($G116-$H116)</f>
        <v>51.88</v>
      </c>
      <c r="AI116" s="22">
        <f>VLOOKUP($A116,tabCustoUnit[],COLUMN(CUSTO_GLOBAL[[#Headers],[PQM]])-2,0)*($G116-$H116)</f>
        <v>0</v>
      </c>
      <c r="AJ116" s="22">
        <v>0</v>
      </c>
      <c r="AK116" s="22">
        <f>VLOOKUP($A116,tabCustoUnit[],COLUMN(CUSTO_GLOBAL[[#Headers],[Seguro de Vida]])-2,0)*($G116-$H116)</f>
        <v>3.36</v>
      </c>
      <c r="AL116" s="22">
        <f>VLOOKUP($A116,tabCustoUnit[],COLUMN(CUSTO_GLOBAL[[#Headers],[Despesas de Viagem]])-2,0)*($G116-$H116)</f>
        <v>0</v>
      </c>
      <c r="AM116" s="22">
        <f>VLOOKUP($A116,tabCustoUnit[],COLUMN(CUSTO_GLOBAL[[#Headers],[Submódulo 2.3]])-2,0)*($G116-$H116)</f>
        <v>825.77660000000003</v>
      </c>
      <c r="AN116" s="22">
        <f>VLOOKUP($A116,tabCustoUnit[],COLUMN(CUSTO_GLOBAL[[#Headers],[MÓDULO 2 - Total Encargos e Benefícios mensais e diários]])-2,0)*($G116-$H116)</f>
        <v>1578.2166131111112</v>
      </c>
      <c r="AO116" s="22">
        <f>VLOOKUP($A116,tabCustoUnit[],COLUMN(CUSTO_GLOBAL[[#Headers],[Aviso Prévio Indenizado (API) e Reflexo do Aviso Prévio Indenizado]])-2,0)*($G116-$H116)</f>
        <v>8.1677829729938285</v>
      </c>
      <c r="AP116" s="22">
        <f>VLOOKUP($A116,tabCustoUnit[],COLUMN(CUSTO_GLOBAL[[#Headers],[Incidência do FGTS sobre API e Reflexo do API]])-2,0)*($G116-$H116)</f>
        <v>0.65342263783950627</v>
      </c>
      <c r="AQ116" s="22">
        <f>VLOOKUP($A116,tabCustoUnit[],COLUMN(CUSTO_GLOBAL[[#Headers],[Multa Rescisória do FGTS sobre o Aviso Prévio Indenizado]])-2,0)*($G116-$H116)</f>
        <v>0.26136905513580255</v>
      </c>
      <c r="AR116" s="22">
        <f>VLOOKUP($A116,tabCustoUnit[],COLUMN(CUSTO_GLOBAL[[#Headers],[Aviso Prévio Trabalhado - APT]])-2,0)*($G116-$H116)</f>
        <v>4.0770380000000008</v>
      </c>
      <c r="AS116" s="22">
        <f>VLOOKUP($A116,tabCustoUnit[],COLUMN(CUSTO_GLOBAL[[#Headers],[Incidência dos encargos do submódulo 2.1 sobre Aviso Prévio Trabalhado]])-2,0)*($G116-$H116)</f>
        <v>1.5411203640000006</v>
      </c>
      <c r="AT116" s="22">
        <f>VLOOKUP($A116,tabCustoUnit[],COLUMN(CUSTO_GLOBAL[[#Headers],[Multa Rescisória do FGTS]])-2,0)*($G116-$H116)</f>
        <v>35.619074844444441</v>
      </c>
      <c r="AU116" s="22">
        <f>VLOOKUP($A116,tabCustoUnit[],COLUMN(CUSTO_GLOBAL[[#Headers],[Indenização Adicional (Art. 9º da Lei nº 7.238/84)]])-2,0)*($G116-$H116)</f>
        <v>0.97072333333333349</v>
      </c>
      <c r="AV116" s="22">
        <f>VLOOKUP($A116,tabCustoUnit[],COLUMN(CUSTO_GLOBAL[[#Headers],[MÓDULO 3 – PROVISÃO PARA RESCISÃO]])-2,0)*($G116-$H116)</f>
        <v>51.290531207746916</v>
      </c>
      <c r="AW116" s="22">
        <f>VLOOKUP($A116,tabCustoUnit[],COLUMN(CUSTO_GLOBAL[[#Headers],[Ausência por Doença]])-2,0)*($G116-$H116)</f>
        <v>9.8366631111111111</v>
      </c>
      <c r="AX116" s="22">
        <f>VLOOKUP($A116,tabCustoUnit[],COLUMN(CUSTO_GLOBAL[[#Headers],[Ausências Legais]])-2,0)*($G116-$H116)</f>
        <v>2.3620934444444446</v>
      </c>
      <c r="AY116" s="22">
        <f>VLOOKUP($A116,tabCustoUnit[],COLUMN(CUSTO_GLOBAL[[#Headers],[Licença Paternidade]])-2,0)*($G116-$H116)</f>
        <v>0.19899828333333336</v>
      </c>
      <c r="AZ116" s="22">
        <f>VLOOKUP($A116,tabCustoUnit[],COLUMN(CUSTO_GLOBAL[[#Headers],[Ausência por Acidente de Trabalho]])-2,0)*($G116-$H116)</f>
        <v>0.24268083333333337</v>
      </c>
      <c r="BA116" s="22">
        <f>VLOOKUP($A116,tabCustoUnit[],COLUMN(CUSTO_GLOBAL[[#Headers],[Férias, Adicional de Férias e 13º  com empregada em gozo de Licença Maternidade]])-2,0)*($G116-$H116)</f>
        <v>1.5100140740740742</v>
      </c>
      <c r="BB116" s="22">
        <f>VLOOKUP($A116,tabCustoUnit[],COLUMN(CUSTO_GLOBAL[[#Headers],[Incidência do Submódulo 2.1 sobre Ausências Legais]])-2,0)*($G116-$H116)</f>
        <v>5.3488700041000019</v>
      </c>
      <c r="BC116" s="22">
        <f>VLOOKUP($A116,tabCustoUnit[],COLUMN(CUSTO_GLOBAL[[#Headers],[Submódulo 4.1]])-2,0)*($G116-$H116)</f>
        <v>19.499319750396296</v>
      </c>
      <c r="BD116" s="22">
        <f>VLOOKUP($A116,tabCustoUnit[],COLUMN(CUSTO_GLOBAL[[#Headers],[Intervalo para Repouso ou Alimentação]])-2,0)*($G116-$H116)</f>
        <v>0</v>
      </c>
      <c r="BE116" s="22">
        <f>VLOOKUP($A116,tabCustoUnit[],COLUMN(CUSTO_GLOBAL[[#Headers],[Submódulo 4.2]])-2,0)*($G116-$H116)</f>
        <v>0</v>
      </c>
      <c r="BF116" s="22">
        <f>VLOOKUP($A116,tabCustoUnit[],COLUMN(CUSTO_GLOBAL[[#Headers],[Suspensão Temporária do Contrato de Trabalho]])-2,0)*($G116-$H116)</f>
        <v>0</v>
      </c>
      <c r="BG116" s="22">
        <f>VLOOKUP($A116,tabCustoUnit[],COLUMN(CUSTO_GLOBAL[[#Headers],[Submódulo 4.3]])-2,0)*($G116-$H116)</f>
        <v>0</v>
      </c>
      <c r="BH116" s="22">
        <f>VLOOKUP($A116,tabCustoUnit[],COLUMN(CUSTO_GLOBAL[[#Headers],[MÓDULO 4 – CUSTO DE REPOSIÇÃO DO PROFISSIONAL AUSENTE]])-2,0)*($G116-$H116)</f>
        <v>19.499319750396296</v>
      </c>
      <c r="BI116" s="22">
        <f>VLOOKUP($A116,tabCustoUnit[],COLUMN(CUSTO_GLOBAL[[#Headers],[Uniformes e EPIs]])-2,0)*($G116-$H116)</f>
        <v>100.80916666666666</v>
      </c>
      <c r="BJ116" s="22">
        <f>VLOOKUP($A116,tabCustoUnit[],COLUMN(CUSTO_GLOBAL[[#Headers],[Materiais de Consumo]])-2,0)*($G116-$H116)</f>
        <v>24.216963380852651</v>
      </c>
      <c r="BK116" s="22">
        <f>VLOOKUP($A116,tabCustoUnit[],COLUMN(CUSTO_GLOBAL[[#Headers],[Máquinas e Equipamentos (depreciação)]])-2,0)*($G116-$H116)</f>
        <v>43.997314032835618</v>
      </c>
      <c r="BL116" s="22">
        <f>VLOOKUP($A116,tabCustoUnit[],COLUMN(CUSTO_GLOBAL[[#Headers],[Produtos de Limpeza e Materiais de Higiene Pessoal]])-2,0)*($G116-$H116)</f>
        <v>470.6396814404431</v>
      </c>
      <c r="BM116" s="22">
        <f>VLOOKUP($A116,tabCustoUnit[],COLUMN(CUSTO_GLOBAL[[#Headers],[Outros (especificar)]])-2,0)*($G116-$H116)</f>
        <v>0</v>
      </c>
      <c r="BN116" s="22">
        <f>VLOOKUP($A116,tabCustoUnit[],COLUMN(CUSTO_GLOBAL[[#Headers],[MÓDULO 5 – INSUMOS DIVERSOS]])-2,0)*($G116-$H116)</f>
        <v>639.66312552079808</v>
      </c>
      <c r="BO116" s="22">
        <f>VLOOKUP($A116,tabCustoUnit[],COLUMN(CUSTO_GLOBAL[[#Headers],[TOTAL MÓDULOS 1+2+3+4+5]])-2,0)*($G116-$H116)</f>
        <v>3453.5375895900524</v>
      </c>
      <c r="BP116" s="22">
        <f>VLOOKUP($A116,tabCustoUnit[],COLUMN(CUSTO_GLOBAL[[#Headers],[Custos Indiretos]])-2,0)*($G116-$H116)</f>
        <v>189.64880140242613</v>
      </c>
      <c r="BQ116" s="22">
        <f>VLOOKUP($A116,tabCustoUnit[],COLUMN(CUSTO_GLOBAL[[#Headers],[Lucro]])-2,0)*($G116-$H116)</f>
        <v>159.30499317803796</v>
      </c>
      <c r="BR116" s="26">
        <f>VLOOKUP($A116,tabCustoUnit[],COLUMN(CUSTO_GLOBAL[[#Headers],[COFINS]])-2,0)</f>
        <v>8.6609686609686695E-2</v>
      </c>
      <c r="BS116" s="26">
        <f>VLOOKUP($A116,tabCustoUnit[],COLUMN(CUSTO_GLOBAL[[#Headers],[PIS]])-2,0)</f>
        <v>1.880341880341882E-2</v>
      </c>
      <c r="BT116" s="28">
        <f>VLOOKUP($A116,tabCustoUnit[],COLUMN(CUSTO_GLOBAL[[#Headers],[ISS]])-2,0)</f>
        <v>0.03</v>
      </c>
      <c r="BU116" s="26">
        <f>VLOOKUP($A116,tabCustoUnit[],COLUMN(CUSTO_GLOBAL[[#Headers],[ISS (Conversão Alíquota s/ fatura)]])-2,0)</f>
        <v>3.4188034188034219E-2</v>
      </c>
      <c r="BV116" s="26">
        <f>VLOOKUP($A116,tabCustoUnit[],COLUMN(CUSTO_GLOBAL[[#Headers],[Resumo de Alíquotas (PIS+CONFINS+ISS)]])-2,0)</f>
        <v>0.1225</v>
      </c>
      <c r="BW116" s="138">
        <f>VLOOKUP($A116,tabCustoUnit[],COLUMN(CUSTO_GLOBAL[[#Headers],[PIS + COFINS + ISS (Total Conversão  Alíquota s/ Fatura)]])-2,0)</f>
        <v>0.13960113960113973</v>
      </c>
      <c r="BX116" s="22">
        <f>VLOOKUP($A116,tabCustoUnit[],COLUMN(CUSTO_GLOBAL[[#Headers],[Valor dos Tributos (ISS, PIS, CONFINS)]])-2,0)*($G116-$H116)</f>
        <v>530.83213055371937</v>
      </c>
      <c r="BY116" s="22">
        <f>VLOOKUP($A116,tabCustoUnit[],COLUMN(CUSTO_GLOBAL[[#Headers],[MÓDULO 6 – CUSTOS INDIRETOS, TRIBUTOS E LUCRO]])-2,0)*($G116-$H116)</f>
        <v>879.78592513418346</v>
      </c>
      <c r="BZ116" s="22">
        <f>VLOOKUP($A116,tabCustoUnit[],COLUMN(CUSTO_GLOBAL[[#Headers],[CUSTO TOTAL MENSAL]])-2,0)*($G116-$H116)</f>
        <v>4333.3235147242358</v>
      </c>
      <c r="CA116" s="22">
        <f>CUSTO_GLOBAL[[#This Row],[CUSTO TOTAL MENSAL]]*12</f>
        <v>51999.88217669083</v>
      </c>
      <c r="CB116" s="24">
        <f>VLOOKUP($A116,tabCustoUnit[],COLUMN(CUSTO_GLOBAL[[#Headers],[ANO DA CCT]])-2,0)</f>
        <v>45658</v>
      </c>
      <c r="CC116" s="25" t="str">
        <f>VLOOKUP($A116,tabCustoUnit[],COLUMN(CUSTO_GLOBAL[[#Headers],[Nº DE PEDIDO DA CCT]])-2,0)</f>
        <v>-</v>
      </c>
      <c r="CD116" s="25" t="str">
        <f>VLOOKUP($A116,tabCustoUnit[],COLUMN(CUSTO_GLOBAL[[#Headers],[TERMO ADITIVO  ALTERAÇÃO DA CCT]])-2,0)</f>
        <v>-</v>
      </c>
      <c r="CF116" s="22"/>
      <c r="CG116" s="22"/>
    </row>
    <row r="117" spans="1:85" x14ac:dyDescent="0.25">
      <c r="A117" s="20" t="s">
        <v>1454</v>
      </c>
      <c r="B117" t="s">
        <v>107</v>
      </c>
      <c r="C117" t="s">
        <v>1245</v>
      </c>
      <c r="D117" t="s">
        <v>1000</v>
      </c>
      <c r="E117" s="20" t="s">
        <v>9</v>
      </c>
      <c r="F117" s="20" t="s">
        <v>10</v>
      </c>
      <c r="G117" s="20">
        <v>1</v>
      </c>
      <c r="H117" s="20">
        <v>0</v>
      </c>
      <c r="I117" s="21">
        <f>VLOOKUP($A117,tabCustoUnit[],COLUMN(CUSTO_GLOBAL[[#Headers],[Salário Base]])-2,0)*($G117-$H117)</f>
        <v>1596.28</v>
      </c>
      <c r="J117" s="21">
        <f>VLOOKUP($A117,tabCustoUnit[],COLUMN(CUSTO_GLOBAL[[#Headers],[Adicional Periculosidade]])-2,0)*($G117-$H117)</f>
        <v>0</v>
      </c>
      <c r="K117" s="21">
        <f>VLOOKUP($A117,tabCustoUnit[],COLUMN(CUSTO_GLOBAL[[#Headers],[Adicional Insalubridade]])-2,0)*($G117-$H117)</f>
        <v>0</v>
      </c>
      <c r="L117" s="21">
        <f>VLOOKUP($A117,tabCustoUnit[],COLUMN(CUSTO_GLOBAL[[#Headers],[Adicional Noturno]])-2,0)*($G117-$H117)</f>
        <v>0</v>
      </c>
      <c r="M117" s="21">
        <f>VLOOKUP($A117,tabCustoUnit[],COLUMN(CUSTO_GLOBAL[[#Headers],[Adicional Motorista II (Gratificação)]])-2,0)*($G117-$H117)</f>
        <v>0</v>
      </c>
      <c r="N117" s="21">
        <f>VLOOKUP($A117,tabCustoUnit[],COLUMN(CUSTO_GLOBAL[[#Headers],[Adicional de Sobreaviso]])-2,0)*($G117-$H117)</f>
        <v>0</v>
      </c>
      <c r="O117" s="21">
        <f>VLOOKUP($A117,tabCustoUnit[],COLUMN(CUSTO_GLOBAL[[#Headers],[Horas Extras TI]])-2,0)*($G117-$H117)</f>
        <v>0</v>
      </c>
      <c r="P117" s="21">
        <f>VLOOKUP($A117,tabCustoUnit[],COLUMN(CUSTO_GLOBAL[[#Headers],[Adicional de Acúmulo de função]])-2,0)*($G117-$H117)</f>
        <v>52.241900000000001</v>
      </c>
      <c r="Q117" s="21">
        <f>VLOOKUP($A117,tabCustoUnit[],COLUMN(CUSTO_GLOBAL[[#Headers],[MODULO 1 - REMUNERAÇÃO ]])-2,0)*($G117-$H117)</f>
        <v>1648.5219</v>
      </c>
      <c r="R117" s="21">
        <f>VLOOKUP($A117,tabCustoUnit[],COLUMN(CUSTO_GLOBAL[[#Headers],[INSS]])-2,0)*($G117-$H117)</f>
        <v>329.70438000000001</v>
      </c>
      <c r="S117" s="21">
        <f>VLOOKUP($A117,tabCustoUnit[],COLUMN(CUSTO_GLOBAL[[#Headers],[SESI OU SESC]])-2,0)*($G117-$H117)</f>
        <v>24.727828499999998</v>
      </c>
      <c r="T117" s="21">
        <f>VLOOKUP($A117,tabCustoUnit[],COLUMN(CUSTO_GLOBAL[[#Headers],[SENAI OU SENAC]])-2,0)*($G117-$H117)</f>
        <v>16.485219000000001</v>
      </c>
      <c r="U117" s="21">
        <f>VLOOKUP($A117,tabCustoUnit[],COLUMN(CUSTO_GLOBAL[[#Headers],[INCRA]])-2,0)*($G117-$H117)</f>
        <v>3.2970438</v>
      </c>
      <c r="V117" s="21">
        <f>VLOOKUP($A117,tabCustoUnit[],COLUMN(CUSTO_GLOBAL[[#Headers],[Salário Educação]])-2,0)*($G117-$H117)</f>
        <v>41.213047500000002</v>
      </c>
      <c r="W117" s="21">
        <f>VLOOKUP($A117,tabCustoUnit[],COLUMN(CUSTO_GLOBAL[[#Headers],[FGTS]])-2,0)*($G117-$H117)</f>
        <v>131.88175200000001</v>
      </c>
      <c r="X117" s="21">
        <f>VLOOKUP($A117,tabCustoUnit[],COLUMN(CUSTO_GLOBAL[[#Headers],[RAT Ajustado]])-2,0)*($G117-$H117)</f>
        <v>65.940876000000003</v>
      </c>
      <c r="Y117" s="21">
        <f>VLOOKUP($A117,tabCustoUnit[],COLUMN(CUSTO_GLOBAL[[#Headers],[SEBRAE]])-2,0)*($G117-$H117)</f>
        <v>9.8911314000000008</v>
      </c>
      <c r="Z117" s="21">
        <f>VLOOKUP($A117,tabCustoUnit[],COLUMN(CUSTO_GLOBAL[[#Headers],[Submódulo 2.1]])-2,0)*($G117-$H117)</f>
        <v>623.14127819999999</v>
      </c>
      <c r="AA117" s="21">
        <f>VLOOKUP($A117,tabCustoUnit[],COLUMN(CUSTO_GLOBAL[[#Headers],[13º salário (titular)]])-2,0)*($G117-$H117)</f>
        <v>137.376825</v>
      </c>
      <c r="AB117" s="21">
        <f>VLOOKUP($A117,tabCustoUnit[],COLUMN(CUSTO_GLOBAL[[#Headers],[Férias e Adicional de Férias (titular)]])-2,0)*($G117-$H117)</f>
        <v>183.16909999999999</v>
      </c>
      <c r="AC117" s="21">
        <f>VLOOKUP($A117,tabCustoUnit[],COLUMN(CUSTO_GLOBAL[[#Headers],[Incidência do Submódulo 2.1 sobre 13º Salário, Férias e Adicional de Férias]])-2,0)*($G117-$H117)</f>
        <v>121.16635965</v>
      </c>
      <c r="AD117" s="21">
        <f>VLOOKUP($A117,tabCustoUnit[],COLUMN(CUSTO_GLOBAL[[#Headers],[Submódulo 2.2]])-2,0)*($G117-$H117)</f>
        <v>441.71228465000002</v>
      </c>
      <c r="AE117" s="22">
        <f>VLOOKUP($A117,tabCustoUnit[],COLUMN(CUSTO_GLOBAL[[#Headers],[Vale - Transporte (Descontada parcela do empregado)]])-2,0)*($G117-$H117)</f>
        <v>160.22320000000002</v>
      </c>
      <c r="AF117" s="22">
        <f>VLOOKUP($A117,tabCustoUnit[],COLUMN(CUSTO_GLOBAL[[#Headers],[Vale - Alimentação (Descontada parcela do empregado)]])-2,0)*($G117-$H117)</f>
        <v>582</v>
      </c>
      <c r="AG117" s="22">
        <f>VLOOKUP($A117,tabCustoUnit[],COLUMN(CUSTO_GLOBAL[[#Headers],[Cesta Básica]])-2,0)*($G117-$H117)</f>
        <v>0</v>
      </c>
      <c r="AH117" s="22">
        <f>VLOOKUP($A117,tabCustoUnit[],COLUMN(CUSTO_GLOBAL[[#Headers],[PAF]])-2,0)*($G117-$H117)</f>
        <v>0</v>
      </c>
      <c r="AI117" s="22">
        <f>VLOOKUP($A117,tabCustoUnit[],COLUMN(CUSTO_GLOBAL[[#Headers],[PQM]])-2,0)*($G117-$H117)</f>
        <v>15.07</v>
      </c>
      <c r="AJ117" s="22">
        <v>0</v>
      </c>
      <c r="AK117" s="22">
        <f>VLOOKUP($A117,tabCustoUnit[],COLUMN(CUSTO_GLOBAL[[#Headers],[Seguro de Vida]])-2,0)*($G117-$H117)</f>
        <v>3.36</v>
      </c>
      <c r="AL117" s="22">
        <f>VLOOKUP($A117,tabCustoUnit[],COLUMN(CUSTO_GLOBAL[[#Headers],[Despesas de Viagem]])-2,0)*($G117-$H117)</f>
        <v>0</v>
      </c>
      <c r="AM117" s="22">
        <f>VLOOKUP($A117,tabCustoUnit[],COLUMN(CUSTO_GLOBAL[[#Headers],[Submódulo 2.3]])-2,0)*($G117-$H117)</f>
        <v>760.65320000000008</v>
      </c>
      <c r="AN117" s="22">
        <f>VLOOKUP($A117,tabCustoUnit[],COLUMN(CUSTO_GLOBAL[[#Headers],[MÓDULO 2 - Total Encargos e Benefícios mensais e diários]])-2,0)*($G117-$H117)</f>
        <v>1825.5067628500001</v>
      </c>
      <c r="AO117" s="22">
        <f>VLOOKUP($A117,tabCustoUnit[],COLUMN(CUSTO_GLOBAL[[#Headers],[Aviso Prévio Indenizado (API) e Reflexo do Aviso Prévio Indenizado]])-2,0)*($G117-$H117)</f>
        <v>11.559051416493055</v>
      </c>
      <c r="AP117" s="22">
        <f>VLOOKUP($A117,tabCustoUnit[],COLUMN(CUSTO_GLOBAL[[#Headers],[Incidência do FGTS sobre API e Reflexo do API]])-2,0)*($G117-$H117)</f>
        <v>0.92472411331944449</v>
      </c>
      <c r="AQ117" s="22">
        <f>VLOOKUP($A117,tabCustoUnit[],COLUMN(CUSTO_GLOBAL[[#Headers],[Multa Rescisória do FGTS sobre o Aviso Prévio Indenizado]])-2,0)*($G117-$H117)</f>
        <v>0.36988964532777785</v>
      </c>
      <c r="AR117" s="22">
        <f>VLOOKUP($A117,tabCustoUnit[],COLUMN(CUSTO_GLOBAL[[#Headers],[Aviso Prévio Trabalhado - APT]])-2,0)*($G117-$H117)</f>
        <v>5.7698266500000006</v>
      </c>
      <c r="AS117" s="22">
        <f>VLOOKUP($A117,tabCustoUnit[],COLUMN(CUSTO_GLOBAL[[#Headers],[Incidência dos encargos do submódulo 2.1 sobre Aviso Prévio Trabalhado]])-2,0)*($G117-$H117)</f>
        <v>2.1809944737000007</v>
      </c>
      <c r="AT117" s="22">
        <f>VLOOKUP($A117,tabCustoUnit[],COLUMN(CUSTO_GLOBAL[[#Headers],[Multa Rescisória do FGTS]])-2,0)*($G117-$H117)</f>
        <v>50.40813631999999</v>
      </c>
      <c r="AU117" s="22">
        <f>VLOOKUP($A117,tabCustoUnit[],COLUMN(CUSTO_GLOBAL[[#Headers],[Indenização Adicional (Art. 9º da Lei nº 7.238/84)]])-2,0)*($G117-$H117)</f>
        <v>1.3737682500000001</v>
      </c>
      <c r="AV117" s="22">
        <f>VLOOKUP($A117,tabCustoUnit[],COLUMN(CUSTO_GLOBAL[[#Headers],[MÓDULO 3 – PROVISÃO PARA RESCISÃO]])-2,0)*($G117-$H117)</f>
        <v>72.586390868840269</v>
      </c>
      <c r="AW117" s="22">
        <f>VLOOKUP($A117,tabCustoUnit[],COLUMN(CUSTO_GLOBAL[[#Headers],[Ausência por Doença]])-2,0)*($G117-$H117)</f>
        <v>13.920851599999999</v>
      </c>
      <c r="AX117" s="22">
        <f>VLOOKUP($A117,tabCustoUnit[],COLUMN(CUSTO_GLOBAL[[#Headers],[Ausências Legais]])-2,0)*($G117-$H117)</f>
        <v>3.3428360749999997</v>
      </c>
      <c r="AY117" s="22">
        <f>VLOOKUP($A117,tabCustoUnit[],COLUMN(CUSTO_GLOBAL[[#Headers],[Licença Paternidade]])-2,0)*($G117-$H117)</f>
        <v>0.28162249125</v>
      </c>
      <c r="AZ117" s="22">
        <f>VLOOKUP($A117,tabCustoUnit[],COLUMN(CUSTO_GLOBAL[[#Headers],[Ausência por Acidente de Trabalho]])-2,0)*($G117-$H117)</f>
        <v>0.34344206250000003</v>
      </c>
      <c r="BA117" s="22">
        <f>VLOOKUP($A117,tabCustoUnit[],COLUMN(CUSTO_GLOBAL[[#Headers],[Férias, Adicional de Férias e 13º  com empregada em gozo de Licença Maternidade]])-2,0)*($G117-$H117)</f>
        <v>2.1369728333333331</v>
      </c>
      <c r="BB117" s="22">
        <f>VLOOKUP($A117,tabCustoUnit[],COLUMN(CUSTO_GLOBAL[[#Headers],[Incidência do Submódulo 2.1 sobre Ausências Legais]])-2,0)*($G117-$H117)</f>
        <v>7.5697240734675013</v>
      </c>
      <c r="BC117" s="22">
        <f>VLOOKUP($A117,tabCustoUnit[],COLUMN(CUSTO_GLOBAL[[#Headers],[Submódulo 4.1]])-2,0)*($G117-$H117)</f>
        <v>27.595449135550833</v>
      </c>
      <c r="BD117" s="22">
        <f>VLOOKUP($A117,tabCustoUnit[],COLUMN(CUSTO_GLOBAL[[#Headers],[Intervalo para Repouso ou Alimentação]])-2,0)*($G117-$H117)</f>
        <v>0</v>
      </c>
      <c r="BE117" s="22">
        <f>VLOOKUP($A117,tabCustoUnit[],COLUMN(CUSTO_GLOBAL[[#Headers],[Submódulo 4.2]])-2,0)*($G117-$H117)</f>
        <v>0</v>
      </c>
      <c r="BF117" s="22">
        <f>VLOOKUP($A117,tabCustoUnit[],COLUMN(CUSTO_GLOBAL[[#Headers],[Suspensão Temporária do Contrato de Trabalho]])-2,0)*($G117-$H117)</f>
        <v>0</v>
      </c>
      <c r="BG117" s="22">
        <f>VLOOKUP($A117,tabCustoUnit[],COLUMN(CUSTO_GLOBAL[[#Headers],[Submódulo 4.3]])-2,0)*($G117-$H117)</f>
        <v>0</v>
      </c>
      <c r="BH117" s="22">
        <f>VLOOKUP($A117,tabCustoUnit[],COLUMN(CUSTO_GLOBAL[[#Headers],[MÓDULO 4 – CUSTO DE REPOSIÇÃO DO PROFISSIONAL AUSENTE]])-2,0)*($G117-$H117)</f>
        <v>27.595449135550833</v>
      </c>
      <c r="BI117" s="22">
        <f>VLOOKUP($A117,tabCustoUnit[],COLUMN(CUSTO_GLOBAL[[#Headers],[Uniformes e EPIs]])-2,0)*($G117-$H117)</f>
        <v>100.80916666666666</v>
      </c>
      <c r="BJ117" s="22">
        <f>VLOOKUP($A117,tabCustoUnit[],COLUMN(CUSTO_GLOBAL[[#Headers],[Materiais de Consumo]])-2,0)*($G117-$H117)</f>
        <v>35.518212958583888</v>
      </c>
      <c r="BK117" s="22">
        <f>VLOOKUP($A117,tabCustoUnit[],COLUMN(CUSTO_GLOBAL[[#Headers],[Máquinas e Equipamentos (depreciação)]])-2,0)*($G117-$H117)</f>
        <v>64.529393914825576</v>
      </c>
      <c r="BL117" s="22">
        <f>VLOOKUP($A117,tabCustoUnit[],COLUMN(CUSTO_GLOBAL[[#Headers],[Produtos de Limpeza e Materiais de Higiene Pessoal]])-2,0)*($G117-$H117)</f>
        <v>690.27153277931654</v>
      </c>
      <c r="BM117" s="22">
        <f>VLOOKUP($A117,tabCustoUnit[],COLUMN(CUSTO_GLOBAL[[#Headers],[Outros (especificar)]])-2,0)*($G117-$H117)</f>
        <v>0</v>
      </c>
      <c r="BN117" s="22">
        <f>VLOOKUP($A117,tabCustoUnit[],COLUMN(CUSTO_GLOBAL[[#Headers],[MÓDULO 5 – INSUMOS DIVERSOS]])-2,0)*($G117-$H117)</f>
        <v>891.12830631939266</v>
      </c>
      <c r="BO117" s="22">
        <f>VLOOKUP($A117,tabCustoUnit[],COLUMN(CUSTO_GLOBAL[[#Headers],[TOTAL MÓDULOS 1+2+3+4+5]])-2,0)*($G117-$H117)</f>
        <v>4465.3388091737834</v>
      </c>
      <c r="BP117" s="22">
        <f>VLOOKUP($A117,tabCustoUnit[],COLUMN(CUSTO_GLOBAL[[#Headers],[Custos Indiretos]])-2,0)*($G117-$H117)</f>
        <v>189.64880140242613</v>
      </c>
      <c r="BQ117" s="22">
        <f>VLOOKUP($A117,tabCustoUnit[],COLUMN(CUSTO_GLOBAL[[#Headers],[Lucro]])-2,0)*($G117-$H117)</f>
        <v>159.30499317803796</v>
      </c>
      <c r="BR117" s="26">
        <f>VLOOKUP($A117,tabCustoUnit[],COLUMN(CUSTO_GLOBAL[[#Headers],[COFINS]])-2,0)</f>
        <v>8.6609686609686695E-2</v>
      </c>
      <c r="BS117" s="26">
        <f>VLOOKUP($A117,tabCustoUnit[],COLUMN(CUSTO_GLOBAL[[#Headers],[PIS]])-2,0)</f>
        <v>1.880341880341882E-2</v>
      </c>
      <c r="BT117" s="28">
        <f>VLOOKUP($A117,tabCustoUnit[],COLUMN(CUSTO_GLOBAL[[#Headers],[ISS]])-2,0)</f>
        <v>0.03</v>
      </c>
      <c r="BU117" s="26">
        <f>VLOOKUP($A117,tabCustoUnit[],COLUMN(CUSTO_GLOBAL[[#Headers],[ISS (Conversão Alíquota s/ fatura)]])-2,0)</f>
        <v>3.4188034188034219E-2</v>
      </c>
      <c r="BV117" s="26">
        <f>VLOOKUP($A117,tabCustoUnit[],COLUMN(CUSTO_GLOBAL[[#Headers],[Resumo de Alíquotas (PIS+CONFINS+ISS)]])-2,0)</f>
        <v>0.1225</v>
      </c>
      <c r="BW117" s="138">
        <f>VLOOKUP($A117,tabCustoUnit[],COLUMN(CUSTO_GLOBAL[[#Headers],[PIS + COFINS + ISS (Total Conversão  Alíquota s/ Fatura)]])-2,0)</f>
        <v>0.13960113960113973</v>
      </c>
      <c r="BX117" s="22">
        <f>VLOOKUP($A117,tabCustoUnit[],COLUMN(CUSTO_GLOBAL[[#Headers],[Valor dos Tributos (ISS, PIS, CONFINS)]])-2,0)*($G117-$H117)</f>
        <v>672.08073385743126</v>
      </c>
      <c r="BY117" s="22">
        <f>VLOOKUP($A117,tabCustoUnit[],COLUMN(CUSTO_GLOBAL[[#Headers],[MÓDULO 6 – CUSTOS INDIRETOS, TRIBUTOS E LUCRO]])-2,0)*($G117-$H117)</f>
        <v>1021.0345284378953</v>
      </c>
      <c r="BZ117" s="22">
        <f>VLOOKUP($A117,tabCustoUnit[],COLUMN(CUSTO_GLOBAL[[#Headers],[CUSTO TOTAL MENSAL]])-2,0)*($G117-$H117)</f>
        <v>5486.3733376116788</v>
      </c>
      <c r="CA117" s="22">
        <f>CUSTO_GLOBAL[[#This Row],[CUSTO TOTAL MENSAL]]*12</f>
        <v>65836.480051340142</v>
      </c>
      <c r="CB117" s="24">
        <f>VLOOKUP($A117,tabCustoUnit[],COLUMN(CUSTO_GLOBAL[[#Headers],[ANO DA CCT]])-2,0)</f>
        <v>45658</v>
      </c>
      <c r="CC117" s="25" t="str">
        <f>VLOOKUP($A117,tabCustoUnit[],COLUMN(CUSTO_GLOBAL[[#Headers],[Nº DE PEDIDO DA CCT]])-2,0)</f>
        <v>-</v>
      </c>
      <c r="CD117" s="25" t="str">
        <f>VLOOKUP($A117,tabCustoUnit[],COLUMN(CUSTO_GLOBAL[[#Headers],[TERMO ADITIVO  ALTERAÇÃO DA CCT]])-2,0)</f>
        <v>-</v>
      </c>
      <c r="CF117" s="22"/>
      <c r="CG117" s="22"/>
    </row>
    <row r="118" spans="1:85" x14ac:dyDescent="0.25">
      <c r="A118" s="20" t="s">
        <v>1455</v>
      </c>
      <c r="B118" t="s">
        <v>108</v>
      </c>
      <c r="C118" t="s">
        <v>1247</v>
      </c>
      <c r="D118" t="s">
        <v>1000</v>
      </c>
      <c r="E118" s="20" t="s">
        <v>9</v>
      </c>
      <c r="F118" s="20" t="s">
        <v>10</v>
      </c>
      <c r="G118" s="20">
        <v>1</v>
      </c>
      <c r="H118" s="20">
        <v>0</v>
      </c>
      <c r="I118" s="21">
        <f>VLOOKUP($A118,tabCustoUnit[],COLUMN(CUSTO_GLOBAL[[#Headers],[Salário Base]])-2,0)*($G118-$H118)</f>
        <v>544.17999999999995</v>
      </c>
      <c r="J118" s="21">
        <f>VLOOKUP($A118,tabCustoUnit[],COLUMN(CUSTO_GLOBAL[[#Headers],[Adicional Periculosidade]])-2,0)*($G118-$H118)</f>
        <v>0</v>
      </c>
      <c r="K118" s="21">
        <f>VLOOKUP($A118,tabCustoUnit[],COLUMN(CUSTO_GLOBAL[[#Headers],[Adicional Insalubridade]])-2,0)*($G118-$H118)</f>
        <v>0</v>
      </c>
      <c r="L118" s="21">
        <f>VLOOKUP($A118,tabCustoUnit[],COLUMN(CUSTO_GLOBAL[[#Headers],[Adicional Noturno]])-2,0)*($G118-$H118)</f>
        <v>0</v>
      </c>
      <c r="M118" s="21">
        <f>VLOOKUP($A118,tabCustoUnit[],COLUMN(CUSTO_GLOBAL[[#Headers],[Adicional Motorista II (Gratificação)]])-2,0)*($G118-$H118)</f>
        <v>0</v>
      </c>
      <c r="N118" s="21">
        <f>VLOOKUP($A118,tabCustoUnit[],COLUMN(CUSTO_GLOBAL[[#Headers],[Adicional de Sobreaviso]])-2,0)*($G118-$H118)</f>
        <v>0</v>
      </c>
      <c r="O118" s="21">
        <f>VLOOKUP($A118,tabCustoUnit[],COLUMN(CUSTO_GLOBAL[[#Headers],[Horas Extras TI]])-2,0)*($G118-$H118)</f>
        <v>0</v>
      </c>
      <c r="P118" s="21">
        <f>VLOOKUP($A118,tabCustoUnit[],COLUMN(CUSTO_GLOBAL[[#Headers],[Adicional de Acúmulo de função]])-2,0)*($G118-$H118)</f>
        <v>19.590499999999999</v>
      </c>
      <c r="Q118" s="21">
        <f>VLOOKUP($A118,tabCustoUnit[],COLUMN(CUSTO_GLOBAL[[#Headers],[MODULO 1 - REMUNERAÇÃO ]])-2,0)*($G118-$H118)</f>
        <v>563.77049999999997</v>
      </c>
      <c r="R118" s="21">
        <f>VLOOKUP($A118,tabCustoUnit[],COLUMN(CUSTO_GLOBAL[[#Headers],[INSS]])-2,0)*($G118-$H118)</f>
        <v>112.75409999999999</v>
      </c>
      <c r="S118" s="21">
        <f>VLOOKUP($A118,tabCustoUnit[],COLUMN(CUSTO_GLOBAL[[#Headers],[SESI OU SESC]])-2,0)*($G118-$H118)</f>
        <v>8.4565574999999988</v>
      </c>
      <c r="T118" s="21">
        <f>VLOOKUP($A118,tabCustoUnit[],COLUMN(CUSTO_GLOBAL[[#Headers],[SENAI OU SENAC]])-2,0)*($G118-$H118)</f>
        <v>5.6377049999999995</v>
      </c>
      <c r="U118" s="21">
        <f>VLOOKUP($A118,tabCustoUnit[],COLUMN(CUSTO_GLOBAL[[#Headers],[INCRA]])-2,0)*($G118-$H118)</f>
        <v>1.1275409999999999</v>
      </c>
      <c r="V118" s="21">
        <f>VLOOKUP($A118,tabCustoUnit[],COLUMN(CUSTO_GLOBAL[[#Headers],[Salário Educação]])-2,0)*($G118-$H118)</f>
        <v>14.094262499999999</v>
      </c>
      <c r="W118" s="21">
        <f>VLOOKUP($A118,tabCustoUnit[],COLUMN(CUSTO_GLOBAL[[#Headers],[FGTS]])-2,0)*($G118-$H118)</f>
        <v>45.101639999999996</v>
      </c>
      <c r="X118" s="21">
        <f>VLOOKUP($A118,tabCustoUnit[],COLUMN(CUSTO_GLOBAL[[#Headers],[RAT Ajustado]])-2,0)*($G118-$H118)</f>
        <v>22.550819999999998</v>
      </c>
      <c r="Y118" s="21">
        <f>VLOOKUP($A118,tabCustoUnit[],COLUMN(CUSTO_GLOBAL[[#Headers],[SEBRAE]])-2,0)*($G118-$H118)</f>
        <v>3.3826229999999997</v>
      </c>
      <c r="Z118" s="21">
        <f>VLOOKUP($A118,tabCustoUnit[],COLUMN(CUSTO_GLOBAL[[#Headers],[Submódulo 2.1]])-2,0)*($G118-$H118)</f>
        <v>213.10524899999996</v>
      </c>
      <c r="AA118" s="21">
        <f>VLOOKUP($A118,tabCustoUnit[],COLUMN(CUSTO_GLOBAL[[#Headers],[13º salário (titular)]])-2,0)*($G118-$H118)</f>
        <v>46.980874999999997</v>
      </c>
      <c r="AB118" s="21">
        <f>VLOOKUP($A118,tabCustoUnit[],COLUMN(CUSTO_GLOBAL[[#Headers],[Férias e Adicional de Férias (titular)]])-2,0)*($G118-$H118)</f>
        <v>62.641166666666663</v>
      </c>
      <c r="AC118" s="21">
        <f>VLOOKUP($A118,tabCustoUnit[],COLUMN(CUSTO_GLOBAL[[#Headers],[Incidência do Submódulo 2.1 sobre 13º Salário, Férias e Adicional de Férias]])-2,0)*($G118-$H118)</f>
        <v>41.437131749999992</v>
      </c>
      <c r="AD118" s="21">
        <f>VLOOKUP($A118,tabCustoUnit[],COLUMN(CUSTO_GLOBAL[[#Headers],[Submódulo 2.2]])-2,0)*($G118-$H118)</f>
        <v>151.05917341666665</v>
      </c>
      <c r="AE118" s="22">
        <f>VLOOKUP($A118,tabCustoUnit[],COLUMN(CUSTO_GLOBAL[[#Headers],[Vale - Transporte (Descontada parcela do empregado)]])-2,0)*($G118-$H118)</f>
        <v>223.3492</v>
      </c>
      <c r="AF118" s="22">
        <f>VLOOKUP($A118,tabCustoUnit[],COLUMN(CUSTO_GLOBAL[[#Headers],[Vale - Alimentação (Descontada parcela do empregado)]])-2,0)*($G118-$H118)</f>
        <v>582</v>
      </c>
      <c r="AG118" s="22">
        <f>VLOOKUP($A118,tabCustoUnit[],COLUMN(CUSTO_GLOBAL[[#Headers],[Cesta Básica]])-2,0)*($G118-$H118)</f>
        <v>0</v>
      </c>
      <c r="AH118" s="22">
        <f>VLOOKUP($A118,tabCustoUnit[],COLUMN(CUSTO_GLOBAL[[#Headers],[PAF]])-2,0)*($G118-$H118)</f>
        <v>0</v>
      </c>
      <c r="AI118" s="22">
        <f>VLOOKUP($A118,tabCustoUnit[],COLUMN(CUSTO_GLOBAL[[#Headers],[PQM]])-2,0)*($G118-$H118)</f>
        <v>15.07</v>
      </c>
      <c r="AJ118" s="22">
        <v>0</v>
      </c>
      <c r="AK118" s="22">
        <f>VLOOKUP($A118,tabCustoUnit[],COLUMN(CUSTO_GLOBAL[[#Headers],[Seguro de Vida]])-2,0)*($G118-$H118)</f>
        <v>3.36</v>
      </c>
      <c r="AL118" s="22">
        <f>VLOOKUP($A118,tabCustoUnit[],COLUMN(CUSTO_GLOBAL[[#Headers],[Despesas de Viagem]])-2,0)*($G118-$H118)</f>
        <v>0</v>
      </c>
      <c r="AM118" s="22">
        <f>VLOOKUP($A118,tabCustoUnit[],COLUMN(CUSTO_GLOBAL[[#Headers],[Submódulo 2.3]])-2,0)*($G118-$H118)</f>
        <v>823.77920000000006</v>
      </c>
      <c r="AN118" s="22">
        <f>VLOOKUP($A118,tabCustoUnit[],COLUMN(CUSTO_GLOBAL[[#Headers],[MÓDULO 2 - Total Encargos e Benefícios mensais e diários]])-2,0)*($G118-$H118)</f>
        <v>1187.9436224166666</v>
      </c>
      <c r="AO118" s="22">
        <f>VLOOKUP($A118,tabCustoUnit[],COLUMN(CUSTO_GLOBAL[[#Headers],[Aviso Prévio Indenizado (API) e Reflexo do Aviso Prévio Indenizado]])-2,0)*($G118-$H118)</f>
        <v>3.9530273735532404</v>
      </c>
      <c r="AP118" s="22">
        <f>VLOOKUP($A118,tabCustoUnit[],COLUMN(CUSTO_GLOBAL[[#Headers],[Incidência do FGTS sobre API e Reflexo do API]])-2,0)*($G118-$H118)</f>
        <v>0.31624218988425928</v>
      </c>
      <c r="AQ118" s="22">
        <f>VLOOKUP($A118,tabCustoUnit[],COLUMN(CUSTO_GLOBAL[[#Headers],[Multa Rescisória do FGTS sobre o Aviso Prévio Indenizado]])-2,0)*($G118-$H118)</f>
        <v>0.12649687595370371</v>
      </c>
      <c r="AR118" s="22">
        <f>VLOOKUP($A118,tabCustoUnit[],COLUMN(CUSTO_GLOBAL[[#Headers],[Aviso Prévio Trabalhado - APT]])-2,0)*($G118-$H118)</f>
        <v>1.9731967500000003</v>
      </c>
      <c r="AS118" s="22">
        <f>VLOOKUP($A118,tabCustoUnit[],COLUMN(CUSTO_GLOBAL[[#Headers],[Incidência dos encargos do submódulo 2.1 sobre Aviso Prévio Trabalhado]])-2,0)*($G118-$H118)</f>
        <v>0.74586837150000018</v>
      </c>
      <c r="AT118" s="22">
        <f>VLOOKUP($A118,tabCustoUnit[],COLUMN(CUSTO_GLOBAL[[#Headers],[Multa Rescisória do FGTS]])-2,0)*($G118-$H118)</f>
        <v>17.238849066666663</v>
      </c>
      <c r="AU118" s="22">
        <f>VLOOKUP($A118,tabCustoUnit[],COLUMN(CUSTO_GLOBAL[[#Headers],[Indenização Adicional (Art. 9º da Lei nº 7.238/84)]])-2,0)*($G118-$H118)</f>
        <v>0.46980875</v>
      </c>
      <c r="AV118" s="22">
        <f>VLOOKUP($A118,tabCustoUnit[],COLUMN(CUSTO_GLOBAL[[#Headers],[MÓDULO 3 – PROVISÃO PARA RESCISÃO]])-2,0)*($G118-$H118)</f>
        <v>24.823489377557866</v>
      </c>
      <c r="AW118" s="22">
        <f>VLOOKUP($A118,tabCustoUnit[],COLUMN(CUSTO_GLOBAL[[#Headers],[Ausência por Doença]])-2,0)*($G118-$H118)</f>
        <v>4.7607286666666662</v>
      </c>
      <c r="AX118" s="22">
        <f>VLOOKUP($A118,tabCustoUnit[],COLUMN(CUSTO_GLOBAL[[#Headers],[Ausências Legais]])-2,0)*($G118-$H118)</f>
        <v>1.1432012916666665</v>
      </c>
      <c r="AY118" s="22">
        <f>VLOOKUP($A118,tabCustoUnit[],COLUMN(CUSTO_GLOBAL[[#Headers],[Licença Paternidade]])-2,0)*($G118-$H118)</f>
        <v>9.6310793749999998E-2</v>
      </c>
      <c r="AZ118" s="22">
        <f>VLOOKUP($A118,tabCustoUnit[],COLUMN(CUSTO_GLOBAL[[#Headers],[Ausência por Acidente de Trabalho]])-2,0)*($G118-$H118)</f>
        <v>0.1174521875</v>
      </c>
      <c r="BA118" s="22">
        <f>VLOOKUP($A118,tabCustoUnit[],COLUMN(CUSTO_GLOBAL[[#Headers],[Férias, Adicional de Férias e 13º  com empregada em gozo de Licença Maternidade]])-2,0)*($G118-$H118)</f>
        <v>0.73081361111111109</v>
      </c>
      <c r="BB118" s="22">
        <f>VLOOKUP($A118,tabCustoUnit[],COLUMN(CUSTO_GLOBAL[[#Headers],[Incidência do Submódulo 2.1 sobre Ausências Legais]])-2,0)*($G118-$H118)</f>
        <v>2.5887354761625003</v>
      </c>
      <c r="BC118" s="22">
        <f>VLOOKUP($A118,tabCustoUnit[],COLUMN(CUSTO_GLOBAL[[#Headers],[Submódulo 4.1]])-2,0)*($G118-$H118)</f>
        <v>9.4372420268569428</v>
      </c>
      <c r="BD118" s="22">
        <f>VLOOKUP($A118,tabCustoUnit[],COLUMN(CUSTO_GLOBAL[[#Headers],[Intervalo para Repouso ou Alimentação]])-2,0)*($G118-$H118)</f>
        <v>0</v>
      </c>
      <c r="BE118" s="22">
        <f>VLOOKUP($A118,tabCustoUnit[],COLUMN(CUSTO_GLOBAL[[#Headers],[Submódulo 4.2]])-2,0)*($G118-$H118)</f>
        <v>0</v>
      </c>
      <c r="BF118" s="22">
        <f>VLOOKUP($A118,tabCustoUnit[],COLUMN(CUSTO_GLOBAL[[#Headers],[Suspensão Temporária do Contrato de Trabalho]])-2,0)*($G118-$H118)</f>
        <v>0</v>
      </c>
      <c r="BG118" s="22">
        <f>VLOOKUP($A118,tabCustoUnit[],COLUMN(CUSTO_GLOBAL[[#Headers],[Submódulo 4.3]])-2,0)*($G118-$H118)</f>
        <v>0</v>
      </c>
      <c r="BH118" s="22">
        <f>VLOOKUP($A118,tabCustoUnit[],COLUMN(CUSTO_GLOBAL[[#Headers],[MÓDULO 4 – CUSTO DE REPOSIÇÃO DO PROFISSIONAL AUSENTE]])-2,0)*($G118-$H118)</f>
        <v>9.4372420268569428</v>
      </c>
      <c r="BI118" s="22">
        <f>VLOOKUP($A118,tabCustoUnit[],COLUMN(CUSTO_GLOBAL[[#Headers],[Uniformes e EPIs]])-2,0)*($G118-$H118)</f>
        <v>62.806666666666665</v>
      </c>
      <c r="BJ118" s="22">
        <f>VLOOKUP($A118,tabCustoUnit[],COLUMN(CUSTO_GLOBAL[[#Headers],[Materiais de Consumo]])-2,0)*($G118-$H118)</f>
        <v>12.108481690426325</v>
      </c>
      <c r="BK118" s="22">
        <f>VLOOKUP($A118,tabCustoUnit[],COLUMN(CUSTO_GLOBAL[[#Headers],[Máquinas e Equipamentos (depreciação)]])-2,0)*($G118-$H118)</f>
        <v>21.998657016417809</v>
      </c>
      <c r="BL118" s="22">
        <f>VLOOKUP($A118,tabCustoUnit[],COLUMN(CUSTO_GLOBAL[[#Headers],[Produtos de Limpeza e Materiais de Higiene Pessoal]])-2,0)*($G118-$H118)</f>
        <v>235.31984072022155</v>
      </c>
      <c r="BM118" s="22">
        <f>VLOOKUP($A118,tabCustoUnit[],COLUMN(CUSTO_GLOBAL[[#Headers],[Outros (especificar)]])-2,0)*($G118-$H118)</f>
        <v>0</v>
      </c>
      <c r="BN118" s="22">
        <f>VLOOKUP($A118,tabCustoUnit[],COLUMN(CUSTO_GLOBAL[[#Headers],[MÓDULO 5 – INSUMOS DIVERSOS]])-2,0)*($G118-$H118)</f>
        <v>332.23364609373232</v>
      </c>
      <c r="BO118" s="22">
        <f>VLOOKUP($A118,tabCustoUnit[],COLUMN(CUSTO_GLOBAL[[#Headers],[TOTAL MÓDULOS 1+2+3+4+5]])-2,0)*($G118-$H118)</f>
        <v>2118.2084999148137</v>
      </c>
      <c r="BP118" s="22">
        <f>VLOOKUP($A118,tabCustoUnit[],COLUMN(CUSTO_GLOBAL[[#Headers],[Custos Indiretos]])-2,0)*($G118-$H118)</f>
        <v>189.64880140242613</v>
      </c>
      <c r="BQ118" s="22">
        <f>VLOOKUP($A118,tabCustoUnit[],COLUMN(CUSTO_GLOBAL[[#Headers],[Lucro]])-2,0)*($G118-$H118)</f>
        <v>159.30499317803796</v>
      </c>
      <c r="BR118" s="26">
        <f>VLOOKUP($A118,tabCustoUnit[],COLUMN(CUSTO_GLOBAL[[#Headers],[COFINS]])-2,0)</f>
        <v>8.8629737609329504E-2</v>
      </c>
      <c r="BS118" s="26">
        <f>VLOOKUP($A118,tabCustoUnit[],COLUMN(CUSTO_GLOBAL[[#Headers],[PIS]])-2,0)</f>
        <v>1.9241982507288629E-2</v>
      </c>
      <c r="BT118" s="28">
        <f>VLOOKUP($A118,tabCustoUnit[],COLUMN(CUSTO_GLOBAL[[#Headers],[ISS]])-2,0)</f>
        <v>0.05</v>
      </c>
      <c r="BU118" s="26">
        <f>VLOOKUP($A118,tabCustoUnit[],COLUMN(CUSTO_GLOBAL[[#Headers],[ISS (Conversão Alíquota s/ fatura)]])-2,0)</f>
        <v>5.8309037900874633E-2</v>
      </c>
      <c r="BV118" s="26">
        <f>VLOOKUP($A118,tabCustoUnit[],COLUMN(CUSTO_GLOBAL[[#Headers],[Resumo de Alíquotas (PIS+CONFINS+ISS)]])-2,0)</f>
        <v>0.14250000000000002</v>
      </c>
      <c r="BW118" s="138">
        <f>VLOOKUP($A118,tabCustoUnit[],COLUMN(CUSTO_GLOBAL[[#Headers],[PIS + COFINS + ISS (Total Conversão  Alíquota s/ Fatura)]])-2,0)</f>
        <v>0.16618075801749277</v>
      </c>
      <c r="BX118" s="22">
        <f>VLOOKUP($A118,tabCustoUnit[],COLUMN(CUSTO_GLOBAL[[#Headers],[Valor dos Tributos (ISS, PIS, CONFINS)]])-2,0)*($G118-$H118)</f>
        <v>409.99490025140199</v>
      </c>
      <c r="BY118" s="22">
        <f>VLOOKUP($A118,tabCustoUnit[],COLUMN(CUSTO_GLOBAL[[#Headers],[MÓDULO 6 – CUSTOS INDIRETOS, TRIBUTOS E LUCRO]])-2,0)*($G118-$H118)</f>
        <v>758.94869483186608</v>
      </c>
      <c r="BZ118" s="22">
        <f>VLOOKUP($A118,tabCustoUnit[],COLUMN(CUSTO_GLOBAL[[#Headers],[CUSTO TOTAL MENSAL]])-2,0)*($G118-$H118)</f>
        <v>2877.15719474668</v>
      </c>
      <c r="CA118" s="22">
        <f>CUSTO_GLOBAL[[#This Row],[CUSTO TOTAL MENSAL]]*12</f>
        <v>34525.88633696016</v>
      </c>
      <c r="CB118" s="24">
        <f>VLOOKUP($A118,tabCustoUnit[],COLUMN(CUSTO_GLOBAL[[#Headers],[ANO DA CCT]])-2,0)</f>
        <v>45658</v>
      </c>
      <c r="CC118" s="25" t="str">
        <f>VLOOKUP($A118,tabCustoUnit[],COLUMN(CUSTO_GLOBAL[[#Headers],[Nº DE PEDIDO DA CCT]])-2,0)</f>
        <v>-</v>
      </c>
      <c r="CD118" s="25" t="str">
        <f>VLOOKUP($A118,tabCustoUnit[],COLUMN(CUSTO_GLOBAL[[#Headers],[TERMO ADITIVO  ALTERAÇÃO DA CCT]])-2,0)</f>
        <v>-</v>
      </c>
      <c r="CF118" s="22"/>
      <c r="CG118" s="22"/>
    </row>
    <row r="119" spans="1:85" x14ac:dyDescent="0.25">
      <c r="A119" s="20" t="s">
        <v>1456</v>
      </c>
      <c r="B119" t="s">
        <v>109</v>
      </c>
      <c r="C119" t="s">
        <v>1244</v>
      </c>
      <c r="D119" t="s">
        <v>1023</v>
      </c>
      <c r="E119" s="20" t="s">
        <v>9</v>
      </c>
      <c r="F119" s="20" t="s">
        <v>10</v>
      </c>
      <c r="G119" s="20">
        <v>1</v>
      </c>
      <c r="H119" s="20">
        <v>0</v>
      </c>
      <c r="I119" s="21">
        <f>VLOOKUP($A119,tabCustoUnit[],COLUMN(CUSTO_GLOBAL[[#Headers],[Salário Base]])-2,0)*($G119-$H119)</f>
        <v>798.14</v>
      </c>
      <c r="J119" s="21">
        <f>VLOOKUP($A119,tabCustoUnit[],COLUMN(CUSTO_GLOBAL[[#Headers],[Adicional Periculosidade]])-2,0)*($G119-$H119)</f>
        <v>0</v>
      </c>
      <c r="K119" s="21">
        <f>VLOOKUP($A119,tabCustoUnit[],COLUMN(CUSTO_GLOBAL[[#Headers],[Adicional Insalubridade]])-2,0)*($G119-$H119)</f>
        <v>0</v>
      </c>
      <c r="L119" s="21">
        <f>VLOOKUP($A119,tabCustoUnit[],COLUMN(CUSTO_GLOBAL[[#Headers],[Adicional Noturno]])-2,0)*($G119-$H119)</f>
        <v>0</v>
      </c>
      <c r="M119" s="21">
        <f>VLOOKUP($A119,tabCustoUnit[],COLUMN(CUSTO_GLOBAL[[#Headers],[Adicional Motorista II (Gratificação)]])-2,0)*($G119-$H119)</f>
        <v>0</v>
      </c>
      <c r="N119" s="21">
        <f>VLOOKUP($A119,tabCustoUnit[],COLUMN(CUSTO_GLOBAL[[#Headers],[Adicional de Sobreaviso]])-2,0)*($G119-$H119)</f>
        <v>0</v>
      </c>
      <c r="O119" s="21">
        <f>VLOOKUP($A119,tabCustoUnit[],COLUMN(CUSTO_GLOBAL[[#Headers],[Horas Extras TI]])-2,0)*($G119-$H119)</f>
        <v>0</v>
      </c>
      <c r="P119" s="21">
        <f>VLOOKUP($A119,tabCustoUnit[],COLUMN(CUSTO_GLOBAL[[#Headers],[Adicional de Acúmulo de função]])-2,0)*($G119-$H119)</f>
        <v>26.120899999999999</v>
      </c>
      <c r="Q119" s="21">
        <f>VLOOKUP($A119,tabCustoUnit[],COLUMN(CUSTO_GLOBAL[[#Headers],[MODULO 1 - REMUNERAÇÃO ]])-2,0)*($G119-$H119)</f>
        <v>824.26089999999999</v>
      </c>
      <c r="R119" s="21">
        <f>VLOOKUP($A119,tabCustoUnit[],COLUMN(CUSTO_GLOBAL[[#Headers],[INSS]])-2,0)*($G119-$H119)</f>
        <v>164.85218</v>
      </c>
      <c r="S119" s="21">
        <f>VLOOKUP($A119,tabCustoUnit[],COLUMN(CUSTO_GLOBAL[[#Headers],[SESI OU SESC]])-2,0)*($G119-$H119)</f>
        <v>12.363913499999999</v>
      </c>
      <c r="T119" s="21">
        <f>VLOOKUP($A119,tabCustoUnit[],COLUMN(CUSTO_GLOBAL[[#Headers],[SENAI OU SENAC]])-2,0)*($G119-$H119)</f>
        <v>8.2426089999999999</v>
      </c>
      <c r="U119" s="21">
        <f>VLOOKUP($A119,tabCustoUnit[],COLUMN(CUSTO_GLOBAL[[#Headers],[INCRA]])-2,0)*($G119-$H119)</f>
        <v>1.6485217999999999</v>
      </c>
      <c r="V119" s="21">
        <f>VLOOKUP($A119,tabCustoUnit[],COLUMN(CUSTO_GLOBAL[[#Headers],[Salário Educação]])-2,0)*($G119-$H119)</f>
        <v>20.606522500000001</v>
      </c>
      <c r="W119" s="21">
        <f>VLOOKUP($A119,tabCustoUnit[],COLUMN(CUSTO_GLOBAL[[#Headers],[FGTS]])-2,0)*($G119-$H119)</f>
        <v>65.940871999999999</v>
      </c>
      <c r="X119" s="21">
        <f>VLOOKUP($A119,tabCustoUnit[],COLUMN(CUSTO_GLOBAL[[#Headers],[RAT Ajustado]])-2,0)*($G119-$H119)</f>
        <v>32.970435999999999</v>
      </c>
      <c r="Y119" s="21">
        <f>VLOOKUP($A119,tabCustoUnit[],COLUMN(CUSTO_GLOBAL[[#Headers],[SEBRAE]])-2,0)*($G119-$H119)</f>
        <v>4.9455654000000004</v>
      </c>
      <c r="Z119" s="21">
        <f>VLOOKUP($A119,tabCustoUnit[],COLUMN(CUSTO_GLOBAL[[#Headers],[Submódulo 2.1]])-2,0)*($G119-$H119)</f>
        <v>311.57062020000001</v>
      </c>
      <c r="AA119" s="21">
        <f>VLOOKUP($A119,tabCustoUnit[],COLUMN(CUSTO_GLOBAL[[#Headers],[13º salário (titular)]])-2,0)*($G119-$H119)</f>
        <v>68.688408333333328</v>
      </c>
      <c r="AB119" s="21">
        <f>VLOOKUP($A119,tabCustoUnit[],COLUMN(CUSTO_GLOBAL[[#Headers],[Férias e Adicional de Férias (titular)]])-2,0)*($G119-$H119)</f>
        <v>91.584544444444433</v>
      </c>
      <c r="AC119" s="21">
        <f>VLOOKUP($A119,tabCustoUnit[],COLUMN(CUSTO_GLOBAL[[#Headers],[Incidência do Submódulo 2.1 sobre 13º Salário, Férias e Adicional de Férias]])-2,0)*($G119-$H119)</f>
        <v>60.583176149999993</v>
      </c>
      <c r="AD119" s="21">
        <f>VLOOKUP($A119,tabCustoUnit[],COLUMN(CUSTO_GLOBAL[[#Headers],[Submódulo 2.2]])-2,0)*($G119-$H119)</f>
        <v>220.85612892777775</v>
      </c>
      <c r="AE119" s="22">
        <f>VLOOKUP($A119,tabCustoUnit[],COLUMN(CUSTO_GLOBAL[[#Headers],[Vale - Transporte (Descontada parcela do empregado)]])-2,0)*($G119-$H119)</f>
        <v>208.11160000000001</v>
      </c>
      <c r="AF119" s="22">
        <f>VLOOKUP($A119,tabCustoUnit[],COLUMN(CUSTO_GLOBAL[[#Headers],[Vale - Alimentação (Descontada parcela do empregado)]])-2,0)*($G119-$H119)</f>
        <v>582</v>
      </c>
      <c r="AG119" s="22">
        <f>VLOOKUP($A119,tabCustoUnit[],COLUMN(CUSTO_GLOBAL[[#Headers],[Cesta Básica]])-2,0)*($G119-$H119)</f>
        <v>0</v>
      </c>
      <c r="AH119" s="22">
        <f>VLOOKUP($A119,tabCustoUnit[],COLUMN(CUSTO_GLOBAL[[#Headers],[PAF]])-2,0)*($G119-$H119)</f>
        <v>53.27</v>
      </c>
      <c r="AI119" s="22">
        <f>VLOOKUP($A119,tabCustoUnit[],COLUMN(CUSTO_GLOBAL[[#Headers],[PQM]])-2,0)*($G119-$H119)</f>
        <v>0</v>
      </c>
      <c r="AJ119" s="22">
        <v>0</v>
      </c>
      <c r="AK119" s="22">
        <f>VLOOKUP($A119,tabCustoUnit[],COLUMN(CUSTO_GLOBAL[[#Headers],[Seguro de Vida]])-2,0)*($G119-$H119)</f>
        <v>3.36</v>
      </c>
      <c r="AL119" s="22">
        <f>VLOOKUP($A119,tabCustoUnit[],COLUMN(CUSTO_GLOBAL[[#Headers],[Despesas de Viagem]])-2,0)*($G119-$H119)</f>
        <v>0</v>
      </c>
      <c r="AM119" s="22">
        <f>VLOOKUP($A119,tabCustoUnit[],COLUMN(CUSTO_GLOBAL[[#Headers],[Submódulo 2.3]])-2,0)*($G119-$H119)</f>
        <v>846.74159999999995</v>
      </c>
      <c r="AN119" s="22">
        <f>VLOOKUP($A119,tabCustoUnit[],COLUMN(CUSTO_GLOBAL[[#Headers],[MÓDULO 2 - Total Encargos e Benefícios mensais e diários]])-2,0)*($G119-$H119)</f>
        <v>1379.1683491277777</v>
      </c>
      <c r="AO119" s="22">
        <f>VLOOKUP($A119,tabCustoUnit[],COLUMN(CUSTO_GLOBAL[[#Headers],[Aviso Prévio Indenizado (API) e Reflexo do Aviso Prévio Indenizado]])-2,0)*($G119-$H119)</f>
        <v>5.7795253576581791</v>
      </c>
      <c r="AP119" s="22">
        <f>VLOOKUP($A119,tabCustoUnit[],COLUMN(CUSTO_GLOBAL[[#Headers],[Incidência do FGTS sobre API e Reflexo do API]])-2,0)*($G119-$H119)</f>
        <v>0.46236202861265435</v>
      </c>
      <c r="AQ119" s="22">
        <f>VLOOKUP($A119,tabCustoUnit[],COLUMN(CUSTO_GLOBAL[[#Headers],[Multa Rescisória do FGTS sobre o Aviso Prévio Indenizado]])-2,0)*($G119-$H119)</f>
        <v>0.18494481144506175</v>
      </c>
      <c r="AR119" s="22">
        <f>VLOOKUP($A119,tabCustoUnit[],COLUMN(CUSTO_GLOBAL[[#Headers],[Aviso Prévio Trabalhado - APT]])-2,0)*($G119-$H119)</f>
        <v>2.8849131500000005</v>
      </c>
      <c r="AS119" s="22">
        <f>VLOOKUP($A119,tabCustoUnit[],COLUMN(CUSTO_GLOBAL[[#Headers],[Incidência dos encargos do submódulo 2.1 sobre Aviso Prévio Trabalhado]])-2,0)*($G119-$H119)</f>
        <v>1.0904971707000004</v>
      </c>
      <c r="AT119" s="22">
        <f>VLOOKUP($A119,tabCustoUnit[],COLUMN(CUSTO_GLOBAL[[#Headers],[Multa Rescisória do FGTS]])-2,0)*($G119-$H119)</f>
        <v>25.204066631111107</v>
      </c>
      <c r="AU119" s="22">
        <f>VLOOKUP($A119,tabCustoUnit[],COLUMN(CUSTO_GLOBAL[[#Headers],[Indenização Adicional (Art. 9º da Lei nº 7.238/84)]])-2,0)*($G119-$H119)</f>
        <v>0.6868840833333334</v>
      </c>
      <c r="AV119" s="22">
        <f>VLOOKUP($A119,tabCustoUnit[],COLUMN(CUSTO_GLOBAL[[#Headers],[MÓDULO 3 – PROVISÃO PARA RESCISÃO]])-2,0)*($G119-$H119)</f>
        <v>36.293193232860339</v>
      </c>
      <c r="AW119" s="22">
        <f>VLOOKUP($A119,tabCustoUnit[],COLUMN(CUSTO_GLOBAL[[#Headers],[Ausência por Doença]])-2,0)*($G119-$H119)</f>
        <v>6.9604253777777769</v>
      </c>
      <c r="AX119" s="22">
        <f>VLOOKUP($A119,tabCustoUnit[],COLUMN(CUSTO_GLOBAL[[#Headers],[Ausências Legais]])-2,0)*($G119-$H119)</f>
        <v>1.671417936111111</v>
      </c>
      <c r="AY119" s="22">
        <f>VLOOKUP($A119,tabCustoUnit[],COLUMN(CUSTO_GLOBAL[[#Headers],[Licença Paternidade]])-2,0)*($G119-$H119)</f>
        <v>0.14081123708333332</v>
      </c>
      <c r="AZ119" s="22">
        <f>VLOOKUP($A119,tabCustoUnit[],COLUMN(CUSTO_GLOBAL[[#Headers],[Ausência por Acidente de Trabalho]])-2,0)*($G119-$H119)</f>
        <v>0.17172102083333335</v>
      </c>
      <c r="BA119" s="22">
        <f>VLOOKUP($A119,tabCustoUnit[],COLUMN(CUSTO_GLOBAL[[#Headers],[Férias, Adicional de Férias e 13º  com empregada em gozo de Licença Maternidade]])-2,0)*($G119-$H119)</f>
        <v>1.0684863518518517</v>
      </c>
      <c r="BB119" s="22">
        <f>VLOOKUP($A119,tabCustoUnit[],COLUMN(CUSTO_GLOBAL[[#Headers],[Incidência do Submódulo 2.1 sobre Ausências Legais]])-2,0)*($G119-$H119)</f>
        <v>3.7848618071425006</v>
      </c>
      <c r="BC119" s="22">
        <f>VLOOKUP($A119,tabCustoUnit[],COLUMN(CUSTO_GLOBAL[[#Headers],[Submódulo 4.1]])-2,0)*($G119-$H119)</f>
        <v>13.797723730799909</v>
      </c>
      <c r="BD119" s="22">
        <f>VLOOKUP($A119,tabCustoUnit[],COLUMN(CUSTO_GLOBAL[[#Headers],[Intervalo para Repouso ou Alimentação]])-2,0)*($G119-$H119)</f>
        <v>0</v>
      </c>
      <c r="BE119" s="22">
        <f>VLOOKUP($A119,tabCustoUnit[],COLUMN(CUSTO_GLOBAL[[#Headers],[Submódulo 4.2]])-2,0)*($G119-$H119)</f>
        <v>0</v>
      </c>
      <c r="BF119" s="22">
        <f>VLOOKUP($A119,tabCustoUnit[],COLUMN(CUSTO_GLOBAL[[#Headers],[Suspensão Temporária do Contrato de Trabalho]])-2,0)*($G119-$H119)</f>
        <v>0</v>
      </c>
      <c r="BG119" s="22">
        <f>VLOOKUP($A119,tabCustoUnit[],COLUMN(CUSTO_GLOBAL[[#Headers],[Submódulo 4.3]])-2,0)*($G119-$H119)</f>
        <v>0</v>
      </c>
      <c r="BH119" s="22">
        <f>VLOOKUP($A119,tabCustoUnit[],COLUMN(CUSTO_GLOBAL[[#Headers],[MÓDULO 4 – CUSTO DE REPOSIÇÃO DO PROFISSIONAL AUSENTE]])-2,0)*($G119-$H119)</f>
        <v>13.797723730799909</v>
      </c>
      <c r="BI119" s="22">
        <f>VLOOKUP($A119,tabCustoUnit[],COLUMN(CUSTO_GLOBAL[[#Headers],[Uniformes e EPIs]])-2,0)*($G119-$H119)</f>
        <v>62.806666666666665</v>
      </c>
      <c r="BJ119" s="22">
        <f>VLOOKUP($A119,tabCustoUnit[],COLUMN(CUSTO_GLOBAL[[#Headers],[Materiais de Consumo]])-2,0)*($G119-$H119)</f>
        <v>17.759106479291944</v>
      </c>
      <c r="BK119" s="22">
        <f>VLOOKUP($A119,tabCustoUnit[],COLUMN(CUSTO_GLOBAL[[#Headers],[Máquinas e Equipamentos (depreciação)]])-2,0)*($G119-$H119)</f>
        <v>32.264696957412788</v>
      </c>
      <c r="BL119" s="22">
        <f>VLOOKUP($A119,tabCustoUnit[],COLUMN(CUSTO_GLOBAL[[#Headers],[Produtos de Limpeza e Materiais de Higiene Pessoal]])-2,0)*($G119-$H119)</f>
        <v>345.13576638965827</v>
      </c>
      <c r="BM119" s="22">
        <f>VLOOKUP($A119,tabCustoUnit[],COLUMN(CUSTO_GLOBAL[[#Headers],[Outros (especificar)]])-2,0)*($G119-$H119)</f>
        <v>0</v>
      </c>
      <c r="BN119" s="22">
        <f>VLOOKUP($A119,tabCustoUnit[],COLUMN(CUSTO_GLOBAL[[#Headers],[MÓDULO 5 – INSUMOS DIVERSOS]])-2,0)*($G119-$H119)</f>
        <v>457.96623649302967</v>
      </c>
      <c r="BO119" s="22">
        <f>VLOOKUP($A119,tabCustoUnit[],COLUMN(CUSTO_GLOBAL[[#Headers],[TOTAL MÓDULOS 1+2+3+4+5]])-2,0)*($G119-$H119)</f>
        <v>2711.4864025844672</v>
      </c>
      <c r="BP119" s="22">
        <f>VLOOKUP($A119,tabCustoUnit[],COLUMN(CUSTO_GLOBAL[[#Headers],[Custos Indiretos]])-2,0)*($G119-$H119)</f>
        <v>189.64880140242613</v>
      </c>
      <c r="BQ119" s="22">
        <f>VLOOKUP($A119,tabCustoUnit[],COLUMN(CUSTO_GLOBAL[[#Headers],[Lucro]])-2,0)*($G119-$H119)</f>
        <v>159.30499317803796</v>
      </c>
      <c r="BR119" s="26">
        <f>VLOOKUP($A119,tabCustoUnit[],COLUMN(CUSTO_GLOBAL[[#Headers],[COFINS]])-2,0)</f>
        <v>8.5633802816901458E-2</v>
      </c>
      <c r="BS119" s="26">
        <f>VLOOKUP($A119,tabCustoUnit[],COLUMN(CUSTO_GLOBAL[[#Headers],[PIS]])-2,0)</f>
        <v>1.8591549295774657E-2</v>
      </c>
      <c r="BT119" s="28">
        <f>VLOOKUP($A119,tabCustoUnit[],COLUMN(CUSTO_GLOBAL[[#Headers],[ISS]])-2,0)</f>
        <v>0.02</v>
      </c>
      <c r="BU119" s="26">
        <f>VLOOKUP($A119,tabCustoUnit[],COLUMN(CUSTO_GLOBAL[[#Headers],[ISS (Conversão Alíquota s/ fatura)]])-2,0)</f>
        <v>2.2535211267605645E-2</v>
      </c>
      <c r="BV119" s="26">
        <f>VLOOKUP($A119,tabCustoUnit[],COLUMN(CUSTO_GLOBAL[[#Headers],[Resumo de Alíquotas (PIS+CONFINS+ISS)]])-2,0)</f>
        <v>0.1125</v>
      </c>
      <c r="BW119" s="138">
        <f>VLOOKUP($A119,tabCustoUnit[],COLUMN(CUSTO_GLOBAL[[#Headers],[PIS + COFINS + ISS (Total Conversão  Alíquota s/ Fatura)]])-2,0)</f>
        <v>0.12676056338028174</v>
      </c>
      <c r="BX119" s="22">
        <f>VLOOKUP($A119,tabCustoUnit[],COLUMN(CUSTO_GLOBAL[[#Headers],[Valor dos Tributos (ISS, PIS, CONFINS)]])-2,0)*($G119-$H119)</f>
        <v>387.94312358428721</v>
      </c>
      <c r="BY119" s="22">
        <f>VLOOKUP($A119,tabCustoUnit[],COLUMN(CUSTO_GLOBAL[[#Headers],[MÓDULO 6 – CUSTOS INDIRETOS, TRIBUTOS E LUCRO]])-2,0)*($G119-$H119)</f>
        <v>736.89691816475124</v>
      </c>
      <c r="BZ119" s="22">
        <f>VLOOKUP($A119,tabCustoUnit[],COLUMN(CUSTO_GLOBAL[[#Headers],[CUSTO TOTAL MENSAL]])-2,0)*($G119-$H119)</f>
        <v>3448.3833207492185</v>
      </c>
      <c r="CA119" s="22">
        <f>CUSTO_GLOBAL[[#This Row],[CUSTO TOTAL MENSAL]]*12</f>
        <v>41380.59984899062</v>
      </c>
      <c r="CB119" s="24">
        <f>VLOOKUP($A119,tabCustoUnit[],COLUMN(CUSTO_GLOBAL[[#Headers],[ANO DA CCT]])-2,0)</f>
        <v>45658</v>
      </c>
      <c r="CC119" s="25" t="str">
        <f>VLOOKUP($A119,tabCustoUnit[],COLUMN(CUSTO_GLOBAL[[#Headers],[Nº DE PEDIDO DA CCT]])-2,0)</f>
        <v>-</v>
      </c>
      <c r="CD119" s="25" t="str">
        <f>VLOOKUP($A119,tabCustoUnit[],COLUMN(CUSTO_GLOBAL[[#Headers],[TERMO ADITIVO  ALTERAÇÃO DA CCT]])-2,0)</f>
        <v>-</v>
      </c>
      <c r="CF119" s="22"/>
      <c r="CG119" s="22"/>
    </row>
    <row r="120" spans="1:85" x14ac:dyDescent="0.25">
      <c r="A120" s="20" t="s">
        <v>1457</v>
      </c>
      <c r="B120" t="s">
        <v>109</v>
      </c>
      <c r="C120" t="s">
        <v>1245</v>
      </c>
      <c r="D120" t="s">
        <v>1023</v>
      </c>
      <c r="E120" s="20" t="s">
        <v>9</v>
      </c>
      <c r="F120" s="20" t="s">
        <v>10</v>
      </c>
      <c r="G120" s="20">
        <v>1</v>
      </c>
      <c r="H120" s="20">
        <v>0</v>
      </c>
      <c r="I120" s="21">
        <f>VLOOKUP($A120,tabCustoUnit[],COLUMN(CUSTO_GLOBAL[[#Headers],[Salário Base]])-2,0)*($G120-$H120)</f>
        <v>1596.28</v>
      </c>
      <c r="J120" s="21">
        <f>VLOOKUP($A120,tabCustoUnit[],COLUMN(CUSTO_GLOBAL[[#Headers],[Adicional Periculosidade]])-2,0)*($G120-$H120)</f>
        <v>0</v>
      </c>
      <c r="K120" s="21">
        <f>VLOOKUP($A120,tabCustoUnit[],COLUMN(CUSTO_GLOBAL[[#Headers],[Adicional Insalubridade]])-2,0)*($G120-$H120)</f>
        <v>0</v>
      </c>
      <c r="L120" s="21">
        <f>VLOOKUP($A120,tabCustoUnit[],COLUMN(CUSTO_GLOBAL[[#Headers],[Adicional Noturno]])-2,0)*($G120-$H120)</f>
        <v>0</v>
      </c>
      <c r="M120" s="21">
        <f>VLOOKUP($A120,tabCustoUnit[],COLUMN(CUSTO_GLOBAL[[#Headers],[Adicional Motorista II (Gratificação)]])-2,0)*($G120-$H120)</f>
        <v>0</v>
      </c>
      <c r="N120" s="21">
        <f>VLOOKUP($A120,tabCustoUnit[],COLUMN(CUSTO_GLOBAL[[#Headers],[Adicional de Sobreaviso]])-2,0)*($G120-$H120)</f>
        <v>0</v>
      </c>
      <c r="O120" s="21">
        <f>VLOOKUP($A120,tabCustoUnit[],COLUMN(CUSTO_GLOBAL[[#Headers],[Horas Extras TI]])-2,0)*($G120-$H120)</f>
        <v>0</v>
      </c>
      <c r="P120" s="21">
        <f>VLOOKUP($A120,tabCustoUnit[],COLUMN(CUSTO_GLOBAL[[#Headers],[Adicional de Acúmulo de função]])-2,0)*($G120-$H120)</f>
        <v>52.241900000000001</v>
      </c>
      <c r="Q120" s="21">
        <f>VLOOKUP($A120,tabCustoUnit[],COLUMN(CUSTO_GLOBAL[[#Headers],[MODULO 1 - REMUNERAÇÃO ]])-2,0)*($G120-$H120)</f>
        <v>1648.5219</v>
      </c>
      <c r="R120" s="21">
        <f>VLOOKUP($A120,tabCustoUnit[],COLUMN(CUSTO_GLOBAL[[#Headers],[INSS]])-2,0)*($G120-$H120)</f>
        <v>329.70438000000001</v>
      </c>
      <c r="S120" s="21">
        <f>VLOOKUP($A120,tabCustoUnit[],COLUMN(CUSTO_GLOBAL[[#Headers],[SESI OU SESC]])-2,0)*($G120-$H120)</f>
        <v>24.727828499999998</v>
      </c>
      <c r="T120" s="21">
        <f>VLOOKUP($A120,tabCustoUnit[],COLUMN(CUSTO_GLOBAL[[#Headers],[SENAI OU SENAC]])-2,0)*($G120-$H120)</f>
        <v>16.485219000000001</v>
      </c>
      <c r="U120" s="21">
        <f>VLOOKUP($A120,tabCustoUnit[],COLUMN(CUSTO_GLOBAL[[#Headers],[INCRA]])-2,0)*($G120-$H120)</f>
        <v>3.2970438</v>
      </c>
      <c r="V120" s="21">
        <f>VLOOKUP($A120,tabCustoUnit[],COLUMN(CUSTO_GLOBAL[[#Headers],[Salário Educação]])-2,0)*($G120-$H120)</f>
        <v>41.213047500000002</v>
      </c>
      <c r="W120" s="21">
        <f>VLOOKUP($A120,tabCustoUnit[],COLUMN(CUSTO_GLOBAL[[#Headers],[FGTS]])-2,0)*($G120-$H120)</f>
        <v>131.88175200000001</v>
      </c>
      <c r="X120" s="21">
        <f>VLOOKUP($A120,tabCustoUnit[],COLUMN(CUSTO_GLOBAL[[#Headers],[RAT Ajustado]])-2,0)*($G120-$H120)</f>
        <v>65.940876000000003</v>
      </c>
      <c r="Y120" s="21">
        <f>VLOOKUP($A120,tabCustoUnit[],COLUMN(CUSTO_GLOBAL[[#Headers],[SEBRAE]])-2,0)*($G120-$H120)</f>
        <v>9.8911314000000008</v>
      </c>
      <c r="Z120" s="21">
        <f>VLOOKUP($A120,tabCustoUnit[],COLUMN(CUSTO_GLOBAL[[#Headers],[Submódulo 2.1]])-2,0)*($G120-$H120)</f>
        <v>623.14127819999999</v>
      </c>
      <c r="AA120" s="21">
        <f>VLOOKUP($A120,tabCustoUnit[],COLUMN(CUSTO_GLOBAL[[#Headers],[13º salário (titular)]])-2,0)*($G120-$H120)</f>
        <v>137.376825</v>
      </c>
      <c r="AB120" s="21">
        <f>VLOOKUP($A120,tabCustoUnit[],COLUMN(CUSTO_GLOBAL[[#Headers],[Férias e Adicional de Férias (titular)]])-2,0)*($G120-$H120)</f>
        <v>183.16909999999999</v>
      </c>
      <c r="AC120" s="21">
        <f>VLOOKUP($A120,tabCustoUnit[],COLUMN(CUSTO_GLOBAL[[#Headers],[Incidência do Submódulo 2.1 sobre 13º Salário, Férias e Adicional de Férias]])-2,0)*($G120-$H120)</f>
        <v>121.16635965</v>
      </c>
      <c r="AD120" s="21">
        <f>VLOOKUP($A120,tabCustoUnit[],COLUMN(CUSTO_GLOBAL[[#Headers],[Submódulo 2.2]])-2,0)*($G120-$H120)</f>
        <v>441.71228465000002</v>
      </c>
      <c r="AE120" s="22">
        <f>VLOOKUP($A120,tabCustoUnit[],COLUMN(CUSTO_GLOBAL[[#Headers],[Vale - Transporte (Descontada parcela do empregado)]])-2,0)*($G120-$H120)</f>
        <v>160.22320000000002</v>
      </c>
      <c r="AF120" s="22">
        <f>VLOOKUP($A120,tabCustoUnit[],COLUMN(CUSTO_GLOBAL[[#Headers],[Vale - Alimentação (Descontada parcela do empregado)]])-2,0)*($G120-$H120)</f>
        <v>582</v>
      </c>
      <c r="AG120" s="22">
        <f>VLOOKUP($A120,tabCustoUnit[],COLUMN(CUSTO_GLOBAL[[#Headers],[Cesta Básica]])-2,0)*($G120-$H120)</f>
        <v>0</v>
      </c>
      <c r="AH120" s="22">
        <f>VLOOKUP($A120,tabCustoUnit[],COLUMN(CUSTO_GLOBAL[[#Headers],[PAF]])-2,0)*($G120-$H120)</f>
        <v>53.27</v>
      </c>
      <c r="AI120" s="22">
        <f>VLOOKUP($A120,tabCustoUnit[],COLUMN(CUSTO_GLOBAL[[#Headers],[PQM]])-2,0)*($G120-$H120)</f>
        <v>0</v>
      </c>
      <c r="AJ120" s="22">
        <v>0</v>
      </c>
      <c r="AK120" s="22">
        <f>VLOOKUP($A120,tabCustoUnit[],COLUMN(CUSTO_GLOBAL[[#Headers],[Seguro de Vida]])-2,0)*($G120-$H120)</f>
        <v>3.36</v>
      </c>
      <c r="AL120" s="22">
        <f>VLOOKUP($A120,tabCustoUnit[],COLUMN(CUSTO_GLOBAL[[#Headers],[Despesas de Viagem]])-2,0)*($G120-$H120)</f>
        <v>0</v>
      </c>
      <c r="AM120" s="22">
        <f>VLOOKUP($A120,tabCustoUnit[],COLUMN(CUSTO_GLOBAL[[#Headers],[Submódulo 2.3]])-2,0)*($G120-$H120)</f>
        <v>798.85320000000002</v>
      </c>
      <c r="AN120" s="22">
        <f>VLOOKUP($A120,tabCustoUnit[],COLUMN(CUSTO_GLOBAL[[#Headers],[MÓDULO 2 - Total Encargos e Benefícios mensais e diários]])-2,0)*($G120-$H120)</f>
        <v>1863.7067628499999</v>
      </c>
      <c r="AO120" s="22">
        <f>VLOOKUP($A120,tabCustoUnit[],COLUMN(CUSTO_GLOBAL[[#Headers],[Aviso Prévio Indenizado (API) e Reflexo do Aviso Prévio Indenizado]])-2,0)*($G120-$H120)</f>
        <v>11.559051416493055</v>
      </c>
      <c r="AP120" s="22">
        <f>VLOOKUP($A120,tabCustoUnit[],COLUMN(CUSTO_GLOBAL[[#Headers],[Incidência do FGTS sobre API e Reflexo do API]])-2,0)*($G120-$H120)</f>
        <v>0.92472411331944449</v>
      </c>
      <c r="AQ120" s="22">
        <f>VLOOKUP($A120,tabCustoUnit[],COLUMN(CUSTO_GLOBAL[[#Headers],[Multa Rescisória do FGTS sobre o Aviso Prévio Indenizado]])-2,0)*($G120-$H120)</f>
        <v>0.36988964532777785</v>
      </c>
      <c r="AR120" s="22">
        <f>VLOOKUP($A120,tabCustoUnit[],COLUMN(CUSTO_GLOBAL[[#Headers],[Aviso Prévio Trabalhado - APT]])-2,0)*($G120-$H120)</f>
        <v>5.7698266500000006</v>
      </c>
      <c r="AS120" s="22">
        <f>VLOOKUP($A120,tabCustoUnit[],COLUMN(CUSTO_GLOBAL[[#Headers],[Incidência dos encargos do submódulo 2.1 sobre Aviso Prévio Trabalhado]])-2,0)*($G120-$H120)</f>
        <v>2.1809944737000007</v>
      </c>
      <c r="AT120" s="22">
        <f>VLOOKUP($A120,tabCustoUnit[],COLUMN(CUSTO_GLOBAL[[#Headers],[Multa Rescisória do FGTS]])-2,0)*($G120-$H120)</f>
        <v>50.40813631999999</v>
      </c>
      <c r="AU120" s="22">
        <f>VLOOKUP($A120,tabCustoUnit[],COLUMN(CUSTO_GLOBAL[[#Headers],[Indenização Adicional (Art. 9º da Lei nº 7.238/84)]])-2,0)*($G120-$H120)</f>
        <v>1.3737682500000001</v>
      </c>
      <c r="AV120" s="22">
        <f>VLOOKUP($A120,tabCustoUnit[],COLUMN(CUSTO_GLOBAL[[#Headers],[MÓDULO 3 – PROVISÃO PARA RESCISÃO]])-2,0)*($G120-$H120)</f>
        <v>72.586390868840269</v>
      </c>
      <c r="AW120" s="22">
        <f>VLOOKUP($A120,tabCustoUnit[],COLUMN(CUSTO_GLOBAL[[#Headers],[Ausência por Doença]])-2,0)*($G120-$H120)</f>
        <v>13.920851599999999</v>
      </c>
      <c r="AX120" s="22">
        <f>VLOOKUP($A120,tabCustoUnit[],COLUMN(CUSTO_GLOBAL[[#Headers],[Ausências Legais]])-2,0)*($G120-$H120)</f>
        <v>3.3428360749999997</v>
      </c>
      <c r="AY120" s="22">
        <f>VLOOKUP($A120,tabCustoUnit[],COLUMN(CUSTO_GLOBAL[[#Headers],[Licença Paternidade]])-2,0)*($G120-$H120)</f>
        <v>0.28162249125</v>
      </c>
      <c r="AZ120" s="22">
        <f>VLOOKUP($A120,tabCustoUnit[],COLUMN(CUSTO_GLOBAL[[#Headers],[Ausência por Acidente de Trabalho]])-2,0)*($G120-$H120)</f>
        <v>0.34344206250000003</v>
      </c>
      <c r="BA120" s="22">
        <f>VLOOKUP($A120,tabCustoUnit[],COLUMN(CUSTO_GLOBAL[[#Headers],[Férias, Adicional de Férias e 13º  com empregada em gozo de Licença Maternidade]])-2,0)*($G120-$H120)</f>
        <v>2.1369728333333331</v>
      </c>
      <c r="BB120" s="22">
        <f>VLOOKUP($A120,tabCustoUnit[],COLUMN(CUSTO_GLOBAL[[#Headers],[Incidência do Submódulo 2.1 sobre Ausências Legais]])-2,0)*($G120-$H120)</f>
        <v>7.5697240734675013</v>
      </c>
      <c r="BC120" s="22">
        <f>VLOOKUP($A120,tabCustoUnit[],COLUMN(CUSTO_GLOBAL[[#Headers],[Submódulo 4.1]])-2,0)*($G120-$H120)</f>
        <v>27.595449135550833</v>
      </c>
      <c r="BD120" s="22">
        <f>VLOOKUP($A120,tabCustoUnit[],COLUMN(CUSTO_GLOBAL[[#Headers],[Intervalo para Repouso ou Alimentação]])-2,0)*($G120-$H120)</f>
        <v>0</v>
      </c>
      <c r="BE120" s="22">
        <f>VLOOKUP($A120,tabCustoUnit[],COLUMN(CUSTO_GLOBAL[[#Headers],[Submódulo 4.2]])-2,0)*($G120-$H120)</f>
        <v>0</v>
      </c>
      <c r="BF120" s="22">
        <f>VLOOKUP($A120,tabCustoUnit[],COLUMN(CUSTO_GLOBAL[[#Headers],[Suspensão Temporária do Contrato de Trabalho]])-2,0)*($G120-$H120)</f>
        <v>0</v>
      </c>
      <c r="BG120" s="22">
        <f>VLOOKUP($A120,tabCustoUnit[],COLUMN(CUSTO_GLOBAL[[#Headers],[Submódulo 4.3]])-2,0)*($G120-$H120)</f>
        <v>0</v>
      </c>
      <c r="BH120" s="22">
        <f>VLOOKUP($A120,tabCustoUnit[],COLUMN(CUSTO_GLOBAL[[#Headers],[MÓDULO 4 – CUSTO DE REPOSIÇÃO DO PROFISSIONAL AUSENTE]])-2,0)*($G120-$H120)</f>
        <v>27.595449135550833</v>
      </c>
      <c r="BI120" s="22">
        <f>VLOOKUP($A120,tabCustoUnit[],COLUMN(CUSTO_GLOBAL[[#Headers],[Uniformes e EPIs]])-2,0)*($G120-$H120)</f>
        <v>100.80916666666666</v>
      </c>
      <c r="BJ120" s="22">
        <f>VLOOKUP($A120,tabCustoUnit[],COLUMN(CUSTO_GLOBAL[[#Headers],[Materiais de Consumo]])-2,0)*($G120-$H120)</f>
        <v>35.518212958583888</v>
      </c>
      <c r="BK120" s="22">
        <f>VLOOKUP($A120,tabCustoUnit[],COLUMN(CUSTO_GLOBAL[[#Headers],[Máquinas e Equipamentos (depreciação)]])-2,0)*($G120-$H120)</f>
        <v>64.529393914825576</v>
      </c>
      <c r="BL120" s="22">
        <f>VLOOKUP($A120,tabCustoUnit[],COLUMN(CUSTO_GLOBAL[[#Headers],[Produtos de Limpeza e Materiais de Higiene Pessoal]])-2,0)*($G120-$H120)</f>
        <v>690.27153277931654</v>
      </c>
      <c r="BM120" s="22">
        <f>VLOOKUP($A120,tabCustoUnit[],COLUMN(CUSTO_GLOBAL[[#Headers],[Outros (especificar)]])-2,0)*($G120-$H120)</f>
        <v>0</v>
      </c>
      <c r="BN120" s="22">
        <f>VLOOKUP($A120,tabCustoUnit[],COLUMN(CUSTO_GLOBAL[[#Headers],[MÓDULO 5 – INSUMOS DIVERSOS]])-2,0)*($G120-$H120)</f>
        <v>891.12830631939266</v>
      </c>
      <c r="BO120" s="22">
        <f>VLOOKUP($A120,tabCustoUnit[],COLUMN(CUSTO_GLOBAL[[#Headers],[TOTAL MÓDULOS 1+2+3+4+5]])-2,0)*($G120-$H120)</f>
        <v>4503.5388091737832</v>
      </c>
      <c r="BP120" s="22">
        <f>VLOOKUP($A120,tabCustoUnit[],COLUMN(CUSTO_GLOBAL[[#Headers],[Custos Indiretos]])-2,0)*($G120-$H120)</f>
        <v>189.64880140242613</v>
      </c>
      <c r="BQ120" s="22">
        <f>VLOOKUP($A120,tabCustoUnit[],COLUMN(CUSTO_GLOBAL[[#Headers],[Lucro]])-2,0)*($G120-$H120)</f>
        <v>159.30499317803796</v>
      </c>
      <c r="BR120" s="26">
        <f>VLOOKUP($A120,tabCustoUnit[],COLUMN(CUSTO_GLOBAL[[#Headers],[COFINS]])-2,0)</f>
        <v>8.5633802816901458E-2</v>
      </c>
      <c r="BS120" s="26">
        <f>VLOOKUP($A120,tabCustoUnit[],COLUMN(CUSTO_GLOBAL[[#Headers],[PIS]])-2,0)</f>
        <v>1.8591549295774657E-2</v>
      </c>
      <c r="BT120" s="28">
        <f>VLOOKUP($A120,tabCustoUnit[],COLUMN(CUSTO_GLOBAL[[#Headers],[ISS]])-2,0)</f>
        <v>0.02</v>
      </c>
      <c r="BU120" s="26">
        <f>VLOOKUP($A120,tabCustoUnit[],COLUMN(CUSTO_GLOBAL[[#Headers],[ISS (Conversão Alíquota s/ fatura)]])-2,0)</f>
        <v>2.2535211267605645E-2</v>
      </c>
      <c r="BV120" s="26">
        <f>VLOOKUP($A120,tabCustoUnit[],COLUMN(CUSTO_GLOBAL[[#Headers],[Resumo de Alíquotas (PIS+CONFINS+ISS)]])-2,0)</f>
        <v>0.1125</v>
      </c>
      <c r="BW120" s="138">
        <f>VLOOKUP($A120,tabCustoUnit[],COLUMN(CUSTO_GLOBAL[[#Headers],[PIS + COFINS + ISS (Total Conversão  Alíquota s/ Fatura)]])-2,0)</f>
        <v>0.12676056338028174</v>
      </c>
      <c r="BX120" s="22">
        <f>VLOOKUP($A120,tabCustoUnit[],COLUMN(CUSTO_GLOBAL[[#Headers],[Valor dos Tributos (ISS, PIS, CONFINS)]])-2,0)*($G120-$H120)</f>
        <v>615.10469625053861</v>
      </c>
      <c r="BY120" s="22">
        <f>VLOOKUP($A120,tabCustoUnit[],COLUMN(CUSTO_GLOBAL[[#Headers],[MÓDULO 6 – CUSTOS INDIRETOS, TRIBUTOS E LUCRO]])-2,0)*($G120-$H120)</f>
        <v>964.0584908310027</v>
      </c>
      <c r="BZ120" s="22">
        <f>VLOOKUP($A120,tabCustoUnit[],COLUMN(CUSTO_GLOBAL[[#Headers],[CUSTO TOTAL MENSAL]])-2,0)*($G120-$H120)</f>
        <v>5467.5973000047861</v>
      </c>
      <c r="CA120" s="22">
        <f>CUSTO_GLOBAL[[#This Row],[CUSTO TOTAL MENSAL]]*12</f>
        <v>65611.167600057437</v>
      </c>
      <c r="CB120" s="24">
        <f>VLOOKUP($A120,tabCustoUnit[],COLUMN(CUSTO_GLOBAL[[#Headers],[ANO DA CCT]])-2,0)</f>
        <v>45658</v>
      </c>
      <c r="CC120" s="25" t="str">
        <f>VLOOKUP($A120,tabCustoUnit[],COLUMN(CUSTO_GLOBAL[[#Headers],[Nº DE PEDIDO DA CCT]])-2,0)</f>
        <v>-</v>
      </c>
      <c r="CD120" s="25" t="str">
        <f>VLOOKUP($A120,tabCustoUnit[],COLUMN(CUSTO_GLOBAL[[#Headers],[TERMO ADITIVO  ALTERAÇÃO DA CCT]])-2,0)</f>
        <v>-</v>
      </c>
      <c r="CF120" s="22"/>
      <c r="CG120" s="22"/>
    </row>
    <row r="121" spans="1:85" x14ac:dyDescent="0.25">
      <c r="A121" s="20" t="s">
        <v>1458</v>
      </c>
      <c r="B121" t="s">
        <v>110</v>
      </c>
      <c r="C121" t="s">
        <v>1247</v>
      </c>
      <c r="D121" t="s">
        <v>1000</v>
      </c>
      <c r="E121" s="20" t="s">
        <v>9</v>
      </c>
      <c r="F121" s="20" t="s">
        <v>10</v>
      </c>
      <c r="G121" s="20">
        <v>1</v>
      </c>
      <c r="H121" s="20">
        <v>0</v>
      </c>
      <c r="I121" s="21">
        <f>VLOOKUP($A121,tabCustoUnit[],COLUMN(CUSTO_GLOBAL[[#Headers],[Salário Base]])-2,0)*($G121-$H121)</f>
        <v>544.17999999999995</v>
      </c>
      <c r="J121" s="21">
        <f>VLOOKUP($A121,tabCustoUnit[],COLUMN(CUSTO_GLOBAL[[#Headers],[Adicional Periculosidade]])-2,0)*($G121-$H121)</f>
        <v>0</v>
      </c>
      <c r="K121" s="21">
        <f>VLOOKUP($A121,tabCustoUnit[],COLUMN(CUSTO_GLOBAL[[#Headers],[Adicional Insalubridade]])-2,0)*($G121-$H121)</f>
        <v>0</v>
      </c>
      <c r="L121" s="21">
        <f>VLOOKUP($A121,tabCustoUnit[],COLUMN(CUSTO_GLOBAL[[#Headers],[Adicional Noturno]])-2,0)*($G121-$H121)</f>
        <v>0</v>
      </c>
      <c r="M121" s="21">
        <f>VLOOKUP($A121,tabCustoUnit[],COLUMN(CUSTO_GLOBAL[[#Headers],[Adicional Motorista II (Gratificação)]])-2,0)*($G121-$H121)</f>
        <v>0</v>
      </c>
      <c r="N121" s="21">
        <f>VLOOKUP($A121,tabCustoUnit[],COLUMN(CUSTO_GLOBAL[[#Headers],[Adicional de Sobreaviso]])-2,0)*($G121-$H121)</f>
        <v>0</v>
      </c>
      <c r="O121" s="21">
        <f>VLOOKUP($A121,tabCustoUnit[],COLUMN(CUSTO_GLOBAL[[#Headers],[Horas Extras TI]])-2,0)*($G121-$H121)</f>
        <v>0</v>
      </c>
      <c r="P121" s="21">
        <f>VLOOKUP($A121,tabCustoUnit[],COLUMN(CUSTO_GLOBAL[[#Headers],[Adicional de Acúmulo de função]])-2,0)*($G121-$H121)</f>
        <v>19.590499999999999</v>
      </c>
      <c r="Q121" s="21">
        <f>VLOOKUP($A121,tabCustoUnit[],COLUMN(CUSTO_GLOBAL[[#Headers],[MODULO 1 - REMUNERAÇÃO ]])-2,0)*($G121-$H121)</f>
        <v>563.77049999999997</v>
      </c>
      <c r="R121" s="21">
        <f>VLOOKUP($A121,tabCustoUnit[],COLUMN(CUSTO_GLOBAL[[#Headers],[INSS]])-2,0)*($G121-$H121)</f>
        <v>112.75409999999999</v>
      </c>
      <c r="S121" s="21">
        <f>VLOOKUP($A121,tabCustoUnit[],COLUMN(CUSTO_GLOBAL[[#Headers],[SESI OU SESC]])-2,0)*($G121-$H121)</f>
        <v>8.4565574999999988</v>
      </c>
      <c r="T121" s="21">
        <f>VLOOKUP($A121,tabCustoUnit[],COLUMN(CUSTO_GLOBAL[[#Headers],[SENAI OU SENAC]])-2,0)*($G121-$H121)</f>
        <v>5.6377049999999995</v>
      </c>
      <c r="U121" s="21">
        <f>VLOOKUP($A121,tabCustoUnit[],COLUMN(CUSTO_GLOBAL[[#Headers],[INCRA]])-2,0)*($G121-$H121)</f>
        <v>1.1275409999999999</v>
      </c>
      <c r="V121" s="21">
        <f>VLOOKUP($A121,tabCustoUnit[],COLUMN(CUSTO_GLOBAL[[#Headers],[Salário Educação]])-2,0)*($G121-$H121)</f>
        <v>14.094262499999999</v>
      </c>
      <c r="W121" s="21">
        <f>VLOOKUP($A121,tabCustoUnit[],COLUMN(CUSTO_GLOBAL[[#Headers],[FGTS]])-2,0)*($G121-$H121)</f>
        <v>45.101639999999996</v>
      </c>
      <c r="X121" s="21">
        <f>VLOOKUP($A121,tabCustoUnit[],COLUMN(CUSTO_GLOBAL[[#Headers],[RAT Ajustado]])-2,0)*($G121-$H121)</f>
        <v>22.550819999999998</v>
      </c>
      <c r="Y121" s="21">
        <f>VLOOKUP($A121,tabCustoUnit[],COLUMN(CUSTO_GLOBAL[[#Headers],[SEBRAE]])-2,0)*($G121-$H121)</f>
        <v>3.3826229999999997</v>
      </c>
      <c r="Z121" s="21">
        <f>VLOOKUP($A121,tabCustoUnit[],COLUMN(CUSTO_GLOBAL[[#Headers],[Submódulo 2.1]])-2,0)*($G121-$H121)</f>
        <v>213.10524899999996</v>
      </c>
      <c r="AA121" s="21">
        <f>VLOOKUP($A121,tabCustoUnit[],COLUMN(CUSTO_GLOBAL[[#Headers],[13º salário (titular)]])-2,0)*($G121-$H121)</f>
        <v>46.980874999999997</v>
      </c>
      <c r="AB121" s="21">
        <f>VLOOKUP($A121,tabCustoUnit[],COLUMN(CUSTO_GLOBAL[[#Headers],[Férias e Adicional de Férias (titular)]])-2,0)*($G121-$H121)</f>
        <v>62.641166666666663</v>
      </c>
      <c r="AC121" s="21">
        <f>VLOOKUP($A121,tabCustoUnit[],COLUMN(CUSTO_GLOBAL[[#Headers],[Incidência do Submódulo 2.1 sobre 13º Salário, Férias e Adicional de Férias]])-2,0)*($G121-$H121)</f>
        <v>41.437131749999992</v>
      </c>
      <c r="AD121" s="21">
        <f>VLOOKUP($A121,tabCustoUnit[],COLUMN(CUSTO_GLOBAL[[#Headers],[Submódulo 2.2]])-2,0)*($G121-$H121)</f>
        <v>151.05917341666665</v>
      </c>
      <c r="AE121" s="22">
        <f>VLOOKUP($A121,tabCustoUnit[],COLUMN(CUSTO_GLOBAL[[#Headers],[Vale - Transporte (Descontada parcela do empregado)]])-2,0)*($G121-$H121)</f>
        <v>223.3492</v>
      </c>
      <c r="AF121" s="22">
        <f>VLOOKUP($A121,tabCustoUnit[],COLUMN(CUSTO_GLOBAL[[#Headers],[Vale - Alimentação (Descontada parcela do empregado)]])-2,0)*($G121-$H121)</f>
        <v>582</v>
      </c>
      <c r="AG121" s="22">
        <f>VLOOKUP($A121,tabCustoUnit[],COLUMN(CUSTO_GLOBAL[[#Headers],[Cesta Básica]])-2,0)*($G121-$H121)</f>
        <v>0</v>
      </c>
      <c r="AH121" s="22">
        <f>VLOOKUP($A121,tabCustoUnit[],COLUMN(CUSTO_GLOBAL[[#Headers],[PAF]])-2,0)*($G121-$H121)</f>
        <v>0</v>
      </c>
      <c r="AI121" s="22">
        <f>VLOOKUP($A121,tabCustoUnit[],COLUMN(CUSTO_GLOBAL[[#Headers],[PQM]])-2,0)*($G121-$H121)</f>
        <v>15.07</v>
      </c>
      <c r="AJ121" s="22">
        <v>0</v>
      </c>
      <c r="AK121" s="22">
        <f>VLOOKUP($A121,tabCustoUnit[],COLUMN(CUSTO_GLOBAL[[#Headers],[Seguro de Vida]])-2,0)*($G121-$H121)</f>
        <v>3.36</v>
      </c>
      <c r="AL121" s="22">
        <f>VLOOKUP($A121,tabCustoUnit[],COLUMN(CUSTO_GLOBAL[[#Headers],[Despesas de Viagem]])-2,0)*($G121-$H121)</f>
        <v>0</v>
      </c>
      <c r="AM121" s="22">
        <f>VLOOKUP($A121,tabCustoUnit[],COLUMN(CUSTO_GLOBAL[[#Headers],[Submódulo 2.3]])-2,0)*($G121-$H121)</f>
        <v>823.77920000000006</v>
      </c>
      <c r="AN121" s="22">
        <f>VLOOKUP($A121,tabCustoUnit[],COLUMN(CUSTO_GLOBAL[[#Headers],[MÓDULO 2 - Total Encargos e Benefícios mensais e diários]])-2,0)*($G121-$H121)</f>
        <v>1187.9436224166666</v>
      </c>
      <c r="AO121" s="22">
        <f>VLOOKUP($A121,tabCustoUnit[],COLUMN(CUSTO_GLOBAL[[#Headers],[Aviso Prévio Indenizado (API) e Reflexo do Aviso Prévio Indenizado]])-2,0)*($G121-$H121)</f>
        <v>3.9530273735532404</v>
      </c>
      <c r="AP121" s="22">
        <f>VLOOKUP($A121,tabCustoUnit[],COLUMN(CUSTO_GLOBAL[[#Headers],[Incidência do FGTS sobre API e Reflexo do API]])-2,0)*($G121-$H121)</f>
        <v>0.31624218988425928</v>
      </c>
      <c r="AQ121" s="22">
        <f>VLOOKUP($A121,tabCustoUnit[],COLUMN(CUSTO_GLOBAL[[#Headers],[Multa Rescisória do FGTS sobre o Aviso Prévio Indenizado]])-2,0)*($G121-$H121)</f>
        <v>0.12649687595370371</v>
      </c>
      <c r="AR121" s="22">
        <f>VLOOKUP($A121,tabCustoUnit[],COLUMN(CUSTO_GLOBAL[[#Headers],[Aviso Prévio Trabalhado - APT]])-2,0)*($G121-$H121)</f>
        <v>1.9731967500000003</v>
      </c>
      <c r="AS121" s="22">
        <f>VLOOKUP($A121,tabCustoUnit[],COLUMN(CUSTO_GLOBAL[[#Headers],[Incidência dos encargos do submódulo 2.1 sobre Aviso Prévio Trabalhado]])-2,0)*($G121-$H121)</f>
        <v>0.74586837150000018</v>
      </c>
      <c r="AT121" s="22">
        <f>VLOOKUP($A121,tabCustoUnit[],COLUMN(CUSTO_GLOBAL[[#Headers],[Multa Rescisória do FGTS]])-2,0)*($G121-$H121)</f>
        <v>17.238849066666663</v>
      </c>
      <c r="AU121" s="22">
        <f>VLOOKUP($A121,tabCustoUnit[],COLUMN(CUSTO_GLOBAL[[#Headers],[Indenização Adicional (Art. 9º da Lei nº 7.238/84)]])-2,0)*($G121-$H121)</f>
        <v>0.46980875</v>
      </c>
      <c r="AV121" s="22">
        <f>VLOOKUP($A121,tabCustoUnit[],COLUMN(CUSTO_GLOBAL[[#Headers],[MÓDULO 3 – PROVISÃO PARA RESCISÃO]])-2,0)*($G121-$H121)</f>
        <v>24.823489377557866</v>
      </c>
      <c r="AW121" s="22">
        <f>VLOOKUP($A121,tabCustoUnit[],COLUMN(CUSTO_GLOBAL[[#Headers],[Ausência por Doença]])-2,0)*($G121-$H121)</f>
        <v>4.7607286666666662</v>
      </c>
      <c r="AX121" s="22">
        <f>VLOOKUP($A121,tabCustoUnit[],COLUMN(CUSTO_GLOBAL[[#Headers],[Ausências Legais]])-2,0)*($G121-$H121)</f>
        <v>1.1432012916666665</v>
      </c>
      <c r="AY121" s="22">
        <f>VLOOKUP($A121,tabCustoUnit[],COLUMN(CUSTO_GLOBAL[[#Headers],[Licença Paternidade]])-2,0)*($G121-$H121)</f>
        <v>9.6310793749999998E-2</v>
      </c>
      <c r="AZ121" s="22">
        <f>VLOOKUP($A121,tabCustoUnit[],COLUMN(CUSTO_GLOBAL[[#Headers],[Ausência por Acidente de Trabalho]])-2,0)*($G121-$H121)</f>
        <v>0.1174521875</v>
      </c>
      <c r="BA121" s="22">
        <f>VLOOKUP($A121,tabCustoUnit[],COLUMN(CUSTO_GLOBAL[[#Headers],[Férias, Adicional de Férias e 13º  com empregada em gozo de Licença Maternidade]])-2,0)*($G121-$H121)</f>
        <v>0.73081361111111109</v>
      </c>
      <c r="BB121" s="22">
        <f>VLOOKUP($A121,tabCustoUnit[],COLUMN(CUSTO_GLOBAL[[#Headers],[Incidência do Submódulo 2.1 sobre Ausências Legais]])-2,0)*($G121-$H121)</f>
        <v>2.5887354761625003</v>
      </c>
      <c r="BC121" s="22">
        <f>VLOOKUP($A121,tabCustoUnit[],COLUMN(CUSTO_GLOBAL[[#Headers],[Submódulo 4.1]])-2,0)*($G121-$H121)</f>
        <v>9.4372420268569428</v>
      </c>
      <c r="BD121" s="22">
        <f>VLOOKUP($A121,tabCustoUnit[],COLUMN(CUSTO_GLOBAL[[#Headers],[Intervalo para Repouso ou Alimentação]])-2,0)*($G121-$H121)</f>
        <v>0</v>
      </c>
      <c r="BE121" s="22">
        <f>VLOOKUP($A121,tabCustoUnit[],COLUMN(CUSTO_GLOBAL[[#Headers],[Submódulo 4.2]])-2,0)*($G121-$H121)</f>
        <v>0</v>
      </c>
      <c r="BF121" s="22">
        <f>VLOOKUP($A121,tabCustoUnit[],COLUMN(CUSTO_GLOBAL[[#Headers],[Suspensão Temporária do Contrato de Trabalho]])-2,0)*($G121-$H121)</f>
        <v>0</v>
      </c>
      <c r="BG121" s="22">
        <f>VLOOKUP($A121,tabCustoUnit[],COLUMN(CUSTO_GLOBAL[[#Headers],[Submódulo 4.3]])-2,0)*($G121-$H121)</f>
        <v>0</v>
      </c>
      <c r="BH121" s="22">
        <f>VLOOKUP($A121,tabCustoUnit[],COLUMN(CUSTO_GLOBAL[[#Headers],[MÓDULO 4 – CUSTO DE REPOSIÇÃO DO PROFISSIONAL AUSENTE]])-2,0)*($G121-$H121)</f>
        <v>9.4372420268569428</v>
      </c>
      <c r="BI121" s="22">
        <f>VLOOKUP($A121,tabCustoUnit[],COLUMN(CUSTO_GLOBAL[[#Headers],[Uniformes e EPIs]])-2,0)*($G121-$H121)</f>
        <v>62.806666666666665</v>
      </c>
      <c r="BJ121" s="22">
        <f>VLOOKUP($A121,tabCustoUnit[],COLUMN(CUSTO_GLOBAL[[#Headers],[Materiais de Consumo]])-2,0)*($G121-$H121)</f>
        <v>12.108481690426325</v>
      </c>
      <c r="BK121" s="22">
        <f>VLOOKUP($A121,tabCustoUnit[],COLUMN(CUSTO_GLOBAL[[#Headers],[Máquinas e Equipamentos (depreciação)]])-2,0)*($G121-$H121)</f>
        <v>21.998657016417809</v>
      </c>
      <c r="BL121" s="22">
        <f>VLOOKUP($A121,tabCustoUnit[],COLUMN(CUSTO_GLOBAL[[#Headers],[Produtos de Limpeza e Materiais de Higiene Pessoal]])-2,0)*($G121-$H121)</f>
        <v>235.31984072022155</v>
      </c>
      <c r="BM121" s="22">
        <f>VLOOKUP($A121,tabCustoUnit[],COLUMN(CUSTO_GLOBAL[[#Headers],[Outros (especificar)]])-2,0)*($G121-$H121)</f>
        <v>0</v>
      </c>
      <c r="BN121" s="22">
        <f>VLOOKUP($A121,tabCustoUnit[],COLUMN(CUSTO_GLOBAL[[#Headers],[MÓDULO 5 – INSUMOS DIVERSOS]])-2,0)*($G121-$H121)</f>
        <v>332.23364609373232</v>
      </c>
      <c r="BO121" s="22">
        <f>VLOOKUP($A121,tabCustoUnit[],COLUMN(CUSTO_GLOBAL[[#Headers],[TOTAL MÓDULOS 1+2+3+4+5]])-2,0)*($G121-$H121)</f>
        <v>2118.2084999148137</v>
      </c>
      <c r="BP121" s="22">
        <f>VLOOKUP($A121,tabCustoUnit[],COLUMN(CUSTO_GLOBAL[[#Headers],[Custos Indiretos]])-2,0)*($G121-$H121)</f>
        <v>189.64880140242613</v>
      </c>
      <c r="BQ121" s="22">
        <f>VLOOKUP($A121,tabCustoUnit[],COLUMN(CUSTO_GLOBAL[[#Headers],[Lucro]])-2,0)*($G121-$H121)</f>
        <v>159.30499317803796</v>
      </c>
      <c r="BR121" s="26">
        <f>VLOOKUP($A121,tabCustoUnit[],COLUMN(CUSTO_GLOBAL[[#Headers],[COFINS]])-2,0)</f>
        <v>8.8629737609329504E-2</v>
      </c>
      <c r="BS121" s="26">
        <f>VLOOKUP($A121,tabCustoUnit[],COLUMN(CUSTO_GLOBAL[[#Headers],[PIS]])-2,0)</f>
        <v>1.9241982507288629E-2</v>
      </c>
      <c r="BT121" s="28">
        <f>VLOOKUP($A121,tabCustoUnit[],COLUMN(CUSTO_GLOBAL[[#Headers],[ISS]])-2,0)</f>
        <v>0.05</v>
      </c>
      <c r="BU121" s="26">
        <f>VLOOKUP($A121,tabCustoUnit[],COLUMN(CUSTO_GLOBAL[[#Headers],[ISS (Conversão Alíquota s/ fatura)]])-2,0)</f>
        <v>5.8309037900874633E-2</v>
      </c>
      <c r="BV121" s="26">
        <f>VLOOKUP($A121,tabCustoUnit[],COLUMN(CUSTO_GLOBAL[[#Headers],[Resumo de Alíquotas (PIS+CONFINS+ISS)]])-2,0)</f>
        <v>0.14250000000000002</v>
      </c>
      <c r="BW121" s="138">
        <f>VLOOKUP($A121,tabCustoUnit[],COLUMN(CUSTO_GLOBAL[[#Headers],[PIS + COFINS + ISS (Total Conversão  Alíquota s/ Fatura)]])-2,0)</f>
        <v>0.16618075801749277</v>
      </c>
      <c r="BX121" s="22">
        <f>VLOOKUP($A121,tabCustoUnit[],COLUMN(CUSTO_GLOBAL[[#Headers],[Valor dos Tributos (ISS, PIS, CONFINS)]])-2,0)*($G121-$H121)</f>
        <v>409.99490025140199</v>
      </c>
      <c r="BY121" s="22">
        <f>VLOOKUP($A121,tabCustoUnit[],COLUMN(CUSTO_GLOBAL[[#Headers],[MÓDULO 6 – CUSTOS INDIRETOS, TRIBUTOS E LUCRO]])-2,0)*($G121-$H121)</f>
        <v>758.94869483186608</v>
      </c>
      <c r="BZ121" s="22">
        <f>VLOOKUP($A121,tabCustoUnit[],COLUMN(CUSTO_GLOBAL[[#Headers],[CUSTO TOTAL MENSAL]])-2,0)*($G121-$H121)</f>
        <v>2877.15719474668</v>
      </c>
      <c r="CA121" s="22">
        <f>CUSTO_GLOBAL[[#This Row],[CUSTO TOTAL MENSAL]]*12</f>
        <v>34525.88633696016</v>
      </c>
      <c r="CB121" s="24">
        <f>VLOOKUP($A121,tabCustoUnit[],COLUMN(CUSTO_GLOBAL[[#Headers],[ANO DA CCT]])-2,0)</f>
        <v>45658</v>
      </c>
      <c r="CC121" s="25" t="str">
        <f>VLOOKUP($A121,tabCustoUnit[],COLUMN(CUSTO_GLOBAL[[#Headers],[Nº DE PEDIDO DA CCT]])-2,0)</f>
        <v>-</v>
      </c>
      <c r="CD121" s="25" t="str">
        <f>VLOOKUP($A121,tabCustoUnit[],COLUMN(CUSTO_GLOBAL[[#Headers],[TERMO ADITIVO  ALTERAÇÃO DA CCT]])-2,0)</f>
        <v>-</v>
      </c>
      <c r="CF121" s="22"/>
      <c r="CG121" s="22"/>
    </row>
    <row r="122" spans="1:85" x14ac:dyDescent="0.25">
      <c r="A122" s="20" t="s">
        <v>1459</v>
      </c>
      <c r="B122" t="s">
        <v>111</v>
      </c>
      <c r="C122" t="s">
        <v>1247</v>
      </c>
      <c r="D122" t="s">
        <v>1026</v>
      </c>
      <c r="E122" s="20" t="s">
        <v>9</v>
      </c>
      <c r="F122" s="20" t="s">
        <v>10</v>
      </c>
      <c r="G122" s="20">
        <v>1</v>
      </c>
      <c r="H122" s="20">
        <v>0</v>
      </c>
      <c r="I122" s="21">
        <f>VLOOKUP($A122,tabCustoUnit[],COLUMN(CUSTO_GLOBAL[[#Headers],[Salário Base]])-2,0)*($G122-$H122)</f>
        <v>544.17999999999995</v>
      </c>
      <c r="J122" s="21">
        <f>VLOOKUP($A122,tabCustoUnit[],COLUMN(CUSTO_GLOBAL[[#Headers],[Adicional Periculosidade]])-2,0)*($G122-$H122)</f>
        <v>0</v>
      </c>
      <c r="K122" s="21">
        <f>VLOOKUP($A122,tabCustoUnit[],COLUMN(CUSTO_GLOBAL[[#Headers],[Adicional Insalubridade]])-2,0)*($G122-$H122)</f>
        <v>0</v>
      </c>
      <c r="L122" s="21">
        <f>VLOOKUP($A122,tabCustoUnit[],COLUMN(CUSTO_GLOBAL[[#Headers],[Adicional Noturno]])-2,0)*($G122-$H122)</f>
        <v>0</v>
      </c>
      <c r="M122" s="21">
        <f>VLOOKUP($A122,tabCustoUnit[],COLUMN(CUSTO_GLOBAL[[#Headers],[Adicional Motorista II (Gratificação)]])-2,0)*($G122-$H122)</f>
        <v>0</v>
      </c>
      <c r="N122" s="21">
        <f>VLOOKUP($A122,tabCustoUnit[],COLUMN(CUSTO_GLOBAL[[#Headers],[Adicional de Sobreaviso]])-2,0)*($G122-$H122)</f>
        <v>0</v>
      </c>
      <c r="O122" s="21">
        <f>VLOOKUP($A122,tabCustoUnit[],COLUMN(CUSTO_GLOBAL[[#Headers],[Horas Extras TI]])-2,0)*($G122-$H122)</f>
        <v>0</v>
      </c>
      <c r="P122" s="21">
        <f>VLOOKUP($A122,tabCustoUnit[],COLUMN(CUSTO_GLOBAL[[#Headers],[Adicional de Acúmulo de função]])-2,0)*($G122-$H122)</f>
        <v>19.590499999999999</v>
      </c>
      <c r="Q122" s="21">
        <f>VLOOKUP($A122,tabCustoUnit[],COLUMN(CUSTO_GLOBAL[[#Headers],[MODULO 1 - REMUNERAÇÃO ]])-2,0)*($G122-$H122)</f>
        <v>563.77049999999997</v>
      </c>
      <c r="R122" s="21">
        <f>VLOOKUP($A122,tabCustoUnit[],COLUMN(CUSTO_GLOBAL[[#Headers],[INSS]])-2,0)*($G122-$H122)</f>
        <v>112.75409999999999</v>
      </c>
      <c r="S122" s="21">
        <f>VLOOKUP($A122,tabCustoUnit[],COLUMN(CUSTO_GLOBAL[[#Headers],[SESI OU SESC]])-2,0)*($G122-$H122)</f>
        <v>8.4565574999999988</v>
      </c>
      <c r="T122" s="21">
        <f>VLOOKUP($A122,tabCustoUnit[],COLUMN(CUSTO_GLOBAL[[#Headers],[SENAI OU SENAC]])-2,0)*($G122-$H122)</f>
        <v>5.6377049999999995</v>
      </c>
      <c r="U122" s="21">
        <f>VLOOKUP($A122,tabCustoUnit[],COLUMN(CUSTO_GLOBAL[[#Headers],[INCRA]])-2,0)*($G122-$H122)</f>
        <v>1.1275409999999999</v>
      </c>
      <c r="V122" s="21">
        <f>VLOOKUP($A122,tabCustoUnit[],COLUMN(CUSTO_GLOBAL[[#Headers],[Salário Educação]])-2,0)*($G122-$H122)</f>
        <v>14.094262499999999</v>
      </c>
      <c r="W122" s="21">
        <f>VLOOKUP($A122,tabCustoUnit[],COLUMN(CUSTO_GLOBAL[[#Headers],[FGTS]])-2,0)*($G122-$H122)</f>
        <v>45.101639999999996</v>
      </c>
      <c r="X122" s="21">
        <f>VLOOKUP($A122,tabCustoUnit[],COLUMN(CUSTO_GLOBAL[[#Headers],[RAT Ajustado]])-2,0)*($G122-$H122)</f>
        <v>22.550819999999998</v>
      </c>
      <c r="Y122" s="21">
        <f>VLOOKUP($A122,tabCustoUnit[],COLUMN(CUSTO_GLOBAL[[#Headers],[SEBRAE]])-2,0)*($G122-$H122)</f>
        <v>3.3826229999999997</v>
      </c>
      <c r="Z122" s="21">
        <f>VLOOKUP($A122,tabCustoUnit[],COLUMN(CUSTO_GLOBAL[[#Headers],[Submódulo 2.1]])-2,0)*($G122-$H122)</f>
        <v>213.10524899999996</v>
      </c>
      <c r="AA122" s="21">
        <f>VLOOKUP($A122,tabCustoUnit[],COLUMN(CUSTO_GLOBAL[[#Headers],[13º salário (titular)]])-2,0)*($G122-$H122)</f>
        <v>46.980874999999997</v>
      </c>
      <c r="AB122" s="21">
        <f>VLOOKUP($A122,tabCustoUnit[],COLUMN(CUSTO_GLOBAL[[#Headers],[Férias e Adicional de Férias (titular)]])-2,0)*($G122-$H122)</f>
        <v>62.641166666666663</v>
      </c>
      <c r="AC122" s="21">
        <f>VLOOKUP($A122,tabCustoUnit[],COLUMN(CUSTO_GLOBAL[[#Headers],[Incidência do Submódulo 2.1 sobre 13º Salário, Férias e Adicional de Férias]])-2,0)*($G122-$H122)</f>
        <v>41.437131749999992</v>
      </c>
      <c r="AD122" s="21">
        <f>VLOOKUP($A122,tabCustoUnit[],COLUMN(CUSTO_GLOBAL[[#Headers],[Submódulo 2.2]])-2,0)*($G122-$H122)</f>
        <v>151.05917341666665</v>
      </c>
      <c r="AE122" s="22">
        <f>VLOOKUP($A122,tabCustoUnit[],COLUMN(CUSTO_GLOBAL[[#Headers],[Vale - Transporte (Descontada parcela do empregado)]])-2,0)*($G122-$H122)</f>
        <v>223.3492</v>
      </c>
      <c r="AF122" s="22">
        <f>VLOOKUP($A122,tabCustoUnit[],COLUMN(CUSTO_GLOBAL[[#Headers],[Vale - Alimentação (Descontada parcela do empregado)]])-2,0)*($G122-$H122)</f>
        <v>582</v>
      </c>
      <c r="AG122" s="22">
        <f>VLOOKUP($A122,tabCustoUnit[],COLUMN(CUSTO_GLOBAL[[#Headers],[Cesta Básica]])-2,0)*($G122-$H122)</f>
        <v>0</v>
      </c>
      <c r="AH122" s="22">
        <f>VLOOKUP($A122,tabCustoUnit[],COLUMN(CUSTO_GLOBAL[[#Headers],[PAF]])-2,0)*($G122-$H122)</f>
        <v>0</v>
      </c>
      <c r="AI122" s="22">
        <f>VLOOKUP($A122,tabCustoUnit[],COLUMN(CUSTO_GLOBAL[[#Headers],[PQM]])-2,0)*($G122-$H122)</f>
        <v>15.07</v>
      </c>
      <c r="AJ122" s="22">
        <v>0</v>
      </c>
      <c r="AK122" s="22">
        <f>VLOOKUP($A122,tabCustoUnit[],COLUMN(CUSTO_GLOBAL[[#Headers],[Seguro de Vida]])-2,0)*($G122-$H122)</f>
        <v>3.36</v>
      </c>
      <c r="AL122" s="22">
        <f>VLOOKUP($A122,tabCustoUnit[],COLUMN(CUSTO_GLOBAL[[#Headers],[Despesas de Viagem]])-2,0)*($G122-$H122)</f>
        <v>0</v>
      </c>
      <c r="AM122" s="22">
        <f>VLOOKUP($A122,tabCustoUnit[],COLUMN(CUSTO_GLOBAL[[#Headers],[Submódulo 2.3]])-2,0)*($G122-$H122)</f>
        <v>823.77920000000006</v>
      </c>
      <c r="AN122" s="22">
        <f>VLOOKUP($A122,tabCustoUnit[],COLUMN(CUSTO_GLOBAL[[#Headers],[MÓDULO 2 - Total Encargos e Benefícios mensais e diários]])-2,0)*($G122-$H122)</f>
        <v>1187.9436224166666</v>
      </c>
      <c r="AO122" s="22">
        <f>VLOOKUP($A122,tabCustoUnit[],COLUMN(CUSTO_GLOBAL[[#Headers],[Aviso Prévio Indenizado (API) e Reflexo do Aviso Prévio Indenizado]])-2,0)*($G122-$H122)</f>
        <v>3.9530273735532404</v>
      </c>
      <c r="AP122" s="22">
        <f>VLOOKUP($A122,tabCustoUnit[],COLUMN(CUSTO_GLOBAL[[#Headers],[Incidência do FGTS sobre API e Reflexo do API]])-2,0)*($G122-$H122)</f>
        <v>0.31624218988425928</v>
      </c>
      <c r="AQ122" s="22">
        <f>VLOOKUP($A122,tabCustoUnit[],COLUMN(CUSTO_GLOBAL[[#Headers],[Multa Rescisória do FGTS sobre o Aviso Prévio Indenizado]])-2,0)*($G122-$H122)</f>
        <v>0.12649687595370371</v>
      </c>
      <c r="AR122" s="22">
        <f>VLOOKUP($A122,tabCustoUnit[],COLUMN(CUSTO_GLOBAL[[#Headers],[Aviso Prévio Trabalhado - APT]])-2,0)*($G122-$H122)</f>
        <v>1.9731967500000003</v>
      </c>
      <c r="AS122" s="22">
        <f>VLOOKUP($A122,tabCustoUnit[],COLUMN(CUSTO_GLOBAL[[#Headers],[Incidência dos encargos do submódulo 2.1 sobre Aviso Prévio Trabalhado]])-2,0)*($G122-$H122)</f>
        <v>0.74586837150000018</v>
      </c>
      <c r="AT122" s="22">
        <f>VLOOKUP($A122,tabCustoUnit[],COLUMN(CUSTO_GLOBAL[[#Headers],[Multa Rescisória do FGTS]])-2,0)*($G122-$H122)</f>
        <v>17.238849066666663</v>
      </c>
      <c r="AU122" s="22">
        <f>VLOOKUP($A122,tabCustoUnit[],COLUMN(CUSTO_GLOBAL[[#Headers],[Indenização Adicional (Art. 9º da Lei nº 7.238/84)]])-2,0)*($G122-$H122)</f>
        <v>0.46980875</v>
      </c>
      <c r="AV122" s="22">
        <f>VLOOKUP($A122,tabCustoUnit[],COLUMN(CUSTO_GLOBAL[[#Headers],[MÓDULO 3 – PROVISÃO PARA RESCISÃO]])-2,0)*($G122-$H122)</f>
        <v>24.823489377557866</v>
      </c>
      <c r="AW122" s="22">
        <f>VLOOKUP($A122,tabCustoUnit[],COLUMN(CUSTO_GLOBAL[[#Headers],[Ausência por Doença]])-2,0)*($G122-$H122)</f>
        <v>4.7607286666666662</v>
      </c>
      <c r="AX122" s="22">
        <f>VLOOKUP($A122,tabCustoUnit[],COLUMN(CUSTO_GLOBAL[[#Headers],[Ausências Legais]])-2,0)*($G122-$H122)</f>
        <v>1.1432012916666665</v>
      </c>
      <c r="AY122" s="22">
        <f>VLOOKUP($A122,tabCustoUnit[],COLUMN(CUSTO_GLOBAL[[#Headers],[Licença Paternidade]])-2,0)*($G122-$H122)</f>
        <v>9.6310793749999998E-2</v>
      </c>
      <c r="AZ122" s="22">
        <f>VLOOKUP($A122,tabCustoUnit[],COLUMN(CUSTO_GLOBAL[[#Headers],[Ausência por Acidente de Trabalho]])-2,0)*($G122-$H122)</f>
        <v>0.1174521875</v>
      </c>
      <c r="BA122" s="22">
        <f>VLOOKUP($A122,tabCustoUnit[],COLUMN(CUSTO_GLOBAL[[#Headers],[Férias, Adicional de Férias e 13º  com empregada em gozo de Licença Maternidade]])-2,0)*($G122-$H122)</f>
        <v>0.73081361111111109</v>
      </c>
      <c r="BB122" s="22">
        <f>VLOOKUP($A122,tabCustoUnit[],COLUMN(CUSTO_GLOBAL[[#Headers],[Incidência do Submódulo 2.1 sobre Ausências Legais]])-2,0)*($G122-$H122)</f>
        <v>2.5887354761625003</v>
      </c>
      <c r="BC122" s="22">
        <f>VLOOKUP($A122,tabCustoUnit[],COLUMN(CUSTO_GLOBAL[[#Headers],[Submódulo 4.1]])-2,0)*($G122-$H122)</f>
        <v>9.4372420268569428</v>
      </c>
      <c r="BD122" s="22">
        <f>VLOOKUP($A122,tabCustoUnit[],COLUMN(CUSTO_GLOBAL[[#Headers],[Intervalo para Repouso ou Alimentação]])-2,0)*($G122-$H122)</f>
        <v>0</v>
      </c>
      <c r="BE122" s="22">
        <f>VLOOKUP($A122,tabCustoUnit[],COLUMN(CUSTO_GLOBAL[[#Headers],[Submódulo 4.2]])-2,0)*($G122-$H122)</f>
        <v>0</v>
      </c>
      <c r="BF122" s="22">
        <f>VLOOKUP($A122,tabCustoUnit[],COLUMN(CUSTO_GLOBAL[[#Headers],[Suspensão Temporária do Contrato de Trabalho]])-2,0)*($G122-$H122)</f>
        <v>0</v>
      </c>
      <c r="BG122" s="22">
        <f>VLOOKUP($A122,tabCustoUnit[],COLUMN(CUSTO_GLOBAL[[#Headers],[Submódulo 4.3]])-2,0)*($G122-$H122)</f>
        <v>0</v>
      </c>
      <c r="BH122" s="22">
        <f>VLOOKUP($A122,tabCustoUnit[],COLUMN(CUSTO_GLOBAL[[#Headers],[MÓDULO 4 – CUSTO DE REPOSIÇÃO DO PROFISSIONAL AUSENTE]])-2,0)*($G122-$H122)</f>
        <v>9.4372420268569428</v>
      </c>
      <c r="BI122" s="22">
        <f>VLOOKUP($A122,tabCustoUnit[],COLUMN(CUSTO_GLOBAL[[#Headers],[Uniformes e EPIs]])-2,0)*($G122-$H122)</f>
        <v>62.806666666666665</v>
      </c>
      <c r="BJ122" s="22">
        <f>VLOOKUP($A122,tabCustoUnit[],COLUMN(CUSTO_GLOBAL[[#Headers],[Materiais de Consumo]])-2,0)*($G122-$H122)</f>
        <v>12.108481690426325</v>
      </c>
      <c r="BK122" s="22">
        <f>VLOOKUP($A122,tabCustoUnit[],COLUMN(CUSTO_GLOBAL[[#Headers],[Máquinas e Equipamentos (depreciação)]])-2,0)*($G122-$H122)</f>
        <v>21.998657016417809</v>
      </c>
      <c r="BL122" s="22">
        <f>VLOOKUP($A122,tabCustoUnit[],COLUMN(CUSTO_GLOBAL[[#Headers],[Produtos de Limpeza e Materiais de Higiene Pessoal]])-2,0)*($G122-$H122)</f>
        <v>235.31984072022155</v>
      </c>
      <c r="BM122" s="22">
        <f>VLOOKUP($A122,tabCustoUnit[],COLUMN(CUSTO_GLOBAL[[#Headers],[Outros (especificar)]])-2,0)*($G122-$H122)</f>
        <v>0</v>
      </c>
      <c r="BN122" s="22">
        <f>VLOOKUP($A122,tabCustoUnit[],COLUMN(CUSTO_GLOBAL[[#Headers],[MÓDULO 5 – INSUMOS DIVERSOS]])-2,0)*($G122-$H122)</f>
        <v>332.23364609373232</v>
      </c>
      <c r="BO122" s="22">
        <f>VLOOKUP($A122,tabCustoUnit[],COLUMN(CUSTO_GLOBAL[[#Headers],[TOTAL MÓDULOS 1+2+3+4+5]])-2,0)*($G122-$H122)</f>
        <v>2118.2084999148137</v>
      </c>
      <c r="BP122" s="22">
        <f>VLOOKUP($A122,tabCustoUnit[],COLUMN(CUSTO_GLOBAL[[#Headers],[Custos Indiretos]])-2,0)*($G122-$H122)</f>
        <v>189.64880140242613</v>
      </c>
      <c r="BQ122" s="22">
        <f>VLOOKUP($A122,tabCustoUnit[],COLUMN(CUSTO_GLOBAL[[#Headers],[Lucro]])-2,0)*($G122-$H122)</f>
        <v>159.30499317803796</v>
      </c>
      <c r="BR122" s="26">
        <f>VLOOKUP($A122,tabCustoUnit[],COLUMN(CUSTO_GLOBAL[[#Headers],[COFINS]])-2,0)</f>
        <v>8.6609686609686695E-2</v>
      </c>
      <c r="BS122" s="26">
        <f>VLOOKUP($A122,tabCustoUnit[],COLUMN(CUSTO_GLOBAL[[#Headers],[PIS]])-2,0)</f>
        <v>1.880341880341882E-2</v>
      </c>
      <c r="BT122" s="28">
        <f>VLOOKUP($A122,tabCustoUnit[],COLUMN(CUSTO_GLOBAL[[#Headers],[ISS]])-2,0)</f>
        <v>0.03</v>
      </c>
      <c r="BU122" s="26">
        <f>VLOOKUP($A122,tabCustoUnit[],COLUMN(CUSTO_GLOBAL[[#Headers],[ISS (Conversão Alíquota s/ fatura)]])-2,0)</f>
        <v>3.4188034188034219E-2</v>
      </c>
      <c r="BV122" s="26">
        <f>VLOOKUP($A122,tabCustoUnit[],COLUMN(CUSTO_GLOBAL[[#Headers],[Resumo de Alíquotas (PIS+CONFINS+ISS)]])-2,0)</f>
        <v>0.1225</v>
      </c>
      <c r="BW122" s="138">
        <f>VLOOKUP($A122,tabCustoUnit[],COLUMN(CUSTO_GLOBAL[[#Headers],[PIS + COFINS + ISS (Total Conversão  Alíquota s/ Fatura)]])-2,0)</f>
        <v>0.13960113960113973</v>
      </c>
      <c r="BX122" s="22">
        <f>VLOOKUP($A122,tabCustoUnit[],COLUMN(CUSTO_GLOBAL[[#Headers],[Valor dos Tributos (ISS, PIS, CONFINS)]])-2,0)*($G122-$H122)</f>
        <v>344.41866789250349</v>
      </c>
      <c r="BY122" s="22">
        <f>VLOOKUP($A122,tabCustoUnit[],COLUMN(CUSTO_GLOBAL[[#Headers],[MÓDULO 6 – CUSTOS INDIRETOS, TRIBUTOS E LUCRO]])-2,0)*($G122-$H122)</f>
        <v>693.37246247296753</v>
      </c>
      <c r="BZ122" s="22">
        <f>VLOOKUP($A122,tabCustoUnit[],COLUMN(CUSTO_GLOBAL[[#Headers],[CUSTO TOTAL MENSAL]])-2,0)*($G122-$H122)</f>
        <v>2811.5809623877813</v>
      </c>
      <c r="CA122" s="22">
        <f>CUSTO_GLOBAL[[#This Row],[CUSTO TOTAL MENSAL]]*12</f>
        <v>33738.971548653375</v>
      </c>
      <c r="CB122" s="24">
        <f>VLOOKUP($A122,tabCustoUnit[],COLUMN(CUSTO_GLOBAL[[#Headers],[ANO DA CCT]])-2,0)</f>
        <v>45658</v>
      </c>
      <c r="CC122" s="25" t="str">
        <f>VLOOKUP($A122,tabCustoUnit[],COLUMN(CUSTO_GLOBAL[[#Headers],[Nº DE PEDIDO DA CCT]])-2,0)</f>
        <v>-</v>
      </c>
      <c r="CD122" s="25" t="str">
        <f>VLOOKUP($A122,tabCustoUnit[],COLUMN(CUSTO_GLOBAL[[#Headers],[TERMO ADITIVO  ALTERAÇÃO DA CCT]])-2,0)</f>
        <v>-</v>
      </c>
      <c r="CF122" s="22"/>
      <c r="CG122" s="22"/>
    </row>
    <row r="123" spans="1:85" x14ac:dyDescent="0.25">
      <c r="A123" s="20" t="s">
        <v>1460</v>
      </c>
      <c r="B123" t="s">
        <v>112</v>
      </c>
      <c r="C123" t="s">
        <v>1247</v>
      </c>
      <c r="D123" t="s">
        <v>1023</v>
      </c>
      <c r="E123" s="20" t="s">
        <v>9</v>
      </c>
      <c r="F123" s="20" t="s">
        <v>10</v>
      </c>
      <c r="G123" s="20">
        <v>1</v>
      </c>
      <c r="H123" s="20">
        <v>0</v>
      </c>
      <c r="I123" s="21">
        <f>VLOOKUP($A123,tabCustoUnit[],COLUMN(CUSTO_GLOBAL[[#Headers],[Salário Base]])-2,0)*($G123-$H123)</f>
        <v>544.17999999999995</v>
      </c>
      <c r="J123" s="21">
        <f>VLOOKUP($A123,tabCustoUnit[],COLUMN(CUSTO_GLOBAL[[#Headers],[Adicional Periculosidade]])-2,0)*($G123-$H123)</f>
        <v>0</v>
      </c>
      <c r="K123" s="21">
        <f>VLOOKUP($A123,tabCustoUnit[],COLUMN(CUSTO_GLOBAL[[#Headers],[Adicional Insalubridade]])-2,0)*($G123-$H123)</f>
        <v>0</v>
      </c>
      <c r="L123" s="21">
        <f>VLOOKUP($A123,tabCustoUnit[],COLUMN(CUSTO_GLOBAL[[#Headers],[Adicional Noturno]])-2,0)*($G123-$H123)</f>
        <v>0</v>
      </c>
      <c r="M123" s="21">
        <f>VLOOKUP($A123,tabCustoUnit[],COLUMN(CUSTO_GLOBAL[[#Headers],[Adicional Motorista II (Gratificação)]])-2,0)*($G123-$H123)</f>
        <v>0</v>
      </c>
      <c r="N123" s="21">
        <f>VLOOKUP($A123,tabCustoUnit[],COLUMN(CUSTO_GLOBAL[[#Headers],[Adicional de Sobreaviso]])-2,0)*($G123-$H123)</f>
        <v>0</v>
      </c>
      <c r="O123" s="21">
        <f>VLOOKUP($A123,tabCustoUnit[],COLUMN(CUSTO_GLOBAL[[#Headers],[Horas Extras TI]])-2,0)*($G123-$H123)</f>
        <v>0</v>
      </c>
      <c r="P123" s="21">
        <f>VLOOKUP($A123,tabCustoUnit[],COLUMN(CUSTO_GLOBAL[[#Headers],[Adicional de Acúmulo de função]])-2,0)*($G123-$H123)</f>
        <v>19.590499999999999</v>
      </c>
      <c r="Q123" s="21">
        <f>VLOOKUP($A123,tabCustoUnit[],COLUMN(CUSTO_GLOBAL[[#Headers],[MODULO 1 - REMUNERAÇÃO ]])-2,0)*($G123-$H123)</f>
        <v>563.77049999999997</v>
      </c>
      <c r="R123" s="21">
        <f>VLOOKUP($A123,tabCustoUnit[],COLUMN(CUSTO_GLOBAL[[#Headers],[INSS]])-2,0)*($G123-$H123)</f>
        <v>112.75409999999999</v>
      </c>
      <c r="S123" s="21">
        <f>VLOOKUP($A123,tabCustoUnit[],COLUMN(CUSTO_GLOBAL[[#Headers],[SESI OU SESC]])-2,0)*($G123-$H123)</f>
        <v>8.4565574999999988</v>
      </c>
      <c r="T123" s="21">
        <f>VLOOKUP($A123,tabCustoUnit[],COLUMN(CUSTO_GLOBAL[[#Headers],[SENAI OU SENAC]])-2,0)*($G123-$H123)</f>
        <v>5.6377049999999995</v>
      </c>
      <c r="U123" s="21">
        <f>VLOOKUP($A123,tabCustoUnit[],COLUMN(CUSTO_GLOBAL[[#Headers],[INCRA]])-2,0)*($G123-$H123)</f>
        <v>1.1275409999999999</v>
      </c>
      <c r="V123" s="21">
        <f>VLOOKUP($A123,tabCustoUnit[],COLUMN(CUSTO_GLOBAL[[#Headers],[Salário Educação]])-2,0)*($G123-$H123)</f>
        <v>14.094262499999999</v>
      </c>
      <c r="W123" s="21">
        <f>VLOOKUP($A123,tabCustoUnit[],COLUMN(CUSTO_GLOBAL[[#Headers],[FGTS]])-2,0)*($G123-$H123)</f>
        <v>45.101639999999996</v>
      </c>
      <c r="X123" s="21">
        <f>VLOOKUP($A123,tabCustoUnit[],COLUMN(CUSTO_GLOBAL[[#Headers],[RAT Ajustado]])-2,0)*($G123-$H123)</f>
        <v>22.550819999999998</v>
      </c>
      <c r="Y123" s="21">
        <f>VLOOKUP($A123,tabCustoUnit[],COLUMN(CUSTO_GLOBAL[[#Headers],[SEBRAE]])-2,0)*($G123-$H123)</f>
        <v>3.3826229999999997</v>
      </c>
      <c r="Z123" s="21">
        <f>VLOOKUP($A123,tabCustoUnit[],COLUMN(CUSTO_GLOBAL[[#Headers],[Submódulo 2.1]])-2,0)*($G123-$H123)</f>
        <v>213.10524899999996</v>
      </c>
      <c r="AA123" s="21">
        <f>VLOOKUP($A123,tabCustoUnit[],COLUMN(CUSTO_GLOBAL[[#Headers],[13º salário (titular)]])-2,0)*($G123-$H123)</f>
        <v>46.980874999999997</v>
      </c>
      <c r="AB123" s="21">
        <f>VLOOKUP($A123,tabCustoUnit[],COLUMN(CUSTO_GLOBAL[[#Headers],[Férias e Adicional de Férias (titular)]])-2,0)*($G123-$H123)</f>
        <v>62.641166666666663</v>
      </c>
      <c r="AC123" s="21">
        <f>VLOOKUP($A123,tabCustoUnit[],COLUMN(CUSTO_GLOBAL[[#Headers],[Incidência do Submódulo 2.1 sobre 13º Salário, Férias e Adicional de Férias]])-2,0)*($G123-$H123)</f>
        <v>41.437131749999992</v>
      </c>
      <c r="AD123" s="21">
        <f>VLOOKUP($A123,tabCustoUnit[],COLUMN(CUSTO_GLOBAL[[#Headers],[Submódulo 2.2]])-2,0)*($G123-$H123)</f>
        <v>151.05917341666665</v>
      </c>
      <c r="AE123" s="22">
        <f>VLOOKUP($A123,tabCustoUnit[],COLUMN(CUSTO_GLOBAL[[#Headers],[Vale - Transporte (Descontada parcela do empregado)]])-2,0)*($G123-$H123)</f>
        <v>223.3492</v>
      </c>
      <c r="AF123" s="22">
        <f>VLOOKUP($A123,tabCustoUnit[],COLUMN(CUSTO_GLOBAL[[#Headers],[Vale - Alimentação (Descontada parcela do empregado)]])-2,0)*($G123-$H123)</f>
        <v>582</v>
      </c>
      <c r="AG123" s="22">
        <f>VLOOKUP($A123,tabCustoUnit[],COLUMN(CUSTO_GLOBAL[[#Headers],[Cesta Básica]])-2,0)*($G123-$H123)</f>
        <v>0</v>
      </c>
      <c r="AH123" s="22">
        <f>VLOOKUP($A123,tabCustoUnit[],COLUMN(CUSTO_GLOBAL[[#Headers],[PAF]])-2,0)*($G123-$H123)</f>
        <v>0</v>
      </c>
      <c r="AI123" s="22">
        <f>VLOOKUP($A123,tabCustoUnit[],COLUMN(CUSTO_GLOBAL[[#Headers],[PQM]])-2,0)*($G123-$H123)</f>
        <v>0</v>
      </c>
      <c r="AJ123" s="22">
        <v>0</v>
      </c>
      <c r="AK123" s="22">
        <f>VLOOKUP($A123,tabCustoUnit[],COLUMN(CUSTO_GLOBAL[[#Headers],[Seguro de Vida]])-2,0)*($G123-$H123)</f>
        <v>3.36</v>
      </c>
      <c r="AL123" s="22">
        <f>VLOOKUP($A123,tabCustoUnit[],COLUMN(CUSTO_GLOBAL[[#Headers],[Despesas de Viagem]])-2,0)*($G123-$H123)</f>
        <v>0</v>
      </c>
      <c r="AM123" s="22">
        <f>VLOOKUP($A123,tabCustoUnit[],COLUMN(CUSTO_GLOBAL[[#Headers],[Submódulo 2.3]])-2,0)*($G123-$H123)</f>
        <v>808.70920000000001</v>
      </c>
      <c r="AN123" s="22">
        <f>VLOOKUP($A123,tabCustoUnit[],COLUMN(CUSTO_GLOBAL[[#Headers],[MÓDULO 2 - Total Encargos e Benefícios mensais e diários]])-2,0)*($G123-$H123)</f>
        <v>1172.8736224166666</v>
      </c>
      <c r="AO123" s="22">
        <f>VLOOKUP($A123,tabCustoUnit[],COLUMN(CUSTO_GLOBAL[[#Headers],[Aviso Prévio Indenizado (API) e Reflexo do Aviso Prévio Indenizado]])-2,0)*($G123-$H123)</f>
        <v>3.9530273735532404</v>
      </c>
      <c r="AP123" s="22">
        <f>VLOOKUP($A123,tabCustoUnit[],COLUMN(CUSTO_GLOBAL[[#Headers],[Incidência do FGTS sobre API e Reflexo do API]])-2,0)*($G123-$H123)</f>
        <v>0.31624218988425928</v>
      </c>
      <c r="AQ123" s="22">
        <f>VLOOKUP($A123,tabCustoUnit[],COLUMN(CUSTO_GLOBAL[[#Headers],[Multa Rescisória do FGTS sobre o Aviso Prévio Indenizado]])-2,0)*($G123-$H123)</f>
        <v>0.12649687595370371</v>
      </c>
      <c r="AR123" s="22">
        <f>VLOOKUP($A123,tabCustoUnit[],COLUMN(CUSTO_GLOBAL[[#Headers],[Aviso Prévio Trabalhado - APT]])-2,0)*($G123-$H123)</f>
        <v>1.9731967500000003</v>
      </c>
      <c r="AS123" s="22">
        <f>VLOOKUP($A123,tabCustoUnit[],COLUMN(CUSTO_GLOBAL[[#Headers],[Incidência dos encargos do submódulo 2.1 sobre Aviso Prévio Trabalhado]])-2,0)*($G123-$H123)</f>
        <v>0.74586837150000018</v>
      </c>
      <c r="AT123" s="22">
        <f>VLOOKUP($A123,tabCustoUnit[],COLUMN(CUSTO_GLOBAL[[#Headers],[Multa Rescisória do FGTS]])-2,0)*($G123-$H123)</f>
        <v>17.238849066666663</v>
      </c>
      <c r="AU123" s="22">
        <f>VLOOKUP($A123,tabCustoUnit[],COLUMN(CUSTO_GLOBAL[[#Headers],[Indenização Adicional (Art. 9º da Lei nº 7.238/84)]])-2,0)*($G123-$H123)</f>
        <v>0.46980875</v>
      </c>
      <c r="AV123" s="22">
        <f>VLOOKUP($A123,tabCustoUnit[],COLUMN(CUSTO_GLOBAL[[#Headers],[MÓDULO 3 – PROVISÃO PARA RESCISÃO]])-2,0)*($G123-$H123)</f>
        <v>24.823489377557866</v>
      </c>
      <c r="AW123" s="22">
        <f>VLOOKUP($A123,tabCustoUnit[],COLUMN(CUSTO_GLOBAL[[#Headers],[Ausência por Doença]])-2,0)*($G123-$H123)</f>
        <v>4.7607286666666662</v>
      </c>
      <c r="AX123" s="22">
        <f>VLOOKUP($A123,tabCustoUnit[],COLUMN(CUSTO_GLOBAL[[#Headers],[Ausências Legais]])-2,0)*($G123-$H123)</f>
        <v>1.1432012916666665</v>
      </c>
      <c r="AY123" s="22">
        <f>VLOOKUP($A123,tabCustoUnit[],COLUMN(CUSTO_GLOBAL[[#Headers],[Licença Paternidade]])-2,0)*($G123-$H123)</f>
        <v>9.6310793749999998E-2</v>
      </c>
      <c r="AZ123" s="22">
        <f>VLOOKUP($A123,tabCustoUnit[],COLUMN(CUSTO_GLOBAL[[#Headers],[Ausência por Acidente de Trabalho]])-2,0)*($G123-$H123)</f>
        <v>0.1174521875</v>
      </c>
      <c r="BA123" s="22">
        <f>VLOOKUP($A123,tabCustoUnit[],COLUMN(CUSTO_GLOBAL[[#Headers],[Férias, Adicional de Férias e 13º  com empregada em gozo de Licença Maternidade]])-2,0)*($G123-$H123)</f>
        <v>0.73081361111111109</v>
      </c>
      <c r="BB123" s="22">
        <f>VLOOKUP($A123,tabCustoUnit[],COLUMN(CUSTO_GLOBAL[[#Headers],[Incidência do Submódulo 2.1 sobre Ausências Legais]])-2,0)*($G123-$H123)</f>
        <v>2.5887354761625003</v>
      </c>
      <c r="BC123" s="22">
        <f>VLOOKUP($A123,tabCustoUnit[],COLUMN(CUSTO_GLOBAL[[#Headers],[Submódulo 4.1]])-2,0)*($G123-$H123)</f>
        <v>9.4372420268569428</v>
      </c>
      <c r="BD123" s="22">
        <f>VLOOKUP($A123,tabCustoUnit[],COLUMN(CUSTO_GLOBAL[[#Headers],[Intervalo para Repouso ou Alimentação]])-2,0)*($G123-$H123)</f>
        <v>0</v>
      </c>
      <c r="BE123" s="22">
        <f>VLOOKUP($A123,tabCustoUnit[],COLUMN(CUSTO_GLOBAL[[#Headers],[Submódulo 4.2]])-2,0)*($G123-$H123)</f>
        <v>0</v>
      </c>
      <c r="BF123" s="22">
        <f>VLOOKUP($A123,tabCustoUnit[],COLUMN(CUSTO_GLOBAL[[#Headers],[Suspensão Temporária do Contrato de Trabalho]])-2,0)*($G123-$H123)</f>
        <v>0</v>
      </c>
      <c r="BG123" s="22">
        <f>VLOOKUP($A123,tabCustoUnit[],COLUMN(CUSTO_GLOBAL[[#Headers],[Submódulo 4.3]])-2,0)*($G123-$H123)</f>
        <v>0</v>
      </c>
      <c r="BH123" s="22">
        <f>VLOOKUP($A123,tabCustoUnit[],COLUMN(CUSTO_GLOBAL[[#Headers],[MÓDULO 4 – CUSTO DE REPOSIÇÃO DO PROFISSIONAL AUSENTE]])-2,0)*($G123-$H123)</f>
        <v>9.4372420268569428</v>
      </c>
      <c r="BI123" s="22">
        <f>VLOOKUP($A123,tabCustoUnit[],COLUMN(CUSTO_GLOBAL[[#Headers],[Uniformes e EPIs]])-2,0)*($G123-$H123)</f>
        <v>62.806666666666665</v>
      </c>
      <c r="BJ123" s="22">
        <f>VLOOKUP($A123,tabCustoUnit[],COLUMN(CUSTO_GLOBAL[[#Headers],[Materiais de Consumo]])-2,0)*($G123-$H123)</f>
        <v>12.108481690426325</v>
      </c>
      <c r="BK123" s="22">
        <f>VLOOKUP($A123,tabCustoUnit[],COLUMN(CUSTO_GLOBAL[[#Headers],[Máquinas e Equipamentos (depreciação)]])-2,0)*($G123-$H123)</f>
        <v>21.998657016417809</v>
      </c>
      <c r="BL123" s="22">
        <f>VLOOKUP($A123,tabCustoUnit[],COLUMN(CUSTO_GLOBAL[[#Headers],[Produtos de Limpeza e Materiais de Higiene Pessoal]])-2,0)*($G123-$H123)</f>
        <v>235.31984072022155</v>
      </c>
      <c r="BM123" s="22">
        <f>VLOOKUP($A123,tabCustoUnit[],COLUMN(CUSTO_GLOBAL[[#Headers],[Outros (especificar)]])-2,0)*($G123-$H123)</f>
        <v>0</v>
      </c>
      <c r="BN123" s="22">
        <f>VLOOKUP($A123,tabCustoUnit[],COLUMN(CUSTO_GLOBAL[[#Headers],[MÓDULO 5 – INSUMOS DIVERSOS]])-2,0)*($G123-$H123)</f>
        <v>332.23364609373232</v>
      </c>
      <c r="BO123" s="22">
        <f>VLOOKUP($A123,tabCustoUnit[],COLUMN(CUSTO_GLOBAL[[#Headers],[TOTAL MÓDULOS 1+2+3+4+5]])-2,0)*($G123-$H123)</f>
        <v>2103.1384999148136</v>
      </c>
      <c r="BP123" s="22">
        <f>VLOOKUP($A123,tabCustoUnit[],COLUMN(CUSTO_GLOBAL[[#Headers],[Custos Indiretos]])-2,0)*($G123-$H123)</f>
        <v>189.64880140242613</v>
      </c>
      <c r="BQ123" s="22">
        <f>VLOOKUP($A123,tabCustoUnit[],COLUMN(CUSTO_GLOBAL[[#Headers],[Lucro]])-2,0)*($G123-$H123)</f>
        <v>159.30499317803796</v>
      </c>
      <c r="BR123" s="26">
        <f>VLOOKUP($A123,tabCustoUnit[],COLUMN(CUSTO_GLOBAL[[#Headers],[COFINS]])-2,0)</f>
        <v>8.6609686609686695E-2</v>
      </c>
      <c r="BS123" s="26">
        <f>VLOOKUP($A123,tabCustoUnit[],COLUMN(CUSTO_GLOBAL[[#Headers],[PIS]])-2,0)</f>
        <v>1.880341880341882E-2</v>
      </c>
      <c r="BT123" s="28">
        <f>VLOOKUP($A123,tabCustoUnit[],COLUMN(CUSTO_GLOBAL[[#Headers],[ISS]])-2,0)</f>
        <v>0.03</v>
      </c>
      <c r="BU123" s="26">
        <f>VLOOKUP($A123,tabCustoUnit[],COLUMN(CUSTO_GLOBAL[[#Headers],[ISS (Conversão Alíquota s/ fatura)]])-2,0)</f>
        <v>3.4188034188034219E-2</v>
      </c>
      <c r="BV123" s="26">
        <f>VLOOKUP($A123,tabCustoUnit[],COLUMN(CUSTO_GLOBAL[[#Headers],[Resumo de Alíquotas (PIS+CONFINS+ISS)]])-2,0)</f>
        <v>0.1225</v>
      </c>
      <c r="BW123" s="138">
        <f>VLOOKUP($A123,tabCustoUnit[],COLUMN(CUSTO_GLOBAL[[#Headers],[PIS + COFINS + ISS (Total Conversão  Alíquota s/ Fatura)]])-2,0)</f>
        <v>0.13960113960113973</v>
      </c>
      <c r="BX123" s="22">
        <f>VLOOKUP($A123,tabCustoUnit[],COLUMN(CUSTO_GLOBAL[[#Headers],[Valor dos Tributos (ISS, PIS, CONFINS)]])-2,0)*($G123-$H123)</f>
        <v>342.31487871871428</v>
      </c>
      <c r="BY123" s="22">
        <f>VLOOKUP($A123,tabCustoUnit[],COLUMN(CUSTO_GLOBAL[[#Headers],[MÓDULO 6 – CUSTOS INDIRETOS, TRIBUTOS E LUCRO]])-2,0)*($G123-$H123)</f>
        <v>691.26867329917832</v>
      </c>
      <c r="BZ123" s="22">
        <f>VLOOKUP($A123,tabCustoUnit[],COLUMN(CUSTO_GLOBAL[[#Headers],[CUSTO TOTAL MENSAL]])-2,0)*($G123-$H123)</f>
        <v>2794.4071732139919</v>
      </c>
      <c r="CA123" s="22">
        <f>CUSTO_GLOBAL[[#This Row],[CUSTO TOTAL MENSAL]]*12</f>
        <v>33532.886078567899</v>
      </c>
      <c r="CB123" s="24">
        <f>VLOOKUP($A123,tabCustoUnit[],COLUMN(CUSTO_GLOBAL[[#Headers],[ANO DA CCT]])-2,0)</f>
        <v>45658</v>
      </c>
      <c r="CC123" s="25" t="str">
        <f>VLOOKUP($A123,tabCustoUnit[],COLUMN(CUSTO_GLOBAL[[#Headers],[Nº DE PEDIDO DA CCT]])-2,0)</f>
        <v>-</v>
      </c>
      <c r="CD123" s="25" t="str">
        <f>VLOOKUP($A123,tabCustoUnit[],COLUMN(CUSTO_GLOBAL[[#Headers],[TERMO ADITIVO  ALTERAÇÃO DA CCT]])-2,0)</f>
        <v>-</v>
      </c>
      <c r="CF123" s="22"/>
      <c r="CG123" s="22"/>
    </row>
    <row r="124" spans="1:85" x14ac:dyDescent="0.25">
      <c r="A124" s="20" t="s">
        <v>1273</v>
      </c>
      <c r="B124" t="s">
        <v>113</v>
      </c>
      <c r="C124" t="s">
        <v>1247</v>
      </c>
      <c r="D124" t="s">
        <v>992</v>
      </c>
      <c r="E124" s="20" t="s">
        <v>9</v>
      </c>
      <c r="F124" s="20" t="s">
        <v>10</v>
      </c>
      <c r="G124" s="20">
        <v>1</v>
      </c>
      <c r="H124" s="20">
        <v>0</v>
      </c>
      <c r="I124" s="21">
        <f>VLOOKUP($A124,tabCustoUnit[],COLUMN(CUSTO_GLOBAL[[#Headers],[Salário Base]])-2,0)*($G124-$H124)</f>
        <v>544.17999999999995</v>
      </c>
      <c r="J124" s="21">
        <f>VLOOKUP($A124,tabCustoUnit[],COLUMN(CUSTO_GLOBAL[[#Headers],[Adicional Periculosidade]])-2,0)*($G124-$H124)</f>
        <v>0</v>
      </c>
      <c r="K124" s="21">
        <f>VLOOKUP($A124,tabCustoUnit[],COLUMN(CUSTO_GLOBAL[[#Headers],[Adicional Insalubridade]])-2,0)*($G124-$H124)</f>
        <v>0</v>
      </c>
      <c r="L124" s="21">
        <f>VLOOKUP($A124,tabCustoUnit[],COLUMN(CUSTO_GLOBAL[[#Headers],[Adicional Noturno]])-2,0)*($G124-$H124)</f>
        <v>0</v>
      </c>
      <c r="M124" s="21">
        <f>VLOOKUP($A124,tabCustoUnit[],COLUMN(CUSTO_GLOBAL[[#Headers],[Adicional Motorista II (Gratificação)]])-2,0)*($G124-$H124)</f>
        <v>0</v>
      </c>
      <c r="N124" s="21">
        <f>VLOOKUP($A124,tabCustoUnit[],COLUMN(CUSTO_GLOBAL[[#Headers],[Adicional de Sobreaviso]])-2,0)*($G124-$H124)</f>
        <v>0</v>
      </c>
      <c r="O124" s="21">
        <f>VLOOKUP($A124,tabCustoUnit[],COLUMN(CUSTO_GLOBAL[[#Headers],[Horas Extras TI]])-2,0)*($G124-$H124)</f>
        <v>0</v>
      </c>
      <c r="P124" s="21">
        <f>VLOOKUP($A124,tabCustoUnit[],COLUMN(CUSTO_GLOBAL[[#Headers],[Adicional de Acúmulo de função]])-2,0)*($G124-$H124)</f>
        <v>19.590499999999999</v>
      </c>
      <c r="Q124" s="21">
        <f>VLOOKUP($A124,tabCustoUnit[],COLUMN(CUSTO_GLOBAL[[#Headers],[MODULO 1 - REMUNERAÇÃO ]])-2,0)*($G124-$H124)</f>
        <v>563.77049999999997</v>
      </c>
      <c r="R124" s="21">
        <f>VLOOKUP($A124,tabCustoUnit[],COLUMN(CUSTO_GLOBAL[[#Headers],[INSS]])-2,0)*($G124-$H124)</f>
        <v>112.75409999999999</v>
      </c>
      <c r="S124" s="21">
        <f>VLOOKUP($A124,tabCustoUnit[],COLUMN(CUSTO_GLOBAL[[#Headers],[SESI OU SESC]])-2,0)*($G124-$H124)</f>
        <v>8.4565574999999988</v>
      </c>
      <c r="T124" s="21">
        <f>VLOOKUP($A124,tabCustoUnit[],COLUMN(CUSTO_GLOBAL[[#Headers],[SENAI OU SENAC]])-2,0)*($G124-$H124)</f>
        <v>5.6377049999999995</v>
      </c>
      <c r="U124" s="21">
        <f>VLOOKUP($A124,tabCustoUnit[],COLUMN(CUSTO_GLOBAL[[#Headers],[INCRA]])-2,0)*($G124-$H124)</f>
        <v>1.1275409999999999</v>
      </c>
      <c r="V124" s="21">
        <f>VLOOKUP($A124,tabCustoUnit[],COLUMN(CUSTO_GLOBAL[[#Headers],[Salário Educação]])-2,0)*($G124-$H124)</f>
        <v>14.094262499999999</v>
      </c>
      <c r="W124" s="21">
        <f>VLOOKUP($A124,tabCustoUnit[],COLUMN(CUSTO_GLOBAL[[#Headers],[FGTS]])-2,0)*($G124-$H124)</f>
        <v>45.101639999999996</v>
      </c>
      <c r="X124" s="21">
        <f>VLOOKUP($A124,tabCustoUnit[],COLUMN(CUSTO_GLOBAL[[#Headers],[RAT Ajustado]])-2,0)*($G124-$H124)</f>
        <v>22.550819999999998</v>
      </c>
      <c r="Y124" s="21">
        <f>VLOOKUP($A124,tabCustoUnit[],COLUMN(CUSTO_GLOBAL[[#Headers],[SEBRAE]])-2,0)*($G124-$H124)</f>
        <v>3.3826229999999997</v>
      </c>
      <c r="Z124" s="21">
        <f>VLOOKUP($A124,tabCustoUnit[],COLUMN(CUSTO_GLOBAL[[#Headers],[Submódulo 2.1]])-2,0)*($G124-$H124)</f>
        <v>213.10524899999996</v>
      </c>
      <c r="AA124" s="21">
        <f>VLOOKUP($A124,tabCustoUnit[],COLUMN(CUSTO_GLOBAL[[#Headers],[13º salário (titular)]])-2,0)*($G124-$H124)</f>
        <v>46.980874999999997</v>
      </c>
      <c r="AB124" s="21">
        <f>VLOOKUP($A124,tabCustoUnit[],COLUMN(CUSTO_GLOBAL[[#Headers],[Férias e Adicional de Férias (titular)]])-2,0)*($G124-$H124)</f>
        <v>62.641166666666663</v>
      </c>
      <c r="AC124" s="21">
        <f>VLOOKUP($A124,tabCustoUnit[],COLUMN(CUSTO_GLOBAL[[#Headers],[Incidência do Submódulo 2.1 sobre 13º Salário, Férias e Adicional de Férias]])-2,0)*($G124-$H124)</f>
        <v>41.437131749999992</v>
      </c>
      <c r="AD124" s="21">
        <f>VLOOKUP($A124,tabCustoUnit[],COLUMN(CUSTO_GLOBAL[[#Headers],[Submódulo 2.2]])-2,0)*($G124-$H124)</f>
        <v>151.05917341666665</v>
      </c>
      <c r="AE124" s="22">
        <f>VLOOKUP($A124,tabCustoUnit[],COLUMN(CUSTO_GLOBAL[[#Headers],[Vale - Transporte (Descontada parcela do empregado)]])-2,0)*($G124-$H124)</f>
        <v>223.3492</v>
      </c>
      <c r="AF124" s="22">
        <f>VLOOKUP($A124,tabCustoUnit[],COLUMN(CUSTO_GLOBAL[[#Headers],[Vale - Alimentação (Descontada parcela do empregado)]])-2,0)*($G124-$H124)</f>
        <v>0</v>
      </c>
      <c r="AG124" s="22">
        <f>VLOOKUP($A124,tabCustoUnit[],COLUMN(CUSTO_GLOBAL[[#Headers],[Cesta Básica]])-2,0)*($G124-$H124)</f>
        <v>387.79</v>
      </c>
      <c r="AH124" s="22">
        <f>VLOOKUP($A124,tabCustoUnit[],COLUMN(CUSTO_GLOBAL[[#Headers],[PAF]])-2,0)*($G124-$H124)</f>
        <v>42.97</v>
      </c>
      <c r="AI124" s="22">
        <f>VLOOKUP($A124,tabCustoUnit[],COLUMN(CUSTO_GLOBAL[[#Headers],[PQM]])-2,0)*($G124-$H124)</f>
        <v>0</v>
      </c>
      <c r="AJ124" s="22">
        <v>0</v>
      </c>
      <c r="AK124" s="22">
        <f>VLOOKUP($A124,tabCustoUnit[],COLUMN(CUSTO_GLOBAL[[#Headers],[Seguro de Vida]])-2,0)*($G124-$H124)</f>
        <v>3.36</v>
      </c>
      <c r="AL124" s="22">
        <f>VLOOKUP($A124,tabCustoUnit[],COLUMN(CUSTO_GLOBAL[[#Headers],[Despesas de Viagem]])-2,0)*($G124-$H124)</f>
        <v>0</v>
      </c>
      <c r="AM124" s="22">
        <f>VLOOKUP($A124,tabCustoUnit[],COLUMN(CUSTO_GLOBAL[[#Headers],[Submódulo 2.3]])-2,0)*($G124-$H124)</f>
        <v>657.46920000000011</v>
      </c>
      <c r="AN124" s="22">
        <f>VLOOKUP($A124,tabCustoUnit[],COLUMN(CUSTO_GLOBAL[[#Headers],[MÓDULO 2 - Total Encargos e Benefícios mensais e diários]])-2,0)*($G124-$H124)</f>
        <v>1021.6336224166668</v>
      </c>
      <c r="AO124" s="22">
        <f>VLOOKUP($A124,tabCustoUnit[],COLUMN(CUSTO_GLOBAL[[#Headers],[Aviso Prévio Indenizado (API) e Reflexo do Aviso Prévio Indenizado]])-2,0)*($G124-$H124)</f>
        <v>3.9530273735532404</v>
      </c>
      <c r="AP124" s="22">
        <f>VLOOKUP($A124,tabCustoUnit[],COLUMN(CUSTO_GLOBAL[[#Headers],[Incidência do FGTS sobre API e Reflexo do API]])-2,0)*($G124-$H124)</f>
        <v>0.31624218988425928</v>
      </c>
      <c r="AQ124" s="22">
        <f>VLOOKUP($A124,tabCustoUnit[],COLUMN(CUSTO_GLOBAL[[#Headers],[Multa Rescisória do FGTS sobre o Aviso Prévio Indenizado]])-2,0)*($G124-$H124)</f>
        <v>0.12649687595370371</v>
      </c>
      <c r="AR124" s="22">
        <f>VLOOKUP($A124,tabCustoUnit[],COLUMN(CUSTO_GLOBAL[[#Headers],[Aviso Prévio Trabalhado - APT]])-2,0)*($G124-$H124)</f>
        <v>1.9731967500000003</v>
      </c>
      <c r="AS124" s="22">
        <f>VLOOKUP($A124,tabCustoUnit[],COLUMN(CUSTO_GLOBAL[[#Headers],[Incidência dos encargos do submódulo 2.1 sobre Aviso Prévio Trabalhado]])-2,0)*($G124-$H124)</f>
        <v>0.74586837150000018</v>
      </c>
      <c r="AT124" s="22">
        <f>VLOOKUP($A124,tabCustoUnit[],COLUMN(CUSTO_GLOBAL[[#Headers],[Multa Rescisória do FGTS]])-2,0)*($G124-$H124)</f>
        <v>17.238849066666663</v>
      </c>
      <c r="AU124" s="22">
        <f>VLOOKUP($A124,tabCustoUnit[],COLUMN(CUSTO_GLOBAL[[#Headers],[Indenização Adicional (Art. 9º da Lei nº 7.238/84)]])-2,0)*($G124-$H124)</f>
        <v>0.46980875</v>
      </c>
      <c r="AV124" s="22">
        <f>VLOOKUP($A124,tabCustoUnit[],COLUMN(CUSTO_GLOBAL[[#Headers],[MÓDULO 3 – PROVISÃO PARA RESCISÃO]])-2,0)*($G124-$H124)</f>
        <v>24.823489377557866</v>
      </c>
      <c r="AW124" s="22">
        <f>VLOOKUP($A124,tabCustoUnit[],COLUMN(CUSTO_GLOBAL[[#Headers],[Ausência por Doença]])-2,0)*($G124-$H124)</f>
        <v>4.7607286666666662</v>
      </c>
      <c r="AX124" s="22">
        <f>VLOOKUP($A124,tabCustoUnit[],COLUMN(CUSTO_GLOBAL[[#Headers],[Ausências Legais]])-2,0)*($G124-$H124)</f>
        <v>1.1432012916666665</v>
      </c>
      <c r="AY124" s="22">
        <f>VLOOKUP($A124,tabCustoUnit[],COLUMN(CUSTO_GLOBAL[[#Headers],[Licença Paternidade]])-2,0)*($G124-$H124)</f>
        <v>9.6310793749999998E-2</v>
      </c>
      <c r="AZ124" s="22">
        <f>VLOOKUP($A124,tabCustoUnit[],COLUMN(CUSTO_GLOBAL[[#Headers],[Ausência por Acidente de Trabalho]])-2,0)*($G124-$H124)</f>
        <v>0.1174521875</v>
      </c>
      <c r="BA124" s="22">
        <f>VLOOKUP($A124,tabCustoUnit[],COLUMN(CUSTO_GLOBAL[[#Headers],[Férias, Adicional de Férias e 13º  com empregada em gozo de Licença Maternidade]])-2,0)*($G124-$H124)</f>
        <v>0.73081361111111109</v>
      </c>
      <c r="BB124" s="22">
        <f>VLOOKUP($A124,tabCustoUnit[],COLUMN(CUSTO_GLOBAL[[#Headers],[Incidência do Submódulo 2.1 sobre Ausências Legais]])-2,0)*($G124-$H124)</f>
        <v>2.5887354761625003</v>
      </c>
      <c r="BC124" s="22">
        <f>VLOOKUP($A124,tabCustoUnit[],COLUMN(CUSTO_GLOBAL[[#Headers],[Submódulo 4.1]])-2,0)*($G124-$H124)</f>
        <v>9.4372420268569428</v>
      </c>
      <c r="BD124" s="22">
        <f>VLOOKUP($A124,tabCustoUnit[],COLUMN(CUSTO_GLOBAL[[#Headers],[Intervalo para Repouso ou Alimentação]])-2,0)*($G124-$H124)</f>
        <v>0</v>
      </c>
      <c r="BE124" s="22">
        <f>VLOOKUP($A124,tabCustoUnit[],COLUMN(CUSTO_GLOBAL[[#Headers],[Submódulo 4.2]])-2,0)*($G124-$H124)</f>
        <v>0</v>
      </c>
      <c r="BF124" s="22">
        <f>VLOOKUP($A124,tabCustoUnit[],COLUMN(CUSTO_GLOBAL[[#Headers],[Suspensão Temporária do Contrato de Trabalho]])-2,0)*($G124-$H124)</f>
        <v>0</v>
      </c>
      <c r="BG124" s="22">
        <f>VLOOKUP($A124,tabCustoUnit[],COLUMN(CUSTO_GLOBAL[[#Headers],[Submódulo 4.3]])-2,0)*($G124-$H124)</f>
        <v>0</v>
      </c>
      <c r="BH124" s="22">
        <f>VLOOKUP($A124,tabCustoUnit[],COLUMN(CUSTO_GLOBAL[[#Headers],[MÓDULO 4 – CUSTO DE REPOSIÇÃO DO PROFISSIONAL AUSENTE]])-2,0)*($G124-$H124)</f>
        <v>9.4372420268569428</v>
      </c>
      <c r="BI124" s="22">
        <f>VLOOKUP($A124,tabCustoUnit[],COLUMN(CUSTO_GLOBAL[[#Headers],[Uniformes e EPIs]])-2,0)*($G124-$H124)</f>
        <v>62.806666666666665</v>
      </c>
      <c r="BJ124" s="22">
        <f>VLOOKUP($A124,tabCustoUnit[],COLUMN(CUSTO_GLOBAL[[#Headers],[Materiais de Consumo]])-2,0)*($G124-$H124)</f>
        <v>12.108481690426325</v>
      </c>
      <c r="BK124" s="22">
        <f>VLOOKUP($A124,tabCustoUnit[],COLUMN(CUSTO_GLOBAL[[#Headers],[Máquinas e Equipamentos (depreciação)]])-2,0)*($G124-$H124)</f>
        <v>21.998657016417809</v>
      </c>
      <c r="BL124" s="22">
        <f>VLOOKUP($A124,tabCustoUnit[],COLUMN(CUSTO_GLOBAL[[#Headers],[Produtos de Limpeza e Materiais de Higiene Pessoal]])-2,0)*($G124-$H124)</f>
        <v>235.31984072022155</v>
      </c>
      <c r="BM124" s="22">
        <f>VLOOKUP($A124,tabCustoUnit[],COLUMN(CUSTO_GLOBAL[[#Headers],[Outros (especificar)]])-2,0)*($G124-$H124)</f>
        <v>0</v>
      </c>
      <c r="BN124" s="22">
        <f>VLOOKUP($A124,tabCustoUnit[],COLUMN(CUSTO_GLOBAL[[#Headers],[MÓDULO 5 – INSUMOS DIVERSOS]])-2,0)*($G124-$H124)</f>
        <v>332.23364609373232</v>
      </c>
      <c r="BO124" s="22">
        <f>VLOOKUP($A124,tabCustoUnit[],COLUMN(CUSTO_GLOBAL[[#Headers],[TOTAL MÓDULOS 1+2+3+4+5]])-2,0)*($G124-$H124)</f>
        <v>1951.8984999148138</v>
      </c>
      <c r="BP124" s="22">
        <f>VLOOKUP($A124,tabCustoUnit[],COLUMN(CUSTO_GLOBAL[[#Headers],[Custos Indiretos]])-2,0)*($G124-$H124)</f>
        <v>189.64880140242613</v>
      </c>
      <c r="BQ124" s="22">
        <f>VLOOKUP($A124,tabCustoUnit[],COLUMN(CUSTO_GLOBAL[[#Headers],[Lucro]])-2,0)*($G124-$H124)</f>
        <v>159.30499317803796</v>
      </c>
      <c r="BR124" s="26">
        <f>VLOOKUP($A124,tabCustoUnit[],COLUMN(CUSTO_GLOBAL[[#Headers],[COFINS]])-2,0)</f>
        <v>8.8629737609329504E-2</v>
      </c>
      <c r="BS124" s="26">
        <f>VLOOKUP($A124,tabCustoUnit[],COLUMN(CUSTO_GLOBAL[[#Headers],[PIS]])-2,0)</f>
        <v>1.9241982507288629E-2</v>
      </c>
      <c r="BT124" s="28">
        <f>VLOOKUP($A124,tabCustoUnit[],COLUMN(CUSTO_GLOBAL[[#Headers],[ISS]])-2,0)</f>
        <v>0.05</v>
      </c>
      <c r="BU124" s="26">
        <f>VLOOKUP($A124,tabCustoUnit[],COLUMN(CUSTO_GLOBAL[[#Headers],[ISS (Conversão Alíquota s/ fatura)]])-2,0)</f>
        <v>5.8309037900874633E-2</v>
      </c>
      <c r="BV124" s="26">
        <f>VLOOKUP($A124,tabCustoUnit[],COLUMN(CUSTO_GLOBAL[[#Headers],[Resumo de Alíquotas (PIS+CONFINS+ISS)]])-2,0)</f>
        <v>0.14250000000000002</v>
      </c>
      <c r="BW124" s="138">
        <f>VLOOKUP($A124,tabCustoUnit[],COLUMN(CUSTO_GLOBAL[[#Headers],[PIS + COFINS + ISS (Total Conversão  Alíquota s/ Fatura)]])-2,0)</f>
        <v>0.16618075801749277</v>
      </c>
      <c r="BX124" s="22">
        <f>VLOOKUP($A124,tabCustoUnit[],COLUMN(CUSTO_GLOBAL[[#Headers],[Valor dos Tributos (ISS, PIS, CONFINS)]])-2,0)*($G124-$H124)</f>
        <v>382.35737838551279</v>
      </c>
      <c r="BY124" s="22">
        <f>VLOOKUP($A124,tabCustoUnit[],COLUMN(CUSTO_GLOBAL[[#Headers],[MÓDULO 6 – CUSTOS INDIRETOS, TRIBUTOS E LUCRO]])-2,0)*($G124-$H124)</f>
        <v>731.31117296597688</v>
      </c>
      <c r="BZ124" s="22">
        <f>VLOOKUP($A124,tabCustoUnit[],COLUMN(CUSTO_GLOBAL[[#Headers],[CUSTO TOTAL MENSAL]])-2,0)*($G124-$H124)</f>
        <v>2683.2096728807905</v>
      </c>
      <c r="CA124" s="22">
        <f>CUSTO_GLOBAL[[#This Row],[CUSTO TOTAL MENSAL]]*12</f>
        <v>32198.516074569488</v>
      </c>
      <c r="CB124" s="24">
        <f>VLOOKUP($A124,tabCustoUnit[],COLUMN(CUSTO_GLOBAL[[#Headers],[ANO DA CCT]])-2,0)</f>
        <v>45658</v>
      </c>
      <c r="CC124" s="25" t="str">
        <f>VLOOKUP($A124,tabCustoUnit[],COLUMN(CUSTO_GLOBAL[[#Headers],[Nº DE PEDIDO DA CCT]])-2,0)</f>
        <v>-</v>
      </c>
      <c r="CD124" s="25" t="str">
        <f>VLOOKUP($A124,tabCustoUnit[],COLUMN(CUSTO_GLOBAL[[#Headers],[TERMO ADITIVO  ALTERAÇÃO DA CCT]])-2,0)</f>
        <v>-</v>
      </c>
      <c r="CF124" s="22"/>
      <c r="CG124" s="22"/>
    </row>
    <row r="125" spans="1:85" x14ac:dyDescent="0.25">
      <c r="A125" s="20" t="s">
        <v>1461</v>
      </c>
      <c r="B125" t="s">
        <v>113</v>
      </c>
      <c r="C125" t="s">
        <v>1244</v>
      </c>
      <c r="D125" t="s">
        <v>992</v>
      </c>
      <c r="E125" s="20" t="s">
        <v>9</v>
      </c>
      <c r="F125" s="20" t="s">
        <v>10</v>
      </c>
      <c r="G125" s="20">
        <v>1</v>
      </c>
      <c r="H125" s="20">
        <v>0</v>
      </c>
      <c r="I125" s="21">
        <f>VLOOKUP($A125,tabCustoUnit[],COLUMN(CUSTO_GLOBAL[[#Headers],[Salário Base]])-2,0)*($G125-$H125)</f>
        <v>798.14</v>
      </c>
      <c r="J125" s="21">
        <f>VLOOKUP($A125,tabCustoUnit[],COLUMN(CUSTO_GLOBAL[[#Headers],[Adicional Periculosidade]])-2,0)*($G125-$H125)</f>
        <v>0</v>
      </c>
      <c r="K125" s="21">
        <f>VLOOKUP($A125,tabCustoUnit[],COLUMN(CUSTO_GLOBAL[[#Headers],[Adicional Insalubridade]])-2,0)*($G125-$H125)</f>
        <v>0</v>
      </c>
      <c r="L125" s="21">
        <f>VLOOKUP($A125,tabCustoUnit[],COLUMN(CUSTO_GLOBAL[[#Headers],[Adicional Noturno]])-2,0)*($G125-$H125)</f>
        <v>0</v>
      </c>
      <c r="M125" s="21">
        <f>VLOOKUP($A125,tabCustoUnit[],COLUMN(CUSTO_GLOBAL[[#Headers],[Adicional Motorista II (Gratificação)]])-2,0)*($G125-$H125)</f>
        <v>0</v>
      </c>
      <c r="N125" s="21">
        <f>VLOOKUP($A125,tabCustoUnit[],COLUMN(CUSTO_GLOBAL[[#Headers],[Adicional de Sobreaviso]])-2,0)*($G125-$H125)</f>
        <v>0</v>
      </c>
      <c r="O125" s="21">
        <f>VLOOKUP($A125,tabCustoUnit[],COLUMN(CUSTO_GLOBAL[[#Headers],[Horas Extras TI]])-2,0)*($G125-$H125)</f>
        <v>0</v>
      </c>
      <c r="P125" s="21">
        <f>VLOOKUP($A125,tabCustoUnit[],COLUMN(CUSTO_GLOBAL[[#Headers],[Adicional de Acúmulo de função]])-2,0)*($G125-$H125)</f>
        <v>26.120899999999999</v>
      </c>
      <c r="Q125" s="21">
        <f>VLOOKUP($A125,tabCustoUnit[],COLUMN(CUSTO_GLOBAL[[#Headers],[MODULO 1 - REMUNERAÇÃO ]])-2,0)*($G125-$H125)</f>
        <v>824.26089999999999</v>
      </c>
      <c r="R125" s="21">
        <f>VLOOKUP($A125,tabCustoUnit[],COLUMN(CUSTO_GLOBAL[[#Headers],[INSS]])-2,0)*($G125-$H125)</f>
        <v>164.85218</v>
      </c>
      <c r="S125" s="21">
        <f>VLOOKUP($A125,tabCustoUnit[],COLUMN(CUSTO_GLOBAL[[#Headers],[SESI OU SESC]])-2,0)*($G125-$H125)</f>
        <v>12.363913499999999</v>
      </c>
      <c r="T125" s="21">
        <f>VLOOKUP($A125,tabCustoUnit[],COLUMN(CUSTO_GLOBAL[[#Headers],[SENAI OU SENAC]])-2,0)*($G125-$H125)</f>
        <v>8.2426089999999999</v>
      </c>
      <c r="U125" s="21">
        <f>VLOOKUP($A125,tabCustoUnit[],COLUMN(CUSTO_GLOBAL[[#Headers],[INCRA]])-2,0)*($G125-$H125)</f>
        <v>1.6485217999999999</v>
      </c>
      <c r="V125" s="21">
        <f>VLOOKUP($A125,tabCustoUnit[],COLUMN(CUSTO_GLOBAL[[#Headers],[Salário Educação]])-2,0)*($G125-$H125)</f>
        <v>20.606522500000001</v>
      </c>
      <c r="W125" s="21">
        <f>VLOOKUP($A125,tabCustoUnit[],COLUMN(CUSTO_GLOBAL[[#Headers],[FGTS]])-2,0)*($G125-$H125)</f>
        <v>65.940871999999999</v>
      </c>
      <c r="X125" s="21">
        <f>VLOOKUP($A125,tabCustoUnit[],COLUMN(CUSTO_GLOBAL[[#Headers],[RAT Ajustado]])-2,0)*($G125-$H125)</f>
        <v>32.970435999999999</v>
      </c>
      <c r="Y125" s="21">
        <f>VLOOKUP($A125,tabCustoUnit[],COLUMN(CUSTO_GLOBAL[[#Headers],[SEBRAE]])-2,0)*($G125-$H125)</f>
        <v>4.9455654000000004</v>
      </c>
      <c r="Z125" s="21">
        <f>VLOOKUP($A125,tabCustoUnit[],COLUMN(CUSTO_GLOBAL[[#Headers],[Submódulo 2.1]])-2,0)*($G125-$H125)</f>
        <v>311.57062020000001</v>
      </c>
      <c r="AA125" s="21">
        <f>VLOOKUP($A125,tabCustoUnit[],COLUMN(CUSTO_GLOBAL[[#Headers],[13º salário (titular)]])-2,0)*($G125-$H125)</f>
        <v>68.688408333333328</v>
      </c>
      <c r="AB125" s="21">
        <f>VLOOKUP($A125,tabCustoUnit[],COLUMN(CUSTO_GLOBAL[[#Headers],[Férias e Adicional de Férias (titular)]])-2,0)*($G125-$H125)</f>
        <v>91.584544444444433</v>
      </c>
      <c r="AC125" s="21">
        <f>VLOOKUP($A125,tabCustoUnit[],COLUMN(CUSTO_GLOBAL[[#Headers],[Incidência do Submódulo 2.1 sobre 13º Salário, Férias e Adicional de Férias]])-2,0)*($G125-$H125)</f>
        <v>60.583176149999993</v>
      </c>
      <c r="AD125" s="21">
        <f>VLOOKUP($A125,tabCustoUnit[],COLUMN(CUSTO_GLOBAL[[#Headers],[Submódulo 2.2]])-2,0)*($G125-$H125)</f>
        <v>220.85612892777775</v>
      </c>
      <c r="AE125" s="22">
        <f>VLOOKUP($A125,tabCustoUnit[],COLUMN(CUSTO_GLOBAL[[#Headers],[Vale - Transporte (Descontada parcela do empregado)]])-2,0)*($G125-$H125)</f>
        <v>208.11160000000001</v>
      </c>
      <c r="AF125" s="22">
        <f>VLOOKUP($A125,tabCustoUnit[],COLUMN(CUSTO_GLOBAL[[#Headers],[Vale - Alimentação (Descontada parcela do empregado)]])-2,0)*($G125-$H125)</f>
        <v>0</v>
      </c>
      <c r="AG125" s="22">
        <f>VLOOKUP($A125,tabCustoUnit[],COLUMN(CUSTO_GLOBAL[[#Headers],[Cesta Básica]])-2,0)*($G125-$H125)</f>
        <v>387.79</v>
      </c>
      <c r="AH125" s="22">
        <f>VLOOKUP($A125,tabCustoUnit[],COLUMN(CUSTO_GLOBAL[[#Headers],[PAF]])-2,0)*($G125-$H125)</f>
        <v>42.97</v>
      </c>
      <c r="AI125" s="22">
        <f>VLOOKUP($A125,tabCustoUnit[],COLUMN(CUSTO_GLOBAL[[#Headers],[PQM]])-2,0)*($G125-$H125)</f>
        <v>0</v>
      </c>
      <c r="AJ125" s="22">
        <v>0</v>
      </c>
      <c r="AK125" s="22">
        <f>VLOOKUP($A125,tabCustoUnit[],COLUMN(CUSTO_GLOBAL[[#Headers],[Seguro de Vida]])-2,0)*($G125-$H125)</f>
        <v>3.36</v>
      </c>
      <c r="AL125" s="22">
        <f>VLOOKUP($A125,tabCustoUnit[],COLUMN(CUSTO_GLOBAL[[#Headers],[Despesas de Viagem]])-2,0)*($G125-$H125)</f>
        <v>0</v>
      </c>
      <c r="AM125" s="22">
        <f>VLOOKUP($A125,tabCustoUnit[],COLUMN(CUSTO_GLOBAL[[#Headers],[Submódulo 2.3]])-2,0)*($G125-$H125)</f>
        <v>642.23160000000007</v>
      </c>
      <c r="AN125" s="22">
        <f>VLOOKUP($A125,tabCustoUnit[],COLUMN(CUSTO_GLOBAL[[#Headers],[MÓDULO 2 - Total Encargos e Benefícios mensais e diários]])-2,0)*($G125-$H125)</f>
        <v>1174.6583491277779</v>
      </c>
      <c r="AO125" s="22">
        <f>VLOOKUP($A125,tabCustoUnit[],COLUMN(CUSTO_GLOBAL[[#Headers],[Aviso Prévio Indenizado (API) e Reflexo do Aviso Prévio Indenizado]])-2,0)*($G125-$H125)</f>
        <v>5.7795253576581791</v>
      </c>
      <c r="AP125" s="22">
        <f>VLOOKUP($A125,tabCustoUnit[],COLUMN(CUSTO_GLOBAL[[#Headers],[Incidência do FGTS sobre API e Reflexo do API]])-2,0)*($G125-$H125)</f>
        <v>0.46236202861265435</v>
      </c>
      <c r="AQ125" s="22">
        <f>VLOOKUP($A125,tabCustoUnit[],COLUMN(CUSTO_GLOBAL[[#Headers],[Multa Rescisória do FGTS sobre o Aviso Prévio Indenizado]])-2,0)*($G125-$H125)</f>
        <v>0.18494481144506175</v>
      </c>
      <c r="AR125" s="22">
        <f>VLOOKUP($A125,tabCustoUnit[],COLUMN(CUSTO_GLOBAL[[#Headers],[Aviso Prévio Trabalhado - APT]])-2,0)*($G125-$H125)</f>
        <v>2.8849131500000005</v>
      </c>
      <c r="AS125" s="22">
        <f>VLOOKUP($A125,tabCustoUnit[],COLUMN(CUSTO_GLOBAL[[#Headers],[Incidência dos encargos do submódulo 2.1 sobre Aviso Prévio Trabalhado]])-2,0)*($G125-$H125)</f>
        <v>1.0904971707000004</v>
      </c>
      <c r="AT125" s="22">
        <f>VLOOKUP($A125,tabCustoUnit[],COLUMN(CUSTO_GLOBAL[[#Headers],[Multa Rescisória do FGTS]])-2,0)*($G125-$H125)</f>
        <v>25.204066631111107</v>
      </c>
      <c r="AU125" s="22">
        <f>VLOOKUP($A125,tabCustoUnit[],COLUMN(CUSTO_GLOBAL[[#Headers],[Indenização Adicional (Art. 9º da Lei nº 7.238/84)]])-2,0)*($G125-$H125)</f>
        <v>0.6868840833333334</v>
      </c>
      <c r="AV125" s="22">
        <f>VLOOKUP($A125,tabCustoUnit[],COLUMN(CUSTO_GLOBAL[[#Headers],[MÓDULO 3 – PROVISÃO PARA RESCISÃO]])-2,0)*($G125-$H125)</f>
        <v>36.293193232860339</v>
      </c>
      <c r="AW125" s="22">
        <f>VLOOKUP($A125,tabCustoUnit[],COLUMN(CUSTO_GLOBAL[[#Headers],[Ausência por Doença]])-2,0)*($G125-$H125)</f>
        <v>6.9604253777777769</v>
      </c>
      <c r="AX125" s="22">
        <f>VLOOKUP($A125,tabCustoUnit[],COLUMN(CUSTO_GLOBAL[[#Headers],[Ausências Legais]])-2,0)*($G125-$H125)</f>
        <v>1.671417936111111</v>
      </c>
      <c r="AY125" s="22">
        <f>VLOOKUP($A125,tabCustoUnit[],COLUMN(CUSTO_GLOBAL[[#Headers],[Licença Paternidade]])-2,0)*($G125-$H125)</f>
        <v>0.14081123708333332</v>
      </c>
      <c r="AZ125" s="22">
        <f>VLOOKUP($A125,tabCustoUnit[],COLUMN(CUSTO_GLOBAL[[#Headers],[Ausência por Acidente de Trabalho]])-2,0)*($G125-$H125)</f>
        <v>0.17172102083333335</v>
      </c>
      <c r="BA125" s="22">
        <f>VLOOKUP($A125,tabCustoUnit[],COLUMN(CUSTO_GLOBAL[[#Headers],[Férias, Adicional de Férias e 13º  com empregada em gozo de Licença Maternidade]])-2,0)*($G125-$H125)</f>
        <v>1.0684863518518517</v>
      </c>
      <c r="BB125" s="22">
        <f>VLOOKUP($A125,tabCustoUnit[],COLUMN(CUSTO_GLOBAL[[#Headers],[Incidência do Submódulo 2.1 sobre Ausências Legais]])-2,0)*($G125-$H125)</f>
        <v>3.7848618071425006</v>
      </c>
      <c r="BC125" s="22">
        <f>VLOOKUP($A125,tabCustoUnit[],COLUMN(CUSTO_GLOBAL[[#Headers],[Submódulo 4.1]])-2,0)*($G125-$H125)</f>
        <v>13.797723730799909</v>
      </c>
      <c r="BD125" s="22">
        <f>VLOOKUP($A125,tabCustoUnit[],COLUMN(CUSTO_GLOBAL[[#Headers],[Intervalo para Repouso ou Alimentação]])-2,0)*($G125-$H125)</f>
        <v>0</v>
      </c>
      <c r="BE125" s="22">
        <f>VLOOKUP($A125,tabCustoUnit[],COLUMN(CUSTO_GLOBAL[[#Headers],[Submódulo 4.2]])-2,0)*($G125-$H125)</f>
        <v>0</v>
      </c>
      <c r="BF125" s="22">
        <f>VLOOKUP($A125,tabCustoUnit[],COLUMN(CUSTO_GLOBAL[[#Headers],[Suspensão Temporária do Contrato de Trabalho]])-2,0)*($G125-$H125)</f>
        <v>0</v>
      </c>
      <c r="BG125" s="22">
        <f>VLOOKUP($A125,tabCustoUnit[],COLUMN(CUSTO_GLOBAL[[#Headers],[Submódulo 4.3]])-2,0)*($G125-$H125)</f>
        <v>0</v>
      </c>
      <c r="BH125" s="22">
        <f>VLOOKUP($A125,tabCustoUnit[],COLUMN(CUSTO_GLOBAL[[#Headers],[MÓDULO 4 – CUSTO DE REPOSIÇÃO DO PROFISSIONAL AUSENTE]])-2,0)*($G125-$H125)</f>
        <v>13.797723730799909</v>
      </c>
      <c r="BI125" s="22">
        <f>VLOOKUP($A125,tabCustoUnit[],COLUMN(CUSTO_GLOBAL[[#Headers],[Uniformes e EPIs]])-2,0)*($G125-$H125)</f>
        <v>62.806666666666665</v>
      </c>
      <c r="BJ125" s="22">
        <f>VLOOKUP($A125,tabCustoUnit[],COLUMN(CUSTO_GLOBAL[[#Headers],[Materiais de Consumo]])-2,0)*($G125-$H125)</f>
        <v>17.759106479291944</v>
      </c>
      <c r="BK125" s="22">
        <f>VLOOKUP($A125,tabCustoUnit[],COLUMN(CUSTO_GLOBAL[[#Headers],[Máquinas e Equipamentos (depreciação)]])-2,0)*($G125-$H125)</f>
        <v>32.264696957412788</v>
      </c>
      <c r="BL125" s="22">
        <f>VLOOKUP($A125,tabCustoUnit[],COLUMN(CUSTO_GLOBAL[[#Headers],[Produtos de Limpeza e Materiais de Higiene Pessoal]])-2,0)*($G125-$H125)</f>
        <v>345.13576638965827</v>
      </c>
      <c r="BM125" s="22">
        <f>VLOOKUP($A125,tabCustoUnit[],COLUMN(CUSTO_GLOBAL[[#Headers],[Outros (especificar)]])-2,0)*($G125-$H125)</f>
        <v>0</v>
      </c>
      <c r="BN125" s="22">
        <f>VLOOKUP($A125,tabCustoUnit[],COLUMN(CUSTO_GLOBAL[[#Headers],[MÓDULO 5 – INSUMOS DIVERSOS]])-2,0)*($G125-$H125)</f>
        <v>457.96623649302967</v>
      </c>
      <c r="BO125" s="22">
        <f>VLOOKUP($A125,tabCustoUnit[],COLUMN(CUSTO_GLOBAL[[#Headers],[TOTAL MÓDULOS 1+2+3+4+5]])-2,0)*($G125-$H125)</f>
        <v>2506.9764025844679</v>
      </c>
      <c r="BP125" s="22">
        <f>VLOOKUP($A125,tabCustoUnit[],COLUMN(CUSTO_GLOBAL[[#Headers],[Custos Indiretos]])-2,0)*($G125-$H125)</f>
        <v>189.64880140242613</v>
      </c>
      <c r="BQ125" s="22">
        <f>VLOOKUP($A125,tabCustoUnit[],COLUMN(CUSTO_GLOBAL[[#Headers],[Lucro]])-2,0)*($G125-$H125)</f>
        <v>159.30499317803796</v>
      </c>
      <c r="BR125" s="26">
        <f>VLOOKUP($A125,tabCustoUnit[],COLUMN(CUSTO_GLOBAL[[#Headers],[COFINS]])-2,0)</f>
        <v>8.8629737609329504E-2</v>
      </c>
      <c r="BS125" s="26">
        <f>VLOOKUP($A125,tabCustoUnit[],COLUMN(CUSTO_GLOBAL[[#Headers],[PIS]])-2,0)</f>
        <v>1.9241982507288629E-2</v>
      </c>
      <c r="BT125" s="28">
        <f>VLOOKUP($A125,tabCustoUnit[],COLUMN(CUSTO_GLOBAL[[#Headers],[ISS]])-2,0)</f>
        <v>0.05</v>
      </c>
      <c r="BU125" s="26">
        <f>VLOOKUP($A125,tabCustoUnit[],COLUMN(CUSTO_GLOBAL[[#Headers],[ISS (Conversão Alíquota s/ fatura)]])-2,0)</f>
        <v>5.8309037900874633E-2</v>
      </c>
      <c r="BV125" s="26">
        <f>VLOOKUP($A125,tabCustoUnit[],COLUMN(CUSTO_GLOBAL[[#Headers],[Resumo de Alíquotas (PIS+CONFINS+ISS)]])-2,0)</f>
        <v>0.14250000000000002</v>
      </c>
      <c r="BW125" s="138">
        <f>VLOOKUP($A125,tabCustoUnit[],COLUMN(CUSTO_GLOBAL[[#Headers],[PIS + COFINS + ISS (Total Conversão  Alíquota s/ Fatura)]])-2,0)</f>
        <v>0.16618075801749277</v>
      </c>
      <c r="BX125" s="22">
        <f>VLOOKUP($A125,tabCustoUnit[],COLUMN(CUSTO_GLOBAL[[#Headers],[Valor dos Tributos (ISS, PIS, CONFINS)]])-2,0)*($G125-$H125)</f>
        <v>474.60064500991598</v>
      </c>
      <c r="BY125" s="22">
        <f>VLOOKUP($A125,tabCustoUnit[],COLUMN(CUSTO_GLOBAL[[#Headers],[MÓDULO 6 – CUSTOS INDIRETOS, TRIBUTOS E LUCRO]])-2,0)*($G125-$H125)</f>
        <v>823.55443959038007</v>
      </c>
      <c r="BZ125" s="22">
        <f>VLOOKUP($A125,tabCustoUnit[],COLUMN(CUSTO_GLOBAL[[#Headers],[CUSTO TOTAL MENSAL]])-2,0)*($G125-$H125)</f>
        <v>3330.5308421748477</v>
      </c>
      <c r="CA125" s="22">
        <f>CUSTO_GLOBAL[[#This Row],[CUSTO TOTAL MENSAL]]*12</f>
        <v>39966.370106098169</v>
      </c>
      <c r="CB125" s="24">
        <f>VLOOKUP($A125,tabCustoUnit[],COLUMN(CUSTO_GLOBAL[[#Headers],[ANO DA CCT]])-2,0)</f>
        <v>45658</v>
      </c>
      <c r="CC125" s="25" t="str">
        <f>VLOOKUP($A125,tabCustoUnit[],COLUMN(CUSTO_GLOBAL[[#Headers],[Nº DE PEDIDO DA CCT]])-2,0)</f>
        <v>-</v>
      </c>
      <c r="CD125" s="25" t="str">
        <f>VLOOKUP($A125,tabCustoUnit[],COLUMN(CUSTO_GLOBAL[[#Headers],[TERMO ADITIVO  ALTERAÇÃO DA CCT]])-2,0)</f>
        <v>-</v>
      </c>
      <c r="CF125" s="22"/>
      <c r="CG125" s="22"/>
    </row>
    <row r="126" spans="1:85" x14ac:dyDescent="0.25">
      <c r="A126" s="20" t="s">
        <v>1462</v>
      </c>
      <c r="B126" t="s">
        <v>114</v>
      </c>
      <c r="C126" t="s">
        <v>1247</v>
      </c>
      <c r="D126" t="s">
        <v>1010</v>
      </c>
      <c r="E126" s="20" t="s">
        <v>9</v>
      </c>
      <c r="F126" s="20" t="s">
        <v>10</v>
      </c>
      <c r="G126" s="20">
        <v>1</v>
      </c>
      <c r="H126" s="20">
        <v>0</v>
      </c>
      <c r="I126" s="21">
        <f>VLOOKUP($A126,tabCustoUnit[],COLUMN(CUSTO_GLOBAL[[#Headers],[Salário Base]])-2,0)*($G126-$H126)</f>
        <v>544.17999999999995</v>
      </c>
      <c r="J126" s="21">
        <f>VLOOKUP($A126,tabCustoUnit[],COLUMN(CUSTO_GLOBAL[[#Headers],[Adicional Periculosidade]])-2,0)*($G126-$H126)</f>
        <v>0</v>
      </c>
      <c r="K126" s="21">
        <f>VLOOKUP($A126,tabCustoUnit[],COLUMN(CUSTO_GLOBAL[[#Headers],[Adicional Insalubridade]])-2,0)*($G126-$H126)</f>
        <v>0</v>
      </c>
      <c r="L126" s="21">
        <f>VLOOKUP($A126,tabCustoUnit[],COLUMN(CUSTO_GLOBAL[[#Headers],[Adicional Noturno]])-2,0)*($G126-$H126)</f>
        <v>0</v>
      </c>
      <c r="M126" s="21">
        <f>VLOOKUP($A126,tabCustoUnit[],COLUMN(CUSTO_GLOBAL[[#Headers],[Adicional Motorista II (Gratificação)]])-2,0)*($G126-$H126)</f>
        <v>0</v>
      </c>
      <c r="N126" s="21">
        <f>VLOOKUP($A126,tabCustoUnit[],COLUMN(CUSTO_GLOBAL[[#Headers],[Adicional de Sobreaviso]])-2,0)*($G126-$H126)</f>
        <v>0</v>
      </c>
      <c r="O126" s="21">
        <f>VLOOKUP($A126,tabCustoUnit[],COLUMN(CUSTO_GLOBAL[[#Headers],[Horas Extras TI]])-2,0)*($G126-$H126)</f>
        <v>0</v>
      </c>
      <c r="P126" s="21">
        <f>VLOOKUP($A126,tabCustoUnit[],COLUMN(CUSTO_GLOBAL[[#Headers],[Adicional de Acúmulo de função]])-2,0)*($G126-$H126)</f>
        <v>19.590499999999999</v>
      </c>
      <c r="Q126" s="21">
        <f>VLOOKUP($A126,tabCustoUnit[],COLUMN(CUSTO_GLOBAL[[#Headers],[MODULO 1 - REMUNERAÇÃO ]])-2,0)*($G126-$H126)</f>
        <v>563.77049999999997</v>
      </c>
      <c r="R126" s="21">
        <f>VLOOKUP($A126,tabCustoUnit[],COLUMN(CUSTO_GLOBAL[[#Headers],[INSS]])-2,0)*($G126-$H126)</f>
        <v>112.75409999999999</v>
      </c>
      <c r="S126" s="21">
        <f>VLOOKUP($A126,tabCustoUnit[],COLUMN(CUSTO_GLOBAL[[#Headers],[SESI OU SESC]])-2,0)*($G126-$H126)</f>
        <v>8.4565574999999988</v>
      </c>
      <c r="T126" s="21">
        <f>VLOOKUP($A126,tabCustoUnit[],COLUMN(CUSTO_GLOBAL[[#Headers],[SENAI OU SENAC]])-2,0)*($G126-$H126)</f>
        <v>5.6377049999999995</v>
      </c>
      <c r="U126" s="21">
        <f>VLOOKUP($A126,tabCustoUnit[],COLUMN(CUSTO_GLOBAL[[#Headers],[INCRA]])-2,0)*($G126-$H126)</f>
        <v>1.1275409999999999</v>
      </c>
      <c r="V126" s="21">
        <f>VLOOKUP($A126,tabCustoUnit[],COLUMN(CUSTO_GLOBAL[[#Headers],[Salário Educação]])-2,0)*($G126-$H126)</f>
        <v>14.094262499999999</v>
      </c>
      <c r="W126" s="21">
        <f>VLOOKUP($A126,tabCustoUnit[],COLUMN(CUSTO_GLOBAL[[#Headers],[FGTS]])-2,0)*($G126-$H126)</f>
        <v>45.101639999999996</v>
      </c>
      <c r="X126" s="21">
        <f>VLOOKUP($A126,tabCustoUnit[],COLUMN(CUSTO_GLOBAL[[#Headers],[RAT Ajustado]])-2,0)*($G126-$H126)</f>
        <v>22.550819999999998</v>
      </c>
      <c r="Y126" s="21">
        <f>VLOOKUP($A126,tabCustoUnit[],COLUMN(CUSTO_GLOBAL[[#Headers],[SEBRAE]])-2,0)*($G126-$H126)</f>
        <v>3.3826229999999997</v>
      </c>
      <c r="Z126" s="21">
        <f>VLOOKUP($A126,tabCustoUnit[],COLUMN(CUSTO_GLOBAL[[#Headers],[Submódulo 2.1]])-2,0)*($G126-$H126)</f>
        <v>213.10524899999996</v>
      </c>
      <c r="AA126" s="21">
        <f>VLOOKUP($A126,tabCustoUnit[],COLUMN(CUSTO_GLOBAL[[#Headers],[13º salário (titular)]])-2,0)*($G126-$H126)</f>
        <v>46.980874999999997</v>
      </c>
      <c r="AB126" s="21">
        <f>VLOOKUP($A126,tabCustoUnit[],COLUMN(CUSTO_GLOBAL[[#Headers],[Férias e Adicional de Férias (titular)]])-2,0)*($G126-$H126)</f>
        <v>62.641166666666663</v>
      </c>
      <c r="AC126" s="21">
        <f>VLOOKUP($A126,tabCustoUnit[],COLUMN(CUSTO_GLOBAL[[#Headers],[Incidência do Submódulo 2.1 sobre 13º Salário, Férias e Adicional de Férias]])-2,0)*($G126-$H126)</f>
        <v>41.437131749999992</v>
      </c>
      <c r="AD126" s="21">
        <f>VLOOKUP($A126,tabCustoUnit[],COLUMN(CUSTO_GLOBAL[[#Headers],[Submódulo 2.2]])-2,0)*($G126-$H126)</f>
        <v>151.05917341666665</v>
      </c>
      <c r="AE126" s="22">
        <f>VLOOKUP($A126,tabCustoUnit[],COLUMN(CUSTO_GLOBAL[[#Headers],[Vale - Transporte (Descontada parcela do empregado)]])-2,0)*($G126-$H126)</f>
        <v>223.3492</v>
      </c>
      <c r="AF126" s="22">
        <f>VLOOKUP($A126,tabCustoUnit[],COLUMN(CUSTO_GLOBAL[[#Headers],[Vale - Alimentação (Descontada parcela do empregado)]])-2,0)*($G126-$H126)</f>
        <v>582</v>
      </c>
      <c r="AG126" s="22">
        <f>VLOOKUP($A126,tabCustoUnit[],COLUMN(CUSTO_GLOBAL[[#Headers],[Cesta Básica]])-2,0)*($G126-$H126)</f>
        <v>0</v>
      </c>
      <c r="AH126" s="22">
        <f>VLOOKUP($A126,tabCustoUnit[],COLUMN(CUSTO_GLOBAL[[#Headers],[PAF]])-2,0)*($G126-$H126)</f>
        <v>0</v>
      </c>
      <c r="AI126" s="22">
        <f>VLOOKUP($A126,tabCustoUnit[],COLUMN(CUSTO_GLOBAL[[#Headers],[PQM]])-2,0)*($G126-$H126)</f>
        <v>0</v>
      </c>
      <c r="AJ126" s="22">
        <v>0</v>
      </c>
      <c r="AK126" s="22">
        <f>VLOOKUP($A126,tabCustoUnit[],COLUMN(CUSTO_GLOBAL[[#Headers],[Seguro de Vida]])-2,0)*($G126-$H126)</f>
        <v>3.36</v>
      </c>
      <c r="AL126" s="22">
        <f>VLOOKUP($A126,tabCustoUnit[],COLUMN(CUSTO_GLOBAL[[#Headers],[Despesas de Viagem]])-2,0)*($G126-$H126)</f>
        <v>0</v>
      </c>
      <c r="AM126" s="22">
        <f>VLOOKUP($A126,tabCustoUnit[],COLUMN(CUSTO_GLOBAL[[#Headers],[Submódulo 2.3]])-2,0)*($G126-$H126)</f>
        <v>808.70920000000001</v>
      </c>
      <c r="AN126" s="22">
        <f>VLOOKUP($A126,tabCustoUnit[],COLUMN(CUSTO_GLOBAL[[#Headers],[MÓDULO 2 - Total Encargos e Benefícios mensais e diários]])-2,0)*($G126-$H126)</f>
        <v>1172.8736224166666</v>
      </c>
      <c r="AO126" s="22">
        <f>VLOOKUP($A126,tabCustoUnit[],COLUMN(CUSTO_GLOBAL[[#Headers],[Aviso Prévio Indenizado (API) e Reflexo do Aviso Prévio Indenizado]])-2,0)*($G126-$H126)</f>
        <v>3.9530273735532404</v>
      </c>
      <c r="AP126" s="22">
        <f>VLOOKUP($A126,tabCustoUnit[],COLUMN(CUSTO_GLOBAL[[#Headers],[Incidência do FGTS sobre API e Reflexo do API]])-2,0)*($G126-$H126)</f>
        <v>0.31624218988425928</v>
      </c>
      <c r="AQ126" s="22">
        <f>VLOOKUP($A126,tabCustoUnit[],COLUMN(CUSTO_GLOBAL[[#Headers],[Multa Rescisória do FGTS sobre o Aviso Prévio Indenizado]])-2,0)*($G126-$H126)</f>
        <v>0.12649687595370371</v>
      </c>
      <c r="AR126" s="22">
        <f>VLOOKUP($A126,tabCustoUnit[],COLUMN(CUSTO_GLOBAL[[#Headers],[Aviso Prévio Trabalhado - APT]])-2,0)*($G126-$H126)</f>
        <v>1.9731967500000003</v>
      </c>
      <c r="AS126" s="22">
        <f>VLOOKUP($A126,tabCustoUnit[],COLUMN(CUSTO_GLOBAL[[#Headers],[Incidência dos encargos do submódulo 2.1 sobre Aviso Prévio Trabalhado]])-2,0)*($G126-$H126)</f>
        <v>0.74586837150000018</v>
      </c>
      <c r="AT126" s="22">
        <f>VLOOKUP($A126,tabCustoUnit[],COLUMN(CUSTO_GLOBAL[[#Headers],[Multa Rescisória do FGTS]])-2,0)*($G126-$H126)</f>
        <v>17.238849066666663</v>
      </c>
      <c r="AU126" s="22">
        <f>VLOOKUP($A126,tabCustoUnit[],COLUMN(CUSTO_GLOBAL[[#Headers],[Indenização Adicional (Art. 9º da Lei nº 7.238/84)]])-2,0)*($G126-$H126)</f>
        <v>0.46980875</v>
      </c>
      <c r="AV126" s="22">
        <f>VLOOKUP($A126,tabCustoUnit[],COLUMN(CUSTO_GLOBAL[[#Headers],[MÓDULO 3 – PROVISÃO PARA RESCISÃO]])-2,0)*($G126-$H126)</f>
        <v>24.823489377557866</v>
      </c>
      <c r="AW126" s="22">
        <f>VLOOKUP($A126,tabCustoUnit[],COLUMN(CUSTO_GLOBAL[[#Headers],[Ausência por Doença]])-2,0)*($G126-$H126)</f>
        <v>4.7607286666666662</v>
      </c>
      <c r="AX126" s="22">
        <f>VLOOKUP($A126,tabCustoUnit[],COLUMN(CUSTO_GLOBAL[[#Headers],[Ausências Legais]])-2,0)*($G126-$H126)</f>
        <v>1.1432012916666665</v>
      </c>
      <c r="AY126" s="22">
        <f>VLOOKUP($A126,tabCustoUnit[],COLUMN(CUSTO_GLOBAL[[#Headers],[Licença Paternidade]])-2,0)*($G126-$H126)</f>
        <v>9.6310793749999998E-2</v>
      </c>
      <c r="AZ126" s="22">
        <f>VLOOKUP($A126,tabCustoUnit[],COLUMN(CUSTO_GLOBAL[[#Headers],[Ausência por Acidente de Trabalho]])-2,0)*($G126-$H126)</f>
        <v>0.1174521875</v>
      </c>
      <c r="BA126" s="22">
        <f>VLOOKUP($A126,tabCustoUnit[],COLUMN(CUSTO_GLOBAL[[#Headers],[Férias, Adicional de Férias e 13º  com empregada em gozo de Licença Maternidade]])-2,0)*($G126-$H126)</f>
        <v>0.73081361111111109</v>
      </c>
      <c r="BB126" s="22">
        <f>VLOOKUP($A126,tabCustoUnit[],COLUMN(CUSTO_GLOBAL[[#Headers],[Incidência do Submódulo 2.1 sobre Ausências Legais]])-2,0)*($G126-$H126)</f>
        <v>2.5887354761625003</v>
      </c>
      <c r="BC126" s="22">
        <f>VLOOKUP($A126,tabCustoUnit[],COLUMN(CUSTO_GLOBAL[[#Headers],[Submódulo 4.1]])-2,0)*($G126-$H126)</f>
        <v>9.4372420268569428</v>
      </c>
      <c r="BD126" s="22">
        <f>VLOOKUP($A126,tabCustoUnit[],COLUMN(CUSTO_GLOBAL[[#Headers],[Intervalo para Repouso ou Alimentação]])-2,0)*($G126-$H126)</f>
        <v>0</v>
      </c>
      <c r="BE126" s="22">
        <f>VLOOKUP($A126,tabCustoUnit[],COLUMN(CUSTO_GLOBAL[[#Headers],[Submódulo 4.2]])-2,0)*($G126-$H126)</f>
        <v>0</v>
      </c>
      <c r="BF126" s="22">
        <f>VLOOKUP($A126,tabCustoUnit[],COLUMN(CUSTO_GLOBAL[[#Headers],[Suspensão Temporária do Contrato de Trabalho]])-2,0)*($G126-$H126)</f>
        <v>0</v>
      </c>
      <c r="BG126" s="22">
        <f>VLOOKUP($A126,tabCustoUnit[],COLUMN(CUSTO_GLOBAL[[#Headers],[Submódulo 4.3]])-2,0)*($G126-$H126)</f>
        <v>0</v>
      </c>
      <c r="BH126" s="22">
        <f>VLOOKUP($A126,tabCustoUnit[],COLUMN(CUSTO_GLOBAL[[#Headers],[MÓDULO 4 – CUSTO DE REPOSIÇÃO DO PROFISSIONAL AUSENTE]])-2,0)*($G126-$H126)</f>
        <v>9.4372420268569428</v>
      </c>
      <c r="BI126" s="22">
        <f>VLOOKUP($A126,tabCustoUnit[],COLUMN(CUSTO_GLOBAL[[#Headers],[Uniformes e EPIs]])-2,0)*($G126-$H126)</f>
        <v>62.806666666666665</v>
      </c>
      <c r="BJ126" s="22">
        <f>VLOOKUP($A126,tabCustoUnit[],COLUMN(CUSTO_GLOBAL[[#Headers],[Materiais de Consumo]])-2,0)*($G126-$H126)</f>
        <v>12.108481690426325</v>
      </c>
      <c r="BK126" s="22">
        <f>VLOOKUP($A126,tabCustoUnit[],COLUMN(CUSTO_GLOBAL[[#Headers],[Máquinas e Equipamentos (depreciação)]])-2,0)*($G126-$H126)</f>
        <v>21.998657016417809</v>
      </c>
      <c r="BL126" s="22">
        <f>VLOOKUP($A126,tabCustoUnit[],COLUMN(CUSTO_GLOBAL[[#Headers],[Produtos de Limpeza e Materiais de Higiene Pessoal]])-2,0)*($G126-$H126)</f>
        <v>235.31984072022155</v>
      </c>
      <c r="BM126" s="22">
        <f>VLOOKUP($A126,tabCustoUnit[],COLUMN(CUSTO_GLOBAL[[#Headers],[Outros (especificar)]])-2,0)*($G126-$H126)</f>
        <v>0</v>
      </c>
      <c r="BN126" s="22">
        <f>VLOOKUP($A126,tabCustoUnit[],COLUMN(CUSTO_GLOBAL[[#Headers],[MÓDULO 5 – INSUMOS DIVERSOS]])-2,0)*($G126-$H126)</f>
        <v>332.23364609373232</v>
      </c>
      <c r="BO126" s="22">
        <f>VLOOKUP($A126,tabCustoUnit[],COLUMN(CUSTO_GLOBAL[[#Headers],[TOTAL MÓDULOS 1+2+3+4+5]])-2,0)*($G126-$H126)</f>
        <v>2103.1384999148136</v>
      </c>
      <c r="BP126" s="22">
        <f>VLOOKUP($A126,tabCustoUnit[],COLUMN(CUSTO_GLOBAL[[#Headers],[Custos Indiretos]])-2,0)*($G126-$H126)</f>
        <v>189.64880140242613</v>
      </c>
      <c r="BQ126" s="22">
        <f>VLOOKUP($A126,tabCustoUnit[],COLUMN(CUSTO_GLOBAL[[#Headers],[Lucro]])-2,0)*($G126-$H126)</f>
        <v>159.30499317803796</v>
      </c>
      <c r="BR126" s="26">
        <f>VLOOKUP($A126,tabCustoUnit[],COLUMN(CUSTO_GLOBAL[[#Headers],[COFINS]])-2,0)</f>
        <v>8.6609686609686695E-2</v>
      </c>
      <c r="BS126" s="26">
        <f>VLOOKUP($A126,tabCustoUnit[],COLUMN(CUSTO_GLOBAL[[#Headers],[PIS]])-2,0)</f>
        <v>1.880341880341882E-2</v>
      </c>
      <c r="BT126" s="28">
        <f>VLOOKUP($A126,tabCustoUnit[],COLUMN(CUSTO_GLOBAL[[#Headers],[ISS]])-2,0)</f>
        <v>0.03</v>
      </c>
      <c r="BU126" s="26">
        <f>VLOOKUP($A126,tabCustoUnit[],COLUMN(CUSTO_GLOBAL[[#Headers],[ISS (Conversão Alíquota s/ fatura)]])-2,0)</f>
        <v>3.4188034188034219E-2</v>
      </c>
      <c r="BV126" s="26">
        <f>VLOOKUP($A126,tabCustoUnit[],COLUMN(CUSTO_GLOBAL[[#Headers],[Resumo de Alíquotas (PIS+CONFINS+ISS)]])-2,0)</f>
        <v>0.1225</v>
      </c>
      <c r="BW126" s="138">
        <f>VLOOKUP($A126,tabCustoUnit[],COLUMN(CUSTO_GLOBAL[[#Headers],[PIS + COFINS + ISS (Total Conversão  Alíquota s/ Fatura)]])-2,0)</f>
        <v>0.13960113960113973</v>
      </c>
      <c r="BX126" s="22">
        <f>VLOOKUP($A126,tabCustoUnit[],COLUMN(CUSTO_GLOBAL[[#Headers],[Valor dos Tributos (ISS, PIS, CONFINS)]])-2,0)*($G126-$H126)</f>
        <v>342.31487871871428</v>
      </c>
      <c r="BY126" s="22">
        <f>VLOOKUP($A126,tabCustoUnit[],COLUMN(CUSTO_GLOBAL[[#Headers],[MÓDULO 6 – CUSTOS INDIRETOS, TRIBUTOS E LUCRO]])-2,0)*($G126-$H126)</f>
        <v>691.26867329917832</v>
      </c>
      <c r="BZ126" s="22">
        <f>VLOOKUP($A126,tabCustoUnit[],COLUMN(CUSTO_GLOBAL[[#Headers],[CUSTO TOTAL MENSAL]])-2,0)*($G126-$H126)</f>
        <v>2794.4071732139919</v>
      </c>
      <c r="CA126" s="22">
        <f>CUSTO_GLOBAL[[#This Row],[CUSTO TOTAL MENSAL]]*12</f>
        <v>33532.886078567899</v>
      </c>
      <c r="CB126" s="24">
        <f>VLOOKUP($A126,tabCustoUnit[],COLUMN(CUSTO_GLOBAL[[#Headers],[ANO DA CCT]])-2,0)</f>
        <v>45658</v>
      </c>
      <c r="CC126" s="25" t="str">
        <f>VLOOKUP($A126,tabCustoUnit[],COLUMN(CUSTO_GLOBAL[[#Headers],[Nº DE PEDIDO DA CCT]])-2,0)</f>
        <v>-</v>
      </c>
      <c r="CD126" s="25" t="str">
        <f>VLOOKUP($A126,tabCustoUnit[],COLUMN(CUSTO_GLOBAL[[#Headers],[TERMO ADITIVO  ALTERAÇÃO DA CCT]])-2,0)</f>
        <v>-</v>
      </c>
      <c r="CF126" s="22"/>
      <c r="CG126" s="22"/>
    </row>
    <row r="127" spans="1:85" x14ac:dyDescent="0.25">
      <c r="A127" s="20" t="s">
        <v>1463</v>
      </c>
      <c r="B127" t="s">
        <v>115</v>
      </c>
      <c r="C127" t="s">
        <v>1245</v>
      </c>
      <c r="D127" t="s">
        <v>1000</v>
      </c>
      <c r="E127" s="20" t="s">
        <v>9</v>
      </c>
      <c r="F127" s="20" t="s">
        <v>10</v>
      </c>
      <c r="G127" s="20">
        <v>2</v>
      </c>
      <c r="H127" s="20">
        <v>0</v>
      </c>
      <c r="I127" s="21">
        <f>VLOOKUP($A127,tabCustoUnit[],COLUMN(CUSTO_GLOBAL[[#Headers],[Salário Base]])-2,0)*($G127-$H127)</f>
        <v>3192.56</v>
      </c>
      <c r="J127" s="21">
        <f>VLOOKUP($A127,tabCustoUnit[],COLUMN(CUSTO_GLOBAL[[#Headers],[Adicional Periculosidade]])-2,0)*($G127-$H127)</f>
        <v>0</v>
      </c>
      <c r="K127" s="21">
        <f>VLOOKUP($A127,tabCustoUnit[],COLUMN(CUSTO_GLOBAL[[#Headers],[Adicional Insalubridade]])-2,0)*($G127-$H127)</f>
        <v>0</v>
      </c>
      <c r="L127" s="21">
        <f>VLOOKUP($A127,tabCustoUnit[],COLUMN(CUSTO_GLOBAL[[#Headers],[Adicional Noturno]])-2,0)*($G127-$H127)</f>
        <v>0</v>
      </c>
      <c r="M127" s="21">
        <f>VLOOKUP($A127,tabCustoUnit[],COLUMN(CUSTO_GLOBAL[[#Headers],[Adicional Motorista II (Gratificação)]])-2,0)*($G127-$H127)</f>
        <v>0</v>
      </c>
      <c r="N127" s="21">
        <f>VLOOKUP($A127,tabCustoUnit[],COLUMN(CUSTO_GLOBAL[[#Headers],[Adicional de Sobreaviso]])-2,0)*($G127-$H127)</f>
        <v>0</v>
      </c>
      <c r="O127" s="21">
        <f>VLOOKUP($A127,tabCustoUnit[],COLUMN(CUSTO_GLOBAL[[#Headers],[Horas Extras TI]])-2,0)*($G127-$H127)</f>
        <v>0</v>
      </c>
      <c r="P127" s="21">
        <f>VLOOKUP($A127,tabCustoUnit[],COLUMN(CUSTO_GLOBAL[[#Headers],[Adicional de Acúmulo de função]])-2,0)*($G127-$H127)</f>
        <v>104.4838</v>
      </c>
      <c r="Q127" s="21">
        <f>VLOOKUP($A127,tabCustoUnit[],COLUMN(CUSTO_GLOBAL[[#Headers],[MODULO 1 - REMUNERAÇÃO ]])-2,0)*($G127-$H127)</f>
        <v>3297.0437999999999</v>
      </c>
      <c r="R127" s="21">
        <f>VLOOKUP($A127,tabCustoUnit[],COLUMN(CUSTO_GLOBAL[[#Headers],[INSS]])-2,0)*($G127-$H127)</f>
        <v>659.40876000000003</v>
      </c>
      <c r="S127" s="21">
        <f>VLOOKUP($A127,tabCustoUnit[],COLUMN(CUSTO_GLOBAL[[#Headers],[SESI OU SESC]])-2,0)*($G127-$H127)</f>
        <v>49.455656999999995</v>
      </c>
      <c r="T127" s="21">
        <f>VLOOKUP($A127,tabCustoUnit[],COLUMN(CUSTO_GLOBAL[[#Headers],[SENAI OU SENAC]])-2,0)*($G127-$H127)</f>
        <v>32.970438000000001</v>
      </c>
      <c r="U127" s="21">
        <f>VLOOKUP($A127,tabCustoUnit[],COLUMN(CUSTO_GLOBAL[[#Headers],[INCRA]])-2,0)*($G127-$H127)</f>
        <v>6.5940875999999999</v>
      </c>
      <c r="V127" s="21">
        <f>VLOOKUP($A127,tabCustoUnit[],COLUMN(CUSTO_GLOBAL[[#Headers],[Salário Educação]])-2,0)*($G127-$H127)</f>
        <v>82.426095000000004</v>
      </c>
      <c r="W127" s="21">
        <f>VLOOKUP($A127,tabCustoUnit[],COLUMN(CUSTO_GLOBAL[[#Headers],[FGTS]])-2,0)*($G127-$H127)</f>
        <v>263.76350400000001</v>
      </c>
      <c r="X127" s="21">
        <f>VLOOKUP($A127,tabCustoUnit[],COLUMN(CUSTO_GLOBAL[[#Headers],[RAT Ajustado]])-2,0)*($G127-$H127)</f>
        <v>131.88175200000001</v>
      </c>
      <c r="Y127" s="21">
        <f>VLOOKUP($A127,tabCustoUnit[],COLUMN(CUSTO_GLOBAL[[#Headers],[SEBRAE]])-2,0)*($G127-$H127)</f>
        <v>19.782262800000002</v>
      </c>
      <c r="Z127" s="21">
        <f>VLOOKUP($A127,tabCustoUnit[],COLUMN(CUSTO_GLOBAL[[#Headers],[Submódulo 2.1]])-2,0)*($G127-$H127)</f>
        <v>1246.2825564</v>
      </c>
      <c r="AA127" s="21">
        <f>VLOOKUP($A127,tabCustoUnit[],COLUMN(CUSTO_GLOBAL[[#Headers],[13º salário (titular)]])-2,0)*($G127-$H127)</f>
        <v>274.75364999999999</v>
      </c>
      <c r="AB127" s="21">
        <f>VLOOKUP($A127,tabCustoUnit[],COLUMN(CUSTO_GLOBAL[[#Headers],[Férias e Adicional de Férias (titular)]])-2,0)*($G127-$H127)</f>
        <v>366.33819999999997</v>
      </c>
      <c r="AC127" s="21">
        <f>VLOOKUP($A127,tabCustoUnit[],COLUMN(CUSTO_GLOBAL[[#Headers],[Incidência do Submódulo 2.1 sobre 13º Salário, Férias e Adicional de Férias]])-2,0)*($G127-$H127)</f>
        <v>242.33271930000001</v>
      </c>
      <c r="AD127" s="21">
        <f>VLOOKUP($A127,tabCustoUnit[],COLUMN(CUSTO_GLOBAL[[#Headers],[Submódulo 2.2]])-2,0)*($G127-$H127)</f>
        <v>883.42456930000003</v>
      </c>
      <c r="AE127" s="22">
        <f>VLOOKUP($A127,tabCustoUnit[],COLUMN(CUSTO_GLOBAL[[#Headers],[Vale - Transporte (Descontada parcela do empregado)]])-2,0)*($G127-$H127)</f>
        <v>320.44640000000004</v>
      </c>
      <c r="AF127" s="22">
        <f>VLOOKUP($A127,tabCustoUnit[],COLUMN(CUSTO_GLOBAL[[#Headers],[Vale - Alimentação (Descontada parcela do empregado)]])-2,0)*($G127-$H127)</f>
        <v>1164</v>
      </c>
      <c r="AG127" s="22">
        <f>VLOOKUP($A127,tabCustoUnit[],COLUMN(CUSTO_GLOBAL[[#Headers],[Cesta Básica]])-2,0)*($G127-$H127)</f>
        <v>0</v>
      </c>
      <c r="AH127" s="22">
        <f>VLOOKUP($A127,tabCustoUnit[],COLUMN(CUSTO_GLOBAL[[#Headers],[PAF]])-2,0)*($G127-$H127)</f>
        <v>0</v>
      </c>
      <c r="AI127" s="22">
        <f>VLOOKUP($A127,tabCustoUnit[],COLUMN(CUSTO_GLOBAL[[#Headers],[PQM]])-2,0)*($G127-$H127)</f>
        <v>30.14</v>
      </c>
      <c r="AJ127" s="22">
        <v>0</v>
      </c>
      <c r="AK127" s="22">
        <f>VLOOKUP($A127,tabCustoUnit[],COLUMN(CUSTO_GLOBAL[[#Headers],[Seguro de Vida]])-2,0)*($G127-$H127)</f>
        <v>6.72</v>
      </c>
      <c r="AL127" s="22">
        <f>VLOOKUP($A127,tabCustoUnit[],COLUMN(CUSTO_GLOBAL[[#Headers],[Despesas de Viagem]])-2,0)*($G127-$H127)</f>
        <v>0</v>
      </c>
      <c r="AM127" s="22">
        <f>VLOOKUP($A127,tabCustoUnit[],COLUMN(CUSTO_GLOBAL[[#Headers],[Submódulo 2.3]])-2,0)*($G127-$H127)</f>
        <v>1521.3064000000002</v>
      </c>
      <c r="AN127" s="22">
        <f>VLOOKUP($A127,tabCustoUnit[],COLUMN(CUSTO_GLOBAL[[#Headers],[MÓDULO 2 - Total Encargos e Benefícios mensais e diários]])-2,0)*($G127-$H127)</f>
        <v>3651.0135257000002</v>
      </c>
      <c r="AO127" s="22">
        <f>VLOOKUP($A127,tabCustoUnit[],COLUMN(CUSTO_GLOBAL[[#Headers],[Aviso Prévio Indenizado (API) e Reflexo do Aviso Prévio Indenizado]])-2,0)*($G127-$H127)</f>
        <v>23.118102832986111</v>
      </c>
      <c r="AP127" s="22">
        <f>VLOOKUP($A127,tabCustoUnit[],COLUMN(CUSTO_GLOBAL[[#Headers],[Incidência do FGTS sobre API e Reflexo do API]])-2,0)*($G127-$H127)</f>
        <v>1.849448226638889</v>
      </c>
      <c r="AQ127" s="22">
        <f>VLOOKUP($A127,tabCustoUnit[],COLUMN(CUSTO_GLOBAL[[#Headers],[Multa Rescisória do FGTS sobre o Aviso Prévio Indenizado]])-2,0)*($G127-$H127)</f>
        <v>0.7397792906555557</v>
      </c>
      <c r="AR127" s="22">
        <f>VLOOKUP($A127,tabCustoUnit[],COLUMN(CUSTO_GLOBAL[[#Headers],[Aviso Prévio Trabalhado - APT]])-2,0)*($G127-$H127)</f>
        <v>11.539653300000001</v>
      </c>
      <c r="AS127" s="22">
        <f>VLOOKUP($A127,tabCustoUnit[],COLUMN(CUSTO_GLOBAL[[#Headers],[Incidência dos encargos do submódulo 2.1 sobre Aviso Prévio Trabalhado]])-2,0)*($G127-$H127)</f>
        <v>4.3619889474000013</v>
      </c>
      <c r="AT127" s="22">
        <f>VLOOKUP($A127,tabCustoUnit[],COLUMN(CUSTO_GLOBAL[[#Headers],[Multa Rescisória do FGTS]])-2,0)*($G127-$H127)</f>
        <v>100.81627263999998</v>
      </c>
      <c r="AU127" s="22">
        <f>VLOOKUP($A127,tabCustoUnit[],COLUMN(CUSTO_GLOBAL[[#Headers],[Indenização Adicional (Art. 9º da Lei nº 7.238/84)]])-2,0)*($G127-$H127)</f>
        <v>2.7475365000000003</v>
      </c>
      <c r="AV127" s="22">
        <f>VLOOKUP($A127,tabCustoUnit[],COLUMN(CUSTO_GLOBAL[[#Headers],[MÓDULO 3 – PROVISÃO PARA RESCISÃO]])-2,0)*($G127-$H127)</f>
        <v>145.17278173768054</v>
      </c>
      <c r="AW127" s="22">
        <f>VLOOKUP($A127,tabCustoUnit[],COLUMN(CUSTO_GLOBAL[[#Headers],[Ausência por Doença]])-2,0)*($G127-$H127)</f>
        <v>27.841703199999998</v>
      </c>
      <c r="AX127" s="22">
        <f>VLOOKUP($A127,tabCustoUnit[],COLUMN(CUSTO_GLOBAL[[#Headers],[Ausências Legais]])-2,0)*($G127-$H127)</f>
        <v>6.6856721499999994</v>
      </c>
      <c r="AY127" s="22">
        <f>VLOOKUP($A127,tabCustoUnit[],COLUMN(CUSTO_GLOBAL[[#Headers],[Licença Paternidade]])-2,0)*($G127-$H127)</f>
        <v>0.56324498249999999</v>
      </c>
      <c r="AZ127" s="22">
        <f>VLOOKUP($A127,tabCustoUnit[],COLUMN(CUSTO_GLOBAL[[#Headers],[Ausência por Acidente de Trabalho]])-2,0)*($G127-$H127)</f>
        <v>0.68688412500000007</v>
      </c>
      <c r="BA127" s="22">
        <f>VLOOKUP($A127,tabCustoUnit[],COLUMN(CUSTO_GLOBAL[[#Headers],[Férias, Adicional de Férias e 13º  com empregada em gozo de Licença Maternidade]])-2,0)*($G127-$H127)</f>
        <v>4.2739456666666662</v>
      </c>
      <c r="BB127" s="22">
        <f>VLOOKUP($A127,tabCustoUnit[],COLUMN(CUSTO_GLOBAL[[#Headers],[Incidência do Submódulo 2.1 sobre Ausências Legais]])-2,0)*($G127-$H127)</f>
        <v>15.139448146935003</v>
      </c>
      <c r="BC127" s="22">
        <f>VLOOKUP($A127,tabCustoUnit[],COLUMN(CUSTO_GLOBAL[[#Headers],[Submódulo 4.1]])-2,0)*($G127-$H127)</f>
        <v>55.190898271101666</v>
      </c>
      <c r="BD127" s="22">
        <f>VLOOKUP($A127,tabCustoUnit[],COLUMN(CUSTO_GLOBAL[[#Headers],[Intervalo para Repouso ou Alimentação]])-2,0)*($G127-$H127)</f>
        <v>0</v>
      </c>
      <c r="BE127" s="22">
        <f>VLOOKUP($A127,tabCustoUnit[],COLUMN(CUSTO_GLOBAL[[#Headers],[Submódulo 4.2]])-2,0)*($G127-$H127)</f>
        <v>0</v>
      </c>
      <c r="BF127" s="22">
        <f>VLOOKUP($A127,tabCustoUnit[],COLUMN(CUSTO_GLOBAL[[#Headers],[Suspensão Temporária do Contrato de Trabalho]])-2,0)*($G127-$H127)</f>
        <v>0</v>
      </c>
      <c r="BG127" s="22">
        <f>VLOOKUP($A127,tabCustoUnit[],COLUMN(CUSTO_GLOBAL[[#Headers],[Submódulo 4.3]])-2,0)*($G127-$H127)</f>
        <v>0</v>
      </c>
      <c r="BH127" s="22">
        <f>VLOOKUP($A127,tabCustoUnit[],COLUMN(CUSTO_GLOBAL[[#Headers],[MÓDULO 4 – CUSTO DE REPOSIÇÃO DO PROFISSIONAL AUSENTE]])-2,0)*($G127-$H127)</f>
        <v>55.190898271101666</v>
      </c>
      <c r="BI127" s="22">
        <f>VLOOKUP($A127,tabCustoUnit[],COLUMN(CUSTO_GLOBAL[[#Headers],[Uniformes e EPIs]])-2,0)*($G127-$H127)</f>
        <v>201.61833333333331</v>
      </c>
      <c r="BJ127" s="22">
        <f>VLOOKUP($A127,tabCustoUnit[],COLUMN(CUSTO_GLOBAL[[#Headers],[Materiais de Consumo]])-2,0)*($G127-$H127)</f>
        <v>71.036425917167776</v>
      </c>
      <c r="BK127" s="22">
        <f>VLOOKUP($A127,tabCustoUnit[],COLUMN(CUSTO_GLOBAL[[#Headers],[Máquinas e Equipamentos (depreciação)]])-2,0)*($G127-$H127)</f>
        <v>129.05878782965115</v>
      </c>
      <c r="BL127" s="22">
        <f>VLOOKUP($A127,tabCustoUnit[],COLUMN(CUSTO_GLOBAL[[#Headers],[Produtos de Limpeza e Materiais de Higiene Pessoal]])-2,0)*($G127-$H127)</f>
        <v>1380.5430655586331</v>
      </c>
      <c r="BM127" s="22">
        <f>VLOOKUP($A127,tabCustoUnit[],COLUMN(CUSTO_GLOBAL[[#Headers],[Outros (especificar)]])-2,0)*($G127-$H127)</f>
        <v>0</v>
      </c>
      <c r="BN127" s="22">
        <f>VLOOKUP($A127,tabCustoUnit[],COLUMN(CUSTO_GLOBAL[[#Headers],[MÓDULO 5 – INSUMOS DIVERSOS]])-2,0)*($G127-$H127)</f>
        <v>1782.2566126387853</v>
      </c>
      <c r="BO127" s="22">
        <f>VLOOKUP($A127,tabCustoUnit[],COLUMN(CUSTO_GLOBAL[[#Headers],[TOTAL MÓDULOS 1+2+3+4+5]])-2,0)*($G127-$H127)</f>
        <v>8930.6776183475667</v>
      </c>
      <c r="BP127" s="22">
        <f>VLOOKUP($A127,tabCustoUnit[],COLUMN(CUSTO_GLOBAL[[#Headers],[Custos Indiretos]])-2,0)*($G127-$H127)</f>
        <v>379.29760280485226</v>
      </c>
      <c r="BQ127" s="22">
        <f>VLOOKUP($A127,tabCustoUnit[],COLUMN(CUSTO_GLOBAL[[#Headers],[Lucro]])-2,0)*($G127-$H127)</f>
        <v>318.60998635607592</v>
      </c>
      <c r="BR127" s="26">
        <f>VLOOKUP($A127,tabCustoUnit[],COLUMN(CUSTO_GLOBAL[[#Headers],[COFINS]])-2,0)</f>
        <v>8.5633802816901458E-2</v>
      </c>
      <c r="BS127" s="26">
        <f>VLOOKUP($A127,tabCustoUnit[],COLUMN(CUSTO_GLOBAL[[#Headers],[PIS]])-2,0)</f>
        <v>1.8591549295774657E-2</v>
      </c>
      <c r="BT127" s="28">
        <f>VLOOKUP($A127,tabCustoUnit[],COLUMN(CUSTO_GLOBAL[[#Headers],[ISS]])-2,0)</f>
        <v>0.02</v>
      </c>
      <c r="BU127" s="26">
        <f>VLOOKUP($A127,tabCustoUnit[],COLUMN(CUSTO_GLOBAL[[#Headers],[ISS (Conversão Alíquota s/ fatura)]])-2,0)</f>
        <v>2.2535211267605645E-2</v>
      </c>
      <c r="BV127" s="26">
        <f>VLOOKUP($A127,tabCustoUnit[],COLUMN(CUSTO_GLOBAL[[#Headers],[Resumo de Alíquotas (PIS+CONFINS+ISS)]])-2,0)</f>
        <v>0.1125</v>
      </c>
      <c r="BW127" s="138">
        <f>VLOOKUP($A127,tabCustoUnit[],COLUMN(CUSTO_GLOBAL[[#Headers],[PIS + COFINS + ISS (Total Conversão  Alíquota s/ Fatura)]])-2,0)</f>
        <v>0.12676056338028174</v>
      </c>
      <c r="BX127" s="22">
        <f>VLOOKUP($A127,tabCustoUnit[],COLUMN(CUSTO_GLOBAL[[#Headers],[Valor dos Tributos (ISS, PIS, CONFINS)]])-2,0)*($G127-$H127)</f>
        <v>1220.5248854588237</v>
      </c>
      <c r="BY127" s="22">
        <f>VLOOKUP($A127,tabCustoUnit[],COLUMN(CUSTO_GLOBAL[[#Headers],[MÓDULO 6 – CUSTOS INDIRETOS, TRIBUTOS E LUCRO]])-2,0)*($G127-$H127)</f>
        <v>1918.4324746197519</v>
      </c>
      <c r="BZ127" s="22">
        <f>VLOOKUP($A127,tabCustoUnit[],COLUMN(CUSTO_GLOBAL[[#Headers],[CUSTO TOTAL MENSAL]])-2,0)*($G127-$H127)</f>
        <v>10849.110092967319</v>
      </c>
      <c r="CA127" s="22">
        <f>CUSTO_GLOBAL[[#This Row],[CUSTO TOTAL MENSAL]]*12</f>
        <v>130189.32111560783</v>
      </c>
      <c r="CB127" s="24">
        <f>VLOOKUP($A127,tabCustoUnit[],COLUMN(CUSTO_GLOBAL[[#Headers],[ANO DA CCT]])-2,0)</f>
        <v>45658</v>
      </c>
      <c r="CC127" s="25" t="str">
        <f>VLOOKUP($A127,tabCustoUnit[],COLUMN(CUSTO_GLOBAL[[#Headers],[Nº DE PEDIDO DA CCT]])-2,0)</f>
        <v>-</v>
      </c>
      <c r="CD127" s="25" t="str">
        <f>VLOOKUP($A127,tabCustoUnit[],COLUMN(CUSTO_GLOBAL[[#Headers],[TERMO ADITIVO  ALTERAÇÃO DA CCT]])-2,0)</f>
        <v>-</v>
      </c>
      <c r="CF127" s="22"/>
      <c r="CG127" s="22"/>
    </row>
    <row r="128" spans="1:85" x14ac:dyDescent="0.25">
      <c r="A128" s="20" t="s">
        <v>1464</v>
      </c>
      <c r="B128" t="s">
        <v>116</v>
      </c>
      <c r="C128" t="s">
        <v>1246</v>
      </c>
      <c r="D128" t="s">
        <v>992</v>
      </c>
      <c r="E128" s="20" t="s">
        <v>9</v>
      </c>
      <c r="F128" s="20" t="s">
        <v>10</v>
      </c>
      <c r="G128" s="20">
        <v>1</v>
      </c>
      <c r="H128" s="20">
        <v>0</v>
      </c>
      <c r="I128" s="21">
        <f>VLOOKUP($A128,tabCustoUnit[],COLUMN(CUSTO_GLOBAL[[#Headers],[Salário Base]])-2,0)*($G128-$H128)</f>
        <v>1088.3699999999999</v>
      </c>
      <c r="J128" s="21">
        <f>VLOOKUP($A128,tabCustoUnit[],COLUMN(CUSTO_GLOBAL[[#Headers],[Adicional Periculosidade]])-2,0)*($G128-$H128)</f>
        <v>0</v>
      </c>
      <c r="K128" s="21">
        <f>VLOOKUP($A128,tabCustoUnit[],COLUMN(CUSTO_GLOBAL[[#Headers],[Adicional Insalubridade]])-2,0)*($G128-$H128)</f>
        <v>0</v>
      </c>
      <c r="L128" s="21">
        <f>VLOOKUP($A128,tabCustoUnit[],COLUMN(CUSTO_GLOBAL[[#Headers],[Adicional Noturno]])-2,0)*($G128-$H128)</f>
        <v>0</v>
      </c>
      <c r="M128" s="21">
        <f>VLOOKUP($A128,tabCustoUnit[],COLUMN(CUSTO_GLOBAL[[#Headers],[Adicional Motorista II (Gratificação)]])-2,0)*($G128-$H128)</f>
        <v>0</v>
      </c>
      <c r="N128" s="21">
        <f>VLOOKUP($A128,tabCustoUnit[],COLUMN(CUSTO_GLOBAL[[#Headers],[Adicional de Sobreaviso]])-2,0)*($G128-$H128)</f>
        <v>0</v>
      </c>
      <c r="O128" s="21">
        <f>VLOOKUP($A128,tabCustoUnit[],COLUMN(CUSTO_GLOBAL[[#Headers],[Horas Extras TI]])-2,0)*($G128-$H128)</f>
        <v>0</v>
      </c>
      <c r="P128" s="21">
        <f>VLOOKUP($A128,tabCustoUnit[],COLUMN(CUSTO_GLOBAL[[#Headers],[Adicional de Acúmulo de função]])-2,0)*($G128-$H128)</f>
        <v>39.1813</v>
      </c>
      <c r="Q128" s="21">
        <f>VLOOKUP($A128,tabCustoUnit[],COLUMN(CUSTO_GLOBAL[[#Headers],[MODULO 1 - REMUNERAÇÃO ]])-2,0)*($G128-$H128)</f>
        <v>1127.5512999999999</v>
      </c>
      <c r="R128" s="21">
        <f>VLOOKUP($A128,tabCustoUnit[],COLUMN(CUSTO_GLOBAL[[#Headers],[INSS]])-2,0)*($G128-$H128)</f>
        <v>225.51025999999999</v>
      </c>
      <c r="S128" s="21">
        <f>VLOOKUP($A128,tabCustoUnit[],COLUMN(CUSTO_GLOBAL[[#Headers],[SESI OU SESC]])-2,0)*($G128-$H128)</f>
        <v>16.913269499999998</v>
      </c>
      <c r="T128" s="21">
        <f>VLOOKUP($A128,tabCustoUnit[],COLUMN(CUSTO_GLOBAL[[#Headers],[SENAI OU SENAC]])-2,0)*($G128-$H128)</f>
        <v>11.275512999999998</v>
      </c>
      <c r="U128" s="21">
        <f>VLOOKUP($A128,tabCustoUnit[],COLUMN(CUSTO_GLOBAL[[#Headers],[INCRA]])-2,0)*($G128-$H128)</f>
        <v>2.2551025999999998</v>
      </c>
      <c r="V128" s="21">
        <f>VLOOKUP($A128,tabCustoUnit[],COLUMN(CUSTO_GLOBAL[[#Headers],[Salário Educação]])-2,0)*($G128-$H128)</f>
        <v>28.188782499999999</v>
      </c>
      <c r="W128" s="21">
        <f>VLOOKUP($A128,tabCustoUnit[],COLUMN(CUSTO_GLOBAL[[#Headers],[FGTS]])-2,0)*($G128-$H128)</f>
        <v>90.204103999999987</v>
      </c>
      <c r="X128" s="21">
        <f>VLOOKUP($A128,tabCustoUnit[],COLUMN(CUSTO_GLOBAL[[#Headers],[RAT Ajustado]])-2,0)*($G128-$H128)</f>
        <v>45.102051999999993</v>
      </c>
      <c r="Y128" s="21">
        <f>VLOOKUP($A128,tabCustoUnit[],COLUMN(CUSTO_GLOBAL[[#Headers],[SEBRAE]])-2,0)*($G128-$H128)</f>
        <v>6.7653077999999995</v>
      </c>
      <c r="Z128" s="21">
        <f>VLOOKUP($A128,tabCustoUnit[],COLUMN(CUSTO_GLOBAL[[#Headers],[Submódulo 2.1]])-2,0)*($G128-$H128)</f>
        <v>426.21439139999995</v>
      </c>
      <c r="AA128" s="21">
        <f>VLOOKUP($A128,tabCustoUnit[],COLUMN(CUSTO_GLOBAL[[#Headers],[13º salário (titular)]])-2,0)*($G128-$H128)</f>
        <v>93.962608333333321</v>
      </c>
      <c r="AB128" s="21">
        <f>VLOOKUP($A128,tabCustoUnit[],COLUMN(CUSTO_GLOBAL[[#Headers],[Férias e Adicional de Férias (titular)]])-2,0)*($G128-$H128)</f>
        <v>125.28347777777776</v>
      </c>
      <c r="AC128" s="21">
        <f>VLOOKUP($A128,tabCustoUnit[],COLUMN(CUSTO_GLOBAL[[#Headers],[Incidência do Submódulo 2.1 sobre 13º Salário, Férias e Adicional de Férias]])-2,0)*($G128-$H128)</f>
        <v>82.875020549999988</v>
      </c>
      <c r="AD128" s="21">
        <f>VLOOKUP($A128,tabCustoUnit[],COLUMN(CUSTO_GLOBAL[[#Headers],[Submódulo 2.2]])-2,0)*($G128-$H128)</f>
        <v>302.12110666111107</v>
      </c>
      <c r="AE128" s="22">
        <f>VLOOKUP($A128,tabCustoUnit[],COLUMN(CUSTO_GLOBAL[[#Headers],[Vale - Transporte (Descontada parcela do empregado)]])-2,0)*($G128-$H128)</f>
        <v>190.69780000000003</v>
      </c>
      <c r="AF128" s="22">
        <f>VLOOKUP($A128,tabCustoUnit[],COLUMN(CUSTO_GLOBAL[[#Headers],[Vale - Alimentação (Descontada parcela do empregado)]])-2,0)*($G128-$H128)</f>
        <v>0</v>
      </c>
      <c r="AG128" s="22">
        <f>VLOOKUP($A128,tabCustoUnit[],COLUMN(CUSTO_GLOBAL[[#Headers],[Cesta Básica]])-2,0)*($G128-$H128)</f>
        <v>387.79</v>
      </c>
      <c r="AH128" s="22">
        <f>VLOOKUP($A128,tabCustoUnit[],COLUMN(CUSTO_GLOBAL[[#Headers],[PAF]])-2,0)*($G128-$H128)</f>
        <v>42.97</v>
      </c>
      <c r="AI128" s="22">
        <f>VLOOKUP($A128,tabCustoUnit[],COLUMN(CUSTO_GLOBAL[[#Headers],[PQM]])-2,0)*($G128-$H128)</f>
        <v>0</v>
      </c>
      <c r="AJ128" s="22">
        <v>0</v>
      </c>
      <c r="AK128" s="22">
        <f>VLOOKUP($A128,tabCustoUnit[],COLUMN(CUSTO_GLOBAL[[#Headers],[Seguro de Vida]])-2,0)*($G128-$H128)</f>
        <v>3.36</v>
      </c>
      <c r="AL128" s="22">
        <f>VLOOKUP($A128,tabCustoUnit[],COLUMN(CUSTO_GLOBAL[[#Headers],[Despesas de Viagem]])-2,0)*($G128-$H128)</f>
        <v>0</v>
      </c>
      <c r="AM128" s="22">
        <f>VLOOKUP($A128,tabCustoUnit[],COLUMN(CUSTO_GLOBAL[[#Headers],[Submódulo 2.3]])-2,0)*($G128-$H128)</f>
        <v>624.81780000000015</v>
      </c>
      <c r="AN128" s="22">
        <f>VLOOKUP($A128,tabCustoUnit[],COLUMN(CUSTO_GLOBAL[[#Headers],[MÓDULO 2 - Total Encargos e Benefícios mensais e diários]])-2,0)*($G128-$H128)</f>
        <v>1353.1532980611112</v>
      </c>
      <c r="AO128" s="22">
        <f>VLOOKUP($A128,tabCustoUnit[],COLUMN(CUSTO_GLOBAL[[#Headers],[Aviso Prévio Indenizado (API) e Reflexo do Aviso Prévio Indenizado]])-2,0)*($G128-$H128)</f>
        <v>7.9061269683063262</v>
      </c>
      <c r="AP128" s="22">
        <f>VLOOKUP($A128,tabCustoUnit[],COLUMN(CUSTO_GLOBAL[[#Headers],[Incidência do FGTS sobre API e Reflexo do API]])-2,0)*($G128-$H128)</f>
        <v>0.6324901574645061</v>
      </c>
      <c r="AQ128" s="22">
        <f>VLOOKUP($A128,tabCustoUnit[],COLUMN(CUSTO_GLOBAL[[#Headers],[Multa Rescisória do FGTS sobre o Aviso Prévio Indenizado]])-2,0)*($G128-$H128)</f>
        <v>0.25299606298580246</v>
      </c>
      <c r="AR128" s="22">
        <f>VLOOKUP($A128,tabCustoUnit[],COLUMN(CUSTO_GLOBAL[[#Headers],[Aviso Prévio Trabalhado - APT]])-2,0)*($G128-$H128)</f>
        <v>3.94642955</v>
      </c>
      <c r="AS128" s="22">
        <f>VLOOKUP($A128,tabCustoUnit[],COLUMN(CUSTO_GLOBAL[[#Headers],[Incidência dos encargos do submódulo 2.1 sobre Aviso Prévio Trabalhado]])-2,0)*($G128-$H128)</f>
        <v>1.4917503699000003</v>
      </c>
      <c r="AT128" s="22">
        <f>VLOOKUP($A128,tabCustoUnit[],COLUMN(CUSTO_GLOBAL[[#Headers],[Multa Rescisória do FGTS]])-2,0)*($G128-$H128)</f>
        <v>34.478013084444434</v>
      </c>
      <c r="AU128" s="22">
        <f>VLOOKUP($A128,tabCustoUnit[],COLUMN(CUSTO_GLOBAL[[#Headers],[Indenização Adicional (Art. 9º da Lei nº 7.238/84)]])-2,0)*($G128-$H128)</f>
        <v>0.93962608333333331</v>
      </c>
      <c r="AV128" s="22">
        <f>VLOOKUP($A128,tabCustoUnit[],COLUMN(CUSTO_GLOBAL[[#Headers],[MÓDULO 3 – PROVISÃO PARA RESCISÃO]])-2,0)*($G128-$H128)</f>
        <v>49.647432276434401</v>
      </c>
      <c r="AW128" s="22">
        <f>VLOOKUP($A128,tabCustoUnit[],COLUMN(CUSTO_GLOBAL[[#Headers],[Ausência por Doença]])-2,0)*($G128-$H128)</f>
        <v>9.5215443111111089</v>
      </c>
      <c r="AX128" s="22">
        <f>VLOOKUP($A128,tabCustoUnit[],COLUMN(CUSTO_GLOBAL[[#Headers],[Ausências Legais]])-2,0)*($G128-$H128)</f>
        <v>2.2864234694444439</v>
      </c>
      <c r="AY128" s="22">
        <f>VLOOKUP($A128,tabCustoUnit[],COLUMN(CUSTO_GLOBAL[[#Headers],[Licença Paternidade]])-2,0)*($G128-$H128)</f>
        <v>0.19262334708333331</v>
      </c>
      <c r="AZ128" s="22">
        <f>VLOOKUP($A128,tabCustoUnit[],COLUMN(CUSTO_GLOBAL[[#Headers],[Ausência por Acidente de Trabalho]])-2,0)*($G128-$H128)</f>
        <v>0.23490652083333333</v>
      </c>
      <c r="BA128" s="22">
        <f>VLOOKUP($A128,tabCustoUnit[],COLUMN(CUSTO_GLOBAL[[#Headers],[Férias, Adicional de Férias e 13º  com empregada em gozo de Licença Maternidade]])-2,0)*($G128-$H128)</f>
        <v>1.4616405740740739</v>
      </c>
      <c r="BB128" s="22">
        <f>VLOOKUP($A128,tabCustoUnit[],COLUMN(CUSTO_GLOBAL[[#Headers],[Incidência do Submódulo 2.1 sobre Ausências Legais]])-2,0)*($G128-$H128)</f>
        <v>5.1775182481225004</v>
      </c>
      <c r="BC128" s="22">
        <f>VLOOKUP($A128,tabCustoUnit[],COLUMN(CUSTO_GLOBAL[[#Headers],[Submódulo 4.1]])-2,0)*($G128-$H128)</f>
        <v>18.874656470668793</v>
      </c>
      <c r="BD128" s="22">
        <f>VLOOKUP($A128,tabCustoUnit[],COLUMN(CUSTO_GLOBAL[[#Headers],[Intervalo para Repouso ou Alimentação]])-2,0)*($G128-$H128)</f>
        <v>0</v>
      </c>
      <c r="BE128" s="22">
        <f>VLOOKUP($A128,tabCustoUnit[],COLUMN(CUSTO_GLOBAL[[#Headers],[Submódulo 4.2]])-2,0)*($G128-$H128)</f>
        <v>0</v>
      </c>
      <c r="BF128" s="22">
        <f>VLOOKUP($A128,tabCustoUnit[],COLUMN(CUSTO_GLOBAL[[#Headers],[Suspensão Temporária do Contrato de Trabalho]])-2,0)*($G128-$H128)</f>
        <v>0</v>
      </c>
      <c r="BG128" s="22">
        <f>VLOOKUP($A128,tabCustoUnit[],COLUMN(CUSTO_GLOBAL[[#Headers],[Submódulo 4.3]])-2,0)*($G128-$H128)</f>
        <v>0</v>
      </c>
      <c r="BH128" s="22">
        <f>VLOOKUP($A128,tabCustoUnit[],COLUMN(CUSTO_GLOBAL[[#Headers],[MÓDULO 4 – CUSTO DE REPOSIÇÃO DO PROFISSIONAL AUSENTE]])-2,0)*($G128-$H128)</f>
        <v>18.874656470668793</v>
      </c>
      <c r="BI128" s="22">
        <f>VLOOKUP($A128,tabCustoUnit[],COLUMN(CUSTO_GLOBAL[[#Headers],[Uniformes e EPIs]])-2,0)*($G128-$H128)</f>
        <v>100.80916666666666</v>
      </c>
      <c r="BJ128" s="22">
        <f>VLOOKUP($A128,tabCustoUnit[],COLUMN(CUSTO_GLOBAL[[#Headers],[Materiais de Consumo]])-2,0)*($G128-$H128)</f>
        <v>24.216963380852651</v>
      </c>
      <c r="BK128" s="22">
        <f>VLOOKUP($A128,tabCustoUnit[],COLUMN(CUSTO_GLOBAL[[#Headers],[Máquinas e Equipamentos (depreciação)]])-2,0)*($G128-$H128)</f>
        <v>43.997314032835618</v>
      </c>
      <c r="BL128" s="22">
        <f>VLOOKUP($A128,tabCustoUnit[],COLUMN(CUSTO_GLOBAL[[#Headers],[Produtos de Limpeza e Materiais de Higiene Pessoal]])-2,0)*($G128-$H128)</f>
        <v>470.6396814404431</v>
      </c>
      <c r="BM128" s="22">
        <f>VLOOKUP($A128,tabCustoUnit[],COLUMN(CUSTO_GLOBAL[[#Headers],[Outros (especificar)]])-2,0)*($G128-$H128)</f>
        <v>0</v>
      </c>
      <c r="BN128" s="22">
        <f>VLOOKUP($A128,tabCustoUnit[],COLUMN(CUSTO_GLOBAL[[#Headers],[MÓDULO 5 – INSUMOS DIVERSOS]])-2,0)*($G128-$H128)</f>
        <v>639.66312552079808</v>
      </c>
      <c r="BO128" s="22">
        <f>VLOOKUP($A128,tabCustoUnit[],COLUMN(CUSTO_GLOBAL[[#Headers],[TOTAL MÓDULOS 1+2+3+4+5]])-2,0)*($G128-$H128)</f>
        <v>3188.8898123290123</v>
      </c>
      <c r="BP128" s="22">
        <f>VLOOKUP($A128,tabCustoUnit[],COLUMN(CUSTO_GLOBAL[[#Headers],[Custos Indiretos]])-2,0)*($G128-$H128)</f>
        <v>189.64880140242613</v>
      </c>
      <c r="BQ128" s="22">
        <f>VLOOKUP($A128,tabCustoUnit[],COLUMN(CUSTO_GLOBAL[[#Headers],[Lucro]])-2,0)*($G128-$H128)</f>
        <v>159.30499317803796</v>
      </c>
      <c r="BR128" s="26">
        <f>VLOOKUP($A128,tabCustoUnit[],COLUMN(CUSTO_GLOBAL[[#Headers],[COFINS]])-2,0)</f>
        <v>8.7608069164265154E-2</v>
      </c>
      <c r="BS128" s="26">
        <f>VLOOKUP($A128,tabCustoUnit[],COLUMN(CUSTO_GLOBAL[[#Headers],[PIS]])-2,0)</f>
        <v>1.9020172910662814E-2</v>
      </c>
      <c r="BT128" s="28">
        <f>VLOOKUP($A128,tabCustoUnit[],COLUMN(CUSTO_GLOBAL[[#Headers],[ISS]])-2,0)</f>
        <v>0.04</v>
      </c>
      <c r="BU128" s="26">
        <f>VLOOKUP($A128,tabCustoUnit[],COLUMN(CUSTO_GLOBAL[[#Headers],[ISS (Conversão Alíquota s/ fatura)]])-2,0)</f>
        <v>4.6109510086455294E-2</v>
      </c>
      <c r="BV128" s="26">
        <f>VLOOKUP($A128,tabCustoUnit[],COLUMN(CUSTO_GLOBAL[[#Headers],[Resumo de Alíquotas (PIS+CONFINS+ISS)]])-2,0)</f>
        <v>0.13250000000000001</v>
      </c>
      <c r="BW128" s="138">
        <f>VLOOKUP($A128,tabCustoUnit[],COLUMN(CUSTO_GLOBAL[[#Headers],[PIS + COFINS + ISS (Total Conversão  Alíquota s/ Fatura)]])-2,0)</f>
        <v>0.15273775216138324</v>
      </c>
      <c r="BX128" s="22">
        <f>VLOOKUP($A128,tabCustoUnit[],COLUMN(CUSTO_GLOBAL[[#Headers],[Valor dos Tributos (ISS, PIS, CONFINS)]])-2,0)*($G128-$H128)</f>
        <v>540.36228001787379</v>
      </c>
      <c r="BY128" s="22">
        <f>VLOOKUP($A128,tabCustoUnit[],COLUMN(CUSTO_GLOBAL[[#Headers],[MÓDULO 6 – CUSTOS INDIRETOS, TRIBUTOS E LUCRO]])-2,0)*($G128-$H128)</f>
        <v>889.31607459833788</v>
      </c>
      <c r="BZ128" s="22">
        <f>VLOOKUP($A128,tabCustoUnit[],COLUMN(CUSTO_GLOBAL[[#Headers],[CUSTO TOTAL MENSAL]])-2,0)*($G128-$H128)</f>
        <v>4078.2058869273501</v>
      </c>
      <c r="CA128" s="22">
        <f>CUSTO_GLOBAL[[#This Row],[CUSTO TOTAL MENSAL]]*12</f>
        <v>48938.470643128203</v>
      </c>
      <c r="CB128" s="24">
        <f>VLOOKUP($A128,tabCustoUnit[],COLUMN(CUSTO_GLOBAL[[#Headers],[ANO DA CCT]])-2,0)</f>
        <v>45658</v>
      </c>
      <c r="CC128" s="25" t="str">
        <f>VLOOKUP($A128,tabCustoUnit[],COLUMN(CUSTO_GLOBAL[[#Headers],[Nº DE PEDIDO DA CCT]])-2,0)</f>
        <v>-</v>
      </c>
      <c r="CD128" s="25" t="str">
        <f>VLOOKUP($A128,tabCustoUnit[],COLUMN(CUSTO_GLOBAL[[#Headers],[TERMO ADITIVO  ALTERAÇÃO DA CCT]])-2,0)</f>
        <v>-</v>
      </c>
      <c r="CF128" s="22"/>
      <c r="CG128" s="22"/>
    </row>
    <row r="129" spans="1:85" x14ac:dyDescent="0.25">
      <c r="A129" s="20" t="s">
        <v>1465</v>
      </c>
      <c r="B129" t="s">
        <v>117</v>
      </c>
      <c r="C129" t="s">
        <v>1244</v>
      </c>
      <c r="D129" t="s">
        <v>992</v>
      </c>
      <c r="E129" s="20" t="s">
        <v>9</v>
      </c>
      <c r="F129" s="20" t="s">
        <v>10</v>
      </c>
      <c r="G129" s="20">
        <v>1</v>
      </c>
      <c r="H129" s="20">
        <v>0</v>
      </c>
      <c r="I129" s="21">
        <f>VLOOKUP($A129,tabCustoUnit[],COLUMN(CUSTO_GLOBAL[[#Headers],[Salário Base]])-2,0)*($G129-$H129)</f>
        <v>798.14</v>
      </c>
      <c r="J129" s="21">
        <f>VLOOKUP($A129,tabCustoUnit[],COLUMN(CUSTO_GLOBAL[[#Headers],[Adicional Periculosidade]])-2,0)*($G129-$H129)</f>
        <v>0</v>
      </c>
      <c r="K129" s="21">
        <f>VLOOKUP($A129,tabCustoUnit[],COLUMN(CUSTO_GLOBAL[[#Headers],[Adicional Insalubridade]])-2,0)*($G129-$H129)</f>
        <v>0</v>
      </c>
      <c r="L129" s="21">
        <f>VLOOKUP($A129,tabCustoUnit[],COLUMN(CUSTO_GLOBAL[[#Headers],[Adicional Noturno]])-2,0)*($G129-$H129)</f>
        <v>0</v>
      </c>
      <c r="M129" s="21">
        <f>VLOOKUP($A129,tabCustoUnit[],COLUMN(CUSTO_GLOBAL[[#Headers],[Adicional Motorista II (Gratificação)]])-2,0)*($G129-$H129)</f>
        <v>0</v>
      </c>
      <c r="N129" s="21">
        <f>VLOOKUP($A129,tabCustoUnit[],COLUMN(CUSTO_GLOBAL[[#Headers],[Adicional de Sobreaviso]])-2,0)*($G129-$H129)</f>
        <v>0</v>
      </c>
      <c r="O129" s="21">
        <f>VLOOKUP($A129,tabCustoUnit[],COLUMN(CUSTO_GLOBAL[[#Headers],[Horas Extras TI]])-2,0)*($G129-$H129)</f>
        <v>0</v>
      </c>
      <c r="P129" s="21">
        <f>VLOOKUP($A129,tabCustoUnit[],COLUMN(CUSTO_GLOBAL[[#Headers],[Adicional de Acúmulo de função]])-2,0)*($G129-$H129)</f>
        <v>26.120899999999999</v>
      </c>
      <c r="Q129" s="21">
        <f>VLOOKUP($A129,tabCustoUnit[],COLUMN(CUSTO_GLOBAL[[#Headers],[MODULO 1 - REMUNERAÇÃO ]])-2,0)*($G129-$H129)</f>
        <v>824.26089999999999</v>
      </c>
      <c r="R129" s="21">
        <f>VLOOKUP($A129,tabCustoUnit[],COLUMN(CUSTO_GLOBAL[[#Headers],[INSS]])-2,0)*($G129-$H129)</f>
        <v>164.85218</v>
      </c>
      <c r="S129" s="21">
        <f>VLOOKUP($A129,tabCustoUnit[],COLUMN(CUSTO_GLOBAL[[#Headers],[SESI OU SESC]])-2,0)*($G129-$H129)</f>
        <v>12.363913499999999</v>
      </c>
      <c r="T129" s="21">
        <f>VLOOKUP($A129,tabCustoUnit[],COLUMN(CUSTO_GLOBAL[[#Headers],[SENAI OU SENAC]])-2,0)*($G129-$H129)</f>
        <v>8.2426089999999999</v>
      </c>
      <c r="U129" s="21">
        <f>VLOOKUP($A129,tabCustoUnit[],COLUMN(CUSTO_GLOBAL[[#Headers],[INCRA]])-2,0)*($G129-$H129)</f>
        <v>1.6485217999999999</v>
      </c>
      <c r="V129" s="21">
        <f>VLOOKUP($A129,tabCustoUnit[],COLUMN(CUSTO_GLOBAL[[#Headers],[Salário Educação]])-2,0)*($G129-$H129)</f>
        <v>20.606522500000001</v>
      </c>
      <c r="W129" s="21">
        <f>VLOOKUP($A129,tabCustoUnit[],COLUMN(CUSTO_GLOBAL[[#Headers],[FGTS]])-2,0)*($G129-$H129)</f>
        <v>65.940871999999999</v>
      </c>
      <c r="X129" s="21">
        <f>VLOOKUP($A129,tabCustoUnit[],COLUMN(CUSTO_GLOBAL[[#Headers],[RAT Ajustado]])-2,0)*($G129-$H129)</f>
        <v>32.970435999999999</v>
      </c>
      <c r="Y129" s="21">
        <f>VLOOKUP($A129,tabCustoUnit[],COLUMN(CUSTO_GLOBAL[[#Headers],[SEBRAE]])-2,0)*($G129-$H129)</f>
        <v>4.9455654000000004</v>
      </c>
      <c r="Z129" s="21">
        <f>VLOOKUP($A129,tabCustoUnit[],COLUMN(CUSTO_GLOBAL[[#Headers],[Submódulo 2.1]])-2,0)*($G129-$H129)</f>
        <v>311.57062020000001</v>
      </c>
      <c r="AA129" s="21">
        <f>VLOOKUP($A129,tabCustoUnit[],COLUMN(CUSTO_GLOBAL[[#Headers],[13º salário (titular)]])-2,0)*($G129-$H129)</f>
        <v>68.688408333333328</v>
      </c>
      <c r="AB129" s="21">
        <f>VLOOKUP($A129,tabCustoUnit[],COLUMN(CUSTO_GLOBAL[[#Headers],[Férias e Adicional de Férias (titular)]])-2,0)*($G129-$H129)</f>
        <v>91.584544444444433</v>
      </c>
      <c r="AC129" s="21">
        <f>VLOOKUP($A129,tabCustoUnit[],COLUMN(CUSTO_GLOBAL[[#Headers],[Incidência do Submódulo 2.1 sobre 13º Salário, Férias e Adicional de Férias]])-2,0)*($G129-$H129)</f>
        <v>60.583176149999993</v>
      </c>
      <c r="AD129" s="21">
        <f>VLOOKUP($A129,tabCustoUnit[],COLUMN(CUSTO_GLOBAL[[#Headers],[Submódulo 2.2]])-2,0)*($G129-$H129)</f>
        <v>220.85612892777775</v>
      </c>
      <c r="AE129" s="22">
        <f>VLOOKUP($A129,tabCustoUnit[],COLUMN(CUSTO_GLOBAL[[#Headers],[Vale - Transporte (Descontada parcela do empregado)]])-2,0)*($G129-$H129)</f>
        <v>208.11160000000001</v>
      </c>
      <c r="AF129" s="22">
        <f>VLOOKUP($A129,tabCustoUnit[],COLUMN(CUSTO_GLOBAL[[#Headers],[Vale - Alimentação (Descontada parcela do empregado)]])-2,0)*($G129-$H129)</f>
        <v>0</v>
      </c>
      <c r="AG129" s="22">
        <f>VLOOKUP($A129,tabCustoUnit[],COLUMN(CUSTO_GLOBAL[[#Headers],[Cesta Básica]])-2,0)*($G129-$H129)</f>
        <v>387.79</v>
      </c>
      <c r="AH129" s="22">
        <f>VLOOKUP($A129,tabCustoUnit[],COLUMN(CUSTO_GLOBAL[[#Headers],[PAF]])-2,0)*($G129-$H129)</f>
        <v>42.97</v>
      </c>
      <c r="AI129" s="22">
        <f>VLOOKUP($A129,tabCustoUnit[],COLUMN(CUSTO_GLOBAL[[#Headers],[PQM]])-2,0)*($G129-$H129)</f>
        <v>0</v>
      </c>
      <c r="AJ129" s="22">
        <v>0</v>
      </c>
      <c r="AK129" s="22">
        <f>VLOOKUP($A129,tabCustoUnit[],COLUMN(CUSTO_GLOBAL[[#Headers],[Seguro de Vida]])-2,0)*($G129-$H129)</f>
        <v>3.36</v>
      </c>
      <c r="AL129" s="22">
        <f>VLOOKUP($A129,tabCustoUnit[],COLUMN(CUSTO_GLOBAL[[#Headers],[Despesas de Viagem]])-2,0)*($G129-$H129)</f>
        <v>0</v>
      </c>
      <c r="AM129" s="22">
        <f>VLOOKUP($A129,tabCustoUnit[],COLUMN(CUSTO_GLOBAL[[#Headers],[Submódulo 2.3]])-2,0)*($G129-$H129)</f>
        <v>642.23160000000007</v>
      </c>
      <c r="AN129" s="22">
        <f>VLOOKUP($A129,tabCustoUnit[],COLUMN(CUSTO_GLOBAL[[#Headers],[MÓDULO 2 - Total Encargos e Benefícios mensais e diários]])-2,0)*($G129-$H129)</f>
        <v>1174.6583491277779</v>
      </c>
      <c r="AO129" s="22">
        <f>VLOOKUP($A129,tabCustoUnit[],COLUMN(CUSTO_GLOBAL[[#Headers],[Aviso Prévio Indenizado (API) e Reflexo do Aviso Prévio Indenizado]])-2,0)*($G129-$H129)</f>
        <v>5.7795253576581791</v>
      </c>
      <c r="AP129" s="22">
        <f>VLOOKUP($A129,tabCustoUnit[],COLUMN(CUSTO_GLOBAL[[#Headers],[Incidência do FGTS sobre API e Reflexo do API]])-2,0)*($G129-$H129)</f>
        <v>0.46236202861265435</v>
      </c>
      <c r="AQ129" s="22">
        <f>VLOOKUP($A129,tabCustoUnit[],COLUMN(CUSTO_GLOBAL[[#Headers],[Multa Rescisória do FGTS sobre o Aviso Prévio Indenizado]])-2,0)*($G129-$H129)</f>
        <v>0.18494481144506175</v>
      </c>
      <c r="AR129" s="22">
        <f>VLOOKUP($A129,tabCustoUnit[],COLUMN(CUSTO_GLOBAL[[#Headers],[Aviso Prévio Trabalhado - APT]])-2,0)*($G129-$H129)</f>
        <v>2.8849131500000005</v>
      </c>
      <c r="AS129" s="22">
        <f>VLOOKUP($A129,tabCustoUnit[],COLUMN(CUSTO_GLOBAL[[#Headers],[Incidência dos encargos do submódulo 2.1 sobre Aviso Prévio Trabalhado]])-2,0)*($G129-$H129)</f>
        <v>1.0904971707000004</v>
      </c>
      <c r="AT129" s="22">
        <f>VLOOKUP($A129,tabCustoUnit[],COLUMN(CUSTO_GLOBAL[[#Headers],[Multa Rescisória do FGTS]])-2,0)*($G129-$H129)</f>
        <v>25.204066631111107</v>
      </c>
      <c r="AU129" s="22">
        <f>VLOOKUP($A129,tabCustoUnit[],COLUMN(CUSTO_GLOBAL[[#Headers],[Indenização Adicional (Art. 9º da Lei nº 7.238/84)]])-2,0)*($G129-$H129)</f>
        <v>0.6868840833333334</v>
      </c>
      <c r="AV129" s="22">
        <f>VLOOKUP($A129,tabCustoUnit[],COLUMN(CUSTO_GLOBAL[[#Headers],[MÓDULO 3 – PROVISÃO PARA RESCISÃO]])-2,0)*($G129-$H129)</f>
        <v>36.293193232860339</v>
      </c>
      <c r="AW129" s="22">
        <f>VLOOKUP($A129,tabCustoUnit[],COLUMN(CUSTO_GLOBAL[[#Headers],[Ausência por Doença]])-2,0)*($G129-$H129)</f>
        <v>6.9604253777777769</v>
      </c>
      <c r="AX129" s="22">
        <f>VLOOKUP($A129,tabCustoUnit[],COLUMN(CUSTO_GLOBAL[[#Headers],[Ausências Legais]])-2,0)*($G129-$H129)</f>
        <v>1.671417936111111</v>
      </c>
      <c r="AY129" s="22">
        <f>VLOOKUP($A129,tabCustoUnit[],COLUMN(CUSTO_GLOBAL[[#Headers],[Licença Paternidade]])-2,0)*($G129-$H129)</f>
        <v>0.14081123708333332</v>
      </c>
      <c r="AZ129" s="22">
        <f>VLOOKUP($A129,tabCustoUnit[],COLUMN(CUSTO_GLOBAL[[#Headers],[Ausência por Acidente de Trabalho]])-2,0)*($G129-$H129)</f>
        <v>0.17172102083333335</v>
      </c>
      <c r="BA129" s="22">
        <f>VLOOKUP($A129,tabCustoUnit[],COLUMN(CUSTO_GLOBAL[[#Headers],[Férias, Adicional de Férias e 13º  com empregada em gozo de Licença Maternidade]])-2,0)*($G129-$H129)</f>
        <v>1.0684863518518517</v>
      </c>
      <c r="BB129" s="22">
        <f>VLOOKUP($A129,tabCustoUnit[],COLUMN(CUSTO_GLOBAL[[#Headers],[Incidência do Submódulo 2.1 sobre Ausências Legais]])-2,0)*($G129-$H129)</f>
        <v>3.7848618071425006</v>
      </c>
      <c r="BC129" s="22">
        <f>VLOOKUP($A129,tabCustoUnit[],COLUMN(CUSTO_GLOBAL[[#Headers],[Submódulo 4.1]])-2,0)*($G129-$H129)</f>
        <v>13.797723730799909</v>
      </c>
      <c r="BD129" s="22">
        <f>VLOOKUP($A129,tabCustoUnit[],COLUMN(CUSTO_GLOBAL[[#Headers],[Intervalo para Repouso ou Alimentação]])-2,0)*($G129-$H129)</f>
        <v>0</v>
      </c>
      <c r="BE129" s="22">
        <f>VLOOKUP($A129,tabCustoUnit[],COLUMN(CUSTO_GLOBAL[[#Headers],[Submódulo 4.2]])-2,0)*($G129-$H129)</f>
        <v>0</v>
      </c>
      <c r="BF129" s="22">
        <f>VLOOKUP($A129,tabCustoUnit[],COLUMN(CUSTO_GLOBAL[[#Headers],[Suspensão Temporária do Contrato de Trabalho]])-2,0)*($G129-$H129)</f>
        <v>0</v>
      </c>
      <c r="BG129" s="22">
        <f>VLOOKUP($A129,tabCustoUnit[],COLUMN(CUSTO_GLOBAL[[#Headers],[Submódulo 4.3]])-2,0)*($G129-$H129)</f>
        <v>0</v>
      </c>
      <c r="BH129" s="22">
        <f>VLOOKUP($A129,tabCustoUnit[],COLUMN(CUSTO_GLOBAL[[#Headers],[MÓDULO 4 – CUSTO DE REPOSIÇÃO DO PROFISSIONAL AUSENTE]])-2,0)*($G129-$H129)</f>
        <v>13.797723730799909</v>
      </c>
      <c r="BI129" s="22">
        <f>VLOOKUP($A129,tabCustoUnit[],COLUMN(CUSTO_GLOBAL[[#Headers],[Uniformes e EPIs]])-2,0)*($G129-$H129)</f>
        <v>62.806666666666665</v>
      </c>
      <c r="BJ129" s="22">
        <f>VLOOKUP($A129,tabCustoUnit[],COLUMN(CUSTO_GLOBAL[[#Headers],[Materiais de Consumo]])-2,0)*($G129-$H129)</f>
        <v>17.759106479291944</v>
      </c>
      <c r="BK129" s="22">
        <f>VLOOKUP($A129,tabCustoUnit[],COLUMN(CUSTO_GLOBAL[[#Headers],[Máquinas e Equipamentos (depreciação)]])-2,0)*($G129-$H129)</f>
        <v>32.264696957412788</v>
      </c>
      <c r="BL129" s="22">
        <f>VLOOKUP($A129,tabCustoUnit[],COLUMN(CUSTO_GLOBAL[[#Headers],[Produtos de Limpeza e Materiais de Higiene Pessoal]])-2,0)*($G129-$H129)</f>
        <v>345.13576638965827</v>
      </c>
      <c r="BM129" s="22">
        <f>VLOOKUP($A129,tabCustoUnit[],COLUMN(CUSTO_GLOBAL[[#Headers],[Outros (especificar)]])-2,0)*($G129-$H129)</f>
        <v>0</v>
      </c>
      <c r="BN129" s="22">
        <f>VLOOKUP($A129,tabCustoUnit[],COLUMN(CUSTO_GLOBAL[[#Headers],[MÓDULO 5 – INSUMOS DIVERSOS]])-2,0)*($G129-$H129)</f>
        <v>457.96623649302967</v>
      </c>
      <c r="BO129" s="22">
        <f>VLOOKUP($A129,tabCustoUnit[],COLUMN(CUSTO_GLOBAL[[#Headers],[TOTAL MÓDULOS 1+2+3+4+5]])-2,0)*($G129-$H129)</f>
        <v>2506.9764025844679</v>
      </c>
      <c r="BP129" s="22">
        <f>VLOOKUP($A129,tabCustoUnit[],COLUMN(CUSTO_GLOBAL[[#Headers],[Custos Indiretos]])-2,0)*($G129-$H129)</f>
        <v>189.64880140242613</v>
      </c>
      <c r="BQ129" s="22">
        <f>VLOOKUP($A129,tabCustoUnit[],COLUMN(CUSTO_GLOBAL[[#Headers],[Lucro]])-2,0)*($G129-$H129)</f>
        <v>159.30499317803796</v>
      </c>
      <c r="BR129" s="26">
        <f>VLOOKUP($A129,tabCustoUnit[],COLUMN(CUSTO_GLOBAL[[#Headers],[COFINS]])-2,0)</f>
        <v>8.6609686609686695E-2</v>
      </c>
      <c r="BS129" s="26">
        <f>VLOOKUP($A129,tabCustoUnit[],COLUMN(CUSTO_GLOBAL[[#Headers],[PIS]])-2,0)</f>
        <v>1.880341880341882E-2</v>
      </c>
      <c r="BT129" s="28">
        <f>VLOOKUP($A129,tabCustoUnit[],COLUMN(CUSTO_GLOBAL[[#Headers],[ISS]])-2,0)</f>
        <v>0.03</v>
      </c>
      <c r="BU129" s="26">
        <f>VLOOKUP($A129,tabCustoUnit[],COLUMN(CUSTO_GLOBAL[[#Headers],[ISS (Conversão Alíquota s/ fatura)]])-2,0)</f>
        <v>3.4188034188034219E-2</v>
      </c>
      <c r="BV129" s="26">
        <f>VLOOKUP($A129,tabCustoUnit[],COLUMN(CUSTO_GLOBAL[[#Headers],[Resumo de Alíquotas (PIS+CONFINS+ISS)]])-2,0)</f>
        <v>0.1225</v>
      </c>
      <c r="BW129" s="138">
        <f>VLOOKUP($A129,tabCustoUnit[],COLUMN(CUSTO_GLOBAL[[#Headers],[PIS + COFINS + ISS (Total Conversão  Alíquota s/ Fatura)]])-2,0)</f>
        <v>0.13960113960113973</v>
      </c>
      <c r="BX129" s="22">
        <f>VLOOKUP($A129,tabCustoUnit[],COLUMN(CUSTO_GLOBAL[[#Headers],[Valor dos Tributos (ISS, PIS, CONFINS)]])-2,0)*($G129-$H129)</f>
        <v>398.69111014553221</v>
      </c>
      <c r="BY129" s="22">
        <f>VLOOKUP($A129,tabCustoUnit[],COLUMN(CUSTO_GLOBAL[[#Headers],[MÓDULO 6 – CUSTOS INDIRETOS, TRIBUTOS E LUCRO]])-2,0)*($G129-$H129)</f>
        <v>747.6449047259963</v>
      </c>
      <c r="BZ129" s="22">
        <f>VLOOKUP($A129,tabCustoUnit[],COLUMN(CUSTO_GLOBAL[[#Headers],[CUSTO TOTAL MENSAL]])-2,0)*($G129-$H129)</f>
        <v>3254.6213073104641</v>
      </c>
      <c r="CA129" s="22">
        <f>CUSTO_GLOBAL[[#This Row],[CUSTO TOTAL MENSAL]]*12</f>
        <v>39055.455687725567</v>
      </c>
      <c r="CB129" s="24">
        <f>VLOOKUP($A129,tabCustoUnit[],COLUMN(CUSTO_GLOBAL[[#Headers],[ANO DA CCT]])-2,0)</f>
        <v>45658</v>
      </c>
      <c r="CC129" s="25" t="str">
        <f>VLOOKUP($A129,tabCustoUnit[],COLUMN(CUSTO_GLOBAL[[#Headers],[Nº DE PEDIDO DA CCT]])-2,0)</f>
        <v>-</v>
      </c>
      <c r="CD129" s="25" t="str">
        <f>VLOOKUP($A129,tabCustoUnit[],COLUMN(CUSTO_GLOBAL[[#Headers],[TERMO ADITIVO  ALTERAÇÃO DA CCT]])-2,0)</f>
        <v>-</v>
      </c>
      <c r="CF129" s="22"/>
      <c r="CG129" s="22"/>
    </row>
    <row r="130" spans="1:85" x14ac:dyDescent="0.25">
      <c r="A130" s="20" t="s">
        <v>1466</v>
      </c>
      <c r="B130" t="s">
        <v>118</v>
      </c>
      <c r="C130" t="s">
        <v>1247</v>
      </c>
      <c r="D130" t="s">
        <v>1000</v>
      </c>
      <c r="E130" s="20" t="s">
        <v>9</v>
      </c>
      <c r="F130" s="20" t="s">
        <v>10</v>
      </c>
      <c r="G130" s="20">
        <v>1</v>
      </c>
      <c r="H130" s="20">
        <v>0</v>
      </c>
      <c r="I130" s="21">
        <f>VLOOKUP($A130,tabCustoUnit[],COLUMN(CUSTO_GLOBAL[[#Headers],[Salário Base]])-2,0)*($G130-$H130)</f>
        <v>544.17999999999995</v>
      </c>
      <c r="J130" s="21">
        <f>VLOOKUP($A130,tabCustoUnit[],COLUMN(CUSTO_GLOBAL[[#Headers],[Adicional Periculosidade]])-2,0)*($G130-$H130)</f>
        <v>0</v>
      </c>
      <c r="K130" s="21">
        <f>VLOOKUP($A130,tabCustoUnit[],COLUMN(CUSTO_GLOBAL[[#Headers],[Adicional Insalubridade]])-2,0)*($G130-$H130)</f>
        <v>0</v>
      </c>
      <c r="L130" s="21">
        <f>VLOOKUP($A130,tabCustoUnit[],COLUMN(CUSTO_GLOBAL[[#Headers],[Adicional Noturno]])-2,0)*($G130-$H130)</f>
        <v>0</v>
      </c>
      <c r="M130" s="21">
        <f>VLOOKUP($A130,tabCustoUnit[],COLUMN(CUSTO_GLOBAL[[#Headers],[Adicional Motorista II (Gratificação)]])-2,0)*($G130-$H130)</f>
        <v>0</v>
      </c>
      <c r="N130" s="21">
        <f>VLOOKUP($A130,tabCustoUnit[],COLUMN(CUSTO_GLOBAL[[#Headers],[Adicional de Sobreaviso]])-2,0)*($G130-$H130)</f>
        <v>0</v>
      </c>
      <c r="O130" s="21">
        <f>VLOOKUP($A130,tabCustoUnit[],COLUMN(CUSTO_GLOBAL[[#Headers],[Horas Extras TI]])-2,0)*($G130-$H130)</f>
        <v>0</v>
      </c>
      <c r="P130" s="21">
        <f>VLOOKUP($A130,tabCustoUnit[],COLUMN(CUSTO_GLOBAL[[#Headers],[Adicional de Acúmulo de função]])-2,0)*($G130-$H130)</f>
        <v>19.590499999999999</v>
      </c>
      <c r="Q130" s="21">
        <f>VLOOKUP($A130,tabCustoUnit[],COLUMN(CUSTO_GLOBAL[[#Headers],[MODULO 1 - REMUNERAÇÃO ]])-2,0)*($G130-$H130)</f>
        <v>563.77049999999997</v>
      </c>
      <c r="R130" s="21">
        <f>VLOOKUP($A130,tabCustoUnit[],COLUMN(CUSTO_GLOBAL[[#Headers],[INSS]])-2,0)*($G130-$H130)</f>
        <v>112.75409999999999</v>
      </c>
      <c r="S130" s="21">
        <f>VLOOKUP($A130,tabCustoUnit[],COLUMN(CUSTO_GLOBAL[[#Headers],[SESI OU SESC]])-2,0)*($G130-$H130)</f>
        <v>8.4565574999999988</v>
      </c>
      <c r="T130" s="21">
        <f>VLOOKUP($A130,tabCustoUnit[],COLUMN(CUSTO_GLOBAL[[#Headers],[SENAI OU SENAC]])-2,0)*($G130-$H130)</f>
        <v>5.6377049999999995</v>
      </c>
      <c r="U130" s="21">
        <f>VLOOKUP($A130,tabCustoUnit[],COLUMN(CUSTO_GLOBAL[[#Headers],[INCRA]])-2,0)*($G130-$H130)</f>
        <v>1.1275409999999999</v>
      </c>
      <c r="V130" s="21">
        <f>VLOOKUP($A130,tabCustoUnit[],COLUMN(CUSTO_GLOBAL[[#Headers],[Salário Educação]])-2,0)*($G130-$H130)</f>
        <v>14.094262499999999</v>
      </c>
      <c r="W130" s="21">
        <f>VLOOKUP($A130,tabCustoUnit[],COLUMN(CUSTO_GLOBAL[[#Headers],[FGTS]])-2,0)*($G130-$H130)</f>
        <v>45.101639999999996</v>
      </c>
      <c r="X130" s="21">
        <f>VLOOKUP($A130,tabCustoUnit[],COLUMN(CUSTO_GLOBAL[[#Headers],[RAT Ajustado]])-2,0)*($G130-$H130)</f>
        <v>22.550819999999998</v>
      </c>
      <c r="Y130" s="21">
        <f>VLOOKUP($A130,tabCustoUnit[],COLUMN(CUSTO_GLOBAL[[#Headers],[SEBRAE]])-2,0)*($G130-$H130)</f>
        <v>3.3826229999999997</v>
      </c>
      <c r="Z130" s="21">
        <f>VLOOKUP($A130,tabCustoUnit[],COLUMN(CUSTO_GLOBAL[[#Headers],[Submódulo 2.1]])-2,0)*($G130-$H130)</f>
        <v>213.10524899999996</v>
      </c>
      <c r="AA130" s="21">
        <f>VLOOKUP($A130,tabCustoUnit[],COLUMN(CUSTO_GLOBAL[[#Headers],[13º salário (titular)]])-2,0)*($G130-$H130)</f>
        <v>46.980874999999997</v>
      </c>
      <c r="AB130" s="21">
        <f>VLOOKUP($A130,tabCustoUnit[],COLUMN(CUSTO_GLOBAL[[#Headers],[Férias e Adicional de Férias (titular)]])-2,0)*($G130-$H130)</f>
        <v>62.641166666666663</v>
      </c>
      <c r="AC130" s="21">
        <f>VLOOKUP($A130,tabCustoUnit[],COLUMN(CUSTO_GLOBAL[[#Headers],[Incidência do Submódulo 2.1 sobre 13º Salário, Férias e Adicional de Férias]])-2,0)*($G130-$H130)</f>
        <v>41.437131749999992</v>
      </c>
      <c r="AD130" s="21">
        <f>VLOOKUP($A130,tabCustoUnit[],COLUMN(CUSTO_GLOBAL[[#Headers],[Submódulo 2.2]])-2,0)*($G130-$H130)</f>
        <v>151.05917341666665</v>
      </c>
      <c r="AE130" s="22">
        <f>VLOOKUP($A130,tabCustoUnit[],COLUMN(CUSTO_GLOBAL[[#Headers],[Vale - Transporte (Descontada parcela do empregado)]])-2,0)*($G130-$H130)</f>
        <v>223.3492</v>
      </c>
      <c r="AF130" s="22">
        <f>VLOOKUP($A130,tabCustoUnit[],COLUMN(CUSTO_GLOBAL[[#Headers],[Vale - Alimentação (Descontada parcela do empregado)]])-2,0)*($G130-$H130)</f>
        <v>582</v>
      </c>
      <c r="AG130" s="22">
        <f>VLOOKUP($A130,tabCustoUnit[],COLUMN(CUSTO_GLOBAL[[#Headers],[Cesta Básica]])-2,0)*($G130-$H130)</f>
        <v>0</v>
      </c>
      <c r="AH130" s="22">
        <f>VLOOKUP($A130,tabCustoUnit[],COLUMN(CUSTO_GLOBAL[[#Headers],[PAF]])-2,0)*($G130-$H130)</f>
        <v>0</v>
      </c>
      <c r="AI130" s="22">
        <f>VLOOKUP($A130,tabCustoUnit[],COLUMN(CUSTO_GLOBAL[[#Headers],[PQM]])-2,0)*($G130-$H130)</f>
        <v>15.07</v>
      </c>
      <c r="AJ130" s="22">
        <v>0</v>
      </c>
      <c r="AK130" s="22">
        <f>VLOOKUP($A130,tabCustoUnit[],COLUMN(CUSTO_GLOBAL[[#Headers],[Seguro de Vida]])-2,0)*($G130-$H130)</f>
        <v>3.36</v>
      </c>
      <c r="AL130" s="22">
        <f>VLOOKUP($A130,tabCustoUnit[],COLUMN(CUSTO_GLOBAL[[#Headers],[Despesas de Viagem]])-2,0)*($G130-$H130)</f>
        <v>0</v>
      </c>
      <c r="AM130" s="22">
        <f>VLOOKUP($A130,tabCustoUnit[],COLUMN(CUSTO_GLOBAL[[#Headers],[Submódulo 2.3]])-2,0)*($G130-$H130)</f>
        <v>823.77920000000006</v>
      </c>
      <c r="AN130" s="22">
        <f>VLOOKUP($A130,tabCustoUnit[],COLUMN(CUSTO_GLOBAL[[#Headers],[MÓDULO 2 - Total Encargos e Benefícios mensais e diários]])-2,0)*($G130-$H130)</f>
        <v>1187.9436224166666</v>
      </c>
      <c r="AO130" s="22">
        <f>VLOOKUP($A130,tabCustoUnit[],COLUMN(CUSTO_GLOBAL[[#Headers],[Aviso Prévio Indenizado (API) e Reflexo do Aviso Prévio Indenizado]])-2,0)*($G130-$H130)</f>
        <v>3.9530273735532404</v>
      </c>
      <c r="AP130" s="22">
        <f>VLOOKUP($A130,tabCustoUnit[],COLUMN(CUSTO_GLOBAL[[#Headers],[Incidência do FGTS sobre API e Reflexo do API]])-2,0)*($G130-$H130)</f>
        <v>0.31624218988425928</v>
      </c>
      <c r="AQ130" s="22">
        <f>VLOOKUP($A130,tabCustoUnit[],COLUMN(CUSTO_GLOBAL[[#Headers],[Multa Rescisória do FGTS sobre o Aviso Prévio Indenizado]])-2,0)*($G130-$H130)</f>
        <v>0.12649687595370371</v>
      </c>
      <c r="AR130" s="22">
        <f>VLOOKUP($A130,tabCustoUnit[],COLUMN(CUSTO_GLOBAL[[#Headers],[Aviso Prévio Trabalhado - APT]])-2,0)*($G130-$H130)</f>
        <v>1.9731967500000003</v>
      </c>
      <c r="AS130" s="22">
        <f>VLOOKUP($A130,tabCustoUnit[],COLUMN(CUSTO_GLOBAL[[#Headers],[Incidência dos encargos do submódulo 2.1 sobre Aviso Prévio Trabalhado]])-2,0)*($G130-$H130)</f>
        <v>0.74586837150000018</v>
      </c>
      <c r="AT130" s="22">
        <f>VLOOKUP($A130,tabCustoUnit[],COLUMN(CUSTO_GLOBAL[[#Headers],[Multa Rescisória do FGTS]])-2,0)*($G130-$H130)</f>
        <v>17.238849066666663</v>
      </c>
      <c r="AU130" s="22">
        <f>VLOOKUP($A130,tabCustoUnit[],COLUMN(CUSTO_GLOBAL[[#Headers],[Indenização Adicional (Art. 9º da Lei nº 7.238/84)]])-2,0)*($G130-$H130)</f>
        <v>0.46980875</v>
      </c>
      <c r="AV130" s="22">
        <f>VLOOKUP($A130,tabCustoUnit[],COLUMN(CUSTO_GLOBAL[[#Headers],[MÓDULO 3 – PROVISÃO PARA RESCISÃO]])-2,0)*($G130-$H130)</f>
        <v>24.823489377557866</v>
      </c>
      <c r="AW130" s="22">
        <f>VLOOKUP($A130,tabCustoUnit[],COLUMN(CUSTO_GLOBAL[[#Headers],[Ausência por Doença]])-2,0)*($G130-$H130)</f>
        <v>4.7607286666666662</v>
      </c>
      <c r="AX130" s="22">
        <f>VLOOKUP($A130,tabCustoUnit[],COLUMN(CUSTO_GLOBAL[[#Headers],[Ausências Legais]])-2,0)*($G130-$H130)</f>
        <v>1.1432012916666665</v>
      </c>
      <c r="AY130" s="22">
        <f>VLOOKUP($A130,tabCustoUnit[],COLUMN(CUSTO_GLOBAL[[#Headers],[Licença Paternidade]])-2,0)*($G130-$H130)</f>
        <v>9.6310793749999998E-2</v>
      </c>
      <c r="AZ130" s="22">
        <f>VLOOKUP($A130,tabCustoUnit[],COLUMN(CUSTO_GLOBAL[[#Headers],[Ausência por Acidente de Trabalho]])-2,0)*($G130-$H130)</f>
        <v>0.1174521875</v>
      </c>
      <c r="BA130" s="22">
        <f>VLOOKUP($A130,tabCustoUnit[],COLUMN(CUSTO_GLOBAL[[#Headers],[Férias, Adicional de Férias e 13º  com empregada em gozo de Licença Maternidade]])-2,0)*($G130-$H130)</f>
        <v>0.73081361111111109</v>
      </c>
      <c r="BB130" s="22">
        <f>VLOOKUP($A130,tabCustoUnit[],COLUMN(CUSTO_GLOBAL[[#Headers],[Incidência do Submódulo 2.1 sobre Ausências Legais]])-2,0)*($G130-$H130)</f>
        <v>2.5887354761625003</v>
      </c>
      <c r="BC130" s="22">
        <f>VLOOKUP($A130,tabCustoUnit[],COLUMN(CUSTO_GLOBAL[[#Headers],[Submódulo 4.1]])-2,0)*($G130-$H130)</f>
        <v>9.4372420268569428</v>
      </c>
      <c r="BD130" s="22">
        <f>VLOOKUP($A130,tabCustoUnit[],COLUMN(CUSTO_GLOBAL[[#Headers],[Intervalo para Repouso ou Alimentação]])-2,0)*($G130-$H130)</f>
        <v>0</v>
      </c>
      <c r="BE130" s="22">
        <f>VLOOKUP($A130,tabCustoUnit[],COLUMN(CUSTO_GLOBAL[[#Headers],[Submódulo 4.2]])-2,0)*($G130-$H130)</f>
        <v>0</v>
      </c>
      <c r="BF130" s="22">
        <f>VLOOKUP($A130,tabCustoUnit[],COLUMN(CUSTO_GLOBAL[[#Headers],[Suspensão Temporária do Contrato de Trabalho]])-2,0)*($G130-$H130)</f>
        <v>0</v>
      </c>
      <c r="BG130" s="22">
        <f>VLOOKUP($A130,tabCustoUnit[],COLUMN(CUSTO_GLOBAL[[#Headers],[Submódulo 4.3]])-2,0)*($G130-$H130)</f>
        <v>0</v>
      </c>
      <c r="BH130" s="22">
        <f>VLOOKUP($A130,tabCustoUnit[],COLUMN(CUSTO_GLOBAL[[#Headers],[MÓDULO 4 – CUSTO DE REPOSIÇÃO DO PROFISSIONAL AUSENTE]])-2,0)*($G130-$H130)</f>
        <v>9.4372420268569428</v>
      </c>
      <c r="BI130" s="22">
        <f>VLOOKUP($A130,tabCustoUnit[],COLUMN(CUSTO_GLOBAL[[#Headers],[Uniformes e EPIs]])-2,0)*($G130-$H130)</f>
        <v>62.806666666666665</v>
      </c>
      <c r="BJ130" s="22">
        <f>VLOOKUP($A130,tabCustoUnit[],COLUMN(CUSTO_GLOBAL[[#Headers],[Materiais de Consumo]])-2,0)*($G130-$H130)</f>
        <v>12.108481690426325</v>
      </c>
      <c r="BK130" s="22">
        <f>VLOOKUP($A130,tabCustoUnit[],COLUMN(CUSTO_GLOBAL[[#Headers],[Máquinas e Equipamentos (depreciação)]])-2,0)*($G130-$H130)</f>
        <v>21.998657016417809</v>
      </c>
      <c r="BL130" s="22">
        <f>VLOOKUP($A130,tabCustoUnit[],COLUMN(CUSTO_GLOBAL[[#Headers],[Produtos de Limpeza e Materiais de Higiene Pessoal]])-2,0)*($G130-$H130)</f>
        <v>235.31984072022155</v>
      </c>
      <c r="BM130" s="22">
        <f>VLOOKUP($A130,tabCustoUnit[],COLUMN(CUSTO_GLOBAL[[#Headers],[Outros (especificar)]])-2,0)*($G130-$H130)</f>
        <v>0</v>
      </c>
      <c r="BN130" s="22">
        <f>VLOOKUP($A130,tabCustoUnit[],COLUMN(CUSTO_GLOBAL[[#Headers],[MÓDULO 5 – INSUMOS DIVERSOS]])-2,0)*($G130-$H130)</f>
        <v>332.23364609373232</v>
      </c>
      <c r="BO130" s="22">
        <f>VLOOKUP($A130,tabCustoUnit[],COLUMN(CUSTO_GLOBAL[[#Headers],[TOTAL MÓDULOS 1+2+3+4+5]])-2,0)*($G130-$H130)</f>
        <v>2118.2084999148137</v>
      </c>
      <c r="BP130" s="22">
        <f>VLOOKUP($A130,tabCustoUnit[],COLUMN(CUSTO_GLOBAL[[#Headers],[Custos Indiretos]])-2,0)*($G130-$H130)</f>
        <v>189.64880140242613</v>
      </c>
      <c r="BQ130" s="22">
        <f>VLOOKUP($A130,tabCustoUnit[],COLUMN(CUSTO_GLOBAL[[#Headers],[Lucro]])-2,0)*($G130-$H130)</f>
        <v>159.30499317803796</v>
      </c>
      <c r="BR130" s="26">
        <f>VLOOKUP($A130,tabCustoUnit[],COLUMN(CUSTO_GLOBAL[[#Headers],[COFINS]])-2,0)</f>
        <v>8.7608069164265154E-2</v>
      </c>
      <c r="BS130" s="26">
        <f>VLOOKUP($A130,tabCustoUnit[],COLUMN(CUSTO_GLOBAL[[#Headers],[PIS]])-2,0)</f>
        <v>1.9020172910662814E-2</v>
      </c>
      <c r="BT130" s="28">
        <f>VLOOKUP($A130,tabCustoUnit[],COLUMN(CUSTO_GLOBAL[[#Headers],[ISS]])-2,0)</f>
        <v>0.04</v>
      </c>
      <c r="BU130" s="26">
        <f>VLOOKUP($A130,tabCustoUnit[],COLUMN(CUSTO_GLOBAL[[#Headers],[ISS (Conversão Alíquota s/ fatura)]])-2,0)</f>
        <v>4.6109510086455294E-2</v>
      </c>
      <c r="BV130" s="26">
        <f>VLOOKUP($A130,tabCustoUnit[],COLUMN(CUSTO_GLOBAL[[#Headers],[Resumo de Alíquotas (PIS+CONFINS+ISS)]])-2,0)</f>
        <v>0.13250000000000001</v>
      </c>
      <c r="BW130" s="138">
        <f>VLOOKUP($A130,tabCustoUnit[],COLUMN(CUSTO_GLOBAL[[#Headers],[PIS + COFINS + ISS (Total Conversão  Alíquota s/ Fatura)]])-2,0)</f>
        <v>0.15273775216138324</v>
      </c>
      <c r="BX130" s="22">
        <f>VLOOKUP($A130,tabCustoUnit[],COLUMN(CUSTO_GLOBAL[[#Headers],[Valor dos Tributos (ISS, PIS, CONFINS)]])-2,0)*($G130-$H130)</f>
        <v>376.82882307852935</v>
      </c>
      <c r="BY130" s="22">
        <f>VLOOKUP($A130,tabCustoUnit[],COLUMN(CUSTO_GLOBAL[[#Headers],[MÓDULO 6 – CUSTOS INDIRETOS, TRIBUTOS E LUCRO]])-2,0)*($G130-$H130)</f>
        <v>725.78261765899344</v>
      </c>
      <c r="BZ130" s="22">
        <f>VLOOKUP($A130,tabCustoUnit[],COLUMN(CUSTO_GLOBAL[[#Headers],[CUSTO TOTAL MENSAL]])-2,0)*($G130-$H130)</f>
        <v>2843.9911175738071</v>
      </c>
      <c r="CA130" s="22">
        <f>CUSTO_GLOBAL[[#This Row],[CUSTO TOTAL MENSAL]]*12</f>
        <v>34127.893410885685</v>
      </c>
      <c r="CB130" s="24">
        <f>VLOOKUP($A130,tabCustoUnit[],COLUMN(CUSTO_GLOBAL[[#Headers],[ANO DA CCT]])-2,0)</f>
        <v>45658</v>
      </c>
      <c r="CC130" s="25" t="str">
        <f>VLOOKUP($A130,tabCustoUnit[],COLUMN(CUSTO_GLOBAL[[#Headers],[Nº DE PEDIDO DA CCT]])-2,0)</f>
        <v>-</v>
      </c>
      <c r="CD130" s="25" t="str">
        <f>VLOOKUP($A130,tabCustoUnit[],COLUMN(CUSTO_GLOBAL[[#Headers],[TERMO ADITIVO  ALTERAÇÃO DA CCT]])-2,0)</f>
        <v>-</v>
      </c>
      <c r="CF130" s="22"/>
      <c r="CG130" s="22"/>
    </row>
    <row r="131" spans="1:85" x14ac:dyDescent="0.25">
      <c r="A131" s="20" t="s">
        <v>1467</v>
      </c>
      <c r="B131" t="s">
        <v>119</v>
      </c>
      <c r="C131" t="s">
        <v>1247</v>
      </c>
      <c r="D131" t="s">
        <v>1000</v>
      </c>
      <c r="E131" s="20" t="s">
        <v>9</v>
      </c>
      <c r="F131" s="20" t="s">
        <v>10</v>
      </c>
      <c r="G131" s="20">
        <v>1</v>
      </c>
      <c r="H131" s="20">
        <v>0</v>
      </c>
      <c r="I131" s="21">
        <f>VLOOKUP($A131,tabCustoUnit[],COLUMN(CUSTO_GLOBAL[[#Headers],[Salário Base]])-2,0)*($G131-$H131)</f>
        <v>544.17999999999995</v>
      </c>
      <c r="J131" s="21">
        <f>VLOOKUP($A131,tabCustoUnit[],COLUMN(CUSTO_GLOBAL[[#Headers],[Adicional Periculosidade]])-2,0)*($G131-$H131)</f>
        <v>0</v>
      </c>
      <c r="K131" s="21">
        <f>VLOOKUP($A131,tabCustoUnit[],COLUMN(CUSTO_GLOBAL[[#Headers],[Adicional Insalubridade]])-2,0)*($G131-$H131)</f>
        <v>0</v>
      </c>
      <c r="L131" s="21">
        <f>VLOOKUP($A131,tabCustoUnit[],COLUMN(CUSTO_GLOBAL[[#Headers],[Adicional Noturno]])-2,0)*($G131-$H131)</f>
        <v>0</v>
      </c>
      <c r="M131" s="21">
        <f>VLOOKUP($A131,tabCustoUnit[],COLUMN(CUSTO_GLOBAL[[#Headers],[Adicional Motorista II (Gratificação)]])-2,0)*($G131-$H131)</f>
        <v>0</v>
      </c>
      <c r="N131" s="21">
        <f>VLOOKUP($A131,tabCustoUnit[],COLUMN(CUSTO_GLOBAL[[#Headers],[Adicional de Sobreaviso]])-2,0)*($G131-$H131)</f>
        <v>0</v>
      </c>
      <c r="O131" s="21">
        <f>VLOOKUP($A131,tabCustoUnit[],COLUMN(CUSTO_GLOBAL[[#Headers],[Horas Extras TI]])-2,0)*($G131-$H131)</f>
        <v>0</v>
      </c>
      <c r="P131" s="21">
        <f>VLOOKUP($A131,tabCustoUnit[],COLUMN(CUSTO_GLOBAL[[#Headers],[Adicional de Acúmulo de função]])-2,0)*($G131-$H131)</f>
        <v>19.590499999999999</v>
      </c>
      <c r="Q131" s="21">
        <f>VLOOKUP($A131,tabCustoUnit[],COLUMN(CUSTO_GLOBAL[[#Headers],[MODULO 1 - REMUNERAÇÃO ]])-2,0)*($G131-$H131)</f>
        <v>563.77049999999997</v>
      </c>
      <c r="R131" s="21">
        <f>VLOOKUP($A131,tabCustoUnit[],COLUMN(CUSTO_GLOBAL[[#Headers],[INSS]])-2,0)*($G131-$H131)</f>
        <v>112.75409999999999</v>
      </c>
      <c r="S131" s="21">
        <f>VLOOKUP($A131,tabCustoUnit[],COLUMN(CUSTO_GLOBAL[[#Headers],[SESI OU SESC]])-2,0)*($G131-$H131)</f>
        <v>8.4565574999999988</v>
      </c>
      <c r="T131" s="21">
        <f>VLOOKUP($A131,tabCustoUnit[],COLUMN(CUSTO_GLOBAL[[#Headers],[SENAI OU SENAC]])-2,0)*($G131-$H131)</f>
        <v>5.6377049999999995</v>
      </c>
      <c r="U131" s="21">
        <f>VLOOKUP($A131,tabCustoUnit[],COLUMN(CUSTO_GLOBAL[[#Headers],[INCRA]])-2,0)*($G131-$H131)</f>
        <v>1.1275409999999999</v>
      </c>
      <c r="V131" s="21">
        <f>VLOOKUP($A131,tabCustoUnit[],COLUMN(CUSTO_GLOBAL[[#Headers],[Salário Educação]])-2,0)*($G131-$H131)</f>
        <v>14.094262499999999</v>
      </c>
      <c r="W131" s="21">
        <f>VLOOKUP($A131,tabCustoUnit[],COLUMN(CUSTO_GLOBAL[[#Headers],[FGTS]])-2,0)*($G131-$H131)</f>
        <v>45.101639999999996</v>
      </c>
      <c r="X131" s="21">
        <f>VLOOKUP($A131,tabCustoUnit[],COLUMN(CUSTO_GLOBAL[[#Headers],[RAT Ajustado]])-2,0)*($G131-$H131)</f>
        <v>22.550819999999998</v>
      </c>
      <c r="Y131" s="21">
        <f>VLOOKUP($A131,tabCustoUnit[],COLUMN(CUSTO_GLOBAL[[#Headers],[SEBRAE]])-2,0)*($G131-$H131)</f>
        <v>3.3826229999999997</v>
      </c>
      <c r="Z131" s="21">
        <f>VLOOKUP($A131,tabCustoUnit[],COLUMN(CUSTO_GLOBAL[[#Headers],[Submódulo 2.1]])-2,0)*($G131-$H131)</f>
        <v>213.10524899999996</v>
      </c>
      <c r="AA131" s="21">
        <f>VLOOKUP($A131,tabCustoUnit[],COLUMN(CUSTO_GLOBAL[[#Headers],[13º salário (titular)]])-2,0)*($G131-$H131)</f>
        <v>46.980874999999997</v>
      </c>
      <c r="AB131" s="21">
        <f>VLOOKUP($A131,tabCustoUnit[],COLUMN(CUSTO_GLOBAL[[#Headers],[Férias e Adicional de Férias (titular)]])-2,0)*($G131-$H131)</f>
        <v>62.641166666666663</v>
      </c>
      <c r="AC131" s="21">
        <f>VLOOKUP($A131,tabCustoUnit[],COLUMN(CUSTO_GLOBAL[[#Headers],[Incidência do Submódulo 2.1 sobre 13º Salário, Férias e Adicional de Férias]])-2,0)*($G131-$H131)</f>
        <v>41.437131749999992</v>
      </c>
      <c r="AD131" s="21">
        <f>VLOOKUP($A131,tabCustoUnit[],COLUMN(CUSTO_GLOBAL[[#Headers],[Submódulo 2.2]])-2,0)*($G131-$H131)</f>
        <v>151.05917341666665</v>
      </c>
      <c r="AE131" s="22">
        <f>VLOOKUP($A131,tabCustoUnit[],COLUMN(CUSTO_GLOBAL[[#Headers],[Vale - Transporte (Descontada parcela do empregado)]])-2,0)*($G131-$H131)</f>
        <v>223.3492</v>
      </c>
      <c r="AF131" s="22">
        <f>VLOOKUP($A131,tabCustoUnit[],COLUMN(CUSTO_GLOBAL[[#Headers],[Vale - Alimentação (Descontada parcela do empregado)]])-2,0)*($G131-$H131)</f>
        <v>582</v>
      </c>
      <c r="AG131" s="22">
        <f>VLOOKUP($A131,tabCustoUnit[],COLUMN(CUSTO_GLOBAL[[#Headers],[Cesta Básica]])-2,0)*($G131-$H131)</f>
        <v>0</v>
      </c>
      <c r="AH131" s="22">
        <f>VLOOKUP($A131,tabCustoUnit[],COLUMN(CUSTO_GLOBAL[[#Headers],[PAF]])-2,0)*($G131-$H131)</f>
        <v>0</v>
      </c>
      <c r="AI131" s="22">
        <f>VLOOKUP($A131,tabCustoUnit[],COLUMN(CUSTO_GLOBAL[[#Headers],[PQM]])-2,0)*($G131-$H131)</f>
        <v>15.07</v>
      </c>
      <c r="AJ131" s="22">
        <v>0</v>
      </c>
      <c r="AK131" s="22">
        <f>VLOOKUP($A131,tabCustoUnit[],COLUMN(CUSTO_GLOBAL[[#Headers],[Seguro de Vida]])-2,0)*($G131-$H131)</f>
        <v>3.36</v>
      </c>
      <c r="AL131" s="22">
        <f>VLOOKUP($A131,tabCustoUnit[],COLUMN(CUSTO_GLOBAL[[#Headers],[Despesas de Viagem]])-2,0)*($G131-$H131)</f>
        <v>0</v>
      </c>
      <c r="AM131" s="22">
        <f>VLOOKUP($A131,tabCustoUnit[],COLUMN(CUSTO_GLOBAL[[#Headers],[Submódulo 2.3]])-2,0)*($G131-$H131)</f>
        <v>823.77920000000006</v>
      </c>
      <c r="AN131" s="22">
        <f>VLOOKUP($A131,tabCustoUnit[],COLUMN(CUSTO_GLOBAL[[#Headers],[MÓDULO 2 - Total Encargos e Benefícios mensais e diários]])-2,0)*($G131-$H131)</f>
        <v>1187.9436224166666</v>
      </c>
      <c r="AO131" s="22">
        <f>VLOOKUP($A131,tabCustoUnit[],COLUMN(CUSTO_GLOBAL[[#Headers],[Aviso Prévio Indenizado (API) e Reflexo do Aviso Prévio Indenizado]])-2,0)*($G131-$H131)</f>
        <v>3.9530273735532404</v>
      </c>
      <c r="AP131" s="22">
        <f>VLOOKUP($A131,tabCustoUnit[],COLUMN(CUSTO_GLOBAL[[#Headers],[Incidência do FGTS sobre API e Reflexo do API]])-2,0)*($G131-$H131)</f>
        <v>0.31624218988425928</v>
      </c>
      <c r="AQ131" s="22">
        <f>VLOOKUP($A131,tabCustoUnit[],COLUMN(CUSTO_GLOBAL[[#Headers],[Multa Rescisória do FGTS sobre o Aviso Prévio Indenizado]])-2,0)*($G131-$H131)</f>
        <v>0.12649687595370371</v>
      </c>
      <c r="AR131" s="22">
        <f>VLOOKUP($A131,tabCustoUnit[],COLUMN(CUSTO_GLOBAL[[#Headers],[Aviso Prévio Trabalhado - APT]])-2,0)*($G131-$H131)</f>
        <v>1.9731967500000003</v>
      </c>
      <c r="AS131" s="22">
        <f>VLOOKUP($A131,tabCustoUnit[],COLUMN(CUSTO_GLOBAL[[#Headers],[Incidência dos encargos do submódulo 2.1 sobre Aviso Prévio Trabalhado]])-2,0)*($G131-$H131)</f>
        <v>0.74586837150000018</v>
      </c>
      <c r="AT131" s="22">
        <f>VLOOKUP($A131,tabCustoUnit[],COLUMN(CUSTO_GLOBAL[[#Headers],[Multa Rescisória do FGTS]])-2,0)*($G131-$H131)</f>
        <v>17.238849066666663</v>
      </c>
      <c r="AU131" s="22">
        <f>VLOOKUP($A131,tabCustoUnit[],COLUMN(CUSTO_GLOBAL[[#Headers],[Indenização Adicional (Art. 9º da Lei nº 7.238/84)]])-2,0)*($G131-$H131)</f>
        <v>0.46980875</v>
      </c>
      <c r="AV131" s="22">
        <f>VLOOKUP($A131,tabCustoUnit[],COLUMN(CUSTO_GLOBAL[[#Headers],[MÓDULO 3 – PROVISÃO PARA RESCISÃO]])-2,0)*($G131-$H131)</f>
        <v>24.823489377557866</v>
      </c>
      <c r="AW131" s="22">
        <f>VLOOKUP($A131,tabCustoUnit[],COLUMN(CUSTO_GLOBAL[[#Headers],[Ausência por Doença]])-2,0)*($G131-$H131)</f>
        <v>4.7607286666666662</v>
      </c>
      <c r="AX131" s="22">
        <f>VLOOKUP($A131,tabCustoUnit[],COLUMN(CUSTO_GLOBAL[[#Headers],[Ausências Legais]])-2,0)*($G131-$H131)</f>
        <v>1.1432012916666665</v>
      </c>
      <c r="AY131" s="22">
        <f>VLOOKUP($A131,tabCustoUnit[],COLUMN(CUSTO_GLOBAL[[#Headers],[Licença Paternidade]])-2,0)*($G131-$H131)</f>
        <v>9.6310793749999998E-2</v>
      </c>
      <c r="AZ131" s="22">
        <f>VLOOKUP($A131,tabCustoUnit[],COLUMN(CUSTO_GLOBAL[[#Headers],[Ausência por Acidente de Trabalho]])-2,0)*($G131-$H131)</f>
        <v>0.1174521875</v>
      </c>
      <c r="BA131" s="22">
        <f>VLOOKUP($A131,tabCustoUnit[],COLUMN(CUSTO_GLOBAL[[#Headers],[Férias, Adicional de Férias e 13º  com empregada em gozo de Licença Maternidade]])-2,0)*($G131-$H131)</f>
        <v>0.73081361111111109</v>
      </c>
      <c r="BB131" s="22">
        <f>VLOOKUP($A131,tabCustoUnit[],COLUMN(CUSTO_GLOBAL[[#Headers],[Incidência do Submódulo 2.1 sobre Ausências Legais]])-2,0)*($G131-$H131)</f>
        <v>2.5887354761625003</v>
      </c>
      <c r="BC131" s="22">
        <f>VLOOKUP($A131,tabCustoUnit[],COLUMN(CUSTO_GLOBAL[[#Headers],[Submódulo 4.1]])-2,0)*($G131-$H131)</f>
        <v>9.4372420268569428</v>
      </c>
      <c r="BD131" s="22">
        <f>VLOOKUP($A131,tabCustoUnit[],COLUMN(CUSTO_GLOBAL[[#Headers],[Intervalo para Repouso ou Alimentação]])-2,0)*($G131-$H131)</f>
        <v>0</v>
      </c>
      <c r="BE131" s="22">
        <f>VLOOKUP($A131,tabCustoUnit[],COLUMN(CUSTO_GLOBAL[[#Headers],[Submódulo 4.2]])-2,0)*($G131-$H131)</f>
        <v>0</v>
      </c>
      <c r="BF131" s="22">
        <f>VLOOKUP($A131,tabCustoUnit[],COLUMN(CUSTO_GLOBAL[[#Headers],[Suspensão Temporária do Contrato de Trabalho]])-2,0)*($G131-$H131)</f>
        <v>0</v>
      </c>
      <c r="BG131" s="22">
        <f>VLOOKUP($A131,tabCustoUnit[],COLUMN(CUSTO_GLOBAL[[#Headers],[Submódulo 4.3]])-2,0)*($G131-$H131)</f>
        <v>0</v>
      </c>
      <c r="BH131" s="22">
        <f>VLOOKUP($A131,tabCustoUnit[],COLUMN(CUSTO_GLOBAL[[#Headers],[MÓDULO 4 – CUSTO DE REPOSIÇÃO DO PROFISSIONAL AUSENTE]])-2,0)*($G131-$H131)</f>
        <v>9.4372420268569428</v>
      </c>
      <c r="BI131" s="22">
        <f>VLOOKUP($A131,tabCustoUnit[],COLUMN(CUSTO_GLOBAL[[#Headers],[Uniformes e EPIs]])-2,0)*($G131-$H131)</f>
        <v>62.806666666666665</v>
      </c>
      <c r="BJ131" s="22">
        <f>VLOOKUP($A131,tabCustoUnit[],COLUMN(CUSTO_GLOBAL[[#Headers],[Materiais de Consumo]])-2,0)*($G131-$H131)</f>
        <v>12.108481690426325</v>
      </c>
      <c r="BK131" s="22">
        <f>VLOOKUP($A131,tabCustoUnit[],COLUMN(CUSTO_GLOBAL[[#Headers],[Máquinas e Equipamentos (depreciação)]])-2,0)*($G131-$H131)</f>
        <v>21.998657016417809</v>
      </c>
      <c r="BL131" s="22">
        <f>VLOOKUP($A131,tabCustoUnit[],COLUMN(CUSTO_GLOBAL[[#Headers],[Produtos de Limpeza e Materiais de Higiene Pessoal]])-2,0)*($G131-$H131)</f>
        <v>235.31984072022155</v>
      </c>
      <c r="BM131" s="22">
        <f>VLOOKUP($A131,tabCustoUnit[],COLUMN(CUSTO_GLOBAL[[#Headers],[Outros (especificar)]])-2,0)*($G131-$H131)</f>
        <v>0</v>
      </c>
      <c r="BN131" s="22">
        <f>VLOOKUP($A131,tabCustoUnit[],COLUMN(CUSTO_GLOBAL[[#Headers],[MÓDULO 5 – INSUMOS DIVERSOS]])-2,0)*($G131-$H131)</f>
        <v>332.23364609373232</v>
      </c>
      <c r="BO131" s="22">
        <f>VLOOKUP($A131,tabCustoUnit[],COLUMN(CUSTO_GLOBAL[[#Headers],[TOTAL MÓDULOS 1+2+3+4+5]])-2,0)*($G131-$H131)</f>
        <v>2118.2084999148137</v>
      </c>
      <c r="BP131" s="22">
        <f>VLOOKUP($A131,tabCustoUnit[],COLUMN(CUSTO_GLOBAL[[#Headers],[Custos Indiretos]])-2,0)*($G131-$H131)</f>
        <v>189.64880140242613</v>
      </c>
      <c r="BQ131" s="22">
        <f>VLOOKUP($A131,tabCustoUnit[],COLUMN(CUSTO_GLOBAL[[#Headers],[Lucro]])-2,0)*($G131-$H131)</f>
        <v>159.30499317803796</v>
      </c>
      <c r="BR131" s="26">
        <f>VLOOKUP($A131,tabCustoUnit[],COLUMN(CUSTO_GLOBAL[[#Headers],[COFINS]])-2,0)</f>
        <v>8.6609686609686695E-2</v>
      </c>
      <c r="BS131" s="26">
        <f>VLOOKUP($A131,tabCustoUnit[],COLUMN(CUSTO_GLOBAL[[#Headers],[PIS]])-2,0)</f>
        <v>1.880341880341882E-2</v>
      </c>
      <c r="BT131" s="28">
        <f>VLOOKUP($A131,tabCustoUnit[],COLUMN(CUSTO_GLOBAL[[#Headers],[ISS]])-2,0)</f>
        <v>0.03</v>
      </c>
      <c r="BU131" s="26">
        <f>VLOOKUP($A131,tabCustoUnit[],COLUMN(CUSTO_GLOBAL[[#Headers],[ISS (Conversão Alíquota s/ fatura)]])-2,0)</f>
        <v>3.4188034188034219E-2</v>
      </c>
      <c r="BV131" s="26">
        <f>VLOOKUP($A131,tabCustoUnit[],COLUMN(CUSTO_GLOBAL[[#Headers],[Resumo de Alíquotas (PIS+CONFINS+ISS)]])-2,0)</f>
        <v>0.1225</v>
      </c>
      <c r="BW131" s="138">
        <f>VLOOKUP($A131,tabCustoUnit[],COLUMN(CUSTO_GLOBAL[[#Headers],[PIS + COFINS + ISS (Total Conversão  Alíquota s/ Fatura)]])-2,0)</f>
        <v>0.13960113960113973</v>
      </c>
      <c r="BX131" s="22">
        <f>VLOOKUP($A131,tabCustoUnit[],COLUMN(CUSTO_GLOBAL[[#Headers],[Valor dos Tributos (ISS, PIS, CONFINS)]])-2,0)*($G131-$H131)</f>
        <v>344.41866789250349</v>
      </c>
      <c r="BY131" s="22">
        <f>VLOOKUP($A131,tabCustoUnit[],COLUMN(CUSTO_GLOBAL[[#Headers],[MÓDULO 6 – CUSTOS INDIRETOS, TRIBUTOS E LUCRO]])-2,0)*($G131-$H131)</f>
        <v>693.37246247296753</v>
      </c>
      <c r="BZ131" s="22">
        <f>VLOOKUP($A131,tabCustoUnit[],COLUMN(CUSTO_GLOBAL[[#Headers],[CUSTO TOTAL MENSAL]])-2,0)*($G131-$H131)</f>
        <v>2811.5809623877813</v>
      </c>
      <c r="CA131" s="22">
        <f>CUSTO_GLOBAL[[#This Row],[CUSTO TOTAL MENSAL]]*12</f>
        <v>33738.971548653375</v>
      </c>
      <c r="CB131" s="24">
        <f>VLOOKUP($A131,tabCustoUnit[],COLUMN(CUSTO_GLOBAL[[#Headers],[ANO DA CCT]])-2,0)</f>
        <v>45658</v>
      </c>
      <c r="CC131" s="25" t="str">
        <f>VLOOKUP($A131,tabCustoUnit[],COLUMN(CUSTO_GLOBAL[[#Headers],[Nº DE PEDIDO DA CCT]])-2,0)</f>
        <v>-</v>
      </c>
      <c r="CD131" s="25" t="str">
        <f>VLOOKUP($A131,tabCustoUnit[],COLUMN(CUSTO_GLOBAL[[#Headers],[TERMO ADITIVO  ALTERAÇÃO DA CCT]])-2,0)</f>
        <v>-</v>
      </c>
      <c r="CF131" s="22"/>
      <c r="CG131" s="22"/>
    </row>
    <row r="132" spans="1:85" x14ac:dyDescent="0.25">
      <c r="A132" s="20" t="s">
        <v>1468</v>
      </c>
      <c r="B132" t="s">
        <v>120</v>
      </c>
      <c r="C132" t="s">
        <v>1245</v>
      </c>
      <c r="D132" t="s">
        <v>1041</v>
      </c>
      <c r="E132" s="20" t="s">
        <v>9</v>
      </c>
      <c r="F132" s="20" t="s">
        <v>10</v>
      </c>
      <c r="G132" s="20">
        <v>1</v>
      </c>
      <c r="H132" s="20">
        <v>0</v>
      </c>
      <c r="I132" s="21">
        <f>VLOOKUP($A132,tabCustoUnit[],COLUMN(CUSTO_GLOBAL[[#Headers],[Salário Base]])-2,0)*($G132-$H132)</f>
        <v>1596.28</v>
      </c>
      <c r="J132" s="21">
        <f>VLOOKUP($A132,tabCustoUnit[],COLUMN(CUSTO_GLOBAL[[#Headers],[Adicional Periculosidade]])-2,0)*($G132-$H132)</f>
        <v>0</v>
      </c>
      <c r="K132" s="21">
        <f>VLOOKUP($A132,tabCustoUnit[],COLUMN(CUSTO_GLOBAL[[#Headers],[Adicional Insalubridade]])-2,0)*($G132-$H132)</f>
        <v>0</v>
      </c>
      <c r="L132" s="21">
        <f>VLOOKUP($A132,tabCustoUnit[],COLUMN(CUSTO_GLOBAL[[#Headers],[Adicional Noturno]])-2,0)*($G132-$H132)</f>
        <v>0</v>
      </c>
      <c r="M132" s="21">
        <f>VLOOKUP($A132,tabCustoUnit[],COLUMN(CUSTO_GLOBAL[[#Headers],[Adicional Motorista II (Gratificação)]])-2,0)*($G132-$H132)</f>
        <v>0</v>
      </c>
      <c r="N132" s="21">
        <f>VLOOKUP($A132,tabCustoUnit[],COLUMN(CUSTO_GLOBAL[[#Headers],[Adicional de Sobreaviso]])-2,0)*($G132-$H132)</f>
        <v>0</v>
      </c>
      <c r="O132" s="21">
        <f>VLOOKUP($A132,tabCustoUnit[],COLUMN(CUSTO_GLOBAL[[#Headers],[Horas Extras TI]])-2,0)*($G132-$H132)</f>
        <v>0</v>
      </c>
      <c r="P132" s="21">
        <f>VLOOKUP($A132,tabCustoUnit[],COLUMN(CUSTO_GLOBAL[[#Headers],[Adicional de Acúmulo de função]])-2,0)*($G132-$H132)</f>
        <v>52.241900000000001</v>
      </c>
      <c r="Q132" s="21">
        <f>VLOOKUP($A132,tabCustoUnit[],COLUMN(CUSTO_GLOBAL[[#Headers],[MODULO 1 - REMUNERAÇÃO ]])-2,0)*($G132-$H132)</f>
        <v>1648.5219</v>
      </c>
      <c r="R132" s="21">
        <f>VLOOKUP($A132,tabCustoUnit[],COLUMN(CUSTO_GLOBAL[[#Headers],[INSS]])-2,0)*($G132-$H132)</f>
        <v>329.70438000000001</v>
      </c>
      <c r="S132" s="21">
        <f>VLOOKUP($A132,tabCustoUnit[],COLUMN(CUSTO_GLOBAL[[#Headers],[SESI OU SESC]])-2,0)*($G132-$H132)</f>
        <v>24.727828499999998</v>
      </c>
      <c r="T132" s="21">
        <f>VLOOKUP($A132,tabCustoUnit[],COLUMN(CUSTO_GLOBAL[[#Headers],[SENAI OU SENAC]])-2,0)*($G132-$H132)</f>
        <v>16.485219000000001</v>
      </c>
      <c r="U132" s="21">
        <f>VLOOKUP($A132,tabCustoUnit[],COLUMN(CUSTO_GLOBAL[[#Headers],[INCRA]])-2,0)*($G132-$H132)</f>
        <v>3.2970438</v>
      </c>
      <c r="V132" s="21">
        <f>VLOOKUP($A132,tabCustoUnit[],COLUMN(CUSTO_GLOBAL[[#Headers],[Salário Educação]])-2,0)*($G132-$H132)</f>
        <v>41.213047500000002</v>
      </c>
      <c r="W132" s="21">
        <f>VLOOKUP($A132,tabCustoUnit[],COLUMN(CUSTO_GLOBAL[[#Headers],[FGTS]])-2,0)*($G132-$H132)</f>
        <v>131.88175200000001</v>
      </c>
      <c r="X132" s="21">
        <f>VLOOKUP($A132,tabCustoUnit[],COLUMN(CUSTO_GLOBAL[[#Headers],[RAT Ajustado]])-2,0)*($G132-$H132)</f>
        <v>65.940876000000003</v>
      </c>
      <c r="Y132" s="21">
        <f>VLOOKUP($A132,tabCustoUnit[],COLUMN(CUSTO_GLOBAL[[#Headers],[SEBRAE]])-2,0)*($G132-$H132)</f>
        <v>9.8911314000000008</v>
      </c>
      <c r="Z132" s="21">
        <f>VLOOKUP($A132,tabCustoUnit[],COLUMN(CUSTO_GLOBAL[[#Headers],[Submódulo 2.1]])-2,0)*($G132-$H132)</f>
        <v>623.14127819999999</v>
      </c>
      <c r="AA132" s="21">
        <f>VLOOKUP($A132,tabCustoUnit[],COLUMN(CUSTO_GLOBAL[[#Headers],[13º salário (titular)]])-2,0)*($G132-$H132)</f>
        <v>137.376825</v>
      </c>
      <c r="AB132" s="21">
        <f>VLOOKUP($A132,tabCustoUnit[],COLUMN(CUSTO_GLOBAL[[#Headers],[Férias e Adicional de Férias (titular)]])-2,0)*($G132-$H132)</f>
        <v>183.16909999999999</v>
      </c>
      <c r="AC132" s="21">
        <f>VLOOKUP($A132,tabCustoUnit[],COLUMN(CUSTO_GLOBAL[[#Headers],[Incidência do Submódulo 2.1 sobre 13º Salário, Férias e Adicional de Férias]])-2,0)*($G132-$H132)</f>
        <v>121.16635965</v>
      </c>
      <c r="AD132" s="21">
        <f>VLOOKUP($A132,tabCustoUnit[],COLUMN(CUSTO_GLOBAL[[#Headers],[Submódulo 2.2]])-2,0)*($G132-$H132)</f>
        <v>441.71228465000002</v>
      </c>
      <c r="AE132" s="22">
        <f>VLOOKUP($A132,tabCustoUnit[],COLUMN(CUSTO_GLOBAL[[#Headers],[Vale - Transporte (Descontada parcela do empregado)]])-2,0)*($G132-$H132)</f>
        <v>160.22320000000002</v>
      </c>
      <c r="AF132" s="22">
        <f>VLOOKUP($A132,tabCustoUnit[],COLUMN(CUSTO_GLOBAL[[#Headers],[Vale - Alimentação (Descontada parcela do empregado)]])-2,0)*($G132-$H132)</f>
        <v>582</v>
      </c>
      <c r="AG132" s="22">
        <f>VLOOKUP($A132,tabCustoUnit[],COLUMN(CUSTO_GLOBAL[[#Headers],[Cesta Básica]])-2,0)*($G132-$H132)</f>
        <v>0</v>
      </c>
      <c r="AH132" s="22">
        <f>VLOOKUP($A132,tabCustoUnit[],COLUMN(CUSTO_GLOBAL[[#Headers],[PAF]])-2,0)*($G132-$H132)</f>
        <v>51.86</v>
      </c>
      <c r="AI132" s="22">
        <f>VLOOKUP($A132,tabCustoUnit[],COLUMN(CUSTO_GLOBAL[[#Headers],[PQM]])-2,0)*($G132-$H132)</f>
        <v>0</v>
      </c>
      <c r="AJ132" s="22">
        <v>0</v>
      </c>
      <c r="AK132" s="22">
        <f>VLOOKUP($A132,tabCustoUnit[],COLUMN(CUSTO_GLOBAL[[#Headers],[Seguro de Vida]])-2,0)*($G132-$H132)</f>
        <v>3.36</v>
      </c>
      <c r="AL132" s="22">
        <f>VLOOKUP($A132,tabCustoUnit[],COLUMN(CUSTO_GLOBAL[[#Headers],[Despesas de Viagem]])-2,0)*($G132-$H132)</f>
        <v>0</v>
      </c>
      <c r="AM132" s="22">
        <f>VLOOKUP($A132,tabCustoUnit[],COLUMN(CUSTO_GLOBAL[[#Headers],[Submódulo 2.3]])-2,0)*($G132-$H132)</f>
        <v>797.44320000000005</v>
      </c>
      <c r="AN132" s="22">
        <f>VLOOKUP($A132,tabCustoUnit[],COLUMN(CUSTO_GLOBAL[[#Headers],[MÓDULO 2 - Total Encargos e Benefícios mensais e diários]])-2,0)*($G132-$H132)</f>
        <v>1862.2967628500001</v>
      </c>
      <c r="AO132" s="22">
        <f>VLOOKUP($A132,tabCustoUnit[],COLUMN(CUSTO_GLOBAL[[#Headers],[Aviso Prévio Indenizado (API) e Reflexo do Aviso Prévio Indenizado]])-2,0)*($G132-$H132)</f>
        <v>11.559051416493055</v>
      </c>
      <c r="AP132" s="22">
        <f>VLOOKUP($A132,tabCustoUnit[],COLUMN(CUSTO_GLOBAL[[#Headers],[Incidência do FGTS sobre API e Reflexo do API]])-2,0)*($G132-$H132)</f>
        <v>0.92472411331944449</v>
      </c>
      <c r="AQ132" s="22">
        <f>VLOOKUP($A132,tabCustoUnit[],COLUMN(CUSTO_GLOBAL[[#Headers],[Multa Rescisória do FGTS sobre o Aviso Prévio Indenizado]])-2,0)*($G132-$H132)</f>
        <v>0.36988964532777785</v>
      </c>
      <c r="AR132" s="22">
        <f>VLOOKUP($A132,tabCustoUnit[],COLUMN(CUSTO_GLOBAL[[#Headers],[Aviso Prévio Trabalhado - APT]])-2,0)*($G132-$H132)</f>
        <v>5.7698266500000006</v>
      </c>
      <c r="AS132" s="22">
        <f>VLOOKUP($A132,tabCustoUnit[],COLUMN(CUSTO_GLOBAL[[#Headers],[Incidência dos encargos do submódulo 2.1 sobre Aviso Prévio Trabalhado]])-2,0)*($G132-$H132)</f>
        <v>2.1809944737000007</v>
      </c>
      <c r="AT132" s="22">
        <f>VLOOKUP($A132,tabCustoUnit[],COLUMN(CUSTO_GLOBAL[[#Headers],[Multa Rescisória do FGTS]])-2,0)*($G132-$H132)</f>
        <v>50.40813631999999</v>
      </c>
      <c r="AU132" s="22">
        <f>VLOOKUP($A132,tabCustoUnit[],COLUMN(CUSTO_GLOBAL[[#Headers],[Indenização Adicional (Art. 9º da Lei nº 7.238/84)]])-2,0)*($G132-$H132)</f>
        <v>1.3737682500000001</v>
      </c>
      <c r="AV132" s="22">
        <f>VLOOKUP($A132,tabCustoUnit[],COLUMN(CUSTO_GLOBAL[[#Headers],[MÓDULO 3 – PROVISÃO PARA RESCISÃO]])-2,0)*($G132-$H132)</f>
        <v>72.586390868840269</v>
      </c>
      <c r="AW132" s="22">
        <f>VLOOKUP($A132,tabCustoUnit[],COLUMN(CUSTO_GLOBAL[[#Headers],[Ausência por Doença]])-2,0)*($G132-$H132)</f>
        <v>13.920851599999999</v>
      </c>
      <c r="AX132" s="22">
        <f>VLOOKUP($A132,tabCustoUnit[],COLUMN(CUSTO_GLOBAL[[#Headers],[Ausências Legais]])-2,0)*($G132-$H132)</f>
        <v>3.3428360749999997</v>
      </c>
      <c r="AY132" s="22">
        <f>VLOOKUP($A132,tabCustoUnit[],COLUMN(CUSTO_GLOBAL[[#Headers],[Licença Paternidade]])-2,0)*($G132-$H132)</f>
        <v>0.28162249125</v>
      </c>
      <c r="AZ132" s="22">
        <f>VLOOKUP($A132,tabCustoUnit[],COLUMN(CUSTO_GLOBAL[[#Headers],[Ausência por Acidente de Trabalho]])-2,0)*($G132-$H132)</f>
        <v>0.34344206250000003</v>
      </c>
      <c r="BA132" s="22">
        <f>VLOOKUP($A132,tabCustoUnit[],COLUMN(CUSTO_GLOBAL[[#Headers],[Férias, Adicional de Férias e 13º  com empregada em gozo de Licença Maternidade]])-2,0)*($G132-$H132)</f>
        <v>2.1369728333333331</v>
      </c>
      <c r="BB132" s="22">
        <f>VLOOKUP($A132,tabCustoUnit[],COLUMN(CUSTO_GLOBAL[[#Headers],[Incidência do Submódulo 2.1 sobre Ausências Legais]])-2,0)*($G132-$H132)</f>
        <v>7.5697240734675013</v>
      </c>
      <c r="BC132" s="22">
        <f>VLOOKUP($A132,tabCustoUnit[],COLUMN(CUSTO_GLOBAL[[#Headers],[Submódulo 4.1]])-2,0)*($G132-$H132)</f>
        <v>27.595449135550833</v>
      </c>
      <c r="BD132" s="22">
        <f>VLOOKUP($A132,tabCustoUnit[],COLUMN(CUSTO_GLOBAL[[#Headers],[Intervalo para Repouso ou Alimentação]])-2,0)*($G132-$H132)</f>
        <v>0</v>
      </c>
      <c r="BE132" s="22">
        <f>VLOOKUP($A132,tabCustoUnit[],COLUMN(CUSTO_GLOBAL[[#Headers],[Submódulo 4.2]])-2,0)*($G132-$H132)</f>
        <v>0</v>
      </c>
      <c r="BF132" s="22">
        <f>VLOOKUP($A132,tabCustoUnit[],COLUMN(CUSTO_GLOBAL[[#Headers],[Suspensão Temporária do Contrato de Trabalho]])-2,0)*($G132-$H132)</f>
        <v>0</v>
      </c>
      <c r="BG132" s="22">
        <f>VLOOKUP($A132,tabCustoUnit[],COLUMN(CUSTO_GLOBAL[[#Headers],[Submódulo 4.3]])-2,0)*($G132-$H132)</f>
        <v>0</v>
      </c>
      <c r="BH132" s="22">
        <f>VLOOKUP($A132,tabCustoUnit[],COLUMN(CUSTO_GLOBAL[[#Headers],[MÓDULO 4 – CUSTO DE REPOSIÇÃO DO PROFISSIONAL AUSENTE]])-2,0)*($G132-$H132)</f>
        <v>27.595449135550833</v>
      </c>
      <c r="BI132" s="22">
        <f>VLOOKUP($A132,tabCustoUnit[],COLUMN(CUSTO_GLOBAL[[#Headers],[Uniformes e EPIs]])-2,0)*($G132-$H132)</f>
        <v>100.80916666666666</v>
      </c>
      <c r="BJ132" s="22">
        <f>VLOOKUP($A132,tabCustoUnit[],COLUMN(CUSTO_GLOBAL[[#Headers],[Materiais de Consumo]])-2,0)*($G132-$H132)</f>
        <v>35.518212958583888</v>
      </c>
      <c r="BK132" s="22">
        <f>VLOOKUP($A132,tabCustoUnit[],COLUMN(CUSTO_GLOBAL[[#Headers],[Máquinas e Equipamentos (depreciação)]])-2,0)*($G132-$H132)</f>
        <v>64.529393914825576</v>
      </c>
      <c r="BL132" s="22">
        <f>VLOOKUP($A132,tabCustoUnit[],COLUMN(CUSTO_GLOBAL[[#Headers],[Produtos de Limpeza e Materiais de Higiene Pessoal]])-2,0)*($G132-$H132)</f>
        <v>690.27153277931654</v>
      </c>
      <c r="BM132" s="22">
        <f>VLOOKUP($A132,tabCustoUnit[],COLUMN(CUSTO_GLOBAL[[#Headers],[Outros (especificar)]])-2,0)*($G132-$H132)</f>
        <v>0</v>
      </c>
      <c r="BN132" s="22">
        <f>VLOOKUP($A132,tabCustoUnit[],COLUMN(CUSTO_GLOBAL[[#Headers],[MÓDULO 5 – INSUMOS DIVERSOS]])-2,0)*($G132-$H132)</f>
        <v>891.12830631939266</v>
      </c>
      <c r="BO132" s="22">
        <f>VLOOKUP($A132,tabCustoUnit[],COLUMN(CUSTO_GLOBAL[[#Headers],[TOTAL MÓDULOS 1+2+3+4+5]])-2,0)*($G132-$H132)</f>
        <v>4502.1288091737833</v>
      </c>
      <c r="BP132" s="22">
        <f>VLOOKUP($A132,tabCustoUnit[],COLUMN(CUSTO_GLOBAL[[#Headers],[Custos Indiretos]])-2,0)*($G132-$H132)</f>
        <v>189.64880140242613</v>
      </c>
      <c r="BQ132" s="22">
        <f>VLOOKUP($A132,tabCustoUnit[],COLUMN(CUSTO_GLOBAL[[#Headers],[Lucro]])-2,0)*($G132-$H132)</f>
        <v>159.30499317803796</v>
      </c>
      <c r="BR132" s="26">
        <f>VLOOKUP($A132,tabCustoUnit[],COLUMN(CUSTO_GLOBAL[[#Headers],[COFINS]])-2,0)</f>
        <v>8.7608069164265154E-2</v>
      </c>
      <c r="BS132" s="26">
        <f>VLOOKUP($A132,tabCustoUnit[],COLUMN(CUSTO_GLOBAL[[#Headers],[PIS]])-2,0)</f>
        <v>1.9020172910662814E-2</v>
      </c>
      <c r="BT132" s="28">
        <f>VLOOKUP($A132,tabCustoUnit[],COLUMN(CUSTO_GLOBAL[[#Headers],[ISS]])-2,0)</f>
        <v>0.04</v>
      </c>
      <c r="BU132" s="26">
        <f>VLOOKUP($A132,tabCustoUnit[],COLUMN(CUSTO_GLOBAL[[#Headers],[ISS (Conversão Alíquota s/ fatura)]])-2,0)</f>
        <v>4.6109510086455294E-2</v>
      </c>
      <c r="BV132" s="26">
        <f>VLOOKUP($A132,tabCustoUnit[],COLUMN(CUSTO_GLOBAL[[#Headers],[Resumo de Alíquotas (PIS+CONFINS+ISS)]])-2,0)</f>
        <v>0.13250000000000001</v>
      </c>
      <c r="BW132" s="138">
        <f>VLOOKUP($A132,tabCustoUnit[],COLUMN(CUSTO_GLOBAL[[#Headers],[PIS + COFINS + ISS (Total Conversão  Alíquota s/ Fatura)]])-2,0)</f>
        <v>0.15273775216138324</v>
      </c>
      <c r="BX132" s="22">
        <f>VLOOKUP($A132,tabCustoUnit[],COLUMN(CUSTO_GLOBAL[[#Headers],[Valor dos Tributos (ISS, PIS, CONFINS)]])-2,0)*($G132-$H132)</f>
        <v>740.94345244661395</v>
      </c>
      <c r="BY132" s="22">
        <f>VLOOKUP($A132,tabCustoUnit[],COLUMN(CUSTO_GLOBAL[[#Headers],[MÓDULO 6 – CUSTOS INDIRETOS, TRIBUTOS E LUCRO]])-2,0)*($G132-$H132)</f>
        <v>1089.897247027078</v>
      </c>
      <c r="BZ132" s="22">
        <f>VLOOKUP($A132,tabCustoUnit[],COLUMN(CUSTO_GLOBAL[[#Headers],[CUSTO TOTAL MENSAL]])-2,0)*($G132-$H132)</f>
        <v>5592.0260562008616</v>
      </c>
      <c r="CA132" s="22">
        <f>CUSTO_GLOBAL[[#This Row],[CUSTO TOTAL MENSAL]]*12</f>
        <v>67104.312674410336</v>
      </c>
      <c r="CB132" s="24">
        <f>VLOOKUP($A132,tabCustoUnit[],COLUMN(CUSTO_GLOBAL[[#Headers],[ANO DA CCT]])-2,0)</f>
        <v>45658</v>
      </c>
      <c r="CC132" s="25" t="str">
        <f>VLOOKUP($A132,tabCustoUnit[],COLUMN(CUSTO_GLOBAL[[#Headers],[Nº DE PEDIDO DA CCT]])-2,0)</f>
        <v>-</v>
      </c>
      <c r="CD132" s="25" t="str">
        <f>VLOOKUP($A132,tabCustoUnit[],COLUMN(CUSTO_GLOBAL[[#Headers],[TERMO ADITIVO  ALTERAÇÃO DA CCT]])-2,0)</f>
        <v>-</v>
      </c>
      <c r="CF132" s="22"/>
      <c r="CG132" s="22"/>
    </row>
    <row r="133" spans="1:85" x14ac:dyDescent="0.25">
      <c r="A133" s="20" t="s">
        <v>1469</v>
      </c>
      <c r="B133" t="s">
        <v>121</v>
      </c>
      <c r="C133" t="s">
        <v>1245</v>
      </c>
      <c r="D133" t="s">
        <v>1041</v>
      </c>
      <c r="E133" s="20" t="s">
        <v>9</v>
      </c>
      <c r="F133" s="20" t="s">
        <v>10</v>
      </c>
      <c r="G133" s="20">
        <v>1</v>
      </c>
      <c r="H133" s="20">
        <v>0</v>
      </c>
      <c r="I133" s="21">
        <f>VLOOKUP($A133,tabCustoUnit[],COLUMN(CUSTO_GLOBAL[[#Headers],[Salário Base]])-2,0)*($G133-$H133)</f>
        <v>1596.28</v>
      </c>
      <c r="J133" s="21">
        <f>VLOOKUP($A133,tabCustoUnit[],COLUMN(CUSTO_GLOBAL[[#Headers],[Adicional Periculosidade]])-2,0)*($G133-$H133)</f>
        <v>0</v>
      </c>
      <c r="K133" s="21">
        <f>VLOOKUP($A133,tabCustoUnit[],COLUMN(CUSTO_GLOBAL[[#Headers],[Adicional Insalubridade]])-2,0)*($G133-$H133)</f>
        <v>0</v>
      </c>
      <c r="L133" s="21">
        <f>VLOOKUP($A133,tabCustoUnit[],COLUMN(CUSTO_GLOBAL[[#Headers],[Adicional Noturno]])-2,0)*($G133-$H133)</f>
        <v>0</v>
      </c>
      <c r="M133" s="21">
        <f>VLOOKUP($A133,tabCustoUnit[],COLUMN(CUSTO_GLOBAL[[#Headers],[Adicional Motorista II (Gratificação)]])-2,0)*($G133-$H133)</f>
        <v>0</v>
      </c>
      <c r="N133" s="21">
        <f>VLOOKUP($A133,tabCustoUnit[],COLUMN(CUSTO_GLOBAL[[#Headers],[Adicional de Sobreaviso]])-2,0)*($G133-$H133)</f>
        <v>0</v>
      </c>
      <c r="O133" s="21">
        <f>VLOOKUP($A133,tabCustoUnit[],COLUMN(CUSTO_GLOBAL[[#Headers],[Horas Extras TI]])-2,0)*($G133-$H133)</f>
        <v>0</v>
      </c>
      <c r="P133" s="21">
        <f>VLOOKUP($A133,tabCustoUnit[],COLUMN(CUSTO_GLOBAL[[#Headers],[Adicional de Acúmulo de função]])-2,0)*($G133-$H133)</f>
        <v>52.241900000000001</v>
      </c>
      <c r="Q133" s="21">
        <f>VLOOKUP($A133,tabCustoUnit[],COLUMN(CUSTO_GLOBAL[[#Headers],[MODULO 1 - REMUNERAÇÃO ]])-2,0)*($G133-$H133)</f>
        <v>1648.5219</v>
      </c>
      <c r="R133" s="21">
        <f>VLOOKUP($A133,tabCustoUnit[],COLUMN(CUSTO_GLOBAL[[#Headers],[INSS]])-2,0)*($G133-$H133)</f>
        <v>329.70438000000001</v>
      </c>
      <c r="S133" s="21">
        <f>VLOOKUP($A133,tabCustoUnit[],COLUMN(CUSTO_GLOBAL[[#Headers],[SESI OU SESC]])-2,0)*($G133-$H133)</f>
        <v>24.727828499999998</v>
      </c>
      <c r="T133" s="21">
        <f>VLOOKUP($A133,tabCustoUnit[],COLUMN(CUSTO_GLOBAL[[#Headers],[SENAI OU SENAC]])-2,0)*($G133-$H133)</f>
        <v>16.485219000000001</v>
      </c>
      <c r="U133" s="21">
        <f>VLOOKUP($A133,tabCustoUnit[],COLUMN(CUSTO_GLOBAL[[#Headers],[INCRA]])-2,0)*($G133-$H133)</f>
        <v>3.2970438</v>
      </c>
      <c r="V133" s="21">
        <f>VLOOKUP($A133,tabCustoUnit[],COLUMN(CUSTO_GLOBAL[[#Headers],[Salário Educação]])-2,0)*($G133-$H133)</f>
        <v>41.213047500000002</v>
      </c>
      <c r="W133" s="21">
        <f>VLOOKUP($A133,tabCustoUnit[],COLUMN(CUSTO_GLOBAL[[#Headers],[FGTS]])-2,0)*($G133-$H133)</f>
        <v>131.88175200000001</v>
      </c>
      <c r="X133" s="21">
        <f>VLOOKUP($A133,tabCustoUnit[],COLUMN(CUSTO_GLOBAL[[#Headers],[RAT Ajustado]])-2,0)*($G133-$H133)</f>
        <v>65.940876000000003</v>
      </c>
      <c r="Y133" s="21">
        <f>VLOOKUP($A133,tabCustoUnit[],COLUMN(CUSTO_GLOBAL[[#Headers],[SEBRAE]])-2,0)*($G133-$H133)</f>
        <v>9.8911314000000008</v>
      </c>
      <c r="Z133" s="21">
        <f>VLOOKUP($A133,tabCustoUnit[],COLUMN(CUSTO_GLOBAL[[#Headers],[Submódulo 2.1]])-2,0)*($G133-$H133)</f>
        <v>623.14127819999999</v>
      </c>
      <c r="AA133" s="21">
        <f>VLOOKUP($A133,tabCustoUnit[],COLUMN(CUSTO_GLOBAL[[#Headers],[13º salário (titular)]])-2,0)*($G133-$H133)</f>
        <v>137.376825</v>
      </c>
      <c r="AB133" s="21">
        <f>VLOOKUP($A133,tabCustoUnit[],COLUMN(CUSTO_GLOBAL[[#Headers],[Férias e Adicional de Férias (titular)]])-2,0)*($G133-$H133)</f>
        <v>183.16909999999999</v>
      </c>
      <c r="AC133" s="21">
        <f>VLOOKUP($A133,tabCustoUnit[],COLUMN(CUSTO_GLOBAL[[#Headers],[Incidência do Submódulo 2.1 sobre 13º Salário, Férias e Adicional de Férias]])-2,0)*($G133-$H133)</f>
        <v>121.16635965</v>
      </c>
      <c r="AD133" s="21">
        <f>VLOOKUP($A133,tabCustoUnit[],COLUMN(CUSTO_GLOBAL[[#Headers],[Submódulo 2.2]])-2,0)*($G133-$H133)</f>
        <v>441.71228465000002</v>
      </c>
      <c r="AE133" s="22">
        <f>VLOOKUP($A133,tabCustoUnit[],COLUMN(CUSTO_GLOBAL[[#Headers],[Vale - Transporte (Descontada parcela do empregado)]])-2,0)*($G133-$H133)</f>
        <v>160.22320000000002</v>
      </c>
      <c r="AF133" s="22">
        <f>VLOOKUP($A133,tabCustoUnit[],COLUMN(CUSTO_GLOBAL[[#Headers],[Vale - Alimentação (Descontada parcela do empregado)]])-2,0)*($G133-$H133)</f>
        <v>582</v>
      </c>
      <c r="AG133" s="22">
        <f>VLOOKUP($A133,tabCustoUnit[],COLUMN(CUSTO_GLOBAL[[#Headers],[Cesta Básica]])-2,0)*($G133-$H133)</f>
        <v>0</v>
      </c>
      <c r="AH133" s="22">
        <f>VLOOKUP($A133,tabCustoUnit[],COLUMN(CUSTO_GLOBAL[[#Headers],[PAF]])-2,0)*($G133-$H133)</f>
        <v>51.86</v>
      </c>
      <c r="AI133" s="22">
        <f>VLOOKUP($A133,tabCustoUnit[],COLUMN(CUSTO_GLOBAL[[#Headers],[PQM]])-2,0)*($G133-$H133)</f>
        <v>0</v>
      </c>
      <c r="AJ133" s="22">
        <v>0</v>
      </c>
      <c r="AK133" s="22">
        <f>VLOOKUP($A133,tabCustoUnit[],COLUMN(CUSTO_GLOBAL[[#Headers],[Seguro de Vida]])-2,0)*($G133-$H133)</f>
        <v>3.36</v>
      </c>
      <c r="AL133" s="22">
        <f>VLOOKUP($A133,tabCustoUnit[],COLUMN(CUSTO_GLOBAL[[#Headers],[Despesas de Viagem]])-2,0)*($G133-$H133)</f>
        <v>0</v>
      </c>
      <c r="AM133" s="22">
        <f>VLOOKUP($A133,tabCustoUnit[],COLUMN(CUSTO_GLOBAL[[#Headers],[Submódulo 2.3]])-2,0)*($G133-$H133)</f>
        <v>797.44320000000005</v>
      </c>
      <c r="AN133" s="22">
        <f>VLOOKUP($A133,tabCustoUnit[],COLUMN(CUSTO_GLOBAL[[#Headers],[MÓDULO 2 - Total Encargos e Benefícios mensais e diários]])-2,0)*($G133-$H133)</f>
        <v>1862.2967628500001</v>
      </c>
      <c r="AO133" s="22">
        <f>VLOOKUP($A133,tabCustoUnit[],COLUMN(CUSTO_GLOBAL[[#Headers],[Aviso Prévio Indenizado (API) e Reflexo do Aviso Prévio Indenizado]])-2,0)*($G133-$H133)</f>
        <v>11.559051416493055</v>
      </c>
      <c r="AP133" s="22">
        <f>VLOOKUP($A133,tabCustoUnit[],COLUMN(CUSTO_GLOBAL[[#Headers],[Incidência do FGTS sobre API e Reflexo do API]])-2,0)*($G133-$H133)</f>
        <v>0.92472411331944449</v>
      </c>
      <c r="AQ133" s="22">
        <f>VLOOKUP($A133,tabCustoUnit[],COLUMN(CUSTO_GLOBAL[[#Headers],[Multa Rescisória do FGTS sobre o Aviso Prévio Indenizado]])-2,0)*($G133-$H133)</f>
        <v>0.36988964532777785</v>
      </c>
      <c r="AR133" s="22">
        <f>VLOOKUP($A133,tabCustoUnit[],COLUMN(CUSTO_GLOBAL[[#Headers],[Aviso Prévio Trabalhado - APT]])-2,0)*($G133-$H133)</f>
        <v>5.7698266500000006</v>
      </c>
      <c r="AS133" s="22">
        <f>VLOOKUP($A133,tabCustoUnit[],COLUMN(CUSTO_GLOBAL[[#Headers],[Incidência dos encargos do submódulo 2.1 sobre Aviso Prévio Trabalhado]])-2,0)*($G133-$H133)</f>
        <v>2.1809944737000007</v>
      </c>
      <c r="AT133" s="22">
        <f>VLOOKUP($A133,tabCustoUnit[],COLUMN(CUSTO_GLOBAL[[#Headers],[Multa Rescisória do FGTS]])-2,0)*($G133-$H133)</f>
        <v>50.40813631999999</v>
      </c>
      <c r="AU133" s="22">
        <f>VLOOKUP($A133,tabCustoUnit[],COLUMN(CUSTO_GLOBAL[[#Headers],[Indenização Adicional (Art. 9º da Lei nº 7.238/84)]])-2,0)*($G133-$H133)</f>
        <v>1.3737682500000001</v>
      </c>
      <c r="AV133" s="22">
        <f>VLOOKUP($A133,tabCustoUnit[],COLUMN(CUSTO_GLOBAL[[#Headers],[MÓDULO 3 – PROVISÃO PARA RESCISÃO]])-2,0)*($G133-$H133)</f>
        <v>72.586390868840269</v>
      </c>
      <c r="AW133" s="22">
        <f>VLOOKUP($A133,tabCustoUnit[],COLUMN(CUSTO_GLOBAL[[#Headers],[Ausência por Doença]])-2,0)*($G133-$H133)</f>
        <v>13.920851599999999</v>
      </c>
      <c r="AX133" s="22">
        <f>VLOOKUP($A133,tabCustoUnit[],COLUMN(CUSTO_GLOBAL[[#Headers],[Ausências Legais]])-2,0)*($G133-$H133)</f>
        <v>3.3428360749999997</v>
      </c>
      <c r="AY133" s="22">
        <f>VLOOKUP($A133,tabCustoUnit[],COLUMN(CUSTO_GLOBAL[[#Headers],[Licença Paternidade]])-2,0)*($G133-$H133)</f>
        <v>0.28162249125</v>
      </c>
      <c r="AZ133" s="22">
        <f>VLOOKUP($A133,tabCustoUnit[],COLUMN(CUSTO_GLOBAL[[#Headers],[Ausência por Acidente de Trabalho]])-2,0)*($G133-$H133)</f>
        <v>0.34344206250000003</v>
      </c>
      <c r="BA133" s="22">
        <f>VLOOKUP($A133,tabCustoUnit[],COLUMN(CUSTO_GLOBAL[[#Headers],[Férias, Adicional de Férias e 13º  com empregada em gozo de Licença Maternidade]])-2,0)*($G133-$H133)</f>
        <v>2.1369728333333331</v>
      </c>
      <c r="BB133" s="22">
        <f>VLOOKUP($A133,tabCustoUnit[],COLUMN(CUSTO_GLOBAL[[#Headers],[Incidência do Submódulo 2.1 sobre Ausências Legais]])-2,0)*($G133-$H133)</f>
        <v>7.5697240734675013</v>
      </c>
      <c r="BC133" s="22">
        <f>VLOOKUP($A133,tabCustoUnit[],COLUMN(CUSTO_GLOBAL[[#Headers],[Submódulo 4.1]])-2,0)*($G133-$H133)</f>
        <v>27.595449135550833</v>
      </c>
      <c r="BD133" s="22">
        <f>VLOOKUP($A133,tabCustoUnit[],COLUMN(CUSTO_GLOBAL[[#Headers],[Intervalo para Repouso ou Alimentação]])-2,0)*($G133-$H133)</f>
        <v>0</v>
      </c>
      <c r="BE133" s="22">
        <f>VLOOKUP($A133,tabCustoUnit[],COLUMN(CUSTO_GLOBAL[[#Headers],[Submódulo 4.2]])-2,0)*($G133-$H133)</f>
        <v>0</v>
      </c>
      <c r="BF133" s="22">
        <f>VLOOKUP($A133,tabCustoUnit[],COLUMN(CUSTO_GLOBAL[[#Headers],[Suspensão Temporária do Contrato de Trabalho]])-2,0)*($G133-$H133)</f>
        <v>0</v>
      </c>
      <c r="BG133" s="22">
        <f>VLOOKUP($A133,tabCustoUnit[],COLUMN(CUSTO_GLOBAL[[#Headers],[Submódulo 4.3]])-2,0)*($G133-$H133)</f>
        <v>0</v>
      </c>
      <c r="BH133" s="22">
        <f>VLOOKUP($A133,tabCustoUnit[],COLUMN(CUSTO_GLOBAL[[#Headers],[MÓDULO 4 – CUSTO DE REPOSIÇÃO DO PROFISSIONAL AUSENTE]])-2,0)*($G133-$H133)</f>
        <v>27.595449135550833</v>
      </c>
      <c r="BI133" s="22">
        <f>VLOOKUP($A133,tabCustoUnit[],COLUMN(CUSTO_GLOBAL[[#Headers],[Uniformes e EPIs]])-2,0)*($G133-$H133)</f>
        <v>100.80916666666666</v>
      </c>
      <c r="BJ133" s="22">
        <f>VLOOKUP($A133,tabCustoUnit[],COLUMN(CUSTO_GLOBAL[[#Headers],[Materiais de Consumo]])-2,0)*($G133-$H133)</f>
        <v>35.518212958583888</v>
      </c>
      <c r="BK133" s="22">
        <f>VLOOKUP($A133,tabCustoUnit[],COLUMN(CUSTO_GLOBAL[[#Headers],[Máquinas e Equipamentos (depreciação)]])-2,0)*($G133-$H133)</f>
        <v>64.529393914825576</v>
      </c>
      <c r="BL133" s="22">
        <f>VLOOKUP($A133,tabCustoUnit[],COLUMN(CUSTO_GLOBAL[[#Headers],[Produtos de Limpeza e Materiais de Higiene Pessoal]])-2,0)*($G133-$H133)</f>
        <v>690.27153277931654</v>
      </c>
      <c r="BM133" s="22">
        <f>VLOOKUP($A133,tabCustoUnit[],COLUMN(CUSTO_GLOBAL[[#Headers],[Outros (especificar)]])-2,0)*($G133-$H133)</f>
        <v>0</v>
      </c>
      <c r="BN133" s="22">
        <f>VLOOKUP($A133,tabCustoUnit[],COLUMN(CUSTO_GLOBAL[[#Headers],[MÓDULO 5 – INSUMOS DIVERSOS]])-2,0)*($G133-$H133)</f>
        <v>891.12830631939266</v>
      </c>
      <c r="BO133" s="22">
        <f>VLOOKUP($A133,tabCustoUnit[],COLUMN(CUSTO_GLOBAL[[#Headers],[TOTAL MÓDULOS 1+2+3+4+5]])-2,0)*($G133-$H133)</f>
        <v>4502.1288091737833</v>
      </c>
      <c r="BP133" s="22">
        <f>VLOOKUP($A133,tabCustoUnit[],COLUMN(CUSTO_GLOBAL[[#Headers],[Custos Indiretos]])-2,0)*($G133-$H133)</f>
        <v>189.64880140242613</v>
      </c>
      <c r="BQ133" s="22">
        <f>VLOOKUP($A133,tabCustoUnit[],COLUMN(CUSTO_GLOBAL[[#Headers],[Lucro]])-2,0)*($G133-$H133)</f>
        <v>159.30499317803796</v>
      </c>
      <c r="BR133" s="26">
        <f>VLOOKUP($A133,tabCustoUnit[],COLUMN(CUSTO_GLOBAL[[#Headers],[COFINS]])-2,0)</f>
        <v>8.6609686609686695E-2</v>
      </c>
      <c r="BS133" s="26">
        <f>VLOOKUP($A133,tabCustoUnit[],COLUMN(CUSTO_GLOBAL[[#Headers],[PIS]])-2,0)</f>
        <v>1.880341880341882E-2</v>
      </c>
      <c r="BT133" s="28">
        <f>VLOOKUP($A133,tabCustoUnit[],COLUMN(CUSTO_GLOBAL[[#Headers],[ISS]])-2,0)</f>
        <v>0.03</v>
      </c>
      <c r="BU133" s="26">
        <f>VLOOKUP($A133,tabCustoUnit[],COLUMN(CUSTO_GLOBAL[[#Headers],[ISS (Conversão Alíquota s/ fatura)]])-2,0)</f>
        <v>3.4188034188034219E-2</v>
      </c>
      <c r="BV133" s="26">
        <f>VLOOKUP($A133,tabCustoUnit[],COLUMN(CUSTO_GLOBAL[[#Headers],[Resumo de Alíquotas (PIS+CONFINS+ISS)]])-2,0)</f>
        <v>0.1225</v>
      </c>
      <c r="BW133" s="138">
        <f>VLOOKUP($A133,tabCustoUnit[],COLUMN(CUSTO_GLOBAL[[#Headers],[PIS + COFINS + ISS (Total Conversão  Alíquota s/ Fatura)]])-2,0)</f>
        <v>0.13960113960113973</v>
      </c>
      <c r="BX133" s="22">
        <f>VLOOKUP($A133,tabCustoUnit[],COLUMN(CUSTO_GLOBAL[[#Headers],[Valor dos Tributos (ISS, PIS, CONFINS)]])-2,0)*($G133-$H133)</f>
        <v>677.21665978335716</v>
      </c>
      <c r="BY133" s="22">
        <f>VLOOKUP($A133,tabCustoUnit[],COLUMN(CUSTO_GLOBAL[[#Headers],[MÓDULO 6 – CUSTOS INDIRETOS, TRIBUTOS E LUCRO]])-2,0)*($G133-$H133)</f>
        <v>1026.1704543638211</v>
      </c>
      <c r="BZ133" s="22">
        <f>VLOOKUP($A133,tabCustoUnit[],COLUMN(CUSTO_GLOBAL[[#Headers],[CUSTO TOTAL MENSAL]])-2,0)*($G133-$H133)</f>
        <v>5528.2992635376049</v>
      </c>
      <c r="CA133" s="22">
        <f>CUSTO_GLOBAL[[#This Row],[CUSTO TOTAL MENSAL]]*12</f>
        <v>66339.591162451252</v>
      </c>
      <c r="CB133" s="24">
        <f>VLOOKUP($A133,tabCustoUnit[],COLUMN(CUSTO_GLOBAL[[#Headers],[ANO DA CCT]])-2,0)</f>
        <v>45658</v>
      </c>
      <c r="CC133" s="25" t="str">
        <f>VLOOKUP($A133,tabCustoUnit[],COLUMN(CUSTO_GLOBAL[[#Headers],[Nº DE PEDIDO DA CCT]])-2,0)</f>
        <v>-</v>
      </c>
      <c r="CD133" s="25" t="str">
        <f>VLOOKUP($A133,tabCustoUnit[],COLUMN(CUSTO_GLOBAL[[#Headers],[TERMO ADITIVO  ALTERAÇÃO DA CCT]])-2,0)</f>
        <v>-</v>
      </c>
      <c r="CF133" s="22"/>
      <c r="CG133" s="22"/>
    </row>
    <row r="134" spans="1:85" x14ac:dyDescent="0.25">
      <c r="A134" s="20" t="s">
        <v>1470</v>
      </c>
      <c r="B134" t="s">
        <v>122</v>
      </c>
      <c r="C134" t="s">
        <v>1247</v>
      </c>
      <c r="D134" t="s">
        <v>1026</v>
      </c>
      <c r="E134" s="20" t="s">
        <v>9</v>
      </c>
      <c r="F134" s="20" t="s">
        <v>10</v>
      </c>
      <c r="G134" s="20">
        <v>1</v>
      </c>
      <c r="H134" s="20">
        <v>0</v>
      </c>
      <c r="I134" s="21">
        <f>VLOOKUP($A134,tabCustoUnit[],COLUMN(CUSTO_GLOBAL[[#Headers],[Salário Base]])-2,0)*($G134-$H134)</f>
        <v>544.17999999999995</v>
      </c>
      <c r="J134" s="21">
        <f>VLOOKUP($A134,tabCustoUnit[],COLUMN(CUSTO_GLOBAL[[#Headers],[Adicional Periculosidade]])-2,0)*($G134-$H134)</f>
        <v>0</v>
      </c>
      <c r="K134" s="21">
        <f>VLOOKUP($A134,tabCustoUnit[],COLUMN(CUSTO_GLOBAL[[#Headers],[Adicional Insalubridade]])-2,0)*($G134-$H134)</f>
        <v>0</v>
      </c>
      <c r="L134" s="21">
        <f>VLOOKUP($A134,tabCustoUnit[],COLUMN(CUSTO_GLOBAL[[#Headers],[Adicional Noturno]])-2,0)*($G134-$H134)</f>
        <v>0</v>
      </c>
      <c r="M134" s="21">
        <f>VLOOKUP($A134,tabCustoUnit[],COLUMN(CUSTO_GLOBAL[[#Headers],[Adicional Motorista II (Gratificação)]])-2,0)*($G134-$H134)</f>
        <v>0</v>
      </c>
      <c r="N134" s="21">
        <f>VLOOKUP($A134,tabCustoUnit[],COLUMN(CUSTO_GLOBAL[[#Headers],[Adicional de Sobreaviso]])-2,0)*($G134-$H134)</f>
        <v>0</v>
      </c>
      <c r="O134" s="21">
        <f>VLOOKUP($A134,tabCustoUnit[],COLUMN(CUSTO_GLOBAL[[#Headers],[Horas Extras TI]])-2,0)*($G134-$H134)</f>
        <v>0</v>
      </c>
      <c r="P134" s="21">
        <f>VLOOKUP($A134,tabCustoUnit[],COLUMN(CUSTO_GLOBAL[[#Headers],[Adicional de Acúmulo de função]])-2,0)*($G134-$H134)</f>
        <v>19.590499999999999</v>
      </c>
      <c r="Q134" s="21">
        <f>VLOOKUP($A134,tabCustoUnit[],COLUMN(CUSTO_GLOBAL[[#Headers],[MODULO 1 - REMUNERAÇÃO ]])-2,0)*($G134-$H134)</f>
        <v>563.77049999999997</v>
      </c>
      <c r="R134" s="21">
        <f>VLOOKUP($A134,tabCustoUnit[],COLUMN(CUSTO_GLOBAL[[#Headers],[INSS]])-2,0)*($G134-$H134)</f>
        <v>112.75409999999999</v>
      </c>
      <c r="S134" s="21">
        <f>VLOOKUP($A134,tabCustoUnit[],COLUMN(CUSTO_GLOBAL[[#Headers],[SESI OU SESC]])-2,0)*($G134-$H134)</f>
        <v>8.4565574999999988</v>
      </c>
      <c r="T134" s="21">
        <f>VLOOKUP($A134,tabCustoUnit[],COLUMN(CUSTO_GLOBAL[[#Headers],[SENAI OU SENAC]])-2,0)*($G134-$H134)</f>
        <v>5.6377049999999995</v>
      </c>
      <c r="U134" s="21">
        <f>VLOOKUP($A134,tabCustoUnit[],COLUMN(CUSTO_GLOBAL[[#Headers],[INCRA]])-2,0)*($G134-$H134)</f>
        <v>1.1275409999999999</v>
      </c>
      <c r="V134" s="21">
        <f>VLOOKUP($A134,tabCustoUnit[],COLUMN(CUSTO_GLOBAL[[#Headers],[Salário Educação]])-2,0)*($G134-$H134)</f>
        <v>14.094262499999999</v>
      </c>
      <c r="W134" s="21">
        <f>VLOOKUP($A134,tabCustoUnit[],COLUMN(CUSTO_GLOBAL[[#Headers],[FGTS]])-2,0)*($G134-$H134)</f>
        <v>45.101639999999996</v>
      </c>
      <c r="X134" s="21">
        <f>VLOOKUP($A134,tabCustoUnit[],COLUMN(CUSTO_GLOBAL[[#Headers],[RAT Ajustado]])-2,0)*($G134-$H134)</f>
        <v>22.550819999999998</v>
      </c>
      <c r="Y134" s="21">
        <f>VLOOKUP($A134,tabCustoUnit[],COLUMN(CUSTO_GLOBAL[[#Headers],[SEBRAE]])-2,0)*($G134-$H134)</f>
        <v>3.3826229999999997</v>
      </c>
      <c r="Z134" s="21">
        <f>VLOOKUP($A134,tabCustoUnit[],COLUMN(CUSTO_GLOBAL[[#Headers],[Submódulo 2.1]])-2,0)*($G134-$H134)</f>
        <v>213.10524899999996</v>
      </c>
      <c r="AA134" s="21">
        <f>VLOOKUP($A134,tabCustoUnit[],COLUMN(CUSTO_GLOBAL[[#Headers],[13º salário (titular)]])-2,0)*($G134-$H134)</f>
        <v>46.980874999999997</v>
      </c>
      <c r="AB134" s="21">
        <f>VLOOKUP($A134,tabCustoUnit[],COLUMN(CUSTO_GLOBAL[[#Headers],[Férias e Adicional de Férias (titular)]])-2,0)*($G134-$H134)</f>
        <v>62.641166666666663</v>
      </c>
      <c r="AC134" s="21">
        <f>VLOOKUP($A134,tabCustoUnit[],COLUMN(CUSTO_GLOBAL[[#Headers],[Incidência do Submódulo 2.1 sobre 13º Salário, Férias e Adicional de Férias]])-2,0)*($G134-$H134)</f>
        <v>41.437131749999992</v>
      </c>
      <c r="AD134" s="21">
        <f>VLOOKUP($A134,tabCustoUnit[],COLUMN(CUSTO_GLOBAL[[#Headers],[Submódulo 2.2]])-2,0)*($G134-$H134)</f>
        <v>151.05917341666665</v>
      </c>
      <c r="AE134" s="22">
        <f>VLOOKUP($A134,tabCustoUnit[],COLUMN(CUSTO_GLOBAL[[#Headers],[Vale - Transporte (Descontada parcela do empregado)]])-2,0)*($G134-$H134)</f>
        <v>223.3492</v>
      </c>
      <c r="AF134" s="22">
        <f>VLOOKUP($A134,tabCustoUnit[],COLUMN(CUSTO_GLOBAL[[#Headers],[Vale - Alimentação (Descontada parcela do empregado)]])-2,0)*($G134-$H134)</f>
        <v>582</v>
      </c>
      <c r="AG134" s="22">
        <f>VLOOKUP($A134,tabCustoUnit[],COLUMN(CUSTO_GLOBAL[[#Headers],[Cesta Básica]])-2,0)*($G134-$H134)</f>
        <v>0</v>
      </c>
      <c r="AH134" s="22">
        <f>VLOOKUP($A134,tabCustoUnit[],COLUMN(CUSTO_GLOBAL[[#Headers],[PAF]])-2,0)*($G134-$H134)</f>
        <v>0</v>
      </c>
      <c r="AI134" s="22">
        <f>VLOOKUP($A134,tabCustoUnit[],COLUMN(CUSTO_GLOBAL[[#Headers],[PQM]])-2,0)*($G134-$H134)</f>
        <v>15.07</v>
      </c>
      <c r="AJ134" s="22">
        <v>0</v>
      </c>
      <c r="AK134" s="22">
        <f>VLOOKUP($A134,tabCustoUnit[],COLUMN(CUSTO_GLOBAL[[#Headers],[Seguro de Vida]])-2,0)*($G134-$H134)</f>
        <v>3.36</v>
      </c>
      <c r="AL134" s="22">
        <f>VLOOKUP($A134,tabCustoUnit[],COLUMN(CUSTO_GLOBAL[[#Headers],[Despesas de Viagem]])-2,0)*($G134-$H134)</f>
        <v>0</v>
      </c>
      <c r="AM134" s="22">
        <f>VLOOKUP($A134,tabCustoUnit[],COLUMN(CUSTO_GLOBAL[[#Headers],[Submódulo 2.3]])-2,0)*($G134-$H134)</f>
        <v>823.77920000000006</v>
      </c>
      <c r="AN134" s="22">
        <f>VLOOKUP($A134,tabCustoUnit[],COLUMN(CUSTO_GLOBAL[[#Headers],[MÓDULO 2 - Total Encargos e Benefícios mensais e diários]])-2,0)*($G134-$H134)</f>
        <v>1187.9436224166666</v>
      </c>
      <c r="AO134" s="22">
        <f>VLOOKUP($A134,tabCustoUnit[],COLUMN(CUSTO_GLOBAL[[#Headers],[Aviso Prévio Indenizado (API) e Reflexo do Aviso Prévio Indenizado]])-2,0)*($G134-$H134)</f>
        <v>3.9530273735532404</v>
      </c>
      <c r="AP134" s="22">
        <f>VLOOKUP($A134,tabCustoUnit[],COLUMN(CUSTO_GLOBAL[[#Headers],[Incidência do FGTS sobre API e Reflexo do API]])-2,0)*($G134-$H134)</f>
        <v>0.31624218988425928</v>
      </c>
      <c r="AQ134" s="22">
        <f>VLOOKUP($A134,tabCustoUnit[],COLUMN(CUSTO_GLOBAL[[#Headers],[Multa Rescisória do FGTS sobre o Aviso Prévio Indenizado]])-2,0)*($G134-$H134)</f>
        <v>0.12649687595370371</v>
      </c>
      <c r="AR134" s="22">
        <f>VLOOKUP($A134,tabCustoUnit[],COLUMN(CUSTO_GLOBAL[[#Headers],[Aviso Prévio Trabalhado - APT]])-2,0)*($G134-$H134)</f>
        <v>1.9731967500000003</v>
      </c>
      <c r="AS134" s="22">
        <f>VLOOKUP($A134,tabCustoUnit[],COLUMN(CUSTO_GLOBAL[[#Headers],[Incidência dos encargos do submódulo 2.1 sobre Aviso Prévio Trabalhado]])-2,0)*($G134-$H134)</f>
        <v>0.74586837150000018</v>
      </c>
      <c r="AT134" s="22">
        <f>VLOOKUP($A134,tabCustoUnit[],COLUMN(CUSTO_GLOBAL[[#Headers],[Multa Rescisória do FGTS]])-2,0)*($G134-$H134)</f>
        <v>17.238849066666663</v>
      </c>
      <c r="AU134" s="22">
        <f>VLOOKUP($A134,tabCustoUnit[],COLUMN(CUSTO_GLOBAL[[#Headers],[Indenização Adicional (Art. 9º da Lei nº 7.238/84)]])-2,0)*($G134-$H134)</f>
        <v>0.46980875</v>
      </c>
      <c r="AV134" s="22">
        <f>VLOOKUP($A134,tabCustoUnit[],COLUMN(CUSTO_GLOBAL[[#Headers],[MÓDULO 3 – PROVISÃO PARA RESCISÃO]])-2,0)*($G134-$H134)</f>
        <v>24.823489377557866</v>
      </c>
      <c r="AW134" s="22">
        <f>VLOOKUP($A134,tabCustoUnit[],COLUMN(CUSTO_GLOBAL[[#Headers],[Ausência por Doença]])-2,0)*($G134-$H134)</f>
        <v>4.7607286666666662</v>
      </c>
      <c r="AX134" s="22">
        <f>VLOOKUP($A134,tabCustoUnit[],COLUMN(CUSTO_GLOBAL[[#Headers],[Ausências Legais]])-2,0)*($G134-$H134)</f>
        <v>1.1432012916666665</v>
      </c>
      <c r="AY134" s="22">
        <f>VLOOKUP($A134,tabCustoUnit[],COLUMN(CUSTO_GLOBAL[[#Headers],[Licença Paternidade]])-2,0)*($G134-$H134)</f>
        <v>9.6310793749999998E-2</v>
      </c>
      <c r="AZ134" s="22">
        <f>VLOOKUP($A134,tabCustoUnit[],COLUMN(CUSTO_GLOBAL[[#Headers],[Ausência por Acidente de Trabalho]])-2,0)*($G134-$H134)</f>
        <v>0.1174521875</v>
      </c>
      <c r="BA134" s="22">
        <f>VLOOKUP($A134,tabCustoUnit[],COLUMN(CUSTO_GLOBAL[[#Headers],[Férias, Adicional de Férias e 13º  com empregada em gozo de Licença Maternidade]])-2,0)*($G134-$H134)</f>
        <v>0.73081361111111109</v>
      </c>
      <c r="BB134" s="22">
        <f>VLOOKUP($A134,tabCustoUnit[],COLUMN(CUSTO_GLOBAL[[#Headers],[Incidência do Submódulo 2.1 sobre Ausências Legais]])-2,0)*($G134-$H134)</f>
        <v>2.5887354761625003</v>
      </c>
      <c r="BC134" s="22">
        <f>VLOOKUP($A134,tabCustoUnit[],COLUMN(CUSTO_GLOBAL[[#Headers],[Submódulo 4.1]])-2,0)*($G134-$H134)</f>
        <v>9.4372420268569428</v>
      </c>
      <c r="BD134" s="22">
        <f>VLOOKUP($A134,tabCustoUnit[],COLUMN(CUSTO_GLOBAL[[#Headers],[Intervalo para Repouso ou Alimentação]])-2,0)*($G134-$H134)</f>
        <v>0</v>
      </c>
      <c r="BE134" s="22">
        <f>VLOOKUP($A134,tabCustoUnit[],COLUMN(CUSTO_GLOBAL[[#Headers],[Submódulo 4.2]])-2,0)*($G134-$H134)</f>
        <v>0</v>
      </c>
      <c r="BF134" s="22">
        <f>VLOOKUP($A134,tabCustoUnit[],COLUMN(CUSTO_GLOBAL[[#Headers],[Suspensão Temporária do Contrato de Trabalho]])-2,0)*($G134-$H134)</f>
        <v>0</v>
      </c>
      <c r="BG134" s="22">
        <f>VLOOKUP($A134,tabCustoUnit[],COLUMN(CUSTO_GLOBAL[[#Headers],[Submódulo 4.3]])-2,0)*($G134-$H134)</f>
        <v>0</v>
      </c>
      <c r="BH134" s="22">
        <f>VLOOKUP($A134,tabCustoUnit[],COLUMN(CUSTO_GLOBAL[[#Headers],[MÓDULO 4 – CUSTO DE REPOSIÇÃO DO PROFISSIONAL AUSENTE]])-2,0)*($G134-$H134)</f>
        <v>9.4372420268569428</v>
      </c>
      <c r="BI134" s="22">
        <f>VLOOKUP($A134,tabCustoUnit[],COLUMN(CUSTO_GLOBAL[[#Headers],[Uniformes e EPIs]])-2,0)*($G134-$H134)</f>
        <v>62.806666666666665</v>
      </c>
      <c r="BJ134" s="22">
        <f>VLOOKUP($A134,tabCustoUnit[],COLUMN(CUSTO_GLOBAL[[#Headers],[Materiais de Consumo]])-2,0)*($G134-$H134)</f>
        <v>12.108481690426325</v>
      </c>
      <c r="BK134" s="22">
        <f>VLOOKUP($A134,tabCustoUnit[],COLUMN(CUSTO_GLOBAL[[#Headers],[Máquinas e Equipamentos (depreciação)]])-2,0)*($G134-$H134)</f>
        <v>21.998657016417809</v>
      </c>
      <c r="BL134" s="22">
        <f>VLOOKUP($A134,tabCustoUnit[],COLUMN(CUSTO_GLOBAL[[#Headers],[Produtos de Limpeza e Materiais de Higiene Pessoal]])-2,0)*($G134-$H134)</f>
        <v>235.31984072022155</v>
      </c>
      <c r="BM134" s="22">
        <f>VLOOKUP($A134,tabCustoUnit[],COLUMN(CUSTO_GLOBAL[[#Headers],[Outros (especificar)]])-2,0)*($G134-$H134)</f>
        <v>0</v>
      </c>
      <c r="BN134" s="22">
        <f>VLOOKUP($A134,tabCustoUnit[],COLUMN(CUSTO_GLOBAL[[#Headers],[MÓDULO 5 – INSUMOS DIVERSOS]])-2,0)*($G134-$H134)</f>
        <v>332.23364609373232</v>
      </c>
      <c r="BO134" s="22">
        <f>VLOOKUP($A134,tabCustoUnit[],COLUMN(CUSTO_GLOBAL[[#Headers],[TOTAL MÓDULOS 1+2+3+4+5]])-2,0)*($G134-$H134)</f>
        <v>2118.2084999148137</v>
      </c>
      <c r="BP134" s="22">
        <f>VLOOKUP($A134,tabCustoUnit[],COLUMN(CUSTO_GLOBAL[[#Headers],[Custos Indiretos]])-2,0)*($G134-$H134)</f>
        <v>189.64880140242613</v>
      </c>
      <c r="BQ134" s="22">
        <f>VLOOKUP($A134,tabCustoUnit[],COLUMN(CUSTO_GLOBAL[[#Headers],[Lucro]])-2,0)*($G134-$H134)</f>
        <v>159.30499317803796</v>
      </c>
      <c r="BR134" s="26">
        <f>VLOOKUP($A134,tabCustoUnit[],COLUMN(CUSTO_GLOBAL[[#Headers],[COFINS]])-2,0)</f>
        <v>8.8629737609329504E-2</v>
      </c>
      <c r="BS134" s="26">
        <f>VLOOKUP($A134,tabCustoUnit[],COLUMN(CUSTO_GLOBAL[[#Headers],[PIS]])-2,0)</f>
        <v>1.9241982507288629E-2</v>
      </c>
      <c r="BT134" s="28">
        <f>VLOOKUP($A134,tabCustoUnit[],COLUMN(CUSTO_GLOBAL[[#Headers],[ISS]])-2,0)</f>
        <v>0.05</v>
      </c>
      <c r="BU134" s="26">
        <f>VLOOKUP($A134,tabCustoUnit[],COLUMN(CUSTO_GLOBAL[[#Headers],[ISS (Conversão Alíquota s/ fatura)]])-2,0)</f>
        <v>5.8309037900874633E-2</v>
      </c>
      <c r="BV134" s="26">
        <f>VLOOKUP($A134,tabCustoUnit[],COLUMN(CUSTO_GLOBAL[[#Headers],[Resumo de Alíquotas (PIS+CONFINS+ISS)]])-2,0)</f>
        <v>0.14250000000000002</v>
      </c>
      <c r="BW134" s="138">
        <f>VLOOKUP($A134,tabCustoUnit[],COLUMN(CUSTO_GLOBAL[[#Headers],[PIS + COFINS + ISS (Total Conversão  Alíquota s/ Fatura)]])-2,0)</f>
        <v>0.16618075801749277</v>
      </c>
      <c r="BX134" s="22">
        <f>VLOOKUP($A134,tabCustoUnit[],COLUMN(CUSTO_GLOBAL[[#Headers],[Valor dos Tributos (ISS, PIS, CONFINS)]])-2,0)*($G134-$H134)</f>
        <v>409.99490025140199</v>
      </c>
      <c r="BY134" s="22">
        <f>VLOOKUP($A134,tabCustoUnit[],COLUMN(CUSTO_GLOBAL[[#Headers],[MÓDULO 6 – CUSTOS INDIRETOS, TRIBUTOS E LUCRO]])-2,0)*($G134-$H134)</f>
        <v>758.94869483186608</v>
      </c>
      <c r="BZ134" s="22">
        <f>VLOOKUP($A134,tabCustoUnit[],COLUMN(CUSTO_GLOBAL[[#Headers],[CUSTO TOTAL MENSAL]])-2,0)*($G134-$H134)</f>
        <v>2877.15719474668</v>
      </c>
      <c r="CA134" s="22">
        <f>CUSTO_GLOBAL[[#This Row],[CUSTO TOTAL MENSAL]]*12</f>
        <v>34525.88633696016</v>
      </c>
      <c r="CB134" s="24">
        <f>VLOOKUP($A134,tabCustoUnit[],COLUMN(CUSTO_GLOBAL[[#Headers],[ANO DA CCT]])-2,0)</f>
        <v>45658</v>
      </c>
      <c r="CC134" s="25" t="str">
        <f>VLOOKUP($A134,tabCustoUnit[],COLUMN(CUSTO_GLOBAL[[#Headers],[Nº DE PEDIDO DA CCT]])-2,0)</f>
        <v>-</v>
      </c>
      <c r="CD134" s="25" t="str">
        <f>VLOOKUP($A134,tabCustoUnit[],COLUMN(CUSTO_GLOBAL[[#Headers],[TERMO ADITIVO  ALTERAÇÃO DA CCT]])-2,0)</f>
        <v>-</v>
      </c>
      <c r="CF134" s="22"/>
      <c r="CG134" s="22"/>
    </row>
    <row r="135" spans="1:85" x14ac:dyDescent="0.25">
      <c r="A135" s="20" t="s">
        <v>1471</v>
      </c>
      <c r="B135" t="s">
        <v>123</v>
      </c>
      <c r="C135" t="s">
        <v>1247</v>
      </c>
      <c r="D135" t="s">
        <v>123</v>
      </c>
      <c r="E135" s="20" t="s">
        <v>9</v>
      </c>
      <c r="F135" s="20" t="s">
        <v>10</v>
      </c>
      <c r="G135" s="20">
        <v>1</v>
      </c>
      <c r="H135" s="20">
        <v>0</v>
      </c>
      <c r="I135" s="21">
        <f>VLOOKUP($A135,tabCustoUnit[],COLUMN(CUSTO_GLOBAL[[#Headers],[Salário Base]])-2,0)*($G135-$H135)</f>
        <v>562.20000000000005</v>
      </c>
      <c r="J135" s="21">
        <f>VLOOKUP($A135,tabCustoUnit[],COLUMN(CUSTO_GLOBAL[[#Headers],[Adicional Periculosidade]])-2,0)*($G135-$H135)</f>
        <v>0</v>
      </c>
      <c r="K135" s="21">
        <f>VLOOKUP($A135,tabCustoUnit[],COLUMN(CUSTO_GLOBAL[[#Headers],[Adicional Insalubridade]])-2,0)*($G135-$H135)</f>
        <v>0</v>
      </c>
      <c r="L135" s="21">
        <f>VLOOKUP($A135,tabCustoUnit[],COLUMN(CUSTO_GLOBAL[[#Headers],[Adicional Noturno]])-2,0)*($G135-$H135)</f>
        <v>0</v>
      </c>
      <c r="M135" s="21">
        <f>VLOOKUP($A135,tabCustoUnit[],COLUMN(CUSTO_GLOBAL[[#Headers],[Adicional Motorista II (Gratificação)]])-2,0)*($G135-$H135)</f>
        <v>0</v>
      </c>
      <c r="N135" s="21">
        <f>VLOOKUP($A135,tabCustoUnit[],COLUMN(CUSTO_GLOBAL[[#Headers],[Adicional de Sobreaviso]])-2,0)*($G135-$H135)</f>
        <v>0</v>
      </c>
      <c r="O135" s="21">
        <f>VLOOKUP($A135,tabCustoUnit[],COLUMN(CUSTO_GLOBAL[[#Headers],[Horas Extras TI]])-2,0)*($G135-$H135)</f>
        <v>0</v>
      </c>
      <c r="P135" s="21">
        <f>VLOOKUP($A135,tabCustoUnit[],COLUMN(CUSTO_GLOBAL[[#Headers],[Adicional de Acúmulo de função]])-2,0)*($G135-$H135)</f>
        <v>20.2392</v>
      </c>
      <c r="Q135" s="21">
        <f>VLOOKUP($A135,tabCustoUnit[],COLUMN(CUSTO_GLOBAL[[#Headers],[MODULO 1 - REMUNERAÇÃO ]])-2,0)*($G135-$H135)</f>
        <v>582.43920000000003</v>
      </c>
      <c r="R135" s="21">
        <f>VLOOKUP($A135,tabCustoUnit[],COLUMN(CUSTO_GLOBAL[[#Headers],[INSS]])-2,0)*($G135-$H135)</f>
        <v>116.48784000000001</v>
      </c>
      <c r="S135" s="21">
        <f>VLOOKUP($A135,tabCustoUnit[],COLUMN(CUSTO_GLOBAL[[#Headers],[SESI OU SESC]])-2,0)*($G135-$H135)</f>
        <v>8.7365879999999994</v>
      </c>
      <c r="T135" s="21">
        <f>VLOOKUP($A135,tabCustoUnit[],COLUMN(CUSTO_GLOBAL[[#Headers],[SENAI OU SENAC]])-2,0)*($G135-$H135)</f>
        <v>5.8243920000000005</v>
      </c>
      <c r="U135" s="21">
        <f>VLOOKUP($A135,tabCustoUnit[],COLUMN(CUSTO_GLOBAL[[#Headers],[INCRA]])-2,0)*($G135-$H135)</f>
        <v>1.1648784000000001</v>
      </c>
      <c r="V135" s="21">
        <f>VLOOKUP($A135,tabCustoUnit[],COLUMN(CUSTO_GLOBAL[[#Headers],[Salário Educação]])-2,0)*($G135-$H135)</f>
        <v>14.560980000000001</v>
      </c>
      <c r="W135" s="21">
        <f>VLOOKUP($A135,tabCustoUnit[],COLUMN(CUSTO_GLOBAL[[#Headers],[FGTS]])-2,0)*($G135-$H135)</f>
        <v>46.595136000000004</v>
      </c>
      <c r="X135" s="21">
        <f>VLOOKUP($A135,tabCustoUnit[],COLUMN(CUSTO_GLOBAL[[#Headers],[RAT Ajustado]])-2,0)*($G135-$H135)</f>
        <v>23.297568000000002</v>
      </c>
      <c r="Y135" s="21">
        <f>VLOOKUP($A135,tabCustoUnit[],COLUMN(CUSTO_GLOBAL[[#Headers],[SEBRAE]])-2,0)*($G135-$H135)</f>
        <v>3.4946352000000003</v>
      </c>
      <c r="Z135" s="21">
        <f>VLOOKUP($A135,tabCustoUnit[],COLUMN(CUSTO_GLOBAL[[#Headers],[Submódulo 2.1]])-2,0)*($G135-$H135)</f>
        <v>220.16201760000001</v>
      </c>
      <c r="AA135" s="21">
        <f>VLOOKUP($A135,tabCustoUnit[],COLUMN(CUSTO_GLOBAL[[#Headers],[13º salário (titular)]])-2,0)*($G135-$H135)</f>
        <v>48.5366</v>
      </c>
      <c r="AB135" s="21">
        <f>VLOOKUP($A135,tabCustoUnit[],COLUMN(CUSTO_GLOBAL[[#Headers],[Férias e Adicional de Férias (titular)]])-2,0)*($G135-$H135)</f>
        <v>64.715466666666671</v>
      </c>
      <c r="AC135" s="21">
        <f>VLOOKUP($A135,tabCustoUnit[],COLUMN(CUSTO_GLOBAL[[#Headers],[Incidência do Submódulo 2.1 sobre 13º Salário, Férias e Adicional de Férias]])-2,0)*($G135-$H135)</f>
        <v>42.809281200000008</v>
      </c>
      <c r="AD135" s="21">
        <f>VLOOKUP($A135,tabCustoUnit[],COLUMN(CUSTO_GLOBAL[[#Headers],[Submódulo 2.2]])-2,0)*($G135-$H135)</f>
        <v>156.06134786666669</v>
      </c>
      <c r="AE135" s="22">
        <f>VLOOKUP($A135,tabCustoUnit[],COLUMN(CUSTO_GLOBAL[[#Headers],[Vale - Transporte (Descontada parcela do empregado)]])-2,0)*($G135-$H135)</f>
        <v>222.268</v>
      </c>
      <c r="AF135" s="22">
        <f>VLOOKUP($A135,tabCustoUnit[],COLUMN(CUSTO_GLOBAL[[#Headers],[Vale - Alimentação (Descontada parcela do empregado)]])-2,0)*($G135-$H135)</f>
        <v>582</v>
      </c>
      <c r="AG135" s="22">
        <f>VLOOKUP($A135,tabCustoUnit[],COLUMN(CUSTO_GLOBAL[[#Headers],[Cesta Básica]])-2,0)*($G135-$H135)</f>
        <v>0</v>
      </c>
      <c r="AH135" s="22">
        <f>VLOOKUP($A135,tabCustoUnit[],COLUMN(CUSTO_GLOBAL[[#Headers],[PAF]])-2,0)*($G135-$H135)</f>
        <v>51.88</v>
      </c>
      <c r="AI135" s="22">
        <f>VLOOKUP($A135,tabCustoUnit[],COLUMN(CUSTO_GLOBAL[[#Headers],[PQM]])-2,0)*($G135-$H135)</f>
        <v>0</v>
      </c>
      <c r="AJ135" s="22">
        <v>0</v>
      </c>
      <c r="AK135" s="22">
        <f>VLOOKUP($A135,tabCustoUnit[],COLUMN(CUSTO_GLOBAL[[#Headers],[Seguro de Vida]])-2,0)*($G135-$H135)</f>
        <v>3.36</v>
      </c>
      <c r="AL135" s="22">
        <f>VLOOKUP($A135,tabCustoUnit[],COLUMN(CUSTO_GLOBAL[[#Headers],[Despesas de Viagem]])-2,0)*($G135-$H135)</f>
        <v>0</v>
      </c>
      <c r="AM135" s="22">
        <f>VLOOKUP($A135,tabCustoUnit[],COLUMN(CUSTO_GLOBAL[[#Headers],[Submódulo 2.3]])-2,0)*($G135-$H135)</f>
        <v>859.50800000000004</v>
      </c>
      <c r="AN135" s="22">
        <f>VLOOKUP($A135,tabCustoUnit[],COLUMN(CUSTO_GLOBAL[[#Headers],[MÓDULO 2 - Total Encargos e Benefícios mensais e diários]])-2,0)*($G135-$H135)</f>
        <v>1235.7313654666668</v>
      </c>
      <c r="AO135" s="22">
        <f>VLOOKUP($A135,tabCustoUnit[],COLUMN(CUSTO_GLOBAL[[#Headers],[Aviso Prévio Indenizado (API) e Reflexo do Aviso Prévio Indenizado]])-2,0)*($G135-$H135)</f>
        <v>4.0839279476851855</v>
      </c>
      <c r="AP135" s="22">
        <f>VLOOKUP($A135,tabCustoUnit[],COLUMN(CUSTO_GLOBAL[[#Headers],[Incidência do FGTS sobre API e Reflexo do API]])-2,0)*($G135-$H135)</f>
        <v>0.32671423581481485</v>
      </c>
      <c r="AQ135" s="22">
        <f>VLOOKUP($A135,tabCustoUnit[],COLUMN(CUSTO_GLOBAL[[#Headers],[Multa Rescisória do FGTS sobre o Aviso Prévio Indenizado]])-2,0)*($G135-$H135)</f>
        <v>0.13068569432592594</v>
      </c>
      <c r="AR135" s="22">
        <f>VLOOKUP($A135,tabCustoUnit[],COLUMN(CUSTO_GLOBAL[[#Headers],[Aviso Prévio Trabalhado - APT]])-2,0)*($G135-$H135)</f>
        <v>2.0385372000000004</v>
      </c>
      <c r="AS135" s="22">
        <f>VLOOKUP($A135,tabCustoUnit[],COLUMN(CUSTO_GLOBAL[[#Headers],[Incidência dos encargos do submódulo 2.1 sobre Aviso Prévio Trabalhado]])-2,0)*($G135-$H135)</f>
        <v>0.77056706160000021</v>
      </c>
      <c r="AT135" s="22">
        <f>VLOOKUP($A135,tabCustoUnit[],COLUMN(CUSTO_GLOBAL[[#Headers],[Multa Rescisória do FGTS]])-2,0)*($G135-$H135)</f>
        <v>17.809696426666665</v>
      </c>
      <c r="AU135" s="22">
        <f>VLOOKUP($A135,tabCustoUnit[],COLUMN(CUSTO_GLOBAL[[#Headers],[Indenização Adicional (Art. 9º da Lei nº 7.238/84)]])-2,0)*($G135-$H135)</f>
        <v>0.48536600000000008</v>
      </c>
      <c r="AV135" s="22">
        <f>VLOOKUP($A135,tabCustoUnit[],COLUMN(CUSTO_GLOBAL[[#Headers],[MÓDULO 3 – PROVISÃO PARA RESCISÃO]])-2,0)*($G135-$H135)</f>
        <v>25.645494566092591</v>
      </c>
      <c r="AW135" s="22">
        <f>VLOOKUP($A135,tabCustoUnit[],COLUMN(CUSTO_GLOBAL[[#Headers],[Ausência por Doença]])-2,0)*($G135-$H135)</f>
        <v>4.9183754666666664</v>
      </c>
      <c r="AX135" s="22">
        <f>VLOOKUP($A135,tabCustoUnit[],COLUMN(CUSTO_GLOBAL[[#Headers],[Ausências Legais]])-2,0)*($G135-$H135)</f>
        <v>1.1810572666666665</v>
      </c>
      <c r="AY135" s="22">
        <f>VLOOKUP($A135,tabCustoUnit[],COLUMN(CUSTO_GLOBAL[[#Headers],[Licença Paternidade]])-2,0)*($G135-$H135)</f>
        <v>9.9500030000000003E-2</v>
      </c>
      <c r="AZ135" s="22">
        <f>VLOOKUP($A135,tabCustoUnit[],COLUMN(CUSTO_GLOBAL[[#Headers],[Ausência por Acidente de Trabalho]])-2,0)*($G135-$H135)</f>
        <v>0.12134150000000002</v>
      </c>
      <c r="BA135" s="22">
        <f>VLOOKUP($A135,tabCustoUnit[],COLUMN(CUSTO_GLOBAL[[#Headers],[Férias, Adicional de Férias e 13º  com empregada em gozo de Licença Maternidade]])-2,0)*($G135-$H135)</f>
        <v>0.75501377777777778</v>
      </c>
      <c r="BB135" s="22">
        <f>VLOOKUP($A135,tabCustoUnit[],COLUMN(CUSTO_GLOBAL[[#Headers],[Incidência do Submódulo 2.1 sobre Ausências Legais]])-2,0)*($G135-$H135)</f>
        <v>2.6744588795400004</v>
      </c>
      <c r="BC135" s="22">
        <f>VLOOKUP($A135,tabCustoUnit[],COLUMN(CUSTO_GLOBAL[[#Headers],[Submódulo 4.1]])-2,0)*($G135-$H135)</f>
        <v>9.7497469206511109</v>
      </c>
      <c r="BD135" s="22">
        <f>VLOOKUP($A135,tabCustoUnit[],COLUMN(CUSTO_GLOBAL[[#Headers],[Intervalo para Repouso ou Alimentação]])-2,0)*($G135-$H135)</f>
        <v>0</v>
      </c>
      <c r="BE135" s="22">
        <f>VLOOKUP($A135,tabCustoUnit[],COLUMN(CUSTO_GLOBAL[[#Headers],[Submódulo 4.2]])-2,0)*($G135-$H135)</f>
        <v>0</v>
      </c>
      <c r="BF135" s="22">
        <f>VLOOKUP($A135,tabCustoUnit[],COLUMN(CUSTO_GLOBAL[[#Headers],[Suspensão Temporária do Contrato de Trabalho]])-2,0)*($G135-$H135)</f>
        <v>0</v>
      </c>
      <c r="BG135" s="22">
        <f>VLOOKUP($A135,tabCustoUnit[],COLUMN(CUSTO_GLOBAL[[#Headers],[Submódulo 4.3]])-2,0)*($G135-$H135)</f>
        <v>0</v>
      </c>
      <c r="BH135" s="22">
        <f>VLOOKUP($A135,tabCustoUnit[],COLUMN(CUSTO_GLOBAL[[#Headers],[MÓDULO 4 – CUSTO DE REPOSIÇÃO DO PROFISSIONAL AUSENTE]])-2,0)*($G135-$H135)</f>
        <v>9.7497469206511109</v>
      </c>
      <c r="BI135" s="22">
        <f>VLOOKUP($A135,tabCustoUnit[],COLUMN(CUSTO_GLOBAL[[#Headers],[Uniformes e EPIs]])-2,0)*($G135-$H135)</f>
        <v>62.806666666666665</v>
      </c>
      <c r="BJ135" s="22">
        <f>VLOOKUP($A135,tabCustoUnit[],COLUMN(CUSTO_GLOBAL[[#Headers],[Materiais de Consumo]])-2,0)*($G135-$H135)</f>
        <v>12.108481690426325</v>
      </c>
      <c r="BK135" s="22">
        <f>VLOOKUP($A135,tabCustoUnit[],COLUMN(CUSTO_GLOBAL[[#Headers],[Máquinas e Equipamentos (depreciação)]])-2,0)*($G135-$H135)</f>
        <v>21.998657016417809</v>
      </c>
      <c r="BL135" s="22">
        <f>VLOOKUP($A135,tabCustoUnit[],COLUMN(CUSTO_GLOBAL[[#Headers],[Produtos de Limpeza e Materiais de Higiene Pessoal]])-2,0)*($G135-$H135)</f>
        <v>235.31984072022155</v>
      </c>
      <c r="BM135" s="22">
        <f>VLOOKUP($A135,tabCustoUnit[],COLUMN(CUSTO_GLOBAL[[#Headers],[Outros (especificar)]])-2,0)*($G135-$H135)</f>
        <v>0</v>
      </c>
      <c r="BN135" s="22">
        <f>VLOOKUP($A135,tabCustoUnit[],COLUMN(CUSTO_GLOBAL[[#Headers],[MÓDULO 5 – INSUMOS DIVERSOS]])-2,0)*($G135-$H135)</f>
        <v>332.23364609373232</v>
      </c>
      <c r="BO135" s="22">
        <f>VLOOKUP($A135,tabCustoUnit[],COLUMN(CUSTO_GLOBAL[[#Headers],[TOTAL MÓDULOS 1+2+3+4+5]])-2,0)*($G135-$H135)</f>
        <v>2185.7994530471428</v>
      </c>
      <c r="BP135" s="22">
        <f>VLOOKUP($A135,tabCustoUnit[],COLUMN(CUSTO_GLOBAL[[#Headers],[Custos Indiretos]])-2,0)*($G135-$H135)</f>
        <v>189.64880140242613</v>
      </c>
      <c r="BQ135" s="22">
        <f>VLOOKUP($A135,tabCustoUnit[],COLUMN(CUSTO_GLOBAL[[#Headers],[Lucro]])-2,0)*($G135-$H135)</f>
        <v>159.30499317803796</v>
      </c>
      <c r="BR135" s="26">
        <f>VLOOKUP($A135,tabCustoUnit[],COLUMN(CUSTO_GLOBAL[[#Headers],[COFINS]])-2,0)</f>
        <v>8.8629737609329504E-2</v>
      </c>
      <c r="BS135" s="26">
        <f>VLOOKUP($A135,tabCustoUnit[],COLUMN(CUSTO_GLOBAL[[#Headers],[PIS]])-2,0)</f>
        <v>1.9241982507288629E-2</v>
      </c>
      <c r="BT135" s="28">
        <f>VLOOKUP($A135,tabCustoUnit[],COLUMN(CUSTO_GLOBAL[[#Headers],[ISS]])-2,0)</f>
        <v>0.05</v>
      </c>
      <c r="BU135" s="26">
        <f>VLOOKUP($A135,tabCustoUnit[],COLUMN(CUSTO_GLOBAL[[#Headers],[ISS (Conversão Alíquota s/ fatura)]])-2,0)</f>
        <v>5.8309037900874633E-2</v>
      </c>
      <c r="BV135" s="26">
        <f>VLOOKUP($A135,tabCustoUnit[],COLUMN(CUSTO_GLOBAL[[#Headers],[Resumo de Alíquotas (PIS+CONFINS+ISS)]])-2,0)</f>
        <v>0.14250000000000002</v>
      </c>
      <c r="BW135" s="138">
        <f>VLOOKUP($A135,tabCustoUnit[],COLUMN(CUSTO_GLOBAL[[#Headers],[PIS + COFINS + ISS (Total Conversão  Alíquota s/ Fatura)]])-2,0)</f>
        <v>0.16618075801749277</v>
      </c>
      <c r="BX135" s="22">
        <f>VLOOKUP($A135,tabCustoUnit[],COLUMN(CUSTO_GLOBAL[[#Headers],[Valor dos Tributos (ISS, PIS, CONFINS)]])-2,0)*($G135-$H135)</f>
        <v>421.22721607805727</v>
      </c>
      <c r="BY135" s="22">
        <f>VLOOKUP($A135,tabCustoUnit[],COLUMN(CUSTO_GLOBAL[[#Headers],[MÓDULO 6 – CUSTOS INDIRETOS, TRIBUTOS E LUCRO]])-2,0)*($G135-$H135)</f>
        <v>770.18101065852136</v>
      </c>
      <c r="BZ135" s="22">
        <f>VLOOKUP($A135,tabCustoUnit[],COLUMN(CUSTO_GLOBAL[[#Headers],[CUSTO TOTAL MENSAL]])-2,0)*($G135-$H135)</f>
        <v>2955.9804637056641</v>
      </c>
      <c r="CA135" s="22">
        <f>CUSTO_GLOBAL[[#This Row],[CUSTO TOTAL MENSAL]]*12</f>
        <v>35471.765564467969</v>
      </c>
      <c r="CB135" s="24">
        <f>VLOOKUP($A135,tabCustoUnit[],COLUMN(CUSTO_GLOBAL[[#Headers],[ANO DA CCT]])-2,0)</f>
        <v>45658</v>
      </c>
      <c r="CC135" s="25" t="str">
        <f>VLOOKUP($A135,tabCustoUnit[],COLUMN(CUSTO_GLOBAL[[#Headers],[Nº DE PEDIDO DA CCT]])-2,0)</f>
        <v>-</v>
      </c>
      <c r="CD135" s="25" t="str">
        <f>VLOOKUP($A135,tabCustoUnit[],COLUMN(CUSTO_GLOBAL[[#Headers],[TERMO ADITIVO  ALTERAÇÃO DA CCT]])-2,0)</f>
        <v>-</v>
      </c>
      <c r="CF135" s="22"/>
      <c r="CG135" s="22"/>
    </row>
    <row r="136" spans="1:85" x14ac:dyDescent="0.25">
      <c r="A136" s="20" t="s">
        <v>1472</v>
      </c>
      <c r="B136" t="s">
        <v>123</v>
      </c>
      <c r="C136" t="s">
        <v>1245</v>
      </c>
      <c r="D136" t="s">
        <v>123</v>
      </c>
      <c r="E136" s="20" t="s">
        <v>9</v>
      </c>
      <c r="F136" s="20" t="s">
        <v>10</v>
      </c>
      <c r="G136" s="20">
        <v>1</v>
      </c>
      <c r="H136" s="20">
        <v>0</v>
      </c>
      <c r="I136" s="21">
        <f>VLOOKUP($A136,tabCustoUnit[],COLUMN(CUSTO_GLOBAL[[#Headers],[Salário Base]])-2,0)*($G136-$H136)</f>
        <v>1649.12</v>
      </c>
      <c r="J136" s="21">
        <f>VLOOKUP($A136,tabCustoUnit[],COLUMN(CUSTO_GLOBAL[[#Headers],[Adicional Periculosidade]])-2,0)*($G136-$H136)</f>
        <v>0</v>
      </c>
      <c r="K136" s="21">
        <f>VLOOKUP($A136,tabCustoUnit[],COLUMN(CUSTO_GLOBAL[[#Headers],[Adicional Insalubridade]])-2,0)*($G136-$H136)</f>
        <v>0</v>
      </c>
      <c r="L136" s="21">
        <f>VLOOKUP($A136,tabCustoUnit[],COLUMN(CUSTO_GLOBAL[[#Headers],[Adicional Noturno]])-2,0)*($G136-$H136)</f>
        <v>0</v>
      </c>
      <c r="M136" s="21">
        <f>VLOOKUP($A136,tabCustoUnit[],COLUMN(CUSTO_GLOBAL[[#Headers],[Adicional Motorista II (Gratificação)]])-2,0)*($G136-$H136)</f>
        <v>0</v>
      </c>
      <c r="N136" s="21">
        <f>VLOOKUP($A136,tabCustoUnit[],COLUMN(CUSTO_GLOBAL[[#Headers],[Adicional de Sobreaviso]])-2,0)*($G136-$H136)</f>
        <v>0</v>
      </c>
      <c r="O136" s="21">
        <f>VLOOKUP($A136,tabCustoUnit[],COLUMN(CUSTO_GLOBAL[[#Headers],[Horas Extras TI]])-2,0)*($G136-$H136)</f>
        <v>0</v>
      </c>
      <c r="P136" s="21">
        <f>VLOOKUP($A136,tabCustoUnit[],COLUMN(CUSTO_GLOBAL[[#Headers],[Adicional de Acúmulo de função]])-2,0)*($G136-$H136)</f>
        <v>53.971200000000003</v>
      </c>
      <c r="Q136" s="21">
        <f>VLOOKUP($A136,tabCustoUnit[],COLUMN(CUSTO_GLOBAL[[#Headers],[MODULO 1 - REMUNERAÇÃO ]])-2,0)*($G136-$H136)</f>
        <v>1703.0911999999998</v>
      </c>
      <c r="R136" s="21">
        <f>VLOOKUP($A136,tabCustoUnit[],COLUMN(CUSTO_GLOBAL[[#Headers],[INSS]])-2,0)*($G136-$H136)</f>
        <v>340.61824000000001</v>
      </c>
      <c r="S136" s="21">
        <f>VLOOKUP($A136,tabCustoUnit[],COLUMN(CUSTO_GLOBAL[[#Headers],[SESI OU SESC]])-2,0)*($G136-$H136)</f>
        <v>25.546367999999998</v>
      </c>
      <c r="T136" s="21">
        <f>VLOOKUP($A136,tabCustoUnit[],COLUMN(CUSTO_GLOBAL[[#Headers],[SENAI OU SENAC]])-2,0)*($G136-$H136)</f>
        <v>17.030911999999997</v>
      </c>
      <c r="U136" s="21">
        <f>VLOOKUP($A136,tabCustoUnit[],COLUMN(CUSTO_GLOBAL[[#Headers],[INCRA]])-2,0)*($G136-$H136)</f>
        <v>3.4061823999999996</v>
      </c>
      <c r="V136" s="21">
        <f>VLOOKUP($A136,tabCustoUnit[],COLUMN(CUSTO_GLOBAL[[#Headers],[Salário Educação]])-2,0)*($G136-$H136)</f>
        <v>42.577280000000002</v>
      </c>
      <c r="W136" s="21">
        <f>VLOOKUP($A136,tabCustoUnit[],COLUMN(CUSTO_GLOBAL[[#Headers],[FGTS]])-2,0)*($G136-$H136)</f>
        <v>136.24729599999998</v>
      </c>
      <c r="X136" s="21">
        <f>VLOOKUP($A136,tabCustoUnit[],COLUMN(CUSTO_GLOBAL[[#Headers],[RAT Ajustado]])-2,0)*($G136-$H136)</f>
        <v>68.123647999999989</v>
      </c>
      <c r="Y136" s="21">
        <f>VLOOKUP($A136,tabCustoUnit[],COLUMN(CUSTO_GLOBAL[[#Headers],[SEBRAE]])-2,0)*($G136-$H136)</f>
        <v>10.2185472</v>
      </c>
      <c r="Z136" s="21">
        <f>VLOOKUP($A136,tabCustoUnit[],COLUMN(CUSTO_GLOBAL[[#Headers],[Submódulo 2.1]])-2,0)*($G136-$H136)</f>
        <v>643.76847359999999</v>
      </c>
      <c r="AA136" s="21">
        <f>VLOOKUP($A136,tabCustoUnit[],COLUMN(CUSTO_GLOBAL[[#Headers],[13º salário (titular)]])-2,0)*($G136-$H136)</f>
        <v>141.92426666666665</v>
      </c>
      <c r="AB136" s="21">
        <f>VLOOKUP($A136,tabCustoUnit[],COLUMN(CUSTO_GLOBAL[[#Headers],[Férias e Adicional de Férias (titular)]])-2,0)*($G136-$H136)</f>
        <v>189.23235555555553</v>
      </c>
      <c r="AC136" s="21">
        <f>VLOOKUP($A136,tabCustoUnit[],COLUMN(CUSTO_GLOBAL[[#Headers],[Incidência do Submódulo 2.1 sobre 13º Salário, Férias e Adicional de Férias]])-2,0)*($G136-$H136)</f>
        <v>125.17720319999999</v>
      </c>
      <c r="AD136" s="21">
        <f>VLOOKUP($A136,tabCustoUnit[],COLUMN(CUSTO_GLOBAL[[#Headers],[Submódulo 2.2]])-2,0)*($G136-$H136)</f>
        <v>456.33382542222216</v>
      </c>
      <c r="AE136" s="22">
        <f>VLOOKUP($A136,tabCustoUnit[],COLUMN(CUSTO_GLOBAL[[#Headers],[Vale - Transporte (Descontada parcela do empregado)]])-2,0)*($G136-$H136)</f>
        <v>157.05279999999999</v>
      </c>
      <c r="AF136" s="22">
        <f>VLOOKUP($A136,tabCustoUnit[],COLUMN(CUSTO_GLOBAL[[#Headers],[Vale - Alimentação (Descontada parcela do empregado)]])-2,0)*($G136-$H136)</f>
        <v>582</v>
      </c>
      <c r="AG136" s="22">
        <f>VLOOKUP($A136,tabCustoUnit[],COLUMN(CUSTO_GLOBAL[[#Headers],[Cesta Básica]])-2,0)*($G136-$H136)</f>
        <v>0</v>
      </c>
      <c r="AH136" s="22">
        <f>VLOOKUP($A136,tabCustoUnit[],COLUMN(CUSTO_GLOBAL[[#Headers],[PAF]])-2,0)*($G136-$H136)</f>
        <v>51.88</v>
      </c>
      <c r="AI136" s="22">
        <f>VLOOKUP($A136,tabCustoUnit[],COLUMN(CUSTO_GLOBAL[[#Headers],[PQM]])-2,0)*($G136-$H136)</f>
        <v>0</v>
      </c>
      <c r="AJ136" s="22">
        <v>0</v>
      </c>
      <c r="AK136" s="22">
        <f>VLOOKUP($A136,tabCustoUnit[],COLUMN(CUSTO_GLOBAL[[#Headers],[Seguro de Vida]])-2,0)*($G136-$H136)</f>
        <v>3.36</v>
      </c>
      <c r="AL136" s="22">
        <f>VLOOKUP($A136,tabCustoUnit[],COLUMN(CUSTO_GLOBAL[[#Headers],[Despesas de Viagem]])-2,0)*($G136-$H136)</f>
        <v>0</v>
      </c>
      <c r="AM136" s="22">
        <f>VLOOKUP($A136,tabCustoUnit[],COLUMN(CUSTO_GLOBAL[[#Headers],[Submódulo 2.3]])-2,0)*($G136-$H136)</f>
        <v>794.29279999999994</v>
      </c>
      <c r="AN136" s="22">
        <f>VLOOKUP($A136,tabCustoUnit[],COLUMN(CUSTO_GLOBAL[[#Headers],[MÓDULO 2 - Total Encargos e Benefícios mensais e diários]])-2,0)*($G136-$H136)</f>
        <v>1894.3950990222222</v>
      </c>
      <c r="AO136" s="22">
        <f>VLOOKUP($A136,tabCustoUnit[],COLUMN(CUSTO_GLOBAL[[#Headers],[Aviso Prévio Indenizado (API) e Reflexo do Aviso Prévio Indenizado]])-2,0)*($G136-$H136)</f>
        <v>11.941678632098764</v>
      </c>
      <c r="AP136" s="22">
        <f>VLOOKUP($A136,tabCustoUnit[],COLUMN(CUSTO_GLOBAL[[#Headers],[Incidência do FGTS sobre API e Reflexo do API]])-2,0)*($G136-$H136)</f>
        <v>0.9553342905679012</v>
      </c>
      <c r="AQ136" s="22">
        <f>VLOOKUP($A136,tabCustoUnit[],COLUMN(CUSTO_GLOBAL[[#Headers],[Multa Rescisória do FGTS sobre o Aviso Prévio Indenizado]])-2,0)*($G136-$H136)</f>
        <v>0.38213371622716052</v>
      </c>
      <c r="AR136" s="22">
        <f>VLOOKUP($A136,tabCustoUnit[],COLUMN(CUSTO_GLOBAL[[#Headers],[Aviso Prévio Trabalhado - APT]])-2,0)*($G136-$H136)</f>
        <v>5.9608192000000004</v>
      </c>
      <c r="AS136" s="22">
        <f>VLOOKUP($A136,tabCustoUnit[],COLUMN(CUSTO_GLOBAL[[#Headers],[Incidência dos encargos do submódulo 2.1 sobre Aviso Prévio Trabalhado]])-2,0)*($G136-$H136)</f>
        <v>2.2531896576000006</v>
      </c>
      <c r="AT136" s="22">
        <f>VLOOKUP($A136,tabCustoUnit[],COLUMN(CUSTO_GLOBAL[[#Headers],[Multa Rescisória do FGTS]])-2,0)*($G136-$H136)</f>
        <v>52.076744248888879</v>
      </c>
      <c r="AU136" s="22">
        <f>VLOOKUP($A136,tabCustoUnit[],COLUMN(CUSTO_GLOBAL[[#Headers],[Indenização Adicional (Art. 9º da Lei nº 7.238/84)]])-2,0)*($G136-$H136)</f>
        <v>1.4192426666666667</v>
      </c>
      <c r="AV136" s="22">
        <f>VLOOKUP($A136,tabCustoUnit[],COLUMN(CUSTO_GLOBAL[[#Headers],[MÓDULO 3 – PROVISÃO PARA RESCISÃO]])-2,0)*($G136-$H136)</f>
        <v>74.989142412049375</v>
      </c>
      <c r="AW136" s="22">
        <f>VLOOKUP($A136,tabCustoUnit[],COLUMN(CUSTO_GLOBAL[[#Headers],[Ausência por Doença]])-2,0)*($G136-$H136)</f>
        <v>14.38165902222222</v>
      </c>
      <c r="AX136" s="22">
        <f>VLOOKUP($A136,tabCustoUnit[],COLUMN(CUSTO_GLOBAL[[#Headers],[Ausências Legais]])-2,0)*($G136-$H136)</f>
        <v>3.4534904888888884</v>
      </c>
      <c r="AY136" s="22">
        <f>VLOOKUP($A136,tabCustoUnit[],COLUMN(CUSTO_GLOBAL[[#Headers],[Licença Paternidade]])-2,0)*($G136-$H136)</f>
        <v>0.29094474666666664</v>
      </c>
      <c r="AZ136" s="22">
        <f>VLOOKUP($A136,tabCustoUnit[],COLUMN(CUSTO_GLOBAL[[#Headers],[Ausência por Acidente de Trabalho]])-2,0)*($G136-$H136)</f>
        <v>0.35481066666666666</v>
      </c>
      <c r="BA136" s="22">
        <f>VLOOKUP($A136,tabCustoUnit[],COLUMN(CUSTO_GLOBAL[[#Headers],[Férias, Adicional de Férias e 13º  com empregada em gozo de Licença Maternidade]])-2,0)*($G136-$H136)</f>
        <v>2.2077108148148143</v>
      </c>
      <c r="BB136" s="22">
        <f>VLOOKUP($A136,tabCustoUnit[],COLUMN(CUSTO_GLOBAL[[#Headers],[Incidência do Submódulo 2.1 sobre Ausências Legais]])-2,0)*($G136-$H136)</f>
        <v>7.8202967494400006</v>
      </c>
      <c r="BC136" s="22">
        <f>VLOOKUP($A136,tabCustoUnit[],COLUMN(CUSTO_GLOBAL[[#Headers],[Submódulo 4.1]])-2,0)*($G136-$H136)</f>
        <v>28.508912488699256</v>
      </c>
      <c r="BD136" s="22">
        <f>VLOOKUP($A136,tabCustoUnit[],COLUMN(CUSTO_GLOBAL[[#Headers],[Intervalo para Repouso ou Alimentação]])-2,0)*($G136-$H136)</f>
        <v>0</v>
      </c>
      <c r="BE136" s="22">
        <f>VLOOKUP($A136,tabCustoUnit[],COLUMN(CUSTO_GLOBAL[[#Headers],[Submódulo 4.2]])-2,0)*($G136-$H136)</f>
        <v>0</v>
      </c>
      <c r="BF136" s="22">
        <f>VLOOKUP($A136,tabCustoUnit[],COLUMN(CUSTO_GLOBAL[[#Headers],[Suspensão Temporária do Contrato de Trabalho]])-2,0)*($G136-$H136)</f>
        <v>0</v>
      </c>
      <c r="BG136" s="22">
        <f>VLOOKUP($A136,tabCustoUnit[],COLUMN(CUSTO_GLOBAL[[#Headers],[Submódulo 4.3]])-2,0)*($G136-$H136)</f>
        <v>0</v>
      </c>
      <c r="BH136" s="22">
        <f>VLOOKUP($A136,tabCustoUnit[],COLUMN(CUSTO_GLOBAL[[#Headers],[MÓDULO 4 – CUSTO DE REPOSIÇÃO DO PROFISSIONAL AUSENTE]])-2,0)*($G136-$H136)</f>
        <v>28.508912488699256</v>
      </c>
      <c r="BI136" s="22">
        <f>VLOOKUP($A136,tabCustoUnit[],COLUMN(CUSTO_GLOBAL[[#Headers],[Uniformes e EPIs]])-2,0)*($G136-$H136)</f>
        <v>100.80916666666666</v>
      </c>
      <c r="BJ136" s="22">
        <f>VLOOKUP($A136,tabCustoUnit[],COLUMN(CUSTO_GLOBAL[[#Headers],[Materiais de Consumo]])-2,0)*($G136-$H136)</f>
        <v>35.518212958583888</v>
      </c>
      <c r="BK136" s="22">
        <f>VLOOKUP($A136,tabCustoUnit[],COLUMN(CUSTO_GLOBAL[[#Headers],[Máquinas e Equipamentos (depreciação)]])-2,0)*($G136-$H136)</f>
        <v>64.529393914825576</v>
      </c>
      <c r="BL136" s="22">
        <f>VLOOKUP($A136,tabCustoUnit[],COLUMN(CUSTO_GLOBAL[[#Headers],[Produtos de Limpeza e Materiais de Higiene Pessoal]])-2,0)*($G136-$H136)</f>
        <v>690.27153277931654</v>
      </c>
      <c r="BM136" s="22">
        <f>VLOOKUP($A136,tabCustoUnit[],COLUMN(CUSTO_GLOBAL[[#Headers],[Outros (especificar)]])-2,0)*($G136-$H136)</f>
        <v>0</v>
      </c>
      <c r="BN136" s="22">
        <f>VLOOKUP($A136,tabCustoUnit[],COLUMN(CUSTO_GLOBAL[[#Headers],[MÓDULO 5 – INSUMOS DIVERSOS]])-2,0)*($G136-$H136)</f>
        <v>891.12830631939266</v>
      </c>
      <c r="BO136" s="22">
        <f>VLOOKUP($A136,tabCustoUnit[],COLUMN(CUSTO_GLOBAL[[#Headers],[TOTAL MÓDULOS 1+2+3+4+5]])-2,0)*($G136-$H136)</f>
        <v>4592.1126602423628</v>
      </c>
      <c r="BP136" s="22">
        <f>VLOOKUP($A136,tabCustoUnit[],COLUMN(CUSTO_GLOBAL[[#Headers],[Custos Indiretos]])-2,0)*($G136-$H136)</f>
        <v>189.64880140242613</v>
      </c>
      <c r="BQ136" s="22">
        <f>VLOOKUP($A136,tabCustoUnit[],COLUMN(CUSTO_GLOBAL[[#Headers],[Lucro]])-2,0)*($G136-$H136)</f>
        <v>159.30499317803796</v>
      </c>
      <c r="BR136" s="26">
        <f>VLOOKUP($A136,tabCustoUnit[],COLUMN(CUSTO_GLOBAL[[#Headers],[COFINS]])-2,0)</f>
        <v>8.8629737609329504E-2</v>
      </c>
      <c r="BS136" s="26">
        <f>VLOOKUP($A136,tabCustoUnit[],COLUMN(CUSTO_GLOBAL[[#Headers],[PIS]])-2,0)</f>
        <v>1.9241982507288629E-2</v>
      </c>
      <c r="BT136" s="28">
        <f>VLOOKUP($A136,tabCustoUnit[],COLUMN(CUSTO_GLOBAL[[#Headers],[ISS]])-2,0)</f>
        <v>0.05</v>
      </c>
      <c r="BU136" s="26">
        <f>VLOOKUP($A136,tabCustoUnit[],COLUMN(CUSTO_GLOBAL[[#Headers],[ISS (Conversão Alíquota s/ fatura)]])-2,0)</f>
        <v>5.8309037900874633E-2</v>
      </c>
      <c r="BV136" s="26">
        <f>VLOOKUP($A136,tabCustoUnit[],COLUMN(CUSTO_GLOBAL[[#Headers],[Resumo de Alíquotas (PIS+CONFINS+ISS)]])-2,0)</f>
        <v>0.14250000000000002</v>
      </c>
      <c r="BW136" s="138">
        <f>VLOOKUP($A136,tabCustoUnit[],COLUMN(CUSTO_GLOBAL[[#Headers],[PIS + COFINS + ISS (Total Conversão  Alíquota s/ Fatura)]])-2,0)</f>
        <v>0.16618075801749277</v>
      </c>
      <c r="BX136" s="22">
        <f>VLOOKUP($A136,tabCustoUnit[],COLUMN(CUSTO_GLOBAL[[#Headers],[Valor dos Tributos (ISS, PIS, CONFINS)]])-2,0)*($G136-$H136)</f>
        <v>821.11016887726305</v>
      </c>
      <c r="BY136" s="22">
        <f>VLOOKUP($A136,tabCustoUnit[],COLUMN(CUSTO_GLOBAL[[#Headers],[MÓDULO 6 – CUSTOS INDIRETOS, TRIBUTOS E LUCRO]])-2,0)*($G136-$H136)</f>
        <v>1170.0639634577271</v>
      </c>
      <c r="BZ136" s="22">
        <f>VLOOKUP($A136,tabCustoUnit[],COLUMN(CUSTO_GLOBAL[[#Headers],[CUSTO TOTAL MENSAL]])-2,0)*($G136-$H136)</f>
        <v>5762.1766237000902</v>
      </c>
      <c r="CA136" s="22">
        <f>CUSTO_GLOBAL[[#This Row],[CUSTO TOTAL MENSAL]]*12</f>
        <v>69146.119484401075</v>
      </c>
      <c r="CB136" s="24">
        <f>VLOOKUP($A136,tabCustoUnit[],COLUMN(CUSTO_GLOBAL[[#Headers],[ANO DA CCT]])-2,0)</f>
        <v>45658</v>
      </c>
      <c r="CC136" s="25" t="str">
        <f>VLOOKUP($A136,tabCustoUnit[],COLUMN(CUSTO_GLOBAL[[#Headers],[Nº DE PEDIDO DA CCT]])-2,0)</f>
        <v>-</v>
      </c>
      <c r="CD136" s="25" t="str">
        <f>VLOOKUP($A136,tabCustoUnit[],COLUMN(CUSTO_GLOBAL[[#Headers],[TERMO ADITIVO  ALTERAÇÃO DA CCT]])-2,0)</f>
        <v>-</v>
      </c>
      <c r="CF136" s="22"/>
      <c r="CG136" s="22"/>
    </row>
    <row r="137" spans="1:85" x14ac:dyDescent="0.25">
      <c r="A137" s="20" t="s">
        <v>1473</v>
      </c>
      <c r="B137" t="s">
        <v>124</v>
      </c>
      <c r="C137" t="s">
        <v>1245</v>
      </c>
      <c r="D137" t="s">
        <v>1000</v>
      </c>
      <c r="E137" s="20" t="s">
        <v>9</v>
      </c>
      <c r="F137" s="20" t="s">
        <v>10</v>
      </c>
      <c r="G137" s="20">
        <v>1</v>
      </c>
      <c r="H137" s="20">
        <v>0</v>
      </c>
      <c r="I137" s="21">
        <f>VLOOKUP($A137,tabCustoUnit[],COLUMN(CUSTO_GLOBAL[[#Headers],[Salário Base]])-2,0)*($G137-$H137)</f>
        <v>1596.28</v>
      </c>
      <c r="J137" s="21">
        <f>VLOOKUP($A137,tabCustoUnit[],COLUMN(CUSTO_GLOBAL[[#Headers],[Adicional Periculosidade]])-2,0)*($G137-$H137)</f>
        <v>0</v>
      </c>
      <c r="K137" s="21">
        <f>VLOOKUP($A137,tabCustoUnit[],COLUMN(CUSTO_GLOBAL[[#Headers],[Adicional Insalubridade]])-2,0)*($G137-$H137)</f>
        <v>0</v>
      </c>
      <c r="L137" s="21">
        <f>VLOOKUP($A137,tabCustoUnit[],COLUMN(CUSTO_GLOBAL[[#Headers],[Adicional Noturno]])-2,0)*($G137-$H137)</f>
        <v>0</v>
      </c>
      <c r="M137" s="21">
        <f>VLOOKUP($A137,tabCustoUnit[],COLUMN(CUSTO_GLOBAL[[#Headers],[Adicional Motorista II (Gratificação)]])-2,0)*($G137-$H137)</f>
        <v>0</v>
      </c>
      <c r="N137" s="21">
        <f>VLOOKUP($A137,tabCustoUnit[],COLUMN(CUSTO_GLOBAL[[#Headers],[Adicional de Sobreaviso]])-2,0)*($G137-$H137)</f>
        <v>0</v>
      </c>
      <c r="O137" s="21">
        <f>VLOOKUP($A137,tabCustoUnit[],COLUMN(CUSTO_GLOBAL[[#Headers],[Horas Extras TI]])-2,0)*($G137-$H137)</f>
        <v>0</v>
      </c>
      <c r="P137" s="21">
        <f>VLOOKUP($A137,tabCustoUnit[],COLUMN(CUSTO_GLOBAL[[#Headers],[Adicional de Acúmulo de função]])-2,0)*($G137-$H137)</f>
        <v>52.241900000000001</v>
      </c>
      <c r="Q137" s="21">
        <f>VLOOKUP($A137,tabCustoUnit[],COLUMN(CUSTO_GLOBAL[[#Headers],[MODULO 1 - REMUNERAÇÃO ]])-2,0)*($G137-$H137)</f>
        <v>1648.5219</v>
      </c>
      <c r="R137" s="21">
        <f>VLOOKUP($A137,tabCustoUnit[],COLUMN(CUSTO_GLOBAL[[#Headers],[INSS]])-2,0)*($G137-$H137)</f>
        <v>329.70438000000001</v>
      </c>
      <c r="S137" s="21">
        <f>VLOOKUP($A137,tabCustoUnit[],COLUMN(CUSTO_GLOBAL[[#Headers],[SESI OU SESC]])-2,0)*($G137-$H137)</f>
        <v>24.727828499999998</v>
      </c>
      <c r="T137" s="21">
        <f>VLOOKUP($A137,tabCustoUnit[],COLUMN(CUSTO_GLOBAL[[#Headers],[SENAI OU SENAC]])-2,0)*($G137-$H137)</f>
        <v>16.485219000000001</v>
      </c>
      <c r="U137" s="21">
        <f>VLOOKUP($A137,tabCustoUnit[],COLUMN(CUSTO_GLOBAL[[#Headers],[INCRA]])-2,0)*($G137-$H137)</f>
        <v>3.2970438</v>
      </c>
      <c r="V137" s="21">
        <f>VLOOKUP($A137,tabCustoUnit[],COLUMN(CUSTO_GLOBAL[[#Headers],[Salário Educação]])-2,0)*($G137-$H137)</f>
        <v>41.213047500000002</v>
      </c>
      <c r="W137" s="21">
        <f>VLOOKUP($A137,tabCustoUnit[],COLUMN(CUSTO_GLOBAL[[#Headers],[FGTS]])-2,0)*($G137-$H137)</f>
        <v>131.88175200000001</v>
      </c>
      <c r="X137" s="21">
        <f>VLOOKUP($A137,tabCustoUnit[],COLUMN(CUSTO_GLOBAL[[#Headers],[RAT Ajustado]])-2,0)*($G137-$H137)</f>
        <v>65.940876000000003</v>
      </c>
      <c r="Y137" s="21">
        <f>VLOOKUP($A137,tabCustoUnit[],COLUMN(CUSTO_GLOBAL[[#Headers],[SEBRAE]])-2,0)*($G137-$H137)</f>
        <v>9.8911314000000008</v>
      </c>
      <c r="Z137" s="21">
        <f>VLOOKUP($A137,tabCustoUnit[],COLUMN(CUSTO_GLOBAL[[#Headers],[Submódulo 2.1]])-2,0)*($G137-$H137)</f>
        <v>623.14127819999999</v>
      </c>
      <c r="AA137" s="21">
        <f>VLOOKUP($A137,tabCustoUnit[],COLUMN(CUSTO_GLOBAL[[#Headers],[13º salário (titular)]])-2,0)*($G137-$H137)</f>
        <v>137.376825</v>
      </c>
      <c r="AB137" s="21">
        <f>VLOOKUP($A137,tabCustoUnit[],COLUMN(CUSTO_GLOBAL[[#Headers],[Férias e Adicional de Férias (titular)]])-2,0)*($G137-$H137)</f>
        <v>183.16909999999999</v>
      </c>
      <c r="AC137" s="21">
        <f>VLOOKUP($A137,tabCustoUnit[],COLUMN(CUSTO_GLOBAL[[#Headers],[Incidência do Submódulo 2.1 sobre 13º Salário, Férias e Adicional de Férias]])-2,0)*($G137-$H137)</f>
        <v>121.16635965</v>
      </c>
      <c r="AD137" s="21">
        <f>VLOOKUP($A137,tabCustoUnit[],COLUMN(CUSTO_GLOBAL[[#Headers],[Submódulo 2.2]])-2,0)*($G137-$H137)</f>
        <v>441.71228465000002</v>
      </c>
      <c r="AE137" s="22">
        <f>VLOOKUP($A137,tabCustoUnit[],COLUMN(CUSTO_GLOBAL[[#Headers],[Vale - Transporte (Descontada parcela do empregado)]])-2,0)*($G137-$H137)</f>
        <v>160.22320000000002</v>
      </c>
      <c r="AF137" s="22">
        <f>VLOOKUP($A137,tabCustoUnit[],COLUMN(CUSTO_GLOBAL[[#Headers],[Vale - Alimentação (Descontada parcela do empregado)]])-2,0)*($G137-$H137)</f>
        <v>582</v>
      </c>
      <c r="AG137" s="22">
        <f>VLOOKUP($A137,tabCustoUnit[],COLUMN(CUSTO_GLOBAL[[#Headers],[Cesta Básica]])-2,0)*($G137-$H137)</f>
        <v>0</v>
      </c>
      <c r="AH137" s="22">
        <f>VLOOKUP($A137,tabCustoUnit[],COLUMN(CUSTO_GLOBAL[[#Headers],[PAF]])-2,0)*($G137-$H137)</f>
        <v>0</v>
      </c>
      <c r="AI137" s="22">
        <f>VLOOKUP($A137,tabCustoUnit[],COLUMN(CUSTO_GLOBAL[[#Headers],[PQM]])-2,0)*($G137-$H137)</f>
        <v>15.07</v>
      </c>
      <c r="AJ137" s="22">
        <v>0</v>
      </c>
      <c r="AK137" s="22">
        <f>VLOOKUP($A137,tabCustoUnit[],COLUMN(CUSTO_GLOBAL[[#Headers],[Seguro de Vida]])-2,0)*($G137-$H137)</f>
        <v>3.36</v>
      </c>
      <c r="AL137" s="22">
        <f>VLOOKUP($A137,tabCustoUnit[],COLUMN(CUSTO_GLOBAL[[#Headers],[Despesas de Viagem]])-2,0)*($G137-$H137)</f>
        <v>0</v>
      </c>
      <c r="AM137" s="22">
        <f>VLOOKUP($A137,tabCustoUnit[],COLUMN(CUSTO_GLOBAL[[#Headers],[Submódulo 2.3]])-2,0)*($G137-$H137)</f>
        <v>760.65320000000008</v>
      </c>
      <c r="AN137" s="22">
        <f>VLOOKUP($A137,tabCustoUnit[],COLUMN(CUSTO_GLOBAL[[#Headers],[MÓDULO 2 - Total Encargos e Benefícios mensais e diários]])-2,0)*($G137-$H137)</f>
        <v>1825.5067628500001</v>
      </c>
      <c r="AO137" s="22">
        <f>VLOOKUP($A137,tabCustoUnit[],COLUMN(CUSTO_GLOBAL[[#Headers],[Aviso Prévio Indenizado (API) e Reflexo do Aviso Prévio Indenizado]])-2,0)*($G137-$H137)</f>
        <v>11.559051416493055</v>
      </c>
      <c r="AP137" s="22">
        <f>VLOOKUP($A137,tabCustoUnit[],COLUMN(CUSTO_GLOBAL[[#Headers],[Incidência do FGTS sobre API e Reflexo do API]])-2,0)*($G137-$H137)</f>
        <v>0.92472411331944449</v>
      </c>
      <c r="AQ137" s="22">
        <f>VLOOKUP($A137,tabCustoUnit[],COLUMN(CUSTO_GLOBAL[[#Headers],[Multa Rescisória do FGTS sobre o Aviso Prévio Indenizado]])-2,0)*($G137-$H137)</f>
        <v>0.36988964532777785</v>
      </c>
      <c r="AR137" s="22">
        <f>VLOOKUP($A137,tabCustoUnit[],COLUMN(CUSTO_GLOBAL[[#Headers],[Aviso Prévio Trabalhado - APT]])-2,0)*($G137-$H137)</f>
        <v>5.7698266500000006</v>
      </c>
      <c r="AS137" s="22">
        <f>VLOOKUP($A137,tabCustoUnit[],COLUMN(CUSTO_GLOBAL[[#Headers],[Incidência dos encargos do submódulo 2.1 sobre Aviso Prévio Trabalhado]])-2,0)*($G137-$H137)</f>
        <v>2.1809944737000007</v>
      </c>
      <c r="AT137" s="22">
        <f>VLOOKUP($A137,tabCustoUnit[],COLUMN(CUSTO_GLOBAL[[#Headers],[Multa Rescisória do FGTS]])-2,0)*($G137-$H137)</f>
        <v>50.40813631999999</v>
      </c>
      <c r="AU137" s="22">
        <f>VLOOKUP($A137,tabCustoUnit[],COLUMN(CUSTO_GLOBAL[[#Headers],[Indenização Adicional (Art. 9º da Lei nº 7.238/84)]])-2,0)*($G137-$H137)</f>
        <v>1.3737682500000001</v>
      </c>
      <c r="AV137" s="22">
        <f>VLOOKUP($A137,tabCustoUnit[],COLUMN(CUSTO_GLOBAL[[#Headers],[MÓDULO 3 – PROVISÃO PARA RESCISÃO]])-2,0)*($G137-$H137)</f>
        <v>72.586390868840269</v>
      </c>
      <c r="AW137" s="22">
        <f>VLOOKUP($A137,tabCustoUnit[],COLUMN(CUSTO_GLOBAL[[#Headers],[Ausência por Doença]])-2,0)*($G137-$H137)</f>
        <v>13.920851599999999</v>
      </c>
      <c r="AX137" s="22">
        <f>VLOOKUP($A137,tabCustoUnit[],COLUMN(CUSTO_GLOBAL[[#Headers],[Ausências Legais]])-2,0)*($G137-$H137)</f>
        <v>3.3428360749999997</v>
      </c>
      <c r="AY137" s="22">
        <f>VLOOKUP($A137,tabCustoUnit[],COLUMN(CUSTO_GLOBAL[[#Headers],[Licença Paternidade]])-2,0)*($G137-$H137)</f>
        <v>0.28162249125</v>
      </c>
      <c r="AZ137" s="22">
        <f>VLOOKUP($A137,tabCustoUnit[],COLUMN(CUSTO_GLOBAL[[#Headers],[Ausência por Acidente de Trabalho]])-2,0)*($G137-$H137)</f>
        <v>0.34344206250000003</v>
      </c>
      <c r="BA137" s="22">
        <f>VLOOKUP($A137,tabCustoUnit[],COLUMN(CUSTO_GLOBAL[[#Headers],[Férias, Adicional de Férias e 13º  com empregada em gozo de Licença Maternidade]])-2,0)*($G137-$H137)</f>
        <v>2.1369728333333331</v>
      </c>
      <c r="BB137" s="22">
        <f>VLOOKUP($A137,tabCustoUnit[],COLUMN(CUSTO_GLOBAL[[#Headers],[Incidência do Submódulo 2.1 sobre Ausências Legais]])-2,0)*($G137-$H137)</f>
        <v>7.5697240734675013</v>
      </c>
      <c r="BC137" s="22">
        <f>VLOOKUP($A137,tabCustoUnit[],COLUMN(CUSTO_GLOBAL[[#Headers],[Submódulo 4.1]])-2,0)*($G137-$H137)</f>
        <v>27.595449135550833</v>
      </c>
      <c r="BD137" s="22">
        <f>VLOOKUP($A137,tabCustoUnit[],COLUMN(CUSTO_GLOBAL[[#Headers],[Intervalo para Repouso ou Alimentação]])-2,0)*($G137-$H137)</f>
        <v>0</v>
      </c>
      <c r="BE137" s="22">
        <f>VLOOKUP($A137,tabCustoUnit[],COLUMN(CUSTO_GLOBAL[[#Headers],[Submódulo 4.2]])-2,0)*($G137-$H137)</f>
        <v>0</v>
      </c>
      <c r="BF137" s="22">
        <f>VLOOKUP($A137,tabCustoUnit[],COLUMN(CUSTO_GLOBAL[[#Headers],[Suspensão Temporária do Contrato de Trabalho]])-2,0)*($G137-$H137)</f>
        <v>0</v>
      </c>
      <c r="BG137" s="22">
        <f>VLOOKUP($A137,tabCustoUnit[],COLUMN(CUSTO_GLOBAL[[#Headers],[Submódulo 4.3]])-2,0)*($G137-$H137)</f>
        <v>0</v>
      </c>
      <c r="BH137" s="22">
        <f>VLOOKUP($A137,tabCustoUnit[],COLUMN(CUSTO_GLOBAL[[#Headers],[MÓDULO 4 – CUSTO DE REPOSIÇÃO DO PROFISSIONAL AUSENTE]])-2,0)*($G137-$H137)</f>
        <v>27.595449135550833</v>
      </c>
      <c r="BI137" s="22">
        <f>VLOOKUP($A137,tabCustoUnit[],COLUMN(CUSTO_GLOBAL[[#Headers],[Uniformes e EPIs]])-2,0)*($G137-$H137)</f>
        <v>100.80916666666666</v>
      </c>
      <c r="BJ137" s="22">
        <f>VLOOKUP($A137,tabCustoUnit[],COLUMN(CUSTO_GLOBAL[[#Headers],[Materiais de Consumo]])-2,0)*($G137-$H137)</f>
        <v>35.518212958583888</v>
      </c>
      <c r="BK137" s="22">
        <f>VLOOKUP($A137,tabCustoUnit[],COLUMN(CUSTO_GLOBAL[[#Headers],[Máquinas e Equipamentos (depreciação)]])-2,0)*($G137-$H137)</f>
        <v>64.529393914825576</v>
      </c>
      <c r="BL137" s="22">
        <f>VLOOKUP($A137,tabCustoUnit[],COLUMN(CUSTO_GLOBAL[[#Headers],[Produtos de Limpeza e Materiais de Higiene Pessoal]])-2,0)*($G137-$H137)</f>
        <v>690.27153277931654</v>
      </c>
      <c r="BM137" s="22">
        <f>VLOOKUP($A137,tabCustoUnit[],COLUMN(CUSTO_GLOBAL[[#Headers],[Outros (especificar)]])-2,0)*($G137-$H137)</f>
        <v>0</v>
      </c>
      <c r="BN137" s="22">
        <f>VLOOKUP($A137,tabCustoUnit[],COLUMN(CUSTO_GLOBAL[[#Headers],[MÓDULO 5 – INSUMOS DIVERSOS]])-2,0)*($G137-$H137)</f>
        <v>891.12830631939266</v>
      </c>
      <c r="BO137" s="22">
        <f>VLOOKUP($A137,tabCustoUnit[],COLUMN(CUSTO_GLOBAL[[#Headers],[TOTAL MÓDULOS 1+2+3+4+5]])-2,0)*($G137-$H137)</f>
        <v>4465.3388091737834</v>
      </c>
      <c r="BP137" s="22">
        <f>VLOOKUP($A137,tabCustoUnit[],COLUMN(CUSTO_GLOBAL[[#Headers],[Custos Indiretos]])-2,0)*($G137-$H137)</f>
        <v>189.64880140242613</v>
      </c>
      <c r="BQ137" s="22">
        <f>VLOOKUP($A137,tabCustoUnit[],COLUMN(CUSTO_GLOBAL[[#Headers],[Lucro]])-2,0)*($G137-$H137)</f>
        <v>159.30499317803796</v>
      </c>
      <c r="BR137" s="26">
        <f>VLOOKUP($A137,tabCustoUnit[],COLUMN(CUSTO_GLOBAL[[#Headers],[COFINS]])-2,0)</f>
        <v>8.6609686609686695E-2</v>
      </c>
      <c r="BS137" s="26">
        <f>VLOOKUP($A137,tabCustoUnit[],COLUMN(CUSTO_GLOBAL[[#Headers],[PIS]])-2,0)</f>
        <v>1.880341880341882E-2</v>
      </c>
      <c r="BT137" s="28">
        <f>VLOOKUP($A137,tabCustoUnit[],COLUMN(CUSTO_GLOBAL[[#Headers],[ISS]])-2,0)</f>
        <v>0.03</v>
      </c>
      <c r="BU137" s="26">
        <f>VLOOKUP($A137,tabCustoUnit[],COLUMN(CUSTO_GLOBAL[[#Headers],[ISS (Conversão Alíquota s/ fatura)]])-2,0)</f>
        <v>3.4188034188034219E-2</v>
      </c>
      <c r="BV137" s="26">
        <f>VLOOKUP($A137,tabCustoUnit[],COLUMN(CUSTO_GLOBAL[[#Headers],[Resumo de Alíquotas (PIS+CONFINS+ISS)]])-2,0)</f>
        <v>0.1225</v>
      </c>
      <c r="BW137" s="138">
        <f>VLOOKUP($A137,tabCustoUnit[],COLUMN(CUSTO_GLOBAL[[#Headers],[PIS + COFINS + ISS (Total Conversão  Alíquota s/ Fatura)]])-2,0)</f>
        <v>0.13960113960113973</v>
      </c>
      <c r="BX137" s="22">
        <f>VLOOKUP($A137,tabCustoUnit[],COLUMN(CUSTO_GLOBAL[[#Headers],[Valor dos Tributos (ISS, PIS, CONFINS)]])-2,0)*($G137-$H137)</f>
        <v>672.08073385743126</v>
      </c>
      <c r="BY137" s="22">
        <f>VLOOKUP($A137,tabCustoUnit[],COLUMN(CUSTO_GLOBAL[[#Headers],[MÓDULO 6 – CUSTOS INDIRETOS, TRIBUTOS E LUCRO]])-2,0)*($G137-$H137)</f>
        <v>1021.0345284378953</v>
      </c>
      <c r="BZ137" s="22">
        <f>VLOOKUP($A137,tabCustoUnit[],COLUMN(CUSTO_GLOBAL[[#Headers],[CUSTO TOTAL MENSAL]])-2,0)*($G137-$H137)</f>
        <v>5486.3733376116788</v>
      </c>
      <c r="CA137" s="22">
        <f>CUSTO_GLOBAL[[#This Row],[CUSTO TOTAL MENSAL]]*12</f>
        <v>65836.480051340142</v>
      </c>
      <c r="CB137" s="24">
        <f>VLOOKUP($A137,tabCustoUnit[],COLUMN(CUSTO_GLOBAL[[#Headers],[ANO DA CCT]])-2,0)</f>
        <v>45658</v>
      </c>
      <c r="CC137" s="25" t="str">
        <f>VLOOKUP($A137,tabCustoUnit[],COLUMN(CUSTO_GLOBAL[[#Headers],[Nº DE PEDIDO DA CCT]])-2,0)</f>
        <v>-</v>
      </c>
      <c r="CD137" s="25" t="str">
        <f>VLOOKUP($A137,tabCustoUnit[],COLUMN(CUSTO_GLOBAL[[#Headers],[TERMO ADITIVO  ALTERAÇÃO DA CCT]])-2,0)</f>
        <v>-</v>
      </c>
      <c r="CF137" s="22"/>
      <c r="CG137" s="22"/>
    </row>
    <row r="138" spans="1:85" x14ac:dyDescent="0.25">
      <c r="A138" s="20" t="s">
        <v>1474</v>
      </c>
      <c r="B138" t="s">
        <v>125</v>
      </c>
      <c r="C138" t="s">
        <v>1244</v>
      </c>
      <c r="D138" t="s">
        <v>125</v>
      </c>
      <c r="E138" s="20" t="s">
        <v>9</v>
      </c>
      <c r="F138" s="20" t="s">
        <v>10</v>
      </c>
      <c r="G138" s="20">
        <v>1</v>
      </c>
      <c r="H138" s="20">
        <v>0</v>
      </c>
      <c r="I138" s="21">
        <f>VLOOKUP($A138,tabCustoUnit[],COLUMN(CUSTO_GLOBAL[[#Headers],[Salário Base]])-2,0)*($G138-$H138)</f>
        <v>827.86</v>
      </c>
      <c r="J138" s="21">
        <f>VLOOKUP($A138,tabCustoUnit[],COLUMN(CUSTO_GLOBAL[[#Headers],[Adicional Periculosidade]])-2,0)*($G138-$H138)</f>
        <v>0</v>
      </c>
      <c r="K138" s="21">
        <f>VLOOKUP($A138,tabCustoUnit[],COLUMN(CUSTO_GLOBAL[[#Headers],[Adicional Insalubridade]])-2,0)*($G138-$H138)</f>
        <v>0</v>
      </c>
      <c r="L138" s="21">
        <f>VLOOKUP($A138,tabCustoUnit[],COLUMN(CUSTO_GLOBAL[[#Headers],[Adicional Noturno]])-2,0)*($G138-$H138)</f>
        <v>0</v>
      </c>
      <c r="M138" s="21">
        <f>VLOOKUP($A138,tabCustoUnit[],COLUMN(CUSTO_GLOBAL[[#Headers],[Adicional Motorista II (Gratificação)]])-2,0)*($G138-$H138)</f>
        <v>0</v>
      </c>
      <c r="N138" s="21">
        <f>VLOOKUP($A138,tabCustoUnit[],COLUMN(CUSTO_GLOBAL[[#Headers],[Adicional de Sobreaviso]])-2,0)*($G138-$H138)</f>
        <v>0</v>
      </c>
      <c r="O138" s="21">
        <f>VLOOKUP($A138,tabCustoUnit[],COLUMN(CUSTO_GLOBAL[[#Headers],[Horas Extras TI]])-2,0)*($G138-$H138)</f>
        <v>0</v>
      </c>
      <c r="P138" s="21">
        <f>VLOOKUP($A138,tabCustoUnit[],COLUMN(CUSTO_GLOBAL[[#Headers],[Adicional de Acúmulo de função]])-2,0)*($G138-$H138)</f>
        <v>27.093599999999999</v>
      </c>
      <c r="Q138" s="21">
        <f>VLOOKUP($A138,tabCustoUnit[],COLUMN(CUSTO_GLOBAL[[#Headers],[MODULO 1 - REMUNERAÇÃO ]])-2,0)*($G138-$H138)</f>
        <v>854.95360000000005</v>
      </c>
      <c r="R138" s="21">
        <f>VLOOKUP($A138,tabCustoUnit[],COLUMN(CUSTO_GLOBAL[[#Headers],[INSS]])-2,0)*($G138-$H138)</f>
        <v>170.99072000000001</v>
      </c>
      <c r="S138" s="21">
        <f>VLOOKUP($A138,tabCustoUnit[],COLUMN(CUSTO_GLOBAL[[#Headers],[SESI OU SESC]])-2,0)*($G138-$H138)</f>
        <v>12.824304</v>
      </c>
      <c r="T138" s="21">
        <f>VLOOKUP($A138,tabCustoUnit[],COLUMN(CUSTO_GLOBAL[[#Headers],[SENAI OU SENAC]])-2,0)*($G138-$H138)</f>
        <v>8.5495359999999998</v>
      </c>
      <c r="U138" s="21">
        <f>VLOOKUP($A138,tabCustoUnit[],COLUMN(CUSTO_GLOBAL[[#Headers],[INCRA]])-2,0)*($G138-$H138)</f>
        <v>1.7099072000000002</v>
      </c>
      <c r="V138" s="21">
        <f>VLOOKUP($A138,tabCustoUnit[],COLUMN(CUSTO_GLOBAL[[#Headers],[Salário Educação]])-2,0)*($G138-$H138)</f>
        <v>21.373840000000001</v>
      </c>
      <c r="W138" s="21">
        <f>VLOOKUP($A138,tabCustoUnit[],COLUMN(CUSTO_GLOBAL[[#Headers],[FGTS]])-2,0)*($G138-$H138)</f>
        <v>68.396287999999998</v>
      </c>
      <c r="X138" s="21">
        <f>VLOOKUP($A138,tabCustoUnit[],COLUMN(CUSTO_GLOBAL[[#Headers],[RAT Ajustado]])-2,0)*($G138-$H138)</f>
        <v>34.198143999999999</v>
      </c>
      <c r="Y138" s="21">
        <f>VLOOKUP($A138,tabCustoUnit[],COLUMN(CUSTO_GLOBAL[[#Headers],[SEBRAE]])-2,0)*($G138-$H138)</f>
        <v>5.1297216000000008</v>
      </c>
      <c r="Z138" s="21">
        <f>VLOOKUP($A138,tabCustoUnit[],COLUMN(CUSTO_GLOBAL[[#Headers],[Submódulo 2.1]])-2,0)*($G138-$H138)</f>
        <v>323.17246080000001</v>
      </c>
      <c r="AA138" s="21">
        <f>VLOOKUP($A138,tabCustoUnit[],COLUMN(CUSTO_GLOBAL[[#Headers],[13º salário (titular)]])-2,0)*($G138-$H138)</f>
        <v>71.246133333333333</v>
      </c>
      <c r="AB138" s="21">
        <f>VLOOKUP($A138,tabCustoUnit[],COLUMN(CUSTO_GLOBAL[[#Headers],[Férias e Adicional de Férias (titular)]])-2,0)*($G138-$H138)</f>
        <v>94.994844444444439</v>
      </c>
      <c r="AC138" s="21">
        <f>VLOOKUP($A138,tabCustoUnit[],COLUMN(CUSTO_GLOBAL[[#Headers],[Incidência do Submódulo 2.1 sobre 13º Salário, Férias e Adicional de Férias]])-2,0)*($G138-$H138)</f>
        <v>62.839089600000001</v>
      </c>
      <c r="AD138" s="21">
        <f>VLOOKUP($A138,tabCustoUnit[],COLUMN(CUSTO_GLOBAL[[#Headers],[Submódulo 2.2]])-2,0)*($G138-$H138)</f>
        <v>229.08006737777777</v>
      </c>
      <c r="AE138" s="22">
        <f>VLOOKUP($A138,tabCustoUnit[],COLUMN(CUSTO_GLOBAL[[#Headers],[Vale - Transporte (Descontada parcela do empregado)]])-2,0)*($G138-$H138)</f>
        <v>206.32839999999999</v>
      </c>
      <c r="AF138" s="22">
        <f>VLOOKUP($A138,tabCustoUnit[],COLUMN(CUSTO_GLOBAL[[#Headers],[Vale - Alimentação (Descontada parcela do empregado)]])-2,0)*($G138-$H138)</f>
        <v>582</v>
      </c>
      <c r="AG138" s="22">
        <f>VLOOKUP($A138,tabCustoUnit[],COLUMN(CUSTO_GLOBAL[[#Headers],[Cesta Básica]])-2,0)*($G138-$H138)</f>
        <v>0</v>
      </c>
      <c r="AH138" s="22">
        <f>VLOOKUP($A138,tabCustoUnit[],COLUMN(CUSTO_GLOBAL[[#Headers],[PAF]])-2,0)*($G138-$H138)</f>
        <v>56.3</v>
      </c>
      <c r="AI138" s="22">
        <f>VLOOKUP($A138,tabCustoUnit[],COLUMN(CUSTO_GLOBAL[[#Headers],[PQM]])-2,0)*($G138-$H138)</f>
        <v>14.69</v>
      </c>
      <c r="AJ138" s="22">
        <v>0</v>
      </c>
      <c r="AK138" s="22">
        <f>VLOOKUP($A138,tabCustoUnit[],COLUMN(CUSTO_GLOBAL[[#Headers],[Seguro de Vida]])-2,0)*($G138-$H138)</f>
        <v>3.36</v>
      </c>
      <c r="AL138" s="22">
        <f>VLOOKUP($A138,tabCustoUnit[],COLUMN(CUSTO_GLOBAL[[#Headers],[Despesas de Viagem]])-2,0)*($G138-$H138)</f>
        <v>0</v>
      </c>
      <c r="AM138" s="22">
        <f>VLOOKUP($A138,tabCustoUnit[],COLUMN(CUSTO_GLOBAL[[#Headers],[Submódulo 2.3]])-2,0)*($G138-$H138)</f>
        <v>862.67840000000001</v>
      </c>
      <c r="AN138" s="22">
        <f>VLOOKUP($A138,tabCustoUnit[],COLUMN(CUSTO_GLOBAL[[#Headers],[MÓDULO 2 - Total Encargos e Benefícios mensais e diários]])-2,0)*($G138-$H138)</f>
        <v>1414.9309281777778</v>
      </c>
      <c r="AO138" s="22">
        <f>VLOOKUP($A138,tabCustoUnit[],COLUMN(CUSTO_GLOBAL[[#Headers],[Aviso Prévio Indenizado (API) e Reflexo do Aviso Prévio Indenizado]])-2,0)*($G138-$H138)</f>
        <v>5.9947354179012349</v>
      </c>
      <c r="AP138" s="22">
        <f>VLOOKUP($A138,tabCustoUnit[],COLUMN(CUSTO_GLOBAL[[#Headers],[Incidência do FGTS sobre API e Reflexo do API]])-2,0)*($G138-$H138)</f>
        <v>0.47957883343209884</v>
      </c>
      <c r="AQ138" s="22">
        <f>VLOOKUP($A138,tabCustoUnit[],COLUMN(CUSTO_GLOBAL[[#Headers],[Multa Rescisória do FGTS sobre o Aviso Prévio Indenizado]])-2,0)*($G138-$H138)</f>
        <v>0.19183153337283956</v>
      </c>
      <c r="AR138" s="22">
        <f>VLOOKUP($A138,tabCustoUnit[],COLUMN(CUSTO_GLOBAL[[#Headers],[Aviso Prévio Trabalhado - APT]])-2,0)*($G138-$H138)</f>
        <v>2.9923376000000008</v>
      </c>
      <c r="AS138" s="22">
        <f>VLOOKUP($A138,tabCustoUnit[],COLUMN(CUSTO_GLOBAL[[#Headers],[Incidência dos encargos do submódulo 2.1 sobre Aviso Prévio Trabalhado]])-2,0)*($G138-$H138)</f>
        <v>1.1311036128000005</v>
      </c>
      <c r="AT138" s="22">
        <f>VLOOKUP($A138,tabCustoUnit[],COLUMN(CUSTO_GLOBAL[[#Headers],[Multa Rescisória do FGTS]])-2,0)*($G138-$H138)</f>
        <v>26.142581191111109</v>
      </c>
      <c r="AU138" s="22">
        <f>VLOOKUP($A138,tabCustoUnit[],COLUMN(CUSTO_GLOBAL[[#Headers],[Indenização Adicional (Art. 9º da Lei nº 7.238/84)]])-2,0)*($G138-$H138)</f>
        <v>0.71246133333333339</v>
      </c>
      <c r="AV138" s="22">
        <f>VLOOKUP($A138,tabCustoUnit[],COLUMN(CUSTO_GLOBAL[[#Headers],[MÓDULO 3 – PROVISÃO PARA RESCISÃO]])-2,0)*($G138-$H138)</f>
        <v>37.644629521950613</v>
      </c>
      <c r="AW138" s="22">
        <f>VLOOKUP($A138,tabCustoUnit[],COLUMN(CUSTO_GLOBAL[[#Headers],[Ausência por Doença]])-2,0)*($G138-$H138)</f>
        <v>7.2196081777777774</v>
      </c>
      <c r="AX138" s="22">
        <f>VLOOKUP($A138,tabCustoUnit[],COLUMN(CUSTO_GLOBAL[[#Headers],[Ausências Legais]])-2,0)*($G138-$H138)</f>
        <v>1.7336559111111112</v>
      </c>
      <c r="AY138" s="22">
        <f>VLOOKUP($A138,tabCustoUnit[],COLUMN(CUSTO_GLOBAL[[#Headers],[Licença Paternidade]])-2,0)*($G138-$H138)</f>
        <v>0.14605457333333333</v>
      </c>
      <c r="AZ138" s="22">
        <f>VLOOKUP($A138,tabCustoUnit[],COLUMN(CUSTO_GLOBAL[[#Headers],[Ausência por Acidente de Trabalho]])-2,0)*($G138-$H138)</f>
        <v>0.17811533333333335</v>
      </c>
      <c r="BA138" s="22">
        <f>VLOOKUP($A138,tabCustoUnit[],COLUMN(CUSTO_GLOBAL[[#Headers],[Férias, Adicional de Férias e 13º  com empregada em gozo de Licença Maternidade]])-2,0)*($G138-$H138)</f>
        <v>1.1082731851851853</v>
      </c>
      <c r="BB138" s="22">
        <f>VLOOKUP($A138,tabCustoUnit[],COLUMN(CUSTO_GLOBAL[[#Headers],[Incidência do Submódulo 2.1 sobre Ausências Legais]])-2,0)*($G138-$H138)</f>
        <v>3.9257973143200009</v>
      </c>
      <c r="BC138" s="22">
        <f>VLOOKUP($A138,tabCustoUnit[],COLUMN(CUSTO_GLOBAL[[#Headers],[Submódulo 4.1]])-2,0)*($G138-$H138)</f>
        <v>14.31150449506074</v>
      </c>
      <c r="BD138" s="22">
        <f>VLOOKUP($A138,tabCustoUnit[],COLUMN(CUSTO_GLOBAL[[#Headers],[Intervalo para Repouso ou Alimentação]])-2,0)*($G138-$H138)</f>
        <v>0</v>
      </c>
      <c r="BE138" s="22">
        <f>VLOOKUP($A138,tabCustoUnit[],COLUMN(CUSTO_GLOBAL[[#Headers],[Submódulo 4.2]])-2,0)*($G138-$H138)</f>
        <v>0</v>
      </c>
      <c r="BF138" s="22">
        <f>VLOOKUP($A138,tabCustoUnit[],COLUMN(CUSTO_GLOBAL[[#Headers],[Suspensão Temporária do Contrato de Trabalho]])-2,0)*($G138-$H138)</f>
        <v>0</v>
      </c>
      <c r="BG138" s="22">
        <f>VLOOKUP($A138,tabCustoUnit[],COLUMN(CUSTO_GLOBAL[[#Headers],[Submódulo 4.3]])-2,0)*($G138-$H138)</f>
        <v>0</v>
      </c>
      <c r="BH138" s="22">
        <f>VLOOKUP($A138,tabCustoUnit[],COLUMN(CUSTO_GLOBAL[[#Headers],[MÓDULO 4 – CUSTO DE REPOSIÇÃO DO PROFISSIONAL AUSENTE]])-2,0)*($G138-$H138)</f>
        <v>14.31150449506074</v>
      </c>
      <c r="BI138" s="22">
        <f>VLOOKUP($A138,tabCustoUnit[],COLUMN(CUSTO_GLOBAL[[#Headers],[Uniformes e EPIs]])-2,0)*($G138-$H138)</f>
        <v>62.806666666666665</v>
      </c>
      <c r="BJ138" s="22">
        <f>VLOOKUP($A138,tabCustoUnit[],COLUMN(CUSTO_GLOBAL[[#Headers],[Materiais de Consumo]])-2,0)*($G138-$H138)</f>
        <v>17.759106479291944</v>
      </c>
      <c r="BK138" s="22">
        <f>VLOOKUP($A138,tabCustoUnit[],COLUMN(CUSTO_GLOBAL[[#Headers],[Máquinas e Equipamentos (depreciação)]])-2,0)*($G138-$H138)</f>
        <v>32.264696957412788</v>
      </c>
      <c r="BL138" s="22">
        <f>VLOOKUP($A138,tabCustoUnit[],COLUMN(CUSTO_GLOBAL[[#Headers],[Produtos de Limpeza e Materiais de Higiene Pessoal]])-2,0)*($G138-$H138)</f>
        <v>345.13576638965827</v>
      </c>
      <c r="BM138" s="22">
        <f>VLOOKUP($A138,tabCustoUnit[],COLUMN(CUSTO_GLOBAL[[#Headers],[Outros (especificar)]])-2,0)*($G138-$H138)</f>
        <v>0</v>
      </c>
      <c r="BN138" s="22">
        <f>VLOOKUP($A138,tabCustoUnit[],COLUMN(CUSTO_GLOBAL[[#Headers],[MÓDULO 5 – INSUMOS DIVERSOS]])-2,0)*($G138-$H138)</f>
        <v>457.96623649302967</v>
      </c>
      <c r="BO138" s="22">
        <f>VLOOKUP($A138,tabCustoUnit[],COLUMN(CUSTO_GLOBAL[[#Headers],[TOTAL MÓDULOS 1+2+3+4+5]])-2,0)*($G138-$H138)</f>
        <v>2779.8068986878188</v>
      </c>
      <c r="BP138" s="22">
        <f>VLOOKUP($A138,tabCustoUnit[],COLUMN(CUSTO_GLOBAL[[#Headers],[Custos Indiretos]])-2,0)*($G138-$H138)</f>
        <v>189.64880140242613</v>
      </c>
      <c r="BQ138" s="22">
        <f>VLOOKUP($A138,tabCustoUnit[],COLUMN(CUSTO_GLOBAL[[#Headers],[Lucro]])-2,0)*($G138-$H138)</f>
        <v>159.30499317803796</v>
      </c>
      <c r="BR138" s="26">
        <f>VLOOKUP($A138,tabCustoUnit[],COLUMN(CUSTO_GLOBAL[[#Headers],[COFINS]])-2,0)</f>
        <v>8.6609686609686695E-2</v>
      </c>
      <c r="BS138" s="26">
        <f>VLOOKUP($A138,tabCustoUnit[],COLUMN(CUSTO_GLOBAL[[#Headers],[PIS]])-2,0)</f>
        <v>1.880341880341882E-2</v>
      </c>
      <c r="BT138" s="28">
        <f>VLOOKUP($A138,tabCustoUnit[],COLUMN(CUSTO_GLOBAL[[#Headers],[ISS]])-2,0)</f>
        <v>0.03</v>
      </c>
      <c r="BU138" s="26">
        <f>VLOOKUP($A138,tabCustoUnit[],COLUMN(CUSTO_GLOBAL[[#Headers],[ISS (Conversão Alíquota s/ fatura)]])-2,0)</f>
        <v>3.4188034188034219E-2</v>
      </c>
      <c r="BV138" s="26">
        <f>VLOOKUP($A138,tabCustoUnit[],COLUMN(CUSTO_GLOBAL[[#Headers],[Resumo de Alíquotas (PIS+CONFINS+ISS)]])-2,0)</f>
        <v>0.1225</v>
      </c>
      <c r="BW138" s="138">
        <f>VLOOKUP($A138,tabCustoUnit[],COLUMN(CUSTO_GLOBAL[[#Headers],[PIS + COFINS + ISS (Total Conversão  Alíquota s/ Fatura)]])-2,0)</f>
        <v>0.13960113960113973</v>
      </c>
      <c r="BX138" s="22">
        <f>VLOOKUP($A138,tabCustoUnit[],COLUMN(CUSTO_GLOBAL[[#Headers],[Valor dos Tributos (ISS, PIS, CONFINS)]])-2,0)*($G138-$H138)</f>
        <v>436.77855831950433</v>
      </c>
      <c r="BY138" s="22">
        <f>VLOOKUP($A138,tabCustoUnit[],COLUMN(CUSTO_GLOBAL[[#Headers],[MÓDULO 6 – CUSTOS INDIRETOS, TRIBUTOS E LUCRO]])-2,0)*($G138-$H138)</f>
        <v>785.73235289996842</v>
      </c>
      <c r="BZ138" s="22">
        <f>VLOOKUP($A138,tabCustoUnit[],COLUMN(CUSTO_GLOBAL[[#Headers],[CUSTO TOTAL MENSAL]])-2,0)*($G138-$H138)</f>
        <v>3565.5392515877875</v>
      </c>
      <c r="CA138" s="22">
        <f>CUSTO_GLOBAL[[#This Row],[CUSTO TOTAL MENSAL]]*12</f>
        <v>42786.471019053453</v>
      </c>
      <c r="CB138" s="24">
        <f>VLOOKUP($A138,tabCustoUnit[],COLUMN(CUSTO_GLOBAL[[#Headers],[ANO DA CCT]])-2,0)</f>
        <v>45658</v>
      </c>
      <c r="CC138" s="25" t="str">
        <f>VLOOKUP($A138,tabCustoUnit[],COLUMN(CUSTO_GLOBAL[[#Headers],[Nº DE PEDIDO DA CCT]])-2,0)</f>
        <v>-</v>
      </c>
      <c r="CD138" s="25" t="str">
        <f>VLOOKUP($A138,tabCustoUnit[],COLUMN(CUSTO_GLOBAL[[#Headers],[TERMO ADITIVO  ALTERAÇÃO DA CCT]])-2,0)</f>
        <v>-</v>
      </c>
      <c r="CF138" s="22"/>
      <c r="CG138" s="22"/>
    </row>
    <row r="139" spans="1:85" x14ac:dyDescent="0.25">
      <c r="A139" s="20" t="s">
        <v>1475</v>
      </c>
      <c r="B139" t="s">
        <v>125</v>
      </c>
      <c r="C139" t="s">
        <v>1245</v>
      </c>
      <c r="D139" t="s">
        <v>125</v>
      </c>
      <c r="E139" s="20" t="s">
        <v>9</v>
      </c>
      <c r="F139" s="20" t="s">
        <v>10</v>
      </c>
      <c r="G139" s="20">
        <v>4</v>
      </c>
      <c r="H139" s="20">
        <v>0</v>
      </c>
      <c r="I139" s="21">
        <f>VLOOKUP($A139,tabCustoUnit[],COLUMN(CUSTO_GLOBAL[[#Headers],[Salário Base]])-2,0)*($G139-$H139)</f>
        <v>6622.88</v>
      </c>
      <c r="J139" s="21">
        <f>VLOOKUP($A139,tabCustoUnit[],COLUMN(CUSTO_GLOBAL[[#Headers],[Adicional Periculosidade]])-2,0)*($G139-$H139)</f>
        <v>0</v>
      </c>
      <c r="K139" s="21">
        <f>VLOOKUP($A139,tabCustoUnit[],COLUMN(CUSTO_GLOBAL[[#Headers],[Adicional Insalubridade]])-2,0)*($G139-$H139)</f>
        <v>0</v>
      </c>
      <c r="L139" s="21">
        <f>VLOOKUP($A139,tabCustoUnit[],COLUMN(CUSTO_GLOBAL[[#Headers],[Adicional Noturno]])-2,0)*($G139-$H139)</f>
        <v>0</v>
      </c>
      <c r="M139" s="21">
        <f>VLOOKUP($A139,tabCustoUnit[],COLUMN(CUSTO_GLOBAL[[#Headers],[Adicional Motorista II (Gratificação)]])-2,0)*($G139-$H139)</f>
        <v>0</v>
      </c>
      <c r="N139" s="21">
        <f>VLOOKUP($A139,tabCustoUnit[],COLUMN(CUSTO_GLOBAL[[#Headers],[Adicional de Sobreaviso]])-2,0)*($G139-$H139)</f>
        <v>0</v>
      </c>
      <c r="O139" s="21">
        <f>VLOOKUP($A139,tabCustoUnit[],COLUMN(CUSTO_GLOBAL[[#Headers],[Horas Extras TI]])-2,0)*($G139-$H139)</f>
        <v>0</v>
      </c>
      <c r="P139" s="21">
        <f>VLOOKUP($A139,tabCustoUnit[],COLUMN(CUSTO_GLOBAL[[#Headers],[Adicional de Acúmulo de função]])-2,0)*($G139-$H139)</f>
        <v>216.74879999999999</v>
      </c>
      <c r="Q139" s="21">
        <f>VLOOKUP($A139,tabCustoUnit[],COLUMN(CUSTO_GLOBAL[[#Headers],[MODULO 1 - REMUNERAÇÃO ]])-2,0)*($G139-$H139)</f>
        <v>6839.6288000000004</v>
      </c>
      <c r="R139" s="21">
        <f>VLOOKUP($A139,tabCustoUnit[],COLUMN(CUSTO_GLOBAL[[#Headers],[INSS]])-2,0)*($G139-$H139)</f>
        <v>1367.9257600000001</v>
      </c>
      <c r="S139" s="21">
        <f>VLOOKUP($A139,tabCustoUnit[],COLUMN(CUSTO_GLOBAL[[#Headers],[SESI OU SESC]])-2,0)*($G139-$H139)</f>
        <v>102.594432</v>
      </c>
      <c r="T139" s="21">
        <f>VLOOKUP($A139,tabCustoUnit[],COLUMN(CUSTO_GLOBAL[[#Headers],[SENAI OU SENAC]])-2,0)*($G139-$H139)</f>
        <v>68.396287999999998</v>
      </c>
      <c r="U139" s="21">
        <f>VLOOKUP($A139,tabCustoUnit[],COLUMN(CUSTO_GLOBAL[[#Headers],[INCRA]])-2,0)*($G139-$H139)</f>
        <v>13.679257600000001</v>
      </c>
      <c r="V139" s="21">
        <f>VLOOKUP($A139,tabCustoUnit[],COLUMN(CUSTO_GLOBAL[[#Headers],[Salário Educação]])-2,0)*($G139-$H139)</f>
        <v>170.99072000000001</v>
      </c>
      <c r="W139" s="21">
        <f>VLOOKUP($A139,tabCustoUnit[],COLUMN(CUSTO_GLOBAL[[#Headers],[FGTS]])-2,0)*($G139-$H139)</f>
        <v>547.17030399999999</v>
      </c>
      <c r="X139" s="21">
        <f>VLOOKUP($A139,tabCustoUnit[],COLUMN(CUSTO_GLOBAL[[#Headers],[RAT Ajustado]])-2,0)*($G139-$H139)</f>
        <v>273.58515199999999</v>
      </c>
      <c r="Y139" s="21">
        <f>VLOOKUP($A139,tabCustoUnit[],COLUMN(CUSTO_GLOBAL[[#Headers],[SEBRAE]])-2,0)*($G139-$H139)</f>
        <v>41.037772800000006</v>
      </c>
      <c r="Z139" s="21">
        <f>VLOOKUP($A139,tabCustoUnit[],COLUMN(CUSTO_GLOBAL[[#Headers],[Submódulo 2.1]])-2,0)*($G139-$H139)</f>
        <v>2585.3796864000001</v>
      </c>
      <c r="AA139" s="21">
        <f>VLOOKUP($A139,tabCustoUnit[],COLUMN(CUSTO_GLOBAL[[#Headers],[13º salário (titular)]])-2,0)*($G139-$H139)</f>
        <v>569.96906666666666</v>
      </c>
      <c r="AB139" s="21">
        <f>VLOOKUP($A139,tabCustoUnit[],COLUMN(CUSTO_GLOBAL[[#Headers],[Férias e Adicional de Férias (titular)]])-2,0)*($G139-$H139)</f>
        <v>759.95875555555551</v>
      </c>
      <c r="AC139" s="21">
        <f>VLOOKUP($A139,tabCustoUnit[],COLUMN(CUSTO_GLOBAL[[#Headers],[Incidência do Submódulo 2.1 sobre 13º Salário, Férias e Adicional de Férias]])-2,0)*($G139-$H139)</f>
        <v>502.71271680000001</v>
      </c>
      <c r="AD139" s="21">
        <f>VLOOKUP($A139,tabCustoUnit[],COLUMN(CUSTO_GLOBAL[[#Headers],[Submódulo 2.2]])-2,0)*($G139-$H139)</f>
        <v>1832.6405390222221</v>
      </c>
      <c r="AE139" s="22">
        <f>VLOOKUP($A139,tabCustoUnit[],COLUMN(CUSTO_GLOBAL[[#Headers],[Vale - Transporte (Descontada parcela do empregado)]])-2,0)*($G139-$H139)</f>
        <v>626.62720000000002</v>
      </c>
      <c r="AF139" s="22">
        <f>VLOOKUP($A139,tabCustoUnit[],COLUMN(CUSTO_GLOBAL[[#Headers],[Vale - Alimentação (Descontada parcela do empregado)]])-2,0)*($G139-$H139)</f>
        <v>2328</v>
      </c>
      <c r="AG139" s="22">
        <f>VLOOKUP($A139,tabCustoUnit[],COLUMN(CUSTO_GLOBAL[[#Headers],[Cesta Básica]])-2,0)*($G139-$H139)</f>
        <v>0</v>
      </c>
      <c r="AH139" s="22">
        <f>VLOOKUP($A139,tabCustoUnit[],COLUMN(CUSTO_GLOBAL[[#Headers],[PAF]])-2,0)*($G139-$H139)</f>
        <v>225.2</v>
      </c>
      <c r="AI139" s="22">
        <f>VLOOKUP($A139,tabCustoUnit[],COLUMN(CUSTO_GLOBAL[[#Headers],[PQM]])-2,0)*($G139-$H139)</f>
        <v>58.76</v>
      </c>
      <c r="AJ139" s="22">
        <v>0</v>
      </c>
      <c r="AK139" s="22">
        <f>VLOOKUP($A139,tabCustoUnit[],COLUMN(CUSTO_GLOBAL[[#Headers],[Seguro de Vida]])-2,0)*($G139-$H139)</f>
        <v>13.44</v>
      </c>
      <c r="AL139" s="22">
        <f>VLOOKUP($A139,tabCustoUnit[],COLUMN(CUSTO_GLOBAL[[#Headers],[Despesas de Viagem]])-2,0)*($G139-$H139)</f>
        <v>0</v>
      </c>
      <c r="AM139" s="22">
        <f>VLOOKUP($A139,tabCustoUnit[],COLUMN(CUSTO_GLOBAL[[#Headers],[Submódulo 2.3]])-2,0)*($G139-$H139)</f>
        <v>3252.0272</v>
      </c>
      <c r="AN139" s="22">
        <f>VLOOKUP($A139,tabCustoUnit[],COLUMN(CUSTO_GLOBAL[[#Headers],[MÓDULO 2 - Total Encargos e Benefícios mensais e diários]])-2,0)*($G139-$H139)</f>
        <v>7670.0474254222227</v>
      </c>
      <c r="AO139" s="22">
        <f>VLOOKUP($A139,tabCustoUnit[],COLUMN(CUSTO_GLOBAL[[#Headers],[Aviso Prévio Indenizado (API) e Reflexo do Aviso Prévio Indenizado]])-2,0)*($G139-$H139)</f>
        <v>47.957883343209879</v>
      </c>
      <c r="AP139" s="22">
        <f>VLOOKUP($A139,tabCustoUnit[],COLUMN(CUSTO_GLOBAL[[#Headers],[Incidência do FGTS sobre API e Reflexo do API]])-2,0)*($G139-$H139)</f>
        <v>3.8366306674567907</v>
      </c>
      <c r="AQ139" s="22">
        <f>VLOOKUP($A139,tabCustoUnit[],COLUMN(CUSTO_GLOBAL[[#Headers],[Multa Rescisória do FGTS sobre o Aviso Prévio Indenizado]])-2,0)*($G139-$H139)</f>
        <v>1.5346522669827165</v>
      </c>
      <c r="AR139" s="22">
        <f>VLOOKUP($A139,tabCustoUnit[],COLUMN(CUSTO_GLOBAL[[#Headers],[Aviso Prévio Trabalhado - APT]])-2,0)*($G139-$H139)</f>
        <v>23.938700800000007</v>
      </c>
      <c r="AS139" s="22">
        <f>VLOOKUP($A139,tabCustoUnit[],COLUMN(CUSTO_GLOBAL[[#Headers],[Incidência dos encargos do submódulo 2.1 sobre Aviso Prévio Trabalhado]])-2,0)*($G139-$H139)</f>
        <v>9.0488289024000039</v>
      </c>
      <c r="AT139" s="22">
        <f>VLOOKUP($A139,tabCustoUnit[],COLUMN(CUSTO_GLOBAL[[#Headers],[Multa Rescisória do FGTS]])-2,0)*($G139-$H139)</f>
        <v>209.14064952888887</v>
      </c>
      <c r="AU139" s="22">
        <f>VLOOKUP($A139,tabCustoUnit[],COLUMN(CUSTO_GLOBAL[[#Headers],[Indenização Adicional (Art. 9º da Lei nº 7.238/84)]])-2,0)*($G139-$H139)</f>
        <v>5.6996906666666671</v>
      </c>
      <c r="AV139" s="22">
        <f>VLOOKUP($A139,tabCustoUnit[],COLUMN(CUSTO_GLOBAL[[#Headers],[MÓDULO 3 – PROVISÃO PARA RESCISÃO]])-2,0)*($G139-$H139)</f>
        <v>301.1570361756049</v>
      </c>
      <c r="AW139" s="22">
        <f>VLOOKUP($A139,tabCustoUnit[],COLUMN(CUSTO_GLOBAL[[#Headers],[Ausência por Doença]])-2,0)*($G139-$H139)</f>
        <v>57.756865422222219</v>
      </c>
      <c r="AX139" s="22">
        <f>VLOOKUP($A139,tabCustoUnit[],COLUMN(CUSTO_GLOBAL[[#Headers],[Ausências Legais]])-2,0)*($G139-$H139)</f>
        <v>13.869247288888889</v>
      </c>
      <c r="AY139" s="22">
        <f>VLOOKUP($A139,tabCustoUnit[],COLUMN(CUSTO_GLOBAL[[#Headers],[Licença Paternidade]])-2,0)*($G139-$H139)</f>
        <v>1.1684365866666666</v>
      </c>
      <c r="AZ139" s="22">
        <f>VLOOKUP($A139,tabCustoUnit[],COLUMN(CUSTO_GLOBAL[[#Headers],[Ausência por Acidente de Trabalho]])-2,0)*($G139-$H139)</f>
        <v>1.4249226666666668</v>
      </c>
      <c r="BA139" s="22">
        <f>VLOOKUP($A139,tabCustoUnit[],COLUMN(CUSTO_GLOBAL[[#Headers],[Férias, Adicional de Férias e 13º  com empregada em gozo de Licença Maternidade]])-2,0)*($G139-$H139)</f>
        <v>8.866185481481482</v>
      </c>
      <c r="BB139" s="22">
        <f>VLOOKUP($A139,tabCustoUnit[],COLUMN(CUSTO_GLOBAL[[#Headers],[Incidência do Submódulo 2.1 sobre Ausências Legais]])-2,0)*($G139-$H139)</f>
        <v>31.406378514560007</v>
      </c>
      <c r="BC139" s="22">
        <f>VLOOKUP($A139,tabCustoUnit[],COLUMN(CUSTO_GLOBAL[[#Headers],[Submódulo 4.1]])-2,0)*($G139-$H139)</f>
        <v>114.49203596048592</v>
      </c>
      <c r="BD139" s="22">
        <f>VLOOKUP($A139,tabCustoUnit[],COLUMN(CUSTO_GLOBAL[[#Headers],[Intervalo para Repouso ou Alimentação]])-2,0)*($G139-$H139)</f>
        <v>0</v>
      </c>
      <c r="BE139" s="22">
        <f>VLOOKUP($A139,tabCustoUnit[],COLUMN(CUSTO_GLOBAL[[#Headers],[Submódulo 4.2]])-2,0)*($G139-$H139)</f>
        <v>0</v>
      </c>
      <c r="BF139" s="22">
        <f>VLOOKUP($A139,tabCustoUnit[],COLUMN(CUSTO_GLOBAL[[#Headers],[Suspensão Temporária do Contrato de Trabalho]])-2,0)*($G139-$H139)</f>
        <v>0</v>
      </c>
      <c r="BG139" s="22">
        <f>VLOOKUP($A139,tabCustoUnit[],COLUMN(CUSTO_GLOBAL[[#Headers],[Submódulo 4.3]])-2,0)*($G139-$H139)</f>
        <v>0</v>
      </c>
      <c r="BH139" s="22">
        <f>VLOOKUP($A139,tabCustoUnit[],COLUMN(CUSTO_GLOBAL[[#Headers],[MÓDULO 4 – CUSTO DE REPOSIÇÃO DO PROFISSIONAL AUSENTE]])-2,0)*($G139-$H139)</f>
        <v>114.49203596048592</v>
      </c>
      <c r="BI139" s="22">
        <f>VLOOKUP($A139,tabCustoUnit[],COLUMN(CUSTO_GLOBAL[[#Headers],[Uniformes e EPIs]])-2,0)*($G139-$H139)</f>
        <v>403.23666666666662</v>
      </c>
      <c r="BJ139" s="22">
        <f>VLOOKUP($A139,tabCustoUnit[],COLUMN(CUSTO_GLOBAL[[#Headers],[Materiais de Consumo]])-2,0)*($G139-$H139)</f>
        <v>142.07285183433555</v>
      </c>
      <c r="BK139" s="22">
        <f>VLOOKUP($A139,tabCustoUnit[],COLUMN(CUSTO_GLOBAL[[#Headers],[Máquinas e Equipamentos (depreciação)]])-2,0)*($G139-$H139)</f>
        <v>258.1175756593023</v>
      </c>
      <c r="BL139" s="22">
        <f>VLOOKUP($A139,tabCustoUnit[],COLUMN(CUSTO_GLOBAL[[#Headers],[Produtos de Limpeza e Materiais de Higiene Pessoal]])-2,0)*($G139-$H139)</f>
        <v>2761.0861311172662</v>
      </c>
      <c r="BM139" s="22">
        <f>VLOOKUP($A139,tabCustoUnit[],COLUMN(CUSTO_GLOBAL[[#Headers],[Outros (especificar)]])-2,0)*($G139-$H139)</f>
        <v>0</v>
      </c>
      <c r="BN139" s="22">
        <f>VLOOKUP($A139,tabCustoUnit[],COLUMN(CUSTO_GLOBAL[[#Headers],[MÓDULO 5 – INSUMOS DIVERSOS]])-2,0)*($G139-$H139)</f>
        <v>3564.5132252775707</v>
      </c>
      <c r="BO139" s="22">
        <f>VLOOKUP($A139,tabCustoUnit[],COLUMN(CUSTO_GLOBAL[[#Headers],[TOTAL MÓDULOS 1+2+3+4+5]])-2,0)*($G139-$H139)</f>
        <v>18489.838522835886</v>
      </c>
      <c r="BP139" s="22">
        <f>VLOOKUP($A139,tabCustoUnit[],COLUMN(CUSTO_GLOBAL[[#Headers],[Custos Indiretos]])-2,0)*($G139-$H139)</f>
        <v>758.59520560970452</v>
      </c>
      <c r="BQ139" s="22">
        <f>VLOOKUP($A139,tabCustoUnit[],COLUMN(CUSTO_GLOBAL[[#Headers],[Lucro]])-2,0)*($G139-$H139)</f>
        <v>637.21997271215184</v>
      </c>
      <c r="BR139" s="26">
        <f>VLOOKUP($A139,tabCustoUnit[],COLUMN(CUSTO_GLOBAL[[#Headers],[COFINS]])-2,0)</f>
        <v>8.6609686609686695E-2</v>
      </c>
      <c r="BS139" s="26">
        <f>VLOOKUP($A139,tabCustoUnit[],COLUMN(CUSTO_GLOBAL[[#Headers],[PIS]])-2,0)</f>
        <v>1.880341880341882E-2</v>
      </c>
      <c r="BT139" s="28">
        <f>VLOOKUP($A139,tabCustoUnit[],COLUMN(CUSTO_GLOBAL[[#Headers],[ISS]])-2,0)</f>
        <v>0.03</v>
      </c>
      <c r="BU139" s="26">
        <f>VLOOKUP($A139,tabCustoUnit[],COLUMN(CUSTO_GLOBAL[[#Headers],[ISS (Conversão Alíquota s/ fatura)]])-2,0)</f>
        <v>3.4188034188034219E-2</v>
      </c>
      <c r="BV139" s="26">
        <f>VLOOKUP($A139,tabCustoUnit[],COLUMN(CUSTO_GLOBAL[[#Headers],[Resumo de Alíquotas (PIS+CONFINS+ISS)]])-2,0)</f>
        <v>0.1225</v>
      </c>
      <c r="BW139" s="138">
        <f>VLOOKUP($A139,tabCustoUnit[],COLUMN(CUSTO_GLOBAL[[#Headers],[PIS + COFINS + ISS (Total Conversão  Alíquota s/ Fatura)]])-2,0)</f>
        <v>0.13960113960113973</v>
      </c>
      <c r="BX139" s="22">
        <f>VLOOKUP($A139,tabCustoUnit[],COLUMN(CUSTO_GLOBAL[[#Headers],[Valor dos Tributos (ISS, PIS, CONFINS)]])-2,0)*($G139-$H139)</f>
        <v>2776.0599183952431</v>
      </c>
      <c r="BY139" s="22">
        <f>VLOOKUP($A139,tabCustoUnit[],COLUMN(CUSTO_GLOBAL[[#Headers],[MÓDULO 6 – CUSTOS INDIRETOS, TRIBUTOS E LUCRO]])-2,0)*($G139-$H139)</f>
        <v>4171.8750967171</v>
      </c>
      <c r="BZ139" s="22">
        <f>VLOOKUP($A139,tabCustoUnit[],COLUMN(CUSTO_GLOBAL[[#Headers],[CUSTO TOTAL MENSAL]])-2,0)*($G139-$H139)</f>
        <v>22661.713619552986</v>
      </c>
      <c r="CA139" s="22">
        <f>CUSTO_GLOBAL[[#This Row],[CUSTO TOTAL MENSAL]]*12</f>
        <v>271940.56343463581</v>
      </c>
      <c r="CB139" s="24">
        <f>VLOOKUP($A139,tabCustoUnit[],COLUMN(CUSTO_GLOBAL[[#Headers],[ANO DA CCT]])-2,0)</f>
        <v>45658</v>
      </c>
      <c r="CC139" s="25" t="str">
        <f>VLOOKUP($A139,tabCustoUnit[],COLUMN(CUSTO_GLOBAL[[#Headers],[Nº DE PEDIDO DA CCT]])-2,0)</f>
        <v>-</v>
      </c>
      <c r="CD139" s="25" t="str">
        <f>VLOOKUP($A139,tabCustoUnit[],COLUMN(CUSTO_GLOBAL[[#Headers],[TERMO ADITIVO  ALTERAÇÃO DA CCT]])-2,0)</f>
        <v>-</v>
      </c>
      <c r="CF139" s="22"/>
      <c r="CG139" s="22"/>
    </row>
    <row r="140" spans="1:85" x14ac:dyDescent="0.25">
      <c r="A140" s="20" t="s">
        <v>1476</v>
      </c>
      <c r="B140" t="s">
        <v>126</v>
      </c>
      <c r="C140" t="s">
        <v>1246</v>
      </c>
      <c r="D140" t="s">
        <v>1010</v>
      </c>
      <c r="E140" s="20" t="s">
        <v>9</v>
      </c>
      <c r="F140" s="20" t="s">
        <v>10</v>
      </c>
      <c r="G140" s="20">
        <v>1</v>
      </c>
      <c r="H140" s="20">
        <v>0</v>
      </c>
      <c r="I140" s="21">
        <f>VLOOKUP($A140,tabCustoUnit[],COLUMN(CUSTO_GLOBAL[[#Headers],[Salário Base]])-2,0)*($G140-$H140)</f>
        <v>1088.3699999999999</v>
      </c>
      <c r="J140" s="21">
        <f>VLOOKUP($A140,tabCustoUnit[],COLUMN(CUSTO_GLOBAL[[#Headers],[Adicional Periculosidade]])-2,0)*($G140-$H140)</f>
        <v>0</v>
      </c>
      <c r="K140" s="21">
        <f>VLOOKUP($A140,tabCustoUnit[],COLUMN(CUSTO_GLOBAL[[#Headers],[Adicional Insalubridade]])-2,0)*($G140-$H140)</f>
        <v>0</v>
      </c>
      <c r="L140" s="21">
        <f>VLOOKUP($A140,tabCustoUnit[],COLUMN(CUSTO_GLOBAL[[#Headers],[Adicional Noturno]])-2,0)*($G140-$H140)</f>
        <v>0</v>
      </c>
      <c r="M140" s="21">
        <f>VLOOKUP($A140,tabCustoUnit[],COLUMN(CUSTO_GLOBAL[[#Headers],[Adicional Motorista II (Gratificação)]])-2,0)*($G140-$H140)</f>
        <v>0</v>
      </c>
      <c r="N140" s="21">
        <f>VLOOKUP($A140,tabCustoUnit[],COLUMN(CUSTO_GLOBAL[[#Headers],[Adicional de Sobreaviso]])-2,0)*($G140-$H140)</f>
        <v>0</v>
      </c>
      <c r="O140" s="21">
        <f>VLOOKUP($A140,tabCustoUnit[],COLUMN(CUSTO_GLOBAL[[#Headers],[Horas Extras TI]])-2,0)*($G140-$H140)</f>
        <v>0</v>
      </c>
      <c r="P140" s="21">
        <f>VLOOKUP($A140,tabCustoUnit[],COLUMN(CUSTO_GLOBAL[[#Headers],[Adicional de Acúmulo de função]])-2,0)*($G140-$H140)</f>
        <v>39.1813</v>
      </c>
      <c r="Q140" s="21">
        <f>VLOOKUP($A140,tabCustoUnit[],COLUMN(CUSTO_GLOBAL[[#Headers],[MODULO 1 - REMUNERAÇÃO ]])-2,0)*($G140-$H140)</f>
        <v>1127.5512999999999</v>
      </c>
      <c r="R140" s="21">
        <f>VLOOKUP($A140,tabCustoUnit[],COLUMN(CUSTO_GLOBAL[[#Headers],[INSS]])-2,0)*($G140-$H140)</f>
        <v>225.51025999999999</v>
      </c>
      <c r="S140" s="21">
        <f>VLOOKUP($A140,tabCustoUnit[],COLUMN(CUSTO_GLOBAL[[#Headers],[SESI OU SESC]])-2,0)*($G140-$H140)</f>
        <v>16.913269499999998</v>
      </c>
      <c r="T140" s="21">
        <f>VLOOKUP($A140,tabCustoUnit[],COLUMN(CUSTO_GLOBAL[[#Headers],[SENAI OU SENAC]])-2,0)*($G140-$H140)</f>
        <v>11.275512999999998</v>
      </c>
      <c r="U140" s="21">
        <f>VLOOKUP($A140,tabCustoUnit[],COLUMN(CUSTO_GLOBAL[[#Headers],[INCRA]])-2,0)*($G140-$H140)</f>
        <v>2.2551025999999998</v>
      </c>
      <c r="V140" s="21">
        <f>VLOOKUP($A140,tabCustoUnit[],COLUMN(CUSTO_GLOBAL[[#Headers],[Salário Educação]])-2,0)*($G140-$H140)</f>
        <v>28.188782499999999</v>
      </c>
      <c r="W140" s="21">
        <f>VLOOKUP($A140,tabCustoUnit[],COLUMN(CUSTO_GLOBAL[[#Headers],[FGTS]])-2,0)*($G140-$H140)</f>
        <v>90.204103999999987</v>
      </c>
      <c r="X140" s="21">
        <f>VLOOKUP($A140,tabCustoUnit[],COLUMN(CUSTO_GLOBAL[[#Headers],[RAT Ajustado]])-2,0)*($G140-$H140)</f>
        <v>45.102051999999993</v>
      </c>
      <c r="Y140" s="21">
        <f>VLOOKUP($A140,tabCustoUnit[],COLUMN(CUSTO_GLOBAL[[#Headers],[SEBRAE]])-2,0)*($G140-$H140)</f>
        <v>6.7653077999999995</v>
      </c>
      <c r="Z140" s="21">
        <f>VLOOKUP($A140,tabCustoUnit[],COLUMN(CUSTO_GLOBAL[[#Headers],[Submódulo 2.1]])-2,0)*($G140-$H140)</f>
        <v>426.21439139999995</v>
      </c>
      <c r="AA140" s="21">
        <f>VLOOKUP($A140,tabCustoUnit[],COLUMN(CUSTO_GLOBAL[[#Headers],[13º salário (titular)]])-2,0)*($G140-$H140)</f>
        <v>93.962608333333321</v>
      </c>
      <c r="AB140" s="21">
        <f>VLOOKUP($A140,tabCustoUnit[],COLUMN(CUSTO_GLOBAL[[#Headers],[Férias e Adicional de Férias (titular)]])-2,0)*($G140-$H140)</f>
        <v>125.28347777777776</v>
      </c>
      <c r="AC140" s="21">
        <f>VLOOKUP($A140,tabCustoUnit[],COLUMN(CUSTO_GLOBAL[[#Headers],[Incidência do Submódulo 2.1 sobre 13º Salário, Férias e Adicional de Férias]])-2,0)*($G140-$H140)</f>
        <v>82.875020549999988</v>
      </c>
      <c r="AD140" s="21">
        <f>VLOOKUP($A140,tabCustoUnit[],COLUMN(CUSTO_GLOBAL[[#Headers],[Submódulo 2.2]])-2,0)*($G140-$H140)</f>
        <v>302.12110666111107</v>
      </c>
      <c r="AE140" s="22">
        <f>VLOOKUP($A140,tabCustoUnit[],COLUMN(CUSTO_GLOBAL[[#Headers],[Vale - Transporte (Descontada parcela do empregado)]])-2,0)*($G140-$H140)</f>
        <v>190.69780000000003</v>
      </c>
      <c r="AF140" s="22">
        <f>VLOOKUP($A140,tabCustoUnit[],COLUMN(CUSTO_GLOBAL[[#Headers],[Vale - Alimentação (Descontada parcela do empregado)]])-2,0)*($G140-$H140)</f>
        <v>582</v>
      </c>
      <c r="AG140" s="22">
        <f>VLOOKUP($A140,tabCustoUnit[],COLUMN(CUSTO_GLOBAL[[#Headers],[Cesta Básica]])-2,0)*($G140-$H140)</f>
        <v>0</v>
      </c>
      <c r="AH140" s="22">
        <f>VLOOKUP($A140,tabCustoUnit[],COLUMN(CUSTO_GLOBAL[[#Headers],[PAF]])-2,0)*($G140-$H140)</f>
        <v>51.88</v>
      </c>
      <c r="AI140" s="22">
        <f>VLOOKUP($A140,tabCustoUnit[],COLUMN(CUSTO_GLOBAL[[#Headers],[PQM]])-2,0)*($G140-$H140)</f>
        <v>0</v>
      </c>
      <c r="AJ140" s="22">
        <v>0</v>
      </c>
      <c r="AK140" s="22">
        <f>VLOOKUP($A140,tabCustoUnit[],COLUMN(CUSTO_GLOBAL[[#Headers],[Seguro de Vida]])-2,0)*($G140-$H140)</f>
        <v>3.36</v>
      </c>
      <c r="AL140" s="22">
        <f>VLOOKUP($A140,tabCustoUnit[],COLUMN(CUSTO_GLOBAL[[#Headers],[Despesas de Viagem]])-2,0)*($G140-$H140)</f>
        <v>0</v>
      </c>
      <c r="AM140" s="22">
        <f>VLOOKUP($A140,tabCustoUnit[],COLUMN(CUSTO_GLOBAL[[#Headers],[Submódulo 2.3]])-2,0)*($G140-$H140)</f>
        <v>827.93780000000004</v>
      </c>
      <c r="AN140" s="22">
        <f>VLOOKUP($A140,tabCustoUnit[],COLUMN(CUSTO_GLOBAL[[#Headers],[MÓDULO 2 - Total Encargos e Benefícios mensais e diários]])-2,0)*($G140-$H140)</f>
        <v>1556.2732980611111</v>
      </c>
      <c r="AO140" s="22">
        <f>VLOOKUP($A140,tabCustoUnit[],COLUMN(CUSTO_GLOBAL[[#Headers],[Aviso Prévio Indenizado (API) e Reflexo do Aviso Prévio Indenizado]])-2,0)*($G140-$H140)</f>
        <v>7.9061269683063262</v>
      </c>
      <c r="AP140" s="22">
        <f>VLOOKUP($A140,tabCustoUnit[],COLUMN(CUSTO_GLOBAL[[#Headers],[Incidência do FGTS sobre API e Reflexo do API]])-2,0)*($G140-$H140)</f>
        <v>0.6324901574645061</v>
      </c>
      <c r="AQ140" s="22">
        <f>VLOOKUP($A140,tabCustoUnit[],COLUMN(CUSTO_GLOBAL[[#Headers],[Multa Rescisória do FGTS sobre o Aviso Prévio Indenizado]])-2,0)*($G140-$H140)</f>
        <v>0.25299606298580246</v>
      </c>
      <c r="AR140" s="22">
        <f>VLOOKUP($A140,tabCustoUnit[],COLUMN(CUSTO_GLOBAL[[#Headers],[Aviso Prévio Trabalhado - APT]])-2,0)*($G140-$H140)</f>
        <v>3.94642955</v>
      </c>
      <c r="AS140" s="22">
        <f>VLOOKUP($A140,tabCustoUnit[],COLUMN(CUSTO_GLOBAL[[#Headers],[Incidência dos encargos do submódulo 2.1 sobre Aviso Prévio Trabalhado]])-2,0)*($G140-$H140)</f>
        <v>1.4917503699000003</v>
      </c>
      <c r="AT140" s="22">
        <f>VLOOKUP($A140,tabCustoUnit[],COLUMN(CUSTO_GLOBAL[[#Headers],[Multa Rescisória do FGTS]])-2,0)*($G140-$H140)</f>
        <v>34.478013084444434</v>
      </c>
      <c r="AU140" s="22">
        <f>VLOOKUP($A140,tabCustoUnit[],COLUMN(CUSTO_GLOBAL[[#Headers],[Indenização Adicional (Art. 9º da Lei nº 7.238/84)]])-2,0)*($G140-$H140)</f>
        <v>0.93962608333333331</v>
      </c>
      <c r="AV140" s="22">
        <f>VLOOKUP($A140,tabCustoUnit[],COLUMN(CUSTO_GLOBAL[[#Headers],[MÓDULO 3 – PROVISÃO PARA RESCISÃO]])-2,0)*($G140-$H140)</f>
        <v>49.647432276434401</v>
      </c>
      <c r="AW140" s="22">
        <f>VLOOKUP($A140,tabCustoUnit[],COLUMN(CUSTO_GLOBAL[[#Headers],[Ausência por Doença]])-2,0)*($G140-$H140)</f>
        <v>9.5215443111111089</v>
      </c>
      <c r="AX140" s="22">
        <f>VLOOKUP($A140,tabCustoUnit[],COLUMN(CUSTO_GLOBAL[[#Headers],[Ausências Legais]])-2,0)*($G140-$H140)</f>
        <v>2.2864234694444439</v>
      </c>
      <c r="AY140" s="22">
        <f>VLOOKUP($A140,tabCustoUnit[],COLUMN(CUSTO_GLOBAL[[#Headers],[Licença Paternidade]])-2,0)*($G140-$H140)</f>
        <v>0.19262334708333331</v>
      </c>
      <c r="AZ140" s="22">
        <f>VLOOKUP($A140,tabCustoUnit[],COLUMN(CUSTO_GLOBAL[[#Headers],[Ausência por Acidente de Trabalho]])-2,0)*($G140-$H140)</f>
        <v>0.23490652083333333</v>
      </c>
      <c r="BA140" s="22">
        <f>VLOOKUP($A140,tabCustoUnit[],COLUMN(CUSTO_GLOBAL[[#Headers],[Férias, Adicional de Férias e 13º  com empregada em gozo de Licença Maternidade]])-2,0)*($G140-$H140)</f>
        <v>1.4616405740740739</v>
      </c>
      <c r="BB140" s="22">
        <f>VLOOKUP($A140,tabCustoUnit[],COLUMN(CUSTO_GLOBAL[[#Headers],[Incidência do Submódulo 2.1 sobre Ausências Legais]])-2,0)*($G140-$H140)</f>
        <v>5.1775182481225004</v>
      </c>
      <c r="BC140" s="22">
        <f>VLOOKUP($A140,tabCustoUnit[],COLUMN(CUSTO_GLOBAL[[#Headers],[Submódulo 4.1]])-2,0)*($G140-$H140)</f>
        <v>18.874656470668793</v>
      </c>
      <c r="BD140" s="22">
        <f>VLOOKUP($A140,tabCustoUnit[],COLUMN(CUSTO_GLOBAL[[#Headers],[Intervalo para Repouso ou Alimentação]])-2,0)*($G140-$H140)</f>
        <v>0</v>
      </c>
      <c r="BE140" s="22">
        <f>VLOOKUP($A140,tabCustoUnit[],COLUMN(CUSTO_GLOBAL[[#Headers],[Submódulo 4.2]])-2,0)*($G140-$H140)</f>
        <v>0</v>
      </c>
      <c r="BF140" s="22">
        <f>VLOOKUP($A140,tabCustoUnit[],COLUMN(CUSTO_GLOBAL[[#Headers],[Suspensão Temporária do Contrato de Trabalho]])-2,0)*($G140-$H140)</f>
        <v>0</v>
      </c>
      <c r="BG140" s="22">
        <f>VLOOKUP($A140,tabCustoUnit[],COLUMN(CUSTO_GLOBAL[[#Headers],[Submódulo 4.3]])-2,0)*($G140-$H140)</f>
        <v>0</v>
      </c>
      <c r="BH140" s="22">
        <f>VLOOKUP($A140,tabCustoUnit[],COLUMN(CUSTO_GLOBAL[[#Headers],[MÓDULO 4 – CUSTO DE REPOSIÇÃO DO PROFISSIONAL AUSENTE]])-2,0)*($G140-$H140)</f>
        <v>18.874656470668793</v>
      </c>
      <c r="BI140" s="22">
        <f>VLOOKUP($A140,tabCustoUnit[],COLUMN(CUSTO_GLOBAL[[#Headers],[Uniformes e EPIs]])-2,0)*($G140-$H140)</f>
        <v>100.80916666666666</v>
      </c>
      <c r="BJ140" s="22">
        <f>VLOOKUP($A140,tabCustoUnit[],COLUMN(CUSTO_GLOBAL[[#Headers],[Materiais de Consumo]])-2,0)*($G140-$H140)</f>
        <v>24.216963380852651</v>
      </c>
      <c r="BK140" s="22">
        <f>VLOOKUP($A140,tabCustoUnit[],COLUMN(CUSTO_GLOBAL[[#Headers],[Máquinas e Equipamentos (depreciação)]])-2,0)*($G140-$H140)</f>
        <v>43.997314032835618</v>
      </c>
      <c r="BL140" s="22">
        <f>VLOOKUP($A140,tabCustoUnit[],COLUMN(CUSTO_GLOBAL[[#Headers],[Produtos de Limpeza e Materiais de Higiene Pessoal]])-2,0)*($G140-$H140)</f>
        <v>470.6396814404431</v>
      </c>
      <c r="BM140" s="22">
        <f>VLOOKUP($A140,tabCustoUnit[],COLUMN(CUSTO_GLOBAL[[#Headers],[Outros (especificar)]])-2,0)*($G140-$H140)</f>
        <v>0</v>
      </c>
      <c r="BN140" s="22">
        <f>VLOOKUP($A140,tabCustoUnit[],COLUMN(CUSTO_GLOBAL[[#Headers],[MÓDULO 5 – INSUMOS DIVERSOS]])-2,0)*($G140-$H140)</f>
        <v>639.66312552079808</v>
      </c>
      <c r="BO140" s="22">
        <f>VLOOKUP($A140,tabCustoUnit[],COLUMN(CUSTO_GLOBAL[[#Headers],[TOTAL MÓDULOS 1+2+3+4+5]])-2,0)*($G140-$H140)</f>
        <v>3392.0098123290122</v>
      </c>
      <c r="BP140" s="22">
        <f>VLOOKUP($A140,tabCustoUnit[],COLUMN(CUSTO_GLOBAL[[#Headers],[Custos Indiretos]])-2,0)*($G140-$H140)</f>
        <v>189.64880140242613</v>
      </c>
      <c r="BQ140" s="22">
        <f>VLOOKUP($A140,tabCustoUnit[],COLUMN(CUSTO_GLOBAL[[#Headers],[Lucro]])-2,0)*($G140-$H140)</f>
        <v>159.30499317803796</v>
      </c>
      <c r="BR140" s="26">
        <f>VLOOKUP($A140,tabCustoUnit[],COLUMN(CUSTO_GLOBAL[[#Headers],[COFINS]])-2,0)</f>
        <v>8.6609686609686695E-2</v>
      </c>
      <c r="BS140" s="26">
        <f>VLOOKUP($A140,tabCustoUnit[],COLUMN(CUSTO_GLOBAL[[#Headers],[PIS]])-2,0)</f>
        <v>1.880341880341882E-2</v>
      </c>
      <c r="BT140" s="28">
        <f>VLOOKUP($A140,tabCustoUnit[],COLUMN(CUSTO_GLOBAL[[#Headers],[ISS]])-2,0)</f>
        <v>0.03</v>
      </c>
      <c r="BU140" s="26">
        <f>VLOOKUP($A140,tabCustoUnit[],COLUMN(CUSTO_GLOBAL[[#Headers],[ISS (Conversão Alíquota s/ fatura)]])-2,0)</f>
        <v>3.4188034188034219E-2</v>
      </c>
      <c r="BV140" s="26">
        <f>VLOOKUP($A140,tabCustoUnit[],COLUMN(CUSTO_GLOBAL[[#Headers],[Resumo de Alíquotas (PIS+CONFINS+ISS)]])-2,0)</f>
        <v>0.1225</v>
      </c>
      <c r="BW140" s="138">
        <f>VLOOKUP($A140,tabCustoUnit[],COLUMN(CUSTO_GLOBAL[[#Headers],[PIS + COFINS + ISS (Total Conversão  Alíquota s/ Fatura)]])-2,0)</f>
        <v>0.13960113960113973</v>
      </c>
      <c r="BX140" s="22">
        <f>VLOOKUP($A140,tabCustoUnit[],COLUMN(CUSTO_GLOBAL[[#Headers],[Valor dos Tributos (ISS, PIS, CONFINS)]])-2,0)*($G140-$H140)</f>
        <v>522.24278273095308</v>
      </c>
      <c r="BY140" s="22">
        <f>VLOOKUP($A140,tabCustoUnit[],COLUMN(CUSTO_GLOBAL[[#Headers],[MÓDULO 6 – CUSTOS INDIRETOS, TRIBUTOS E LUCRO]])-2,0)*($G140-$H140)</f>
        <v>871.19657731141717</v>
      </c>
      <c r="BZ140" s="22">
        <f>VLOOKUP($A140,tabCustoUnit[],COLUMN(CUSTO_GLOBAL[[#Headers],[CUSTO TOTAL MENSAL]])-2,0)*($G140-$H140)</f>
        <v>4263.2063896404297</v>
      </c>
      <c r="CA140" s="22">
        <f>CUSTO_GLOBAL[[#This Row],[CUSTO TOTAL MENSAL]]*12</f>
        <v>51158.47667568516</v>
      </c>
      <c r="CB140" s="24">
        <f>VLOOKUP($A140,tabCustoUnit[],COLUMN(CUSTO_GLOBAL[[#Headers],[ANO DA CCT]])-2,0)</f>
        <v>45658</v>
      </c>
      <c r="CC140" s="25" t="str">
        <f>VLOOKUP($A140,tabCustoUnit[],COLUMN(CUSTO_GLOBAL[[#Headers],[Nº DE PEDIDO DA CCT]])-2,0)</f>
        <v>-</v>
      </c>
      <c r="CD140" s="25" t="str">
        <f>VLOOKUP($A140,tabCustoUnit[],COLUMN(CUSTO_GLOBAL[[#Headers],[TERMO ADITIVO  ALTERAÇÃO DA CCT]])-2,0)</f>
        <v>-</v>
      </c>
      <c r="CF140" s="22"/>
      <c r="CG140" s="22"/>
    </row>
    <row r="141" spans="1:85" x14ac:dyDescent="0.25">
      <c r="A141" s="20" t="s">
        <v>1477</v>
      </c>
      <c r="B141" t="s">
        <v>127</v>
      </c>
      <c r="C141" t="s">
        <v>1245</v>
      </c>
      <c r="D141" t="s">
        <v>1045</v>
      </c>
      <c r="E141" s="20" t="s">
        <v>9</v>
      </c>
      <c r="F141" s="20" t="s">
        <v>10</v>
      </c>
      <c r="G141" s="20">
        <v>1</v>
      </c>
      <c r="H141" s="20">
        <v>0</v>
      </c>
      <c r="I141" s="21">
        <f>VLOOKUP($A141,tabCustoUnit[],COLUMN(CUSTO_GLOBAL[[#Headers],[Salário Base]])-2,0)*($G141-$H141)</f>
        <v>1649.12</v>
      </c>
      <c r="J141" s="21">
        <f>VLOOKUP($A141,tabCustoUnit[],COLUMN(CUSTO_GLOBAL[[#Headers],[Adicional Periculosidade]])-2,0)*($G141-$H141)</f>
        <v>0</v>
      </c>
      <c r="K141" s="21">
        <f>VLOOKUP($A141,tabCustoUnit[],COLUMN(CUSTO_GLOBAL[[#Headers],[Adicional Insalubridade]])-2,0)*($G141-$H141)</f>
        <v>0</v>
      </c>
      <c r="L141" s="21">
        <f>VLOOKUP($A141,tabCustoUnit[],COLUMN(CUSTO_GLOBAL[[#Headers],[Adicional Noturno]])-2,0)*($G141-$H141)</f>
        <v>0</v>
      </c>
      <c r="M141" s="21">
        <f>VLOOKUP($A141,tabCustoUnit[],COLUMN(CUSTO_GLOBAL[[#Headers],[Adicional Motorista II (Gratificação)]])-2,0)*($G141-$H141)</f>
        <v>0</v>
      </c>
      <c r="N141" s="21">
        <f>VLOOKUP($A141,tabCustoUnit[],COLUMN(CUSTO_GLOBAL[[#Headers],[Adicional de Sobreaviso]])-2,0)*($G141-$H141)</f>
        <v>0</v>
      </c>
      <c r="O141" s="21">
        <f>VLOOKUP($A141,tabCustoUnit[],COLUMN(CUSTO_GLOBAL[[#Headers],[Horas Extras TI]])-2,0)*($G141-$H141)</f>
        <v>0</v>
      </c>
      <c r="P141" s="21">
        <f>VLOOKUP($A141,tabCustoUnit[],COLUMN(CUSTO_GLOBAL[[#Headers],[Adicional de Acúmulo de função]])-2,0)*($G141-$H141)</f>
        <v>53.971200000000003</v>
      </c>
      <c r="Q141" s="21">
        <f>VLOOKUP($A141,tabCustoUnit[],COLUMN(CUSTO_GLOBAL[[#Headers],[MODULO 1 - REMUNERAÇÃO ]])-2,0)*($G141-$H141)</f>
        <v>1703.0911999999998</v>
      </c>
      <c r="R141" s="21">
        <f>VLOOKUP($A141,tabCustoUnit[],COLUMN(CUSTO_GLOBAL[[#Headers],[INSS]])-2,0)*($G141-$H141)</f>
        <v>340.61824000000001</v>
      </c>
      <c r="S141" s="21">
        <f>VLOOKUP($A141,tabCustoUnit[],COLUMN(CUSTO_GLOBAL[[#Headers],[SESI OU SESC]])-2,0)*($G141-$H141)</f>
        <v>25.546367999999998</v>
      </c>
      <c r="T141" s="21">
        <f>VLOOKUP($A141,tabCustoUnit[],COLUMN(CUSTO_GLOBAL[[#Headers],[SENAI OU SENAC]])-2,0)*($G141-$H141)</f>
        <v>17.030911999999997</v>
      </c>
      <c r="U141" s="21">
        <f>VLOOKUP($A141,tabCustoUnit[],COLUMN(CUSTO_GLOBAL[[#Headers],[INCRA]])-2,0)*($G141-$H141)</f>
        <v>3.4061823999999996</v>
      </c>
      <c r="V141" s="21">
        <f>VLOOKUP($A141,tabCustoUnit[],COLUMN(CUSTO_GLOBAL[[#Headers],[Salário Educação]])-2,0)*($G141-$H141)</f>
        <v>42.577280000000002</v>
      </c>
      <c r="W141" s="21">
        <f>VLOOKUP($A141,tabCustoUnit[],COLUMN(CUSTO_GLOBAL[[#Headers],[FGTS]])-2,0)*($G141-$H141)</f>
        <v>136.24729599999998</v>
      </c>
      <c r="X141" s="21">
        <f>VLOOKUP($A141,tabCustoUnit[],COLUMN(CUSTO_GLOBAL[[#Headers],[RAT Ajustado]])-2,0)*($G141-$H141)</f>
        <v>68.123647999999989</v>
      </c>
      <c r="Y141" s="21">
        <f>VLOOKUP($A141,tabCustoUnit[],COLUMN(CUSTO_GLOBAL[[#Headers],[SEBRAE]])-2,0)*($G141-$H141)</f>
        <v>10.2185472</v>
      </c>
      <c r="Z141" s="21">
        <f>VLOOKUP($A141,tabCustoUnit[],COLUMN(CUSTO_GLOBAL[[#Headers],[Submódulo 2.1]])-2,0)*($G141-$H141)</f>
        <v>643.76847359999999</v>
      </c>
      <c r="AA141" s="21">
        <f>VLOOKUP($A141,tabCustoUnit[],COLUMN(CUSTO_GLOBAL[[#Headers],[13º salário (titular)]])-2,0)*($G141-$H141)</f>
        <v>141.92426666666665</v>
      </c>
      <c r="AB141" s="21">
        <f>VLOOKUP($A141,tabCustoUnit[],COLUMN(CUSTO_GLOBAL[[#Headers],[Férias e Adicional de Férias (titular)]])-2,0)*($G141-$H141)</f>
        <v>189.23235555555553</v>
      </c>
      <c r="AC141" s="21">
        <f>VLOOKUP($A141,tabCustoUnit[],COLUMN(CUSTO_GLOBAL[[#Headers],[Incidência do Submódulo 2.1 sobre 13º Salário, Férias e Adicional de Férias]])-2,0)*($G141-$H141)</f>
        <v>125.17720319999999</v>
      </c>
      <c r="AD141" s="21">
        <f>VLOOKUP($A141,tabCustoUnit[],COLUMN(CUSTO_GLOBAL[[#Headers],[Submódulo 2.2]])-2,0)*($G141-$H141)</f>
        <v>456.33382542222216</v>
      </c>
      <c r="AE141" s="22">
        <f>VLOOKUP($A141,tabCustoUnit[],COLUMN(CUSTO_GLOBAL[[#Headers],[Vale - Transporte (Descontada parcela do empregado)]])-2,0)*($G141-$H141)</f>
        <v>157.05279999999999</v>
      </c>
      <c r="AF141" s="22">
        <f>VLOOKUP($A141,tabCustoUnit[],COLUMN(CUSTO_GLOBAL[[#Headers],[Vale - Alimentação (Descontada parcela do empregado)]])-2,0)*($G141-$H141)</f>
        <v>582</v>
      </c>
      <c r="AG141" s="22">
        <f>VLOOKUP($A141,tabCustoUnit[],COLUMN(CUSTO_GLOBAL[[#Headers],[Cesta Básica]])-2,0)*($G141-$H141)</f>
        <v>0</v>
      </c>
      <c r="AH141" s="22">
        <f>VLOOKUP($A141,tabCustoUnit[],COLUMN(CUSTO_GLOBAL[[#Headers],[PAF]])-2,0)*($G141-$H141)</f>
        <v>77.25</v>
      </c>
      <c r="AI141" s="22">
        <f>VLOOKUP($A141,tabCustoUnit[],COLUMN(CUSTO_GLOBAL[[#Headers],[PQM]])-2,0)*($G141-$H141)</f>
        <v>0</v>
      </c>
      <c r="AJ141" s="22">
        <v>0</v>
      </c>
      <c r="AK141" s="22">
        <f>VLOOKUP($A141,tabCustoUnit[],COLUMN(CUSTO_GLOBAL[[#Headers],[Seguro de Vida]])-2,0)*($G141-$H141)</f>
        <v>3.36</v>
      </c>
      <c r="AL141" s="22">
        <f>VLOOKUP($A141,tabCustoUnit[],COLUMN(CUSTO_GLOBAL[[#Headers],[Despesas de Viagem]])-2,0)*($G141-$H141)</f>
        <v>0</v>
      </c>
      <c r="AM141" s="22">
        <f>VLOOKUP($A141,tabCustoUnit[],COLUMN(CUSTO_GLOBAL[[#Headers],[Submódulo 2.3]])-2,0)*($G141-$H141)</f>
        <v>819.66279999999995</v>
      </c>
      <c r="AN141" s="22">
        <f>VLOOKUP($A141,tabCustoUnit[],COLUMN(CUSTO_GLOBAL[[#Headers],[MÓDULO 2 - Total Encargos e Benefícios mensais e diários]])-2,0)*($G141-$H141)</f>
        <v>1919.7650990222223</v>
      </c>
      <c r="AO141" s="22">
        <f>VLOOKUP($A141,tabCustoUnit[],COLUMN(CUSTO_GLOBAL[[#Headers],[Aviso Prévio Indenizado (API) e Reflexo do Aviso Prévio Indenizado]])-2,0)*($G141-$H141)</f>
        <v>11.941678632098764</v>
      </c>
      <c r="AP141" s="22">
        <f>VLOOKUP($A141,tabCustoUnit[],COLUMN(CUSTO_GLOBAL[[#Headers],[Incidência do FGTS sobre API e Reflexo do API]])-2,0)*($G141-$H141)</f>
        <v>0.9553342905679012</v>
      </c>
      <c r="AQ141" s="22">
        <f>VLOOKUP($A141,tabCustoUnit[],COLUMN(CUSTO_GLOBAL[[#Headers],[Multa Rescisória do FGTS sobre o Aviso Prévio Indenizado]])-2,0)*($G141-$H141)</f>
        <v>0.38213371622716052</v>
      </c>
      <c r="AR141" s="22">
        <f>VLOOKUP($A141,tabCustoUnit[],COLUMN(CUSTO_GLOBAL[[#Headers],[Aviso Prévio Trabalhado - APT]])-2,0)*($G141-$H141)</f>
        <v>5.9608192000000004</v>
      </c>
      <c r="AS141" s="22">
        <f>VLOOKUP($A141,tabCustoUnit[],COLUMN(CUSTO_GLOBAL[[#Headers],[Incidência dos encargos do submódulo 2.1 sobre Aviso Prévio Trabalhado]])-2,0)*($G141-$H141)</f>
        <v>2.2531896576000006</v>
      </c>
      <c r="AT141" s="22">
        <f>VLOOKUP($A141,tabCustoUnit[],COLUMN(CUSTO_GLOBAL[[#Headers],[Multa Rescisória do FGTS]])-2,0)*($G141-$H141)</f>
        <v>52.076744248888879</v>
      </c>
      <c r="AU141" s="22">
        <f>VLOOKUP($A141,tabCustoUnit[],COLUMN(CUSTO_GLOBAL[[#Headers],[Indenização Adicional (Art. 9º da Lei nº 7.238/84)]])-2,0)*($G141-$H141)</f>
        <v>1.4192426666666667</v>
      </c>
      <c r="AV141" s="22">
        <f>VLOOKUP($A141,tabCustoUnit[],COLUMN(CUSTO_GLOBAL[[#Headers],[MÓDULO 3 – PROVISÃO PARA RESCISÃO]])-2,0)*($G141-$H141)</f>
        <v>74.989142412049375</v>
      </c>
      <c r="AW141" s="22">
        <f>VLOOKUP($A141,tabCustoUnit[],COLUMN(CUSTO_GLOBAL[[#Headers],[Ausência por Doença]])-2,0)*($G141-$H141)</f>
        <v>14.38165902222222</v>
      </c>
      <c r="AX141" s="22">
        <f>VLOOKUP($A141,tabCustoUnit[],COLUMN(CUSTO_GLOBAL[[#Headers],[Ausências Legais]])-2,0)*($G141-$H141)</f>
        <v>3.4534904888888884</v>
      </c>
      <c r="AY141" s="22">
        <f>VLOOKUP($A141,tabCustoUnit[],COLUMN(CUSTO_GLOBAL[[#Headers],[Licença Paternidade]])-2,0)*($G141-$H141)</f>
        <v>0.29094474666666664</v>
      </c>
      <c r="AZ141" s="22">
        <f>VLOOKUP($A141,tabCustoUnit[],COLUMN(CUSTO_GLOBAL[[#Headers],[Ausência por Acidente de Trabalho]])-2,0)*($G141-$H141)</f>
        <v>0.35481066666666666</v>
      </c>
      <c r="BA141" s="22">
        <f>VLOOKUP($A141,tabCustoUnit[],COLUMN(CUSTO_GLOBAL[[#Headers],[Férias, Adicional de Férias e 13º  com empregada em gozo de Licença Maternidade]])-2,0)*($G141-$H141)</f>
        <v>2.2077108148148143</v>
      </c>
      <c r="BB141" s="22">
        <f>VLOOKUP($A141,tabCustoUnit[],COLUMN(CUSTO_GLOBAL[[#Headers],[Incidência do Submódulo 2.1 sobre Ausências Legais]])-2,0)*($G141-$H141)</f>
        <v>7.8202967494400006</v>
      </c>
      <c r="BC141" s="22">
        <f>VLOOKUP($A141,tabCustoUnit[],COLUMN(CUSTO_GLOBAL[[#Headers],[Submódulo 4.1]])-2,0)*($G141-$H141)</f>
        <v>28.508912488699256</v>
      </c>
      <c r="BD141" s="22">
        <f>VLOOKUP($A141,tabCustoUnit[],COLUMN(CUSTO_GLOBAL[[#Headers],[Intervalo para Repouso ou Alimentação]])-2,0)*($G141-$H141)</f>
        <v>0</v>
      </c>
      <c r="BE141" s="22">
        <f>VLOOKUP($A141,tabCustoUnit[],COLUMN(CUSTO_GLOBAL[[#Headers],[Submódulo 4.2]])-2,0)*($G141-$H141)</f>
        <v>0</v>
      </c>
      <c r="BF141" s="22">
        <f>VLOOKUP($A141,tabCustoUnit[],COLUMN(CUSTO_GLOBAL[[#Headers],[Suspensão Temporária do Contrato de Trabalho]])-2,0)*($G141-$H141)</f>
        <v>0</v>
      </c>
      <c r="BG141" s="22">
        <f>VLOOKUP($A141,tabCustoUnit[],COLUMN(CUSTO_GLOBAL[[#Headers],[Submódulo 4.3]])-2,0)*($G141-$H141)</f>
        <v>0</v>
      </c>
      <c r="BH141" s="22">
        <f>VLOOKUP($A141,tabCustoUnit[],COLUMN(CUSTO_GLOBAL[[#Headers],[MÓDULO 4 – CUSTO DE REPOSIÇÃO DO PROFISSIONAL AUSENTE]])-2,0)*($G141-$H141)</f>
        <v>28.508912488699256</v>
      </c>
      <c r="BI141" s="22">
        <f>VLOOKUP($A141,tabCustoUnit[],COLUMN(CUSTO_GLOBAL[[#Headers],[Uniformes e EPIs]])-2,0)*($G141-$H141)</f>
        <v>100.80916666666666</v>
      </c>
      <c r="BJ141" s="22">
        <f>VLOOKUP($A141,tabCustoUnit[],COLUMN(CUSTO_GLOBAL[[#Headers],[Materiais de Consumo]])-2,0)*($G141-$H141)</f>
        <v>35.518212958583888</v>
      </c>
      <c r="BK141" s="22">
        <f>VLOOKUP($A141,tabCustoUnit[],COLUMN(CUSTO_GLOBAL[[#Headers],[Máquinas e Equipamentos (depreciação)]])-2,0)*($G141-$H141)</f>
        <v>64.529393914825576</v>
      </c>
      <c r="BL141" s="22">
        <f>VLOOKUP($A141,tabCustoUnit[],COLUMN(CUSTO_GLOBAL[[#Headers],[Produtos de Limpeza e Materiais de Higiene Pessoal]])-2,0)*($G141-$H141)</f>
        <v>690.27153277931654</v>
      </c>
      <c r="BM141" s="22">
        <f>VLOOKUP($A141,tabCustoUnit[],COLUMN(CUSTO_GLOBAL[[#Headers],[Outros (especificar)]])-2,0)*($G141-$H141)</f>
        <v>0</v>
      </c>
      <c r="BN141" s="22">
        <f>VLOOKUP($A141,tabCustoUnit[],COLUMN(CUSTO_GLOBAL[[#Headers],[MÓDULO 5 – INSUMOS DIVERSOS]])-2,0)*($G141-$H141)</f>
        <v>891.12830631939266</v>
      </c>
      <c r="BO141" s="22">
        <f>VLOOKUP($A141,tabCustoUnit[],COLUMN(CUSTO_GLOBAL[[#Headers],[TOTAL MÓDULOS 1+2+3+4+5]])-2,0)*($G141-$H141)</f>
        <v>4617.4826602423636</v>
      </c>
      <c r="BP141" s="22">
        <f>VLOOKUP($A141,tabCustoUnit[],COLUMN(CUSTO_GLOBAL[[#Headers],[Custos Indiretos]])-2,0)*($G141-$H141)</f>
        <v>189.64880140242613</v>
      </c>
      <c r="BQ141" s="22">
        <f>VLOOKUP($A141,tabCustoUnit[],COLUMN(CUSTO_GLOBAL[[#Headers],[Lucro]])-2,0)*($G141-$H141)</f>
        <v>159.30499317803796</v>
      </c>
      <c r="BR141" s="26">
        <f>VLOOKUP($A141,tabCustoUnit[],COLUMN(CUSTO_GLOBAL[[#Headers],[COFINS]])-2,0)</f>
        <v>8.8629737609329504E-2</v>
      </c>
      <c r="BS141" s="26">
        <f>VLOOKUP($A141,tabCustoUnit[],COLUMN(CUSTO_GLOBAL[[#Headers],[PIS]])-2,0)</f>
        <v>1.9241982507288629E-2</v>
      </c>
      <c r="BT141" s="28">
        <f>VLOOKUP($A141,tabCustoUnit[],COLUMN(CUSTO_GLOBAL[[#Headers],[ISS]])-2,0)</f>
        <v>0.05</v>
      </c>
      <c r="BU141" s="26">
        <f>VLOOKUP($A141,tabCustoUnit[],COLUMN(CUSTO_GLOBAL[[#Headers],[ISS (Conversão Alíquota s/ fatura)]])-2,0)</f>
        <v>5.8309037900874633E-2</v>
      </c>
      <c r="BV141" s="26">
        <f>VLOOKUP($A141,tabCustoUnit[],COLUMN(CUSTO_GLOBAL[[#Headers],[Resumo de Alíquotas (PIS+CONFINS+ISS)]])-2,0)</f>
        <v>0.14250000000000002</v>
      </c>
      <c r="BW141" s="138">
        <f>VLOOKUP($A141,tabCustoUnit[],COLUMN(CUSTO_GLOBAL[[#Headers],[PIS + COFINS + ISS (Total Conversão  Alíquota s/ Fatura)]])-2,0)</f>
        <v>0.16618075801749277</v>
      </c>
      <c r="BX141" s="22">
        <f>VLOOKUP($A141,tabCustoUnit[],COLUMN(CUSTO_GLOBAL[[#Headers],[Valor dos Tributos (ISS, PIS, CONFINS)]])-2,0)*($G141-$H141)</f>
        <v>825.32617470816695</v>
      </c>
      <c r="BY141" s="22">
        <f>VLOOKUP($A141,tabCustoUnit[],COLUMN(CUSTO_GLOBAL[[#Headers],[MÓDULO 6 – CUSTOS INDIRETOS, TRIBUTOS E LUCRO]])-2,0)*($G141-$H141)</f>
        <v>1174.279969288631</v>
      </c>
      <c r="BZ141" s="22">
        <f>VLOOKUP($A141,tabCustoUnit[],COLUMN(CUSTO_GLOBAL[[#Headers],[CUSTO TOTAL MENSAL]])-2,0)*($G141-$H141)</f>
        <v>5791.7626295309947</v>
      </c>
      <c r="CA141" s="22">
        <f>CUSTO_GLOBAL[[#This Row],[CUSTO TOTAL MENSAL]]*12</f>
        <v>69501.151554371929</v>
      </c>
      <c r="CB141" s="24">
        <f>VLOOKUP($A141,tabCustoUnit[],COLUMN(CUSTO_GLOBAL[[#Headers],[ANO DA CCT]])-2,0)</f>
        <v>45658</v>
      </c>
      <c r="CC141" s="25" t="str">
        <f>VLOOKUP($A141,tabCustoUnit[],COLUMN(CUSTO_GLOBAL[[#Headers],[Nº DE PEDIDO DA CCT]])-2,0)</f>
        <v>-</v>
      </c>
      <c r="CD141" s="25" t="str">
        <f>VLOOKUP($A141,tabCustoUnit[],COLUMN(CUSTO_GLOBAL[[#Headers],[TERMO ADITIVO  ALTERAÇÃO DA CCT]])-2,0)</f>
        <v>-</v>
      </c>
      <c r="CF141" s="22"/>
      <c r="CG141" s="22"/>
    </row>
    <row r="142" spans="1:85" x14ac:dyDescent="0.25">
      <c r="A142" s="20" t="s">
        <v>1478</v>
      </c>
      <c r="B142" t="s">
        <v>128</v>
      </c>
      <c r="C142" t="s">
        <v>1247</v>
      </c>
      <c r="D142" t="s">
        <v>1023</v>
      </c>
      <c r="E142" s="20" t="s">
        <v>9</v>
      </c>
      <c r="F142" s="20" t="s">
        <v>10</v>
      </c>
      <c r="G142" s="20">
        <v>1</v>
      </c>
      <c r="H142" s="20">
        <v>0</v>
      </c>
      <c r="I142" s="21">
        <f>VLOOKUP($A142,tabCustoUnit[],COLUMN(CUSTO_GLOBAL[[#Headers],[Salário Base]])-2,0)*($G142-$H142)</f>
        <v>544.17999999999995</v>
      </c>
      <c r="J142" s="21">
        <f>VLOOKUP($A142,tabCustoUnit[],COLUMN(CUSTO_GLOBAL[[#Headers],[Adicional Periculosidade]])-2,0)*($G142-$H142)</f>
        <v>0</v>
      </c>
      <c r="K142" s="21">
        <f>VLOOKUP($A142,tabCustoUnit[],COLUMN(CUSTO_GLOBAL[[#Headers],[Adicional Insalubridade]])-2,0)*($G142-$H142)</f>
        <v>0</v>
      </c>
      <c r="L142" s="21">
        <f>VLOOKUP($A142,tabCustoUnit[],COLUMN(CUSTO_GLOBAL[[#Headers],[Adicional Noturno]])-2,0)*($G142-$H142)</f>
        <v>0</v>
      </c>
      <c r="M142" s="21">
        <f>VLOOKUP($A142,tabCustoUnit[],COLUMN(CUSTO_GLOBAL[[#Headers],[Adicional Motorista II (Gratificação)]])-2,0)*($G142-$H142)</f>
        <v>0</v>
      </c>
      <c r="N142" s="21">
        <f>VLOOKUP($A142,tabCustoUnit[],COLUMN(CUSTO_GLOBAL[[#Headers],[Adicional de Sobreaviso]])-2,0)*($G142-$H142)</f>
        <v>0</v>
      </c>
      <c r="O142" s="21">
        <f>VLOOKUP($A142,tabCustoUnit[],COLUMN(CUSTO_GLOBAL[[#Headers],[Horas Extras TI]])-2,0)*($G142-$H142)</f>
        <v>0</v>
      </c>
      <c r="P142" s="21">
        <f>VLOOKUP($A142,tabCustoUnit[],COLUMN(CUSTO_GLOBAL[[#Headers],[Adicional de Acúmulo de função]])-2,0)*($G142-$H142)</f>
        <v>19.590499999999999</v>
      </c>
      <c r="Q142" s="21">
        <f>VLOOKUP($A142,tabCustoUnit[],COLUMN(CUSTO_GLOBAL[[#Headers],[MODULO 1 - REMUNERAÇÃO ]])-2,0)*($G142-$H142)</f>
        <v>563.77049999999997</v>
      </c>
      <c r="R142" s="21">
        <f>VLOOKUP($A142,tabCustoUnit[],COLUMN(CUSTO_GLOBAL[[#Headers],[INSS]])-2,0)*($G142-$H142)</f>
        <v>112.75409999999999</v>
      </c>
      <c r="S142" s="21">
        <f>VLOOKUP($A142,tabCustoUnit[],COLUMN(CUSTO_GLOBAL[[#Headers],[SESI OU SESC]])-2,0)*($G142-$H142)</f>
        <v>8.4565574999999988</v>
      </c>
      <c r="T142" s="21">
        <f>VLOOKUP($A142,tabCustoUnit[],COLUMN(CUSTO_GLOBAL[[#Headers],[SENAI OU SENAC]])-2,0)*($G142-$H142)</f>
        <v>5.6377049999999995</v>
      </c>
      <c r="U142" s="21">
        <f>VLOOKUP($A142,tabCustoUnit[],COLUMN(CUSTO_GLOBAL[[#Headers],[INCRA]])-2,0)*($G142-$H142)</f>
        <v>1.1275409999999999</v>
      </c>
      <c r="V142" s="21">
        <f>VLOOKUP($A142,tabCustoUnit[],COLUMN(CUSTO_GLOBAL[[#Headers],[Salário Educação]])-2,0)*($G142-$H142)</f>
        <v>14.094262499999999</v>
      </c>
      <c r="W142" s="21">
        <f>VLOOKUP($A142,tabCustoUnit[],COLUMN(CUSTO_GLOBAL[[#Headers],[FGTS]])-2,0)*($G142-$H142)</f>
        <v>45.101639999999996</v>
      </c>
      <c r="X142" s="21">
        <f>VLOOKUP($A142,tabCustoUnit[],COLUMN(CUSTO_GLOBAL[[#Headers],[RAT Ajustado]])-2,0)*($G142-$H142)</f>
        <v>22.550819999999998</v>
      </c>
      <c r="Y142" s="21">
        <f>VLOOKUP($A142,tabCustoUnit[],COLUMN(CUSTO_GLOBAL[[#Headers],[SEBRAE]])-2,0)*($G142-$H142)</f>
        <v>3.3826229999999997</v>
      </c>
      <c r="Z142" s="21">
        <f>VLOOKUP($A142,tabCustoUnit[],COLUMN(CUSTO_GLOBAL[[#Headers],[Submódulo 2.1]])-2,0)*($G142-$H142)</f>
        <v>213.10524899999996</v>
      </c>
      <c r="AA142" s="21">
        <f>VLOOKUP($A142,tabCustoUnit[],COLUMN(CUSTO_GLOBAL[[#Headers],[13º salário (titular)]])-2,0)*($G142-$H142)</f>
        <v>46.980874999999997</v>
      </c>
      <c r="AB142" s="21">
        <f>VLOOKUP($A142,tabCustoUnit[],COLUMN(CUSTO_GLOBAL[[#Headers],[Férias e Adicional de Férias (titular)]])-2,0)*($G142-$H142)</f>
        <v>62.641166666666663</v>
      </c>
      <c r="AC142" s="21">
        <f>VLOOKUP($A142,tabCustoUnit[],COLUMN(CUSTO_GLOBAL[[#Headers],[Incidência do Submódulo 2.1 sobre 13º Salário, Férias e Adicional de Férias]])-2,0)*($G142-$H142)</f>
        <v>41.437131749999992</v>
      </c>
      <c r="AD142" s="21">
        <f>VLOOKUP($A142,tabCustoUnit[],COLUMN(CUSTO_GLOBAL[[#Headers],[Submódulo 2.2]])-2,0)*($G142-$H142)</f>
        <v>151.05917341666665</v>
      </c>
      <c r="AE142" s="22">
        <f>VLOOKUP($A142,tabCustoUnit[],COLUMN(CUSTO_GLOBAL[[#Headers],[Vale - Transporte (Descontada parcela do empregado)]])-2,0)*($G142-$H142)</f>
        <v>223.3492</v>
      </c>
      <c r="AF142" s="22">
        <f>VLOOKUP($A142,tabCustoUnit[],COLUMN(CUSTO_GLOBAL[[#Headers],[Vale - Alimentação (Descontada parcela do empregado)]])-2,0)*($G142-$H142)</f>
        <v>582</v>
      </c>
      <c r="AG142" s="22">
        <f>VLOOKUP($A142,tabCustoUnit[],COLUMN(CUSTO_GLOBAL[[#Headers],[Cesta Básica]])-2,0)*($G142-$H142)</f>
        <v>0</v>
      </c>
      <c r="AH142" s="22">
        <f>VLOOKUP($A142,tabCustoUnit[],COLUMN(CUSTO_GLOBAL[[#Headers],[PAF]])-2,0)*($G142-$H142)</f>
        <v>0</v>
      </c>
      <c r="AI142" s="22">
        <f>VLOOKUP($A142,tabCustoUnit[],COLUMN(CUSTO_GLOBAL[[#Headers],[PQM]])-2,0)*($G142-$H142)</f>
        <v>0</v>
      </c>
      <c r="AJ142" s="22">
        <v>0</v>
      </c>
      <c r="AK142" s="22">
        <f>VLOOKUP($A142,tabCustoUnit[],COLUMN(CUSTO_GLOBAL[[#Headers],[Seguro de Vida]])-2,0)*($G142-$H142)</f>
        <v>3.36</v>
      </c>
      <c r="AL142" s="22">
        <f>VLOOKUP($A142,tabCustoUnit[],COLUMN(CUSTO_GLOBAL[[#Headers],[Despesas de Viagem]])-2,0)*($G142-$H142)</f>
        <v>0</v>
      </c>
      <c r="AM142" s="22">
        <f>VLOOKUP($A142,tabCustoUnit[],COLUMN(CUSTO_GLOBAL[[#Headers],[Submódulo 2.3]])-2,0)*($G142-$H142)</f>
        <v>808.70920000000001</v>
      </c>
      <c r="AN142" s="22">
        <f>VLOOKUP($A142,tabCustoUnit[],COLUMN(CUSTO_GLOBAL[[#Headers],[MÓDULO 2 - Total Encargos e Benefícios mensais e diários]])-2,0)*($G142-$H142)</f>
        <v>1172.8736224166666</v>
      </c>
      <c r="AO142" s="22">
        <f>VLOOKUP($A142,tabCustoUnit[],COLUMN(CUSTO_GLOBAL[[#Headers],[Aviso Prévio Indenizado (API) e Reflexo do Aviso Prévio Indenizado]])-2,0)*($G142-$H142)</f>
        <v>3.9530273735532404</v>
      </c>
      <c r="AP142" s="22">
        <f>VLOOKUP($A142,tabCustoUnit[],COLUMN(CUSTO_GLOBAL[[#Headers],[Incidência do FGTS sobre API e Reflexo do API]])-2,0)*($G142-$H142)</f>
        <v>0.31624218988425928</v>
      </c>
      <c r="AQ142" s="22">
        <f>VLOOKUP($A142,tabCustoUnit[],COLUMN(CUSTO_GLOBAL[[#Headers],[Multa Rescisória do FGTS sobre o Aviso Prévio Indenizado]])-2,0)*($G142-$H142)</f>
        <v>0.12649687595370371</v>
      </c>
      <c r="AR142" s="22">
        <f>VLOOKUP($A142,tabCustoUnit[],COLUMN(CUSTO_GLOBAL[[#Headers],[Aviso Prévio Trabalhado - APT]])-2,0)*($G142-$H142)</f>
        <v>1.9731967500000003</v>
      </c>
      <c r="AS142" s="22">
        <f>VLOOKUP($A142,tabCustoUnit[],COLUMN(CUSTO_GLOBAL[[#Headers],[Incidência dos encargos do submódulo 2.1 sobre Aviso Prévio Trabalhado]])-2,0)*($G142-$H142)</f>
        <v>0.74586837150000018</v>
      </c>
      <c r="AT142" s="22">
        <f>VLOOKUP($A142,tabCustoUnit[],COLUMN(CUSTO_GLOBAL[[#Headers],[Multa Rescisória do FGTS]])-2,0)*($G142-$H142)</f>
        <v>17.238849066666663</v>
      </c>
      <c r="AU142" s="22">
        <f>VLOOKUP($A142,tabCustoUnit[],COLUMN(CUSTO_GLOBAL[[#Headers],[Indenização Adicional (Art. 9º da Lei nº 7.238/84)]])-2,0)*($G142-$H142)</f>
        <v>0.46980875</v>
      </c>
      <c r="AV142" s="22">
        <f>VLOOKUP($A142,tabCustoUnit[],COLUMN(CUSTO_GLOBAL[[#Headers],[MÓDULO 3 – PROVISÃO PARA RESCISÃO]])-2,0)*($G142-$H142)</f>
        <v>24.823489377557866</v>
      </c>
      <c r="AW142" s="22">
        <f>VLOOKUP($A142,tabCustoUnit[],COLUMN(CUSTO_GLOBAL[[#Headers],[Ausência por Doença]])-2,0)*($G142-$H142)</f>
        <v>4.7607286666666662</v>
      </c>
      <c r="AX142" s="22">
        <f>VLOOKUP($A142,tabCustoUnit[],COLUMN(CUSTO_GLOBAL[[#Headers],[Ausências Legais]])-2,0)*($G142-$H142)</f>
        <v>1.1432012916666665</v>
      </c>
      <c r="AY142" s="22">
        <f>VLOOKUP($A142,tabCustoUnit[],COLUMN(CUSTO_GLOBAL[[#Headers],[Licença Paternidade]])-2,0)*($G142-$H142)</f>
        <v>9.6310793749999998E-2</v>
      </c>
      <c r="AZ142" s="22">
        <f>VLOOKUP($A142,tabCustoUnit[],COLUMN(CUSTO_GLOBAL[[#Headers],[Ausência por Acidente de Trabalho]])-2,0)*($G142-$H142)</f>
        <v>0.1174521875</v>
      </c>
      <c r="BA142" s="22">
        <f>VLOOKUP($A142,tabCustoUnit[],COLUMN(CUSTO_GLOBAL[[#Headers],[Férias, Adicional de Férias e 13º  com empregada em gozo de Licença Maternidade]])-2,0)*($G142-$H142)</f>
        <v>0.73081361111111109</v>
      </c>
      <c r="BB142" s="22">
        <f>VLOOKUP($A142,tabCustoUnit[],COLUMN(CUSTO_GLOBAL[[#Headers],[Incidência do Submódulo 2.1 sobre Ausências Legais]])-2,0)*($G142-$H142)</f>
        <v>2.5887354761625003</v>
      </c>
      <c r="BC142" s="22">
        <f>VLOOKUP($A142,tabCustoUnit[],COLUMN(CUSTO_GLOBAL[[#Headers],[Submódulo 4.1]])-2,0)*($G142-$H142)</f>
        <v>9.4372420268569428</v>
      </c>
      <c r="BD142" s="22">
        <f>VLOOKUP($A142,tabCustoUnit[],COLUMN(CUSTO_GLOBAL[[#Headers],[Intervalo para Repouso ou Alimentação]])-2,0)*($G142-$H142)</f>
        <v>0</v>
      </c>
      <c r="BE142" s="22">
        <f>VLOOKUP($A142,tabCustoUnit[],COLUMN(CUSTO_GLOBAL[[#Headers],[Submódulo 4.2]])-2,0)*($G142-$H142)</f>
        <v>0</v>
      </c>
      <c r="BF142" s="22">
        <f>VLOOKUP($A142,tabCustoUnit[],COLUMN(CUSTO_GLOBAL[[#Headers],[Suspensão Temporária do Contrato de Trabalho]])-2,0)*($G142-$H142)</f>
        <v>0</v>
      </c>
      <c r="BG142" s="22">
        <f>VLOOKUP($A142,tabCustoUnit[],COLUMN(CUSTO_GLOBAL[[#Headers],[Submódulo 4.3]])-2,0)*($G142-$H142)</f>
        <v>0</v>
      </c>
      <c r="BH142" s="22">
        <f>VLOOKUP($A142,tabCustoUnit[],COLUMN(CUSTO_GLOBAL[[#Headers],[MÓDULO 4 – CUSTO DE REPOSIÇÃO DO PROFISSIONAL AUSENTE]])-2,0)*($G142-$H142)</f>
        <v>9.4372420268569428</v>
      </c>
      <c r="BI142" s="22">
        <f>VLOOKUP($A142,tabCustoUnit[],COLUMN(CUSTO_GLOBAL[[#Headers],[Uniformes e EPIs]])-2,0)*($G142-$H142)</f>
        <v>62.806666666666665</v>
      </c>
      <c r="BJ142" s="22">
        <f>VLOOKUP($A142,tabCustoUnit[],COLUMN(CUSTO_GLOBAL[[#Headers],[Materiais de Consumo]])-2,0)*($G142-$H142)</f>
        <v>12.108481690426325</v>
      </c>
      <c r="BK142" s="22">
        <f>VLOOKUP($A142,tabCustoUnit[],COLUMN(CUSTO_GLOBAL[[#Headers],[Máquinas e Equipamentos (depreciação)]])-2,0)*($G142-$H142)</f>
        <v>21.998657016417809</v>
      </c>
      <c r="BL142" s="22">
        <f>VLOOKUP($A142,tabCustoUnit[],COLUMN(CUSTO_GLOBAL[[#Headers],[Produtos de Limpeza e Materiais de Higiene Pessoal]])-2,0)*($G142-$H142)</f>
        <v>235.31984072022155</v>
      </c>
      <c r="BM142" s="22">
        <f>VLOOKUP($A142,tabCustoUnit[],COLUMN(CUSTO_GLOBAL[[#Headers],[Outros (especificar)]])-2,0)*($G142-$H142)</f>
        <v>0</v>
      </c>
      <c r="BN142" s="22">
        <f>VLOOKUP($A142,tabCustoUnit[],COLUMN(CUSTO_GLOBAL[[#Headers],[MÓDULO 5 – INSUMOS DIVERSOS]])-2,0)*($G142-$H142)</f>
        <v>332.23364609373232</v>
      </c>
      <c r="BO142" s="22">
        <f>VLOOKUP($A142,tabCustoUnit[],COLUMN(CUSTO_GLOBAL[[#Headers],[TOTAL MÓDULOS 1+2+3+4+5]])-2,0)*($G142-$H142)</f>
        <v>2103.1384999148136</v>
      </c>
      <c r="BP142" s="22">
        <f>VLOOKUP($A142,tabCustoUnit[],COLUMN(CUSTO_GLOBAL[[#Headers],[Custos Indiretos]])-2,0)*($G142-$H142)</f>
        <v>189.64880140242613</v>
      </c>
      <c r="BQ142" s="22">
        <f>VLOOKUP($A142,tabCustoUnit[],COLUMN(CUSTO_GLOBAL[[#Headers],[Lucro]])-2,0)*($G142-$H142)</f>
        <v>159.30499317803796</v>
      </c>
      <c r="BR142" s="26">
        <f>VLOOKUP($A142,tabCustoUnit[],COLUMN(CUSTO_GLOBAL[[#Headers],[COFINS]])-2,0)</f>
        <v>8.6609686609686695E-2</v>
      </c>
      <c r="BS142" s="26">
        <f>VLOOKUP($A142,tabCustoUnit[],COLUMN(CUSTO_GLOBAL[[#Headers],[PIS]])-2,0)</f>
        <v>1.880341880341882E-2</v>
      </c>
      <c r="BT142" s="28">
        <f>VLOOKUP($A142,tabCustoUnit[],COLUMN(CUSTO_GLOBAL[[#Headers],[ISS]])-2,0)</f>
        <v>0.03</v>
      </c>
      <c r="BU142" s="26">
        <f>VLOOKUP($A142,tabCustoUnit[],COLUMN(CUSTO_GLOBAL[[#Headers],[ISS (Conversão Alíquota s/ fatura)]])-2,0)</f>
        <v>3.4188034188034219E-2</v>
      </c>
      <c r="BV142" s="26">
        <f>VLOOKUP($A142,tabCustoUnit[],COLUMN(CUSTO_GLOBAL[[#Headers],[Resumo de Alíquotas (PIS+CONFINS+ISS)]])-2,0)</f>
        <v>0.1225</v>
      </c>
      <c r="BW142" s="138">
        <f>VLOOKUP($A142,tabCustoUnit[],COLUMN(CUSTO_GLOBAL[[#Headers],[PIS + COFINS + ISS (Total Conversão  Alíquota s/ Fatura)]])-2,0)</f>
        <v>0.13960113960113973</v>
      </c>
      <c r="BX142" s="22">
        <f>VLOOKUP($A142,tabCustoUnit[],COLUMN(CUSTO_GLOBAL[[#Headers],[Valor dos Tributos (ISS, PIS, CONFINS)]])-2,0)*($G142-$H142)</f>
        <v>342.31487871871428</v>
      </c>
      <c r="BY142" s="22">
        <f>VLOOKUP($A142,tabCustoUnit[],COLUMN(CUSTO_GLOBAL[[#Headers],[MÓDULO 6 – CUSTOS INDIRETOS, TRIBUTOS E LUCRO]])-2,0)*($G142-$H142)</f>
        <v>691.26867329917832</v>
      </c>
      <c r="BZ142" s="22">
        <f>VLOOKUP($A142,tabCustoUnit[],COLUMN(CUSTO_GLOBAL[[#Headers],[CUSTO TOTAL MENSAL]])-2,0)*($G142-$H142)</f>
        <v>2794.4071732139919</v>
      </c>
      <c r="CA142" s="22">
        <f>CUSTO_GLOBAL[[#This Row],[CUSTO TOTAL MENSAL]]*12</f>
        <v>33532.886078567899</v>
      </c>
      <c r="CB142" s="24">
        <f>VLOOKUP($A142,tabCustoUnit[],COLUMN(CUSTO_GLOBAL[[#Headers],[ANO DA CCT]])-2,0)</f>
        <v>45658</v>
      </c>
      <c r="CC142" s="25" t="str">
        <f>VLOOKUP($A142,tabCustoUnit[],COLUMN(CUSTO_GLOBAL[[#Headers],[Nº DE PEDIDO DA CCT]])-2,0)</f>
        <v>-</v>
      </c>
      <c r="CD142" s="25" t="str">
        <f>VLOOKUP($A142,tabCustoUnit[],COLUMN(CUSTO_GLOBAL[[#Headers],[TERMO ADITIVO  ALTERAÇÃO DA CCT]])-2,0)</f>
        <v>-</v>
      </c>
      <c r="CF142" s="22"/>
      <c r="CG142" s="22"/>
    </row>
    <row r="143" spans="1:85" x14ac:dyDescent="0.25">
      <c r="A143" s="20" t="s">
        <v>1479</v>
      </c>
      <c r="B143" t="s">
        <v>129</v>
      </c>
      <c r="C143" t="s">
        <v>1244</v>
      </c>
      <c r="D143" t="s">
        <v>1023</v>
      </c>
      <c r="E143" s="20" t="s">
        <v>9</v>
      </c>
      <c r="F143" s="20" t="s">
        <v>10</v>
      </c>
      <c r="G143" s="20">
        <v>1</v>
      </c>
      <c r="H143" s="20">
        <v>0</v>
      </c>
      <c r="I143" s="21">
        <f>VLOOKUP($A143,tabCustoUnit[],COLUMN(CUSTO_GLOBAL[[#Headers],[Salário Base]])-2,0)*($G143-$H143)</f>
        <v>798.14</v>
      </c>
      <c r="J143" s="21">
        <f>VLOOKUP($A143,tabCustoUnit[],COLUMN(CUSTO_GLOBAL[[#Headers],[Adicional Periculosidade]])-2,0)*($G143-$H143)</f>
        <v>0</v>
      </c>
      <c r="K143" s="21">
        <f>VLOOKUP($A143,tabCustoUnit[],COLUMN(CUSTO_GLOBAL[[#Headers],[Adicional Insalubridade]])-2,0)*($G143-$H143)</f>
        <v>0</v>
      </c>
      <c r="L143" s="21">
        <f>VLOOKUP($A143,tabCustoUnit[],COLUMN(CUSTO_GLOBAL[[#Headers],[Adicional Noturno]])-2,0)*($G143-$H143)</f>
        <v>0</v>
      </c>
      <c r="M143" s="21">
        <f>VLOOKUP($A143,tabCustoUnit[],COLUMN(CUSTO_GLOBAL[[#Headers],[Adicional Motorista II (Gratificação)]])-2,0)*($G143-$H143)</f>
        <v>0</v>
      </c>
      <c r="N143" s="21">
        <f>VLOOKUP($A143,tabCustoUnit[],COLUMN(CUSTO_GLOBAL[[#Headers],[Adicional de Sobreaviso]])-2,0)*($G143-$H143)</f>
        <v>0</v>
      </c>
      <c r="O143" s="21">
        <f>VLOOKUP($A143,tabCustoUnit[],COLUMN(CUSTO_GLOBAL[[#Headers],[Horas Extras TI]])-2,0)*($G143-$H143)</f>
        <v>0</v>
      </c>
      <c r="P143" s="21">
        <f>VLOOKUP($A143,tabCustoUnit[],COLUMN(CUSTO_GLOBAL[[#Headers],[Adicional de Acúmulo de função]])-2,0)*($G143-$H143)</f>
        <v>26.120899999999999</v>
      </c>
      <c r="Q143" s="21">
        <f>VLOOKUP($A143,tabCustoUnit[],COLUMN(CUSTO_GLOBAL[[#Headers],[MODULO 1 - REMUNERAÇÃO ]])-2,0)*($G143-$H143)</f>
        <v>824.26089999999999</v>
      </c>
      <c r="R143" s="21">
        <f>VLOOKUP($A143,tabCustoUnit[],COLUMN(CUSTO_GLOBAL[[#Headers],[INSS]])-2,0)*($G143-$H143)</f>
        <v>164.85218</v>
      </c>
      <c r="S143" s="21">
        <f>VLOOKUP($A143,tabCustoUnit[],COLUMN(CUSTO_GLOBAL[[#Headers],[SESI OU SESC]])-2,0)*($G143-$H143)</f>
        <v>12.363913499999999</v>
      </c>
      <c r="T143" s="21">
        <f>VLOOKUP($A143,tabCustoUnit[],COLUMN(CUSTO_GLOBAL[[#Headers],[SENAI OU SENAC]])-2,0)*($G143-$H143)</f>
        <v>8.2426089999999999</v>
      </c>
      <c r="U143" s="21">
        <f>VLOOKUP($A143,tabCustoUnit[],COLUMN(CUSTO_GLOBAL[[#Headers],[INCRA]])-2,0)*($G143-$H143)</f>
        <v>1.6485217999999999</v>
      </c>
      <c r="V143" s="21">
        <f>VLOOKUP($A143,tabCustoUnit[],COLUMN(CUSTO_GLOBAL[[#Headers],[Salário Educação]])-2,0)*($G143-$H143)</f>
        <v>20.606522500000001</v>
      </c>
      <c r="W143" s="21">
        <f>VLOOKUP($A143,tabCustoUnit[],COLUMN(CUSTO_GLOBAL[[#Headers],[FGTS]])-2,0)*($G143-$H143)</f>
        <v>65.940871999999999</v>
      </c>
      <c r="X143" s="21">
        <f>VLOOKUP($A143,tabCustoUnit[],COLUMN(CUSTO_GLOBAL[[#Headers],[RAT Ajustado]])-2,0)*($G143-$H143)</f>
        <v>32.970435999999999</v>
      </c>
      <c r="Y143" s="21">
        <f>VLOOKUP($A143,tabCustoUnit[],COLUMN(CUSTO_GLOBAL[[#Headers],[SEBRAE]])-2,0)*($G143-$H143)</f>
        <v>4.9455654000000004</v>
      </c>
      <c r="Z143" s="21">
        <f>VLOOKUP($A143,tabCustoUnit[],COLUMN(CUSTO_GLOBAL[[#Headers],[Submódulo 2.1]])-2,0)*($G143-$H143)</f>
        <v>311.57062020000001</v>
      </c>
      <c r="AA143" s="21">
        <f>VLOOKUP($A143,tabCustoUnit[],COLUMN(CUSTO_GLOBAL[[#Headers],[13º salário (titular)]])-2,0)*($G143-$H143)</f>
        <v>68.688408333333328</v>
      </c>
      <c r="AB143" s="21">
        <f>VLOOKUP($A143,tabCustoUnit[],COLUMN(CUSTO_GLOBAL[[#Headers],[Férias e Adicional de Férias (titular)]])-2,0)*($G143-$H143)</f>
        <v>91.584544444444433</v>
      </c>
      <c r="AC143" s="21">
        <f>VLOOKUP($A143,tabCustoUnit[],COLUMN(CUSTO_GLOBAL[[#Headers],[Incidência do Submódulo 2.1 sobre 13º Salário, Férias e Adicional de Férias]])-2,0)*($G143-$H143)</f>
        <v>60.583176149999993</v>
      </c>
      <c r="AD143" s="21">
        <f>VLOOKUP($A143,tabCustoUnit[],COLUMN(CUSTO_GLOBAL[[#Headers],[Submódulo 2.2]])-2,0)*($G143-$H143)</f>
        <v>220.85612892777775</v>
      </c>
      <c r="AE143" s="22">
        <f>VLOOKUP($A143,tabCustoUnit[],COLUMN(CUSTO_GLOBAL[[#Headers],[Vale - Transporte (Descontada parcela do empregado)]])-2,0)*($G143-$H143)</f>
        <v>208.11160000000001</v>
      </c>
      <c r="AF143" s="22">
        <f>VLOOKUP($A143,tabCustoUnit[],COLUMN(CUSTO_GLOBAL[[#Headers],[Vale - Alimentação (Descontada parcela do empregado)]])-2,0)*($G143-$H143)</f>
        <v>582</v>
      </c>
      <c r="AG143" s="22">
        <f>VLOOKUP($A143,tabCustoUnit[],COLUMN(CUSTO_GLOBAL[[#Headers],[Cesta Básica]])-2,0)*($G143-$H143)</f>
        <v>0</v>
      </c>
      <c r="AH143" s="22">
        <f>VLOOKUP($A143,tabCustoUnit[],COLUMN(CUSTO_GLOBAL[[#Headers],[PAF]])-2,0)*($G143-$H143)</f>
        <v>53.27</v>
      </c>
      <c r="AI143" s="22">
        <f>VLOOKUP($A143,tabCustoUnit[],COLUMN(CUSTO_GLOBAL[[#Headers],[PQM]])-2,0)*($G143-$H143)</f>
        <v>0</v>
      </c>
      <c r="AJ143" s="22">
        <v>0</v>
      </c>
      <c r="AK143" s="22">
        <f>VLOOKUP($A143,tabCustoUnit[],COLUMN(CUSTO_GLOBAL[[#Headers],[Seguro de Vida]])-2,0)*($G143-$H143)</f>
        <v>3.36</v>
      </c>
      <c r="AL143" s="22">
        <f>VLOOKUP($A143,tabCustoUnit[],COLUMN(CUSTO_GLOBAL[[#Headers],[Despesas de Viagem]])-2,0)*($G143-$H143)</f>
        <v>0</v>
      </c>
      <c r="AM143" s="22">
        <f>VLOOKUP($A143,tabCustoUnit[],COLUMN(CUSTO_GLOBAL[[#Headers],[Submódulo 2.3]])-2,0)*($G143-$H143)</f>
        <v>846.74159999999995</v>
      </c>
      <c r="AN143" s="22">
        <f>VLOOKUP($A143,tabCustoUnit[],COLUMN(CUSTO_GLOBAL[[#Headers],[MÓDULO 2 - Total Encargos e Benefícios mensais e diários]])-2,0)*($G143-$H143)</f>
        <v>1379.1683491277777</v>
      </c>
      <c r="AO143" s="22">
        <f>VLOOKUP($A143,tabCustoUnit[],COLUMN(CUSTO_GLOBAL[[#Headers],[Aviso Prévio Indenizado (API) e Reflexo do Aviso Prévio Indenizado]])-2,0)*($G143-$H143)</f>
        <v>5.7795253576581791</v>
      </c>
      <c r="AP143" s="22">
        <f>VLOOKUP($A143,tabCustoUnit[],COLUMN(CUSTO_GLOBAL[[#Headers],[Incidência do FGTS sobre API e Reflexo do API]])-2,0)*($G143-$H143)</f>
        <v>0.46236202861265435</v>
      </c>
      <c r="AQ143" s="22">
        <f>VLOOKUP($A143,tabCustoUnit[],COLUMN(CUSTO_GLOBAL[[#Headers],[Multa Rescisória do FGTS sobre o Aviso Prévio Indenizado]])-2,0)*($G143-$H143)</f>
        <v>0.18494481144506175</v>
      </c>
      <c r="AR143" s="22">
        <f>VLOOKUP($A143,tabCustoUnit[],COLUMN(CUSTO_GLOBAL[[#Headers],[Aviso Prévio Trabalhado - APT]])-2,0)*($G143-$H143)</f>
        <v>2.8849131500000005</v>
      </c>
      <c r="AS143" s="22">
        <f>VLOOKUP($A143,tabCustoUnit[],COLUMN(CUSTO_GLOBAL[[#Headers],[Incidência dos encargos do submódulo 2.1 sobre Aviso Prévio Trabalhado]])-2,0)*($G143-$H143)</f>
        <v>1.0904971707000004</v>
      </c>
      <c r="AT143" s="22">
        <f>VLOOKUP($A143,tabCustoUnit[],COLUMN(CUSTO_GLOBAL[[#Headers],[Multa Rescisória do FGTS]])-2,0)*($G143-$H143)</f>
        <v>25.204066631111107</v>
      </c>
      <c r="AU143" s="22">
        <f>VLOOKUP($A143,tabCustoUnit[],COLUMN(CUSTO_GLOBAL[[#Headers],[Indenização Adicional (Art. 9º da Lei nº 7.238/84)]])-2,0)*($G143-$H143)</f>
        <v>0.6868840833333334</v>
      </c>
      <c r="AV143" s="22">
        <f>VLOOKUP($A143,tabCustoUnit[],COLUMN(CUSTO_GLOBAL[[#Headers],[MÓDULO 3 – PROVISÃO PARA RESCISÃO]])-2,0)*($G143-$H143)</f>
        <v>36.293193232860339</v>
      </c>
      <c r="AW143" s="22">
        <f>VLOOKUP($A143,tabCustoUnit[],COLUMN(CUSTO_GLOBAL[[#Headers],[Ausência por Doença]])-2,0)*($G143-$H143)</f>
        <v>6.9604253777777769</v>
      </c>
      <c r="AX143" s="22">
        <f>VLOOKUP($A143,tabCustoUnit[],COLUMN(CUSTO_GLOBAL[[#Headers],[Ausências Legais]])-2,0)*($G143-$H143)</f>
        <v>1.671417936111111</v>
      </c>
      <c r="AY143" s="22">
        <f>VLOOKUP($A143,tabCustoUnit[],COLUMN(CUSTO_GLOBAL[[#Headers],[Licença Paternidade]])-2,0)*($G143-$H143)</f>
        <v>0.14081123708333332</v>
      </c>
      <c r="AZ143" s="22">
        <f>VLOOKUP($A143,tabCustoUnit[],COLUMN(CUSTO_GLOBAL[[#Headers],[Ausência por Acidente de Trabalho]])-2,0)*($G143-$H143)</f>
        <v>0.17172102083333335</v>
      </c>
      <c r="BA143" s="22">
        <f>VLOOKUP($A143,tabCustoUnit[],COLUMN(CUSTO_GLOBAL[[#Headers],[Férias, Adicional de Férias e 13º  com empregada em gozo de Licença Maternidade]])-2,0)*($G143-$H143)</f>
        <v>1.0684863518518517</v>
      </c>
      <c r="BB143" s="22">
        <f>VLOOKUP($A143,tabCustoUnit[],COLUMN(CUSTO_GLOBAL[[#Headers],[Incidência do Submódulo 2.1 sobre Ausências Legais]])-2,0)*($G143-$H143)</f>
        <v>3.7848618071425006</v>
      </c>
      <c r="BC143" s="22">
        <f>VLOOKUP($A143,tabCustoUnit[],COLUMN(CUSTO_GLOBAL[[#Headers],[Submódulo 4.1]])-2,0)*($G143-$H143)</f>
        <v>13.797723730799909</v>
      </c>
      <c r="BD143" s="22">
        <f>VLOOKUP($A143,tabCustoUnit[],COLUMN(CUSTO_GLOBAL[[#Headers],[Intervalo para Repouso ou Alimentação]])-2,0)*($G143-$H143)</f>
        <v>0</v>
      </c>
      <c r="BE143" s="22">
        <f>VLOOKUP($A143,tabCustoUnit[],COLUMN(CUSTO_GLOBAL[[#Headers],[Submódulo 4.2]])-2,0)*($G143-$H143)</f>
        <v>0</v>
      </c>
      <c r="BF143" s="22">
        <f>VLOOKUP($A143,tabCustoUnit[],COLUMN(CUSTO_GLOBAL[[#Headers],[Suspensão Temporária do Contrato de Trabalho]])-2,0)*($G143-$H143)</f>
        <v>0</v>
      </c>
      <c r="BG143" s="22">
        <f>VLOOKUP($A143,tabCustoUnit[],COLUMN(CUSTO_GLOBAL[[#Headers],[Submódulo 4.3]])-2,0)*($G143-$H143)</f>
        <v>0</v>
      </c>
      <c r="BH143" s="22">
        <f>VLOOKUP($A143,tabCustoUnit[],COLUMN(CUSTO_GLOBAL[[#Headers],[MÓDULO 4 – CUSTO DE REPOSIÇÃO DO PROFISSIONAL AUSENTE]])-2,0)*($G143-$H143)</f>
        <v>13.797723730799909</v>
      </c>
      <c r="BI143" s="22">
        <f>VLOOKUP($A143,tabCustoUnit[],COLUMN(CUSTO_GLOBAL[[#Headers],[Uniformes e EPIs]])-2,0)*($G143-$H143)</f>
        <v>62.806666666666665</v>
      </c>
      <c r="BJ143" s="22">
        <f>VLOOKUP($A143,tabCustoUnit[],COLUMN(CUSTO_GLOBAL[[#Headers],[Materiais de Consumo]])-2,0)*($G143-$H143)</f>
        <v>17.759106479291944</v>
      </c>
      <c r="BK143" s="22">
        <f>VLOOKUP($A143,tabCustoUnit[],COLUMN(CUSTO_GLOBAL[[#Headers],[Máquinas e Equipamentos (depreciação)]])-2,0)*($G143-$H143)</f>
        <v>32.264696957412788</v>
      </c>
      <c r="BL143" s="22">
        <f>VLOOKUP($A143,tabCustoUnit[],COLUMN(CUSTO_GLOBAL[[#Headers],[Produtos de Limpeza e Materiais de Higiene Pessoal]])-2,0)*($G143-$H143)</f>
        <v>345.13576638965827</v>
      </c>
      <c r="BM143" s="22">
        <f>VLOOKUP($A143,tabCustoUnit[],COLUMN(CUSTO_GLOBAL[[#Headers],[Outros (especificar)]])-2,0)*($G143-$H143)</f>
        <v>0</v>
      </c>
      <c r="BN143" s="22">
        <f>VLOOKUP($A143,tabCustoUnit[],COLUMN(CUSTO_GLOBAL[[#Headers],[MÓDULO 5 – INSUMOS DIVERSOS]])-2,0)*($G143-$H143)</f>
        <v>457.96623649302967</v>
      </c>
      <c r="BO143" s="22">
        <f>VLOOKUP($A143,tabCustoUnit[],COLUMN(CUSTO_GLOBAL[[#Headers],[TOTAL MÓDULOS 1+2+3+4+5]])-2,0)*($G143-$H143)</f>
        <v>2711.4864025844672</v>
      </c>
      <c r="BP143" s="22">
        <f>VLOOKUP($A143,tabCustoUnit[],COLUMN(CUSTO_GLOBAL[[#Headers],[Custos Indiretos]])-2,0)*($G143-$H143)</f>
        <v>189.64880140242613</v>
      </c>
      <c r="BQ143" s="22">
        <f>VLOOKUP($A143,tabCustoUnit[],COLUMN(CUSTO_GLOBAL[[#Headers],[Lucro]])-2,0)*($G143-$H143)</f>
        <v>159.30499317803796</v>
      </c>
      <c r="BR143" s="26">
        <f>VLOOKUP($A143,tabCustoUnit[],COLUMN(CUSTO_GLOBAL[[#Headers],[COFINS]])-2,0)</f>
        <v>8.6609686609686695E-2</v>
      </c>
      <c r="BS143" s="26">
        <f>VLOOKUP($A143,tabCustoUnit[],COLUMN(CUSTO_GLOBAL[[#Headers],[PIS]])-2,0)</f>
        <v>1.880341880341882E-2</v>
      </c>
      <c r="BT143" s="28">
        <f>VLOOKUP($A143,tabCustoUnit[],COLUMN(CUSTO_GLOBAL[[#Headers],[ISS]])-2,0)</f>
        <v>0.03</v>
      </c>
      <c r="BU143" s="26">
        <f>VLOOKUP($A143,tabCustoUnit[],COLUMN(CUSTO_GLOBAL[[#Headers],[ISS (Conversão Alíquota s/ fatura)]])-2,0)</f>
        <v>3.4188034188034219E-2</v>
      </c>
      <c r="BV143" s="26">
        <f>VLOOKUP($A143,tabCustoUnit[],COLUMN(CUSTO_GLOBAL[[#Headers],[Resumo de Alíquotas (PIS+CONFINS+ISS)]])-2,0)</f>
        <v>0.1225</v>
      </c>
      <c r="BW143" s="138">
        <f>VLOOKUP($A143,tabCustoUnit[],COLUMN(CUSTO_GLOBAL[[#Headers],[PIS + COFINS + ISS (Total Conversão  Alíquota s/ Fatura)]])-2,0)</f>
        <v>0.13960113960113973</v>
      </c>
      <c r="BX143" s="22">
        <f>VLOOKUP($A143,tabCustoUnit[],COLUMN(CUSTO_GLOBAL[[#Headers],[Valor dos Tributos (ISS, PIS, CONFINS)]])-2,0)*($G143-$H143)</f>
        <v>427.2409392053612</v>
      </c>
      <c r="BY143" s="22">
        <f>VLOOKUP($A143,tabCustoUnit[],COLUMN(CUSTO_GLOBAL[[#Headers],[MÓDULO 6 – CUSTOS INDIRETOS, TRIBUTOS E LUCRO]])-2,0)*($G143-$H143)</f>
        <v>776.19473378582529</v>
      </c>
      <c r="BZ143" s="22">
        <f>VLOOKUP($A143,tabCustoUnit[],COLUMN(CUSTO_GLOBAL[[#Headers],[CUSTO TOTAL MENSAL]])-2,0)*($G143-$H143)</f>
        <v>3487.6811363702927</v>
      </c>
      <c r="CA143" s="22">
        <f>CUSTO_GLOBAL[[#This Row],[CUSTO TOTAL MENSAL]]*12</f>
        <v>41852.173636443513</v>
      </c>
      <c r="CB143" s="24">
        <f>VLOOKUP($A143,tabCustoUnit[],COLUMN(CUSTO_GLOBAL[[#Headers],[ANO DA CCT]])-2,0)</f>
        <v>45658</v>
      </c>
      <c r="CC143" s="25" t="str">
        <f>VLOOKUP($A143,tabCustoUnit[],COLUMN(CUSTO_GLOBAL[[#Headers],[Nº DE PEDIDO DA CCT]])-2,0)</f>
        <v>-</v>
      </c>
      <c r="CD143" s="25" t="str">
        <f>VLOOKUP($A143,tabCustoUnit[],COLUMN(CUSTO_GLOBAL[[#Headers],[TERMO ADITIVO  ALTERAÇÃO DA CCT]])-2,0)</f>
        <v>-</v>
      </c>
      <c r="CF143" s="22"/>
      <c r="CG143" s="22"/>
    </row>
    <row r="144" spans="1:85" x14ac:dyDescent="0.25">
      <c r="A144" s="20" t="s">
        <v>1480</v>
      </c>
      <c r="B144" t="s">
        <v>129</v>
      </c>
      <c r="C144" t="s">
        <v>1245</v>
      </c>
      <c r="D144" t="s">
        <v>1023</v>
      </c>
      <c r="E144" s="20" t="s">
        <v>9</v>
      </c>
      <c r="F144" s="20" t="s">
        <v>10</v>
      </c>
      <c r="G144" s="20">
        <v>2</v>
      </c>
      <c r="H144" s="20">
        <v>0</v>
      </c>
      <c r="I144" s="21">
        <f>VLOOKUP($A144,tabCustoUnit[],COLUMN(CUSTO_GLOBAL[[#Headers],[Salário Base]])-2,0)*($G144-$H144)</f>
        <v>3192.56</v>
      </c>
      <c r="J144" s="21">
        <f>VLOOKUP($A144,tabCustoUnit[],COLUMN(CUSTO_GLOBAL[[#Headers],[Adicional Periculosidade]])-2,0)*($G144-$H144)</f>
        <v>0</v>
      </c>
      <c r="K144" s="21">
        <f>VLOOKUP($A144,tabCustoUnit[],COLUMN(CUSTO_GLOBAL[[#Headers],[Adicional Insalubridade]])-2,0)*($G144-$H144)</f>
        <v>0</v>
      </c>
      <c r="L144" s="21">
        <f>VLOOKUP($A144,tabCustoUnit[],COLUMN(CUSTO_GLOBAL[[#Headers],[Adicional Noturno]])-2,0)*($G144-$H144)</f>
        <v>0</v>
      </c>
      <c r="M144" s="21">
        <f>VLOOKUP($A144,tabCustoUnit[],COLUMN(CUSTO_GLOBAL[[#Headers],[Adicional Motorista II (Gratificação)]])-2,0)*($G144-$H144)</f>
        <v>0</v>
      </c>
      <c r="N144" s="21">
        <f>VLOOKUP($A144,tabCustoUnit[],COLUMN(CUSTO_GLOBAL[[#Headers],[Adicional de Sobreaviso]])-2,0)*($G144-$H144)</f>
        <v>0</v>
      </c>
      <c r="O144" s="21">
        <f>VLOOKUP($A144,tabCustoUnit[],COLUMN(CUSTO_GLOBAL[[#Headers],[Horas Extras TI]])-2,0)*($G144-$H144)</f>
        <v>0</v>
      </c>
      <c r="P144" s="21">
        <f>VLOOKUP($A144,tabCustoUnit[],COLUMN(CUSTO_GLOBAL[[#Headers],[Adicional de Acúmulo de função]])-2,0)*($G144-$H144)</f>
        <v>104.4838</v>
      </c>
      <c r="Q144" s="21">
        <f>VLOOKUP($A144,tabCustoUnit[],COLUMN(CUSTO_GLOBAL[[#Headers],[MODULO 1 - REMUNERAÇÃO ]])-2,0)*($G144-$H144)</f>
        <v>3297.0437999999999</v>
      </c>
      <c r="R144" s="21">
        <f>VLOOKUP($A144,tabCustoUnit[],COLUMN(CUSTO_GLOBAL[[#Headers],[INSS]])-2,0)*($G144-$H144)</f>
        <v>659.40876000000003</v>
      </c>
      <c r="S144" s="21">
        <f>VLOOKUP($A144,tabCustoUnit[],COLUMN(CUSTO_GLOBAL[[#Headers],[SESI OU SESC]])-2,0)*($G144-$H144)</f>
        <v>49.455656999999995</v>
      </c>
      <c r="T144" s="21">
        <f>VLOOKUP($A144,tabCustoUnit[],COLUMN(CUSTO_GLOBAL[[#Headers],[SENAI OU SENAC]])-2,0)*($G144-$H144)</f>
        <v>32.970438000000001</v>
      </c>
      <c r="U144" s="21">
        <f>VLOOKUP($A144,tabCustoUnit[],COLUMN(CUSTO_GLOBAL[[#Headers],[INCRA]])-2,0)*($G144-$H144)</f>
        <v>6.5940875999999999</v>
      </c>
      <c r="V144" s="21">
        <f>VLOOKUP($A144,tabCustoUnit[],COLUMN(CUSTO_GLOBAL[[#Headers],[Salário Educação]])-2,0)*($G144-$H144)</f>
        <v>82.426095000000004</v>
      </c>
      <c r="W144" s="21">
        <f>VLOOKUP($A144,tabCustoUnit[],COLUMN(CUSTO_GLOBAL[[#Headers],[FGTS]])-2,0)*($G144-$H144)</f>
        <v>263.76350400000001</v>
      </c>
      <c r="X144" s="21">
        <f>VLOOKUP($A144,tabCustoUnit[],COLUMN(CUSTO_GLOBAL[[#Headers],[RAT Ajustado]])-2,0)*($G144-$H144)</f>
        <v>131.88175200000001</v>
      </c>
      <c r="Y144" s="21">
        <f>VLOOKUP($A144,tabCustoUnit[],COLUMN(CUSTO_GLOBAL[[#Headers],[SEBRAE]])-2,0)*($G144-$H144)</f>
        <v>19.782262800000002</v>
      </c>
      <c r="Z144" s="21">
        <f>VLOOKUP($A144,tabCustoUnit[],COLUMN(CUSTO_GLOBAL[[#Headers],[Submódulo 2.1]])-2,0)*($G144-$H144)</f>
        <v>1246.2825564</v>
      </c>
      <c r="AA144" s="21">
        <f>VLOOKUP($A144,tabCustoUnit[],COLUMN(CUSTO_GLOBAL[[#Headers],[13º salário (titular)]])-2,0)*($G144-$H144)</f>
        <v>274.75364999999999</v>
      </c>
      <c r="AB144" s="21">
        <f>VLOOKUP($A144,tabCustoUnit[],COLUMN(CUSTO_GLOBAL[[#Headers],[Férias e Adicional de Férias (titular)]])-2,0)*($G144-$H144)</f>
        <v>366.33819999999997</v>
      </c>
      <c r="AC144" s="21">
        <f>VLOOKUP($A144,tabCustoUnit[],COLUMN(CUSTO_GLOBAL[[#Headers],[Incidência do Submódulo 2.1 sobre 13º Salário, Férias e Adicional de Férias]])-2,0)*($G144-$H144)</f>
        <v>242.33271930000001</v>
      </c>
      <c r="AD144" s="21">
        <f>VLOOKUP($A144,tabCustoUnit[],COLUMN(CUSTO_GLOBAL[[#Headers],[Submódulo 2.2]])-2,0)*($G144-$H144)</f>
        <v>883.42456930000003</v>
      </c>
      <c r="AE144" s="22">
        <f>VLOOKUP($A144,tabCustoUnit[],COLUMN(CUSTO_GLOBAL[[#Headers],[Vale - Transporte (Descontada parcela do empregado)]])-2,0)*($G144-$H144)</f>
        <v>320.44640000000004</v>
      </c>
      <c r="AF144" s="22">
        <f>VLOOKUP($A144,tabCustoUnit[],COLUMN(CUSTO_GLOBAL[[#Headers],[Vale - Alimentação (Descontada parcela do empregado)]])-2,0)*($G144-$H144)</f>
        <v>1164</v>
      </c>
      <c r="AG144" s="22">
        <f>VLOOKUP($A144,tabCustoUnit[],COLUMN(CUSTO_GLOBAL[[#Headers],[Cesta Básica]])-2,0)*($G144-$H144)</f>
        <v>0</v>
      </c>
      <c r="AH144" s="22">
        <f>VLOOKUP($A144,tabCustoUnit[],COLUMN(CUSTO_GLOBAL[[#Headers],[PAF]])-2,0)*($G144-$H144)</f>
        <v>106.54</v>
      </c>
      <c r="AI144" s="22">
        <f>VLOOKUP($A144,tabCustoUnit[],COLUMN(CUSTO_GLOBAL[[#Headers],[PQM]])-2,0)*($G144-$H144)</f>
        <v>0</v>
      </c>
      <c r="AJ144" s="22">
        <v>0</v>
      </c>
      <c r="AK144" s="22">
        <f>VLOOKUP($A144,tabCustoUnit[],COLUMN(CUSTO_GLOBAL[[#Headers],[Seguro de Vida]])-2,0)*($G144-$H144)</f>
        <v>6.72</v>
      </c>
      <c r="AL144" s="22">
        <f>VLOOKUP($A144,tabCustoUnit[],COLUMN(CUSTO_GLOBAL[[#Headers],[Despesas de Viagem]])-2,0)*($G144-$H144)</f>
        <v>0</v>
      </c>
      <c r="AM144" s="22">
        <f>VLOOKUP($A144,tabCustoUnit[],COLUMN(CUSTO_GLOBAL[[#Headers],[Submódulo 2.3]])-2,0)*($G144-$H144)</f>
        <v>1597.7064</v>
      </c>
      <c r="AN144" s="22">
        <f>VLOOKUP($A144,tabCustoUnit[],COLUMN(CUSTO_GLOBAL[[#Headers],[MÓDULO 2 - Total Encargos e Benefícios mensais e diários]])-2,0)*($G144-$H144)</f>
        <v>3727.4135256999998</v>
      </c>
      <c r="AO144" s="22">
        <f>VLOOKUP($A144,tabCustoUnit[],COLUMN(CUSTO_GLOBAL[[#Headers],[Aviso Prévio Indenizado (API) e Reflexo do Aviso Prévio Indenizado]])-2,0)*($G144-$H144)</f>
        <v>23.118102832986111</v>
      </c>
      <c r="AP144" s="22">
        <f>VLOOKUP($A144,tabCustoUnit[],COLUMN(CUSTO_GLOBAL[[#Headers],[Incidência do FGTS sobre API e Reflexo do API]])-2,0)*($G144-$H144)</f>
        <v>1.849448226638889</v>
      </c>
      <c r="AQ144" s="22">
        <f>VLOOKUP($A144,tabCustoUnit[],COLUMN(CUSTO_GLOBAL[[#Headers],[Multa Rescisória do FGTS sobre o Aviso Prévio Indenizado]])-2,0)*($G144-$H144)</f>
        <v>0.7397792906555557</v>
      </c>
      <c r="AR144" s="22">
        <f>VLOOKUP($A144,tabCustoUnit[],COLUMN(CUSTO_GLOBAL[[#Headers],[Aviso Prévio Trabalhado - APT]])-2,0)*($G144-$H144)</f>
        <v>11.539653300000001</v>
      </c>
      <c r="AS144" s="22">
        <f>VLOOKUP($A144,tabCustoUnit[],COLUMN(CUSTO_GLOBAL[[#Headers],[Incidência dos encargos do submódulo 2.1 sobre Aviso Prévio Trabalhado]])-2,0)*($G144-$H144)</f>
        <v>4.3619889474000013</v>
      </c>
      <c r="AT144" s="22">
        <f>VLOOKUP($A144,tabCustoUnit[],COLUMN(CUSTO_GLOBAL[[#Headers],[Multa Rescisória do FGTS]])-2,0)*($G144-$H144)</f>
        <v>100.81627263999998</v>
      </c>
      <c r="AU144" s="22">
        <f>VLOOKUP($A144,tabCustoUnit[],COLUMN(CUSTO_GLOBAL[[#Headers],[Indenização Adicional (Art. 9º da Lei nº 7.238/84)]])-2,0)*($G144-$H144)</f>
        <v>2.7475365000000003</v>
      </c>
      <c r="AV144" s="22">
        <f>VLOOKUP($A144,tabCustoUnit[],COLUMN(CUSTO_GLOBAL[[#Headers],[MÓDULO 3 – PROVISÃO PARA RESCISÃO]])-2,0)*($G144-$H144)</f>
        <v>145.17278173768054</v>
      </c>
      <c r="AW144" s="22">
        <f>VLOOKUP($A144,tabCustoUnit[],COLUMN(CUSTO_GLOBAL[[#Headers],[Ausência por Doença]])-2,0)*($G144-$H144)</f>
        <v>27.841703199999998</v>
      </c>
      <c r="AX144" s="22">
        <f>VLOOKUP($A144,tabCustoUnit[],COLUMN(CUSTO_GLOBAL[[#Headers],[Ausências Legais]])-2,0)*($G144-$H144)</f>
        <v>6.6856721499999994</v>
      </c>
      <c r="AY144" s="22">
        <f>VLOOKUP($A144,tabCustoUnit[],COLUMN(CUSTO_GLOBAL[[#Headers],[Licença Paternidade]])-2,0)*($G144-$H144)</f>
        <v>0.56324498249999999</v>
      </c>
      <c r="AZ144" s="22">
        <f>VLOOKUP($A144,tabCustoUnit[],COLUMN(CUSTO_GLOBAL[[#Headers],[Ausência por Acidente de Trabalho]])-2,0)*($G144-$H144)</f>
        <v>0.68688412500000007</v>
      </c>
      <c r="BA144" s="22">
        <f>VLOOKUP($A144,tabCustoUnit[],COLUMN(CUSTO_GLOBAL[[#Headers],[Férias, Adicional de Férias e 13º  com empregada em gozo de Licença Maternidade]])-2,0)*($G144-$H144)</f>
        <v>4.2739456666666662</v>
      </c>
      <c r="BB144" s="22">
        <f>VLOOKUP($A144,tabCustoUnit[],COLUMN(CUSTO_GLOBAL[[#Headers],[Incidência do Submódulo 2.1 sobre Ausências Legais]])-2,0)*($G144-$H144)</f>
        <v>15.139448146935003</v>
      </c>
      <c r="BC144" s="22">
        <f>VLOOKUP($A144,tabCustoUnit[],COLUMN(CUSTO_GLOBAL[[#Headers],[Submódulo 4.1]])-2,0)*($G144-$H144)</f>
        <v>55.190898271101666</v>
      </c>
      <c r="BD144" s="22">
        <f>VLOOKUP($A144,tabCustoUnit[],COLUMN(CUSTO_GLOBAL[[#Headers],[Intervalo para Repouso ou Alimentação]])-2,0)*($G144-$H144)</f>
        <v>0</v>
      </c>
      <c r="BE144" s="22">
        <f>VLOOKUP($A144,tabCustoUnit[],COLUMN(CUSTO_GLOBAL[[#Headers],[Submódulo 4.2]])-2,0)*($G144-$H144)</f>
        <v>0</v>
      </c>
      <c r="BF144" s="22">
        <f>VLOOKUP($A144,tabCustoUnit[],COLUMN(CUSTO_GLOBAL[[#Headers],[Suspensão Temporária do Contrato de Trabalho]])-2,0)*($G144-$H144)</f>
        <v>0</v>
      </c>
      <c r="BG144" s="22">
        <f>VLOOKUP($A144,tabCustoUnit[],COLUMN(CUSTO_GLOBAL[[#Headers],[Submódulo 4.3]])-2,0)*($G144-$H144)</f>
        <v>0</v>
      </c>
      <c r="BH144" s="22">
        <f>VLOOKUP($A144,tabCustoUnit[],COLUMN(CUSTO_GLOBAL[[#Headers],[MÓDULO 4 – CUSTO DE REPOSIÇÃO DO PROFISSIONAL AUSENTE]])-2,0)*($G144-$H144)</f>
        <v>55.190898271101666</v>
      </c>
      <c r="BI144" s="22">
        <f>VLOOKUP($A144,tabCustoUnit[],COLUMN(CUSTO_GLOBAL[[#Headers],[Uniformes e EPIs]])-2,0)*($G144-$H144)</f>
        <v>201.61833333333331</v>
      </c>
      <c r="BJ144" s="22">
        <f>VLOOKUP($A144,tabCustoUnit[],COLUMN(CUSTO_GLOBAL[[#Headers],[Materiais de Consumo]])-2,0)*($G144-$H144)</f>
        <v>71.036425917167776</v>
      </c>
      <c r="BK144" s="22">
        <f>VLOOKUP($A144,tabCustoUnit[],COLUMN(CUSTO_GLOBAL[[#Headers],[Máquinas e Equipamentos (depreciação)]])-2,0)*($G144-$H144)</f>
        <v>129.05878782965115</v>
      </c>
      <c r="BL144" s="22">
        <f>VLOOKUP($A144,tabCustoUnit[],COLUMN(CUSTO_GLOBAL[[#Headers],[Produtos de Limpeza e Materiais de Higiene Pessoal]])-2,0)*($G144-$H144)</f>
        <v>1380.5430655586331</v>
      </c>
      <c r="BM144" s="22">
        <f>VLOOKUP($A144,tabCustoUnit[],COLUMN(CUSTO_GLOBAL[[#Headers],[Outros (especificar)]])-2,0)*($G144-$H144)</f>
        <v>0</v>
      </c>
      <c r="BN144" s="22">
        <f>VLOOKUP($A144,tabCustoUnit[],COLUMN(CUSTO_GLOBAL[[#Headers],[MÓDULO 5 – INSUMOS DIVERSOS]])-2,0)*($G144-$H144)</f>
        <v>1782.2566126387853</v>
      </c>
      <c r="BO144" s="22">
        <f>VLOOKUP($A144,tabCustoUnit[],COLUMN(CUSTO_GLOBAL[[#Headers],[TOTAL MÓDULOS 1+2+3+4+5]])-2,0)*($G144-$H144)</f>
        <v>9007.0776183475664</v>
      </c>
      <c r="BP144" s="22">
        <f>VLOOKUP($A144,tabCustoUnit[],COLUMN(CUSTO_GLOBAL[[#Headers],[Custos Indiretos]])-2,0)*($G144-$H144)</f>
        <v>379.29760280485226</v>
      </c>
      <c r="BQ144" s="22">
        <f>VLOOKUP($A144,tabCustoUnit[],COLUMN(CUSTO_GLOBAL[[#Headers],[Lucro]])-2,0)*($G144-$H144)</f>
        <v>318.60998635607592</v>
      </c>
      <c r="BR144" s="26">
        <f>VLOOKUP($A144,tabCustoUnit[],COLUMN(CUSTO_GLOBAL[[#Headers],[COFINS]])-2,0)</f>
        <v>8.6609686609686695E-2</v>
      </c>
      <c r="BS144" s="26">
        <f>VLOOKUP($A144,tabCustoUnit[],COLUMN(CUSTO_GLOBAL[[#Headers],[PIS]])-2,0)</f>
        <v>1.880341880341882E-2</v>
      </c>
      <c r="BT144" s="28">
        <f>VLOOKUP($A144,tabCustoUnit[],COLUMN(CUSTO_GLOBAL[[#Headers],[ISS]])-2,0)</f>
        <v>0.03</v>
      </c>
      <c r="BU144" s="26">
        <f>VLOOKUP($A144,tabCustoUnit[],COLUMN(CUSTO_GLOBAL[[#Headers],[ISS (Conversão Alíquota s/ fatura)]])-2,0)</f>
        <v>3.4188034188034219E-2</v>
      </c>
      <c r="BV144" s="26">
        <f>VLOOKUP($A144,tabCustoUnit[],COLUMN(CUSTO_GLOBAL[[#Headers],[Resumo de Alíquotas (PIS+CONFINS+ISS)]])-2,0)</f>
        <v>0.1225</v>
      </c>
      <c r="BW144" s="138">
        <f>VLOOKUP($A144,tabCustoUnit[],COLUMN(CUSTO_GLOBAL[[#Headers],[PIS + COFINS + ISS (Total Conversão  Alíquota s/ Fatura)]])-2,0)</f>
        <v>0.13960113960113973</v>
      </c>
      <c r="BX144" s="22">
        <f>VLOOKUP($A144,tabCustoUnit[],COLUMN(CUSTO_GLOBAL[[#Headers],[Valor dos Tributos (ISS, PIS, CONFINS)]])-2,0)*($G144-$H144)</f>
        <v>1354.8269947803894</v>
      </c>
      <c r="BY144" s="22">
        <f>VLOOKUP($A144,tabCustoUnit[],COLUMN(CUSTO_GLOBAL[[#Headers],[MÓDULO 6 – CUSTOS INDIRETOS, TRIBUTOS E LUCRO]])-2,0)*($G144-$H144)</f>
        <v>2052.7345839413174</v>
      </c>
      <c r="BZ144" s="22">
        <f>VLOOKUP($A144,tabCustoUnit[],COLUMN(CUSTO_GLOBAL[[#Headers],[CUSTO TOTAL MENSAL]])-2,0)*($G144-$H144)</f>
        <v>11059.812202288884</v>
      </c>
      <c r="CA144" s="22">
        <f>CUSTO_GLOBAL[[#This Row],[CUSTO TOTAL MENSAL]]*12</f>
        <v>132717.7464274666</v>
      </c>
      <c r="CB144" s="24">
        <f>VLOOKUP($A144,tabCustoUnit[],COLUMN(CUSTO_GLOBAL[[#Headers],[ANO DA CCT]])-2,0)</f>
        <v>45658</v>
      </c>
      <c r="CC144" s="25" t="str">
        <f>VLOOKUP($A144,tabCustoUnit[],COLUMN(CUSTO_GLOBAL[[#Headers],[Nº DE PEDIDO DA CCT]])-2,0)</f>
        <v>-</v>
      </c>
      <c r="CD144" s="25" t="str">
        <f>VLOOKUP($A144,tabCustoUnit[],COLUMN(CUSTO_GLOBAL[[#Headers],[TERMO ADITIVO  ALTERAÇÃO DA CCT]])-2,0)</f>
        <v>-</v>
      </c>
      <c r="CF144" s="22"/>
      <c r="CG144" s="22"/>
    </row>
    <row r="145" spans="1:85" x14ac:dyDescent="0.25">
      <c r="A145" s="20" t="s">
        <v>1481</v>
      </c>
      <c r="B145" t="s">
        <v>130</v>
      </c>
      <c r="C145" t="s">
        <v>1247</v>
      </c>
      <c r="D145" t="s">
        <v>1010</v>
      </c>
      <c r="E145" s="20" t="s">
        <v>9</v>
      </c>
      <c r="F145" s="20" t="s">
        <v>10</v>
      </c>
      <c r="G145" s="20">
        <v>1</v>
      </c>
      <c r="H145" s="20">
        <v>0</v>
      </c>
      <c r="I145" s="21">
        <f>VLOOKUP($A145,tabCustoUnit[],COLUMN(CUSTO_GLOBAL[[#Headers],[Salário Base]])-2,0)*($G145-$H145)</f>
        <v>544.17999999999995</v>
      </c>
      <c r="J145" s="21">
        <f>VLOOKUP($A145,tabCustoUnit[],COLUMN(CUSTO_GLOBAL[[#Headers],[Adicional Periculosidade]])-2,0)*($G145-$H145)</f>
        <v>0</v>
      </c>
      <c r="K145" s="21">
        <f>VLOOKUP($A145,tabCustoUnit[],COLUMN(CUSTO_GLOBAL[[#Headers],[Adicional Insalubridade]])-2,0)*($G145-$H145)</f>
        <v>0</v>
      </c>
      <c r="L145" s="21">
        <f>VLOOKUP($A145,tabCustoUnit[],COLUMN(CUSTO_GLOBAL[[#Headers],[Adicional Noturno]])-2,0)*($G145-$H145)</f>
        <v>0</v>
      </c>
      <c r="M145" s="21">
        <f>VLOOKUP($A145,tabCustoUnit[],COLUMN(CUSTO_GLOBAL[[#Headers],[Adicional Motorista II (Gratificação)]])-2,0)*($G145-$H145)</f>
        <v>0</v>
      </c>
      <c r="N145" s="21">
        <f>VLOOKUP($A145,tabCustoUnit[],COLUMN(CUSTO_GLOBAL[[#Headers],[Adicional de Sobreaviso]])-2,0)*($G145-$H145)</f>
        <v>0</v>
      </c>
      <c r="O145" s="21">
        <f>VLOOKUP($A145,tabCustoUnit[],COLUMN(CUSTO_GLOBAL[[#Headers],[Horas Extras TI]])-2,0)*($G145-$H145)</f>
        <v>0</v>
      </c>
      <c r="P145" s="21">
        <f>VLOOKUP($A145,tabCustoUnit[],COLUMN(CUSTO_GLOBAL[[#Headers],[Adicional de Acúmulo de função]])-2,0)*($G145-$H145)</f>
        <v>19.590499999999999</v>
      </c>
      <c r="Q145" s="21">
        <f>VLOOKUP($A145,tabCustoUnit[],COLUMN(CUSTO_GLOBAL[[#Headers],[MODULO 1 - REMUNERAÇÃO ]])-2,0)*($G145-$H145)</f>
        <v>563.77049999999997</v>
      </c>
      <c r="R145" s="21">
        <f>VLOOKUP($A145,tabCustoUnit[],COLUMN(CUSTO_GLOBAL[[#Headers],[INSS]])-2,0)*($G145-$H145)</f>
        <v>112.75409999999999</v>
      </c>
      <c r="S145" s="21">
        <f>VLOOKUP($A145,tabCustoUnit[],COLUMN(CUSTO_GLOBAL[[#Headers],[SESI OU SESC]])-2,0)*($G145-$H145)</f>
        <v>8.4565574999999988</v>
      </c>
      <c r="T145" s="21">
        <f>VLOOKUP($A145,tabCustoUnit[],COLUMN(CUSTO_GLOBAL[[#Headers],[SENAI OU SENAC]])-2,0)*($G145-$H145)</f>
        <v>5.6377049999999995</v>
      </c>
      <c r="U145" s="21">
        <f>VLOOKUP($A145,tabCustoUnit[],COLUMN(CUSTO_GLOBAL[[#Headers],[INCRA]])-2,0)*($G145-$H145)</f>
        <v>1.1275409999999999</v>
      </c>
      <c r="V145" s="21">
        <f>VLOOKUP($A145,tabCustoUnit[],COLUMN(CUSTO_GLOBAL[[#Headers],[Salário Educação]])-2,0)*($G145-$H145)</f>
        <v>14.094262499999999</v>
      </c>
      <c r="W145" s="21">
        <f>VLOOKUP($A145,tabCustoUnit[],COLUMN(CUSTO_GLOBAL[[#Headers],[FGTS]])-2,0)*($G145-$H145)</f>
        <v>45.101639999999996</v>
      </c>
      <c r="X145" s="21">
        <f>VLOOKUP($A145,tabCustoUnit[],COLUMN(CUSTO_GLOBAL[[#Headers],[RAT Ajustado]])-2,0)*($G145-$H145)</f>
        <v>22.550819999999998</v>
      </c>
      <c r="Y145" s="21">
        <f>VLOOKUP($A145,tabCustoUnit[],COLUMN(CUSTO_GLOBAL[[#Headers],[SEBRAE]])-2,0)*($G145-$H145)</f>
        <v>3.3826229999999997</v>
      </c>
      <c r="Z145" s="21">
        <f>VLOOKUP($A145,tabCustoUnit[],COLUMN(CUSTO_GLOBAL[[#Headers],[Submódulo 2.1]])-2,0)*($G145-$H145)</f>
        <v>213.10524899999996</v>
      </c>
      <c r="AA145" s="21">
        <f>VLOOKUP($A145,tabCustoUnit[],COLUMN(CUSTO_GLOBAL[[#Headers],[13º salário (titular)]])-2,0)*($G145-$H145)</f>
        <v>46.980874999999997</v>
      </c>
      <c r="AB145" s="21">
        <f>VLOOKUP($A145,tabCustoUnit[],COLUMN(CUSTO_GLOBAL[[#Headers],[Férias e Adicional de Férias (titular)]])-2,0)*($G145-$H145)</f>
        <v>62.641166666666663</v>
      </c>
      <c r="AC145" s="21">
        <f>VLOOKUP($A145,tabCustoUnit[],COLUMN(CUSTO_GLOBAL[[#Headers],[Incidência do Submódulo 2.1 sobre 13º Salário, Férias e Adicional de Férias]])-2,0)*($G145-$H145)</f>
        <v>41.437131749999992</v>
      </c>
      <c r="AD145" s="21">
        <f>VLOOKUP($A145,tabCustoUnit[],COLUMN(CUSTO_GLOBAL[[#Headers],[Submódulo 2.2]])-2,0)*($G145-$H145)</f>
        <v>151.05917341666665</v>
      </c>
      <c r="AE145" s="22">
        <f>VLOOKUP($A145,tabCustoUnit[],COLUMN(CUSTO_GLOBAL[[#Headers],[Vale - Transporte (Descontada parcela do empregado)]])-2,0)*($G145-$H145)</f>
        <v>223.3492</v>
      </c>
      <c r="AF145" s="22">
        <f>VLOOKUP($A145,tabCustoUnit[],COLUMN(CUSTO_GLOBAL[[#Headers],[Vale - Alimentação (Descontada parcela do empregado)]])-2,0)*($G145-$H145)</f>
        <v>582</v>
      </c>
      <c r="AG145" s="22">
        <f>VLOOKUP($A145,tabCustoUnit[],COLUMN(CUSTO_GLOBAL[[#Headers],[Cesta Básica]])-2,0)*($G145-$H145)</f>
        <v>0</v>
      </c>
      <c r="AH145" s="22">
        <f>VLOOKUP($A145,tabCustoUnit[],COLUMN(CUSTO_GLOBAL[[#Headers],[PAF]])-2,0)*($G145-$H145)</f>
        <v>0</v>
      </c>
      <c r="AI145" s="22">
        <f>VLOOKUP($A145,tabCustoUnit[],COLUMN(CUSTO_GLOBAL[[#Headers],[PQM]])-2,0)*($G145-$H145)</f>
        <v>0</v>
      </c>
      <c r="AJ145" s="22">
        <v>0</v>
      </c>
      <c r="AK145" s="22">
        <f>VLOOKUP($A145,tabCustoUnit[],COLUMN(CUSTO_GLOBAL[[#Headers],[Seguro de Vida]])-2,0)*($G145-$H145)</f>
        <v>3.36</v>
      </c>
      <c r="AL145" s="22">
        <f>VLOOKUP($A145,tabCustoUnit[],COLUMN(CUSTO_GLOBAL[[#Headers],[Despesas de Viagem]])-2,0)*($G145-$H145)</f>
        <v>0</v>
      </c>
      <c r="AM145" s="22">
        <f>VLOOKUP($A145,tabCustoUnit[],COLUMN(CUSTO_GLOBAL[[#Headers],[Submódulo 2.3]])-2,0)*($G145-$H145)</f>
        <v>808.70920000000001</v>
      </c>
      <c r="AN145" s="22">
        <f>VLOOKUP($A145,tabCustoUnit[],COLUMN(CUSTO_GLOBAL[[#Headers],[MÓDULO 2 - Total Encargos e Benefícios mensais e diários]])-2,0)*($G145-$H145)</f>
        <v>1172.8736224166666</v>
      </c>
      <c r="AO145" s="22">
        <f>VLOOKUP($A145,tabCustoUnit[],COLUMN(CUSTO_GLOBAL[[#Headers],[Aviso Prévio Indenizado (API) e Reflexo do Aviso Prévio Indenizado]])-2,0)*($G145-$H145)</f>
        <v>3.9530273735532404</v>
      </c>
      <c r="AP145" s="22">
        <f>VLOOKUP($A145,tabCustoUnit[],COLUMN(CUSTO_GLOBAL[[#Headers],[Incidência do FGTS sobre API e Reflexo do API]])-2,0)*($G145-$H145)</f>
        <v>0.31624218988425928</v>
      </c>
      <c r="AQ145" s="22">
        <f>VLOOKUP($A145,tabCustoUnit[],COLUMN(CUSTO_GLOBAL[[#Headers],[Multa Rescisória do FGTS sobre o Aviso Prévio Indenizado]])-2,0)*($G145-$H145)</f>
        <v>0.12649687595370371</v>
      </c>
      <c r="AR145" s="22">
        <f>VLOOKUP($A145,tabCustoUnit[],COLUMN(CUSTO_GLOBAL[[#Headers],[Aviso Prévio Trabalhado - APT]])-2,0)*($G145-$H145)</f>
        <v>1.9731967500000003</v>
      </c>
      <c r="AS145" s="22">
        <f>VLOOKUP($A145,tabCustoUnit[],COLUMN(CUSTO_GLOBAL[[#Headers],[Incidência dos encargos do submódulo 2.1 sobre Aviso Prévio Trabalhado]])-2,0)*($G145-$H145)</f>
        <v>0.74586837150000018</v>
      </c>
      <c r="AT145" s="22">
        <f>VLOOKUP($A145,tabCustoUnit[],COLUMN(CUSTO_GLOBAL[[#Headers],[Multa Rescisória do FGTS]])-2,0)*($G145-$H145)</f>
        <v>17.238849066666663</v>
      </c>
      <c r="AU145" s="22">
        <f>VLOOKUP($A145,tabCustoUnit[],COLUMN(CUSTO_GLOBAL[[#Headers],[Indenização Adicional (Art. 9º da Lei nº 7.238/84)]])-2,0)*($G145-$H145)</f>
        <v>0.46980875</v>
      </c>
      <c r="AV145" s="22">
        <f>VLOOKUP($A145,tabCustoUnit[],COLUMN(CUSTO_GLOBAL[[#Headers],[MÓDULO 3 – PROVISÃO PARA RESCISÃO]])-2,0)*($G145-$H145)</f>
        <v>24.823489377557866</v>
      </c>
      <c r="AW145" s="22">
        <f>VLOOKUP($A145,tabCustoUnit[],COLUMN(CUSTO_GLOBAL[[#Headers],[Ausência por Doença]])-2,0)*($G145-$H145)</f>
        <v>4.7607286666666662</v>
      </c>
      <c r="AX145" s="22">
        <f>VLOOKUP($A145,tabCustoUnit[],COLUMN(CUSTO_GLOBAL[[#Headers],[Ausências Legais]])-2,0)*($G145-$H145)</f>
        <v>1.1432012916666665</v>
      </c>
      <c r="AY145" s="22">
        <f>VLOOKUP($A145,tabCustoUnit[],COLUMN(CUSTO_GLOBAL[[#Headers],[Licença Paternidade]])-2,0)*($G145-$H145)</f>
        <v>9.6310793749999998E-2</v>
      </c>
      <c r="AZ145" s="22">
        <f>VLOOKUP($A145,tabCustoUnit[],COLUMN(CUSTO_GLOBAL[[#Headers],[Ausência por Acidente de Trabalho]])-2,0)*($G145-$H145)</f>
        <v>0.1174521875</v>
      </c>
      <c r="BA145" s="22">
        <f>VLOOKUP($A145,tabCustoUnit[],COLUMN(CUSTO_GLOBAL[[#Headers],[Férias, Adicional de Férias e 13º  com empregada em gozo de Licença Maternidade]])-2,0)*($G145-$H145)</f>
        <v>0.73081361111111109</v>
      </c>
      <c r="BB145" s="22">
        <f>VLOOKUP($A145,tabCustoUnit[],COLUMN(CUSTO_GLOBAL[[#Headers],[Incidência do Submódulo 2.1 sobre Ausências Legais]])-2,0)*($G145-$H145)</f>
        <v>2.5887354761625003</v>
      </c>
      <c r="BC145" s="22">
        <f>VLOOKUP($A145,tabCustoUnit[],COLUMN(CUSTO_GLOBAL[[#Headers],[Submódulo 4.1]])-2,0)*($G145-$H145)</f>
        <v>9.4372420268569428</v>
      </c>
      <c r="BD145" s="22">
        <f>VLOOKUP($A145,tabCustoUnit[],COLUMN(CUSTO_GLOBAL[[#Headers],[Intervalo para Repouso ou Alimentação]])-2,0)*($G145-$H145)</f>
        <v>0</v>
      </c>
      <c r="BE145" s="22">
        <f>VLOOKUP($A145,tabCustoUnit[],COLUMN(CUSTO_GLOBAL[[#Headers],[Submódulo 4.2]])-2,0)*($G145-$H145)</f>
        <v>0</v>
      </c>
      <c r="BF145" s="22">
        <f>VLOOKUP($A145,tabCustoUnit[],COLUMN(CUSTO_GLOBAL[[#Headers],[Suspensão Temporária do Contrato de Trabalho]])-2,0)*($G145-$H145)</f>
        <v>0</v>
      </c>
      <c r="BG145" s="22">
        <f>VLOOKUP($A145,tabCustoUnit[],COLUMN(CUSTO_GLOBAL[[#Headers],[Submódulo 4.3]])-2,0)*($G145-$H145)</f>
        <v>0</v>
      </c>
      <c r="BH145" s="22">
        <f>VLOOKUP($A145,tabCustoUnit[],COLUMN(CUSTO_GLOBAL[[#Headers],[MÓDULO 4 – CUSTO DE REPOSIÇÃO DO PROFISSIONAL AUSENTE]])-2,0)*($G145-$H145)</f>
        <v>9.4372420268569428</v>
      </c>
      <c r="BI145" s="22">
        <f>VLOOKUP($A145,tabCustoUnit[],COLUMN(CUSTO_GLOBAL[[#Headers],[Uniformes e EPIs]])-2,0)*($G145-$H145)</f>
        <v>62.806666666666665</v>
      </c>
      <c r="BJ145" s="22">
        <f>VLOOKUP($A145,tabCustoUnit[],COLUMN(CUSTO_GLOBAL[[#Headers],[Materiais de Consumo]])-2,0)*($G145-$H145)</f>
        <v>12.108481690426325</v>
      </c>
      <c r="BK145" s="22">
        <f>VLOOKUP($A145,tabCustoUnit[],COLUMN(CUSTO_GLOBAL[[#Headers],[Máquinas e Equipamentos (depreciação)]])-2,0)*($G145-$H145)</f>
        <v>21.998657016417809</v>
      </c>
      <c r="BL145" s="22">
        <f>VLOOKUP($A145,tabCustoUnit[],COLUMN(CUSTO_GLOBAL[[#Headers],[Produtos de Limpeza e Materiais de Higiene Pessoal]])-2,0)*($G145-$H145)</f>
        <v>235.31984072022155</v>
      </c>
      <c r="BM145" s="22">
        <f>VLOOKUP($A145,tabCustoUnit[],COLUMN(CUSTO_GLOBAL[[#Headers],[Outros (especificar)]])-2,0)*($G145-$H145)</f>
        <v>0</v>
      </c>
      <c r="BN145" s="22">
        <f>VLOOKUP($A145,tabCustoUnit[],COLUMN(CUSTO_GLOBAL[[#Headers],[MÓDULO 5 – INSUMOS DIVERSOS]])-2,0)*($G145-$H145)</f>
        <v>332.23364609373232</v>
      </c>
      <c r="BO145" s="22">
        <f>VLOOKUP($A145,tabCustoUnit[],COLUMN(CUSTO_GLOBAL[[#Headers],[TOTAL MÓDULOS 1+2+3+4+5]])-2,0)*($G145-$H145)</f>
        <v>2103.1384999148136</v>
      </c>
      <c r="BP145" s="22">
        <f>VLOOKUP($A145,tabCustoUnit[],COLUMN(CUSTO_GLOBAL[[#Headers],[Custos Indiretos]])-2,0)*($G145-$H145)</f>
        <v>189.64880140242613</v>
      </c>
      <c r="BQ145" s="22">
        <f>VLOOKUP($A145,tabCustoUnit[],COLUMN(CUSTO_GLOBAL[[#Headers],[Lucro]])-2,0)*($G145-$H145)</f>
        <v>159.30499317803796</v>
      </c>
      <c r="BR145" s="26">
        <f>VLOOKUP($A145,tabCustoUnit[],COLUMN(CUSTO_GLOBAL[[#Headers],[COFINS]])-2,0)</f>
        <v>8.6609686609686695E-2</v>
      </c>
      <c r="BS145" s="26">
        <f>VLOOKUP($A145,tabCustoUnit[],COLUMN(CUSTO_GLOBAL[[#Headers],[PIS]])-2,0)</f>
        <v>1.880341880341882E-2</v>
      </c>
      <c r="BT145" s="28">
        <f>VLOOKUP($A145,tabCustoUnit[],COLUMN(CUSTO_GLOBAL[[#Headers],[ISS]])-2,0)</f>
        <v>0.03</v>
      </c>
      <c r="BU145" s="26">
        <f>VLOOKUP($A145,tabCustoUnit[],COLUMN(CUSTO_GLOBAL[[#Headers],[ISS (Conversão Alíquota s/ fatura)]])-2,0)</f>
        <v>3.4188034188034219E-2</v>
      </c>
      <c r="BV145" s="26">
        <f>VLOOKUP($A145,tabCustoUnit[],COLUMN(CUSTO_GLOBAL[[#Headers],[Resumo de Alíquotas (PIS+CONFINS+ISS)]])-2,0)</f>
        <v>0.1225</v>
      </c>
      <c r="BW145" s="138">
        <f>VLOOKUP($A145,tabCustoUnit[],COLUMN(CUSTO_GLOBAL[[#Headers],[PIS + COFINS + ISS (Total Conversão  Alíquota s/ Fatura)]])-2,0)</f>
        <v>0.13960113960113973</v>
      </c>
      <c r="BX145" s="22">
        <f>VLOOKUP($A145,tabCustoUnit[],COLUMN(CUSTO_GLOBAL[[#Headers],[Valor dos Tributos (ISS, PIS, CONFINS)]])-2,0)*($G145-$H145)</f>
        <v>342.31487871871428</v>
      </c>
      <c r="BY145" s="22">
        <f>VLOOKUP($A145,tabCustoUnit[],COLUMN(CUSTO_GLOBAL[[#Headers],[MÓDULO 6 – CUSTOS INDIRETOS, TRIBUTOS E LUCRO]])-2,0)*($G145-$H145)</f>
        <v>691.26867329917832</v>
      </c>
      <c r="BZ145" s="22">
        <f>VLOOKUP($A145,tabCustoUnit[],COLUMN(CUSTO_GLOBAL[[#Headers],[CUSTO TOTAL MENSAL]])-2,0)*($G145-$H145)</f>
        <v>2794.4071732139919</v>
      </c>
      <c r="CA145" s="22">
        <f>CUSTO_GLOBAL[[#This Row],[CUSTO TOTAL MENSAL]]*12</f>
        <v>33532.886078567899</v>
      </c>
      <c r="CB145" s="24">
        <f>VLOOKUP($A145,tabCustoUnit[],COLUMN(CUSTO_GLOBAL[[#Headers],[ANO DA CCT]])-2,0)</f>
        <v>45658</v>
      </c>
      <c r="CC145" s="25" t="str">
        <f>VLOOKUP($A145,tabCustoUnit[],COLUMN(CUSTO_GLOBAL[[#Headers],[Nº DE PEDIDO DA CCT]])-2,0)</f>
        <v>-</v>
      </c>
      <c r="CD145" s="25" t="str">
        <f>VLOOKUP($A145,tabCustoUnit[],COLUMN(CUSTO_GLOBAL[[#Headers],[TERMO ADITIVO  ALTERAÇÃO DA CCT]])-2,0)</f>
        <v>-</v>
      </c>
      <c r="CF145" s="22"/>
      <c r="CG145" s="22"/>
    </row>
    <row r="146" spans="1:85" x14ac:dyDescent="0.25">
      <c r="A146" s="20" t="s">
        <v>1482</v>
      </c>
      <c r="B146" t="s">
        <v>131</v>
      </c>
      <c r="C146" t="s">
        <v>1245</v>
      </c>
      <c r="D146" t="s">
        <v>1023</v>
      </c>
      <c r="E146" s="20" t="s">
        <v>9</v>
      </c>
      <c r="F146" s="20" t="s">
        <v>10</v>
      </c>
      <c r="G146" s="20">
        <v>1</v>
      </c>
      <c r="H146" s="20">
        <v>0</v>
      </c>
      <c r="I146" s="21">
        <f>VLOOKUP($A146,tabCustoUnit[],COLUMN(CUSTO_GLOBAL[[#Headers],[Salário Base]])-2,0)*($G146-$H146)</f>
        <v>1596.28</v>
      </c>
      <c r="J146" s="21">
        <f>VLOOKUP($A146,tabCustoUnit[],COLUMN(CUSTO_GLOBAL[[#Headers],[Adicional Periculosidade]])-2,0)*($G146-$H146)</f>
        <v>0</v>
      </c>
      <c r="K146" s="21">
        <f>VLOOKUP($A146,tabCustoUnit[],COLUMN(CUSTO_GLOBAL[[#Headers],[Adicional Insalubridade]])-2,0)*($G146-$H146)</f>
        <v>0</v>
      </c>
      <c r="L146" s="21">
        <f>VLOOKUP($A146,tabCustoUnit[],COLUMN(CUSTO_GLOBAL[[#Headers],[Adicional Noturno]])-2,0)*($G146-$H146)</f>
        <v>0</v>
      </c>
      <c r="M146" s="21">
        <f>VLOOKUP($A146,tabCustoUnit[],COLUMN(CUSTO_GLOBAL[[#Headers],[Adicional Motorista II (Gratificação)]])-2,0)*($G146-$H146)</f>
        <v>0</v>
      </c>
      <c r="N146" s="21">
        <f>VLOOKUP($A146,tabCustoUnit[],COLUMN(CUSTO_GLOBAL[[#Headers],[Adicional de Sobreaviso]])-2,0)*($G146-$H146)</f>
        <v>0</v>
      </c>
      <c r="O146" s="21">
        <f>VLOOKUP($A146,tabCustoUnit[],COLUMN(CUSTO_GLOBAL[[#Headers],[Horas Extras TI]])-2,0)*($G146-$H146)</f>
        <v>0</v>
      </c>
      <c r="P146" s="21">
        <f>VLOOKUP($A146,tabCustoUnit[],COLUMN(CUSTO_GLOBAL[[#Headers],[Adicional de Acúmulo de função]])-2,0)*($G146-$H146)</f>
        <v>52.241900000000001</v>
      </c>
      <c r="Q146" s="21">
        <f>VLOOKUP($A146,tabCustoUnit[],COLUMN(CUSTO_GLOBAL[[#Headers],[MODULO 1 - REMUNERAÇÃO ]])-2,0)*($G146-$H146)</f>
        <v>1648.5219</v>
      </c>
      <c r="R146" s="21">
        <f>VLOOKUP($A146,tabCustoUnit[],COLUMN(CUSTO_GLOBAL[[#Headers],[INSS]])-2,0)*($G146-$H146)</f>
        <v>329.70438000000001</v>
      </c>
      <c r="S146" s="21">
        <f>VLOOKUP($A146,tabCustoUnit[],COLUMN(CUSTO_GLOBAL[[#Headers],[SESI OU SESC]])-2,0)*($G146-$H146)</f>
        <v>24.727828499999998</v>
      </c>
      <c r="T146" s="21">
        <f>VLOOKUP($A146,tabCustoUnit[],COLUMN(CUSTO_GLOBAL[[#Headers],[SENAI OU SENAC]])-2,0)*($G146-$H146)</f>
        <v>16.485219000000001</v>
      </c>
      <c r="U146" s="21">
        <f>VLOOKUP($A146,tabCustoUnit[],COLUMN(CUSTO_GLOBAL[[#Headers],[INCRA]])-2,0)*($G146-$H146)</f>
        <v>3.2970438</v>
      </c>
      <c r="V146" s="21">
        <f>VLOOKUP($A146,tabCustoUnit[],COLUMN(CUSTO_GLOBAL[[#Headers],[Salário Educação]])-2,0)*($G146-$H146)</f>
        <v>41.213047500000002</v>
      </c>
      <c r="W146" s="21">
        <f>VLOOKUP($A146,tabCustoUnit[],COLUMN(CUSTO_GLOBAL[[#Headers],[FGTS]])-2,0)*($G146-$H146)</f>
        <v>131.88175200000001</v>
      </c>
      <c r="X146" s="21">
        <f>VLOOKUP($A146,tabCustoUnit[],COLUMN(CUSTO_GLOBAL[[#Headers],[RAT Ajustado]])-2,0)*($G146-$H146)</f>
        <v>65.940876000000003</v>
      </c>
      <c r="Y146" s="21">
        <f>VLOOKUP($A146,tabCustoUnit[],COLUMN(CUSTO_GLOBAL[[#Headers],[SEBRAE]])-2,0)*($G146-$H146)</f>
        <v>9.8911314000000008</v>
      </c>
      <c r="Z146" s="21">
        <f>VLOOKUP($A146,tabCustoUnit[],COLUMN(CUSTO_GLOBAL[[#Headers],[Submódulo 2.1]])-2,0)*($G146-$H146)</f>
        <v>623.14127819999999</v>
      </c>
      <c r="AA146" s="21">
        <f>VLOOKUP($A146,tabCustoUnit[],COLUMN(CUSTO_GLOBAL[[#Headers],[13º salário (titular)]])-2,0)*($G146-$H146)</f>
        <v>137.376825</v>
      </c>
      <c r="AB146" s="21">
        <f>VLOOKUP($A146,tabCustoUnit[],COLUMN(CUSTO_GLOBAL[[#Headers],[Férias e Adicional de Férias (titular)]])-2,0)*($G146-$H146)</f>
        <v>183.16909999999999</v>
      </c>
      <c r="AC146" s="21">
        <f>VLOOKUP($A146,tabCustoUnit[],COLUMN(CUSTO_GLOBAL[[#Headers],[Incidência do Submódulo 2.1 sobre 13º Salário, Férias e Adicional de Férias]])-2,0)*($G146-$H146)</f>
        <v>121.16635965</v>
      </c>
      <c r="AD146" s="21">
        <f>VLOOKUP($A146,tabCustoUnit[],COLUMN(CUSTO_GLOBAL[[#Headers],[Submódulo 2.2]])-2,0)*($G146-$H146)</f>
        <v>441.71228465000002</v>
      </c>
      <c r="AE146" s="22">
        <f>VLOOKUP($A146,tabCustoUnit[],COLUMN(CUSTO_GLOBAL[[#Headers],[Vale - Transporte (Descontada parcela do empregado)]])-2,0)*($G146-$H146)</f>
        <v>160.22320000000002</v>
      </c>
      <c r="AF146" s="22">
        <f>VLOOKUP($A146,tabCustoUnit[],COLUMN(CUSTO_GLOBAL[[#Headers],[Vale - Alimentação (Descontada parcela do empregado)]])-2,0)*($G146-$H146)</f>
        <v>582</v>
      </c>
      <c r="AG146" s="22">
        <f>VLOOKUP($A146,tabCustoUnit[],COLUMN(CUSTO_GLOBAL[[#Headers],[Cesta Básica]])-2,0)*($G146-$H146)</f>
        <v>0</v>
      </c>
      <c r="AH146" s="22">
        <f>VLOOKUP($A146,tabCustoUnit[],COLUMN(CUSTO_GLOBAL[[#Headers],[PAF]])-2,0)*($G146-$H146)</f>
        <v>0</v>
      </c>
      <c r="AI146" s="22">
        <f>VLOOKUP($A146,tabCustoUnit[],COLUMN(CUSTO_GLOBAL[[#Headers],[PQM]])-2,0)*($G146-$H146)</f>
        <v>0</v>
      </c>
      <c r="AJ146" s="22">
        <v>0</v>
      </c>
      <c r="AK146" s="22">
        <f>VLOOKUP($A146,tabCustoUnit[],COLUMN(CUSTO_GLOBAL[[#Headers],[Seguro de Vida]])-2,0)*($G146-$H146)</f>
        <v>3.36</v>
      </c>
      <c r="AL146" s="22">
        <f>VLOOKUP($A146,tabCustoUnit[],COLUMN(CUSTO_GLOBAL[[#Headers],[Despesas de Viagem]])-2,0)*($G146-$H146)</f>
        <v>0</v>
      </c>
      <c r="AM146" s="22">
        <f>VLOOKUP($A146,tabCustoUnit[],COLUMN(CUSTO_GLOBAL[[#Headers],[Submódulo 2.3]])-2,0)*($G146-$H146)</f>
        <v>745.58320000000003</v>
      </c>
      <c r="AN146" s="22">
        <f>VLOOKUP($A146,tabCustoUnit[],COLUMN(CUSTO_GLOBAL[[#Headers],[MÓDULO 2 - Total Encargos e Benefícios mensais e diários]])-2,0)*($G146-$H146)</f>
        <v>1810.4367628499999</v>
      </c>
      <c r="AO146" s="22">
        <f>VLOOKUP($A146,tabCustoUnit[],COLUMN(CUSTO_GLOBAL[[#Headers],[Aviso Prévio Indenizado (API) e Reflexo do Aviso Prévio Indenizado]])-2,0)*($G146-$H146)</f>
        <v>11.559051416493055</v>
      </c>
      <c r="AP146" s="22">
        <f>VLOOKUP($A146,tabCustoUnit[],COLUMN(CUSTO_GLOBAL[[#Headers],[Incidência do FGTS sobre API e Reflexo do API]])-2,0)*($G146-$H146)</f>
        <v>0.92472411331944449</v>
      </c>
      <c r="AQ146" s="22">
        <f>VLOOKUP($A146,tabCustoUnit[],COLUMN(CUSTO_GLOBAL[[#Headers],[Multa Rescisória do FGTS sobre o Aviso Prévio Indenizado]])-2,0)*($G146-$H146)</f>
        <v>0.36988964532777785</v>
      </c>
      <c r="AR146" s="22">
        <f>VLOOKUP($A146,tabCustoUnit[],COLUMN(CUSTO_GLOBAL[[#Headers],[Aviso Prévio Trabalhado - APT]])-2,0)*($G146-$H146)</f>
        <v>5.7698266500000006</v>
      </c>
      <c r="AS146" s="22">
        <f>VLOOKUP($A146,tabCustoUnit[],COLUMN(CUSTO_GLOBAL[[#Headers],[Incidência dos encargos do submódulo 2.1 sobre Aviso Prévio Trabalhado]])-2,0)*($G146-$H146)</f>
        <v>2.1809944737000007</v>
      </c>
      <c r="AT146" s="22">
        <f>VLOOKUP($A146,tabCustoUnit[],COLUMN(CUSTO_GLOBAL[[#Headers],[Multa Rescisória do FGTS]])-2,0)*($G146-$H146)</f>
        <v>50.40813631999999</v>
      </c>
      <c r="AU146" s="22">
        <f>VLOOKUP($A146,tabCustoUnit[],COLUMN(CUSTO_GLOBAL[[#Headers],[Indenização Adicional (Art. 9º da Lei nº 7.238/84)]])-2,0)*($G146-$H146)</f>
        <v>1.3737682500000001</v>
      </c>
      <c r="AV146" s="22">
        <f>VLOOKUP($A146,tabCustoUnit[],COLUMN(CUSTO_GLOBAL[[#Headers],[MÓDULO 3 – PROVISÃO PARA RESCISÃO]])-2,0)*($G146-$H146)</f>
        <v>72.586390868840269</v>
      </c>
      <c r="AW146" s="22">
        <f>VLOOKUP($A146,tabCustoUnit[],COLUMN(CUSTO_GLOBAL[[#Headers],[Ausência por Doença]])-2,0)*($G146-$H146)</f>
        <v>13.920851599999999</v>
      </c>
      <c r="AX146" s="22">
        <f>VLOOKUP($A146,tabCustoUnit[],COLUMN(CUSTO_GLOBAL[[#Headers],[Ausências Legais]])-2,0)*($G146-$H146)</f>
        <v>3.3428360749999997</v>
      </c>
      <c r="AY146" s="22">
        <f>VLOOKUP($A146,tabCustoUnit[],COLUMN(CUSTO_GLOBAL[[#Headers],[Licença Paternidade]])-2,0)*($G146-$H146)</f>
        <v>0.28162249125</v>
      </c>
      <c r="AZ146" s="22">
        <f>VLOOKUP($A146,tabCustoUnit[],COLUMN(CUSTO_GLOBAL[[#Headers],[Ausência por Acidente de Trabalho]])-2,0)*($G146-$H146)</f>
        <v>0.34344206250000003</v>
      </c>
      <c r="BA146" s="22">
        <f>VLOOKUP($A146,tabCustoUnit[],COLUMN(CUSTO_GLOBAL[[#Headers],[Férias, Adicional de Férias e 13º  com empregada em gozo de Licença Maternidade]])-2,0)*($G146-$H146)</f>
        <v>2.1369728333333331</v>
      </c>
      <c r="BB146" s="22">
        <f>VLOOKUP($A146,tabCustoUnit[],COLUMN(CUSTO_GLOBAL[[#Headers],[Incidência do Submódulo 2.1 sobre Ausências Legais]])-2,0)*($G146-$H146)</f>
        <v>7.5697240734675013</v>
      </c>
      <c r="BC146" s="22">
        <f>VLOOKUP($A146,tabCustoUnit[],COLUMN(CUSTO_GLOBAL[[#Headers],[Submódulo 4.1]])-2,0)*($G146-$H146)</f>
        <v>27.595449135550833</v>
      </c>
      <c r="BD146" s="22">
        <f>VLOOKUP($A146,tabCustoUnit[],COLUMN(CUSTO_GLOBAL[[#Headers],[Intervalo para Repouso ou Alimentação]])-2,0)*($G146-$H146)</f>
        <v>0</v>
      </c>
      <c r="BE146" s="22">
        <f>VLOOKUP($A146,tabCustoUnit[],COLUMN(CUSTO_GLOBAL[[#Headers],[Submódulo 4.2]])-2,0)*($G146-$H146)</f>
        <v>0</v>
      </c>
      <c r="BF146" s="22">
        <f>VLOOKUP($A146,tabCustoUnit[],COLUMN(CUSTO_GLOBAL[[#Headers],[Suspensão Temporária do Contrato de Trabalho]])-2,0)*($G146-$H146)</f>
        <v>0</v>
      </c>
      <c r="BG146" s="22">
        <f>VLOOKUP($A146,tabCustoUnit[],COLUMN(CUSTO_GLOBAL[[#Headers],[Submódulo 4.3]])-2,0)*($G146-$H146)</f>
        <v>0</v>
      </c>
      <c r="BH146" s="22">
        <f>VLOOKUP($A146,tabCustoUnit[],COLUMN(CUSTO_GLOBAL[[#Headers],[MÓDULO 4 – CUSTO DE REPOSIÇÃO DO PROFISSIONAL AUSENTE]])-2,0)*($G146-$H146)</f>
        <v>27.595449135550833</v>
      </c>
      <c r="BI146" s="22">
        <f>VLOOKUP($A146,tabCustoUnit[],COLUMN(CUSTO_GLOBAL[[#Headers],[Uniformes e EPIs]])-2,0)*($G146-$H146)</f>
        <v>100.80916666666666</v>
      </c>
      <c r="BJ146" s="22">
        <f>VLOOKUP($A146,tabCustoUnit[],COLUMN(CUSTO_GLOBAL[[#Headers],[Materiais de Consumo]])-2,0)*($G146-$H146)</f>
        <v>35.518212958583888</v>
      </c>
      <c r="BK146" s="22">
        <f>VLOOKUP($A146,tabCustoUnit[],COLUMN(CUSTO_GLOBAL[[#Headers],[Máquinas e Equipamentos (depreciação)]])-2,0)*($G146-$H146)</f>
        <v>64.529393914825576</v>
      </c>
      <c r="BL146" s="22">
        <f>VLOOKUP($A146,tabCustoUnit[],COLUMN(CUSTO_GLOBAL[[#Headers],[Produtos de Limpeza e Materiais de Higiene Pessoal]])-2,0)*($G146-$H146)</f>
        <v>690.27153277931654</v>
      </c>
      <c r="BM146" s="22">
        <f>VLOOKUP($A146,tabCustoUnit[],COLUMN(CUSTO_GLOBAL[[#Headers],[Outros (especificar)]])-2,0)*($G146-$H146)</f>
        <v>0</v>
      </c>
      <c r="BN146" s="22">
        <f>VLOOKUP($A146,tabCustoUnit[],COLUMN(CUSTO_GLOBAL[[#Headers],[MÓDULO 5 – INSUMOS DIVERSOS]])-2,0)*($G146-$H146)</f>
        <v>891.12830631939266</v>
      </c>
      <c r="BO146" s="22">
        <f>VLOOKUP($A146,tabCustoUnit[],COLUMN(CUSTO_GLOBAL[[#Headers],[TOTAL MÓDULOS 1+2+3+4+5]])-2,0)*($G146-$H146)</f>
        <v>4450.2688091737837</v>
      </c>
      <c r="BP146" s="22">
        <f>VLOOKUP($A146,tabCustoUnit[],COLUMN(CUSTO_GLOBAL[[#Headers],[Custos Indiretos]])-2,0)*($G146-$H146)</f>
        <v>189.64880140242613</v>
      </c>
      <c r="BQ146" s="22">
        <f>VLOOKUP($A146,tabCustoUnit[],COLUMN(CUSTO_GLOBAL[[#Headers],[Lucro]])-2,0)*($G146-$H146)</f>
        <v>159.30499317803796</v>
      </c>
      <c r="BR146" s="26">
        <f>VLOOKUP($A146,tabCustoUnit[],COLUMN(CUSTO_GLOBAL[[#Headers],[COFINS]])-2,0)</f>
        <v>8.8629737609329504E-2</v>
      </c>
      <c r="BS146" s="26">
        <f>VLOOKUP($A146,tabCustoUnit[],COLUMN(CUSTO_GLOBAL[[#Headers],[PIS]])-2,0)</f>
        <v>1.9241982507288629E-2</v>
      </c>
      <c r="BT146" s="28">
        <f>VLOOKUP($A146,tabCustoUnit[],COLUMN(CUSTO_GLOBAL[[#Headers],[ISS]])-2,0)</f>
        <v>0.05</v>
      </c>
      <c r="BU146" s="26">
        <f>VLOOKUP($A146,tabCustoUnit[],COLUMN(CUSTO_GLOBAL[[#Headers],[ISS (Conversão Alíquota s/ fatura)]])-2,0)</f>
        <v>5.8309037900874633E-2</v>
      </c>
      <c r="BV146" s="26">
        <f>VLOOKUP($A146,tabCustoUnit[],COLUMN(CUSTO_GLOBAL[[#Headers],[Resumo de Alíquotas (PIS+CONFINS+ISS)]])-2,0)</f>
        <v>0.14250000000000002</v>
      </c>
      <c r="BW146" s="138">
        <f>VLOOKUP($A146,tabCustoUnit[],COLUMN(CUSTO_GLOBAL[[#Headers],[PIS + COFINS + ISS (Total Conversão  Alíquota s/ Fatura)]])-2,0)</f>
        <v>0.16618075801749277</v>
      </c>
      <c r="BX146" s="22">
        <f>VLOOKUP($A146,tabCustoUnit[],COLUMN(CUSTO_GLOBAL[[#Headers],[Valor dos Tributos (ISS, PIS, CONFINS)]])-2,0)*($G146-$H146)</f>
        <v>797.53845018656625</v>
      </c>
      <c r="BY146" s="22">
        <f>VLOOKUP($A146,tabCustoUnit[],COLUMN(CUSTO_GLOBAL[[#Headers],[MÓDULO 6 – CUSTOS INDIRETOS, TRIBUTOS E LUCRO]])-2,0)*($G146-$H146)</f>
        <v>1146.4922447670303</v>
      </c>
      <c r="BZ146" s="22">
        <f>VLOOKUP($A146,tabCustoUnit[],COLUMN(CUSTO_GLOBAL[[#Headers],[CUSTO TOTAL MENSAL]])-2,0)*($G146-$H146)</f>
        <v>5596.7610539408142</v>
      </c>
      <c r="CA146" s="22">
        <f>CUSTO_GLOBAL[[#This Row],[CUSTO TOTAL MENSAL]]*12</f>
        <v>67161.132647289778</v>
      </c>
      <c r="CB146" s="24">
        <f>VLOOKUP($A146,tabCustoUnit[],COLUMN(CUSTO_GLOBAL[[#Headers],[ANO DA CCT]])-2,0)</f>
        <v>45658</v>
      </c>
      <c r="CC146" s="25" t="str">
        <f>VLOOKUP($A146,tabCustoUnit[],COLUMN(CUSTO_GLOBAL[[#Headers],[Nº DE PEDIDO DA CCT]])-2,0)</f>
        <v>-</v>
      </c>
      <c r="CD146" s="25" t="str">
        <f>VLOOKUP($A146,tabCustoUnit[],COLUMN(CUSTO_GLOBAL[[#Headers],[TERMO ADITIVO  ALTERAÇÃO DA CCT]])-2,0)</f>
        <v>-</v>
      </c>
      <c r="CF146" s="22"/>
      <c r="CG146" s="22"/>
    </row>
    <row r="147" spans="1:85" x14ac:dyDescent="0.25">
      <c r="A147" s="20" t="s">
        <v>1483</v>
      </c>
      <c r="B147" t="s">
        <v>132</v>
      </c>
      <c r="C147" t="s">
        <v>1247</v>
      </c>
      <c r="D147" t="s">
        <v>1026</v>
      </c>
      <c r="E147" s="20" t="s">
        <v>9</v>
      </c>
      <c r="F147" s="20" t="s">
        <v>10</v>
      </c>
      <c r="G147" s="20">
        <v>1</v>
      </c>
      <c r="H147" s="20">
        <v>0</v>
      </c>
      <c r="I147" s="21">
        <f>VLOOKUP($A147,tabCustoUnit[],COLUMN(CUSTO_GLOBAL[[#Headers],[Salário Base]])-2,0)*($G147-$H147)</f>
        <v>544.17999999999995</v>
      </c>
      <c r="J147" s="21">
        <f>VLOOKUP($A147,tabCustoUnit[],COLUMN(CUSTO_GLOBAL[[#Headers],[Adicional Periculosidade]])-2,0)*($G147-$H147)</f>
        <v>0</v>
      </c>
      <c r="K147" s="21">
        <f>VLOOKUP($A147,tabCustoUnit[],COLUMN(CUSTO_GLOBAL[[#Headers],[Adicional Insalubridade]])-2,0)*($G147-$H147)</f>
        <v>0</v>
      </c>
      <c r="L147" s="21">
        <f>VLOOKUP($A147,tabCustoUnit[],COLUMN(CUSTO_GLOBAL[[#Headers],[Adicional Noturno]])-2,0)*($G147-$H147)</f>
        <v>0</v>
      </c>
      <c r="M147" s="21">
        <f>VLOOKUP($A147,tabCustoUnit[],COLUMN(CUSTO_GLOBAL[[#Headers],[Adicional Motorista II (Gratificação)]])-2,0)*($G147-$H147)</f>
        <v>0</v>
      </c>
      <c r="N147" s="21">
        <f>VLOOKUP($A147,tabCustoUnit[],COLUMN(CUSTO_GLOBAL[[#Headers],[Adicional de Sobreaviso]])-2,0)*($G147-$H147)</f>
        <v>0</v>
      </c>
      <c r="O147" s="21">
        <f>VLOOKUP($A147,tabCustoUnit[],COLUMN(CUSTO_GLOBAL[[#Headers],[Horas Extras TI]])-2,0)*($G147-$H147)</f>
        <v>0</v>
      </c>
      <c r="P147" s="21">
        <f>VLOOKUP($A147,tabCustoUnit[],COLUMN(CUSTO_GLOBAL[[#Headers],[Adicional de Acúmulo de função]])-2,0)*($G147-$H147)</f>
        <v>19.590499999999999</v>
      </c>
      <c r="Q147" s="21">
        <f>VLOOKUP($A147,tabCustoUnit[],COLUMN(CUSTO_GLOBAL[[#Headers],[MODULO 1 - REMUNERAÇÃO ]])-2,0)*($G147-$H147)</f>
        <v>563.77049999999997</v>
      </c>
      <c r="R147" s="21">
        <f>VLOOKUP($A147,tabCustoUnit[],COLUMN(CUSTO_GLOBAL[[#Headers],[INSS]])-2,0)*($G147-$H147)</f>
        <v>112.75409999999999</v>
      </c>
      <c r="S147" s="21">
        <f>VLOOKUP($A147,tabCustoUnit[],COLUMN(CUSTO_GLOBAL[[#Headers],[SESI OU SESC]])-2,0)*($G147-$H147)</f>
        <v>8.4565574999999988</v>
      </c>
      <c r="T147" s="21">
        <f>VLOOKUP($A147,tabCustoUnit[],COLUMN(CUSTO_GLOBAL[[#Headers],[SENAI OU SENAC]])-2,0)*($G147-$H147)</f>
        <v>5.6377049999999995</v>
      </c>
      <c r="U147" s="21">
        <f>VLOOKUP($A147,tabCustoUnit[],COLUMN(CUSTO_GLOBAL[[#Headers],[INCRA]])-2,0)*($G147-$H147)</f>
        <v>1.1275409999999999</v>
      </c>
      <c r="V147" s="21">
        <f>VLOOKUP($A147,tabCustoUnit[],COLUMN(CUSTO_GLOBAL[[#Headers],[Salário Educação]])-2,0)*($G147-$H147)</f>
        <v>14.094262499999999</v>
      </c>
      <c r="W147" s="21">
        <f>VLOOKUP($A147,tabCustoUnit[],COLUMN(CUSTO_GLOBAL[[#Headers],[FGTS]])-2,0)*($G147-$H147)</f>
        <v>45.101639999999996</v>
      </c>
      <c r="X147" s="21">
        <f>VLOOKUP($A147,tabCustoUnit[],COLUMN(CUSTO_GLOBAL[[#Headers],[RAT Ajustado]])-2,0)*($G147-$H147)</f>
        <v>22.550819999999998</v>
      </c>
      <c r="Y147" s="21">
        <f>VLOOKUP($A147,tabCustoUnit[],COLUMN(CUSTO_GLOBAL[[#Headers],[SEBRAE]])-2,0)*($G147-$H147)</f>
        <v>3.3826229999999997</v>
      </c>
      <c r="Z147" s="21">
        <f>VLOOKUP($A147,tabCustoUnit[],COLUMN(CUSTO_GLOBAL[[#Headers],[Submódulo 2.1]])-2,0)*($G147-$H147)</f>
        <v>213.10524899999996</v>
      </c>
      <c r="AA147" s="21">
        <f>VLOOKUP($A147,tabCustoUnit[],COLUMN(CUSTO_GLOBAL[[#Headers],[13º salário (titular)]])-2,0)*($G147-$H147)</f>
        <v>46.980874999999997</v>
      </c>
      <c r="AB147" s="21">
        <f>VLOOKUP($A147,tabCustoUnit[],COLUMN(CUSTO_GLOBAL[[#Headers],[Férias e Adicional de Férias (titular)]])-2,0)*($G147-$H147)</f>
        <v>62.641166666666663</v>
      </c>
      <c r="AC147" s="21">
        <f>VLOOKUP($A147,tabCustoUnit[],COLUMN(CUSTO_GLOBAL[[#Headers],[Incidência do Submódulo 2.1 sobre 13º Salário, Férias e Adicional de Férias]])-2,0)*($G147-$H147)</f>
        <v>41.437131749999992</v>
      </c>
      <c r="AD147" s="21">
        <f>VLOOKUP($A147,tabCustoUnit[],COLUMN(CUSTO_GLOBAL[[#Headers],[Submódulo 2.2]])-2,0)*($G147-$H147)</f>
        <v>151.05917341666665</v>
      </c>
      <c r="AE147" s="22">
        <f>VLOOKUP($A147,tabCustoUnit[],COLUMN(CUSTO_GLOBAL[[#Headers],[Vale - Transporte (Descontada parcela do empregado)]])-2,0)*($G147-$H147)</f>
        <v>223.3492</v>
      </c>
      <c r="AF147" s="22">
        <f>VLOOKUP($A147,tabCustoUnit[],COLUMN(CUSTO_GLOBAL[[#Headers],[Vale - Alimentação (Descontada parcela do empregado)]])-2,0)*($G147-$H147)</f>
        <v>582</v>
      </c>
      <c r="AG147" s="22">
        <f>VLOOKUP($A147,tabCustoUnit[],COLUMN(CUSTO_GLOBAL[[#Headers],[Cesta Básica]])-2,0)*($G147-$H147)</f>
        <v>0</v>
      </c>
      <c r="AH147" s="22">
        <f>VLOOKUP($A147,tabCustoUnit[],COLUMN(CUSTO_GLOBAL[[#Headers],[PAF]])-2,0)*($G147-$H147)</f>
        <v>0</v>
      </c>
      <c r="AI147" s="22">
        <f>VLOOKUP($A147,tabCustoUnit[],COLUMN(CUSTO_GLOBAL[[#Headers],[PQM]])-2,0)*($G147-$H147)</f>
        <v>15.07</v>
      </c>
      <c r="AJ147" s="22">
        <v>0</v>
      </c>
      <c r="AK147" s="22">
        <f>VLOOKUP($A147,tabCustoUnit[],COLUMN(CUSTO_GLOBAL[[#Headers],[Seguro de Vida]])-2,0)*($G147-$H147)</f>
        <v>3.36</v>
      </c>
      <c r="AL147" s="22">
        <f>VLOOKUP($A147,tabCustoUnit[],COLUMN(CUSTO_GLOBAL[[#Headers],[Despesas de Viagem]])-2,0)*($G147-$H147)</f>
        <v>0</v>
      </c>
      <c r="AM147" s="22">
        <f>VLOOKUP($A147,tabCustoUnit[],COLUMN(CUSTO_GLOBAL[[#Headers],[Submódulo 2.3]])-2,0)*($G147-$H147)</f>
        <v>823.77920000000006</v>
      </c>
      <c r="AN147" s="22">
        <f>VLOOKUP($A147,tabCustoUnit[],COLUMN(CUSTO_GLOBAL[[#Headers],[MÓDULO 2 - Total Encargos e Benefícios mensais e diários]])-2,0)*($G147-$H147)</f>
        <v>1187.9436224166666</v>
      </c>
      <c r="AO147" s="22">
        <f>VLOOKUP($A147,tabCustoUnit[],COLUMN(CUSTO_GLOBAL[[#Headers],[Aviso Prévio Indenizado (API) e Reflexo do Aviso Prévio Indenizado]])-2,0)*($G147-$H147)</f>
        <v>3.9530273735532404</v>
      </c>
      <c r="AP147" s="22">
        <f>VLOOKUP($A147,tabCustoUnit[],COLUMN(CUSTO_GLOBAL[[#Headers],[Incidência do FGTS sobre API e Reflexo do API]])-2,0)*($G147-$H147)</f>
        <v>0.31624218988425928</v>
      </c>
      <c r="AQ147" s="22">
        <f>VLOOKUP($A147,tabCustoUnit[],COLUMN(CUSTO_GLOBAL[[#Headers],[Multa Rescisória do FGTS sobre o Aviso Prévio Indenizado]])-2,0)*($G147-$H147)</f>
        <v>0.12649687595370371</v>
      </c>
      <c r="AR147" s="22">
        <f>VLOOKUP($A147,tabCustoUnit[],COLUMN(CUSTO_GLOBAL[[#Headers],[Aviso Prévio Trabalhado - APT]])-2,0)*($G147-$H147)</f>
        <v>1.9731967500000003</v>
      </c>
      <c r="AS147" s="22">
        <f>VLOOKUP($A147,tabCustoUnit[],COLUMN(CUSTO_GLOBAL[[#Headers],[Incidência dos encargos do submódulo 2.1 sobre Aviso Prévio Trabalhado]])-2,0)*($G147-$H147)</f>
        <v>0.74586837150000018</v>
      </c>
      <c r="AT147" s="22">
        <f>VLOOKUP($A147,tabCustoUnit[],COLUMN(CUSTO_GLOBAL[[#Headers],[Multa Rescisória do FGTS]])-2,0)*($G147-$H147)</f>
        <v>17.238849066666663</v>
      </c>
      <c r="AU147" s="22">
        <f>VLOOKUP($A147,tabCustoUnit[],COLUMN(CUSTO_GLOBAL[[#Headers],[Indenização Adicional (Art. 9º da Lei nº 7.238/84)]])-2,0)*($G147-$H147)</f>
        <v>0.46980875</v>
      </c>
      <c r="AV147" s="22">
        <f>VLOOKUP($A147,tabCustoUnit[],COLUMN(CUSTO_GLOBAL[[#Headers],[MÓDULO 3 – PROVISÃO PARA RESCISÃO]])-2,0)*($G147-$H147)</f>
        <v>24.823489377557866</v>
      </c>
      <c r="AW147" s="22">
        <f>VLOOKUP($A147,tabCustoUnit[],COLUMN(CUSTO_GLOBAL[[#Headers],[Ausência por Doença]])-2,0)*($G147-$H147)</f>
        <v>4.7607286666666662</v>
      </c>
      <c r="AX147" s="22">
        <f>VLOOKUP($A147,tabCustoUnit[],COLUMN(CUSTO_GLOBAL[[#Headers],[Ausências Legais]])-2,0)*($G147-$H147)</f>
        <v>1.1432012916666665</v>
      </c>
      <c r="AY147" s="22">
        <f>VLOOKUP($A147,tabCustoUnit[],COLUMN(CUSTO_GLOBAL[[#Headers],[Licença Paternidade]])-2,0)*($G147-$H147)</f>
        <v>9.6310793749999998E-2</v>
      </c>
      <c r="AZ147" s="22">
        <f>VLOOKUP($A147,tabCustoUnit[],COLUMN(CUSTO_GLOBAL[[#Headers],[Ausência por Acidente de Trabalho]])-2,0)*($G147-$H147)</f>
        <v>0.1174521875</v>
      </c>
      <c r="BA147" s="22">
        <f>VLOOKUP($A147,tabCustoUnit[],COLUMN(CUSTO_GLOBAL[[#Headers],[Férias, Adicional de Férias e 13º  com empregada em gozo de Licença Maternidade]])-2,0)*($G147-$H147)</f>
        <v>0.73081361111111109</v>
      </c>
      <c r="BB147" s="22">
        <f>VLOOKUP($A147,tabCustoUnit[],COLUMN(CUSTO_GLOBAL[[#Headers],[Incidência do Submódulo 2.1 sobre Ausências Legais]])-2,0)*($G147-$H147)</f>
        <v>2.5887354761625003</v>
      </c>
      <c r="BC147" s="22">
        <f>VLOOKUP($A147,tabCustoUnit[],COLUMN(CUSTO_GLOBAL[[#Headers],[Submódulo 4.1]])-2,0)*($G147-$H147)</f>
        <v>9.4372420268569428</v>
      </c>
      <c r="BD147" s="22">
        <f>VLOOKUP($A147,tabCustoUnit[],COLUMN(CUSTO_GLOBAL[[#Headers],[Intervalo para Repouso ou Alimentação]])-2,0)*($G147-$H147)</f>
        <v>0</v>
      </c>
      <c r="BE147" s="22">
        <f>VLOOKUP($A147,tabCustoUnit[],COLUMN(CUSTO_GLOBAL[[#Headers],[Submódulo 4.2]])-2,0)*($G147-$H147)</f>
        <v>0</v>
      </c>
      <c r="BF147" s="22">
        <f>VLOOKUP($A147,tabCustoUnit[],COLUMN(CUSTO_GLOBAL[[#Headers],[Suspensão Temporária do Contrato de Trabalho]])-2,0)*($G147-$H147)</f>
        <v>0</v>
      </c>
      <c r="BG147" s="22">
        <f>VLOOKUP($A147,tabCustoUnit[],COLUMN(CUSTO_GLOBAL[[#Headers],[Submódulo 4.3]])-2,0)*($G147-$H147)</f>
        <v>0</v>
      </c>
      <c r="BH147" s="22">
        <f>VLOOKUP($A147,tabCustoUnit[],COLUMN(CUSTO_GLOBAL[[#Headers],[MÓDULO 4 – CUSTO DE REPOSIÇÃO DO PROFISSIONAL AUSENTE]])-2,0)*($G147-$H147)</f>
        <v>9.4372420268569428</v>
      </c>
      <c r="BI147" s="22">
        <f>VLOOKUP($A147,tabCustoUnit[],COLUMN(CUSTO_GLOBAL[[#Headers],[Uniformes e EPIs]])-2,0)*($G147-$H147)</f>
        <v>62.806666666666665</v>
      </c>
      <c r="BJ147" s="22">
        <f>VLOOKUP($A147,tabCustoUnit[],COLUMN(CUSTO_GLOBAL[[#Headers],[Materiais de Consumo]])-2,0)*($G147-$H147)</f>
        <v>12.108481690426325</v>
      </c>
      <c r="BK147" s="22">
        <f>VLOOKUP($A147,tabCustoUnit[],COLUMN(CUSTO_GLOBAL[[#Headers],[Máquinas e Equipamentos (depreciação)]])-2,0)*($G147-$H147)</f>
        <v>21.998657016417809</v>
      </c>
      <c r="BL147" s="22">
        <f>VLOOKUP($A147,tabCustoUnit[],COLUMN(CUSTO_GLOBAL[[#Headers],[Produtos de Limpeza e Materiais de Higiene Pessoal]])-2,0)*($G147-$H147)</f>
        <v>235.31984072022155</v>
      </c>
      <c r="BM147" s="22">
        <f>VLOOKUP($A147,tabCustoUnit[],COLUMN(CUSTO_GLOBAL[[#Headers],[Outros (especificar)]])-2,0)*($G147-$H147)</f>
        <v>0</v>
      </c>
      <c r="BN147" s="22">
        <f>VLOOKUP($A147,tabCustoUnit[],COLUMN(CUSTO_GLOBAL[[#Headers],[MÓDULO 5 – INSUMOS DIVERSOS]])-2,0)*($G147-$H147)</f>
        <v>332.23364609373232</v>
      </c>
      <c r="BO147" s="22">
        <f>VLOOKUP($A147,tabCustoUnit[],COLUMN(CUSTO_GLOBAL[[#Headers],[TOTAL MÓDULOS 1+2+3+4+5]])-2,0)*($G147-$H147)</f>
        <v>2118.2084999148137</v>
      </c>
      <c r="BP147" s="22">
        <f>VLOOKUP($A147,tabCustoUnit[],COLUMN(CUSTO_GLOBAL[[#Headers],[Custos Indiretos]])-2,0)*($G147-$H147)</f>
        <v>189.64880140242613</v>
      </c>
      <c r="BQ147" s="22">
        <f>VLOOKUP($A147,tabCustoUnit[],COLUMN(CUSTO_GLOBAL[[#Headers],[Lucro]])-2,0)*($G147-$H147)</f>
        <v>159.30499317803796</v>
      </c>
      <c r="BR147" s="26">
        <f>VLOOKUP($A147,tabCustoUnit[],COLUMN(CUSTO_GLOBAL[[#Headers],[COFINS]])-2,0)</f>
        <v>8.6609686609686695E-2</v>
      </c>
      <c r="BS147" s="26">
        <f>VLOOKUP($A147,tabCustoUnit[],COLUMN(CUSTO_GLOBAL[[#Headers],[PIS]])-2,0)</f>
        <v>1.880341880341882E-2</v>
      </c>
      <c r="BT147" s="28">
        <f>VLOOKUP($A147,tabCustoUnit[],COLUMN(CUSTO_GLOBAL[[#Headers],[ISS]])-2,0)</f>
        <v>0.03</v>
      </c>
      <c r="BU147" s="26">
        <f>VLOOKUP($A147,tabCustoUnit[],COLUMN(CUSTO_GLOBAL[[#Headers],[ISS (Conversão Alíquota s/ fatura)]])-2,0)</f>
        <v>3.4188034188034219E-2</v>
      </c>
      <c r="BV147" s="26">
        <f>VLOOKUP($A147,tabCustoUnit[],COLUMN(CUSTO_GLOBAL[[#Headers],[Resumo de Alíquotas (PIS+CONFINS+ISS)]])-2,0)</f>
        <v>0.1225</v>
      </c>
      <c r="BW147" s="138">
        <f>VLOOKUP($A147,tabCustoUnit[],COLUMN(CUSTO_GLOBAL[[#Headers],[PIS + COFINS + ISS (Total Conversão  Alíquota s/ Fatura)]])-2,0)</f>
        <v>0.13960113960113973</v>
      </c>
      <c r="BX147" s="22">
        <f>VLOOKUP($A147,tabCustoUnit[],COLUMN(CUSTO_GLOBAL[[#Headers],[Valor dos Tributos (ISS, PIS, CONFINS)]])-2,0)*($G147-$H147)</f>
        <v>344.41866789250349</v>
      </c>
      <c r="BY147" s="22">
        <f>VLOOKUP($A147,tabCustoUnit[],COLUMN(CUSTO_GLOBAL[[#Headers],[MÓDULO 6 – CUSTOS INDIRETOS, TRIBUTOS E LUCRO]])-2,0)*($G147-$H147)</f>
        <v>693.37246247296753</v>
      </c>
      <c r="BZ147" s="22">
        <f>VLOOKUP($A147,tabCustoUnit[],COLUMN(CUSTO_GLOBAL[[#Headers],[CUSTO TOTAL MENSAL]])-2,0)*($G147-$H147)</f>
        <v>2811.5809623877813</v>
      </c>
      <c r="CA147" s="22">
        <f>CUSTO_GLOBAL[[#This Row],[CUSTO TOTAL MENSAL]]*12</f>
        <v>33738.971548653375</v>
      </c>
      <c r="CB147" s="24">
        <f>VLOOKUP($A147,tabCustoUnit[],COLUMN(CUSTO_GLOBAL[[#Headers],[ANO DA CCT]])-2,0)</f>
        <v>45658</v>
      </c>
      <c r="CC147" s="25" t="str">
        <f>VLOOKUP($A147,tabCustoUnit[],COLUMN(CUSTO_GLOBAL[[#Headers],[Nº DE PEDIDO DA CCT]])-2,0)</f>
        <v>-</v>
      </c>
      <c r="CD147" s="25" t="str">
        <f>VLOOKUP($A147,tabCustoUnit[],COLUMN(CUSTO_GLOBAL[[#Headers],[TERMO ADITIVO  ALTERAÇÃO DA CCT]])-2,0)</f>
        <v>-</v>
      </c>
      <c r="CF147" s="22"/>
      <c r="CG147" s="22"/>
    </row>
    <row r="148" spans="1:85" x14ac:dyDescent="0.25">
      <c r="A148" s="20" t="s">
        <v>1484</v>
      </c>
      <c r="B148" t="s">
        <v>133</v>
      </c>
      <c r="C148" t="s">
        <v>1245</v>
      </c>
      <c r="D148" t="s">
        <v>1041</v>
      </c>
      <c r="E148" s="20" t="s">
        <v>9</v>
      </c>
      <c r="F148" s="20" t="s">
        <v>10</v>
      </c>
      <c r="G148" s="20">
        <v>1</v>
      </c>
      <c r="H148" s="20">
        <v>0</v>
      </c>
      <c r="I148" s="21">
        <f>VLOOKUP($A148,tabCustoUnit[],COLUMN(CUSTO_GLOBAL[[#Headers],[Salário Base]])-2,0)*($G148-$H148)</f>
        <v>1596.28</v>
      </c>
      <c r="J148" s="21">
        <f>VLOOKUP($A148,tabCustoUnit[],COLUMN(CUSTO_GLOBAL[[#Headers],[Adicional Periculosidade]])-2,0)*($G148-$H148)</f>
        <v>0</v>
      </c>
      <c r="K148" s="21">
        <f>VLOOKUP($A148,tabCustoUnit[],COLUMN(CUSTO_GLOBAL[[#Headers],[Adicional Insalubridade]])-2,0)*($G148-$H148)</f>
        <v>0</v>
      </c>
      <c r="L148" s="21">
        <f>VLOOKUP($A148,tabCustoUnit[],COLUMN(CUSTO_GLOBAL[[#Headers],[Adicional Noturno]])-2,0)*($G148-$H148)</f>
        <v>0</v>
      </c>
      <c r="M148" s="21">
        <f>VLOOKUP($A148,tabCustoUnit[],COLUMN(CUSTO_GLOBAL[[#Headers],[Adicional Motorista II (Gratificação)]])-2,0)*($G148-$H148)</f>
        <v>0</v>
      </c>
      <c r="N148" s="21">
        <f>VLOOKUP($A148,tabCustoUnit[],COLUMN(CUSTO_GLOBAL[[#Headers],[Adicional de Sobreaviso]])-2,0)*($G148-$H148)</f>
        <v>0</v>
      </c>
      <c r="O148" s="21">
        <f>VLOOKUP($A148,tabCustoUnit[],COLUMN(CUSTO_GLOBAL[[#Headers],[Horas Extras TI]])-2,0)*($G148-$H148)</f>
        <v>0</v>
      </c>
      <c r="P148" s="21">
        <f>VLOOKUP($A148,tabCustoUnit[],COLUMN(CUSTO_GLOBAL[[#Headers],[Adicional de Acúmulo de função]])-2,0)*($G148-$H148)</f>
        <v>52.241900000000001</v>
      </c>
      <c r="Q148" s="21">
        <f>VLOOKUP($A148,tabCustoUnit[],COLUMN(CUSTO_GLOBAL[[#Headers],[MODULO 1 - REMUNERAÇÃO ]])-2,0)*($G148-$H148)</f>
        <v>1648.5219</v>
      </c>
      <c r="R148" s="21">
        <f>VLOOKUP($A148,tabCustoUnit[],COLUMN(CUSTO_GLOBAL[[#Headers],[INSS]])-2,0)*($G148-$H148)</f>
        <v>329.70438000000001</v>
      </c>
      <c r="S148" s="21">
        <f>VLOOKUP($A148,tabCustoUnit[],COLUMN(CUSTO_GLOBAL[[#Headers],[SESI OU SESC]])-2,0)*($G148-$H148)</f>
        <v>24.727828499999998</v>
      </c>
      <c r="T148" s="21">
        <f>VLOOKUP($A148,tabCustoUnit[],COLUMN(CUSTO_GLOBAL[[#Headers],[SENAI OU SENAC]])-2,0)*($G148-$H148)</f>
        <v>16.485219000000001</v>
      </c>
      <c r="U148" s="21">
        <f>VLOOKUP($A148,tabCustoUnit[],COLUMN(CUSTO_GLOBAL[[#Headers],[INCRA]])-2,0)*($G148-$H148)</f>
        <v>3.2970438</v>
      </c>
      <c r="V148" s="21">
        <f>VLOOKUP($A148,tabCustoUnit[],COLUMN(CUSTO_GLOBAL[[#Headers],[Salário Educação]])-2,0)*($G148-$H148)</f>
        <v>41.213047500000002</v>
      </c>
      <c r="W148" s="21">
        <f>VLOOKUP($A148,tabCustoUnit[],COLUMN(CUSTO_GLOBAL[[#Headers],[FGTS]])-2,0)*($G148-$H148)</f>
        <v>131.88175200000001</v>
      </c>
      <c r="X148" s="21">
        <f>VLOOKUP($A148,tabCustoUnit[],COLUMN(CUSTO_GLOBAL[[#Headers],[RAT Ajustado]])-2,0)*($G148-$H148)</f>
        <v>65.940876000000003</v>
      </c>
      <c r="Y148" s="21">
        <f>VLOOKUP($A148,tabCustoUnit[],COLUMN(CUSTO_GLOBAL[[#Headers],[SEBRAE]])-2,0)*($G148-$H148)</f>
        <v>9.8911314000000008</v>
      </c>
      <c r="Z148" s="21">
        <f>VLOOKUP($A148,tabCustoUnit[],COLUMN(CUSTO_GLOBAL[[#Headers],[Submódulo 2.1]])-2,0)*($G148-$H148)</f>
        <v>623.14127819999999</v>
      </c>
      <c r="AA148" s="21">
        <f>VLOOKUP($A148,tabCustoUnit[],COLUMN(CUSTO_GLOBAL[[#Headers],[13º salário (titular)]])-2,0)*($G148-$H148)</f>
        <v>137.376825</v>
      </c>
      <c r="AB148" s="21">
        <f>VLOOKUP($A148,tabCustoUnit[],COLUMN(CUSTO_GLOBAL[[#Headers],[Férias e Adicional de Férias (titular)]])-2,0)*($G148-$H148)</f>
        <v>183.16909999999999</v>
      </c>
      <c r="AC148" s="21">
        <f>VLOOKUP($A148,tabCustoUnit[],COLUMN(CUSTO_GLOBAL[[#Headers],[Incidência do Submódulo 2.1 sobre 13º Salário, Férias e Adicional de Férias]])-2,0)*($G148-$H148)</f>
        <v>121.16635965</v>
      </c>
      <c r="AD148" s="21">
        <f>VLOOKUP($A148,tabCustoUnit[],COLUMN(CUSTO_GLOBAL[[#Headers],[Submódulo 2.2]])-2,0)*($G148-$H148)</f>
        <v>441.71228465000002</v>
      </c>
      <c r="AE148" s="22">
        <f>VLOOKUP($A148,tabCustoUnit[],COLUMN(CUSTO_GLOBAL[[#Headers],[Vale - Transporte (Descontada parcela do empregado)]])-2,0)*($G148-$H148)</f>
        <v>160.22320000000002</v>
      </c>
      <c r="AF148" s="22">
        <f>VLOOKUP($A148,tabCustoUnit[],COLUMN(CUSTO_GLOBAL[[#Headers],[Vale - Alimentação (Descontada parcela do empregado)]])-2,0)*($G148-$H148)</f>
        <v>582</v>
      </c>
      <c r="AG148" s="22">
        <f>VLOOKUP($A148,tabCustoUnit[],COLUMN(CUSTO_GLOBAL[[#Headers],[Cesta Básica]])-2,0)*($G148-$H148)</f>
        <v>0</v>
      </c>
      <c r="AH148" s="22">
        <f>VLOOKUP($A148,tabCustoUnit[],COLUMN(CUSTO_GLOBAL[[#Headers],[PAF]])-2,0)*($G148-$H148)</f>
        <v>0</v>
      </c>
      <c r="AI148" s="22">
        <f>VLOOKUP($A148,tabCustoUnit[],COLUMN(CUSTO_GLOBAL[[#Headers],[PQM]])-2,0)*($G148-$H148)</f>
        <v>0</v>
      </c>
      <c r="AJ148" s="22">
        <v>0</v>
      </c>
      <c r="AK148" s="22">
        <f>VLOOKUP($A148,tabCustoUnit[],COLUMN(CUSTO_GLOBAL[[#Headers],[Seguro de Vida]])-2,0)*($G148-$H148)</f>
        <v>3.36</v>
      </c>
      <c r="AL148" s="22">
        <f>VLOOKUP($A148,tabCustoUnit[],COLUMN(CUSTO_GLOBAL[[#Headers],[Despesas de Viagem]])-2,0)*($G148-$H148)</f>
        <v>0</v>
      </c>
      <c r="AM148" s="22">
        <f>VLOOKUP($A148,tabCustoUnit[],COLUMN(CUSTO_GLOBAL[[#Headers],[Submódulo 2.3]])-2,0)*($G148-$H148)</f>
        <v>745.58320000000003</v>
      </c>
      <c r="AN148" s="22">
        <f>VLOOKUP($A148,tabCustoUnit[],COLUMN(CUSTO_GLOBAL[[#Headers],[MÓDULO 2 - Total Encargos e Benefícios mensais e diários]])-2,0)*($G148-$H148)</f>
        <v>1810.4367628499999</v>
      </c>
      <c r="AO148" s="22">
        <f>VLOOKUP($A148,tabCustoUnit[],COLUMN(CUSTO_GLOBAL[[#Headers],[Aviso Prévio Indenizado (API) e Reflexo do Aviso Prévio Indenizado]])-2,0)*($G148-$H148)</f>
        <v>11.559051416493055</v>
      </c>
      <c r="AP148" s="22">
        <f>VLOOKUP($A148,tabCustoUnit[],COLUMN(CUSTO_GLOBAL[[#Headers],[Incidência do FGTS sobre API e Reflexo do API]])-2,0)*($G148-$H148)</f>
        <v>0.92472411331944449</v>
      </c>
      <c r="AQ148" s="22">
        <f>VLOOKUP($A148,tabCustoUnit[],COLUMN(CUSTO_GLOBAL[[#Headers],[Multa Rescisória do FGTS sobre o Aviso Prévio Indenizado]])-2,0)*($G148-$H148)</f>
        <v>0.36988964532777785</v>
      </c>
      <c r="AR148" s="22">
        <f>VLOOKUP($A148,tabCustoUnit[],COLUMN(CUSTO_GLOBAL[[#Headers],[Aviso Prévio Trabalhado - APT]])-2,0)*($G148-$H148)</f>
        <v>5.7698266500000006</v>
      </c>
      <c r="AS148" s="22">
        <f>VLOOKUP($A148,tabCustoUnit[],COLUMN(CUSTO_GLOBAL[[#Headers],[Incidência dos encargos do submódulo 2.1 sobre Aviso Prévio Trabalhado]])-2,0)*($G148-$H148)</f>
        <v>2.1809944737000007</v>
      </c>
      <c r="AT148" s="22">
        <f>VLOOKUP($A148,tabCustoUnit[],COLUMN(CUSTO_GLOBAL[[#Headers],[Multa Rescisória do FGTS]])-2,0)*($G148-$H148)</f>
        <v>50.40813631999999</v>
      </c>
      <c r="AU148" s="22">
        <f>VLOOKUP($A148,tabCustoUnit[],COLUMN(CUSTO_GLOBAL[[#Headers],[Indenização Adicional (Art. 9º da Lei nº 7.238/84)]])-2,0)*($G148-$H148)</f>
        <v>1.3737682500000001</v>
      </c>
      <c r="AV148" s="22">
        <f>VLOOKUP($A148,tabCustoUnit[],COLUMN(CUSTO_GLOBAL[[#Headers],[MÓDULO 3 – PROVISÃO PARA RESCISÃO]])-2,0)*($G148-$H148)</f>
        <v>72.586390868840269</v>
      </c>
      <c r="AW148" s="22">
        <f>VLOOKUP($A148,tabCustoUnit[],COLUMN(CUSTO_GLOBAL[[#Headers],[Ausência por Doença]])-2,0)*($G148-$H148)</f>
        <v>13.920851599999999</v>
      </c>
      <c r="AX148" s="22">
        <f>VLOOKUP($A148,tabCustoUnit[],COLUMN(CUSTO_GLOBAL[[#Headers],[Ausências Legais]])-2,0)*($G148-$H148)</f>
        <v>3.3428360749999997</v>
      </c>
      <c r="AY148" s="22">
        <f>VLOOKUP($A148,tabCustoUnit[],COLUMN(CUSTO_GLOBAL[[#Headers],[Licença Paternidade]])-2,0)*($G148-$H148)</f>
        <v>0.28162249125</v>
      </c>
      <c r="AZ148" s="22">
        <f>VLOOKUP($A148,tabCustoUnit[],COLUMN(CUSTO_GLOBAL[[#Headers],[Ausência por Acidente de Trabalho]])-2,0)*($G148-$H148)</f>
        <v>0.34344206250000003</v>
      </c>
      <c r="BA148" s="22">
        <f>VLOOKUP($A148,tabCustoUnit[],COLUMN(CUSTO_GLOBAL[[#Headers],[Férias, Adicional de Férias e 13º  com empregada em gozo de Licença Maternidade]])-2,0)*($G148-$H148)</f>
        <v>2.1369728333333331</v>
      </c>
      <c r="BB148" s="22">
        <f>VLOOKUP($A148,tabCustoUnit[],COLUMN(CUSTO_GLOBAL[[#Headers],[Incidência do Submódulo 2.1 sobre Ausências Legais]])-2,0)*($G148-$H148)</f>
        <v>7.5697240734675013</v>
      </c>
      <c r="BC148" s="22">
        <f>VLOOKUP($A148,tabCustoUnit[],COLUMN(CUSTO_GLOBAL[[#Headers],[Submódulo 4.1]])-2,0)*($G148-$H148)</f>
        <v>27.595449135550833</v>
      </c>
      <c r="BD148" s="22">
        <f>VLOOKUP($A148,tabCustoUnit[],COLUMN(CUSTO_GLOBAL[[#Headers],[Intervalo para Repouso ou Alimentação]])-2,0)*($G148-$H148)</f>
        <v>0</v>
      </c>
      <c r="BE148" s="22">
        <f>VLOOKUP($A148,tabCustoUnit[],COLUMN(CUSTO_GLOBAL[[#Headers],[Submódulo 4.2]])-2,0)*($G148-$H148)</f>
        <v>0</v>
      </c>
      <c r="BF148" s="22">
        <f>VLOOKUP($A148,tabCustoUnit[],COLUMN(CUSTO_GLOBAL[[#Headers],[Suspensão Temporária do Contrato de Trabalho]])-2,0)*($G148-$H148)</f>
        <v>0</v>
      </c>
      <c r="BG148" s="22">
        <f>VLOOKUP($A148,tabCustoUnit[],COLUMN(CUSTO_GLOBAL[[#Headers],[Submódulo 4.3]])-2,0)*($G148-$H148)</f>
        <v>0</v>
      </c>
      <c r="BH148" s="22">
        <f>VLOOKUP($A148,tabCustoUnit[],COLUMN(CUSTO_GLOBAL[[#Headers],[MÓDULO 4 – CUSTO DE REPOSIÇÃO DO PROFISSIONAL AUSENTE]])-2,0)*($G148-$H148)</f>
        <v>27.595449135550833</v>
      </c>
      <c r="BI148" s="22">
        <f>VLOOKUP($A148,tabCustoUnit[],COLUMN(CUSTO_GLOBAL[[#Headers],[Uniformes e EPIs]])-2,0)*($G148-$H148)</f>
        <v>100.80916666666666</v>
      </c>
      <c r="BJ148" s="22">
        <f>VLOOKUP($A148,tabCustoUnit[],COLUMN(CUSTO_GLOBAL[[#Headers],[Materiais de Consumo]])-2,0)*($G148-$H148)</f>
        <v>35.518212958583888</v>
      </c>
      <c r="BK148" s="22">
        <f>VLOOKUP($A148,tabCustoUnit[],COLUMN(CUSTO_GLOBAL[[#Headers],[Máquinas e Equipamentos (depreciação)]])-2,0)*($G148-$H148)</f>
        <v>64.529393914825576</v>
      </c>
      <c r="BL148" s="22">
        <f>VLOOKUP($A148,tabCustoUnit[],COLUMN(CUSTO_GLOBAL[[#Headers],[Produtos de Limpeza e Materiais de Higiene Pessoal]])-2,0)*($G148-$H148)</f>
        <v>690.27153277931654</v>
      </c>
      <c r="BM148" s="22">
        <f>VLOOKUP($A148,tabCustoUnit[],COLUMN(CUSTO_GLOBAL[[#Headers],[Outros (especificar)]])-2,0)*($G148-$H148)</f>
        <v>0</v>
      </c>
      <c r="BN148" s="22">
        <f>VLOOKUP($A148,tabCustoUnit[],COLUMN(CUSTO_GLOBAL[[#Headers],[MÓDULO 5 – INSUMOS DIVERSOS]])-2,0)*($G148-$H148)</f>
        <v>891.12830631939266</v>
      </c>
      <c r="BO148" s="22">
        <f>VLOOKUP($A148,tabCustoUnit[],COLUMN(CUSTO_GLOBAL[[#Headers],[TOTAL MÓDULOS 1+2+3+4+5]])-2,0)*($G148-$H148)</f>
        <v>4450.2688091737837</v>
      </c>
      <c r="BP148" s="22">
        <f>VLOOKUP($A148,tabCustoUnit[],COLUMN(CUSTO_GLOBAL[[#Headers],[Custos Indiretos]])-2,0)*($G148-$H148)</f>
        <v>189.64880140242613</v>
      </c>
      <c r="BQ148" s="22">
        <f>VLOOKUP($A148,tabCustoUnit[],COLUMN(CUSTO_GLOBAL[[#Headers],[Lucro]])-2,0)*($G148-$H148)</f>
        <v>159.30499317803796</v>
      </c>
      <c r="BR148" s="26">
        <f>VLOOKUP($A148,tabCustoUnit[],COLUMN(CUSTO_GLOBAL[[#Headers],[COFINS]])-2,0)</f>
        <v>8.8629737609329504E-2</v>
      </c>
      <c r="BS148" s="26">
        <f>VLOOKUP($A148,tabCustoUnit[],COLUMN(CUSTO_GLOBAL[[#Headers],[PIS]])-2,0)</f>
        <v>1.9241982507288629E-2</v>
      </c>
      <c r="BT148" s="28">
        <f>VLOOKUP($A148,tabCustoUnit[],COLUMN(CUSTO_GLOBAL[[#Headers],[ISS]])-2,0)</f>
        <v>0.05</v>
      </c>
      <c r="BU148" s="26">
        <f>VLOOKUP($A148,tabCustoUnit[],COLUMN(CUSTO_GLOBAL[[#Headers],[ISS (Conversão Alíquota s/ fatura)]])-2,0)</f>
        <v>5.8309037900874633E-2</v>
      </c>
      <c r="BV148" s="26">
        <f>VLOOKUP($A148,tabCustoUnit[],COLUMN(CUSTO_GLOBAL[[#Headers],[Resumo de Alíquotas (PIS+CONFINS+ISS)]])-2,0)</f>
        <v>0.14250000000000002</v>
      </c>
      <c r="BW148" s="138">
        <f>VLOOKUP($A148,tabCustoUnit[],COLUMN(CUSTO_GLOBAL[[#Headers],[PIS + COFINS + ISS (Total Conversão  Alíquota s/ Fatura)]])-2,0)</f>
        <v>0.16618075801749277</v>
      </c>
      <c r="BX148" s="22">
        <f>VLOOKUP($A148,tabCustoUnit[],COLUMN(CUSTO_GLOBAL[[#Headers],[Valor dos Tributos (ISS, PIS, CONFINS)]])-2,0)*($G148-$H148)</f>
        <v>797.53845018656625</v>
      </c>
      <c r="BY148" s="22">
        <f>VLOOKUP($A148,tabCustoUnit[],COLUMN(CUSTO_GLOBAL[[#Headers],[MÓDULO 6 – CUSTOS INDIRETOS, TRIBUTOS E LUCRO]])-2,0)*($G148-$H148)</f>
        <v>1146.4922447670303</v>
      </c>
      <c r="BZ148" s="22">
        <f>VLOOKUP($A148,tabCustoUnit[],COLUMN(CUSTO_GLOBAL[[#Headers],[CUSTO TOTAL MENSAL]])-2,0)*($G148-$H148)</f>
        <v>5596.7610539408142</v>
      </c>
      <c r="CA148" s="22">
        <f>CUSTO_GLOBAL[[#This Row],[CUSTO TOTAL MENSAL]]*12</f>
        <v>67161.132647289778</v>
      </c>
      <c r="CB148" s="24">
        <f>VLOOKUP($A148,tabCustoUnit[],COLUMN(CUSTO_GLOBAL[[#Headers],[ANO DA CCT]])-2,0)</f>
        <v>45658</v>
      </c>
      <c r="CC148" s="25" t="str">
        <f>VLOOKUP($A148,tabCustoUnit[],COLUMN(CUSTO_GLOBAL[[#Headers],[Nº DE PEDIDO DA CCT]])-2,0)</f>
        <v>-</v>
      </c>
      <c r="CD148" s="25" t="str">
        <f>VLOOKUP($A148,tabCustoUnit[],COLUMN(CUSTO_GLOBAL[[#Headers],[TERMO ADITIVO  ALTERAÇÃO DA CCT]])-2,0)</f>
        <v>-</v>
      </c>
      <c r="CF148" s="22"/>
      <c r="CG148" s="22"/>
    </row>
    <row r="149" spans="1:85" x14ac:dyDescent="0.25">
      <c r="A149" s="20" t="s">
        <v>1485</v>
      </c>
      <c r="B149" t="s">
        <v>134</v>
      </c>
      <c r="C149" t="s">
        <v>1245</v>
      </c>
      <c r="D149" t="s">
        <v>1018</v>
      </c>
      <c r="E149" s="20" t="s">
        <v>9</v>
      </c>
      <c r="F149" s="20" t="s">
        <v>10</v>
      </c>
      <c r="G149" s="20">
        <v>1</v>
      </c>
      <c r="H149" s="20">
        <v>0</v>
      </c>
      <c r="I149" s="21">
        <f>VLOOKUP($A149,tabCustoUnit[],COLUMN(CUSTO_GLOBAL[[#Headers],[Salário Base]])-2,0)*($G149-$H149)</f>
        <v>1596.28</v>
      </c>
      <c r="J149" s="21">
        <f>VLOOKUP($A149,tabCustoUnit[],COLUMN(CUSTO_GLOBAL[[#Headers],[Adicional Periculosidade]])-2,0)*($G149-$H149)</f>
        <v>0</v>
      </c>
      <c r="K149" s="21">
        <f>VLOOKUP($A149,tabCustoUnit[],COLUMN(CUSTO_GLOBAL[[#Headers],[Adicional Insalubridade]])-2,0)*($G149-$H149)</f>
        <v>0</v>
      </c>
      <c r="L149" s="21">
        <f>VLOOKUP($A149,tabCustoUnit[],COLUMN(CUSTO_GLOBAL[[#Headers],[Adicional Noturno]])-2,0)*($G149-$H149)</f>
        <v>0</v>
      </c>
      <c r="M149" s="21">
        <f>VLOOKUP($A149,tabCustoUnit[],COLUMN(CUSTO_GLOBAL[[#Headers],[Adicional Motorista II (Gratificação)]])-2,0)*($G149-$H149)</f>
        <v>0</v>
      </c>
      <c r="N149" s="21">
        <f>VLOOKUP($A149,tabCustoUnit[],COLUMN(CUSTO_GLOBAL[[#Headers],[Adicional de Sobreaviso]])-2,0)*($G149-$H149)</f>
        <v>0</v>
      </c>
      <c r="O149" s="21">
        <f>VLOOKUP($A149,tabCustoUnit[],COLUMN(CUSTO_GLOBAL[[#Headers],[Horas Extras TI]])-2,0)*($G149-$H149)</f>
        <v>0</v>
      </c>
      <c r="P149" s="21">
        <f>VLOOKUP($A149,tabCustoUnit[],COLUMN(CUSTO_GLOBAL[[#Headers],[Adicional de Acúmulo de função]])-2,0)*($G149-$H149)</f>
        <v>52.241900000000001</v>
      </c>
      <c r="Q149" s="21">
        <f>VLOOKUP($A149,tabCustoUnit[],COLUMN(CUSTO_GLOBAL[[#Headers],[MODULO 1 - REMUNERAÇÃO ]])-2,0)*($G149-$H149)</f>
        <v>1648.5219</v>
      </c>
      <c r="R149" s="21">
        <f>VLOOKUP($A149,tabCustoUnit[],COLUMN(CUSTO_GLOBAL[[#Headers],[INSS]])-2,0)*($G149-$H149)</f>
        <v>329.70438000000001</v>
      </c>
      <c r="S149" s="21">
        <f>VLOOKUP($A149,tabCustoUnit[],COLUMN(CUSTO_GLOBAL[[#Headers],[SESI OU SESC]])-2,0)*($G149-$H149)</f>
        <v>24.727828499999998</v>
      </c>
      <c r="T149" s="21">
        <f>VLOOKUP($A149,tabCustoUnit[],COLUMN(CUSTO_GLOBAL[[#Headers],[SENAI OU SENAC]])-2,0)*($G149-$H149)</f>
        <v>16.485219000000001</v>
      </c>
      <c r="U149" s="21">
        <f>VLOOKUP($A149,tabCustoUnit[],COLUMN(CUSTO_GLOBAL[[#Headers],[INCRA]])-2,0)*($G149-$H149)</f>
        <v>3.2970438</v>
      </c>
      <c r="V149" s="21">
        <f>VLOOKUP($A149,tabCustoUnit[],COLUMN(CUSTO_GLOBAL[[#Headers],[Salário Educação]])-2,0)*($G149-$H149)</f>
        <v>41.213047500000002</v>
      </c>
      <c r="W149" s="21">
        <f>VLOOKUP($A149,tabCustoUnit[],COLUMN(CUSTO_GLOBAL[[#Headers],[FGTS]])-2,0)*($G149-$H149)</f>
        <v>131.88175200000001</v>
      </c>
      <c r="X149" s="21">
        <f>VLOOKUP($A149,tabCustoUnit[],COLUMN(CUSTO_GLOBAL[[#Headers],[RAT Ajustado]])-2,0)*($G149-$H149)</f>
        <v>65.940876000000003</v>
      </c>
      <c r="Y149" s="21">
        <f>VLOOKUP($A149,tabCustoUnit[],COLUMN(CUSTO_GLOBAL[[#Headers],[SEBRAE]])-2,0)*($G149-$H149)</f>
        <v>9.8911314000000008</v>
      </c>
      <c r="Z149" s="21">
        <f>VLOOKUP($A149,tabCustoUnit[],COLUMN(CUSTO_GLOBAL[[#Headers],[Submódulo 2.1]])-2,0)*($G149-$H149)</f>
        <v>623.14127819999999</v>
      </c>
      <c r="AA149" s="21">
        <f>VLOOKUP($A149,tabCustoUnit[],COLUMN(CUSTO_GLOBAL[[#Headers],[13º salário (titular)]])-2,0)*($G149-$H149)</f>
        <v>137.376825</v>
      </c>
      <c r="AB149" s="21">
        <f>VLOOKUP($A149,tabCustoUnit[],COLUMN(CUSTO_GLOBAL[[#Headers],[Férias e Adicional de Férias (titular)]])-2,0)*($G149-$H149)</f>
        <v>183.16909999999999</v>
      </c>
      <c r="AC149" s="21">
        <f>VLOOKUP($A149,tabCustoUnit[],COLUMN(CUSTO_GLOBAL[[#Headers],[Incidência do Submódulo 2.1 sobre 13º Salário, Férias e Adicional de Férias]])-2,0)*($G149-$H149)</f>
        <v>121.16635965</v>
      </c>
      <c r="AD149" s="21">
        <f>VLOOKUP($A149,tabCustoUnit[],COLUMN(CUSTO_GLOBAL[[#Headers],[Submódulo 2.2]])-2,0)*($G149-$H149)</f>
        <v>441.71228465000002</v>
      </c>
      <c r="AE149" s="22">
        <f>VLOOKUP($A149,tabCustoUnit[],COLUMN(CUSTO_GLOBAL[[#Headers],[Vale - Transporte (Descontada parcela do empregado)]])-2,0)*($G149-$H149)</f>
        <v>160.22320000000002</v>
      </c>
      <c r="AF149" s="22">
        <f>VLOOKUP($A149,tabCustoUnit[],COLUMN(CUSTO_GLOBAL[[#Headers],[Vale - Alimentação (Descontada parcela do empregado)]])-2,0)*($G149-$H149)</f>
        <v>582</v>
      </c>
      <c r="AG149" s="22">
        <f>VLOOKUP($A149,tabCustoUnit[],COLUMN(CUSTO_GLOBAL[[#Headers],[Cesta Básica]])-2,0)*($G149-$H149)</f>
        <v>0</v>
      </c>
      <c r="AH149" s="22">
        <f>VLOOKUP($A149,tabCustoUnit[],COLUMN(CUSTO_GLOBAL[[#Headers],[PAF]])-2,0)*($G149-$H149)</f>
        <v>51.88</v>
      </c>
      <c r="AI149" s="22">
        <f>VLOOKUP($A149,tabCustoUnit[],COLUMN(CUSTO_GLOBAL[[#Headers],[PQM]])-2,0)*($G149-$H149)</f>
        <v>0</v>
      </c>
      <c r="AJ149" s="22">
        <v>0</v>
      </c>
      <c r="AK149" s="22">
        <f>VLOOKUP($A149,tabCustoUnit[],COLUMN(CUSTO_GLOBAL[[#Headers],[Seguro de Vida]])-2,0)*($G149-$H149)</f>
        <v>3.36</v>
      </c>
      <c r="AL149" s="22">
        <f>VLOOKUP($A149,tabCustoUnit[],COLUMN(CUSTO_GLOBAL[[#Headers],[Despesas de Viagem]])-2,0)*($G149-$H149)</f>
        <v>0</v>
      </c>
      <c r="AM149" s="22">
        <f>VLOOKUP($A149,tabCustoUnit[],COLUMN(CUSTO_GLOBAL[[#Headers],[Submódulo 2.3]])-2,0)*($G149-$H149)</f>
        <v>797.46320000000003</v>
      </c>
      <c r="AN149" s="22">
        <f>VLOOKUP($A149,tabCustoUnit[],COLUMN(CUSTO_GLOBAL[[#Headers],[MÓDULO 2 - Total Encargos e Benefícios mensais e diários]])-2,0)*($G149-$H149)</f>
        <v>1862.31676285</v>
      </c>
      <c r="AO149" s="22">
        <f>VLOOKUP($A149,tabCustoUnit[],COLUMN(CUSTO_GLOBAL[[#Headers],[Aviso Prévio Indenizado (API) e Reflexo do Aviso Prévio Indenizado]])-2,0)*($G149-$H149)</f>
        <v>11.559051416493055</v>
      </c>
      <c r="AP149" s="22">
        <f>VLOOKUP($A149,tabCustoUnit[],COLUMN(CUSTO_GLOBAL[[#Headers],[Incidência do FGTS sobre API e Reflexo do API]])-2,0)*($G149-$H149)</f>
        <v>0.92472411331944449</v>
      </c>
      <c r="AQ149" s="22">
        <f>VLOOKUP($A149,tabCustoUnit[],COLUMN(CUSTO_GLOBAL[[#Headers],[Multa Rescisória do FGTS sobre o Aviso Prévio Indenizado]])-2,0)*($G149-$H149)</f>
        <v>0.36988964532777785</v>
      </c>
      <c r="AR149" s="22">
        <f>VLOOKUP($A149,tabCustoUnit[],COLUMN(CUSTO_GLOBAL[[#Headers],[Aviso Prévio Trabalhado - APT]])-2,0)*($G149-$H149)</f>
        <v>5.7698266500000006</v>
      </c>
      <c r="AS149" s="22">
        <f>VLOOKUP($A149,tabCustoUnit[],COLUMN(CUSTO_GLOBAL[[#Headers],[Incidência dos encargos do submódulo 2.1 sobre Aviso Prévio Trabalhado]])-2,0)*($G149-$H149)</f>
        <v>2.1809944737000007</v>
      </c>
      <c r="AT149" s="22">
        <f>VLOOKUP($A149,tabCustoUnit[],COLUMN(CUSTO_GLOBAL[[#Headers],[Multa Rescisória do FGTS]])-2,0)*($G149-$H149)</f>
        <v>50.40813631999999</v>
      </c>
      <c r="AU149" s="22">
        <f>VLOOKUP($A149,tabCustoUnit[],COLUMN(CUSTO_GLOBAL[[#Headers],[Indenização Adicional (Art. 9º da Lei nº 7.238/84)]])-2,0)*($G149-$H149)</f>
        <v>1.3737682500000001</v>
      </c>
      <c r="AV149" s="22">
        <f>VLOOKUP($A149,tabCustoUnit[],COLUMN(CUSTO_GLOBAL[[#Headers],[MÓDULO 3 – PROVISÃO PARA RESCISÃO]])-2,0)*($G149-$H149)</f>
        <v>72.586390868840269</v>
      </c>
      <c r="AW149" s="22">
        <f>VLOOKUP($A149,tabCustoUnit[],COLUMN(CUSTO_GLOBAL[[#Headers],[Ausência por Doença]])-2,0)*($G149-$H149)</f>
        <v>13.920851599999999</v>
      </c>
      <c r="AX149" s="22">
        <f>VLOOKUP($A149,tabCustoUnit[],COLUMN(CUSTO_GLOBAL[[#Headers],[Ausências Legais]])-2,0)*($G149-$H149)</f>
        <v>3.3428360749999997</v>
      </c>
      <c r="AY149" s="22">
        <f>VLOOKUP($A149,tabCustoUnit[],COLUMN(CUSTO_GLOBAL[[#Headers],[Licença Paternidade]])-2,0)*($G149-$H149)</f>
        <v>0.28162249125</v>
      </c>
      <c r="AZ149" s="22">
        <f>VLOOKUP($A149,tabCustoUnit[],COLUMN(CUSTO_GLOBAL[[#Headers],[Ausência por Acidente de Trabalho]])-2,0)*($G149-$H149)</f>
        <v>0.34344206250000003</v>
      </c>
      <c r="BA149" s="22">
        <f>VLOOKUP($A149,tabCustoUnit[],COLUMN(CUSTO_GLOBAL[[#Headers],[Férias, Adicional de Férias e 13º  com empregada em gozo de Licença Maternidade]])-2,0)*($G149-$H149)</f>
        <v>2.1369728333333331</v>
      </c>
      <c r="BB149" s="22">
        <f>VLOOKUP($A149,tabCustoUnit[],COLUMN(CUSTO_GLOBAL[[#Headers],[Incidência do Submódulo 2.1 sobre Ausências Legais]])-2,0)*($G149-$H149)</f>
        <v>7.5697240734675013</v>
      </c>
      <c r="BC149" s="22">
        <f>VLOOKUP($A149,tabCustoUnit[],COLUMN(CUSTO_GLOBAL[[#Headers],[Submódulo 4.1]])-2,0)*($G149-$H149)</f>
        <v>27.595449135550833</v>
      </c>
      <c r="BD149" s="22">
        <f>VLOOKUP($A149,tabCustoUnit[],COLUMN(CUSTO_GLOBAL[[#Headers],[Intervalo para Repouso ou Alimentação]])-2,0)*($G149-$H149)</f>
        <v>0</v>
      </c>
      <c r="BE149" s="22">
        <f>VLOOKUP($A149,tabCustoUnit[],COLUMN(CUSTO_GLOBAL[[#Headers],[Submódulo 4.2]])-2,0)*($G149-$H149)</f>
        <v>0</v>
      </c>
      <c r="BF149" s="22">
        <f>VLOOKUP($A149,tabCustoUnit[],COLUMN(CUSTO_GLOBAL[[#Headers],[Suspensão Temporária do Contrato de Trabalho]])-2,0)*($G149-$H149)</f>
        <v>0</v>
      </c>
      <c r="BG149" s="22">
        <f>VLOOKUP($A149,tabCustoUnit[],COLUMN(CUSTO_GLOBAL[[#Headers],[Submódulo 4.3]])-2,0)*($G149-$H149)</f>
        <v>0</v>
      </c>
      <c r="BH149" s="22">
        <f>VLOOKUP($A149,tabCustoUnit[],COLUMN(CUSTO_GLOBAL[[#Headers],[MÓDULO 4 – CUSTO DE REPOSIÇÃO DO PROFISSIONAL AUSENTE]])-2,0)*($G149-$H149)</f>
        <v>27.595449135550833</v>
      </c>
      <c r="BI149" s="22">
        <f>VLOOKUP($A149,tabCustoUnit[],COLUMN(CUSTO_GLOBAL[[#Headers],[Uniformes e EPIs]])-2,0)*($G149-$H149)</f>
        <v>100.80916666666666</v>
      </c>
      <c r="BJ149" s="22">
        <f>VLOOKUP($A149,tabCustoUnit[],COLUMN(CUSTO_GLOBAL[[#Headers],[Materiais de Consumo]])-2,0)*($G149-$H149)</f>
        <v>35.518212958583888</v>
      </c>
      <c r="BK149" s="22">
        <f>VLOOKUP($A149,tabCustoUnit[],COLUMN(CUSTO_GLOBAL[[#Headers],[Máquinas e Equipamentos (depreciação)]])-2,0)*($G149-$H149)</f>
        <v>64.529393914825576</v>
      </c>
      <c r="BL149" s="22">
        <f>VLOOKUP($A149,tabCustoUnit[],COLUMN(CUSTO_GLOBAL[[#Headers],[Produtos de Limpeza e Materiais de Higiene Pessoal]])-2,0)*($G149-$H149)</f>
        <v>690.27153277931654</v>
      </c>
      <c r="BM149" s="22">
        <f>VLOOKUP($A149,tabCustoUnit[],COLUMN(CUSTO_GLOBAL[[#Headers],[Outros (especificar)]])-2,0)*($G149-$H149)</f>
        <v>0</v>
      </c>
      <c r="BN149" s="22">
        <f>VLOOKUP($A149,tabCustoUnit[],COLUMN(CUSTO_GLOBAL[[#Headers],[MÓDULO 5 – INSUMOS DIVERSOS]])-2,0)*($G149-$H149)</f>
        <v>891.12830631939266</v>
      </c>
      <c r="BO149" s="22">
        <f>VLOOKUP($A149,tabCustoUnit[],COLUMN(CUSTO_GLOBAL[[#Headers],[TOTAL MÓDULOS 1+2+3+4+5]])-2,0)*($G149-$H149)</f>
        <v>4502.1488091737838</v>
      </c>
      <c r="BP149" s="22">
        <f>VLOOKUP($A149,tabCustoUnit[],COLUMN(CUSTO_GLOBAL[[#Headers],[Custos Indiretos]])-2,0)*($G149-$H149)</f>
        <v>189.64880140242613</v>
      </c>
      <c r="BQ149" s="22">
        <f>VLOOKUP($A149,tabCustoUnit[],COLUMN(CUSTO_GLOBAL[[#Headers],[Lucro]])-2,0)*($G149-$H149)</f>
        <v>159.30499317803796</v>
      </c>
      <c r="BR149" s="26">
        <f>VLOOKUP($A149,tabCustoUnit[],COLUMN(CUSTO_GLOBAL[[#Headers],[COFINS]])-2,0)</f>
        <v>8.6609686609686695E-2</v>
      </c>
      <c r="BS149" s="26">
        <f>VLOOKUP($A149,tabCustoUnit[],COLUMN(CUSTO_GLOBAL[[#Headers],[PIS]])-2,0)</f>
        <v>1.880341880341882E-2</v>
      </c>
      <c r="BT149" s="28">
        <f>VLOOKUP($A149,tabCustoUnit[],COLUMN(CUSTO_GLOBAL[[#Headers],[ISS]])-2,0)</f>
        <v>0.03</v>
      </c>
      <c r="BU149" s="26">
        <f>VLOOKUP($A149,tabCustoUnit[],COLUMN(CUSTO_GLOBAL[[#Headers],[ISS (Conversão Alíquota s/ fatura)]])-2,0)</f>
        <v>3.4188034188034219E-2</v>
      </c>
      <c r="BV149" s="26">
        <f>VLOOKUP($A149,tabCustoUnit[],COLUMN(CUSTO_GLOBAL[[#Headers],[Resumo de Alíquotas (PIS+CONFINS+ISS)]])-2,0)</f>
        <v>0.1225</v>
      </c>
      <c r="BW149" s="138">
        <f>VLOOKUP($A149,tabCustoUnit[],COLUMN(CUSTO_GLOBAL[[#Headers],[PIS + COFINS + ISS (Total Conversão  Alíquota s/ Fatura)]])-2,0)</f>
        <v>0.13960113960113973</v>
      </c>
      <c r="BX149" s="22">
        <f>VLOOKUP($A149,tabCustoUnit[],COLUMN(CUSTO_GLOBAL[[#Headers],[Valor dos Tributos (ISS, PIS, CONFINS)]])-2,0)*($G149-$H149)</f>
        <v>677.21945180614921</v>
      </c>
      <c r="BY149" s="22">
        <f>VLOOKUP($A149,tabCustoUnit[],COLUMN(CUSTO_GLOBAL[[#Headers],[MÓDULO 6 – CUSTOS INDIRETOS, TRIBUTOS E LUCRO]])-2,0)*($G149-$H149)</f>
        <v>1026.1732463866133</v>
      </c>
      <c r="BZ149" s="22">
        <f>VLOOKUP($A149,tabCustoUnit[],COLUMN(CUSTO_GLOBAL[[#Headers],[CUSTO TOTAL MENSAL]])-2,0)*($G149-$H149)</f>
        <v>5528.3220555603966</v>
      </c>
      <c r="CA149" s="22">
        <f>CUSTO_GLOBAL[[#This Row],[CUSTO TOTAL MENSAL]]*12</f>
        <v>66339.864666724752</v>
      </c>
      <c r="CB149" s="24">
        <f>VLOOKUP($A149,tabCustoUnit[],COLUMN(CUSTO_GLOBAL[[#Headers],[ANO DA CCT]])-2,0)</f>
        <v>45658</v>
      </c>
      <c r="CC149" s="25" t="str">
        <f>VLOOKUP($A149,tabCustoUnit[],COLUMN(CUSTO_GLOBAL[[#Headers],[Nº DE PEDIDO DA CCT]])-2,0)</f>
        <v>-</v>
      </c>
      <c r="CD149" s="25" t="str">
        <f>VLOOKUP($A149,tabCustoUnit[],COLUMN(CUSTO_GLOBAL[[#Headers],[TERMO ADITIVO  ALTERAÇÃO DA CCT]])-2,0)</f>
        <v>-</v>
      </c>
      <c r="CF149" s="22"/>
      <c r="CG149" s="22"/>
    </row>
    <row r="150" spans="1:85" x14ac:dyDescent="0.25">
      <c r="A150" s="20" t="s">
        <v>1486</v>
      </c>
      <c r="B150" t="s">
        <v>135</v>
      </c>
      <c r="C150" t="s">
        <v>1244</v>
      </c>
      <c r="D150" t="s">
        <v>1020</v>
      </c>
      <c r="E150" s="20" t="s">
        <v>9</v>
      </c>
      <c r="F150" s="20" t="s">
        <v>10</v>
      </c>
      <c r="G150" s="20">
        <v>1</v>
      </c>
      <c r="H150" s="20">
        <v>0</v>
      </c>
      <c r="I150" s="21">
        <f>VLOOKUP($A150,tabCustoUnit[],COLUMN(CUSTO_GLOBAL[[#Headers],[Salário Base]])-2,0)*($G150-$H150)</f>
        <v>798.14</v>
      </c>
      <c r="J150" s="21">
        <f>VLOOKUP($A150,tabCustoUnit[],COLUMN(CUSTO_GLOBAL[[#Headers],[Adicional Periculosidade]])-2,0)*($G150-$H150)</f>
        <v>0</v>
      </c>
      <c r="K150" s="21">
        <f>VLOOKUP($A150,tabCustoUnit[],COLUMN(CUSTO_GLOBAL[[#Headers],[Adicional Insalubridade]])-2,0)*($G150-$H150)</f>
        <v>0</v>
      </c>
      <c r="L150" s="21">
        <f>VLOOKUP($A150,tabCustoUnit[],COLUMN(CUSTO_GLOBAL[[#Headers],[Adicional Noturno]])-2,0)*($G150-$H150)</f>
        <v>0</v>
      </c>
      <c r="M150" s="21">
        <f>VLOOKUP($A150,tabCustoUnit[],COLUMN(CUSTO_GLOBAL[[#Headers],[Adicional Motorista II (Gratificação)]])-2,0)*($G150-$H150)</f>
        <v>0</v>
      </c>
      <c r="N150" s="21">
        <f>VLOOKUP($A150,tabCustoUnit[],COLUMN(CUSTO_GLOBAL[[#Headers],[Adicional de Sobreaviso]])-2,0)*($G150-$H150)</f>
        <v>0</v>
      </c>
      <c r="O150" s="21">
        <f>VLOOKUP($A150,tabCustoUnit[],COLUMN(CUSTO_GLOBAL[[#Headers],[Horas Extras TI]])-2,0)*($G150-$H150)</f>
        <v>0</v>
      </c>
      <c r="P150" s="21">
        <f>VLOOKUP($A150,tabCustoUnit[],COLUMN(CUSTO_GLOBAL[[#Headers],[Adicional de Acúmulo de função]])-2,0)*($G150-$H150)</f>
        <v>26.120899999999999</v>
      </c>
      <c r="Q150" s="21">
        <f>VLOOKUP($A150,tabCustoUnit[],COLUMN(CUSTO_GLOBAL[[#Headers],[MODULO 1 - REMUNERAÇÃO ]])-2,0)*($G150-$H150)</f>
        <v>824.26089999999999</v>
      </c>
      <c r="R150" s="21">
        <f>VLOOKUP($A150,tabCustoUnit[],COLUMN(CUSTO_GLOBAL[[#Headers],[INSS]])-2,0)*($G150-$H150)</f>
        <v>164.85218</v>
      </c>
      <c r="S150" s="21">
        <f>VLOOKUP($A150,tabCustoUnit[],COLUMN(CUSTO_GLOBAL[[#Headers],[SESI OU SESC]])-2,0)*($G150-$H150)</f>
        <v>12.363913499999999</v>
      </c>
      <c r="T150" s="21">
        <f>VLOOKUP($A150,tabCustoUnit[],COLUMN(CUSTO_GLOBAL[[#Headers],[SENAI OU SENAC]])-2,0)*($G150-$H150)</f>
        <v>8.2426089999999999</v>
      </c>
      <c r="U150" s="21">
        <f>VLOOKUP($A150,tabCustoUnit[],COLUMN(CUSTO_GLOBAL[[#Headers],[INCRA]])-2,0)*($G150-$H150)</f>
        <v>1.6485217999999999</v>
      </c>
      <c r="V150" s="21">
        <f>VLOOKUP($A150,tabCustoUnit[],COLUMN(CUSTO_GLOBAL[[#Headers],[Salário Educação]])-2,0)*($G150-$H150)</f>
        <v>20.606522500000001</v>
      </c>
      <c r="W150" s="21">
        <f>VLOOKUP($A150,tabCustoUnit[],COLUMN(CUSTO_GLOBAL[[#Headers],[FGTS]])-2,0)*($G150-$H150)</f>
        <v>65.940871999999999</v>
      </c>
      <c r="X150" s="21">
        <f>VLOOKUP($A150,tabCustoUnit[],COLUMN(CUSTO_GLOBAL[[#Headers],[RAT Ajustado]])-2,0)*($G150-$H150)</f>
        <v>32.970435999999999</v>
      </c>
      <c r="Y150" s="21">
        <f>VLOOKUP($A150,tabCustoUnit[],COLUMN(CUSTO_GLOBAL[[#Headers],[SEBRAE]])-2,0)*($G150-$H150)</f>
        <v>4.9455654000000004</v>
      </c>
      <c r="Z150" s="21">
        <f>VLOOKUP($A150,tabCustoUnit[],COLUMN(CUSTO_GLOBAL[[#Headers],[Submódulo 2.1]])-2,0)*($G150-$H150)</f>
        <v>311.57062020000001</v>
      </c>
      <c r="AA150" s="21">
        <f>VLOOKUP($A150,tabCustoUnit[],COLUMN(CUSTO_GLOBAL[[#Headers],[13º salário (titular)]])-2,0)*($G150-$H150)</f>
        <v>68.688408333333328</v>
      </c>
      <c r="AB150" s="21">
        <f>VLOOKUP($A150,tabCustoUnit[],COLUMN(CUSTO_GLOBAL[[#Headers],[Férias e Adicional de Férias (titular)]])-2,0)*($G150-$H150)</f>
        <v>91.584544444444433</v>
      </c>
      <c r="AC150" s="21">
        <f>VLOOKUP($A150,tabCustoUnit[],COLUMN(CUSTO_GLOBAL[[#Headers],[Incidência do Submódulo 2.1 sobre 13º Salário, Férias e Adicional de Férias]])-2,0)*($G150-$H150)</f>
        <v>60.583176149999993</v>
      </c>
      <c r="AD150" s="21">
        <f>VLOOKUP($A150,tabCustoUnit[],COLUMN(CUSTO_GLOBAL[[#Headers],[Submódulo 2.2]])-2,0)*($G150-$H150)</f>
        <v>220.85612892777775</v>
      </c>
      <c r="AE150" s="22">
        <f>VLOOKUP($A150,tabCustoUnit[],COLUMN(CUSTO_GLOBAL[[#Headers],[Vale - Transporte (Descontada parcela do empregado)]])-2,0)*($G150-$H150)</f>
        <v>208.11160000000001</v>
      </c>
      <c r="AF150" s="22">
        <f>VLOOKUP($A150,tabCustoUnit[],COLUMN(CUSTO_GLOBAL[[#Headers],[Vale - Alimentação (Descontada parcela do empregado)]])-2,0)*($G150-$H150)</f>
        <v>582</v>
      </c>
      <c r="AG150" s="22">
        <f>VLOOKUP($A150,tabCustoUnit[],COLUMN(CUSTO_GLOBAL[[#Headers],[Cesta Básica]])-2,0)*($G150-$H150)</f>
        <v>0</v>
      </c>
      <c r="AH150" s="22">
        <f>VLOOKUP($A150,tabCustoUnit[],COLUMN(CUSTO_GLOBAL[[#Headers],[PAF]])-2,0)*($G150-$H150)</f>
        <v>0</v>
      </c>
      <c r="AI150" s="22">
        <f>VLOOKUP($A150,tabCustoUnit[],COLUMN(CUSTO_GLOBAL[[#Headers],[PQM]])-2,0)*($G150-$H150)</f>
        <v>0</v>
      </c>
      <c r="AJ150" s="22">
        <v>0</v>
      </c>
      <c r="AK150" s="22">
        <f>VLOOKUP($A150,tabCustoUnit[],COLUMN(CUSTO_GLOBAL[[#Headers],[Seguro de Vida]])-2,0)*($G150-$H150)</f>
        <v>3.36</v>
      </c>
      <c r="AL150" s="22">
        <f>VLOOKUP($A150,tabCustoUnit[],COLUMN(CUSTO_GLOBAL[[#Headers],[Despesas de Viagem]])-2,0)*($G150-$H150)</f>
        <v>0</v>
      </c>
      <c r="AM150" s="22">
        <f>VLOOKUP($A150,tabCustoUnit[],COLUMN(CUSTO_GLOBAL[[#Headers],[Submódulo 2.3]])-2,0)*($G150-$H150)</f>
        <v>793.47159999999997</v>
      </c>
      <c r="AN150" s="22">
        <f>VLOOKUP($A150,tabCustoUnit[],COLUMN(CUSTO_GLOBAL[[#Headers],[MÓDULO 2 - Total Encargos e Benefícios mensais e diários]])-2,0)*($G150-$H150)</f>
        <v>1325.8983491277777</v>
      </c>
      <c r="AO150" s="22">
        <f>VLOOKUP($A150,tabCustoUnit[],COLUMN(CUSTO_GLOBAL[[#Headers],[Aviso Prévio Indenizado (API) e Reflexo do Aviso Prévio Indenizado]])-2,0)*($G150-$H150)</f>
        <v>5.7795253576581791</v>
      </c>
      <c r="AP150" s="22">
        <f>VLOOKUP($A150,tabCustoUnit[],COLUMN(CUSTO_GLOBAL[[#Headers],[Incidência do FGTS sobre API e Reflexo do API]])-2,0)*($G150-$H150)</f>
        <v>0.46236202861265435</v>
      </c>
      <c r="AQ150" s="22">
        <f>VLOOKUP($A150,tabCustoUnit[],COLUMN(CUSTO_GLOBAL[[#Headers],[Multa Rescisória do FGTS sobre o Aviso Prévio Indenizado]])-2,0)*($G150-$H150)</f>
        <v>0.18494481144506175</v>
      </c>
      <c r="AR150" s="22">
        <f>VLOOKUP($A150,tabCustoUnit[],COLUMN(CUSTO_GLOBAL[[#Headers],[Aviso Prévio Trabalhado - APT]])-2,0)*($G150-$H150)</f>
        <v>2.8849131500000005</v>
      </c>
      <c r="AS150" s="22">
        <f>VLOOKUP($A150,tabCustoUnit[],COLUMN(CUSTO_GLOBAL[[#Headers],[Incidência dos encargos do submódulo 2.1 sobre Aviso Prévio Trabalhado]])-2,0)*($G150-$H150)</f>
        <v>1.0904971707000004</v>
      </c>
      <c r="AT150" s="22">
        <f>VLOOKUP($A150,tabCustoUnit[],COLUMN(CUSTO_GLOBAL[[#Headers],[Multa Rescisória do FGTS]])-2,0)*($G150-$H150)</f>
        <v>25.204066631111107</v>
      </c>
      <c r="AU150" s="22">
        <f>VLOOKUP($A150,tabCustoUnit[],COLUMN(CUSTO_GLOBAL[[#Headers],[Indenização Adicional (Art. 9º da Lei nº 7.238/84)]])-2,0)*($G150-$H150)</f>
        <v>0.6868840833333334</v>
      </c>
      <c r="AV150" s="22">
        <f>VLOOKUP($A150,tabCustoUnit[],COLUMN(CUSTO_GLOBAL[[#Headers],[MÓDULO 3 – PROVISÃO PARA RESCISÃO]])-2,0)*($G150-$H150)</f>
        <v>36.293193232860339</v>
      </c>
      <c r="AW150" s="22">
        <f>VLOOKUP($A150,tabCustoUnit[],COLUMN(CUSTO_GLOBAL[[#Headers],[Ausência por Doença]])-2,0)*($G150-$H150)</f>
        <v>6.9604253777777769</v>
      </c>
      <c r="AX150" s="22">
        <f>VLOOKUP($A150,tabCustoUnit[],COLUMN(CUSTO_GLOBAL[[#Headers],[Ausências Legais]])-2,0)*($G150-$H150)</f>
        <v>1.671417936111111</v>
      </c>
      <c r="AY150" s="22">
        <f>VLOOKUP($A150,tabCustoUnit[],COLUMN(CUSTO_GLOBAL[[#Headers],[Licença Paternidade]])-2,0)*($G150-$H150)</f>
        <v>0.14081123708333332</v>
      </c>
      <c r="AZ150" s="22">
        <f>VLOOKUP($A150,tabCustoUnit[],COLUMN(CUSTO_GLOBAL[[#Headers],[Ausência por Acidente de Trabalho]])-2,0)*($G150-$H150)</f>
        <v>0.17172102083333335</v>
      </c>
      <c r="BA150" s="22">
        <f>VLOOKUP($A150,tabCustoUnit[],COLUMN(CUSTO_GLOBAL[[#Headers],[Férias, Adicional de Férias e 13º  com empregada em gozo de Licença Maternidade]])-2,0)*($G150-$H150)</f>
        <v>1.0684863518518517</v>
      </c>
      <c r="BB150" s="22">
        <f>VLOOKUP($A150,tabCustoUnit[],COLUMN(CUSTO_GLOBAL[[#Headers],[Incidência do Submódulo 2.1 sobre Ausências Legais]])-2,0)*($G150-$H150)</f>
        <v>3.7848618071425006</v>
      </c>
      <c r="BC150" s="22">
        <f>VLOOKUP($A150,tabCustoUnit[],COLUMN(CUSTO_GLOBAL[[#Headers],[Submódulo 4.1]])-2,0)*($G150-$H150)</f>
        <v>13.797723730799909</v>
      </c>
      <c r="BD150" s="22">
        <f>VLOOKUP($A150,tabCustoUnit[],COLUMN(CUSTO_GLOBAL[[#Headers],[Intervalo para Repouso ou Alimentação]])-2,0)*($G150-$H150)</f>
        <v>0</v>
      </c>
      <c r="BE150" s="22">
        <f>VLOOKUP($A150,tabCustoUnit[],COLUMN(CUSTO_GLOBAL[[#Headers],[Submódulo 4.2]])-2,0)*($G150-$H150)</f>
        <v>0</v>
      </c>
      <c r="BF150" s="22">
        <f>VLOOKUP($A150,tabCustoUnit[],COLUMN(CUSTO_GLOBAL[[#Headers],[Suspensão Temporária do Contrato de Trabalho]])-2,0)*($G150-$H150)</f>
        <v>0</v>
      </c>
      <c r="BG150" s="22">
        <f>VLOOKUP($A150,tabCustoUnit[],COLUMN(CUSTO_GLOBAL[[#Headers],[Submódulo 4.3]])-2,0)*($G150-$H150)</f>
        <v>0</v>
      </c>
      <c r="BH150" s="22">
        <f>VLOOKUP($A150,tabCustoUnit[],COLUMN(CUSTO_GLOBAL[[#Headers],[MÓDULO 4 – CUSTO DE REPOSIÇÃO DO PROFISSIONAL AUSENTE]])-2,0)*($G150-$H150)</f>
        <v>13.797723730799909</v>
      </c>
      <c r="BI150" s="22">
        <f>VLOOKUP($A150,tabCustoUnit[],COLUMN(CUSTO_GLOBAL[[#Headers],[Uniformes e EPIs]])-2,0)*($G150-$H150)</f>
        <v>62.806666666666665</v>
      </c>
      <c r="BJ150" s="22">
        <f>VLOOKUP($A150,tabCustoUnit[],COLUMN(CUSTO_GLOBAL[[#Headers],[Materiais de Consumo]])-2,0)*($G150-$H150)</f>
        <v>17.759106479291944</v>
      </c>
      <c r="BK150" s="22">
        <f>VLOOKUP($A150,tabCustoUnit[],COLUMN(CUSTO_GLOBAL[[#Headers],[Máquinas e Equipamentos (depreciação)]])-2,0)*($G150-$H150)</f>
        <v>32.264696957412788</v>
      </c>
      <c r="BL150" s="22">
        <f>VLOOKUP($A150,tabCustoUnit[],COLUMN(CUSTO_GLOBAL[[#Headers],[Produtos de Limpeza e Materiais de Higiene Pessoal]])-2,0)*($G150-$H150)</f>
        <v>345.13576638965827</v>
      </c>
      <c r="BM150" s="22">
        <f>VLOOKUP($A150,tabCustoUnit[],COLUMN(CUSTO_GLOBAL[[#Headers],[Outros (especificar)]])-2,0)*($G150-$H150)</f>
        <v>0</v>
      </c>
      <c r="BN150" s="22">
        <f>VLOOKUP($A150,tabCustoUnit[],COLUMN(CUSTO_GLOBAL[[#Headers],[MÓDULO 5 – INSUMOS DIVERSOS]])-2,0)*($G150-$H150)</f>
        <v>457.96623649302967</v>
      </c>
      <c r="BO150" s="22">
        <f>VLOOKUP($A150,tabCustoUnit[],COLUMN(CUSTO_GLOBAL[[#Headers],[TOTAL MÓDULOS 1+2+3+4+5]])-2,0)*($G150-$H150)</f>
        <v>2658.2164025844677</v>
      </c>
      <c r="BP150" s="22">
        <f>VLOOKUP($A150,tabCustoUnit[],COLUMN(CUSTO_GLOBAL[[#Headers],[Custos Indiretos]])-2,0)*($G150-$H150)</f>
        <v>189.64880140242613</v>
      </c>
      <c r="BQ150" s="22">
        <f>VLOOKUP($A150,tabCustoUnit[],COLUMN(CUSTO_GLOBAL[[#Headers],[Lucro]])-2,0)*($G150-$H150)</f>
        <v>159.30499317803796</v>
      </c>
      <c r="BR150" s="26">
        <f>VLOOKUP($A150,tabCustoUnit[],COLUMN(CUSTO_GLOBAL[[#Headers],[COFINS]])-2,0)</f>
        <v>8.6609686609686695E-2</v>
      </c>
      <c r="BS150" s="26">
        <f>VLOOKUP($A150,tabCustoUnit[],COLUMN(CUSTO_GLOBAL[[#Headers],[PIS]])-2,0)</f>
        <v>1.880341880341882E-2</v>
      </c>
      <c r="BT150" s="28">
        <f>VLOOKUP($A150,tabCustoUnit[],COLUMN(CUSTO_GLOBAL[[#Headers],[ISS]])-2,0)</f>
        <v>0.03</v>
      </c>
      <c r="BU150" s="26">
        <f>VLOOKUP($A150,tabCustoUnit[],COLUMN(CUSTO_GLOBAL[[#Headers],[ISS (Conversão Alíquota s/ fatura)]])-2,0)</f>
        <v>3.4188034188034219E-2</v>
      </c>
      <c r="BV150" s="26">
        <f>VLOOKUP($A150,tabCustoUnit[],COLUMN(CUSTO_GLOBAL[[#Headers],[Resumo de Alíquotas (PIS+CONFINS+ISS)]])-2,0)</f>
        <v>0.1225</v>
      </c>
      <c r="BW150" s="138">
        <f>VLOOKUP($A150,tabCustoUnit[],COLUMN(CUSTO_GLOBAL[[#Headers],[PIS + COFINS + ISS (Total Conversão  Alíquota s/ Fatura)]])-2,0)</f>
        <v>0.13960113960113973</v>
      </c>
      <c r="BX150" s="22">
        <f>VLOOKUP($A150,tabCustoUnit[],COLUMN(CUSTO_GLOBAL[[#Headers],[Valor dos Tributos (ISS, PIS, CONFINS)]])-2,0)*($G150-$H150)</f>
        <v>419.80438649880853</v>
      </c>
      <c r="BY150" s="22">
        <f>VLOOKUP($A150,tabCustoUnit[],COLUMN(CUSTO_GLOBAL[[#Headers],[MÓDULO 6 – CUSTOS INDIRETOS, TRIBUTOS E LUCRO]])-2,0)*($G150-$H150)</f>
        <v>768.75818107927262</v>
      </c>
      <c r="BZ150" s="22">
        <f>VLOOKUP($A150,tabCustoUnit[],COLUMN(CUSTO_GLOBAL[[#Headers],[CUSTO TOTAL MENSAL]])-2,0)*($G150-$H150)</f>
        <v>3426.9745836637403</v>
      </c>
      <c r="CA150" s="22">
        <f>CUSTO_GLOBAL[[#This Row],[CUSTO TOTAL MENSAL]]*12</f>
        <v>41123.69500396488</v>
      </c>
      <c r="CB150" s="24">
        <f>VLOOKUP($A150,tabCustoUnit[],COLUMN(CUSTO_GLOBAL[[#Headers],[ANO DA CCT]])-2,0)</f>
        <v>45658</v>
      </c>
      <c r="CC150" s="25" t="str">
        <f>VLOOKUP($A150,tabCustoUnit[],COLUMN(CUSTO_GLOBAL[[#Headers],[Nº DE PEDIDO DA CCT]])-2,0)</f>
        <v>-</v>
      </c>
      <c r="CD150" s="25" t="str">
        <f>VLOOKUP($A150,tabCustoUnit[],COLUMN(CUSTO_GLOBAL[[#Headers],[TERMO ADITIVO  ALTERAÇÃO DA CCT]])-2,0)</f>
        <v>-</v>
      </c>
      <c r="CF150" s="22"/>
      <c r="CG150" s="22"/>
    </row>
    <row r="151" spans="1:85" x14ac:dyDescent="0.25">
      <c r="A151" s="20" t="s">
        <v>1487</v>
      </c>
      <c r="B151" t="s">
        <v>136</v>
      </c>
      <c r="C151" t="s">
        <v>1247</v>
      </c>
      <c r="D151" t="s">
        <v>1000</v>
      </c>
      <c r="E151" s="20" t="s">
        <v>9</v>
      </c>
      <c r="F151" s="20" t="s">
        <v>10</v>
      </c>
      <c r="G151" s="20">
        <v>1</v>
      </c>
      <c r="H151" s="20">
        <v>0</v>
      </c>
      <c r="I151" s="21">
        <f>VLOOKUP($A151,tabCustoUnit[],COLUMN(CUSTO_GLOBAL[[#Headers],[Salário Base]])-2,0)*($G151-$H151)</f>
        <v>544.17999999999995</v>
      </c>
      <c r="J151" s="21">
        <f>VLOOKUP($A151,tabCustoUnit[],COLUMN(CUSTO_GLOBAL[[#Headers],[Adicional Periculosidade]])-2,0)*($G151-$H151)</f>
        <v>0</v>
      </c>
      <c r="K151" s="21">
        <f>VLOOKUP($A151,tabCustoUnit[],COLUMN(CUSTO_GLOBAL[[#Headers],[Adicional Insalubridade]])-2,0)*($G151-$H151)</f>
        <v>0</v>
      </c>
      <c r="L151" s="21">
        <f>VLOOKUP($A151,tabCustoUnit[],COLUMN(CUSTO_GLOBAL[[#Headers],[Adicional Noturno]])-2,0)*($G151-$H151)</f>
        <v>0</v>
      </c>
      <c r="M151" s="21">
        <f>VLOOKUP($A151,tabCustoUnit[],COLUMN(CUSTO_GLOBAL[[#Headers],[Adicional Motorista II (Gratificação)]])-2,0)*($G151-$H151)</f>
        <v>0</v>
      </c>
      <c r="N151" s="21">
        <f>VLOOKUP($A151,tabCustoUnit[],COLUMN(CUSTO_GLOBAL[[#Headers],[Adicional de Sobreaviso]])-2,0)*($G151-$H151)</f>
        <v>0</v>
      </c>
      <c r="O151" s="21">
        <f>VLOOKUP($A151,tabCustoUnit[],COLUMN(CUSTO_GLOBAL[[#Headers],[Horas Extras TI]])-2,0)*($G151-$H151)</f>
        <v>0</v>
      </c>
      <c r="P151" s="21">
        <f>VLOOKUP($A151,tabCustoUnit[],COLUMN(CUSTO_GLOBAL[[#Headers],[Adicional de Acúmulo de função]])-2,0)*($G151-$H151)</f>
        <v>19.590499999999999</v>
      </c>
      <c r="Q151" s="21">
        <f>VLOOKUP($A151,tabCustoUnit[],COLUMN(CUSTO_GLOBAL[[#Headers],[MODULO 1 - REMUNERAÇÃO ]])-2,0)*($G151-$H151)</f>
        <v>563.77049999999997</v>
      </c>
      <c r="R151" s="21">
        <f>VLOOKUP($A151,tabCustoUnit[],COLUMN(CUSTO_GLOBAL[[#Headers],[INSS]])-2,0)*($G151-$H151)</f>
        <v>112.75409999999999</v>
      </c>
      <c r="S151" s="21">
        <f>VLOOKUP($A151,tabCustoUnit[],COLUMN(CUSTO_GLOBAL[[#Headers],[SESI OU SESC]])-2,0)*($G151-$H151)</f>
        <v>8.4565574999999988</v>
      </c>
      <c r="T151" s="21">
        <f>VLOOKUP($A151,tabCustoUnit[],COLUMN(CUSTO_GLOBAL[[#Headers],[SENAI OU SENAC]])-2,0)*($G151-$H151)</f>
        <v>5.6377049999999995</v>
      </c>
      <c r="U151" s="21">
        <f>VLOOKUP($A151,tabCustoUnit[],COLUMN(CUSTO_GLOBAL[[#Headers],[INCRA]])-2,0)*($G151-$H151)</f>
        <v>1.1275409999999999</v>
      </c>
      <c r="V151" s="21">
        <f>VLOOKUP($A151,tabCustoUnit[],COLUMN(CUSTO_GLOBAL[[#Headers],[Salário Educação]])-2,0)*($G151-$H151)</f>
        <v>14.094262499999999</v>
      </c>
      <c r="W151" s="21">
        <f>VLOOKUP($A151,tabCustoUnit[],COLUMN(CUSTO_GLOBAL[[#Headers],[FGTS]])-2,0)*($G151-$H151)</f>
        <v>45.101639999999996</v>
      </c>
      <c r="X151" s="21">
        <f>VLOOKUP($A151,tabCustoUnit[],COLUMN(CUSTO_GLOBAL[[#Headers],[RAT Ajustado]])-2,0)*($G151-$H151)</f>
        <v>22.550819999999998</v>
      </c>
      <c r="Y151" s="21">
        <f>VLOOKUP($A151,tabCustoUnit[],COLUMN(CUSTO_GLOBAL[[#Headers],[SEBRAE]])-2,0)*($G151-$H151)</f>
        <v>3.3826229999999997</v>
      </c>
      <c r="Z151" s="21">
        <f>VLOOKUP($A151,tabCustoUnit[],COLUMN(CUSTO_GLOBAL[[#Headers],[Submódulo 2.1]])-2,0)*($G151-$H151)</f>
        <v>213.10524899999996</v>
      </c>
      <c r="AA151" s="21">
        <f>VLOOKUP($A151,tabCustoUnit[],COLUMN(CUSTO_GLOBAL[[#Headers],[13º salário (titular)]])-2,0)*($G151-$H151)</f>
        <v>46.980874999999997</v>
      </c>
      <c r="AB151" s="21">
        <f>VLOOKUP($A151,tabCustoUnit[],COLUMN(CUSTO_GLOBAL[[#Headers],[Férias e Adicional de Férias (titular)]])-2,0)*($G151-$H151)</f>
        <v>62.641166666666663</v>
      </c>
      <c r="AC151" s="21">
        <f>VLOOKUP($A151,tabCustoUnit[],COLUMN(CUSTO_GLOBAL[[#Headers],[Incidência do Submódulo 2.1 sobre 13º Salário, Férias e Adicional de Férias]])-2,0)*($G151-$H151)</f>
        <v>41.437131749999992</v>
      </c>
      <c r="AD151" s="21">
        <f>VLOOKUP($A151,tabCustoUnit[],COLUMN(CUSTO_GLOBAL[[#Headers],[Submódulo 2.2]])-2,0)*($G151-$H151)</f>
        <v>151.05917341666665</v>
      </c>
      <c r="AE151" s="22">
        <f>VLOOKUP($A151,tabCustoUnit[],COLUMN(CUSTO_GLOBAL[[#Headers],[Vale - Transporte (Descontada parcela do empregado)]])-2,0)*($G151-$H151)</f>
        <v>223.3492</v>
      </c>
      <c r="AF151" s="22">
        <f>VLOOKUP($A151,tabCustoUnit[],COLUMN(CUSTO_GLOBAL[[#Headers],[Vale - Alimentação (Descontada parcela do empregado)]])-2,0)*($G151-$H151)</f>
        <v>582</v>
      </c>
      <c r="AG151" s="22">
        <f>VLOOKUP($A151,tabCustoUnit[],COLUMN(CUSTO_GLOBAL[[#Headers],[Cesta Básica]])-2,0)*($G151-$H151)</f>
        <v>0</v>
      </c>
      <c r="AH151" s="22">
        <f>VLOOKUP($A151,tabCustoUnit[],COLUMN(CUSTO_GLOBAL[[#Headers],[PAF]])-2,0)*($G151-$H151)</f>
        <v>0</v>
      </c>
      <c r="AI151" s="22">
        <f>VLOOKUP($A151,tabCustoUnit[],COLUMN(CUSTO_GLOBAL[[#Headers],[PQM]])-2,0)*($G151-$H151)</f>
        <v>15.07</v>
      </c>
      <c r="AJ151" s="22">
        <v>0</v>
      </c>
      <c r="AK151" s="22">
        <f>VLOOKUP($A151,tabCustoUnit[],COLUMN(CUSTO_GLOBAL[[#Headers],[Seguro de Vida]])-2,0)*($G151-$H151)</f>
        <v>3.36</v>
      </c>
      <c r="AL151" s="22">
        <f>VLOOKUP($A151,tabCustoUnit[],COLUMN(CUSTO_GLOBAL[[#Headers],[Despesas de Viagem]])-2,0)*($G151-$H151)</f>
        <v>0</v>
      </c>
      <c r="AM151" s="22">
        <f>VLOOKUP($A151,tabCustoUnit[],COLUMN(CUSTO_GLOBAL[[#Headers],[Submódulo 2.3]])-2,0)*($G151-$H151)</f>
        <v>823.77920000000006</v>
      </c>
      <c r="AN151" s="22">
        <f>VLOOKUP($A151,tabCustoUnit[],COLUMN(CUSTO_GLOBAL[[#Headers],[MÓDULO 2 - Total Encargos e Benefícios mensais e diários]])-2,0)*($G151-$H151)</f>
        <v>1187.9436224166666</v>
      </c>
      <c r="AO151" s="22">
        <f>VLOOKUP($A151,tabCustoUnit[],COLUMN(CUSTO_GLOBAL[[#Headers],[Aviso Prévio Indenizado (API) e Reflexo do Aviso Prévio Indenizado]])-2,0)*($G151-$H151)</f>
        <v>3.9530273735532404</v>
      </c>
      <c r="AP151" s="22">
        <f>VLOOKUP($A151,tabCustoUnit[],COLUMN(CUSTO_GLOBAL[[#Headers],[Incidência do FGTS sobre API e Reflexo do API]])-2,0)*($G151-$H151)</f>
        <v>0.31624218988425928</v>
      </c>
      <c r="AQ151" s="22">
        <f>VLOOKUP($A151,tabCustoUnit[],COLUMN(CUSTO_GLOBAL[[#Headers],[Multa Rescisória do FGTS sobre o Aviso Prévio Indenizado]])-2,0)*($G151-$H151)</f>
        <v>0.12649687595370371</v>
      </c>
      <c r="AR151" s="22">
        <f>VLOOKUP($A151,tabCustoUnit[],COLUMN(CUSTO_GLOBAL[[#Headers],[Aviso Prévio Trabalhado - APT]])-2,0)*($G151-$H151)</f>
        <v>1.9731967500000003</v>
      </c>
      <c r="AS151" s="22">
        <f>VLOOKUP($A151,tabCustoUnit[],COLUMN(CUSTO_GLOBAL[[#Headers],[Incidência dos encargos do submódulo 2.1 sobre Aviso Prévio Trabalhado]])-2,0)*($G151-$H151)</f>
        <v>0.74586837150000018</v>
      </c>
      <c r="AT151" s="22">
        <f>VLOOKUP($A151,tabCustoUnit[],COLUMN(CUSTO_GLOBAL[[#Headers],[Multa Rescisória do FGTS]])-2,0)*($G151-$H151)</f>
        <v>17.238849066666663</v>
      </c>
      <c r="AU151" s="22">
        <f>VLOOKUP($A151,tabCustoUnit[],COLUMN(CUSTO_GLOBAL[[#Headers],[Indenização Adicional (Art. 9º da Lei nº 7.238/84)]])-2,0)*($G151-$H151)</f>
        <v>0.46980875</v>
      </c>
      <c r="AV151" s="22">
        <f>VLOOKUP($A151,tabCustoUnit[],COLUMN(CUSTO_GLOBAL[[#Headers],[MÓDULO 3 – PROVISÃO PARA RESCISÃO]])-2,0)*($G151-$H151)</f>
        <v>24.823489377557866</v>
      </c>
      <c r="AW151" s="22">
        <f>VLOOKUP($A151,tabCustoUnit[],COLUMN(CUSTO_GLOBAL[[#Headers],[Ausência por Doença]])-2,0)*($G151-$H151)</f>
        <v>4.7607286666666662</v>
      </c>
      <c r="AX151" s="22">
        <f>VLOOKUP($A151,tabCustoUnit[],COLUMN(CUSTO_GLOBAL[[#Headers],[Ausências Legais]])-2,0)*($G151-$H151)</f>
        <v>1.1432012916666665</v>
      </c>
      <c r="AY151" s="22">
        <f>VLOOKUP($A151,tabCustoUnit[],COLUMN(CUSTO_GLOBAL[[#Headers],[Licença Paternidade]])-2,0)*($G151-$H151)</f>
        <v>9.6310793749999998E-2</v>
      </c>
      <c r="AZ151" s="22">
        <f>VLOOKUP($A151,tabCustoUnit[],COLUMN(CUSTO_GLOBAL[[#Headers],[Ausência por Acidente de Trabalho]])-2,0)*($G151-$H151)</f>
        <v>0.1174521875</v>
      </c>
      <c r="BA151" s="22">
        <f>VLOOKUP($A151,tabCustoUnit[],COLUMN(CUSTO_GLOBAL[[#Headers],[Férias, Adicional de Férias e 13º  com empregada em gozo de Licença Maternidade]])-2,0)*($G151-$H151)</f>
        <v>0.73081361111111109</v>
      </c>
      <c r="BB151" s="22">
        <f>VLOOKUP($A151,tabCustoUnit[],COLUMN(CUSTO_GLOBAL[[#Headers],[Incidência do Submódulo 2.1 sobre Ausências Legais]])-2,0)*($G151-$H151)</f>
        <v>2.5887354761625003</v>
      </c>
      <c r="BC151" s="22">
        <f>VLOOKUP($A151,tabCustoUnit[],COLUMN(CUSTO_GLOBAL[[#Headers],[Submódulo 4.1]])-2,0)*($G151-$H151)</f>
        <v>9.4372420268569428</v>
      </c>
      <c r="BD151" s="22">
        <f>VLOOKUP($A151,tabCustoUnit[],COLUMN(CUSTO_GLOBAL[[#Headers],[Intervalo para Repouso ou Alimentação]])-2,0)*($G151-$H151)</f>
        <v>0</v>
      </c>
      <c r="BE151" s="22">
        <f>VLOOKUP($A151,tabCustoUnit[],COLUMN(CUSTO_GLOBAL[[#Headers],[Submódulo 4.2]])-2,0)*($G151-$H151)</f>
        <v>0</v>
      </c>
      <c r="BF151" s="22">
        <f>VLOOKUP($A151,tabCustoUnit[],COLUMN(CUSTO_GLOBAL[[#Headers],[Suspensão Temporária do Contrato de Trabalho]])-2,0)*($G151-$H151)</f>
        <v>0</v>
      </c>
      <c r="BG151" s="22">
        <f>VLOOKUP($A151,tabCustoUnit[],COLUMN(CUSTO_GLOBAL[[#Headers],[Submódulo 4.3]])-2,0)*($G151-$H151)</f>
        <v>0</v>
      </c>
      <c r="BH151" s="22">
        <f>VLOOKUP($A151,tabCustoUnit[],COLUMN(CUSTO_GLOBAL[[#Headers],[MÓDULO 4 – CUSTO DE REPOSIÇÃO DO PROFISSIONAL AUSENTE]])-2,0)*($G151-$H151)</f>
        <v>9.4372420268569428</v>
      </c>
      <c r="BI151" s="22">
        <f>VLOOKUP($A151,tabCustoUnit[],COLUMN(CUSTO_GLOBAL[[#Headers],[Uniformes e EPIs]])-2,0)*($G151-$H151)</f>
        <v>62.806666666666665</v>
      </c>
      <c r="BJ151" s="22">
        <f>VLOOKUP($A151,tabCustoUnit[],COLUMN(CUSTO_GLOBAL[[#Headers],[Materiais de Consumo]])-2,0)*($G151-$H151)</f>
        <v>12.108481690426325</v>
      </c>
      <c r="BK151" s="22">
        <f>VLOOKUP($A151,tabCustoUnit[],COLUMN(CUSTO_GLOBAL[[#Headers],[Máquinas e Equipamentos (depreciação)]])-2,0)*($G151-$H151)</f>
        <v>21.998657016417809</v>
      </c>
      <c r="BL151" s="22">
        <f>VLOOKUP($A151,tabCustoUnit[],COLUMN(CUSTO_GLOBAL[[#Headers],[Produtos de Limpeza e Materiais de Higiene Pessoal]])-2,0)*($G151-$H151)</f>
        <v>235.31984072022155</v>
      </c>
      <c r="BM151" s="22">
        <f>VLOOKUP($A151,tabCustoUnit[],COLUMN(CUSTO_GLOBAL[[#Headers],[Outros (especificar)]])-2,0)*($G151-$H151)</f>
        <v>0</v>
      </c>
      <c r="BN151" s="22">
        <f>VLOOKUP($A151,tabCustoUnit[],COLUMN(CUSTO_GLOBAL[[#Headers],[MÓDULO 5 – INSUMOS DIVERSOS]])-2,0)*($G151-$H151)</f>
        <v>332.23364609373232</v>
      </c>
      <c r="BO151" s="22">
        <f>VLOOKUP($A151,tabCustoUnit[],COLUMN(CUSTO_GLOBAL[[#Headers],[TOTAL MÓDULOS 1+2+3+4+5]])-2,0)*($G151-$H151)</f>
        <v>2118.2084999148137</v>
      </c>
      <c r="BP151" s="22">
        <f>VLOOKUP($A151,tabCustoUnit[],COLUMN(CUSTO_GLOBAL[[#Headers],[Custos Indiretos]])-2,0)*($G151-$H151)</f>
        <v>189.64880140242613</v>
      </c>
      <c r="BQ151" s="22">
        <f>VLOOKUP($A151,tabCustoUnit[],COLUMN(CUSTO_GLOBAL[[#Headers],[Lucro]])-2,0)*($G151-$H151)</f>
        <v>159.30499317803796</v>
      </c>
      <c r="BR151" s="26">
        <f>VLOOKUP($A151,tabCustoUnit[],COLUMN(CUSTO_GLOBAL[[#Headers],[COFINS]])-2,0)</f>
        <v>8.6609686609686695E-2</v>
      </c>
      <c r="BS151" s="26">
        <f>VLOOKUP($A151,tabCustoUnit[],COLUMN(CUSTO_GLOBAL[[#Headers],[PIS]])-2,0)</f>
        <v>1.880341880341882E-2</v>
      </c>
      <c r="BT151" s="28">
        <f>VLOOKUP($A151,tabCustoUnit[],COLUMN(CUSTO_GLOBAL[[#Headers],[ISS]])-2,0)</f>
        <v>0.03</v>
      </c>
      <c r="BU151" s="26">
        <f>VLOOKUP($A151,tabCustoUnit[],COLUMN(CUSTO_GLOBAL[[#Headers],[ISS (Conversão Alíquota s/ fatura)]])-2,0)</f>
        <v>3.4188034188034219E-2</v>
      </c>
      <c r="BV151" s="26">
        <f>VLOOKUP($A151,tabCustoUnit[],COLUMN(CUSTO_GLOBAL[[#Headers],[Resumo de Alíquotas (PIS+CONFINS+ISS)]])-2,0)</f>
        <v>0.1225</v>
      </c>
      <c r="BW151" s="138">
        <f>VLOOKUP($A151,tabCustoUnit[],COLUMN(CUSTO_GLOBAL[[#Headers],[PIS + COFINS + ISS (Total Conversão  Alíquota s/ Fatura)]])-2,0)</f>
        <v>0.13960113960113973</v>
      </c>
      <c r="BX151" s="22">
        <f>VLOOKUP($A151,tabCustoUnit[],COLUMN(CUSTO_GLOBAL[[#Headers],[Valor dos Tributos (ISS, PIS, CONFINS)]])-2,0)*($G151-$H151)</f>
        <v>344.41866789250349</v>
      </c>
      <c r="BY151" s="22">
        <f>VLOOKUP($A151,tabCustoUnit[],COLUMN(CUSTO_GLOBAL[[#Headers],[MÓDULO 6 – CUSTOS INDIRETOS, TRIBUTOS E LUCRO]])-2,0)*($G151-$H151)</f>
        <v>693.37246247296753</v>
      </c>
      <c r="BZ151" s="22">
        <f>VLOOKUP($A151,tabCustoUnit[],COLUMN(CUSTO_GLOBAL[[#Headers],[CUSTO TOTAL MENSAL]])-2,0)*($G151-$H151)</f>
        <v>2811.5809623877813</v>
      </c>
      <c r="CA151" s="22">
        <f>CUSTO_GLOBAL[[#This Row],[CUSTO TOTAL MENSAL]]*12</f>
        <v>33738.971548653375</v>
      </c>
      <c r="CB151" s="24">
        <f>VLOOKUP($A151,tabCustoUnit[],COLUMN(CUSTO_GLOBAL[[#Headers],[ANO DA CCT]])-2,0)</f>
        <v>45658</v>
      </c>
      <c r="CC151" s="25" t="str">
        <f>VLOOKUP($A151,tabCustoUnit[],COLUMN(CUSTO_GLOBAL[[#Headers],[Nº DE PEDIDO DA CCT]])-2,0)</f>
        <v>-</v>
      </c>
      <c r="CD151" s="25" t="str">
        <f>VLOOKUP($A151,tabCustoUnit[],COLUMN(CUSTO_GLOBAL[[#Headers],[TERMO ADITIVO  ALTERAÇÃO DA CCT]])-2,0)</f>
        <v>-</v>
      </c>
      <c r="CF151" s="22"/>
      <c r="CG151" s="22"/>
    </row>
    <row r="152" spans="1:85" x14ac:dyDescent="0.25">
      <c r="A152" s="20" t="s">
        <v>1488</v>
      </c>
      <c r="B152" t="s">
        <v>137</v>
      </c>
      <c r="C152" t="s">
        <v>1244</v>
      </c>
      <c r="D152" t="s">
        <v>1020</v>
      </c>
      <c r="E152" s="20" t="s">
        <v>9</v>
      </c>
      <c r="F152" s="20" t="s">
        <v>10</v>
      </c>
      <c r="G152" s="20">
        <v>1</v>
      </c>
      <c r="H152" s="20">
        <v>0</v>
      </c>
      <c r="I152" s="21">
        <f>VLOOKUP($A152,tabCustoUnit[],COLUMN(CUSTO_GLOBAL[[#Headers],[Salário Base]])-2,0)*($G152-$H152)</f>
        <v>798.14</v>
      </c>
      <c r="J152" s="21">
        <f>VLOOKUP($A152,tabCustoUnit[],COLUMN(CUSTO_GLOBAL[[#Headers],[Adicional Periculosidade]])-2,0)*($G152-$H152)</f>
        <v>0</v>
      </c>
      <c r="K152" s="21">
        <f>VLOOKUP($A152,tabCustoUnit[],COLUMN(CUSTO_GLOBAL[[#Headers],[Adicional Insalubridade]])-2,0)*($G152-$H152)</f>
        <v>0</v>
      </c>
      <c r="L152" s="21">
        <f>VLOOKUP($A152,tabCustoUnit[],COLUMN(CUSTO_GLOBAL[[#Headers],[Adicional Noturno]])-2,0)*($G152-$H152)</f>
        <v>0</v>
      </c>
      <c r="M152" s="21">
        <f>VLOOKUP($A152,tabCustoUnit[],COLUMN(CUSTO_GLOBAL[[#Headers],[Adicional Motorista II (Gratificação)]])-2,0)*($G152-$H152)</f>
        <v>0</v>
      </c>
      <c r="N152" s="21">
        <f>VLOOKUP($A152,tabCustoUnit[],COLUMN(CUSTO_GLOBAL[[#Headers],[Adicional de Sobreaviso]])-2,0)*($G152-$H152)</f>
        <v>0</v>
      </c>
      <c r="O152" s="21">
        <f>VLOOKUP($A152,tabCustoUnit[],COLUMN(CUSTO_GLOBAL[[#Headers],[Horas Extras TI]])-2,0)*($G152-$H152)</f>
        <v>0</v>
      </c>
      <c r="P152" s="21">
        <f>VLOOKUP($A152,tabCustoUnit[],COLUMN(CUSTO_GLOBAL[[#Headers],[Adicional de Acúmulo de função]])-2,0)*($G152-$H152)</f>
        <v>26.120899999999999</v>
      </c>
      <c r="Q152" s="21">
        <f>VLOOKUP($A152,tabCustoUnit[],COLUMN(CUSTO_GLOBAL[[#Headers],[MODULO 1 - REMUNERAÇÃO ]])-2,0)*($G152-$H152)</f>
        <v>824.26089999999999</v>
      </c>
      <c r="R152" s="21">
        <f>VLOOKUP($A152,tabCustoUnit[],COLUMN(CUSTO_GLOBAL[[#Headers],[INSS]])-2,0)*($G152-$H152)</f>
        <v>164.85218</v>
      </c>
      <c r="S152" s="21">
        <f>VLOOKUP($A152,tabCustoUnit[],COLUMN(CUSTO_GLOBAL[[#Headers],[SESI OU SESC]])-2,0)*($G152-$H152)</f>
        <v>12.363913499999999</v>
      </c>
      <c r="T152" s="21">
        <f>VLOOKUP($A152,tabCustoUnit[],COLUMN(CUSTO_GLOBAL[[#Headers],[SENAI OU SENAC]])-2,0)*($G152-$H152)</f>
        <v>8.2426089999999999</v>
      </c>
      <c r="U152" s="21">
        <f>VLOOKUP($A152,tabCustoUnit[],COLUMN(CUSTO_GLOBAL[[#Headers],[INCRA]])-2,0)*($G152-$H152)</f>
        <v>1.6485217999999999</v>
      </c>
      <c r="V152" s="21">
        <f>VLOOKUP($A152,tabCustoUnit[],COLUMN(CUSTO_GLOBAL[[#Headers],[Salário Educação]])-2,0)*($G152-$H152)</f>
        <v>20.606522500000001</v>
      </c>
      <c r="W152" s="21">
        <f>VLOOKUP($A152,tabCustoUnit[],COLUMN(CUSTO_GLOBAL[[#Headers],[FGTS]])-2,0)*($G152-$H152)</f>
        <v>65.940871999999999</v>
      </c>
      <c r="X152" s="21">
        <f>VLOOKUP($A152,tabCustoUnit[],COLUMN(CUSTO_GLOBAL[[#Headers],[RAT Ajustado]])-2,0)*($G152-$H152)</f>
        <v>32.970435999999999</v>
      </c>
      <c r="Y152" s="21">
        <f>VLOOKUP($A152,tabCustoUnit[],COLUMN(CUSTO_GLOBAL[[#Headers],[SEBRAE]])-2,0)*($G152-$H152)</f>
        <v>4.9455654000000004</v>
      </c>
      <c r="Z152" s="21">
        <f>VLOOKUP($A152,tabCustoUnit[],COLUMN(CUSTO_GLOBAL[[#Headers],[Submódulo 2.1]])-2,0)*($G152-$H152)</f>
        <v>311.57062020000001</v>
      </c>
      <c r="AA152" s="21">
        <f>VLOOKUP($A152,tabCustoUnit[],COLUMN(CUSTO_GLOBAL[[#Headers],[13º salário (titular)]])-2,0)*($G152-$H152)</f>
        <v>68.688408333333328</v>
      </c>
      <c r="AB152" s="21">
        <f>VLOOKUP($A152,tabCustoUnit[],COLUMN(CUSTO_GLOBAL[[#Headers],[Férias e Adicional de Férias (titular)]])-2,0)*($G152-$H152)</f>
        <v>91.584544444444433</v>
      </c>
      <c r="AC152" s="21">
        <f>VLOOKUP($A152,tabCustoUnit[],COLUMN(CUSTO_GLOBAL[[#Headers],[Incidência do Submódulo 2.1 sobre 13º Salário, Férias e Adicional de Férias]])-2,0)*($G152-$H152)</f>
        <v>60.583176149999993</v>
      </c>
      <c r="AD152" s="21">
        <f>VLOOKUP($A152,tabCustoUnit[],COLUMN(CUSTO_GLOBAL[[#Headers],[Submódulo 2.2]])-2,0)*($G152-$H152)</f>
        <v>220.85612892777775</v>
      </c>
      <c r="AE152" s="22">
        <f>VLOOKUP($A152,tabCustoUnit[],COLUMN(CUSTO_GLOBAL[[#Headers],[Vale - Transporte (Descontada parcela do empregado)]])-2,0)*($G152-$H152)</f>
        <v>208.11160000000001</v>
      </c>
      <c r="AF152" s="22">
        <f>VLOOKUP($A152,tabCustoUnit[],COLUMN(CUSTO_GLOBAL[[#Headers],[Vale - Alimentação (Descontada parcela do empregado)]])-2,0)*($G152-$H152)</f>
        <v>582</v>
      </c>
      <c r="AG152" s="22">
        <f>VLOOKUP($A152,tabCustoUnit[],COLUMN(CUSTO_GLOBAL[[#Headers],[Cesta Básica]])-2,0)*($G152-$H152)</f>
        <v>0</v>
      </c>
      <c r="AH152" s="22">
        <f>VLOOKUP($A152,tabCustoUnit[],COLUMN(CUSTO_GLOBAL[[#Headers],[PAF]])-2,0)*($G152-$H152)</f>
        <v>51.87</v>
      </c>
      <c r="AI152" s="22">
        <f>VLOOKUP($A152,tabCustoUnit[],COLUMN(CUSTO_GLOBAL[[#Headers],[PQM]])-2,0)*($G152-$H152)</f>
        <v>0</v>
      </c>
      <c r="AJ152" s="22">
        <v>0</v>
      </c>
      <c r="AK152" s="22">
        <f>VLOOKUP($A152,tabCustoUnit[],COLUMN(CUSTO_GLOBAL[[#Headers],[Seguro de Vida]])-2,0)*($G152-$H152)</f>
        <v>3.36</v>
      </c>
      <c r="AL152" s="22">
        <f>VLOOKUP($A152,tabCustoUnit[],COLUMN(CUSTO_GLOBAL[[#Headers],[Despesas de Viagem]])-2,0)*($G152-$H152)</f>
        <v>0</v>
      </c>
      <c r="AM152" s="22">
        <f>VLOOKUP($A152,tabCustoUnit[],COLUMN(CUSTO_GLOBAL[[#Headers],[Submódulo 2.3]])-2,0)*($G152-$H152)</f>
        <v>845.34159999999997</v>
      </c>
      <c r="AN152" s="22">
        <f>VLOOKUP($A152,tabCustoUnit[],COLUMN(CUSTO_GLOBAL[[#Headers],[MÓDULO 2 - Total Encargos e Benefícios mensais e diários]])-2,0)*($G152-$H152)</f>
        <v>1377.7683491277776</v>
      </c>
      <c r="AO152" s="22">
        <f>VLOOKUP($A152,tabCustoUnit[],COLUMN(CUSTO_GLOBAL[[#Headers],[Aviso Prévio Indenizado (API) e Reflexo do Aviso Prévio Indenizado]])-2,0)*($G152-$H152)</f>
        <v>5.7795253576581791</v>
      </c>
      <c r="AP152" s="22">
        <f>VLOOKUP($A152,tabCustoUnit[],COLUMN(CUSTO_GLOBAL[[#Headers],[Incidência do FGTS sobre API e Reflexo do API]])-2,0)*($G152-$H152)</f>
        <v>0.46236202861265435</v>
      </c>
      <c r="AQ152" s="22">
        <f>VLOOKUP($A152,tabCustoUnit[],COLUMN(CUSTO_GLOBAL[[#Headers],[Multa Rescisória do FGTS sobre o Aviso Prévio Indenizado]])-2,0)*($G152-$H152)</f>
        <v>0.18494481144506175</v>
      </c>
      <c r="AR152" s="22">
        <f>VLOOKUP($A152,tabCustoUnit[],COLUMN(CUSTO_GLOBAL[[#Headers],[Aviso Prévio Trabalhado - APT]])-2,0)*($G152-$H152)</f>
        <v>2.8849131500000005</v>
      </c>
      <c r="AS152" s="22">
        <f>VLOOKUP($A152,tabCustoUnit[],COLUMN(CUSTO_GLOBAL[[#Headers],[Incidência dos encargos do submódulo 2.1 sobre Aviso Prévio Trabalhado]])-2,0)*($G152-$H152)</f>
        <v>1.0904971707000004</v>
      </c>
      <c r="AT152" s="22">
        <f>VLOOKUP($A152,tabCustoUnit[],COLUMN(CUSTO_GLOBAL[[#Headers],[Multa Rescisória do FGTS]])-2,0)*($G152-$H152)</f>
        <v>25.204066631111107</v>
      </c>
      <c r="AU152" s="22">
        <f>VLOOKUP($A152,tabCustoUnit[],COLUMN(CUSTO_GLOBAL[[#Headers],[Indenização Adicional (Art. 9º da Lei nº 7.238/84)]])-2,0)*($G152-$H152)</f>
        <v>0.6868840833333334</v>
      </c>
      <c r="AV152" s="22">
        <f>VLOOKUP($A152,tabCustoUnit[],COLUMN(CUSTO_GLOBAL[[#Headers],[MÓDULO 3 – PROVISÃO PARA RESCISÃO]])-2,0)*($G152-$H152)</f>
        <v>36.293193232860339</v>
      </c>
      <c r="AW152" s="22">
        <f>VLOOKUP($A152,tabCustoUnit[],COLUMN(CUSTO_GLOBAL[[#Headers],[Ausência por Doença]])-2,0)*($G152-$H152)</f>
        <v>6.9604253777777769</v>
      </c>
      <c r="AX152" s="22">
        <f>VLOOKUP($A152,tabCustoUnit[],COLUMN(CUSTO_GLOBAL[[#Headers],[Ausências Legais]])-2,0)*($G152-$H152)</f>
        <v>1.671417936111111</v>
      </c>
      <c r="AY152" s="22">
        <f>VLOOKUP($A152,tabCustoUnit[],COLUMN(CUSTO_GLOBAL[[#Headers],[Licença Paternidade]])-2,0)*($G152-$H152)</f>
        <v>0.14081123708333332</v>
      </c>
      <c r="AZ152" s="22">
        <f>VLOOKUP($A152,tabCustoUnit[],COLUMN(CUSTO_GLOBAL[[#Headers],[Ausência por Acidente de Trabalho]])-2,0)*($G152-$H152)</f>
        <v>0.17172102083333335</v>
      </c>
      <c r="BA152" s="22">
        <f>VLOOKUP($A152,tabCustoUnit[],COLUMN(CUSTO_GLOBAL[[#Headers],[Férias, Adicional de Férias e 13º  com empregada em gozo de Licença Maternidade]])-2,0)*($G152-$H152)</f>
        <v>1.0684863518518517</v>
      </c>
      <c r="BB152" s="22">
        <f>VLOOKUP($A152,tabCustoUnit[],COLUMN(CUSTO_GLOBAL[[#Headers],[Incidência do Submódulo 2.1 sobre Ausências Legais]])-2,0)*($G152-$H152)</f>
        <v>3.7848618071425006</v>
      </c>
      <c r="BC152" s="22">
        <f>VLOOKUP($A152,tabCustoUnit[],COLUMN(CUSTO_GLOBAL[[#Headers],[Submódulo 4.1]])-2,0)*($G152-$H152)</f>
        <v>13.797723730799909</v>
      </c>
      <c r="BD152" s="22">
        <f>VLOOKUP($A152,tabCustoUnit[],COLUMN(CUSTO_GLOBAL[[#Headers],[Intervalo para Repouso ou Alimentação]])-2,0)*($G152-$H152)</f>
        <v>0</v>
      </c>
      <c r="BE152" s="22">
        <f>VLOOKUP($A152,tabCustoUnit[],COLUMN(CUSTO_GLOBAL[[#Headers],[Submódulo 4.2]])-2,0)*($G152-$H152)</f>
        <v>0</v>
      </c>
      <c r="BF152" s="22">
        <f>VLOOKUP($A152,tabCustoUnit[],COLUMN(CUSTO_GLOBAL[[#Headers],[Suspensão Temporária do Contrato de Trabalho]])-2,0)*($G152-$H152)</f>
        <v>0</v>
      </c>
      <c r="BG152" s="22">
        <f>VLOOKUP($A152,tabCustoUnit[],COLUMN(CUSTO_GLOBAL[[#Headers],[Submódulo 4.3]])-2,0)*($G152-$H152)</f>
        <v>0</v>
      </c>
      <c r="BH152" s="22">
        <f>VLOOKUP($A152,tabCustoUnit[],COLUMN(CUSTO_GLOBAL[[#Headers],[MÓDULO 4 – CUSTO DE REPOSIÇÃO DO PROFISSIONAL AUSENTE]])-2,0)*($G152-$H152)</f>
        <v>13.797723730799909</v>
      </c>
      <c r="BI152" s="22">
        <f>VLOOKUP($A152,tabCustoUnit[],COLUMN(CUSTO_GLOBAL[[#Headers],[Uniformes e EPIs]])-2,0)*($G152-$H152)</f>
        <v>62.806666666666665</v>
      </c>
      <c r="BJ152" s="22">
        <f>VLOOKUP($A152,tabCustoUnit[],COLUMN(CUSTO_GLOBAL[[#Headers],[Materiais de Consumo]])-2,0)*($G152-$H152)</f>
        <v>17.759106479291944</v>
      </c>
      <c r="BK152" s="22">
        <f>VLOOKUP($A152,tabCustoUnit[],COLUMN(CUSTO_GLOBAL[[#Headers],[Máquinas e Equipamentos (depreciação)]])-2,0)*($G152-$H152)</f>
        <v>32.264696957412788</v>
      </c>
      <c r="BL152" s="22">
        <f>VLOOKUP($A152,tabCustoUnit[],COLUMN(CUSTO_GLOBAL[[#Headers],[Produtos de Limpeza e Materiais de Higiene Pessoal]])-2,0)*($G152-$H152)</f>
        <v>345.13576638965827</v>
      </c>
      <c r="BM152" s="22">
        <f>VLOOKUP($A152,tabCustoUnit[],COLUMN(CUSTO_GLOBAL[[#Headers],[Outros (especificar)]])-2,0)*($G152-$H152)</f>
        <v>0</v>
      </c>
      <c r="BN152" s="22">
        <f>VLOOKUP($A152,tabCustoUnit[],COLUMN(CUSTO_GLOBAL[[#Headers],[MÓDULO 5 – INSUMOS DIVERSOS]])-2,0)*($G152-$H152)</f>
        <v>457.96623649302967</v>
      </c>
      <c r="BO152" s="22">
        <f>VLOOKUP($A152,tabCustoUnit[],COLUMN(CUSTO_GLOBAL[[#Headers],[TOTAL MÓDULOS 1+2+3+4+5]])-2,0)*($G152-$H152)</f>
        <v>2710.0864025844676</v>
      </c>
      <c r="BP152" s="22">
        <f>VLOOKUP($A152,tabCustoUnit[],COLUMN(CUSTO_GLOBAL[[#Headers],[Custos Indiretos]])-2,0)*($G152-$H152)</f>
        <v>189.64880140242613</v>
      </c>
      <c r="BQ152" s="22">
        <f>VLOOKUP($A152,tabCustoUnit[],COLUMN(CUSTO_GLOBAL[[#Headers],[Lucro]])-2,0)*($G152-$H152)</f>
        <v>159.30499317803796</v>
      </c>
      <c r="BR152" s="26">
        <f>VLOOKUP($A152,tabCustoUnit[],COLUMN(CUSTO_GLOBAL[[#Headers],[COFINS]])-2,0)</f>
        <v>8.6609686609686695E-2</v>
      </c>
      <c r="BS152" s="26">
        <f>VLOOKUP($A152,tabCustoUnit[],COLUMN(CUSTO_GLOBAL[[#Headers],[PIS]])-2,0)</f>
        <v>1.880341880341882E-2</v>
      </c>
      <c r="BT152" s="28">
        <f>VLOOKUP($A152,tabCustoUnit[],COLUMN(CUSTO_GLOBAL[[#Headers],[ISS]])-2,0)</f>
        <v>0.03</v>
      </c>
      <c r="BU152" s="26">
        <f>VLOOKUP($A152,tabCustoUnit[],COLUMN(CUSTO_GLOBAL[[#Headers],[ISS (Conversão Alíquota s/ fatura)]])-2,0)</f>
        <v>3.4188034188034219E-2</v>
      </c>
      <c r="BV152" s="26">
        <f>VLOOKUP($A152,tabCustoUnit[],COLUMN(CUSTO_GLOBAL[[#Headers],[Resumo de Alíquotas (PIS+CONFINS+ISS)]])-2,0)</f>
        <v>0.1225</v>
      </c>
      <c r="BW152" s="138">
        <f>VLOOKUP($A152,tabCustoUnit[],COLUMN(CUSTO_GLOBAL[[#Headers],[PIS + COFINS + ISS (Total Conversão  Alíquota s/ Fatura)]])-2,0)</f>
        <v>0.13960113960113973</v>
      </c>
      <c r="BX152" s="22">
        <f>VLOOKUP($A152,tabCustoUnit[],COLUMN(CUSTO_GLOBAL[[#Headers],[Valor dos Tributos (ISS, PIS, CONFINS)]])-2,0)*($G152-$H152)</f>
        <v>427.04549760991966</v>
      </c>
      <c r="BY152" s="22">
        <f>VLOOKUP($A152,tabCustoUnit[],COLUMN(CUSTO_GLOBAL[[#Headers],[MÓDULO 6 – CUSTOS INDIRETOS, TRIBUTOS E LUCRO]])-2,0)*($G152-$H152)</f>
        <v>775.99929219038381</v>
      </c>
      <c r="BZ152" s="22">
        <f>VLOOKUP($A152,tabCustoUnit[],COLUMN(CUSTO_GLOBAL[[#Headers],[CUSTO TOTAL MENSAL]])-2,0)*($G152-$H152)</f>
        <v>3486.0856947748516</v>
      </c>
      <c r="CA152" s="22">
        <f>CUSTO_GLOBAL[[#This Row],[CUSTO TOTAL MENSAL]]*12</f>
        <v>41833.028337298223</v>
      </c>
      <c r="CB152" s="24">
        <f>VLOOKUP($A152,tabCustoUnit[],COLUMN(CUSTO_GLOBAL[[#Headers],[ANO DA CCT]])-2,0)</f>
        <v>45658</v>
      </c>
      <c r="CC152" s="25" t="str">
        <f>VLOOKUP($A152,tabCustoUnit[],COLUMN(CUSTO_GLOBAL[[#Headers],[Nº DE PEDIDO DA CCT]])-2,0)</f>
        <v>-</v>
      </c>
      <c r="CD152" s="25" t="str">
        <f>VLOOKUP($A152,tabCustoUnit[],COLUMN(CUSTO_GLOBAL[[#Headers],[TERMO ADITIVO  ALTERAÇÃO DA CCT]])-2,0)</f>
        <v>-</v>
      </c>
      <c r="CF152" s="22"/>
      <c r="CG152" s="22"/>
    </row>
    <row r="153" spans="1:85" x14ac:dyDescent="0.25">
      <c r="A153" s="20" t="s">
        <v>1489</v>
      </c>
      <c r="B153" t="s">
        <v>138</v>
      </c>
      <c r="C153" t="s">
        <v>1247</v>
      </c>
      <c r="D153" t="s">
        <v>1010</v>
      </c>
      <c r="E153" s="20" t="s">
        <v>9</v>
      </c>
      <c r="F153" s="20" t="s">
        <v>10</v>
      </c>
      <c r="G153" s="20">
        <v>1</v>
      </c>
      <c r="H153" s="20">
        <v>0</v>
      </c>
      <c r="I153" s="21">
        <f>VLOOKUP($A153,tabCustoUnit[],COLUMN(CUSTO_GLOBAL[[#Headers],[Salário Base]])-2,0)*($G153-$H153)</f>
        <v>544.17999999999995</v>
      </c>
      <c r="J153" s="21">
        <f>VLOOKUP($A153,tabCustoUnit[],COLUMN(CUSTO_GLOBAL[[#Headers],[Adicional Periculosidade]])-2,0)*($G153-$H153)</f>
        <v>0</v>
      </c>
      <c r="K153" s="21">
        <f>VLOOKUP($A153,tabCustoUnit[],COLUMN(CUSTO_GLOBAL[[#Headers],[Adicional Insalubridade]])-2,0)*($G153-$H153)</f>
        <v>0</v>
      </c>
      <c r="L153" s="21">
        <f>VLOOKUP($A153,tabCustoUnit[],COLUMN(CUSTO_GLOBAL[[#Headers],[Adicional Noturno]])-2,0)*($G153-$H153)</f>
        <v>0</v>
      </c>
      <c r="M153" s="21">
        <f>VLOOKUP($A153,tabCustoUnit[],COLUMN(CUSTO_GLOBAL[[#Headers],[Adicional Motorista II (Gratificação)]])-2,0)*($G153-$H153)</f>
        <v>0</v>
      </c>
      <c r="N153" s="21">
        <f>VLOOKUP($A153,tabCustoUnit[],COLUMN(CUSTO_GLOBAL[[#Headers],[Adicional de Sobreaviso]])-2,0)*($G153-$H153)</f>
        <v>0</v>
      </c>
      <c r="O153" s="21">
        <f>VLOOKUP($A153,tabCustoUnit[],COLUMN(CUSTO_GLOBAL[[#Headers],[Horas Extras TI]])-2,0)*($G153-$H153)</f>
        <v>0</v>
      </c>
      <c r="P153" s="21">
        <f>VLOOKUP($A153,tabCustoUnit[],COLUMN(CUSTO_GLOBAL[[#Headers],[Adicional de Acúmulo de função]])-2,0)*($G153-$H153)</f>
        <v>19.590499999999999</v>
      </c>
      <c r="Q153" s="21">
        <f>VLOOKUP($A153,tabCustoUnit[],COLUMN(CUSTO_GLOBAL[[#Headers],[MODULO 1 - REMUNERAÇÃO ]])-2,0)*($G153-$H153)</f>
        <v>563.77049999999997</v>
      </c>
      <c r="R153" s="21">
        <f>VLOOKUP($A153,tabCustoUnit[],COLUMN(CUSTO_GLOBAL[[#Headers],[INSS]])-2,0)*($G153-$H153)</f>
        <v>112.75409999999999</v>
      </c>
      <c r="S153" s="21">
        <f>VLOOKUP($A153,tabCustoUnit[],COLUMN(CUSTO_GLOBAL[[#Headers],[SESI OU SESC]])-2,0)*($G153-$H153)</f>
        <v>8.4565574999999988</v>
      </c>
      <c r="T153" s="21">
        <f>VLOOKUP($A153,tabCustoUnit[],COLUMN(CUSTO_GLOBAL[[#Headers],[SENAI OU SENAC]])-2,0)*($G153-$H153)</f>
        <v>5.6377049999999995</v>
      </c>
      <c r="U153" s="21">
        <f>VLOOKUP($A153,tabCustoUnit[],COLUMN(CUSTO_GLOBAL[[#Headers],[INCRA]])-2,0)*($G153-$H153)</f>
        <v>1.1275409999999999</v>
      </c>
      <c r="V153" s="21">
        <f>VLOOKUP($A153,tabCustoUnit[],COLUMN(CUSTO_GLOBAL[[#Headers],[Salário Educação]])-2,0)*($G153-$H153)</f>
        <v>14.094262499999999</v>
      </c>
      <c r="W153" s="21">
        <f>VLOOKUP($A153,tabCustoUnit[],COLUMN(CUSTO_GLOBAL[[#Headers],[FGTS]])-2,0)*($G153-$H153)</f>
        <v>45.101639999999996</v>
      </c>
      <c r="X153" s="21">
        <f>VLOOKUP($A153,tabCustoUnit[],COLUMN(CUSTO_GLOBAL[[#Headers],[RAT Ajustado]])-2,0)*($G153-$H153)</f>
        <v>22.550819999999998</v>
      </c>
      <c r="Y153" s="21">
        <f>VLOOKUP($A153,tabCustoUnit[],COLUMN(CUSTO_GLOBAL[[#Headers],[SEBRAE]])-2,0)*($G153-$H153)</f>
        <v>3.3826229999999997</v>
      </c>
      <c r="Z153" s="21">
        <f>VLOOKUP($A153,tabCustoUnit[],COLUMN(CUSTO_GLOBAL[[#Headers],[Submódulo 2.1]])-2,0)*($G153-$H153)</f>
        <v>213.10524899999996</v>
      </c>
      <c r="AA153" s="21">
        <f>VLOOKUP($A153,tabCustoUnit[],COLUMN(CUSTO_GLOBAL[[#Headers],[13º salário (titular)]])-2,0)*($G153-$H153)</f>
        <v>46.980874999999997</v>
      </c>
      <c r="AB153" s="21">
        <f>VLOOKUP($A153,tabCustoUnit[],COLUMN(CUSTO_GLOBAL[[#Headers],[Férias e Adicional de Férias (titular)]])-2,0)*($G153-$H153)</f>
        <v>62.641166666666663</v>
      </c>
      <c r="AC153" s="21">
        <f>VLOOKUP($A153,tabCustoUnit[],COLUMN(CUSTO_GLOBAL[[#Headers],[Incidência do Submódulo 2.1 sobre 13º Salário, Férias e Adicional de Férias]])-2,0)*($G153-$H153)</f>
        <v>41.437131749999992</v>
      </c>
      <c r="AD153" s="21">
        <f>VLOOKUP($A153,tabCustoUnit[],COLUMN(CUSTO_GLOBAL[[#Headers],[Submódulo 2.2]])-2,0)*($G153-$H153)</f>
        <v>151.05917341666665</v>
      </c>
      <c r="AE153" s="22">
        <f>VLOOKUP($A153,tabCustoUnit[],COLUMN(CUSTO_GLOBAL[[#Headers],[Vale - Transporte (Descontada parcela do empregado)]])-2,0)*($G153-$H153)</f>
        <v>223.3492</v>
      </c>
      <c r="AF153" s="22">
        <f>VLOOKUP($A153,tabCustoUnit[],COLUMN(CUSTO_GLOBAL[[#Headers],[Vale - Alimentação (Descontada parcela do empregado)]])-2,0)*($G153-$H153)</f>
        <v>582</v>
      </c>
      <c r="AG153" s="22">
        <f>VLOOKUP($A153,tabCustoUnit[],COLUMN(CUSTO_GLOBAL[[#Headers],[Cesta Básica]])-2,0)*($G153-$H153)</f>
        <v>0</v>
      </c>
      <c r="AH153" s="22">
        <f>VLOOKUP($A153,tabCustoUnit[],COLUMN(CUSTO_GLOBAL[[#Headers],[PAF]])-2,0)*($G153-$H153)</f>
        <v>0</v>
      </c>
      <c r="AI153" s="22">
        <f>VLOOKUP($A153,tabCustoUnit[],COLUMN(CUSTO_GLOBAL[[#Headers],[PQM]])-2,0)*($G153-$H153)</f>
        <v>0</v>
      </c>
      <c r="AJ153" s="22">
        <v>0</v>
      </c>
      <c r="AK153" s="22">
        <f>VLOOKUP($A153,tabCustoUnit[],COLUMN(CUSTO_GLOBAL[[#Headers],[Seguro de Vida]])-2,0)*($G153-$H153)</f>
        <v>3.36</v>
      </c>
      <c r="AL153" s="22">
        <f>VLOOKUP($A153,tabCustoUnit[],COLUMN(CUSTO_GLOBAL[[#Headers],[Despesas de Viagem]])-2,0)*($G153-$H153)</f>
        <v>0</v>
      </c>
      <c r="AM153" s="22">
        <f>VLOOKUP($A153,tabCustoUnit[],COLUMN(CUSTO_GLOBAL[[#Headers],[Submódulo 2.3]])-2,0)*($G153-$H153)</f>
        <v>808.70920000000001</v>
      </c>
      <c r="AN153" s="22">
        <f>VLOOKUP($A153,tabCustoUnit[],COLUMN(CUSTO_GLOBAL[[#Headers],[MÓDULO 2 - Total Encargos e Benefícios mensais e diários]])-2,0)*($G153-$H153)</f>
        <v>1172.8736224166666</v>
      </c>
      <c r="AO153" s="22">
        <f>VLOOKUP($A153,tabCustoUnit[],COLUMN(CUSTO_GLOBAL[[#Headers],[Aviso Prévio Indenizado (API) e Reflexo do Aviso Prévio Indenizado]])-2,0)*($G153-$H153)</f>
        <v>3.9530273735532404</v>
      </c>
      <c r="AP153" s="22">
        <f>VLOOKUP($A153,tabCustoUnit[],COLUMN(CUSTO_GLOBAL[[#Headers],[Incidência do FGTS sobre API e Reflexo do API]])-2,0)*($G153-$H153)</f>
        <v>0.31624218988425928</v>
      </c>
      <c r="AQ153" s="22">
        <f>VLOOKUP($A153,tabCustoUnit[],COLUMN(CUSTO_GLOBAL[[#Headers],[Multa Rescisória do FGTS sobre o Aviso Prévio Indenizado]])-2,0)*($G153-$H153)</f>
        <v>0.12649687595370371</v>
      </c>
      <c r="AR153" s="22">
        <f>VLOOKUP($A153,tabCustoUnit[],COLUMN(CUSTO_GLOBAL[[#Headers],[Aviso Prévio Trabalhado - APT]])-2,0)*($G153-$H153)</f>
        <v>1.9731967500000003</v>
      </c>
      <c r="AS153" s="22">
        <f>VLOOKUP($A153,tabCustoUnit[],COLUMN(CUSTO_GLOBAL[[#Headers],[Incidência dos encargos do submódulo 2.1 sobre Aviso Prévio Trabalhado]])-2,0)*($G153-$H153)</f>
        <v>0.74586837150000018</v>
      </c>
      <c r="AT153" s="22">
        <f>VLOOKUP($A153,tabCustoUnit[],COLUMN(CUSTO_GLOBAL[[#Headers],[Multa Rescisória do FGTS]])-2,0)*($G153-$H153)</f>
        <v>17.238849066666663</v>
      </c>
      <c r="AU153" s="22">
        <f>VLOOKUP($A153,tabCustoUnit[],COLUMN(CUSTO_GLOBAL[[#Headers],[Indenização Adicional (Art. 9º da Lei nº 7.238/84)]])-2,0)*($G153-$H153)</f>
        <v>0.46980875</v>
      </c>
      <c r="AV153" s="22">
        <f>VLOOKUP($A153,tabCustoUnit[],COLUMN(CUSTO_GLOBAL[[#Headers],[MÓDULO 3 – PROVISÃO PARA RESCISÃO]])-2,0)*($G153-$H153)</f>
        <v>24.823489377557866</v>
      </c>
      <c r="AW153" s="22">
        <f>VLOOKUP($A153,tabCustoUnit[],COLUMN(CUSTO_GLOBAL[[#Headers],[Ausência por Doença]])-2,0)*($G153-$H153)</f>
        <v>4.7607286666666662</v>
      </c>
      <c r="AX153" s="22">
        <f>VLOOKUP($A153,tabCustoUnit[],COLUMN(CUSTO_GLOBAL[[#Headers],[Ausências Legais]])-2,0)*($G153-$H153)</f>
        <v>1.1432012916666665</v>
      </c>
      <c r="AY153" s="22">
        <f>VLOOKUP($A153,tabCustoUnit[],COLUMN(CUSTO_GLOBAL[[#Headers],[Licença Paternidade]])-2,0)*($G153-$H153)</f>
        <v>9.6310793749999998E-2</v>
      </c>
      <c r="AZ153" s="22">
        <f>VLOOKUP($A153,tabCustoUnit[],COLUMN(CUSTO_GLOBAL[[#Headers],[Ausência por Acidente de Trabalho]])-2,0)*($G153-$H153)</f>
        <v>0.1174521875</v>
      </c>
      <c r="BA153" s="22">
        <f>VLOOKUP($A153,tabCustoUnit[],COLUMN(CUSTO_GLOBAL[[#Headers],[Férias, Adicional de Férias e 13º  com empregada em gozo de Licença Maternidade]])-2,0)*($G153-$H153)</f>
        <v>0.73081361111111109</v>
      </c>
      <c r="BB153" s="22">
        <f>VLOOKUP($A153,tabCustoUnit[],COLUMN(CUSTO_GLOBAL[[#Headers],[Incidência do Submódulo 2.1 sobre Ausências Legais]])-2,0)*($G153-$H153)</f>
        <v>2.5887354761625003</v>
      </c>
      <c r="BC153" s="22">
        <f>VLOOKUP($A153,tabCustoUnit[],COLUMN(CUSTO_GLOBAL[[#Headers],[Submódulo 4.1]])-2,0)*($G153-$H153)</f>
        <v>9.4372420268569428</v>
      </c>
      <c r="BD153" s="22">
        <f>VLOOKUP($A153,tabCustoUnit[],COLUMN(CUSTO_GLOBAL[[#Headers],[Intervalo para Repouso ou Alimentação]])-2,0)*($G153-$H153)</f>
        <v>0</v>
      </c>
      <c r="BE153" s="22">
        <f>VLOOKUP($A153,tabCustoUnit[],COLUMN(CUSTO_GLOBAL[[#Headers],[Submódulo 4.2]])-2,0)*($G153-$H153)</f>
        <v>0</v>
      </c>
      <c r="BF153" s="22">
        <f>VLOOKUP($A153,tabCustoUnit[],COLUMN(CUSTO_GLOBAL[[#Headers],[Suspensão Temporária do Contrato de Trabalho]])-2,0)*($G153-$H153)</f>
        <v>0</v>
      </c>
      <c r="BG153" s="22">
        <f>VLOOKUP($A153,tabCustoUnit[],COLUMN(CUSTO_GLOBAL[[#Headers],[Submódulo 4.3]])-2,0)*($G153-$H153)</f>
        <v>0</v>
      </c>
      <c r="BH153" s="22">
        <f>VLOOKUP($A153,tabCustoUnit[],COLUMN(CUSTO_GLOBAL[[#Headers],[MÓDULO 4 – CUSTO DE REPOSIÇÃO DO PROFISSIONAL AUSENTE]])-2,0)*($G153-$H153)</f>
        <v>9.4372420268569428</v>
      </c>
      <c r="BI153" s="22">
        <f>VLOOKUP($A153,tabCustoUnit[],COLUMN(CUSTO_GLOBAL[[#Headers],[Uniformes e EPIs]])-2,0)*($G153-$H153)</f>
        <v>62.806666666666665</v>
      </c>
      <c r="BJ153" s="22">
        <f>VLOOKUP($A153,tabCustoUnit[],COLUMN(CUSTO_GLOBAL[[#Headers],[Materiais de Consumo]])-2,0)*($G153-$H153)</f>
        <v>12.108481690426325</v>
      </c>
      <c r="BK153" s="22">
        <f>VLOOKUP($A153,tabCustoUnit[],COLUMN(CUSTO_GLOBAL[[#Headers],[Máquinas e Equipamentos (depreciação)]])-2,0)*($G153-$H153)</f>
        <v>21.998657016417809</v>
      </c>
      <c r="BL153" s="22">
        <f>VLOOKUP($A153,tabCustoUnit[],COLUMN(CUSTO_GLOBAL[[#Headers],[Produtos de Limpeza e Materiais de Higiene Pessoal]])-2,0)*($G153-$H153)</f>
        <v>235.31984072022155</v>
      </c>
      <c r="BM153" s="22">
        <f>VLOOKUP($A153,tabCustoUnit[],COLUMN(CUSTO_GLOBAL[[#Headers],[Outros (especificar)]])-2,0)*($G153-$H153)</f>
        <v>0</v>
      </c>
      <c r="BN153" s="22">
        <f>VLOOKUP($A153,tabCustoUnit[],COLUMN(CUSTO_GLOBAL[[#Headers],[MÓDULO 5 – INSUMOS DIVERSOS]])-2,0)*($G153-$H153)</f>
        <v>332.23364609373232</v>
      </c>
      <c r="BO153" s="22">
        <f>VLOOKUP($A153,tabCustoUnit[],COLUMN(CUSTO_GLOBAL[[#Headers],[TOTAL MÓDULOS 1+2+3+4+5]])-2,0)*($G153-$H153)</f>
        <v>2103.1384999148136</v>
      </c>
      <c r="BP153" s="22">
        <f>VLOOKUP($A153,tabCustoUnit[],COLUMN(CUSTO_GLOBAL[[#Headers],[Custos Indiretos]])-2,0)*($G153-$H153)</f>
        <v>189.64880140242613</v>
      </c>
      <c r="BQ153" s="22">
        <f>VLOOKUP($A153,tabCustoUnit[],COLUMN(CUSTO_GLOBAL[[#Headers],[Lucro]])-2,0)*($G153-$H153)</f>
        <v>159.30499317803796</v>
      </c>
      <c r="BR153" s="26">
        <f>VLOOKUP($A153,tabCustoUnit[],COLUMN(CUSTO_GLOBAL[[#Headers],[COFINS]])-2,0)</f>
        <v>8.8629737609329504E-2</v>
      </c>
      <c r="BS153" s="26">
        <f>VLOOKUP($A153,tabCustoUnit[],COLUMN(CUSTO_GLOBAL[[#Headers],[PIS]])-2,0)</f>
        <v>1.9241982507288629E-2</v>
      </c>
      <c r="BT153" s="28">
        <f>VLOOKUP($A153,tabCustoUnit[],COLUMN(CUSTO_GLOBAL[[#Headers],[ISS]])-2,0)</f>
        <v>0.05</v>
      </c>
      <c r="BU153" s="26">
        <f>VLOOKUP($A153,tabCustoUnit[],COLUMN(CUSTO_GLOBAL[[#Headers],[ISS (Conversão Alíquota s/ fatura)]])-2,0)</f>
        <v>5.8309037900874633E-2</v>
      </c>
      <c r="BV153" s="26">
        <f>VLOOKUP($A153,tabCustoUnit[],COLUMN(CUSTO_GLOBAL[[#Headers],[Resumo de Alíquotas (PIS+CONFINS+ISS)]])-2,0)</f>
        <v>0.14250000000000002</v>
      </c>
      <c r="BW153" s="138">
        <f>VLOOKUP($A153,tabCustoUnit[],COLUMN(CUSTO_GLOBAL[[#Headers],[PIS + COFINS + ISS (Total Conversão  Alíquota s/ Fatura)]])-2,0)</f>
        <v>0.16618075801749277</v>
      </c>
      <c r="BX153" s="22">
        <f>VLOOKUP($A153,tabCustoUnit[],COLUMN(CUSTO_GLOBAL[[#Headers],[Valor dos Tributos (ISS, PIS, CONFINS)]])-2,0)*($G153-$H153)</f>
        <v>407.49055622807833</v>
      </c>
      <c r="BY153" s="22">
        <f>VLOOKUP($A153,tabCustoUnit[],COLUMN(CUSTO_GLOBAL[[#Headers],[MÓDULO 6 – CUSTOS INDIRETOS, TRIBUTOS E LUCRO]])-2,0)*($G153-$H153)</f>
        <v>756.44435080854237</v>
      </c>
      <c r="BZ153" s="22">
        <f>VLOOKUP($A153,tabCustoUnit[],COLUMN(CUSTO_GLOBAL[[#Headers],[CUSTO TOTAL MENSAL]])-2,0)*($G153-$H153)</f>
        <v>2859.5828507233559</v>
      </c>
      <c r="CA153" s="22">
        <f>CUSTO_GLOBAL[[#This Row],[CUSTO TOTAL MENSAL]]*12</f>
        <v>34314.994208680269</v>
      </c>
      <c r="CB153" s="24">
        <f>VLOOKUP($A153,tabCustoUnit[],COLUMN(CUSTO_GLOBAL[[#Headers],[ANO DA CCT]])-2,0)</f>
        <v>45658</v>
      </c>
      <c r="CC153" s="25" t="str">
        <f>VLOOKUP($A153,tabCustoUnit[],COLUMN(CUSTO_GLOBAL[[#Headers],[Nº DE PEDIDO DA CCT]])-2,0)</f>
        <v>-</v>
      </c>
      <c r="CD153" s="25" t="str">
        <f>VLOOKUP($A153,tabCustoUnit[],COLUMN(CUSTO_GLOBAL[[#Headers],[TERMO ADITIVO  ALTERAÇÃO DA CCT]])-2,0)</f>
        <v>-</v>
      </c>
      <c r="CF153" s="22"/>
      <c r="CG153" s="22"/>
    </row>
    <row r="154" spans="1:85" x14ac:dyDescent="0.25">
      <c r="A154" s="20" t="s">
        <v>1490</v>
      </c>
      <c r="B154" t="s">
        <v>139</v>
      </c>
      <c r="C154" t="s">
        <v>1244</v>
      </c>
      <c r="D154" t="s">
        <v>1045</v>
      </c>
      <c r="E154" s="20" t="s">
        <v>9</v>
      </c>
      <c r="F154" s="20" t="s">
        <v>10</v>
      </c>
      <c r="G154" s="20">
        <v>1</v>
      </c>
      <c r="H154" s="20">
        <v>0</v>
      </c>
      <c r="I154" s="21">
        <f>VLOOKUP($A154,tabCustoUnit[],COLUMN(CUSTO_GLOBAL[[#Headers],[Salário Base]])-2,0)*($G154-$H154)</f>
        <v>824.56</v>
      </c>
      <c r="J154" s="21">
        <f>VLOOKUP($A154,tabCustoUnit[],COLUMN(CUSTO_GLOBAL[[#Headers],[Adicional Periculosidade]])-2,0)*($G154-$H154)</f>
        <v>0</v>
      </c>
      <c r="K154" s="21">
        <f>VLOOKUP($A154,tabCustoUnit[],COLUMN(CUSTO_GLOBAL[[#Headers],[Adicional Insalubridade]])-2,0)*($G154-$H154)</f>
        <v>0</v>
      </c>
      <c r="L154" s="21">
        <f>VLOOKUP($A154,tabCustoUnit[],COLUMN(CUSTO_GLOBAL[[#Headers],[Adicional Noturno]])-2,0)*($G154-$H154)</f>
        <v>0</v>
      </c>
      <c r="M154" s="21">
        <f>VLOOKUP($A154,tabCustoUnit[],COLUMN(CUSTO_GLOBAL[[#Headers],[Adicional Motorista II (Gratificação)]])-2,0)*($G154-$H154)</f>
        <v>0</v>
      </c>
      <c r="N154" s="21">
        <f>VLOOKUP($A154,tabCustoUnit[],COLUMN(CUSTO_GLOBAL[[#Headers],[Adicional de Sobreaviso]])-2,0)*($G154-$H154)</f>
        <v>0</v>
      </c>
      <c r="O154" s="21">
        <f>VLOOKUP($A154,tabCustoUnit[],COLUMN(CUSTO_GLOBAL[[#Headers],[Horas Extras TI]])-2,0)*($G154-$H154)</f>
        <v>0</v>
      </c>
      <c r="P154" s="21">
        <f>VLOOKUP($A154,tabCustoUnit[],COLUMN(CUSTO_GLOBAL[[#Headers],[Adicional de Acúmulo de função]])-2,0)*($G154-$H154)</f>
        <v>26.985600000000002</v>
      </c>
      <c r="Q154" s="21">
        <f>VLOOKUP($A154,tabCustoUnit[],COLUMN(CUSTO_GLOBAL[[#Headers],[MODULO 1 - REMUNERAÇÃO ]])-2,0)*($G154-$H154)</f>
        <v>851.54559999999992</v>
      </c>
      <c r="R154" s="21">
        <f>VLOOKUP($A154,tabCustoUnit[],COLUMN(CUSTO_GLOBAL[[#Headers],[INSS]])-2,0)*($G154-$H154)</f>
        <v>170.30912000000001</v>
      </c>
      <c r="S154" s="21">
        <f>VLOOKUP($A154,tabCustoUnit[],COLUMN(CUSTO_GLOBAL[[#Headers],[SESI OU SESC]])-2,0)*($G154-$H154)</f>
        <v>12.773183999999999</v>
      </c>
      <c r="T154" s="21">
        <f>VLOOKUP($A154,tabCustoUnit[],COLUMN(CUSTO_GLOBAL[[#Headers],[SENAI OU SENAC]])-2,0)*($G154-$H154)</f>
        <v>8.5154559999999986</v>
      </c>
      <c r="U154" s="21">
        <f>VLOOKUP($A154,tabCustoUnit[],COLUMN(CUSTO_GLOBAL[[#Headers],[INCRA]])-2,0)*($G154-$H154)</f>
        <v>1.7030911999999998</v>
      </c>
      <c r="V154" s="21">
        <f>VLOOKUP($A154,tabCustoUnit[],COLUMN(CUSTO_GLOBAL[[#Headers],[Salário Educação]])-2,0)*($G154-$H154)</f>
        <v>21.288640000000001</v>
      </c>
      <c r="W154" s="21">
        <f>VLOOKUP($A154,tabCustoUnit[],COLUMN(CUSTO_GLOBAL[[#Headers],[FGTS]])-2,0)*($G154-$H154)</f>
        <v>68.123647999999989</v>
      </c>
      <c r="X154" s="21">
        <f>VLOOKUP($A154,tabCustoUnit[],COLUMN(CUSTO_GLOBAL[[#Headers],[RAT Ajustado]])-2,0)*($G154-$H154)</f>
        <v>34.061823999999994</v>
      </c>
      <c r="Y154" s="21">
        <f>VLOOKUP($A154,tabCustoUnit[],COLUMN(CUSTO_GLOBAL[[#Headers],[SEBRAE]])-2,0)*($G154-$H154)</f>
        <v>5.1092735999999999</v>
      </c>
      <c r="Z154" s="21">
        <f>VLOOKUP($A154,tabCustoUnit[],COLUMN(CUSTO_GLOBAL[[#Headers],[Submódulo 2.1]])-2,0)*($G154-$H154)</f>
        <v>321.8842368</v>
      </c>
      <c r="AA154" s="21">
        <f>VLOOKUP($A154,tabCustoUnit[],COLUMN(CUSTO_GLOBAL[[#Headers],[13º salário (titular)]])-2,0)*($G154-$H154)</f>
        <v>70.962133333333327</v>
      </c>
      <c r="AB154" s="21">
        <f>VLOOKUP($A154,tabCustoUnit[],COLUMN(CUSTO_GLOBAL[[#Headers],[Férias e Adicional de Férias (titular)]])-2,0)*($G154-$H154)</f>
        <v>94.616177777777764</v>
      </c>
      <c r="AC154" s="21">
        <f>VLOOKUP($A154,tabCustoUnit[],COLUMN(CUSTO_GLOBAL[[#Headers],[Incidência do Submódulo 2.1 sobre 13º Salário, Férias e Adicional de Férias]])-2,0)*($G154-$H154)</f>
        <v>62.588601599999997</v>
      </c>
      <c r="AD154" s="21">
        <f>VLOOKUP($A154,tabCustoUnit[],COLUMN(CUSTO_GLOBAL[[#Headers],[Submódulo 2.2]])-2,0)*($G154-$H154)</f>
        <v>228.16691271111108</v>
      </c>
      <c r="AE154" s="22">
        <f>VLOOKUP($A154,tabCustoUnit[],COLUMN(CUSTO_GLOBAL[[#Headers],[Vale - Transporte (Descontada parcela do empregado)]])-2,0)*($G154-$H154)</f>
        <v>206.5264</v>
      </c>
      <c r="AF154" s="22">
        <f>VLOOKUP($A154,tabCustoUnit[],COLUMN(CUSTO_GLOBAL[[#Headers],[Vale - Alimentação (Descontada parcela do empregado)]])-2,0)*($G154-$H154)</f>
        <v>582</v>
      </c>
      <c r="AG154" s="22">
        <f>VLOOKUP($A154,tabCustoUnit[],COLUMN(CUSTO_GLOBAL[[#Headers],[Cesta Básica]])-2,0)*($G154-$H154)</f>
        <v>0</v>
      </c>
      <c r="AH154" s="22">
        <f>VLOOKUP($A154,tabCustoUnit[],COLUMN(CUSTO_GLOBAL[[#Headers],[PAF]])-2,0)*($G154-$H154)</f>
        <v>77.25</v>
      </c>
      <c r="AI154" s="22">
        <f>VLOOKUP($A154,tabCustoUnit[],COLUMN(CUSTO_GLOBAL[[#Headers],[PQM]])-2,0)*($G154-$H154)</f>
        <v>0</v>
      </c>
      <c r="AJ154" s="22">
        <v>0</v>
      </c>
      <c r="AK154" s="22">
        <f>VLOOKUP($A154,tabCustoUnit[],COLUMN(CUSTO_GLOBAL[[#Headers],[Seguro de Vida]])-2,0)*($G154-$H154)</f>
        <v>3.36</v>
      </c>
      <c r="AL154" s="22">
        <f>VLOOKUP($A154,tabCustoUnit[],COLUMN(CUSTO_GLOBAL[[#Headers],[Despesas de Viagem]])-2,0)*($G154-$H154)</f>
        <v>0</v>
      </c>
      <c r="AM154" s="22">
        <f>VLOOKUP($A154,tabCustoUnit[],COLUMN(CUSTO_GLOBAL[[#Headers],[Submódulo 2.3]])-2,0)*($G154-$H154)</f>
        <v>869.13639999999998</v>
      </c>
      <c r="AN154" s="22">
        <f>VLOOKUP($A154,tabCustoUnit[],COLUMN(CUSTO_GLOBAL[[#Headers],[MÓDULO 2 - Total Encargos e Benefícios mensais e diários]])-2,0)*($G154-$H154)</f>
        <v>1419.1875495111112</v>
      </c>
      <c r="AO154" s="22">
        <f>VLOOKUP($A154,tabCustoUnit[],COLUMN(CUSTO_GLOBAL[[#Headers],[Aviso Prévio Indenizado (API) e Reflexo do Aviso Prévio Indenizado]])-2,0)*($G154-$H154)</f>
        <v>5.970839316049382</v>
      </c>
      <c r="AP154" s="22">
        <f>VLOOKUP($A154,tabCustoUnit[],COLUMN(CUSTO_GLOBAL[[#Headers],[Incidência do FGTS sobre API e Reflexo do API]])-2,0)*($G154-$H154)</f>
        <v>0.4776671452839506</v>
      </c>
      <c r="AQ154" s="22">
        <f>VLOOKUP($A154,tabCustoUnit[],COLUMN(CUSTO_GLOBAL[[#Headers],[Multa Rescisória do FGTS sobre o Aviso Prévio Indenizado]])-2,0)*($G154-$H154)</f>
        <v>0.19106685811358026</v>
      </c>
      <c r="AR154" s="22">
        <f>VLOOKUP($A154,tabCustoUnit[],COLUMN(CUSTO_GLOBAL[[#Headers],[Aviso Prévio Trabalhado - APT]])-2,0)*($G154-$H154)</f>
        <v>2.9804096000000002</v>
      </c>
      <c r="AS154" s="22">
        <f>VLOOKUP($A154,tabCustoUnit[],COLUMN(CUSTO_GLOBAL[[#Headers],[Incidência dos encargos do submódulo 2.1 sobre Aviso Prévio Trabalhado]])-2,0)*($G154-$H154)</f>
        <v>1.1265948288000003</v>
      </c>
      <c r="AT154" s="22">
        <f>VLOOKUP($A154,tabCustoUnit[],COLUMN(CUSTO_GLOBAL[[#Headers],[Multa Rescisória do FGTS]])-2,0)*($G154-$H154)</f>
        <v>26.038372124444439</v>
      </c>
      <c r="AU154" s="22">
        <f>VLOOKUP($A154,tabCustoUnit[],COLUMN(CUSTO_GLOBAL[[#Headers],[Indenização Adicional (Art. 9º da Lei nº 7.238/84)]])-2,0)*($G154-$H154)</f>
        <v>0.70962133333333333</v>
      </c>
      <c r="AV154" s="22">
        <f>VLOOKUP($A154,tabCustoUnit[],COLUMN(CUSTO_GLOBAL[[#Headers],[MÓDULO 3 – PROVISÃO PARA RESCISÃO]])-2,0)*($G154-$H154)</f>
        <v>37.494571206024688</v>
      </c>
      <c r="AW154" s="22">
        <f>VLOOKUP($A154,tabCustoUnit[],COLUMN(CUSTO_GLOBAL[[#Headers],[Ausência por Doença]])-2,0)*($G154-$H154)</f>
        <v>7.1908295111111098</v>
      </c>
      <c r="AX154" s="22">
        <f>VLOOKUP($A154,tabCustoUnit[],COLUMN(CUSTO_GLOBAL[[#Headers],[Ausências Legais]])-2,0)*($G154-$H154)</f>
        <v>1.7267452444444442</v>
      </c>
      <c r="AY154" s="22">
        <f>VLOOKUP($A154,tabCustoUnit[],COLUMN(CUSTO_GLOBAL[[#Headers],[Licença Paternidade]])-2,0)*($G154-$H154)</f>
        <v>0.14547237333333332</v>
      </c>
      <c r="AZ154" s="22">
        <f>VLOOKUP($A154,tabCustoUnit[],COLUMN(CUSTO_GLOBAL[[#Headers],[Ausência por Acidente de Trabalho]])-2,0)*($G154-$H154)</f>
        <v>0.17740533333333333</v>
      </c>
      <c r="BA154" s="22">
        <f>VLOOKUP($A154,tabCustoUnit[],COLUMN(CUSTO_GLOBAL[[#Headers],[Férias, Adicional de Férias e 13º  com empregada em gozo de Licença Maternidade]])-2,0)*($G154-$H154)</f>
        <v>1.1038554074074072</v>
      </c>
      <c r="BB154" s="22">
        <f>VLOOKUP($A154,tabCustoUnit[],COLUMN(CUSTO_GLOBAL[[#Headers],[Incidência do Submódulo 2.1 sobre Ausências Legais]])-2,0)*($G154-$H154)</f>
        <v>3.9101483747200003</v>
      </c>
      <c r="BC154" s="22">
        <f>VLOOKUP($A154,tabCustoUnit[],COLUMN(CUSTO_GLOBAL[[#Headers],[Submódulo 4.1]])-2,0)*($G154-$H154)</f>
        <v>14.254456244349628</v>
      </c>
      <c r="BD154" s="22">
        <f>VLOOKUP($A154,tabCustoUnit[],COLUMN(CUSTO_GLOBAL[[#Headers],[Intervalo para Repouso ou Alimentação]])-2,0)*($G154-$H154)</f>
        <v>0</v>
      </c>
      <c r="BE154" s="22">
        <f>VLOOKUP($A154,tabCustoUnit[],COLUMN(CUSTO_GLOBAL[[#Headers],[Submódulo 4.2]])-2,0)*($G154-$H154)</f>
        <v>0</v>
      </c>
      <c r="BF154" s="22">
        <f>VLOOKUP($A154,tabCustoUnit[],COLUMN(CUSTO_GLOBAL[[#Headers],[Suspensão Temporária do Contrato de Trabalho]])-2,0)*($G154-$H154)</f>
        <v>0</v>
      </c>
      <c r="BG154" s="22">
        <f>VLOOKUP($A154,tabCustoUnit[],COLUMN(CUSTO_GLOBAL[[#Headers],[Submódulo 4.3]])-2,0)*($G154-$H154)</f>
        <v>0</v>
      </c>
      <c r="BH154" s="22">
        <f>VLOOKUP($A154,tabCustoUnit[],COLUMN(CUSTO_GLOBAL[[#Headers],[MÓDULO 4 – CUSTO DE REPOSIÇÃO DO PROFISSIONAL AUSENTE]])-2,0)*($G154-$H154)</f>
        <v>14.254456244349628</v>
      </c>
      <c r="BI154" s="22">
        <f>VLOOKUP($A154,tabCustoUnit[],COLUMN(CUSTO_GLOBAL[[#Headers],[Uniformes e EPIs]])-2,0)*($G154-$H154)</f>
        <v>62.806666666666665</v>
      </c>
      <c r="BJ154" s="22">
        <f>VLOOKUP($A154,tabCustoUnit[],COLUMN(CUSTO_GLOBAL[[#Headers],[Materiais de Consumo]])-2,0)*($G154-$H154)</f>
        <v>17.759106479291944</v>
      </c>
      <c r="BK154" s="22">
        <f>VLOOKUP($A154,tabCustoUnit[],COLUMN(CUSTO_GLOBAL[[#Headers],[Máquinas e Equipamentos (depreciação)]])-2,0)*($G154-$H154)</f>
        <v>32.264696957412788</v>
      </c>
      <c r="BL154" s="22">
        <f>VLOOKUP($A154,tabCustoUnit[],COLUMN(CUSTO_GLOBAL[[#Headers],[Produtos de Limpeza e Materiais de Higiene Pessoal]])-2,0)*($G154-$H154)</f>
        <v>345.13576638965827</v>
      </c>
      <c r="BM154" s="22">
        <f>VLOOKUP($A154,tabCustoUnit[],COLUMN(CUSTO_GLOBAL[[#Headers],[Outros (especificar)]])-2,0)*($G154-$H154)</f>
        <v>0</v>
      </c>
      <c r="BN154" s="22">
        <f>VLOOKUP($A154,tabCustoUnit[],COLUMN(CUSTO_GLOBAL[[#Headers],[MÓDULO 5 – INSUMOS DIVERSOS]])-2,0)*($G154-$H154)</f>
        <v>457.96623649302967</v>
      </c>
      <c r="BO154" s="22">
        <f>VLOOKUP($A154,tabCustoUnit[],COLUMN(CUSTO_GLOBAL[[#Headers],[TOTAL MÓDULOS 1+2+3+4+5]])-2,0)*($G154-$H154)</f>
        <v>2780.448413454515</v>
      </c>
      <c r="BP154" s="22">
        <f>VLOOKUP($A154,tabCustoUnit[],COLUMN(CUSTO_GLOBAL[[#Headers],[Custos Indiretos]])-2,0)*($G154-$H154)</f>
        <v>189.64880140242613</v>
      </c>
      <c r="BQ154" s="22">
        <f>VLOOKUP($A154,tabCustoUnit[],COLUMN(CUSTO_GLOBAL[[#Headers],[Lucro]])-2,0)*($G154-$H154)</f>
        <v>159.30499317803796</v>
      </c>
      <c r="BR154" s="26">
        <f>VLOOKUP($A154,tabCustoUnit[],COLUMN(CUSTO_GLOBAL[[#Headers],[COFINS]])-2,0)</f>
        <v>8.6609686609686695E-2</v>
      </c>
      <c r="BS154" s="26">
        <f>VLOOKUP($A154,tabCustoUnit[],COLUMN(CUSTO_GLOBAL[[#Headers],[PIS]])-2,0)</f>
        <v>1.880341880341882E-2</v>
      </c>
      <c r="BT154" s="28">
        <f>VLOOKUP($A154,tabCustoUnit[],COLUMN(CUSTO_GLOBAL[[#Headers],[ISS]])-2,0)</f>
        <v>0.03</v>
      </c>
      <c r="BU154" s="26">
        <f>VLOOKUP($A154,tabCustoUnit[],COLUMN(CUSTO_GLOBAL[[#Headers],[ISS (Conversão Alíquota s/ fatura)]])-2,0)</f>
        <v>3.4188034188034219E-2</v>
      </c>
      <c r="BV154" s="26">
        <f>VLOOKUP($A154,tabCustoUnit[],COLUMN(CUSTO_GLOBAL[[#Headers],[Resumo de Alíquotas (PIS+CONFINS+ISS)]])-2,0)</f>
        <v>0.1225</v>
      </c>
      <c r="BW154" s="138">
        <f>VLOOKUP($A154,tabCustoUnit[],COLUMN(CUSTO_GLOBAL[[#Headers],[PIS + COFINS + ISS (Total Conversão  Alíquota s/ Fatura)]])-2,0)</f>
        <v>0.13960113960113973</v>
      </c>
      <c r="BX154" s="22">
        <f>VLOOKUP($A154,tabCustoUnit[],COLUMN(CUSTO_GLOBAL[[#Headers],[Valor dos Tributos (ISS, PIS, CONFINS)]])-2,0)*($G154-$H154)</f>
        <v>436.86811451200606</v>
      </c>
      <c r="BY154" s="22">
        <f>VLOOKUP($A154,tabCustoUnit[],COLUMN(CUSTO_GLOBAL[[#Headers],[MÓDULO 6 – CUSTOS INDIRETOS, TRIBUTOS E LUCRO]])-2,0)*($G154-$H154)</f>
        <v>785.82190909247015</v>
      </c>
      <c r="BZ154" s="22">
        <f>VLOOKUP($A154,tabCustoUnit[],COLUMN(CUSTO_GLOBAL[[#Headers],[CUSTO TOTAL MENSAL]])-2,0)*($G154-$H154)</f>
        <v>3566.270322546985</v>
      </c>
      <c r="CA154" s="22">
        <f>CUSTO_GLOBAL[[#This Row],[CUSTO TOTAL MENSAL]]*12</f>
        <v>42795.24387056382</v>
      </c>
      <c r="CB154" s="24">
        <f>VLOOKUP($A154,tabCustoUnit[],COLUMN(CUSTO_GLOBAL[[#Headers],[ANO DA CCT]])-2,0)</f>
        <v>45658</v>
      </c>
      <c r="CC154" s="25" t="str">
        <f>VLOOKUP($A154,tabCustoUnit[],COLUMN(CUSTO_GLOBAL[[#Headers],[Nº DE PEDIDO DA CCT]])-2,0)</f>
        <v>-</v>
      </c>
      <c r="CD154" s="25" t="str">
        <f>VLOOKUP($A154,tabCustoUnit[],COLUMN(CUSTO_GLOBAL[[#Headers],[TERMO ADITIVO  ALTERAÇÃO DA CCT]])-2,0)</f>
        <v>-</v>
      </c>
      <c r="CF154" s="22"/>
      <c r="CG154" s="22"/>
    </row>
    <row r="155" spans="1:85" x14ac:dyDescent="0.25">
      <c r="A155" s="20" t="s">
        <v>1491</v>
      </c>
      <c r="B155" t="s">
        <v>140</v>
      </c>
      <c r="C155" t="s">
        <v>1247</v>
      </c>
      <c r="D155" t="s">
        <v>1018</v>
      </c>
      <c r="E155" s="20" t="s">
        <v>9</v>
      </c>
      <c r="F155" s="20" t="s">
        <v>10</v>
      </c>
      <c r="G155" s="20">
        <v>1</v>
      </c>
      <c r="H155" s="20">
        <v>0</v>
      </c>
      <c r="I155" s="21">
        <f>VLOOKUP($A155,tabCustoUnit[],COLUMN(CUSTO_GLOBAL[[#Headers],[Salário Base]])-2,0)*($G155-$H155)</f>
        <v>544.17999999999995</v>
      </c>
      <c r="J155" s="21">
        <f>VLOOKUP($A155,tabCustoUnit[],COLUMN(CUSTO_GLOBAL[[#Headers],[Adicional Periculosidade]])-2,0)*($G155-$H155)</f>
        <v>0</v>
      </c>
      <c r="K155" s="21">
        <f>VLOOKUP($A155,tabCustoUnit[],COLUMN(CUSTO_GLOBAL[[#Headers],[Adicional Insalubridade]])-2,0)*($G155-$H155)</f>
        <v>0</v>
      </c>
      <c r="L155" s="21">
        <f>VLOOKUP($A155,tabCustoUnit[],COLUMN(CUSTO_GLOBAL[[#Headers],[Adicional Noturno]])-2,0)*($G155-$H155)</f>
        <v>0</v>
      </c>
      <c r="M155" s="21">
        <f>VLOOKUP($A155,tabCustoUnit[],COLUMN(CUSTO_GLOBAL[[#Headers],[Adicional Motorista II (Gratificação)]])-2,0)*($G155-$H155)</f>
        <v>0</v>
      </c>
      <c r="N155" s="21">
        <f>VLOOKUP($A155,tabCustoUnit[],COLUMN(CUSTO_GLOBAL[[#Headers],[Adicional de Sobreaviso]])-2,0)*($G155-$H155)</f>
        <v>0</v>
      </c>
      <c r="O155" s="21">
        <f>VLOOKUP($A155,tabCustoUnit[],COLUMN(CUSTO_GLOBAL[[#Headers],[Horas Extras TI]])-2,0)*($G155-$H155)</f>
        <v>0</v>
      </c>
      <c r="P155" s="21">
        <f>VLOOKUP($A155,tabCustoUnit[],COLUMN(CUSTO_GLOBAL[[#Headers],[Adicional de Acúmulo de função]])-2,0)*($G155-$H155)</f>
        <v>19.590499999999999</v>
      </c>
      <c r="Q155" s="21">
        <f>VLOOKUP($A155,tabCustoUnit[],COLUMN(CUSTO_GLOBAL[[#Headers],[MODULO 1 - REMUNERAÇÃO ]])-2,0)*($G155-$H155)</f>
        <v>563.77049999999997</v>
      </c>
      <c r="R155" s="21">
        <f>VLOOKUP($A155,tabCustoUnit[],COLUMN(CUSTO_GLOBAL[[#Headers],[INSS]])-2,0)*($G155-$H155)</f>
        <v>112.75409999999999</v>
      </c>
      <c r="S155" s="21">
        <f>VLOOKUP($A155,tabCustoUnit[],COLUMN(CUSTO_GLOBAL[[#Headers],[SESI OU SESC]])-2,0)*($G155-$H155)</f>
        <v>8.4565574999999988</v>
      </c>
      <c r="T155" s="21">
        <f>VLOOKUP($A155,tabCustoUnit[],COLUMN(CUSTO_GLOBAL[[#Headers],[SENAI OU SENAC]])-2,0)*($G155-$H155)</f>
        <v>5.6377049999999995</v>
      </c>
      <c r="U155" s="21">
        <f>VLOOKUP($A155,tabCustoUnit[],COLUMN(CUSTO_GLOBAL[[#Headers],[INCRA]])-2,0)*($G155-$H155)</f>
        <v>1.1275409999999999</v>
      </c>
      <c r="V155" s="21">
        <f>VLOOKUP($A155,tabCustoUnit[],COLUMN(CUSTO_GLOBAL[[#Headers],[Salário Educação]])-2,0)*($G155-$H155)</f>
        <v>14.094262499999999</v>
      </c>
      <c r="W155" s="21">
        <f>VLOOKUP($A155,tabCustoUnit[],COLUMN(CUSTO_GLOBAL[[#Headers],[FGTS]])-2,0)*($G155-$H155)</f>
        <v>45.101639999999996</v>
      </c>
      <c r="X155" s="21">
        <f>VLOOKUP($A155,tabCustoUnit[],COLUMN(CUSTO_GLOBAL[[#Headers],[RAT Ajustado]])-2,0)*($G155-$H155)</f>
        <v>22.550819999999998</v>
      </c>
      <c r="Y155" s="21">
        <f>VLOOKUP($A155,tabCustoUnit[],COLUMN(CUSTO_GLOBAL[[#Headers],[SEBRAE]])-2,0)*($G155-$H155)</f>
        <v>3.3826229999999997</v>
      </c>
      <c r="Z155" s="21">
        <f>VLOOKUP($A155,tabCustoUnit[],COLUMN(CUSTO_GLOBAL[[#Headers],[Submódulo 2.1]])-2,0)*($G155-$H155)</f>
        <v>213.10524899999996</v>
      </c>
      <c r="AA155" s="21">
        <f>VLOOKUP($A155,tabCustoUnit[],COLUMN(CUSTO_GLOBAL[[#Headers],[13º salário (titular)]])-2,0)*($G155-$H155)</f>
        <v>46.980874999999997</v>
      </c>
      <c r="AB155" s="21">
        <f>VLOOKUP($A155,tabCustoUnit[],COLUMN(CUSTO_GLOBAL[[#Headers],[Férias e Adicional de Férias (titular)]])-2,0)*($G155-$H155)</f>
        <v>62.641166666666663</v>
      </c>
      <c r="AC155" s="21">
        <f>VLOOKUP($A155,tabCustoUnit[],COLUMN(CUSTO_GLOBAL[[#Headers],[Incidência do Submódulo 2.1 sobre 13º Salário, Férias e Adicional de Férias]])-2,0)*($G155-$H155)</f>
        <v>41.437131749999992</v>
      </c>
      <c r="AD155" s="21">
        <f>VLOOKUP($A155,tabCustoUnit[],COLUMN(CUSTO_GLOBAL[[#Headers],[Submódulo 2.2]])-2,0)*($G155-$H155)</f>
        <v>151.05917341666665</v>
      </c>
      <c r="AE155" s="22">
        <f>VLOOKUP($A155,tabCustoUnit[],COLUMN(CUSTO_GLOBAL[[#Headers],[Vale - Transporte (Descontada parcela do empregado)]])-2,0)*($G155-$H155)</f>
        <v>223.3492</v>
      </c>
      <c r="AF155" s="22">
        <f>VLOOKUP($A155,tabCustoUnit[],COLUMN(CUSTO_GLOBAL[[#Headers],[Vale - Alimentação (Descontada parcela do empregado)]])-2,0)*($G155-$H155)</f>
        <v>582</v>
      </c>
      <c r="AG155" s="22">
        <f>VLOOKUP($A155,tabCustoUnit[],COLUMN(CUSTO_GLOBAL[[#Headers],[Cesta Básica]])-2,0)*($G155-$H155)</f>
        <v>0</v>
      </c>
      <c r="AH155" s="22">
        <f>VLOOKUP($A155,tabCustoUnit[],COLUMN(CUSTO_GLOBAL[[#Headers],[PAF]])-2,0)*($G155-$H155)</f>
        <v>51.88</v>
      </c>
      <c r="AI155" s="22">
        <f>VLOOKUP($A155,tabCustoUnit[],COLUMN(CUSTO_GLOBAL[[#Headers],[PQM]])-2,0)*($G155-$H155)</f>
        <v>0</v>
      </c>
      <c r="AJ155" s="22">
        <v>0</v>
      </c>
      <c r="AK155" s="22">
        <f>VLOOKUP($A155,tabCustoUnit[],COLUMN(CUSTO_GLOBAL[[#Headers],[Seguro de Vida]])-2,0)*($G155-$H155)</f>
        <v>3.36</v>
      </c>
      <c r="AL155" s="22">
        <f>VLOOKUP($A155,tabCustoUnit[],COLUMN(CUSTO_GLOBAL[[#Headers],[Despesas de Viagem]])-2,0)*($G155-$H155)</f>
        <v>0</v>
      </c>
      <c r="AM155" s="22">
        <f>VLOOKUP($A155,tabCustoUnit[],COLUMN(CUSTO_GLOBAL[[#Headers],[Submódulo 2.3]])-2,0)*($G155-$H155)</f>
        <v>860.58920000000001</v>
      </c>
      <c r="AN155" s="22">
        <f>VLOOKUP($A155,tabCustoUnit[],COLUMN(CUSTO_GLOBAL[[#Headers],[MÓDULO 2 - Total Encargos e Benefícios mensais e diários]])-2,0)*($G155-$H155)</f>
        <v>1224.7536224166665</v>
      </c>
      <c r="AO155" s="22">
        <f>VLOOKUP($A155,tabCustoUnit[],COLUMN(CUSTO_GLOBAL[[#Headers],[Aviso Prévio Indenizado (API) e Reflexo do Aviso Prévio Indenizado]])-2,0)*($G155-$H155)</f>
        <v>3.9530273735532404</v>
      </c>
      <c r="AP155" s="22">
        <f>VLOOKUP($A155,tabCustoUnit[],COLUMN(CUSTO_GLOBAL[[#Headers],[Incidência do FGTS sobre API e Reflexo do API]])-2,0)*($G155-$H155)</f>
        <v>0.31624218988425928</v>
      </c>
      <c r="AQ155" s="22">
        <f>VLOOKUP($A155,tabCustoUnit[],COLUMN(CUSTO_GLOBAL[[#Headers],[Multa Rescisória do FGTS sobre o Aviso Prévio Indenizado]])-2,0)*($G155-$H155)</f>
        <v>0.12649687595370371</v>
      </c>
      <c r="AR155" s="22">
        <f>VLOOKUP($A155,tabCustoUnit[],COLUMN(CUSTO_GLOBAL[[#Headers],[Aviso Prévio Trabalhado - APT]])-2,0)*($G155-$H155)</f>
        <v>1.9731967500000003</v>
      </c>
      <c r="AS155" s="22">
        <f>VLOOKUP($A155,tabCustoUnit[],COLUMN(CUSTO_GLOBAL[[#Headers],[Incidência dos encargos do submódulo 2.1 sobre Aviso Prévio Trabalhado]])-2,0)*($G155-$H155)</f>
        <v>0.74586837150000018</v>
      </c>
      <c r="AT155" s="22">
        <f>VLOOKUP($A155,tabCustoUnit[],COLUMN(CUSTO_GLOBAL[[#Headers],[Multa Rescisória do FGTS]])-2,0)*($G155-$H155)</f>
        <v>17.238849066666663</v>
      </c>
      <c r="AU155" s="22">
        <f>VLOOKUP($A155,tabCustoUnit[],COLUMN(CUSTO_GLOBAL[[#Headers],[Indenização Adicional (Art. 9º da Lei nº 7.238/84)]])-2,0)*($G155-$H155)</f>
        <v>0.46980875</v>
      </c>
      <c r="AV155" s="22">
        <f>VLOOKUP($A155,tabCustoUnit[],COLUMN(CUSTO_GLOBAL[[#Headers],[MÓDULO 3 – PROVISÃO PARA RESCISÃO]])-2,0)*($G155-$H155)</f>
        <v>24.823489377557866</v>
      </c>
      <c r="AW155" s="22">
        <f>VLOOKUP($A155,tabCustoUnit[],COLUMN(CUSTO_GLOBAL[[#Headers],[Ausência por Doença]])-2,0)*($G155-$H155)</f>
        <v>4.7607286666666662</v>
      </c>
      <c r="AX155" s="22">
        <f>VLOOKUP($A155,tabCustoUnit[],COLUMN(CUSTO_GLOBAL[[#Headers],[Ausências Legais]])-2,0)*($G155-$H155)</f>
        <v>1.1432012916666665</v>
      </c>
      <c r="AY155" s="22">
        <f>VLOOKUP($A155,tabCustoUnit[],COLUMN(CUSTO_GLOBAL[[#Headers],[Licença Paternidade]])-2,0)*($G155-$H155)</f>
        <v>9.6310793749999998E-2</v>
      </c>
      <c r="AZ155" s="22">
        <f>VLOOKUP($A155,tabCustoUnit[],COLUMN(CUSTO_GLOBAL[[#Headers],[Ausência por Acidente de Trabalho]])-2,0)*($G155-$H155)</f>
        <v>0.1174521875</v>
      </c>
      <c r="BA155" s="22">
        <f>VLOOKUP($A155,tabCustoUnit[],COLUMN(CUSTO_GLOBAL[[#Headers],[Férias, Adicional de Férias e 13º  com empregada em gozo de Licença Maternidade]])-2,0)*($G155-$H155)</f>
        <v>0.73081361111111109</v>
      </c>
      <c r="BB155" s="22">
        <f>VLOOKUP($A155,tabCustoUnit[],COLUMN(CUSTO_GLOBAL[[#Headers],[Incidência do Submódulo 2.1 sobre Ausências Legais]])-2,0)*($G155-$H155)</f>
        <v>2.5887354761625003</v>
      </c>
      <c r="BC155" s="22">
        <f>VLOOKUP($A155,tabCustoUnit[],COLUMN(CUSTO_GLOBAL[[#Headers],[Submódulo 4.1]])-2,0)*($G155-$H155)</f>
        <v>9.4372420268569428</v>
      </c>
      <c r="BD155" s="22">
        <f>VLOOKUP($A155,tabCustoUnit[],COLUMN(CUSTO_GLOBAL[[#Headers],[Intervalo para Repouso ou Alimentação]])-2,0)*($G155-$H155)</f>
        <v>0</v>
      </c>
      <c r="BE155" s="22">
        <f>VLOOKUP($A155,tabCustoUnit[],COLUMN(CUSTO_GLOBAL[[#Headers],[Submódulo 4.2]])-2,0)*($G155-$H155)</f>
        <v>0</v>
      </c>
      <c r="BF155" s="22">
        <f>VLOOKUP($A155,tabCustoUnit[],COLUMN(CUSTO_GLOBAL[[#Headers],[Suspensão Temporária do Contrato de Trabalho]])-2,0)*($G155-$H155)</f>
        <v>0</v>
      </c>
      <c r="BG155" s="22">
        <f>VLOOKUP($A155,tabCustoUnit[],COLUMN(CUSTO_GLOBAL[[#Headers],[Submódulo 4.3]])-2,0)*($G155-$H155)</f>
        <v>0</v>
      </c>
      <c r="BH155" s="22">
        <f>VLOOKUP($A155,tabCustoUnit[],COLUMN(CUSTO_GLOBAL[[#Headers],[MÓDULO 4 – CUSTO DE REPOSIÇÃO DO PROFISSIONAL AUSENTE]])-2,0)*($G155-$H155)</f>
        <v>9.4372420268569428</v>
      </c>
      <c r="BI155" s="22">
        <f>VLOOKUP($A155,tabCustoUnit[],COLUMN(CUSTO_GLOBAL[[#Headers],[Uniformes e EPIs]])-2,0)*($G155-$H155)</f>
        <v>62.806666666666665</v>
      </c>
      <c r="BJ155" s="22">
        <f>VLOOKUP($A155,tabCustoUnit[],COLUMN(CUSTO_GLOBAL[[#Headers],[Materiais de Consumo]])-2,0)*($G155-$H155)</f>
        <v>12.108481690426325</v>
      </c>
      <c r="BK155" s="22">
        <f>VLOOKUP($A155,tabCustoUnit[],COLUMN(CUSTO_GLOBAL[[#Headers],[Máquinas e Equipamentos (depreciação)]])-2,0)*($G155-$H155)</f>
        <v>21.998657016417809</v>
      </c>
      <c r="BL155" s="22">
        <f>VLOOKUP($A155,tabCustoUnit[],COLUMN(CUSTO_GLOBAL[[#Headers],[Produtos de Limpeza e Materiais de Higiene Pessoal]])-2,0)*($G155-$H155)</f>
        <v>235.31984072022155</v>
      </c>
      <c r="BM155" s="22">
        <f>VLOOKUP($A155,tabCustoUnit[],COLUMN(CUSTO_GLOBAL[[#Headers],[Outros (especificar)]])-2,0)*($G155-$H155)</f>
        <v>0</v>
      </c>
      <c r="BN155" s="22">
        <f>VLOOKUP($A155,tabCustoUnit[],COLUMN(CUSTO_GLOBAL[[#Headers],[MÓDULO 5 – INSUMOS DIVERSOS]])-2,0)*($G155-$H155)</f>
        <v>332.23364609373232</v>
      </c>
      <c r="BO155" s="22">
        <f>VLOOKUP($A155,tabCustoUnit[],COLUMN(CUSTO_GLOBAL[[#Headers],[TOTAL MÓDULOS 1+2+3+4+5]])-2,0)*($G155-$H155)</f>
        <v>2155.0184999148137</v>
      </c>
      <c r="BP155" s="22">
        <f>VLOOKUP($A155,tabCustoUnit[],COLUMN(CUSTO_GLOBAL[[#Headers],[Custos Indiretos]])-2,0)*($G155-$H155)</f>
        <v>189.64880140242613</v>
      </c>
      <c r="BQ155" s="22">
        <f>VLOOKUP($A155,tabCustoUnit[],COLUMN(CUSTO_GLOBAL[[#Headers],[Lucro]])-2,0)*($G155-$H155)</f>
        <v>159.30499317803796</v>
      </c>
      <c r="BR155" s="26">
        <f>VLOOKUP($A155,tabCustoUnit[],COLUMN(CUSTO_GLOBAL[[#Headers],[COFINS]])-2,0)</f>
        <v>8.5633802816901458E-2</v>
      </c>
      <c r="BS155" s="26">
        <f>VLOOKUP($A155,tabCustoUnit[],COLUMN(CUSTO_GLOBAL[[#Headers],[PIS]])-2,0)</f>
        <v>1.8591549295774657E-2</v>
      </c>
      <c r="BT155" s="28">
        <f>VLOOKUP($A155,tabCustoUnit[],COLUMN(CUSTO_GLOBAL[[#Headers],[ISS]])-2,0)</f>
        <v>0.02</v>
      </c>
      <c r="BU155" s="26">
        <f>VLOOKUP($A155,tabCustoUnit[],COLUMN(CUSTO_GLOBAL[[#Headers],[ISS (Conversão Alíquota s/ fatura)]])-2,0)</f>
        <v>2.2535211267605645E-2</v>
      </c>
      <c r="BV155" s="26">
        <f>VLOOKUP($A155,tabCustoUnit[],COLUMN(CUSTO_GLOBAL[[#Headers],[Resumo de Alíquotas (PIS+CONFINS+ISS)]])-2,0)</f>
        <v>0.1125</v>
      </c>
      <c r="BW155" s="138">
        <f>VLOOKUP($A155,tabCustoUnit[],COLUMN(CUSTO_GLOBAL[[#Headers],[PIS + COFINS + ISS (Total Conversão  Alíquota s/ Fatura)]])-2,0)</f>
        <v>0.12676056338028174</v>
      </c>
      <c r="BX155" s="22">
        <f>VLOOKUP($A155,tabCustoUnit[],COLUMN(CUSTO_GLOBAL[[#Headers],[Valor dos Tributos (ISS, PIS, CONFINS)]])-2,0)*($G155-$H155)</f>
        <v>317.40493873883815</v>
      </c>
      <c r="BY155" s="22">
        <f>VLOOKUP($A155,tabCustoUnit[],COLUMN(CUSTO_GLOBAL[[#Headers],[MÓDULO 6 – CUSTOS INDIRETOS, TRIBUTOS E LUCRO]])-2,0)*($G155-$H155)</f>
        <v>666.35873331930225</v>
      </c>
      <c r="BZ155" s="22">
        <f>VLOOKUP($A155,tabCustoUnit[],COLUMN(CUSTO_GLOBAL[[#Headers],[CUSTO TOTAL MENSAL]])-2,0)*($G155-$H155)</f>
        <v>2821.3772332341159</v>
      </c>
      <c r="CA155" s="22">
        <f>CUSTO_GLOBAL[[#This Row],[CUSTO TOTAL MENSAL]]*12</f>
        <v>33856.526798809391</v>
      </c>
      <c r="CB155" s="24">
        <f>VLOOKUP($A155,tabCustoUnit[],COLUMN(CUSTO_GLOBAL[[#Headers],[ANO DA CCT]])-2,0)</f>
        <v>45658</v>
      </c>
      <c r="CC155" s="25" t="str">
        <f>VLOOKUP($A155,tabCustoUnit[],COLUMN(CUSTO_GLOBAL[[#Headers],[Nº DE PEDIDO DA CCT]])-2,0)</f>
        <v>-</v>
      </c>
      <c r="CD155" s="25" t="str">
        <f>VLOOKUP($A155,tabCustoUnit[],COLUMN(CUSTO_GLOBAL[[#Headers],[TERMO ADITIVO  ALTERAÇÃO DA CCT]])-2,0)</f>
        <v>-</v>
      </c>
      <c r="CF155" s="22"/>
      <c r="CG155" s="22"/>
    </row>
    <row r="156" spans="1:85" x14ac:dyDescent="0.25">
      <c r="A156" s="20" t="s">
        <v>1492</v>
      </c>
      <c r="B156" t="s">
        <v>141</v>
      </c>
      <c r="C156" t="s">
        <v>1245</v>
      </c>
      <c r="D156" t="s">
        <v>1045</v>
      </c>
      <c r="E156" s="20" t="s">
        <v>9</v>
      </c>
      <c r="F156" s="20" t="s">
        <v>10</v>
      </c>
      <c r="G156" s="20">
        <v>1</v>
      </c>
      <c r="H156" s="20">
        <v>0</v>
      </c>
      <c r="I156" s="21">
        <f>VLOOKUP($A156,tabCustoUnit[],COLUMN(CUSTO_GLOBAL[[#Headers],[Salário Base]])-2,0)*($G156-$H156)</f>
        <v>1649.12</v>
      </c>
      <c r="J156" s="21">
        <f>VLOOKUP($A156,tabCustoUnit[],COLUMN(CUSTO_GLOBAL[[#Headers],[Adicional Periculosidade]])-2,0)*($G156-$H156)</f>
        <v>0</v>
      </c>
      <c r="K156" s="21">
        <f>VLOOKUP($A156,tabCustoUnit[],COLUMN(CUSTO_GLOBAL[[#Headers],[Adicional Insalubridade]])-2,0)*($G156-$H156)</f>
        <v>0</v>
      </c>
      <c r="L156" s="21">
        <f>VLOOKUP($A156,tabCustoUnit[],COLUMN(CUSTO_GLOBAL[[#Headers],[Adicional Noturno]])-2,0)*($G156-$H156)</f>
        <v>0</v>
      </c>
      <c r="M156" s="21">
        <f>VLOOKUP($A156,tabCustoUnit[],COLUMN(CUSTO_GLOBAL[[#Headers],[Adicional Motorista II (Gratificação)]])-2,0)*($G156-$H156)</f>
        <v>0</v>
      </c>
      <c r="N156" s="21">
        <f>VLOOKUP($A156,tabCustoUnit[],COLUMN(CUSTO_GLOBAL[[#Headers],[Adicional de Sobreaviso]])-2,0)*($G156-$H156)</f>
        <v>0</v>
      </c>
      <c r="O156" s="21">
        <f>VLOOKUP($A156,tabCustoUnit[],COLUMN(CUSTO_GLOBAL[[#Headers],[Horas Extras TI]])-2,0)*($G156-$H156)</f>
        <v>0</v>
      </c>
      <c r="P156" s="21">
        <f>VLOOKUP($A156,tabCustoUnit[],COLUMN(CUSTO_GLOBAL[[#Headers],[Adicional de Acúmulo de função]])-2,0)*($G156-$H156)</f>
        <v>53.971200000000003</v>
      </c>
      <c r="Q156" s="21">
        <f>VLOOKUP($A156,tabCustoUnit[],COLUMN(CUSTO_GLOBAL[[#Headers],[MODULO 1 - REMUNERAÇÃO ]])-2,0)*($G156-$H156)</f>
        <v>1703.0911999999998</v>
      </c>
      <c r="R156" s="21">
        <f>VLOOKUP($A156,tabCustoUnit[],COLUMN(CUSTO_GLOBAL[[#Headers],[INSS]])-2,0)*($G156-$H156)</f>
        <v>340.61824000000001</v>
      </c>
      <c r="S156" s="21">
        <f>VLOOKUP($A156,tabCustoUnit[],COLUMN(CUSTO_GLOBAL[[#Headers],[SESI OU SESC]])-2,0)*($G156-$H156)</f>
        <v>25.546367999999998</v>
      </c>
      <c r="T156" s="21">
        <f>VLOOKUP($A156,tabCustoUnit[],COLUMN(CUSTO_GLOBAL[[#Headers],[SENAI OU SENAC]])-2,0)*($G156-$H156)</f>
        <v>17.030911999999997</v>
      </c>
      <c r="U156" s="21">
        <f>VLOOKUP($A156,tabCustoUnit[],COLUMN(CUSTO_GLOBAL[[#Headers],[INCRA]])-2,0)*($G156-$H156)</f>
        <v>3.4061823999999996</v>
      </c>
      <c r="V156" s="21">
        <f>VLOOKUP($A156,tabCustoUnit[],COLUMN(CUSTO_GLOBAL[[#Headers],[Salário Educação]])-2,0)*($G156-$H156)</f>
        <v>42.577280000000002</v>
      </c>
      <c r="W156" s="21">
        <f>VLOOKUP($A156,tabCustoUnit[],COLUMN(CUSTO_GLOBAL[[#Headers],[FGTS]])-2,0)*($G156-$H156)</f>
        <v>136.24729599999998</v>
      </c>
      <c r="X156" s="21">
        <f>VLOOKUP($A156,tabCustoUnit[],COLUMN(CUSTO_GLOBAL[[#Headers],[RAT Ajustado]])-2,0)*($G156-$H156)</f>
        <v>68.123647999999989</v>
      </c>
      <c r="Y156" s="21">
        <f>VLOOKUP($A156,tabCustoUnit[],COLUMN(CUSTO_GLOBAL[[#Headers],[SEBRAE]])-2,0)*($G156-$H156)</f>
        <v>10.2185472</v>
      </c>
      <c r="Z156" s="21">
        <f>VLOOKUP($A156,tabCustoUnit[],COLUMN(CUSTO_GLOBAL[[#Headers],[Submódulo 2.1]])-2,0)*($G156-$H156)</f>
        <v>643.76847359999999</v>
      </c>
      <c r="AA156" s="21">
        <f>VLOOKUP($A156,tabCustoUnit[],COLUMN(CUSTO_GLOBAL[[#Headers],[13º salário (titular)]])-2,0)*($G156-$H156)</f>
        <v>141.92426666666665</v>
      </c>
      <c r="AB156" s="21">
        <f>VLOOKUP($A156,tabCustoUnit[],COLUMN(CUSTO_GLOBAL[[#Headers],[Férias e Adicional de Férias (titular)]])-2,0)*($G156-$H156)</f>
        <v>189.23235555555553</v>
      </c>
      <c r="AC156" s="21">
        <f>VLOOKUP($A156,tabCustoUnit[],COLUMN(CUSTO_GLOBAL[[#Headers],[Incidência do Submódulo 2.1 sobre 13º Salário, Férias e Adicional de Férias]])-2,0)*($G156-$H156)</f>
        <v>125.17720319999999</v>
      </c>
      <c r="AD156" s="21">
        <f>VLOOKUP($A156,tabCustoUnit[],COLUMN(CUSTO_GLOBAL[[#Headers],[Submódulo 2.2]])-2,0)*($G156-$H156)</f>
        <v>456.33382542222216</v>
      </c>
      <c r="AE156" s="22">
        <f>VLOOKUP($A156,tabCustoUnit[],COLUMN(CUSTO_GLOBAL[[#Headers],[Vale - Transporte (Descontada parcela do empregado)]])-2,0)*($G156-$H156)</f>
        <v>157.05279999999999</v>
      </c>
      <c r="AF156" s="22">
        <f>VLOOKUP($A156,tabCustoUnit[],COLUMN(CUSTO_GLOBAL[[#Headers],[Vale - Alimentação (Descontada parcela do empregado)]])-2,0)*($G156-$H156)</f>
        <v>582</v>
      </c>
      <c r="AG156" s="22">
        <f>VLOOKUP($A156,tabCustoUnit[],COLUMN(CUSTO_GLOBAL[[#Headers],[Cesta Básica]])-2,0)*($G156-$H156)</f>
        <v>0</v>
      </c>
      <c r="AH156" s="22">
        <f>VLOOKUP($A156,tabCustoUnit[],COLUMN(CUSTO_GLOBAL[[#Headers],[PAF]])-2,0)*($G156-$H156)</f>
        <v>77.25</v>
      </c>
      <c r="AI156" s="22">
        <f>VLOOKUP($A156,tabCustoUnit[],COLUMN(CUSTO_GLOBAL[[#Headers],[PQM]])-2,0)*($G156-$H156)</f>
        <v>0</v>
      </c>
      <c r="AJ156" s="22">
        <v>0</v>
      </c>
      <c r="AK156" s="22">
        <f>VLOOKUP($A156,tabCustoUnit[],COLUMN(CUSTO_GLOBAL[[#Headers],[Seguro de Vida]])-2,0)*($G156-$H156)</f>
        <v>3.36</v>
      </c>
      <c r="AL156" s="22">
        <f>VLOOKUP($A156,tabCustoUnit[],COLUMN(CUSTO_GLOBAL[[#Headers],[Despesas de Viagem]])-2,0)*($G156-$H156)</f>
        <v>0</v>
      </c>
      <c r="AM156" s="22">
        <f>VLOOKUP($A156,tabCustoUnit[],COLUMN(CUSTO_GLOBAL[[#Headers],[Submódulo 2.3]])-2,0)*($G156-$H156)</f>
        <v>819.66279999999995</v>
      </c>
      <c r="AN156" s="22">
        <f>VLOOKUP($A156,tabCustoUnit[],COLUMN(CUSTO_GLOBAL[[#Headers],[MÓDULO 2 - Total Encargos e Benefícios mensais e diários]])-2,0)*($G156-$H156)</f>
        <v>1919.7650990222223</v>
      </c>
      <c r="AO156" s="22">
        <f>VLOOKUP($A156,tabCustoUnit[],COLUMN(CUSTO_GLOBAL[[#Headers],[Aviso Prévio Indenizado (API) e Reflexo do Aviso Prévio Indenizado]])-2,0)*($G156-$H156)</f>
        <v>11.941678632098764</v>
      </c>
      <c r="AP156" s="22">
        <f>VLOOKUP($A156,tabCustoUnit[],COLUMN(CUSTO_GLOBAL[[#Headers],[Incidência do FGTS sobre API e Reflexo do API]])-2,0)*($G156-$H156)</f>
        <v>0.9553342905679012</v>
      </c>
      <c r="AQ156" s="22">
        <f>VLOOKUP($A156,tabCustoUnit[],COLUMN(CUSTO_GLOBAL[[#Headers],[Multa Rescisória do FGTS sobre o Aviso Prévio Indenizado]])-2,0)*($G156-$H156)</f>
        <v>0.38213371622716052</v>
      </c>
      <c r="AR156" s="22">
        <f>VLOOKUP($A156,tabCustoUnit[],COLUMN(CUSTO_GLOBAL[[#Headers],[Aviso Prévio Trabalhado - APT]])-2,0)*($G156-$H156)</f>
        <v>5.9608192000000004</v>
      </c>
      <c r="AS156" s="22">
        <f>VLOOKUP($A156,tabCustoUnit[],COLUMN(CUSTO_GLOBAL[[#Headers],[Incidência dos encargos do submódulo 2.1 sobre Aviso Prévio Trabalhado]])-2,0)*($G156-$H156)</f>
        <v>2.2531896576000006</v>
      </c>
      <c r="AT156" s="22">
        <f>VLOOKUP($A156,tabCustoUnit[],COLUMN(CUSTO_GLOBAL[[#Headers],[Multa Rescisória do FGTS]])-2,0)*($G156-$H156)</f>
        <v>52.076744248888879</v>
      </c>
      <c r="AU156" s="22">
        <f>VLOOKUP($A156,tabCustoUnit[],COLUMN(CUSTO_GLOBAL[[#Headers],[Indenização Adicional (Art. 9º da Lei nº 7.238/84)]])-2,0)*($G156-$H156)</f>
        <v>1.4192426666666667</v>
      </c>
      <c r="AV156" s="22">
        <f>VLOOKUP($A156,tabCustoUnit[],COLUMN(CUSTO_GLOBAL[[#Headers],[MÓDULO 3 – PROVISÃO PARA RESCISÃO]])-2,0)*($G156-$H156)</f>
        <v>74.989142412049375</v>
      </c>
      <c r="AW156" s="22">
        <f>VLOOKUP($A156,tabCustoUnit[],COLUMN(CUSTO_GLOBAL[[#Headers],[Ausência por Doença]])-2,0)*($G156-$H156)</f>
        <v>14.38165902222222</v>
      </c>
      <c r="AX156" s="22">
        <f>VLOOKUP($A156,tabCustoUnit[],COLUMN(CUSTO_GLOBAL[[#Headers],[Ausências Legais]])-2,0)*($G156-$H156)</f>
        <v>3.4534904888888884</v>
      </c>
      <c r="AY156" s="22">
        <f>VLOOKUP($A156,tabCustoUnit[],COLUMN(CUSTO_GLOBAL[[#Headers],[Licença Paternidade]])-2,0)*($G156-$H156)</f>
        <v>0.29094474666666664</v>
      </c>
      <c r="AZ156" s="22">
        <f>VLOOKUP($A156,tabCustoUnit[],COLUMN(CUSTO_GLOBAL[[#Headers],[Ausência por Acidente de Trabalho]])-2,0)*($G156-$H156)</f>
        <v>0.35481066666666666</v>
      </c>
      <c r="BA156" s="22">
        <f>VLOOKUP($A156,tabCustoUnit[],COLUMN(CUSTO_GLOBAL[[#Headers],[Férias, Adicional de Férias e 13º  com empregada em gozo de Licença Maternidade]])-2,0)*($G156-$H156)</f>
        <v>2.2077108148148143</v>
      </c>
      <c r="BB156" s="22">
        <f>VLOOKUP($A156,tabCustoUnit[],COLUMN(CUSTO_GLOBAL[[#Headers],[Incidência do Submódulo 2.1 sobre Ausências Legais]])-2,0)*($G156-$H156)</f>
        <v>7.8202967494400006</v>
      </c>
      <c r="BC156" s="22">
        <f>VLOOKUP($A156,tabCustoUnit[],COLUMN(CUSTO_GLOBAL[[#Headers],[Submódulo 4.1]])-2,0)*($G156-$H156)</f>
        <v>28.508912488699256</v>
      </c>
      <c r="BD156" s="22">
        <f>VLOOKUP($A156,tabCustoUnit[],COLUMN(CUSTO_GLOBAL[[#Headers],[Intervalo para Repouso ou Alimentação]])-2,0)*($G156-$H156)</f>
        <v>0</v>
      </c>
      <c r="BE156" s="22">
        <f>VLOOKUP($A156,tabCustoUnit[],COLUMN(CUSTO_GLOBAL[[#Headers],[Submódulo 4.2]])-2,0)*($G156-$H156)</f>
        <v>0</v>
      </c>
      <c r="BF156" s="22">
        <f>VLOOKUP($A156,tabCustoUnit[],COLUMN(CUSTO_GLOBAL[[#Headers],[Suspensão Temporária do Contrato de Trabalho]])-2,0)*($G156-$H156)</f>
        <v>0</v>
      </c>
      <c r="BG156" s="22">
        <f>VLOOKUP($A156,tabCustoUnit[],COLUMN(CUSTO_GLOBAL[[#Headers],[Submódulo 4.3]])-2,0)*($G156-$H156)</f>
        <v>0</v>
      </c>
      <c r="BH156" s="22">
        <f>VLOOKUP($A156,tabCustoUnit[],COLUMN(CUSTO_GLOBAL[[#Headers],[MÓDULO 4 – CUSTO DE REPOSIÇÃO DO PROFISSIONAL AUSENTE]])-2,0)*($G156-$H156)</f>
        <v>28.508912488699256</v>
      </c>
      <c r="BI156" s="22">
        <f>VLOOKUP($A156,tabCustoUnit[],COLUMN(CUSTO_GLOBAL[[#Headers],[Uniformes e EPIs]])-2,0)*($G156-$H156)</f>
        <v>100.80916666666666</v>
      </c>
      <c r="BJ156" s="22">
        <f>VLOOKUP($A156,tabCustoUnit[],COLUMN(CUSTO_GLOBAL[[#Headers],[Materiais de Consumo]])-2,0)*($G156-$H156)</f>
        <v>35.518212958583888</v>
      </c>
      <c r="BK156" s="22">
        <f>VLOOKUP($A156,tabCustoUnit[],COLUMN(CUSTO_GLOBAL[[#Headers],[Máquinas e Equipamentos (depreciação)]])-2,0)*($G156-$H156)</f>
        <v>64.529393914825576</v>
      </c>
      <c r="BL156" s="22">
        <f>VLOOKUP($A156,tabCustoUnit[],COLUMN(CUSTO_GLOBAL[[#Headers],[Produtos de Limpeza e Materiais de Higiene Pessoal]])-2,0)*($G156-$H156)</f>
        <v>690.27153277931654</v>
      </c>
      <c r="BM156" s="22">
        <f>VLOOKUP($A156,tabCustoUnit[],COLUMN(CUSTO_GLOBAL[[#Headers],[Outros (especificar)]])-2,0)*($G156-$H156)</f>
        <v>0</v>
      </c>
      <c r="BN156" s="22">
        <f>VLOOKUP($A156,tabCustoUnit[],COLUMN(CUSTO_GLOBAL[[#Headers],[MÓDULO 5 – INSUMOS DIVERSOS]])-2,0)*($G156-$H156)</f>
        <v>891.12830631939266</v>
      </c>
      <c r="BO156" s="22">
        <f>VLOOKUP($A156,tabCustoUnit[],COLUMN(CUSTO_GLOBAL[[#Headers],[TOTAL MÓDULOS 1+2+3+4+5]])-2,0)*($G156-$H156)</f>
        <v>4617.4826602423636</v>
      </c>
      <c r="BP156" s="22">
        <f>VLOOKUP($A156,tabCustoUnit[],COLUMN(CUSTO_GLOBAL[[#Headers],[Custos Indiretos]])-2,0)*($G156-$H156)</f>
        <v>189.64880140242613</v>
      </c>
      <c r="BQ156" s="22">
        <f>VLOOKUP($A156,tabCustoUnit[],COLUMN(CUSTO_GLOBAL[[#Headers],[Lucro]])-2,0)*($G156-$H156)</f>
        <v>159.30499317803796</v>
      </c>
      <c r="BR156" s="26">
        <f>VLOOKUP($A156,tabCustoUnit[],COLUMN(CUSTO_GLOBAL[[#Headers],[COFINS]])-2,0)</f>
        <v>8.5633802816901458E-2</v>
      </c>
      <c r="BS156" s="26">
        <f>VLOOKUP($A156,tabCustoUnit[],COLUMN(CUSTO_GLOBAL[[#Headers],[PIS]])-2,0)</f>
        <v>1.8591549295774657E-2</v>
      </c>
      <c r="BT156" s="28">
        <f>VLOOKUP($A156,tabCustoUnit[],COLUMN(CUSTO_GLOBAL[[#Headers],[ISS]])-2,0)</f>
        <v>0.02</v>
      </c>
      <c r="BU156" s="26">
        <f>VLOOKUP($A156,tabCustoUnit[],COLUMN(CUSTO_GLOBAL[[#Headers],[ISS (Conversão Alíquota s/ fatura)]])-2,0)</f>
        <v>2.2535211267605645E-2</v>
      </c>
      <c r="BV156" s="26">
        <f>VLOOKUP($A156,tabCustoUnit[],COLUMN(CUSTO_GLOBAL[[#Headers],[Resumo de Alíquotas (PIS+CONFINS+ISS)]])-2,0)</f>
        <v>0.1125</v>
      </c>
      <c r="BW156" s="138">
        <f>VLOOKUP($A156,tabCustoUnit[],COLUMN(CUSTO_GLOBAL[[#Headers],[PIS + COFINS + ISS (Total Conversão  Alíquota s/ Fatura)]])-2,0)</f>
        <v>0.12676056338028174</v>
      </c>
      <c r="BX156" s="22">
        <f>VLOOKUP($A156,tabCustoUnit[],COLUMN(CUSTO_GLOBAL[[#Headers],[Valor dos Tributos (ISS, PIS, CONFINS)]])-2,0)*($G156-$H156)</f>
        <v>629.5482830057108</v>
      </c>
      <c r="BY156" s="22">
        <f>VLOOKUP($A156,tabCustoUnit[],COLUMN(CUSTO_GLOBAL[[#Headers],[MÓDULO 6 – CUSTOS INDIRETOS, TRIBUTOS E LUCRO]])-2,0)*($G156-$H156)</f>
        <v>978.50207758617489</v>
      </c>
      <c r="BZ156" s="22">
        <f>VLOOKUP($A156,tabCustoUnit[],COLUMN(CUSTO_GLOBAL[[#Headers],[CUSTO TOTAL MENSAL]])-2,0)*($G156-$H156)</f>
        <v>5595.9847378285385</v>
      </c>
      <c r="CA156" s="22">
        <f>CUSTO_GLOBAL[[#This Row],[CUSTO TOTAL MENSAL]]*12</f>
        <v>67151.816853942466</v>
      </c>
      <c r="CB156" s="24">
        <f>VLOOKUP($A156,tabCustoUnit[],COLUMN(CUSTO_GLOBAL[[#Headers],[ANO DA CCT]])-2,0)</f>
        <v>45658</v>
      </c>
      <c r="CC156" s="25" t="str">
        <f>VLOOKUP($A156,tabCustoUnit[],COLUMN(CUSTO_GLOBAL[[#Headers],[Nº DE PEDIDO DA CCT]])-2,0)</f>
        <v>-</v>
      </c>
      <c r="CD156" s="25" t="str">
        <f>VLOOKUP($A156,tabCustoUnit[],COLUMN(CUSTO_GLOBAL[[#Headers],[TERMO ADITIVO  ALTERAÇÃO DA CCT]])-2,0)</f>
        <v>-</v>
      </c>
      <c r="CF156" s="22"/>
      <c r="CG156" s="22"/>
    </row>
    <row r="157" spans="1:85" x14ac:dyDescent="0.25">
      <c r="A157" s="20" t="s">
        <v>1493</v>
      </c>
      <c r="B157" t="s">
        <v>142</v>
      </c>
      <c r="C157" t="s">
        <v>1247</v>
      </c>
      <c r="D157" t="s">
        <v>1000</v>
      </c>
      <c r="E157" s="20" t="s">
        <v>9</v>
      </c>
      <c r="F157" s="20" t="s">
        <v>10</v>
      </c>
      <c r="G157" s="20">
        <v>1</v>
      </c>
      <c r="H157" s="20">
        <v>0</v>
      </c>
      <c r="I157" s="21">
        <f>VLOOKUP($A157,tabCustoUnit[],COLUMN(CUSTO_GLOBAL[[#Headers],[Salário Base]])-2,0)*($G157-$H157)</f>
        <v>544.17999999999995</v>
      </c>
      <c r="J157" s="21">
        <f>VLOOKUP($A157,tabCustoUnit[],COLUMN(CUSTO_GLOBAL[[#Headers],[Adicional Periculosidade]])-2,0)*($G157-$H157)</f>
        <v>0</v>
      </c>
      <c r="K157" s="21">
        <f>VLOOKUP($A157,tabCustoUnit[],COLUMN(CUSTO_GLOBAL[[#Headers],[Adicional Insalubridade]])-2,0)*($G157-$H157)</f>
        <v>0</v>
      </c>
      <c r="L157" s="21">
        <f>VLOOKUP($A157,tabCustoUnit[],COLUMN(CUSTO_GLOBAL[[#Headers],[Adicional Noturno]])-2,0)*($G157-$H157)</f>
        <v>0</v>
      </c>
      <c r="M157" s="21">
        <f>VLOOKUP($A157,tabCustoUnit[],COLUMN(CUSTO_GLOBAL[[#Headers],[Adicional Motorista II (Gratificação)]])-2,0)*($G157-$H157)</f>
        <v>0</v>
      </c>
      <c r="N157" s="21">
        <f>VLOOKUP($A157,tabCustoUnit[],COLUMN(CUSTO_GLOBAL[[#Headers],[Adicional de Sobreaviso]])-2,0)*($G157-$H157)</f>
        <v>0</v>
      </c>
      <c r="O157" s="21">
        <f>VLOOKUP($A157,tabCustoUnit[],COLUMN(CUSTO_GLOBAL[[#Headers],[Horas Extras TI]])-2,0)*($G157-$H157)</f>
        <v>0</v>
      </c>
      <c r="P157" s="21">
        <f>VLOOKUP($A157,tabCustoUnit[],COLUMN(CUSTO_GLOBAL[[#Headers],[Adicional de Acúmulo de função]])-2,0)*($G157-$H157)</f>
        <v>19.590499999999999</v>
      </c>
      <c r="Q157" s="21">
        <f>VLOOKUP($A157,tabCustoUnit[],COLUMN(CUSTO_GLOBAL[[#Headers],[MODULO 1 - REMUNERAÇÃO ]])-2,0)*($G157-$H157)</f>
        <v>563.77049999999997</v>
      </c>
      <c r="R157" s="21">
        <f>VLOOKUP($A157,tabCustoUnit[],COLUMN(CUSTO_GLOBAL[[#Headers],[INSS]])-2,0)*($G157-$H157)</f>
        <v>112.75409999999999</v>
      </c>
      <c r="S157" s="21">
        <f>VLOOKUP($A157,tabCustoUnit[],COLUMN(CUSTO_GLOBAL[[#Headers],[SESI OU SESC]])-2,0)*($G157-$H157)</f>
        <v>8.4565574999999988</v>
      </c>
      <c r="T157" s="21">
        <f>VLOOKUP($A157,tabCustoUnit[],COLUMN(CUSTO_GLOBAL[[#Headers],[SENAI OU SENAC]])-2,0)*($G157-$H157)</f>
        <v>5.6377049999999995</v>
      </c>
      <c r="U157" s="21">
        <f>VLOOKUP($A157,tabCustoUnit[],COLUMN(CUSTO_GLOBAL[[#Headers],[INCRA]])-2,0)*($G157-$H157)</f>
        <v>1.1275409999999999</v>
      </c>
      <c r="V157" s="21">
        <f>VLOOKUP($A157,tabCustoUnit[],COLUMN(CUSTO_GLOBAL[[#Headers],[Salário Educação]])-2,0)*($G157-$H157)</f>
        <v>14.094262499999999</v>
      </c>
      <c r="W157" s="21">
        <f>VLOOKUP($A157,tabCustoUnit[],COLUMN(CUSTO_GLOBAL[[#Headers],[FGTS]])-2,0)*($G157-$H157)</f>
        <v>45.101639999999996</v>
      </c>
      <c r="X157" s="21">
        <f>VLOOKUP($A157,tabCustoUnit[],COLUMN(CUSTO_GLOBAL[[#Headers],[RAT Ajustado]])-2,0)*($G157-$H157)</f>
        <v>22.550819999999998</v>
      </c>
      <c r="Y157" s="21">
        <f>VLOOKUP($A157,tabCustoUnit[],COLUMN(CUSTO_GLOBAL[[#Headers],[SEBRAE]])-2,0)*($G157-$H157)</f>
        <v>3.3826229999999997</v>
      </c>
      <c r="Z157" s="21">
        <f>VLOOKUP($A157,tabCustoUnit[],COLUMN(CUSTO_GLOBAL[[#Headers],[Submódulo 2.1]])-2,0)*($G157-$H157)</f>
        <v>213.10524899999996</v>
      </c>
      <c r="AA157" s="21">
        <f>VLOOKUP($A157,tabCustoUnit[],COLUMN(CUSTO_GLOBAL[[#Headers],[13º salário (titular)]])-2,0)*($G157-$H157)</f>
        <v>46.980874999999997</v>
      </c>
      <c r="AB157" s="21">
        <f>VLOOKUP($A157,tabCustoUnit[],COLUMN(CUSTO_GLOBAL[[#Headers],[Férias e Adicional de Férias (titular)]])-2,0)*($G157-$H157)</f>
        <v>62.641166666666663</v>
      </c>
      <c r="AC157" s="21">
        <f>VLOOKUP($A157,tabCustoUnit[],COLUMN(CUSTO_GLOBAL[[#Headers],[Incidência do Submódulo 2.1 sobre 13º Salário, Férias e Adicional de Férias]])-2,0)*($G157-$H157)</f>
        <v>41.437131749999992</v>
      </c>
      <c r="AD157" s="21">
        <f>VLOOKUP($A157,tabCustoUnit[],COLUMN(CUSTO_GLOBAL[[#Headers],[Submódulo 2.2]])-2,0)*($G157-$H157)</f>
        <v>151.05917341666665</v>
      </c>
      <c r="AE157" s="22">
        <f>VLOOKUP($A157,tabCustoUnit[],COLUMN(CUSTO_GLOBAL[[#Headers],[Vale - Transporte (Descontada parcela do empregado)]])-2,0)*($G157-$H157)</f>
        <v>223.3492</v>
      </c>
      <c r="AF157" s="22">
        <f>VLOOKUP($A157,tabCustoUnit[],COLUMN(CUSTO_GLOBAL[[#Headers],[Vale - Alimentação (Descontada parcela do empregado)]])-2,0)*($G157-$H157)</f>
        <v>582</v>
      </c>
      <c r="AG157" s="22">
        <f>VLOOKUP($A157,tabCustoUnit[],COLUMN(CUSTO_GLOBAL[[#Headers],[Cesta Básica]])-2,0)*($G157-$H157)</f>
        <v>0</v>
      </c>
      <c r="AH157" s="22">
        <f>VLOOKUP($A157,tabCustoUnit[],COLUMN(CUSTO_GLOBAL[[#Headers],[PAF]])-2,0)*($G157-$H157)</f>
        <v>0</v>
      </c>
      <c r="AI157" s="22">
        <f>VLOOKUP($A157,tabCustoUnit[],COLUMN(CUSTO_GLOBAL[[#Headers],[PQM]])-2,0)*($G157-$H157)</f>
        <v>15.07</v>
      </c>
      <c r="AJ157" s="22">
        <v>0</v>
      </c>
      <c r="AK157" s="22">
        <f>VLOOKUP($A157,tabCustoUnit[],COLUMN(CUSTO_GLOBAL[[#Headers],[Seguro de Vida]])-2,0)*($G157-$H157)</f>
        <v>3.36</v>
      </c>
      <c r="AL157" s="22">
        <f>VLOOKUP($A157,tabCustoUnit[],COLUMN(CUSTO_GLOBAL[[#Headers],[Despesas de Viagem]])-2,0)*($G157-$H157)</f>
        <v>0</v>
      </c>
      <c r="AM157" s="22">
        <f>VLOOKUP($A157,tabCustoUnit[],COLUMN(CUSTO_GLOBAL[[#Headers],[Submódulo 2.3]])-2,0)*($G157-$H157)</f>
        <v>823.77920000000006</v>
      </c>
      <c r="AN157" s="22">
        <f>VLOOKUP($A157,tabCustoUnit[],COLUMN(CUSTO_GLOBAL[[#Headers],[MÓDULO 2 - Total Encargos e Benefícios mensais e diários]])-2,0)*($G157-$H157)</f>
        <v>1187.9436224166666</v>
      </c>
      <c r="AO157" s="22">
        <f>VLOOKUP($A157,tabCustoUnit[],COLUMN(CUSTO_GLOBAL[[#Headers],[Aviso Prévio Indenizado (API) e Reflexo do Aviso Prévio Indenizado]])-2,0)*($G157-$H157)</f>
        <v>3.9530273735532404</v>
      </c>
      <c r="AP157" s="22">
        <f>VLOOKUP($A157,tabCustoUnit[],COLUMN(CUSTO_GLOBAL[[#Headers],[Incidência do FGTS sobre API e Reflexo do API]])-2,0)*($G157-$H157)</f>
        <v>0.31624218988425928</v>
      </c>
      <c r="AQ157" s="22">
        <f>VLOOKUP($A157,tabCustoUnit[],COLUMN(CUSTO_GLOBAL[[#Headers],[Multa Rescisória do FGTS sobre o Aviso Prévio Indenizado]])-2,0)*($G157-$H157)</f>
        <v>0.12649687595370371</v>
      </c>
      <c r="AR157" s="22">
        <f>VLOOKUP($A157,tabCustoUnit[],COLUMN(CUSTO_GLOBAL[[#Headers],[Aviso Prévio Trabalhado - APT]])-2,0)*($G157-$H157)</f>
        <v>1.9731967500000003</v>
      </c>
      <c r="AS157" s="22">
        <f>VLOOKUP($A157,tabCustoUnit[],COLUMN(CUSTO_GLOBAL[[#Headers],[Incidência dos encargos do submódulo 2.1 sobre Aviso Prévio Trabalhado]])-2,0)*($G157-$H157)</f>
        <v>0.74586837150000018</v>
      </c>
      <c r="AT157" s="22">
        <f>VLOOKUP($A157,tabCustoUnit[],COLUMN(CUSTO_GLOBAL[[#Headers],[Multa Rescisória do FGTS]])-2,0)*($G157-$H157)</f>
        <v>17.238849066666663</v>
      </c>
      <c r="AU157" s="22">
        <f>VLOOKUP($A157,tabCustoUnit[],COLUMN(CUSTO_GLOBAL[[#Headers],[Indenização Adicional (Art. 9º da Lei nº 7.238/84)]])-2,0)*($G157-$H157)</f>
        <v>0.46980875</v>
      </c>
      <c r="AV157" s="22">
        <f>VLOOKUP($A157,tabCustoUnit[],COLUMN(CUSTO_GLOBAL[[#Headers],[MÓDULO 3 – PROVISÃO PARA RESCISÃO]])-2,0)*($G157-$H157)</f>
        <v>24.823489377557866</v>
      </c>
      <c r="AW157" s="22">
        <f>VLOOKUP($A157,tabCustoUnit[],COLUMN(CUSTO_GLOBAL[[#Headers],[Ausência por Doença]])-2,0)*($G157-$H157)</f>
        <v>4.7607286666666662</v>
      </c>
      <c r="AX157" s="22">
        <f>VLOOKUP($A157,tabCustoUnit[],COLUMN(CUSTO_GLOBAL[[#Headers],[Ausências Legais]])-2,0)*($G157-$H157)</f>
        <v>1.1432012916666665</v>
      </c>
      <c r="AY157" s="22">
        <f>VLOOKUP($A157,tabCustoUnit[],COLUMN(CUSTO_GLOBAL[[#Headers],[Licença Paternidade]])-2,0)*($G157-$H157)</f>
        <v>9.6310793749999998E-2</v>
      </c>
      <c r="AZ157" s="22">
        <f>VLOOKUP($A157,tabCustoUnit[],COLUMN(CUSTO_GLOBAL[[#Headers],[Ausência por Acidente de Trabalho]])-2,0)*($G157-$H157)</f>
        <v>0.1174521875</v>
      </c>
      <c r="BA157" s="22">
        <f>VLOOKUP($A157,tabCustoUnit[],COLUMN(CUSTO_GLOBAL[[#Headers],[Férias, Adicional de Férias e 13º  com empregada em gozo de Licença Maternidade]])-2,0)*($G157-$H157)</f>
        <v>0.73081361111111109</v>
      </c>
      <c r="BB157" s="22">
        <f>VLOOKUP($A157,tabCustoUnit[],COLUMN(CUSTO_GLOBAL[[#Headers],[Incidência do Submódulo 2.1 sobre Ausências Legais]])-2,0)*($G157-$H157)</f>
        <v>2.5887354761625003</v>
      </c>
      <c r="BC157" s="22">
        <f>VLOOKUP($A157,tabCustoUnit[],COLUMN(CUSTO_GLOBAL[[#Headers],[Submódulo 4.1]])-2,0)*($G157-$H157)</f>
        <v>9.4372420268569428</v>
      </c>
      <c r="BD157" s="22">
        <f>VLOOKUP($A157,tabCustoUnit[],COLUMN(CUSTO_GLOBAL[[#Headers],[Intervalo para Repouso ou Alimentação]])-2,0)*($G157-$H157)</f>
        <v>0</v>
      </c>
      <c r="BE157" s="22">
        <f>VLOOKUP($A157,tabCustoUnit[],COLUMN(CUSTO_GLOBAL[[#Headers],[Submódulo 4.2]])-2,0)*($G157-$H157)</f>
        <v>0</v>
      </c>
      <c r="BF157" s="22">
        <f>VLOOKUP($A157,tabCustoUnit[],COLUMN(CUSTO_GLOBAL[[#Headers],[Suspensão Temporária do Contrato de Trabalho]])-2,0)*($G157-$H157)</f>
        <v>0</v>
      </c>
      <c r="BG157" s="22">
        <f>VLOOKUP($A157,tabCustoUnit[],COLUMN(CUSTO_GLOBAL[[#Headers],[Submódulo 4.3]])-2,0)*($G157-$H157)</f>
        <v>0</v>
      </c>
      <c r="BH157" s="22">
        <f>VLOOKUP($A157,tabCustoUnit[],COLUMN(CUSTO_GLOBAL[[#Headers],[MÓDULO 4 – CUSTO DE REPOSIÇÃO DO PROFISSIONAL AUSENTE]])-2,0)*($G157-$H157)</f>
        <v>9.4372420268569428</v>
      </c>
      <c r="BI157" s="22">
        <f>VLOOKUP($A157,tabCustoUnit[],COLUMN(CUSTO_GLOBAL[[#Headers],[Uniformes e EPIs]])-2,0)*($G157-$H157)</f>
        <v>62.806666666666665</v>
      </c>
      <c r="BJ157" s="22">
        <f>VLOOKUP($A157,tabCustoUnit[],COLUMN(CUSTO_GLOBAL[[#Headers],[Materiais de Consumo]])-2,0)*($G157-$H157)</f>
        <v>12.108481690426325</v>
      </c>
      <c r="BK157" s="22">
        <f>VLOOKUP($A157,tabCustoUnit[],COLUMN(CUSTO_GLOBAL[[#Headers],[Máquinas e Equipamentos (depreciação)]])-2,0)*($G157-$H157)</f>
        <v>21.998657016417809</v>
      </c>
      <c r="BL157" s="22">
        <f>VLOOKUP($A157,tabCustoUnit[],COLUMN(CUSTO_GLOBAL[[#Headers],[Produtos de Limpeza e Materiais de Higiene Pessoal]])-2,0)*($G157-$H157)</f>
        <v>235.31984072022155</v>
      </c>
      <c r="BM157" s="22">
        <f>VLOOKUP($A157,tabCustoUnit[],COLUMN(CUSTO_GLOBAL[[#Headers],[Outros (especificar)]])-2,0)*($G157-$H157)</f>
        <v>0</v>
      </c>
      <c r="BN157" s="22">
        <f>VLOOKUP($A157,tabCustoUnit[],COLUMN(CUSTO_GLOBAL[[#Headers],[MÓDULO 5 – INSUMOS DIVERSOS]])-2,0)*($G157-$H157)</f>
        <v>332.23364609373232</v>
      </c>
      <c r="BO157" s="22">
        <f>VLOOKUP($A157,tabCustoUnit[],COLUMN(CUSTO_GLOBAL[[#Headers],[TOTAL MÓDULOS 1+2+3+4+5]])-2,0)*($G157-$H157)</f>
        <v>2118.2084999148137</v>
      </c>
      <c r="BP157" s="22">
        <f>VLOOKUP($A157,tabCustoUnit[],COLUMN(CUSTO_GLOBAL[[#Headers],[Custos Indiretos]])-2,0)*($G157-$H157)</f>
        <v>189.64880140242613</v>
      </c>
      <c r="BQ157" s="22">
        <f>VLOOKUP($A157,tabCustoUnit[],COLUMN(CUSTO_GLOBAL[[#Headers],[Lucro]])-2,0)*($G157-$H157)</f>
        <v>159.30499317803796</v>
      </c>
      <c r="BR157" s="26">
        <f>VLOOKUP($A157,tabCustoUnit[],COLUMN(CUSTO_GLOBAL[[#Headers],[COFINS]])-2,0)</f>
        <v>8.6609686609686695E-2</v>
      </c>
      <c r="BS157" s="26">
        <f>VLOOKUP($A157,tabCustoUnit[],COLUMN(CUSTO_GLOBAL[[#Headers],[PIS]])-2,0)</f>
        <v>1.880341880341882E-2</v>
      </c>
      <c r="BT157" s="28">
        <f>VLOOKUP($A157,tabCustoUnit[],COLUMN(CUSTO_GLOBAL[[#Headers],[ISS]])-2,0)</f>
        <v>0.03</v>
      </c>
      <c r="BU157" s="26">
        <f>VLOOKUP($A157,tabCustoUnit[],COLUMN(CUSTO_GLOBAL[[#Headers],[ISS (Conversão Alíquota s/ fatura)]])-2,0)</f>
        <v>3.4188034188034219E-2</v>
      </c>
      <c r="BV157" s="26">
        <f>VLOOKUP($A157,tabCustoUnit[],COLUMN(CUSTO_GLOBAL[[#Headers],[Resumo de Alíquotas (PIS+CONFINS+ISS)]])-2,0)</f>
        <v>0.1225</v>
      </c>
      <c r="BW157" s="138">
        <f>VLOOKUP($A157,tabCustoUnit[],COLUMN(CUSTO_GLOBAL[[#Headers],[PIS + COFINS + ISS (Total Conversão  Alíquota s/ Fatura)]])-2,0)</f>
        <v>0.13960113960113973</v>
      </c>
      <c r="BX157" s="22">
        <f>VLOOKUP($A157,tabCustoUnit[],COLUMN(CUSTO_GLOBAL[[#Headers],[Valor dos Tributos (ISS, PIS, CONFINS)]])-2,0)*($G157-$H157)</f>
        <v>344.41866789250349</v>
      </c>
      <c r="BY157" s="22">
        <f>VLOOKUP($A157,tabCustoUnit[],COLUMN(CUSTO_GLOBAL[[#Headers],[MÓDULO 6 – CUSTOS INDIRETOS, TRIBUTOS E LUCRO]])-2,0)*($G157-$H157)</f>
        <v>693.37246247296753</v>
      </c>
      <c r="BZ157" s="22">
        <f>VLOOKUP($A157,tabCustoUnit[],COLUMN(CUSTO_GLOBAL[[#Headers],[CUSTO TOTAL MENSAL]])-2,0)*($G157-$H157)</f>
        <v>2811.5809623877813</v>
      </c>
      <c r="CA157" s="22">
        <f>CUSTO_GLOBAL[[#This Row],[CUSTO TOTAL MENSAL]]*12</f>
        <v>33738.971548653375</v>
      </c>
      <c r="CB157" s="24">
        <f>VLOOKUP($A157,tabCustoUnit[],COLUMN(CUSTO_GLOBAL[[#Headers],[ANO DA CCT]])-2,0)</f>
        <v>45658</v>
      </c>
      <c r="CC157" s="25" t="str">
        <f>VLOOKUP($A157,tabCustoUnit[],COLUMN(CUSTO_GLOBAL[[#Headers],[Nº DE PEDIDO DA CCT]])-2,0)</f>
        <v>-</v>
      </c>
      <c r="CD157" s="25" t="str">
        <f>VLOOKUP($A157,tabCustoUnit[],COLUMN(CUSTO_GLOBAL[[#Headers],[TERMO ADITIVO  ALTERAÇÃO DA CCT]])-2,0)</f>
        <v>-</v>
      </c>
      <c r="CF157" s="22"/>
      <c r="CG157" s="22"/>
    </row>
    <row r="158" spans="1:85" x14ac:dyDescent="0.25">
      <c r="A158" s="20" t="s">
        <v>1494</v>
      </c>
      <c r="B158" t="s">
        <v>143</v>
      </c>
      <c r="C158" t="s">
        <v>1247</v>
      </c>
      <c r="D158" t="s">
        <v>1018</v>
      </c>
      <c r="E158" s="20" t="s">
        <v>9</v>
      </c>
      <c r="F158" s="20" t="s">
        <v>10</v>
      </c>
      <c r="G158" s="20">
        <v>1</v>
      </c>
      <c r="H158" s="20">
        <v>0</v>
      </c>
      <c r="I158" s="21">
        <f>VLOOKUP($A158,tabCustoUnit[],COLUMN(CUSTO_GLOBAL[[#Headers],[Salário Base]])-2,0)*($G158-$H158)</f>
        <v>544.17999999999995</v>
      </c>
      <c r="J158" s="21">
        <f>VLOOKUP($A158,tabCustoUnit[],COLUMN(CUSTO_GLOBAL[[#Headers],[Adicional Periculosidade]])-2,0)*($G158-$H158)</f>
        <v>0</v>
      </c>
      <c r="K158" s="21">
        <f>VLOOKUP($A158,tabCustoUnit[],COLUMN(CUSTO_GLOBAL[[#Headers],[Adicional Insalubridade]])-2,0)*($G158-$H158)</f>
        <v>0</v>
      </c>
      <c r="L158" s="21">
        <f>VLOOKUP($A158,tabCustoUnit[],COLUMN(CUSTO_GLOBAL[[#Headers],[Adicional Noturno]])-2,0)*($G158-$H158)</f>
        <v>0</v>
      </c>
      <c r="M158" s="21">
        <f>VLOOKUP($A158,tabCustoUnit[],COLUMN(CUSTO_GLOBAL[[#Headers],[Adicional Motorista II (Gratificação)]])-2,0)*($G158-$H158)</f>
        <v>0</v>
      </c>
      <c r="N158" s="21">
        <f>VLOOKUP($A158,tabCustoUnit[],COLUMN(CUSTO_GLOBAL[[#Headers],[Adicional de Sobreaviso]])-2,0)*($G158-$H158)</f>
        <v>0</v>
      </c>
      <c r="O158" s="21">
        <f>VLOOKUP($A158,tabCustoUnit[],COLUMN(CUSTO_GLOBAL[[#Headers],[Horas Extras TI]])-2,0)*($G158-$H158)</f>
        <v>0</v>
      </c>
      <c r="P158" s="21">
        <f>VLOOKUP($A158,tabCustoUnit[],COLUMN(CUSTO_GLOBAL[[#Headers],[Adicional de Acúmulo de função]])-2,0)*($G158-$H158)</f>
        <v>19.590499999999999</v>
      </c>
      <c r="Q158" s="21">
        <f>VLOOKUP($A158,tabCustoUnit[],COLUMN(CUSTO_GLOBAL[[#Headers],[MODULO 1 - REMUNERAÇÃO ]])-2,0)*($G158-$H158)</f>
        <v>563.77049999999997</v>
      </c>
      <c r="R158" s="21">
        <f>VLOOKUP($A158,tabCustoUnit[],COLUMN(CUSTO_GLOBAL[[#Headers],[INSS]])-2,0)*($G158-$H158)</f>
        <v>112.75409999999999</v>
      </c>
      <c r="S158" s="21">
        <f>VLOOKUP($A158,tabCustoUnit[],COLUMN(CUSTO_GLOBAL[[#Headers],[SESI OU SESC]])-2,0)*($G158-$H158)</f>
        <v>8.4565574999999988</v>
      </c>
      <c r="T158" s="21">
        <f>VLOOKUP($A158,tabCustoUnit[],COLUMN(CUSTO_GLOBAL[[#Headers],[SENAI OU SENAC]])-2,0)*($G158-$H158)</f>
        <v>5.6377049999999995</v>
      </c>
      <c r="U158" s="21">
        <f>VLOOKUP($A158,tabCustoUnit[],COLUMN(CUSTO_GLOBAL[[#Headers],[INCRA]])-2,0)*($G158-$H158)</f>
        <v>1.1275409999999999</v>
      </c>
      <c r="V158" s="21">
        <f>VLOOKUP($A158,tabCustoUnit[],COLUMN(CUSTO_GLOBAL[[#Headers],[Salário Educação]])-2,0)*($G158-$H158)</f>
        <v>14.094262499999999</v>
      </c>
      <c r="W158" s="21">
        <f>VLOOKUP($A158,tabCustoUnit[],COLUMN(CUSTO_GLOBAL[[#Headers],[FGTS]])-2,0)*($G158-$H158)</f>
        <v>45.101639999999996</v>
      </c>
      <c r="X158" s="21">
        <f>VLOOKUP($A158,tabCustoUnit[],COLUMN(CUSTO_GLOBAL[[#Headers],[RAT Ajustado]])-2,0)*($G158-$H158)</f>
        <v>22.550819999999998</v>
      </c>
      <c r="Y158" s="21">
        <f>VLOOKUP($A158,tabCustoUnit[],COLUMN(CUSTO_GLOBAL[[#Headers],[SEBRAE]])-2,0)*($G158-$H158)</f>
        <v>3.3826229999999997</v>
      </c>
      <c r="Z158" s="21">
        <f>VLOOKUP($A158,tabCustoUnit[],COLUMN(CUSTO_GLOBAL[[#Headers],[Submódulo 2.1]])-2,0)*($G158-$H158)</f>
        <v>213.10524899999996</v>
      </c>
      <c r="AA158" s="21">
        <f>VLOOKUP($A158,tabCustoUnit[],COLUMN(CUSTO_GLOBAL[[#Headers],[13º salário (titular)]])-2,0)*($G158-$H158)</f>
        <v>46.980874999999997</v>
      </c>
      <c r="AB158" s="21">
        <f>VLOOKUP($A158,tabCustoUnit[],COLUMN(CUSTO_GLOBAL[[#Headers],[Férias e Adicional de Férias (titular)]])-2,0)*($G158-$H158)</f>
        <v>62.641166666666663</v>
      </c>
      <c r="AC158" s="21">
        <f>VLOOKUP($A158,tabCustoUnit[],COLUMN(CUSTO_GLOBAL[[#Headers],[Incidência do Submódulo 2.1 sobre 13º Salário, Férias e Adicional de Férias]])-2,0)*($G158-$H158)</f>
        <v>41.437131749999992</v>
      </c>
      <c r="AD158" s="21">
        <f>VLOOKUP($A158,tabCustoUnit[],COLUMN(CUSTO_GLOBAL[[#Headers],[Submódulo 2.2]])-2,0)*($G158-$H158)</f>
        <v>151.05917341666665</v>
      </c>
      <c r="AE158" s="22">
        <f>VLOOKUP($A158,tabCustoUnit[],COLUMN(CUSTO_GLOBAL[[#Headers],[Vale - Transporte (Descontada parcela do empregado)]])-2,0)*($G158-$H158)</f>
        <v>223.3492</v>
      </c>
      <c r="AF158" s="22">
        <f>VLOOKUP($A158,tabCustoUnit[],COLUMN(CUSTO_GLOBAL[[#Headers],[Vale - Alimentação (Descontada parcela do empregado)]])-2,0)*($G158-$H158)</f>
        <v>582</v>
      </c>
      <c r="AG158" s="22">
        <f>VLOOKUP($A158,tabCustoUnit[],COLUMN(CUSTO_GLOBAL[[#Headers],[Cesta Básica]])-2,0)*($G158-$H158)</f>
        <v>0</v>
      </c>
      <c r="AH158" s="22">
        <f>VLOOKUP($A158,tabCustoUnit[],COLUMN(CUSTO_GLOBAL[[#Headers],[PAF]])-2,0)*($G158-$H158)</f>
        <v>51.88</v>
      </c>
      <c r="AI158" s="22">
        <f>VLOOKUP($A158,tabCustoUnit[],COLUMN(CUSTO_GLOBAL[[#Headers],[PQM]])-2,0)*($G158-$H158)</f>
        <v>0</v>
      </c>
      <c r="AJ158" s="22">
        <v>0</v>
      </c>
      <c r="AK158" s="22">
        <f>VLOOKUP($A158,tabCustoUnit[],COLUMN(CUSTO_GLOBAL[[#Headers],[Seguro de Vida]])-2,0)*($G158-$H158)</f>
        <v>3.36</v>
      </c>
      <c r="AL158" s="22">
        <f>VLOOKUP($A158,tabCustoUnit[],COLUMN(CUSTO_GLOBAL[[#Headers],[Despesas de Viagem]])-2,0)*($G158-$H158)</f>
        <v>0</v>
      </c>
      <c r="AM158" s="22">
        <f>VLOOKUP($A158,tabCustoUnit[],COLUMN(CUSTO_GLOBAL[[#Headers],[Submódulo 2.3]])-2,0)*($G158-$H158)</f>
        <v>860.58920000000001</v>
      </c>
      <c r="AN158" s="22">
        <f>VLOOKUP($A158,tabCustoUnit[],COLUMN(CUSTO_GLOBAL[[#Headers],[MÓDULO 2 - Total Encargos e Benefícios mensais e diários]])-2,0)*($G158-$H158)</f>
        <v>1224.7536224166665</v>
      </c>
      <c r="AO158" s="22">
        <f>VLOOKUP($A158,tabCustoUnit[],COLUMN(CUSTO_GLOBAL[[#Headers],[Aviso Prévio Indenizado (API) e Reflexo do Aviso Prévio Indenizado]])-2,0)*($G158-$H158)</f>
        <v>3.9530273735532404</v>
      </c>
      <c r="AP158" s="22">
        <f>VLOOKUP($A158,tabCustoUnit[],COLUMN(CUSTO_GLOBAL[[#Headers],[Incidência do FGTS sobre API e Reflexo do API]])-2,0)*($G158-$H158)</f>
        <v>0.31624218988425928</v>
      </c>
      <c r="AQ158" s="22">
        <f>VLOOKUP($A158,tabCustoUnit[],COLUMN(CUSTO_GLOBAL[[#Headers],[Multa Rescisória do FGTS sobre o Aviso Prévio Indenizado]])-2,0)*($G158-$H158)</f>
        <v>0.12649687595370371</v>
      </c>
      <c r="AR158" s="22">
        <f>VLOOKUP($A158,tabCustoUnit[],COLUMN(CUSTO_GLOBAL[[#Headers],[Aviso Prévio Trabalhado - APT]])-2,0)*($G158-$H158)</f>
        <v>1.9731967500000003</v>
      </c>
      <c r="AS158" s="22">
        <f>VLOOKUP($A158,tabCustoUnit[],COLUMN(CUSTO_GLOBAL[[#Headers],[Incidência dos encargos do submódulo 2.1 sobre Aviso Prévio Trabalhado]])-2,0)*($G158-$H158)</f>
        <v>0.74586837150000018</v>
      </c>
      <c r="AT158" s="22">
        <f>VLOOKUP($A158,tabCustoUnit[],COLUMN(CUSTO_GLOBAL[[#Headers],[Multa Rescisória do FGTS]])-2,0)*($G158-$H158)</f>
        <v>17.238849066666663</v>
      </c>
      <c r="AU158" s="22">
        <f>VLOOKUP($A158,tabCustoUnit[],COLUMN(CUSTO_GLOBAL[[#Headers],[Indenização Adicional (Art. 9º da Lei nº 7.238/84)]])-2,0)*($G158-$H158)</f>
        <v>0.46980875</v>
      </c>
      <c r="AV158" s="22">
        <f>VLOOKUP($A158,tabCustoUnit[],COLUMN(CUSTO_GLOBAL[[#Headers],[MÓDULO 3 – PROVISÃO PARA RESCISÃO]])-2,0)*($G158-$H158)</f>
        <v>24.823489377557866</v>
      </c>
      <c r="AW158" s="22">
        <f>VLOOKUP($A158,tabCustoUnit[],COLUMN(CUSTO_GLOBAL[[#Headers],[Ausência por Doença]])-2,0)*($G158-$H158)</f>
        <v>4.7607286666666662</v>
      </c>
      <c r="AX158" s="22">
        <f>VLOOKUP($A158,tabCustoUnit[],COLUMN(CUSTO_GLOBAL[[#Headers],[Ausências Legais]])-2,0)*($G158-$H158)</f>
        <v>1.1432012916666665</v>
      </c>
      <c r="AY158" s="22">
        <f>VLOOKUP($A158,tabCustoUnit[],COLUMN(CUSTO_GLOBAL[[#Headers],[Licença Paternidade]])-2,0)*($G158-$H158)</f>
        <v>9.6310793749999998E-2</v>
      </c>
      <c r="AZ158" s="22">
        <f>VLOOKUP($A158,tabCustoUnit[],COLUMN(CUSTO_GLOBAL[[#Headers],[Ausência por Acidente de Trabalho]])-2,0)*($G158-$H158)</f>
        <v>0.1174521875</v>
      </c>
      <c r="BA158" s="22">
        <f>VLOOKUP($A158,tabCustoUnit[],COLUMN(CUSTO_GLOBAL[[#Headers],[Férias, Adicional de Férias e 13º  com empregada em gozo de Licença Maternidade]])-2,0)*($G158-$H158)</f>
        <v>0.73081361111111109</v>
      </c>
      <c r="BB158" s="22">
        <f>VLOOKUP($A158,tabCustoUnit[],COLUMN(CUSTO_GLOBAL[[#Headers],[Incidência do Submódulo 2.1 sobre Ausências Legais]])-2,0)*($G158-$H158)</f>
        <v>2.5887354761625003</v>
      </c>
      <c r="BC158" s="22">
        <f>VLOOKUP($A158,tabCustoUnit[],COLUMN(CUSTO_GLOBAL[[#Headers],[Submódulo 4.1]])-2,0)*($G158-$H158)</f>
        <v>9.4372420268569428</v>
      </c>
      <c r="BD158" s="22">
        <f>VLOOKUP($A158,tabCustoUnit[],COLUMN(CUSTO_GLOBAL[[#Headers],[Intervalo para Repouso ou Alimentação]])-2,0)*($G158-$H158)</f>
        <v>0</v>
      </c>
      <c r="BE158" s="22">
        <f>VLOOKUP($A158,tabCustoUnit[],COLUMN(CUSTO_GLOBAL[[#Headers],[Submódulo 4.2]])-2,0)*($G158-$H158)</f>
        <v>0</v>
      </c>
      <c r="BF158" s="22">
        <f>VLOOKUP($A158,tabCustoUnit[],COLUMN(CUSTO_GLOBAL[[#Headers],[Suspensão Temporária do Contrato de Trabalho]])-2,0)*($G158-$H158)</f>
        <v>0</v>
      </c>
      <c r="BG158" s="22">
        <f>VLOOKUP($A158,tabCustoUnit[],COLUMN(CUSTO_GLOBAL[[#Headers],[Submódulo 4.3]])-2,0)*($G158-$H158)</f>
        <v>0</v>
      </c>
      <c r="BH158" s="22">
        <f>VLOOKUP($A158,tabCustoUnit[],COLUMN(CUSTO_GLOBAL[[#Headers],[MÓDULO 4 – CUSTO DE REPOSIÇÃO DO PROFISSIONAL AUSENTE]])-2,0)*($G158-$H158)</f>
        <v>9.4372420268569428</v>
      </c>
      <c r="BI158" s="22">
        <f>VLOOKUP($A158,tabCustoUnit[],COLUMN(CUSTO_GLOBAL[[#Headers],[Uniformes e EPIs]])-2,0)*($G158-$H158)</f>
        <v>62.806666666666665</v>
      </c>
      <c r="BJ158" s="22">
        <f>VLOOKUP($A158,tabCustoUnit[],COLUMN(CUSTO_GLOBAL[[#Headers],[Materiais de Consumo]])-2,0)*($G158-$H158)</f>
        <v>12.108481690426325</v>
      </c>
      <c r="BK158" s="22">
        <f>VLOOKUP($A158,tabCustoUnit[],COLUMN(CUSTO_GLOBAL[[#Headers],[Máquinas e Equipamentos (depreciação)]])-2,0)*($G158-$H158)</f>
        <v>21.998657016417809</v>
      </c>
      <c r="BL158" s="22">
        <f>VLOOKUP($A158,tabCustoUnit[],COLUMN(CUSTO_GLOBAL[[#Headers],[Produtos de Limpeza e Materiais de Higiene Pessoal]])-2,0)*($G158-$H158)</f>
        <v>235.31984072022155</v>
      </c>
      <c r="BM158" s="22">
        <f>VLOOKUP($A158,tabCustoUnit[],COLUMN(CUSTO_GLOBAL[[#Headers],[Outros (especificar)]])-2,0)*($G158-$H158)</f>
        <v>0</v>
      </c>
      <c r="BN158" s="22">
        <f>VLOOKUP($A158,tabCustoUnit[],COLUMN(CUSTO_GLOBAL[[#Headers],[MÓDULO 5 – INSUMOS DIVERSOS]])-2,0)*($G158-$H158)</f>
        <v>332.23364609373232</v>
      </c>
      <c r="BO158" s="22">
        <f>VLOOKUP($A158,tabCustoUnit[],COLUMN(CUSTO_GLOBAL[[#Headers],[TOTAL MÓDULOS 1+2+3+4+5]])-2,0)*($G158-$H158)</f>
        <v>2155.0184999148137</v>
      </c>
      <c r="BP158" s="22">
        <f>VLOOKUP($A158,tabCustoUnit[],COLUMN(CUSTO_GLOBAL[[#Headers],[Custos Indiretos]])-2,0)*($G158-$H158)</f>
        <v>189.64880140242613</v>
      </c>
      <c r="BQ158" s="22">
        <f>VLOOKUP($A158,tabCustoUnit[],COLUMN(CUSTO_GLOBAL[[#Headers],[Lucro]])-2,0)*($G158-$H158)</f>
        <v>159.30499317803796</v>
      </c>
      <c r="BR158" s="26">
        <f>VLOOKUP($A158,tabCustoUnit[],COLUMN(CUSTO_GLOBAL[[#Headers],[COFINS]])-2,0)</f>
        <v>8.8629737609329504E-2</v>
      </c>
      <c r="BS158" s="26">
        <f>VLOOKUP($A158,tabCustoUnit[],COLUMN(CUSTO_GLOBAL[[#Headers],[PIS]])-2,0)</f>
        <v>1.9241982507288629E-2</v>
      </c>
      <c r="BT158" s="28">
        <f>VLOOKUP($A158,tabCustoUnit[],COLUMN(CUSTO_GLOBAL[[#Headers],[ISS]])-2,0)</f>
        <v>0.05</v>
      </c>
      <c r="BU158" s="26">
        <f>VLOOKUP($A158,tabCustoUnit[],COLUMN(CUSTO_GLOBAL[[#Headers],[ISS (Conversão Alíquota s/ fatura)]])-2,0)</f>
        <v>5.8309037900874633E-2</v>
      </c>
      <c r="BV158" s="26">
        <f>VLOOKUP($A158,tabCustoUnit[],COLUMN(CUSTO_GLOBAL[[#Headers],[Resumo de Alíquotas (PIS+CONFINS+ISS)]])-2,0)</f>
        <v>0.14250000000000002</v>
      </c>
      <c r="BW158" s="138">
        <f>VLOOKUP($A158,tabCustoUnit[],COLUMN(CUSTO_GLOBAL[[#Headers],[PIS + COFINS + ISS (Total Conversão  Alíquota s/ Fatura)]])-2,0)</f>
        <v>0.16618075801749277</v>
      </c>
      <c r="BX158" s="22">
        <f>VLOOKUP($A158,tabCustoUnit[],COLUMN(CUSTO_GLOBAL[[#Headers],[Valor dos Tributos (ISS, PIS, CONFINS)]])-2,0)*($G158-$H158)</f>
        <v>416.11201395402588</v>
      </c>
      <c r="BY158" s="22">
        <f>VLOOKUP($A158,tabCustoUnit[],COLUMN(CUSTO_GLOBAL[[#Headers],[MÓDULO 6 – CUSTOS INDIRETOS, TRIBUTOS E LUCRO]])-2,0)*($G158-$H158)</f>
        <v>765.06580853448997</v>
      </c>
      <c r="BZ158" s="22">
        <f>VLOOKUP($A158,tabCustoUnit[],COLUMN(CUSTO_GLOBAL[[#Headers],[CUSTO TOTAL MENSAL]])-2,0)*($G158-$H158)</f>
        <v>2920.0843084493035</v>
      </c>
      <c r="CA158" s="22">
        <f>CUSTO_GLOBAL[[#This Row],[CUSTO TOTAL MENSAL]]*12</f>
        <v>35041.011701391646</v>
      </c>
      <c r="CB158" s="24">
        <f>VLOOKUP($A158,tabCustoUnit[],COLUMN(CUSTO_GLOBAL[[#Headers],[ANO DA CCT]])-2,0)</f>
        <v>45658</v>
      </c>
      <c r="CC158" s="25" t="str">
        <f>VLOOKUP($A158,tabCustoUnit[],COLUMN(CUSTO_GLOBAL[[#Headers],[Nº DE PEDIDO DA CCT]])-2,0)</f>
        <v>-</v>
      </c>
      <c r="CD158" s="25" t="str">
        <f>VLOOKUP($A158,tabCustoUnit[],COLUMN(CUSTO_GLOBAL[[#Headers],[TERMO ADITIVO  ALTERAÇÃO DA CCT]])-2,0)</f>
        <v>-</v>
      </c>
      <c r="CF158" s="22"/>
      <c r="CG158" s="22"/>
    </row>
    <row r="159" spans="1:85" x14ac:dyDescent="0.25">
      <c r="A159" s="20" t="s">
        <v>1495</v>
      </c>
      <c r="B159" t="s">
        <v>144</v>
      </c>
      <c r="C159" t="s">
        <v>1247</v>
      </c>
      <c r="D159" t="s">
        <v>1018</v>
      </c>
      <c r="E159" s="20" t="s">
        <v>9</v>
      </c>
      <c r="F159" s="20" t="s">
        <v>10</v>
      </c>
      <c r="G159" s="20">
        <v>1</v>
      </c>
      <c r="H159" s="20">
        <v>0</v>
      </c>
      <c r="I159" s="21">
        <f>VLOOKUP($A159,tabCustoUnit[],COLUMN(CUSTO_GLOBAL[[#Headers],[Salário Base]])-2,0)*($G159-$H159)</f>
        <v>544.17999999999995</v>
      </c>
      <c r="J159" s="21">
        <f>VLOOKUP($A159,tabCustoUnit[],COLUMN(CUSTO_GLOBAL[[#Headers],[Adicional Periculosidade]])-2,0)*($G159-$H159)</f>
        <v>0</v>
      </c>
      <c r="K159" s="21">
        <f>VLOOKUP($A159,tabCustoUnit[],COLUMN(CUSTO_GLOBAL[[#Headers],[Adicional Insalubridade]])-2,0)*($G159-$H159)</f>
        <v>0</v>
      </c>
      <c r="L159" s="21">
        <f>VLOOKUP($A159,tabCustoUnit[],COLUMN(CUSTO_GLOBAL[[#Headers],[Adicional Noturno]])-2,0)*($G159-$H159)</f>
        <v>0</v>
      </c>
      <c r="M159" s="21">
        <f>VLOOKUP($A159,tabCustoUnit[],COLUMN(CUSTO_GLOBAL[[#Headers],[Adicional Motorista II (Gratificação)]])-2,0)*($G159-$H159)</f>
        <v>0</v>
      </c>
      <c r="N159" s="21">
        <f>VLOOKUP($A159,tabCustoUnit[],COLUMN(CUSTO_GLOBAL[[#Headers],[Adicional de Sobreaviso]])-2,0)*($G159-$H159)</f>
        <v>0</v>
      </c>
      <c r="O159" s="21">
        <f>VLOOKUP($A159,tabCustoUnit[],COLUMN(CUSTO_GLOBAL[[#Headers],[Horas Extras TI]])-2,0)*($G159-$H159)</f>
        <v>0</v>
      </c>
      <c r="P159" s="21">
        <f>VLOOKUP($A159,tabCustoUnit[],COLUMN(CUSTO_GLOBAL[[#Headers],[Adicional de Acúmulo de função]])-2,0)*($G159-$H159)</f>
        <v>19.590499999999999</v>
      </c>
      <c r="Q159" s="21">
        <f>VLOOKUP($A159,tabCustoUnit[],COLUMN(CUSTO_GLOBAL[[#Headers],[MODULO 1 - REMUNERAÇÃO ]])-2,0)*($G159-$H159)</f>
        <v>563.77049999999997</v>
      </c>
      <c r="R159" s="21">
        <f>VLOOKUP($A159,tabCustoUnit[],COLUMN(CUSTO_GLOBAL[[#Headers],[INSS]])-2,0)*($G159-$H159)</f>
        <v>112.75409999999999</v>
      </c>
      <c r="S159" s="21">
        <f>VLOOKUP($A159,tabCustoUnit[],COLUMN(CUSTO_GLOBAL[[#Headers],[SESI OU SESC]])-2,0)*($G159-$H159)</f>
        <v>8.4565574999999988</v>
      </c>
      <c r="T159" s="21">
        <f>VLOOKUP($A159,tabCustoUnit[],COLUMN(CUSTO_GLOBAL[[#Headers],[SENAI OU SENAC]])-2,0)*($G159-$H159)</f>
        <v>5.6377049999999995</v>
      </c>
      <c r="U159" s="21">
        <f>VLOOKUP($A159,tabCustoUnit[],COLUMN(CUSTO_GLOBAL[[#Headers],[INCRA]])-2,0)*($G159-$H159)</f>
        <v>1.1275409999999999</v>
      </c>
      <c r="V159" s="21">
        <f>VLOOKUP($A159,tabCustoUnit[],COLUMN(CUSTO_GLOBAL[[#Headers],[Salário Educação]])-2,0)*($G159-$H159)</f>
        <v>14.094262499999999</v>
      </c>
      <c r="W159" s="21">
        <f>VLOOKUP($A159,tabCustoUnit[],COLUMN(CUSTO_GLOBAL[[#Headers],[FGTS]])-2,0)*($G159-$H159)</f>
        <v>45.101639999999996</v>
      </c>
      <c r="X159" s="21">
        <f>VLOOKUP($A159,tabCustoUnit[],COLUMN(CUSTO_GLOBAL[[#Headers],[RAT Ajustado]])-2,0)*($G159-$H159)</f>
        <v>22.550819999999998</v>
      </c>
      <c r="Y159" s="21">
        <f>VLOOKUP($A159,tabCustoUnit[],COLUMN(CUSTO_GLOBAL[[#Headers],[SEBRAE]])-2,0)*($G159-$H159)</f>
        <v>3.3826229999999997</v>
      </c>
      <c r="Z159" s="21">
        <f>VLOOKUP($A159,tabCustoUnit[],COLUMN(CUSTO_GLOBAL[[#Headers],[Submódulo 2.1]])-2,0)*($G159-$H159)</f>
        <v>213.10524899999996</v>
      </c>
      <c r="AA159" s="21">
        <f>VLOOKUP($A159,tabCustoUnit[],COLUMN(CUSTO_GLOBAL[[#Headers],[13º salário (titular)]])-2,0)*($G159-$H159)</f>
        <v>46.980874999999997</v>
      </c>
      <c r="AB159" s="21">
        <f>VLOOKUP($A159,tabCustoUnit[],COLUMN(CUSTO_GLOBAL[[#Headers],[Férias e Adicional de Férias (titular)]])-2,0)*($G159-$H159)</f>
        <v>62.641166666666663</v>
      </c>
      <c r="AC159" s="21">
        <f>VLOOKUP($A159,tabCustoUnit[],COLUMN(CUSTO_GLOBAL[[#Headers],[Incidência do Submódulo 2.1 sobre 13º Salário, Férias e Adicional de Férias]])-2,0)*($G159-$H159)</f>
        <v>41.437131749999992</v>
      </c>
      <c r="AD159" s="21">
        <f>VLOOKUP($A159,tabCustoUnit[],COLUMN(CUSTO_GLOBAL[[#Headers],[Submódulo 2.2]])-2,0)*($G159-$H159)</f>
        <v>151.05917341666665</v>
      </c>
      <c r="AE159" s="22">
        <f>VLOOKUP($A159,tabCustoUnit[],COLUMN(CUSTO_GLOBAL[[#Headers],[Vale - Transporte (Descontada parcela do empregado)]])-2,0)*($G159-$H159)</f>
        <v>223.3492</v>
      </c>
      <c r="AF159" s="22">
        <f>VLOOKUP($A159,tabCustoUnit[],COLUMN(CUSTO_GLOBAL[[#Headers],[Vale - Alimentação (Descontada parcela do empregado)]])-2,0)*($G159-$H159)</f>
        <v>582</v>
      </c>
      <c r="AG159" s="22">
        <f>VLOOKUP($A159,tabCustoUnit[],COLUMN(CUSTO_GLOBAL[[#Headers],[Cesta Básica]])-2,0)*($G159-$H159)</f>
        <v>0</v>
      </c>
      <c r="AH159" s="22">
        <f>VLOOKUP($A159,tabCustoUnit[],COLUMN(CUSTO_GLOBAL[[#Headers],[PAF]])-2,0)*($G159-$H159)</f>
        <v>51.88</v>
      </c>
      <c r="AI159" s="22">
        <f>VLOOKUP($A159,tabCustoUnit[],COLUMN(CUSTO_GLOBAL[[#Headers],[PQM]])-2,0)*($G159-$H159)</f>
        <v>0</v>
      </c>
      <c r="AJ159" s="22">
        <v>0</v>
      </c>
      <c r="AK159" s="22">
        <f>VLOOKUP($A159,tabCustoUnit[],COLUMN(CUSTO_GLOBAL[[#Headers],[Seguro de Vida]])-2,0)*($G159-$H159)</f>
        <v>3.36</v>
      </c>
      <c r="AL159" s="22">
        <f>VLOOKUP($A159,tabCustoUnit[],COLUMN(CUSTO_GLOBAL[[#Headers],[Despesas de Viagem]])-2,0)*($G159-$H159)</f>
        <v>0</v>
      </c>
      <c r="AM159" s="22">
        <f>VLOOKUP($A159,tabCustoUnit[],COLUMN(CUSTO_GLOBAL[[#Headers],[Submódulo 2.3]])-2,0)*($G159-$H159)</f>
        <v>860.58920000000001</v>
      </c>
      <c r="AN159" s="22">
        <f>VLOOKUP($A159,tabCustoUnit[],COLUMN(CUSTO_GLOBAL[[#Headers],[MÓDULO 2 - Total Encargos e Benefícios mensais e diários]])-2,0)*($G159-$H159)</f>
        <v>1224.7536224166665</v>
      </c>
      <c r="AO159" s="22">
        <f>VLOOKUP($A159,tabCustoUnit[],COLUMN(CUSTO_GLOBAL[[#Headers],[Aviso Prévio Indenizado (API) e Reflexo do Aviso Prévio Indenizado]])-2,0)*($G159-$H159)</f>
        <v>3.9530273735532404</v>
      </c>
      <c r="AP159" s="22">
        <f>VLOOKUP($A159,tabCustoUnit[],COLUMN(CUSTO_GLOBAL[[#Headers],[Incidência do FGTS sobre API e Reflexo do API]])-2,0)*($G159-$H159)</f>
        <v>0.31624218988425928</v>
      </c>
      <c r="AQ159" s="22">
        <f>VLOOKUP($A159,tabCustoUnit[],COLUMN(CUSTO_GLOBAL[[#Headers],[Multa Rescisória do FGTS sobre o Aviso Prévio Indenizado]])-2,0)*($G159-$H159)</f>
        <v>0.12649687595370371</v>
      </c>
      <c r="AR159" s="22">
        <f>VLOOKUP($A159,tabCustoUnit[],COLUMN(CUSTO_GLOBAL[[#Headers],[Aviso Prévio Trabalhado - APT]])-2,0)*($G159-$H159)</f>
        <v>1.9731967500000003</v>
      </c>
      <c r="AS159" s="22">
        <f>VLOOKUP($A159,tabCustoUnit[],COLUMN(CUSTO_GLOBAL[[#Headers],[Incidência dos encargos do submódulo 2.1 sobre Aviso Prévio Trabalhado]])-2,0)*($G159-$H159)</f>
        <v>0.74586837150000018</v>
      </c>
      <c r="AT159" s="22">
        <f>VLOOKUP($A159,tabCustoUnit[],COLUMN(CUSTO_GLOBAL[[#Headers],[Multa Rescisória do FGTS]])-2,0)*($G159-$H159)</f>
        <v>17.238849066666663</v>
      </c>
      <c r="AU159" s="22">
        <f>VLOOKUP($A159,tabCustoUnit[],COLUMN(CUSTO_GLOBAL[[#Headers],[Indenização Adicional (Art. 9º da Lei nº 7.238/84)]])-2,0)*($G159-$H159)</f>
        <v>0.46980875</v>
      </c>
      <c r="AV159" s="22">
        <f>VLOOKUP($A159,tabCustoUnit[],COLUMN(CUSTO_GLOBAL[[#Headers],[MÓDULO 3 – PROVISÃO PARA RESCISÃO]])-2,0)*($G159-$H159)</f>
        <v>24.823489377557866</v>
      </c>
      <c r="AW159" s="22">
        <f>VLOOKUP($A159,tabCustoUnit[],COLUMN(CUSTO_GLOBAL[[#Headers],[Ausência por Doença]])-2,0)*($G159-$H159)</f>
        <v>4.7607286666666662</v>
      </c>
      <c r="AX159" s="22">
        <f>VLOOKUP($A159,tabCustoUnit[],COLUMN(CUSTO_GLOBAL[[#Headers],[Ausências Legais]])-2,0)*($G159-$H159)</f>
        <v>1.1432012916666665</v>
      </c>
      <c r="AY159" s="22">
        <f>VLOOKUP($A159,tabCustoUnit[],COLUMN(CUSTO_GLOBAL[[#Headers],[Licença Paternidade]])-2,0)*($G159-$H159)</f>
        <v>9.6310793749999998E-2</v>
      </c>
      <c r="AZ159" s="22">
        <f>VLOOKUP($A159,tabCustoUnit[],COLUMN(CUSTO_GLOBAL[[#Headers],[Ausência por Acidente de Trabalho]])-2,0)*($G159-$H159)</f>
        <v>0.1174521875</v>
      </c>
      <c r="BA159" s="22">
        <f>VLOOKUP($A159,tabCustoUnit[],COLUMN(CUSTO_GLOBAL[[#Headers],[Férias, Adicional de Férias e 13º  com empregada em gozo de Licença Maternidade]])-2,0)*($G159-$H159)</f>
        <v>0.73081361111111109</v>
      </c>
      <c r="BB159" s="22">
        <f>VLOOKUP($A159,tabCustoUnit[],COLUMN(CUSTO_GLOBAL[[#Headers],[Incidência do Submódulo 2.1 sobre Ausências Legais]])-2,0)*($G159-$H159)</f>
        <v>2.5887354761625003</v>
      </c>
      <c r="BC159" s="22">
        <f>VLOOKUP($A159,tabCustoUnit[],COLUMN(CUSTO_GLOBAL[[#Headers],[Submódulo 4.1]])-2,0)*($G159-$H159)</f>
        <v>9.4372420268569428</v>
      </c>
      <c r="BD159" s="22">
        <f>VLOOKUP($A159,tabCustoUnit[],COLUMN(CUSTO_GLOBAL[[#Headers],[Intervalo para Repouso ou Alimentação]])-2,0)*($G159-$H159)</f>
        <v>0</v>
      </c>
      <c r="BE159" s="22">
        <f>VLOOKUP($A159,tabCustoUnit[],COLUMN(CUSTO_GLOBAL[[#Headers],[Submódulo 4.2]])-2,0)*($G159-$H159)</f>
        <v>0</v>
      </c>
      <c r="BF159" s="22">
        <f>VLOOKUP($A159,tabCustoUnit[],COLUMN(CUSTO_GLOBAL[[#Headers],[Suspensão Temporária do Contrato de Trabalho]])-2,0)*($G159-$H159)</f>
        <v>0</v>
      </c>
      <c r="BG159" s="22">
        <f>VLOOKUP($A159,tabCustoUnit[],COLUMN(CUSTO_GLOBAL[[#Headers],[Submódulo 4.3]])-2,0)*($G159-$H159)</f>
        <v>0</v>
      </c>
      <c r="BH159" s="22">
        <f>VLOOKUP($A159,tabCustoUnit[],COLUMN(CUSTO_GLOBAL[[#Headers],[MÓDULO 4 – CUSTO DE REPOSIÇÃO DO PROFISSIONAL AUSENTE]])-2,0)*($G159-$H159)</f>
        <v>9.4372420268569428</v>
      </c>
      <c r="BI159" s="22">
        <f>VLOOKUP($A159,tabCustoUnit[],COLUMN(CUSTO_GLOBAL[[#Headers],[Uniformes e EPIs]])-2,0)*($G159-$H159)</f>
        <v>62.806666666666665</v>
      </c>
      <c r="BJ159" s="22">
        <f>VLOOKUP($A159,tabCustoUnit[],COLUMN(CUSTO_GLOBAL[[#Headers],[Materiais de Consumo]])-2,0)*($G159-$H159)</f>
        <v>12.108481690426325</v>
      </c>
      <c r="BK159" s="22">
        <f>VLOOKUP($A159,tabCustoUnit[],COLUMN(CUSTO_GLOBAL[[#Headers],[Máquinas e Equipamentos (depreciação)]])-2,0)*($G159-$H159)</f>
        <v>21.998657016417809</v>
      </c>
      <c r="BL159" s="22">
        <f>VLOOKUP($A159,tabCustoUnit[],COLUMN(CUSTO_GLOBAL[[#Headers],[Produtos de Limpeza e Materiais de Higiene Pessoal]])-2,0)*($G159-$H159)</f>
        <v>235.31984072022155</v>
      </c>
      <c r="BM159" s="22">
        <f>VLOOKUP($A159,tabCustoUnit[],COLUMN(CUSTO_GLOBAL[[#Headers],[Outros (especificar)]])-2,0)*($G159-$H159)</f>
        <v>0</v>
      </c>
      <c r="BN159" s="22">
        <f>VLOOKUP($A159,tabCustoUnit[],COLUMN(CUSTO_GLOBAL[[#Headers],[MÓDULO 5 – INSUMOS DIVERSOS]])-2,0)*($G159-$H159)</f>
        <v>332.23364609373232</v>
      </c>
      <c r="BO159" s="22">
        <f>VLOOKUP($A159,tabCustoUnit[],COLUMN(CUSTO_GLOBAL[[#Headers],[TOTAL MÓDULOS 1+2+3+4+5]])-2,0)*($G159-$H159)</f>
        <v>2155.0184999148137</v>
      </c>
      <c r="BP159" s="22">
        <f>VLOOKUP($A159,tabCustoUnit[],COLUMN(CUSTO_GLOBAL[[#Headers],[Custos Indiretos]])-2,0)*($G159-$H159)</f>
        <v>189.64880140242613</v>
      </c>
      <c r="BQ159" s="22">
        <f>VLOOKUP($A159,tabCustoUnit[],COLUMN(CUSTO_GLOBAL[[#Headers],[Lucro]])-2,0)*($G159-$H159)</f>
        <v>159.30499317803796</v>
      </c>
      <c r="BR159" s="26">
        <f>VLOOKUP($A159,tabCustoUnit[],COLUMN(CUSTO_GLOBAL[[#Headers],[COFINS]])-2,0)</f>
        <v>8.6609686609686695E-2</v>
      </c>
      <c r="BS159" s="26">
        <f>VLOOKUP($A159,tabCustoUnit[],COLUMN(CUSTO_GLOBAL[[#Headers],[PIS]])-2,0)</f>
        <v>1.880341880341882E-2</v>
      </c>
      <c r="BT159" s="28">
        <f>VLOOKUP($A159,tabCustoUnit[],COLUMN(CUSTO_GLOBAL[[#Headers],[ISS]])-2,0)</f>
        <v>0.03</v>
      </c>
      <c r="BU159" s="26">
        <f>VLOOKUP($A159,tabCustoUnit[],COLUMN(CUSTO_GLOBAL[[#Headers],[ISS (Conversão Alíquota s/ fatura)]])-2,0)</f>
        <v>3.4188034188034219E-2</v>
      </c>
      <c r="BV159" s="26">
        <f>VLOOKUP($A159,tabCustoUnit[],COLUMN(CUSTO_GLOBAL[[#Headers],[Resumo de Alíquotas (PIS+CONFINS+ISS)]])-2,0)</f>
        <v>0.1225</v>
      </c>
      <c r="BW159" s="138">
        <f>VLOOKUP($A159,tabCustoUnit[],COLUMN(CUSTO_GLOBAL[[#Headers],[PIS + COFINS + ISS (Total Conversão  Alíquota s/ Fatura)]])-2,0)</f>
        <v>0.13960113960113973</v>
      </c>
      <c r="BX159" s="22">
        <f>VLOOKUP($A159,tabCustoUnit[],COLUMN(CUSTO_GLOBAL[[#Headers],[Valor dos Tributos (ISS, PIS, CONFINS)]])-2,0)*($G159-$H159)</f>
        <v>349.55738584122145</v>
      </c>
      <c r="BY159" s="22">
        <f>VLOOKUP($A159,tabCustoUnit[],COLUMN(CUSTO_GLOBAL[[#Headers],[MÓDULO 6 – CUSTOS INDIRETOS, TRIBUTOS E LUCRO]])-2,0)*($G159-$H159)</f>
        <v>698.51118042168559</v>
      </c>
      <c r="BZ159" s="22">
        <f>VLOOKUP($A159,tabCustoUnit[],COLUMN(CUSTO_GLOBAL[[#Headers],[CUSTO TOTAL MENSAL]])-2,0)*($G159-$H159)</f>
        <v>2853.529680336499</v>
      </c>
      <c r="CA159" s="22">
        <f>CUSTO_GLOBAL[[#This Row],[CUSTO TOTAL MENSAL]]*12</f>
        <v>34242.356164037992</v>
      </c>
      <c r="CB159" s="24">
        <f>VLOOKUP($A159,tabCustoUnit[],COLUMN(CUSTO_GLOBAL[[#Headers],[ANO DA CCT]])-2,0)</f>
        <v>45658</v>
      </c>
      <c r="CC159" s="25" t="str">
        <f>VLOOKUP($A159,tabCustoUnit[],COLUMN(CUSTO_GLOBAL[[#Headers],[Nº DE PEDIDO DA CCT]])-2,0)</f>
        <v>-</v>
      </c>
      <c r="CD159" s="25" t="str">
        <f>VLOOKUP($A159,tabCustoUnit[],COLUMN(CUSTO_GLOBAL[[#Headers],[TERMO ADITIVO  ALTERAÇÃO DA CCT]])-2,0)</f>
        <v>-</v>
      </c>
      <c r="CF159" s="22"/>
      <c r="CG159" s="22"/>
    </row>
    <row r="160" spans="1:85" x14ac:dyDescent="0.25">
      <c r="A160" s="20" t="s">
        <v>1496</v>
      </c>
      <c r="B160" t="s">
        <v>145</v>
      </c>
      <c r="C160" t="s">
        <v>1247</v>
      </c>
      <c r="D160" t="s">
        <v>1041</v>
      </c>
      <c r="E160" s="20" t="s">
        <v>9</v>
      </c>
      <c r="F160" s="20" t="s">
        <v>10</v>
      </c>
      <c r="G160" s="20">
        <v>1</v>
      </c>
      <c r="H160" s="20">
        <v>0</v>
      </c>
      <c r="I160" s="21">
        <f>VLOOKUP($A160,tabCustoUnit[],COLUMN(CUSTO_GLOBAL[[#Headers],[Salário Base]])-2,0)*($G160-$H160)</f>
        <v>544.17999999999995</v>
      </c>
      <c r="J160" s="21">
        <f>VLOOKUP($A160,tabCustoUnit[],COLUMN(CUSTO_GLOBAL[[#Headers],[Adicional Periculosidade]])-2,0)*($G160-$H160)</f>
        <v>0</v>
      </c>
      <c r="K160" s="21">
        <f>VLOOKUP($A160,tabCustoUnit[],COLUMN(CUSTO_GLOBAL[[#Headers],[Adicional Insalubridade]])-2,0)*($G160-$H160)</f>
        <v>0</v>
      </c>
      <c r="L160" s="21">
        <f>VLOOKUP($A160,tabCustoUnit[],COLUMN(CUSTO_GLOBAL[[#Headers],[Adicional Noturno]])-2,0)*($G160-$H160)</f>
        <v>0</v>
      </c>
      <c r="M160" s="21">
        <f>VLOOKUP($A160,tabCustoUnit[],COLUMN(CUSTO_GLOBAL[[#Headers],[Adicional Motorista II (Gratificação)]])-2,0)*($G160-$H160)</f>
        <v>0</v>
      </c>
      <c r="N160" s="21">
        <f>VLOOKUP($A160,tabCustoUnit[],COLUMN(CUSTO_GLOBAL[[#Headers],[Adicional de Sobreaviso]])-2,0)*($G160-$H160)</f>
        <v>0</v>
      </c>
      <c r="O160" s="21">
        <f>VLOOKUP($A160,tabCustoUnit[],COLUMN(CUSTO_GLOBAL[[#Headers],[Horas Extras TI]])-2,0)*($G160-$H160)</f>
        <v>0</v>
      </c>
      <c r="P160" s="21">
        <f>VLOOKUP($A160,tabCustoUnit[],COLUMN(CUSTO_GLOBAL[[#Headers],[Adicional de Acúmulo de função]])-2,0)*($G160-$H160)</f>
        <v>19.590499999999999</v>
      </c>
      <c r="Q160" s="21">
        <f>VLOOKUP($A160,tabCustoUnit[],COLUMN(CUSTO_GLOBAL[[#Headers],[MODULO 1 - REMUNERAÇÃO ]])-2,0)*($G160-$H160)</f>
        <v>563.77049999999997</v>
      </c>
      <c r="R160" s="21">
        <f>VLOOKUP($A160,tabCustoUnit[],COLUMN(CUSTO_GLOBAL[[#Headers],[INSS]])-2,0)*($G160-$H160)</f>
        <v>112.75409999999999</v>
      </c>
      <c r="S160" s="21">
        <f>VLOOKUP($A160,tabCustoUnit[],COLUMN(CUSTO_GLOBAL[[#Headers],[SESI OU SESC]])-2,0)*($G160-$H160)</f>
        <v>8.4565574999999988</v>
      </c>
      <c r="T160" s="21">
        <f>VLOOKUP($A160,tabCustoUnit[],COLUMN(CUSTO_GLOBAL[[#Headers],[SENAI OU SENAC]])-2,0)*($G160-$H160)</f>
        <v>5.6377049999999995</v>
      </c>
      <c r="U160" s="21">
        <f>VLOOKUP($A160,tabCustoUnit[],COLUMN(CUSTO_GLOBAL[[#Headers],[INCRA]])-2,0)*($G160-$H160)</f>
        <v>1.1275409999999999</v>
      </c>
      <c r="V160" s="21">
        <f>VLOOKUP($A160,tabCustoUnit[],COLUMN(CUSTO_GLOBAL[[#Headers],[Salário Educação]])-2,0)*($G160-$H160)</f>
        <v>14.094262499999999</v>
      </c>
      <c r="W160" s="21">
        <f>VLOOKUP($A160,tabCustoUnit[],COLUMN(CUSTO_GLOBAL[[#Headers],[FGTS]])-2,0)*($G160-$H160)</f>
        <v>45.101639999999996</v>
      </c>
      <c r="X160" s="21">
        <f>VLOOKUP($A160,tabCustoUnit[],COLUMN(CUSTO_GLOBAL[[#Headers],[RAT Ajustado]])-2,0)*($G160-$H160)</f>
        <v>22.550819999999998</v>
      </c>
      <c r="Y160" s="21">
        <f>VLOOKUP($A160,tabCustoUnit[],COLUMN(CUSTO_GLOBAL[[#Headers],[SEBRAE]])-2,0)*($G160-$H160)</f>
        <v>3.3826229999999997</v>
      </c>
      <c r="Z160" s="21">
        <f>VLOOKUP($A160,tabCustoUnit[],COLUMN(CUSTO_GLOBAL[[#Headers],[Submódulo 2.1]])-2,0)*($G160-$H160)</f>
        <v>213.10524899999996</v>
      </c>
      <c r="AA160" s="21">
        <f>VLOOKUP($A160,tabCustoUnit[],COLUMN(CUSTO_GLOBAL[[#Headers],[13º salário (titular)]])-2,0)*($G160-$H160)</f>
        <v>46.980874999999997</v>
      </c>
      <c r="AB160" s="21">
        <f>VLOOKUP($A160,tabCustoUnit[],COLUMN(CUSTO_GLOBAL[[#Headers],[Férias e Adicional de Férias (titular)]])-2,0)*($G160-$H160)</f>
        <v>62.641166666666663</v>
      </c>
      <c r="AC160" s="21">
        <f>VLOOKUP($A160,tabCustoUnit[],COLUMN(CUSTO_GLOBAL[[#Headers],[Incidência do Submódulo 2.1 sobre 13º Salário, Férias e Adicional de Férias]])-2,0)*($G160-$H160)</f>
        <v>41.437131749999992</v>
      </c>
      <c r="AD160" s="21">
        <f>VLOOKUP($A160,tabCustoUnit[],COLUMN(CUSTO_GLOBAL[[#Headers],[Submódulo 2.2]])-2,0)*($G160-$H160)</f>
        <v>151.05917341666665</v>
      </c>
      <c r="AE160" s="22">
        <f>VLOOKUP($A160,tabCustoUnit[],COLUMN(CUSTO_GLOBAL[[#Headers],[Vale - Transporte (Descontada parcela do empregado)]])-2,0)*($G160-$H160)</f>
        <v>223.3492</v>
      </c>
      <c r="AF160" s="22">
        <f>VLOOKUP($A160,tabCustoUnit[],COLUMN(CUSTO_GLOBAL[[#Headers],[Vale - Alimentação (Descontada parcela do empregado)]])-2,0)*($G160-$H160)</f>
        <v>582</v>
      </c>
      <c r="AG160" s="22">
        <f>VLOOKUP($A160,tabCustoUnit[],COLUMN(CUSTO_GLOBAL[[#Headers],[Cesta Básica]])-2,0)*($G160-$H160)</f>
        <v>0</v>
      </c>
      <c r="AH160" s="22">
        <f>VLOOKUP($A160,tabCustoUnit[],COLUMN(CUSTO_GLOBAL[[#Headers],[PAF]])-2,0)*($G160-$H160)</f>
        <v>0</v>
      </c>
      <c r="AI160" s="22">
        <f>VLOOKUP($A160,tabCustoUnit[],COLUMN(CUSTO_GLOBAL[[#Headers],[PQM]])-2,0)*($G160-$H160)</f>
        <v>0</v>
      </c>
      <c r="AJ160" s="22">
        <v>0</v>
      </c>
      <c r="AK160" s="22">
        <f>VLOOKUP($A160,tabCustoUnit[],COLUMN(CUSTO_GLOBAL[[#Headers],[Seguro de Vida]])-2,0)*($G160-$H160)</f>
        <v>3.36</v>
      </c>
      <c r="AL160" s="22">
        <f>VLOOKUP($A160,tabCustoUnit[],COLUMN(CUSTO_GLOBAL[[#Headers],[Despesas de Viagem]])-2,0)*($G160-$H160)</f>
        <v>0</v>
      </c>
      <c r="AM160" s="22">
        <f>VLOOKUP($A160,tabCustoUnit[],COLUMN(CUSTO_GLOBAL[[#Headers],[Submódulo 2.3]])-2,0)*($G160-$H160)</f>
        <v>808.70920000000001</v>
      </c>
      <c r="AN160" s="22">
        <f>VLOOKUP($A160,tabCustoUnit[],COLUMN(CUSTO_GLOBAL[[#Headers],[MÓDULO 2 - Total Encargos e Benefícios mensais e diários]])-2,0)*($G160-$H160)</f>
        <v>1172.8736224166666</v>
      </c>
      <c r="AO160" s="22">
        <f>VLOOKUP($A160,tabCustoUnit[],COLUMN(CUSTO_GLOBAL[[#Headers],[Aviso Prévio Indenizado (API) e Reflexo do Aviso Prévio Indenizado]])-2,0)*($G160-$H160)</f>
        <v>3.9530273735532404</v>
      </c>
      <c r="AP160" s="22">
        <f>VLOOKUP($A160,tabCustoUnit[],COLUMN(CUSTO_GLOBAL[[#Headers],[Incidência do FGTS sobre API e Reflexo do API]])-2,0)*($G160-$H160)</f>
        <v>0.31624218988425928</v>
      </c>
      <c r="AQ160" s="22">
        <f>VLOOKUP($A160,tabCustoUnit[],COLUMN(CUSTO_GLOBAL[[#Headers],[Multa Rescisória do FGTS sobre o Aviso Prévio Indenizado]])-2,0)*($G160-$H160)</f>
        <v>0.12649687595370371</v>
      </c>
      <c r="AR160" s="22">
        <f>VLOOKUP($A160,tabCustoUnit[],COLUMN(CUSTO_GLOBAL[[#Headers],[Aviso Prévio Trabalhado - APT]])-2,0)*($G160-$H160)</f>
        <v>1.9731967500000003</v>
      </c>
      <c r="AS160" s="22">
        <f>VLOOKUP($A160,tabCustoUnit[],COLUMN(CUSTO_GLOBAL[[#Headers],[Incidência dos encargos do submódulo 2.1 sobre Aviso Prévio Trabalhado]])-2,0)*($G160-$H160)</f>
        <v>0.74586837150000018</v>
      </c>
      <c r="AT160" s="22">
        <f>VLOOKUP($A160,tabCustoUnit[],COLUMN(CUSTO_GLOBAL[[#Headers],[Multa Rescisória do FGTS]])-2,0)*($G160-$H160)</f>
        <v>17.238849066666663</v>
      </c>
      <c r="AU160" s="22">
        <f>VLOOKUP($A160,tabCustoUnit[],COLUMN(CUSTO_GLOBAL[[#Headers],[Indenização Adicional (Art. 9º da Lei nº 7.238/84)]])-2,0)*($G160-$H160)</f>
        <v>0.46980875</v>
      </c>
      <c r="AV160" s="22">
        <f>VLOOKUP($A160,tabCustoUnit[],COLUMN(CUSTO_GLOBAL[[#Headers],[MÓDULO 3 – PROVISÃO PARA RESCISÃO]])-2,0)*($G160-$H160)</f>
        <v>24.823489377557866</v>
      </c>
      <c r="AW160" s="22">
        <f>VLOOKUP($A160,tabCustoUnit[],COLUMN(CUSTO_GLOBAL[[#Headers],[Ausência por Doença]])-2,0)*($G160-$H160)</f>
        <v>4.7607286666666662</v>
      </c>
      <c r="AX160" s="22">
        <f>VLOOKUP($A160,tabCustoUnit[],COLUMN(CUSTO_GLOBAL[[#Headers],[Ausências Legais]])-2,0)*($G160-$H160)</f>
        <v>1.1432012916666665</v>
      </c>
      <c r="AY160" s="22">
        <f>VLOOKUP($A160,tabCustoUnit[],COLUMN(CUSTO_GLOBAL[[#Headers],[Licença Paternidade]])-2,0)*($G160-$H160)</f>
        <v>9.6310793749999998E-2</v>
      </c>
      <c r="AZ160" s="22">
        <f>VLOOKUP($A160,tabCustoUnit[],COLUMN(CUSTO_GLOBAL[[#Headers],[Ausência por Acidente de Trabalho]])-2,0)*($G160-$H160)</f>
        <v>0.1174521875</v>
      </c>
      <c r="BA160" s="22">
        <f>VLOOKUP($A160,tabCustoUnit[],COLUMN(CUSTO_GLOBAL[[#Headers],[Férias, Adicional de Férias e 13º  com empregada em gozo de Licença Maternidade]])-2,0)*($G160-$H160)</f>
        <v>0.73081361111111109</v>
      </c>
      <c r="BB160" s="22">
        <f>VLOOKUP($A160,tabCustoUnit[],COLUMN(CUSTO_GLOBAL[[#Headers],[Incidência do Submódulo 2.1 sobre Ausências Legais]])-2,0)*($G160-$H160)</f>
        <v>2.5887354761625003</v>
      </c>
      <c r="BC160" s="22">
        <f>VLOOKUP($A160,tabCustoUnit[],COLUMN(CUSTO_GLOBAL[[#Headers],[Submódulo 4.1]])-2,0)*($G160-$H160)</f>
        <v>9.4372420268569428</v>
      </c>
      <c r="BD160" s="22">
        <f>VLOOKUP($A160,tabCustoUnit[],COLUMN(CUSTO_GLOBAL[[#Headers],[Intervalo para Repouso ou Alimentação]])-2,0)*($G160-$H160)</f>
        <v>0</v>
      </c>
      <c r="BE160" s="22">
        <f>VLOOKUP($A160,tabCustoUnit[],COLUMN(CUSTO_GLOBAL[[#Headers],[Submódulo 4.2]])-2,0)*($G160-$H160)</f>
        <v>0</v>
      </c>
      <c r="BF160" s="22">
        <f>VLOOKUP($A160,tabCustoUnit[],COLUMN(CUSTO_GLOBAL[[#Headers],[Suspensão Temporária do Contrato de Trabalho]])-2,0)*($G160-$H160)</f>
        <v>0</v>
      </c>
      <c r="BG160" s="22">
        <f>VLOOKUP($A160,tabCustoUnit[],COLUMN(CUSTO_GLOBAL[[#Headers],[Submódulo 4.3]])-2,0)*($G160-$H160)</f>
        <v>0</v>
      </c>
      <c r="BH160" s="22">
        <f>VLOOKUP($A160,tabCustoUnit[],COLUMN(CUSTO_GLOBAL[[#Headers],[MÓDULO 4 – CUSTO DE REPOSIÇÃO DO PROFISSIONAL AUSENTE]])-2,0)*($G160-$H160)</f>
        <v>9.4372420268569428</v>
      </c>
      <c r="BI160" s="22">
        <f>VLOOKUP($A160,tabCustoUnit[],COLUMN(CUSTO_GLOBAL[[#Headers],[Uniformes e EPIs]])-2,0)*($G160-$H160)</f>
        <v>62.806666666666665</v>
      </c>
      <c r="BJ160" s="22">
        <f>VLOOKUP($A160,tabCustoUnit[],COLUMN(CUSTO_GLOBAL[[#Headers],[Materiais de Consumo]])-2,0)*($G160-$H160)</f>
        <v>12.108481690426325</v>
      </c>
      <c r="BK160" s="22">
        <f>VLOOKUP($A160,tabCustoUnit[],COLUMN(CUSTO_GLOBAL[[#Headers],[Máquinas e Equipamentos (depreciação)]])-2,0)*($G160-$H160)</f>
        <v>21.998657016417809</v>
      </c>
      <c r="BL160" s="22">
        <f>VLOOKUP($A160,tabCustoUnit[],COLUMN(CUSTO_GLOBAL[[#Headers],[Produtos de Limpeza e Materiais de Higiene Pessoal]])-2,0)*($G160-$H160)</f>
        <v>235.31984072022155</v>
      </c>
      <c r="BM160" s="22">
        <f>VLOOKUP($A160,tabCustoUnit[],COLUMN(CUSTO_GLOBAL[[#Headers],[Outros (especificar)]])-2,0)*($G160-$H160)</f>
        <v>0</v>
      </c>
      <c r="BN160" s="22">
        <f>VLOOKUP($A160,tabCustoUnit[],COLUMN(CUSTO_GLOBAL[[#Headers],[MÓDULO 5 – INSUMOS DIVERSOS]])-2,0)*($G160-$H160)</f>
        <v>332.23364609373232</v>
      </c>
      <c r="BO160" s="22">
        <f>VLOOKUP($A160,tabCustoUnit[],COLUMN(CUSTO_GLOBAL[[#Headers],[TOTAL MÓDULOS 1+2+3+4+5]])-2,0)*($G160-$H160)</f>
        <v>2103.1384999148136</v>
      </c>
      <c r="BP160" s="22">
        <f>VLOOKUP($A160,tabCustoUnit[],COLUMN(CUSTO_GLOBAL[[#Headers],[Custos Indiretos]])-2,0)*($G160-$H160)</f>
        <v>189.64880140242613</v>
      </c>
      <c r="BQ160" s="22">
        <f>VLOOKUP($A160,tabCustoUnit[],COLUMN(CUSTO_GLOBAL[[#Headers],[Lucro]])-2,0)*($G160-$H160)</f>
        <v>159.30499317803796</v>
      </c>
      <c r="BR160" s="26">
        <f>VLOOKUP($A160,tabCustoUnit[],COLUMN(CUSTO_GLOBAL[[#Headers],[COFINS]])-2,0)</f>
        <v>8.6609686609686695E-2</v>
      </c>
      <c r="BS160" s="26">
        <f>VLOOKUP($A160,tabCustoUnit[],COLUMN(CUSTO_GLOBAL[[#Headers],[PIS]])-2,0)</f>
        <v>1.880341880341882E-2</v>
      </c>
      <c r="BT160" s="28">
        <f>VLOOKUP($A160,tabCustoUnit[],COLUMN(CUSTO_GLOBAL[[#Headers],[ISS]])-2,0)</f>
        <v>0.03</v>
      </c>
      <c r="BU160" s="26">
        <f>VLOOKUP($A160,tabCustoUnit[],COLUMN(CUSTO_GLOBAL[[#Headers],[ISS (Conversão Alíquota s/ fatura)]])-2,0)</f>
        <v>3.4188034188034219E-2</v>
      </c>
      <c r="BV160" s="26">
        <f>VLOOKUP($A160,tabCustoUnit[],COLUMN(CUSTO_GLOBAL[[#Headers],[Resumo de Alíquotas (PIS+CONFINS+ISS)]])-2,0)</f>
        <v>0.1225</v>
      </c>
      <c r="BW160" s="138">
        <f>VLOOKUP($A160,tabCustoUnit[],COLUMN(CUSTO_GLOBAL[[#Headers],[PIS + COFINS + ISS (Total Conversão  Alíquota s/ Fatura)]])-2,0)</f>
        <v>0.13960113960113973</v>
      </c>
      <c r="BX160" s="22">
        <f>VLOOKUP($A160,tabCustoUnit[],COLUMN(CUSTO_GLOBAL[[#Headers],[Valor dos Tributos (ISS, PIS, CONFINS)]])-2,0)*($G160-$H160)</f>
        <v>342.31487871871428</v>
      </c>
      <c r="BY160" s="22">
        <f>VLOOKUP($A160,tabCustoUnit[],COLUMN(CUSTO_GLOBAL[[#Headers],[MÓDULO 6 – CUSTOS INDIRETOS, TRIBUTOS E LUCRO]])-2,0)*($G160-$H160)</f>
        <v>691.26867329917832</v>
      </c>
      <c r="BZ160" s="22">
        <f>VLOOKUP($A160,tabCustoUnit[],COLUMN(CUSTO_GLOBAL[[#Headers],[CUSTO TOTAL MENSAL]])-2,0)*($G160-$H160)</f>
        <v>2794.4071732139919</v>
      </c>
      <c r="CA160" s="22">
        <f>CUSTO_GLOBAL[[#This Row],[CUSTO TOTAL MENSAL]]*12</f>
        <v>33532.886078567899</v>
      </c>
      <c r="CB160" s="24">
        <f>VLOOKUP($A160,tabCustoUnit[],COLUMN(CUSTO_GLOBAL[[#Headers],[ANO DA CCT]])-2,0)</f>
        <v>45658</v>
      </c>
      <c r="CC160" s="25" t="str">
        <f>VLOOKUP($A160,tabCustoUnit[],COLUMN(CUSTO_GLOBAL[[#Headers],[Nº DE PEDIDO DA CCT]])-2,0)</f>
        <v>-</v>
      </c>
      <c r="CD160" s="25" t="str">
        <f>VLOOKUP($A160,tabCustoUnit[],COLUMN(CUSTO_GLOBAL[[#Headers],[TERMO ADITIVO  ALTERAÇÃO DA CCT]])-2,0)</f>
        <v>-</v>
      </c>
      <c r="CF160" s="22"/>
      <c r="CG160" s="22"/>
    </row>
    <row r="161" spans="1:85" x14ac:dyDescent="0.25">
      <c r="A161" s="20" t="s">
        <v>1497</v>
      </c>
      <c r="B161" t="s">
        <v>146</v>
      </c>
      <c r="C161" t="s">
        <v>1244</v>
      </c>
      <c r="D161" t="s">
        <v>1023</v>
      </c>
      <c r="E161" s="20" t="s">
        <v>9</v>
      </c>
      <c r="F161" s="20" t="s">
        <v>10</v>
      </c>
      <c r="G161" s="20">
        <v>1</v>
      </c>
      <c r="H161" s="20">
        <v>0</v>
      </c>
      <c r="I161" s="21">
        <f>VLOOKUP($A161,tabCustoUnit[],COLUMN(CUSTO_GLOBAL[[#Headers],[Salário Base]])-2,0)*($G161-$H161)</f>
        <v>798.14</v>
      </c>
      <c r="J161" s="21">
        <f>VLOOKUP($A161,tabCustoUnit[],COLUMN(CUSTO_GLOBAL[[#Headers],[Adicional Periculosidade]])-2,0)*($G161-$H161)</f>
        <v>0</v>
      </c>
      <c r="K161" s="21">
        <f>VLOOKUP($A161,tabCustoUnit[],COLUMN(CUSTO_GLOBAL[[#Headers],[Adicional Insalubridade]])-2,0)*($G161-$H161)</f>
        <v>0</v>
      </c>
      <c r="L161" s="21">
        <f>VLOOKUP($A161,tabCustoUnit[],COLUMN(CUSTO_GLOBAL[[#Headers],[Adicional Noturno]])-2,0)*($G161-$H161)</f>
        <v>0</v>
      </c>
      <c r="M161" s="21">
        <f>VLOOKUP($A161,tabCustoUnit[],COLUMN(CUSTO_GLOBAL[[#Headers],[Adicional Motorista II (Gratificação)]])-2,0)*($G161-$H161)</f>
        <v>0</v>
      </c>
      <c r="N161" s="21">
        <f>VLOOKUP($A161,tabCustoUnit[],COLUMN(CUSTO_GLOBAL[[#Headers],[Adicional de Sobreaviso]])-2,0)*($G161-$H161)</f>
        <v>0</v>
      </c>
      <c r="O161" s="21">
        <f>VLOOKUP($A161,tabCustoUnit[],COLUMN(CUSTO_GLOBAL[[#Headers],[Horas Extras TI]])-2,0)*($G161-$H161)</f>
        <v>0</v>
      </c>
      <c r="P161" s="21">
        <f>VLOOKUP($A161,tabCustoUnit[],COLUMN(CUSTO_GLOBAL[[#Headers],[Adicional de Acúmulo de função]])-2,0)*($G161-$H161)</f>
        <v>26.120899999999999</v>
      </c>
      <c r="Q161" s="21">
        <f>VLOOKUP($A161,tabCustoUnit[],COLUMN(CUSTO_GLOBAL[[#Headers],[MODULO 1 - REMUNERAÇÃO ]])-2,0)*($G161-$H161)</f>
        <v>824.26089999999999</v>
      </c>
      <c r="R161" s="21">
        <f>VLOOKUP($A161,tabCustoUnit[],COLUMN(CUSTO_GLOBAL[[#Headers],[INSS]])-2,0)*($G161-$H161)</f>
        <v>164.85218</v>
      </c>
      <c r="S161" s="21">
        <f>VLOOKUP($A161,tabCustoUnit[],COLUMN(CUSTO_GLOBAL[[#Headers],[SESI OU SESC]])-2,0)*($G161-$H161)</f>
        <v>12.363913499999999</v>
      </c>
      <c r="T161" s="21">
        <f>VLOOKUP($A161,tabCustoUnit[],COLUMN(CUSTO_GLOBAL[[#Headers],[SENAI OU SENAC]])-2,0)*($G161-$H161)</f>
        <v>8.2426089999999999</v>
      </c>
      <c r="U161" s="21">
        <f>VLOOKUP($A161,tabCustoUnit[],COLUMN(CUSTO_GLOBAL[[#Headers],[INCRA]])-2,0)*($G161-$H161)</f>
        <v>1.6485217999999999</v>
      </c>
      <c r="V161" s="21">
        <f>VLOOKUP($A161,tabCustoUnit[],COLUMN(CUSTO_GLOBAL[[#Headers],[Salário Educação]])-2,0)*($G161-$H161)</f>
        <v>20.606522500000001</v>
      </c>
      <c r="W161" s="21">
        <f>VLOOKUP($A161,tabCustoUnit[],COLUMN(CUSTO_GLOBAL[[#Headers],[FGTS]])-2,0)*($G161-$H161)</f>
        <v>65.940871999999999</v>
      </c>
      <c r="X161" s="21">
        <f>VLOOKUP($A161,tabCustoUnit[],COLUMN(CUSTO_GLOBAL[[#Headers],[RAT Ajustado]])-2,0)*($G161-$H161)</f>
        <v>32.970435999999999</v>
      </c>
      <c r="Y161" s="21">
        <f>VLOOKUP($A161,tabCustoUnit[],COLUMN(CUSTO_GLOBAL[[#Headers],[SEBRAE]])-2,0)*($G161-$H161)</f>
        <v>4.9455654000000004</v>
      </c>
      <c r="Z161" s="21">
        <f>VLOOKUP($A161,tabCustoUnit[],COLUMN(CUSTO_GLOBAL[[#Headers],[Submódulo 2.1]])-2,0)*($G161-$H161)</f>
        <v>311.57062020000001</v>
      </c>
      <c r="AA161" s="21">
        <f>VLOOKUP($A161,tabCustoUnit[],COLUMN(CUSTO_GLOBAL[[#Headers],[13º salário (titular)]])-2,0)*($G161-$H161)</f>
        <v>68.688408333333328</v>
      </c>
      <c r="AB161" s="21">
        <f>VLOOKUP($A161,tabCustoUnit[],COLUMN(CUSTO_GLOBAL[[#Headers],[Férias e Adicional de Férias (titular)]])-2,0)*($G161-$H161)</f>
        <v>91.584544444444433</v>
      </c>
      <c r="AC161" s="21">
        <f>VLOOKUP($A161,tabCustoUnit[],COLUMN(CUSTO_GLOBAL[[#Headers],[Incidência do Submódulo 2.1 sobre 13º Salário, Férias e Adicional de Férias]])-2,0)*($G161-$H161)</f>
        <v>60.583176149999993</v>
      </c>
      <c r="AD161" s="21">
        <f>VLOOKUP($A161,tabCustoUnit[],COLUMN(CUSTO_GLOBAL[[#Headers],[Submódulo 2.2]])-2,0)*($G161-$H161)</f>
        <v>220.85612892777775</v>
      </c>
      <c r="AE161" s="22">
        <f>VLOOKUP($A161,tabCustoUnit[],COLUMN(CUSTO_GLOBAL[[#Headers],[Vale - Transporte (Descontada parcela do empregado)]])-2,0)*($G161-$H161)</f>
        <v>208.11160000000001</v>
      </c>
      <c r="AF161" s="22">
        <f>VLOOKUP($A161,tabCustoUnit[],COLUMN(CUSTO_GLOBAL[[#Headers],[Vale - Alimentação (Descontada parcela do empregado)]])-2,0)*($G161-$H161)</f>
        <v>582</v>
      </c>
      <c r="AG161" s="22">
        <f>VLOOKUP($A161,tabCustoUnit[],COLUMN(CUSTO_GLOBAL[[#Headers],[Cesta Básica]])-2,0)*($G161-$H161)</f>
        <v>0</v>
      </c>
      <c r="AH161" s="22">
        <f>VLOOKUP($A161,tabCustoUnit[],COLUMN(CUSTO_GLOBAL[[#Headers],[PAF]])-2,0)*($G161-$H161)</f>
        <v>0</v>
      </c>
      <c r="AI161" s="22">
        <f>VLOOKUP($A161,tabCustoUnit[],COLUMN(CUSTO_GLOBAL[[#Headers],[PQM]])-2,0)*($G161-$H161)</f>
        <v>0</v>
      </c>
      <c r="AJ161" s="22">
        <v>0</v>
      </c>
      <c r="AK161" s="22">
        <f>VLOOKUP($A161,tabCustoUnit[],COLUMN(CUSTO_GLOBAL[[#Headers],[Seguro de Vida]])-2,0)*($G161-$H161)</f>
        <v>3.36</v>
      </c>
      <c r="AL161" s="22">
        <f>VLOOKUP($A161,tabCustoUnit[],COLUMN(CUSTO_GLOBAL[[#Headers],[Despesas de Viagem]])-2,0)*($G161-$H161)</f>
        <v>0</v>
      </c>
      <c r="AM161" s="22">
        <f>VLOOKUP($A161,tabCustoUnit[],COLUMN(CUSTO_GLOBAL[[#Headers],[Submódulo 2.3]])-2,0)*($G161-$H161)</f>
        <v>793.47159999999997</v>
      </c>
      <c r="AN161" s="22">
        <f>VLOOKUP($A161,tabCustoUnit[],COLUMN(CUSTO_GLOBAL[[#Headers],[MÓDULO 2 - Total Encargos e Benefícios mensais e diários]])-2,0)*($G161-$H161)</f>
        <v>1325.8983491277777</v>
      </c>
      <c r="AO161" s="22">
        <f>VLOOKUP($A161,tabCustoUnit[],COLUMN(CUSTO_GLOBAL[[#Headers],[Aviso Prévio Indenizado (API) e Reflexo do Aviso Prévio Indenizado]])-2,0)*($G161-$H161)</f>
        <v>5.7795253576581791</v>
      </c>
      <c r="AP161" s="22">
        <f>VLOOKUP($A161,tabCustoUnit[],COLUMN(CUSTO_GLOBAL[[#Headers],[Incidência do FGTS sobre API e Reflexo do API]])-2,0)*($G161-$H161)</f>
        <v>0.46236202861265435</v>
      </c>
      <c r="AQ161" s="22">
        <f>VLOOKUP($A161,tabCustoUnit[],COLUMN(CUSTO_GLOBAL[[#Headers],[Multa Rescisória do FGTS sobre o Aviso Prévio Indenizado]])-2,0)*($G161-$H161)</f>
        <v>0.18494481144506175</v>
      </c>
      <c r="AR161" s="22">
        <f>VLOOKUP($A161,tabCustoUnit[],COLUMN(CUSTO_GLOBAL[[#Headers],[Aviso Prévio Trabalhado - APT]])-2,0)*($G161-$H161)</f>
        <v>2.8849131500000005</v>
      </c>
      <c r="AS161" s="22">
        <f>VLOOKUP($A161,tabCustoUnit[],COLUMN(CUSTO_GLOBAL[[#Headers],[Incidência dos encargos do submódulo 2.1 sobre Aviso Prévio Trabalhado]])-2,0)*($G161-$H161)</f>
        <v>1.0904971707000004</v>
      </c>
      <c r="AT161" s="22">
        <f>VLOOKUP($A161,tabCustoUnit[],COLUMN(CUSTO_GLOBAL[[#Headers],[Multa Rescisória do FGTS]])-2,0)*($G161-$H161)</f>
        <v>25.204066631111107</v>
      </c>
      <c r="AU161" s="22">
        <f>VLOOKUP($A161,tabCustoUnit[],COLUMN(CUSTO_GLOBAL[[#Headers],[Indenização Adicional (Art. 9º da Lei nº 7.238/84)]])-2,0)*($G161-$H161)</f>
        <v>0.6868840833333334</v>
      </c>
      <c r="AV161" s="22">
        <f>VLOOKUP($A161,tabCustoUnit[],COLUMN(CUSTO_GLOBAL[[#Headers],[MÓDULO 3 – PROVISÃO PARA RESCISÃO]])-2,0)*($G161-$H161)</f>
        <v>36.293193232860339</v>
      </c>
      <c r="AW161" s="22">
        <f>VLOOKUP($A161,tabCustoUnit[],COLUMN(CUSTO_GLOBAL[[#Headers],[Ausência por Doença]])-2,0)*($G161-$H161)</f>
        <v>6.9604253777777769</v>
      </c>
      <c r="AX161" s="22">
        <f>VLOOKUP($A161,tabCustoUnit[],COLUMN(CUSTO_GLOBAL[[#Headers],[Ausências Legais]])-2,0)*($G161-$H161)</f>
        <v>1.671417936111111</v>
      </c>
      <c r="AY161" s="22">
        <f>VLOOKUP($A161,tabCustoUnit[],COLUMN(CUSTO_GLOBAL[[#Headers],[Licença Paternidade]])-2,0)*($G161-$H161)</f>
        <v>0.14081123708333332</v>
      </c>
      <c r="AZ161" s="22">
        <f>VLOOKUP($A161,tabCustoUnit[],COLUMN(CUSTO_GLOBAL[[#Headers],[Ausência por Acidente de Trabalho]])-2,0)*($G161-$H161)</f>
        <v>0.17172102083333335</v>
      </c>
      <c r="BA161" s="22">
        <f>VLOOKUP($A161,tabCustoUnit[],COLUMN(CUSTO_GLOBAL[[#Headers],[Férias, Adicional de Férias e 13º  com empregada em gozo de Licença Maternidade]])-2,0)*($G161-$H161)</f>
        <v>1.0684863518518517</v>
      </c>
      <c r="BB161" s="22">
        <f>VLOOKUP($A161,tabCustoUnit[],COLUMN(CUSTO_GLOBAL[[#Headers],[Incidência do Submódulo 2.1 sobre Ausências Legais]])-2,0)*($G161-$H161)</f>
        <v>3.7848618071425006</v>
      </c>
      <c r="BC161" s="22">
        <f>VLOOKUP($A161,tabCustoUnit[],COLUMN(CUSTO_GLOBAL[[#Headers],[Submódulo 4.1]])-2,0)*($G161-$H161)</f>
        <v>13.797723730799909</v>
      </c>
      <c r="BD161" s="22">
        <f>VLOOKUP($A161,tabCustoUnit[],COLUMN(CUSTO_GLOBAL[[#Headers],[Intervalo para Repouso ou Alimentação]])-2,0)*($G161-$H161)</f>
        <v>0</v>
      </c>
      <c r="BE161" s="22">
        <f>VLOOKUP($A161,tabCustoUnit[],COLUMN(CUSTO_GLOBAL[[#Headers],[Submódulo 4.2]])-2,0)*($G161-$H161)</f>
        <v>0</v>
      </c>
      <c r="BF161" s="22">
        <f>VLOOKUP($A161,tabCustoUnit[],COLUMN(CUSTO_GLOBAL[[#Headers],[Suspensão Temporária do Contrato de Trabalho]])-2,0)*($G161-$H161)</f>
        <v>0</v>
      </c>
      <c r="BG161" s="22">
        <f>VLOOKUP($A161,tabCustoUnit[],COLUMN(CUSTO_GLOBAL[[#Headers],[Submódulo 4.3]])-2,0)*($G161-$H161)</f>
        <v>0</v>
      </c>
      <c r="BH161" s="22">
        <f>VLOOKUP($A161,tabCustoUnit[],COLUMN(CUSTO_GLOBAL[[#Headers],[MÓDULO 4 – CUSTO DE REPOSIÇÃO DO PROFISSIONAL AUSENTE]])-2,0)*($G161-$H161)</f>
        <v>13.797723730799909</v>
      </c>
      <c r="BI161" s="22">
        <f>VLOOKUP($A161,tabCustoUnit[],COLUMN(CUSTO_GLOBAL[[#Headers],[Uniformes e EPIs]])-2,0)*($G161-$H161)</f>
        <v>62.806666666666665</v>
      </c>
      <c r="BJ161" s="22">
        <f>VLOOKUP($A161,tabCustoUnit[],COLUMN(CUSTO_GLOBAL[[#Headers],[Materiais de Consumo]])-2,0)*($G161-$H161)</f>
        <v>17.759106479291944</v>
      </c>
      <c r="BK161" s="22">
        <f>VLOOKUP($A161,tabCustoUnit[],COLUMN(CUSTO_GLOBAL[[#Headers],[Máquinas e Equipamentos (depreciação)]])-2,0)*($G161-$H161)</f>
        <v>32.264696957412788</v>
      </c>
      <c r="BL161" s="22">
        <f>VLOOKUP($A161,tabCustoUnit[],COLUMN(CUSTO_GLOBAL[[#Headers],[Produtos de Limpeza e Materiais de Higiene Pessoal]])-2,0)*($G161-$H161)</f>
        <v>345.13576638965827</v>
      </c>
      <c r="BM161" s="22">
        <f>VLOOKUP($A161,tabCustoUnit[],COLUMN(CUSTO_GLOBAL[[#Headers],[Outros (especificar)]])-2,0)*($G161-$H161)</f>
        <v>0</v>
      </c>
      <c r="BN161" s="22">
        <f>VLOOKUP($A161,tabCustoUnit[],COLUMN(CUSTO_GLOBAL[[#Headers],[MÓDULO 5 – INSUMOS DIVERSOS]])-2,0)*($G161-$H161)</f>
        <v>457.96623649302967</v>
      </c>
      <c r="BO161" s="22">
        <f>VLOOKUP($A161,tabCustoUnit[],COLUMN(CUSTO_GLOBAL[[#Headers],[TOTAL MÓDULOS 1+2+3+4+5]])-2,0)*($G161-$H161)</f>
        <v>2658.2164025844677</v>
      </c>
      <c r="BP161" s="22">
        <f>VLOOKUP($A161,tabCustoUnit[],COLUMN(CUSTO_GLOBAL[[#Headers],[Custos Indiretos]])-2,0)*($G161-$H161)</f>
        <v>189.64880140242613</v>
      </c>
      <c r="BQ161" s="22">
        <f>VLOOKUP($A161,tabCustoUnit[],COLUMN(CUSTO_GLOBAL[[#Headers],[Lucro]])-2,0)*($G161-$H161)</f>
        <v>159.30499317803796</v>
      </c>
      <c r="BR161" s="26">
        <f>VLOOKUP($A161,tabCustoUnit[],COLUMN(CUSTO_GLOBAL[[#Headers],[COFINS]])-2,0)</f>
        <v>8.6609686609686695E-2</v>
      </c>
      <c r="BS161" s="26">
        <f>VLOOKUP($A161,tabCustoUnit[],COLUMN(CUSTO_GLOBAL[[#Headers],[PIS]])-2,0)</f>
        <v>1.880341880341882E-2</v>
      </c>
      <c r="BT161" s="28">
        <f>VLOOKUP($A161,tabCustoUnit[],COLUMN(CUSTO_GLOBAL[[#Headers],[ISS]])-2,0)</f>
        <v>0.03</v>
      </c>
      <c r="BU161" s="26">
        <f>VLOOKUP($A161,tabCustoUnit[],COLUMN(CUSTO_GLOBAL[[#Headers],[ISS (Conversão Alíquota s/ fatura)]])-2,0)</f>
        <v>3.4188034188034219E-2</v>
      </c>
      <c r="BV161" s="26">
        <f>VLOOKUP($A161,tabCustoUnit[],COLUMN(CUSTO_GLOBAL[[#Headers],[Resumo de Alíquotas (PIS+CONFINS+ISS)]])-2,0)</f>
        <v>0.1225</v>
      </c>
      <c r="BW161" s="138">
        <f>VLOOKUP($A161,tabCustoUnit[],COLUMN(CUSTO_GLOBAL[[#Headers],[PIS + COFINS + ISS (Total Conversão  Alíquota s/ Fatura)]])-2,0)</f>
        <v>0.13960113960113973</v>
      </c>
      <c r="BX161" s="22">
        <f>VLOOKUP($A161,tabCustoUnit[],COLUMN(CUSTO_GLOBAL[[#Headers],[Valor dos Tributos (ISS, PIS, CONFINS)]])-2,0)*($G161-$H161)</f>
        <v>419.80438649880853</v>
      </c>
      <c r="BY161" s="22">
        <f>VLOOKUP($A161,tabCustoUnit[],COLUMN(CUSTO_GLOBAL[[#Headers],[MÓDULO 6 – CUSTOS INDIRETOS, TRIBUTOS E LUCRO]])-2,0)*($G161-$H161)</f>
        <v>768.75818107927262</v>
      </c>
      <c r="BZ161" s="22">
        <f>VLOOKUP($A161,tabCustoUnit[],COLUMN(CUSTO_GLOBAL[[#Headers],[CUSTO TOTAL MENSAL]])-2,0)*($G161-$H161)</f>
        <v>3426.9745836637403</v>
      </c>
      <c r="CA161" s="22">
        <f>CUSTO_GLOBAL[[#This Row],[CUSTO TOTAL MENSAL]]*12</f>
        <v>41123.69500396488</v>
      </c>
      <c r="CB161" s="24">
        <f>VLOOKUP($A161,tabCustoUnit[],COLUMN(CUSTO_GLOBAL[[#Headers],[ANO DA CCT]])-2,0)</f>
        <v>45658</v>
      </c>
      <c r="CC161" s="25" t="str">
        <f>VLOOKUP($A161,tabCustoUnit[],COLUMN(CUSTO_GLOBAL[[#Headers],[Nº DE PEDIDO DA CCT]])-2,0)</f>
        <v>-</v>
      </c>
      <c r="CD161" s="25" t="str">
        <f>VLOOKUP($A161,tabCustoUnit[],COLUMN(CUSTO_GLOBAL[[#Headers],[TERMO ADITIVO  ALTERAÇÃO DA CCT]])-2,0)</f>
        <v>-</v>
      </c>
      <c r="CF161" s="22"/>
      <c r="CG161" s="22"/>
    </row>
    <row r="162" spans="1:85" x14ac:dyDescent="0.25">
      <c r="A162" s="20" t="s">
        <v>1498</v>
      </c>
      <c r="B162" t="s">
        <v>147</v>
      </c>
      <c r="C162" t="s">
        <v>1244</v>
      </c>
      <c r="D162" t="s">
        <v>992</v>
      </c>
      <c r="E162" s="20" t="s">
        <v>9</v>
      </c>
      <c r="F162" s="20" t="s">
        <v>10</v>
      </c>
      <c r="G162" s="20">
        <v>1</v>
      </c>
      <c r="H162" s="20">
        <v>0</v>
      </c>
      <c r="I162" s="21">
        <f>VLOOKUP($A162,tabCustoUnit[],COLUMN(CUSTO_GLOBAL[[#Headers],[Salário Base]])-2,0)*($G162-$H162)</f>
        <v>798.14</v>
      </c>
      <c r="J162" s="21">
        <f>VLOOKUP($A162,tabCustoUnit[],COLUMN(CUSTO_GLOBAL[[#Headers],[Adicional Periculosidade]])-2,0)*($G162-$H162)</f>
        <v>0</v>
      </c>
      <c r="K162" s="21">
        <f>VLOOKUP($A162,tabCustoUnit[],COLUMN(CUSTO_GLOBAL[[#Headers],[Adicional Insalubridade]])-2,0)*($G162-$H162)</f>
        <v>0</v>
      </c>
      <c r="L162" s="21">
        <f>VLOOKUP($A162,tabCustoUnit[],COLUMN(CUSTO_GLOBAL[[#Headers],[Adicional Noturno]])-2,0)*($G162-$H162)</f>
        <v>0</v>
      </c>
      <c r="M162" s="21">
        <f>VLOOKUP($A162,tabCustoUnit[],COLUMN(CUSTO_GLOBAL[[#Headers],[Adicional Motorista II (Gratificação)]])-2,0)*($G162-$H162)</f>
        <v>0</v>
      </c>
      <c r="N162" s="21">
        <f>VLOOKUP($A162,tabCustoUnit[],COLUMN(CUSTO_GLOBAL[[#Headers],[Adicional de Sobreaviso]])-2,0)*($G162-$H162)</f>
        <v>0</v>
      </c>
      <c r="O162" s="21">
        <f>VLOOKUP($A162,tabCustoUnit[],COLUMN(CUSTO_GLOBAL[[#Headers],[Horas Extras TI]])-2,0)*($G162-$H162)</f>
        <v>0</v>
      </c>
      <c r="P162" s="21">
        <f>VLOOKUP($A162,tabCustoUnit[],COLUMN(CUSTO_GLOBAL[[#Headers],[Adicional de Acúmulo de função]])-2,0)*($G162-$H162)</f>
        <v>26.120899999999999</v>
      </c>
      <c r="Q162" s="21">
        <f>VLOOKUP($A162,tabCustoUnit[],COLUMN(CUSTO_GLOBAL[[#Headers],[MODULO 1 - REMUNERAÇÃO ]])-2,0)*($G162-$H162)</f>
        <v>824.26089999999999</v>
      </c>
      <c r="R162" s="21">
        <f>VLOOKUP($A162,tabCustoUnit[],COLUMN(CUSTO_GLOBAL[[#Headers],[INSS]])-2,0)*($G162-$H162)</f>
        <v>164.85218</v>
      </c>
      <c r="S162" s="21">
        <f>VLOOKUP($A162,tabCustoUnit[],COLUMN(CUSTO_GLOBAL[[#Headers],[SESI OU SESC]])-2,0)*($G162-$H162)</f>
        <v>12.363913499999999</v>
      </c>
      <c r="T162" s="21">
        <f>VLOOKUP($A162,tabCustoUnit[],COLUMN(CUSTO_GLOBAL[[#Headers],[SENAI OU SENAC]])-2,0)*($G162-$H162)</f>
        <v>8.2426089999999999</v>
      </c>
      <c r="U162" s="21">
        <f>VLOOKUP($A162,tabCustoUnit[],COLUMN(CUSTO_GLOBAL[[#Headers],[INCRA]])-2,0)*($G162-$H162)</f>
        <v>1.6485217999999999</v>
      </c>
      <c r="V162" s="21">
        <f>VLOOKUP($A162,tabCustoUnit[],COLUMN(CUSTO_GLOBAL[[#Headers],[Salário Educação]])-2,0)*($G162-$H162)</f>
        <v>20.606522500000001</v>
      </c>
      <c r="W162" s="21">
        <f>VLOOKUP($A162,tabCustoUnit[],COLUMN(CUSTO_GLOBAL[[#Headers],[FGTS]])-2,0)*($G162-$H162)</f>
        <v>65.940871999999999</v>
      </c>
      <c r="X162" s="21">
        <f>VLOOKUP($A162,tabCustoUnit[],COLUMN(CUSTO_GLOBAL[[#Headers],[RAT Ajustado]])-2,0)*($G162-$H162)</f>
        <v>32.970435999999999</v>
      </c>
      <c r="Y162" s="21">
        <f>VLOOKUP($A162,tabCustoUnit[],COLUMN(CUSTO_GLOBAL[[#Headers],[SEBRAE]])-2,0)*($G162-$H162)</f>
        <v>4.9455654000000004</v>
      </c>
      <c r="Z162" s="21">
        <f>VLOOKUP($A162,tabCustoUnit[],COLUMN(CUSTO_GLOBAL[[#Headers],[Submódulo 2.1]])-2,0)*($G162-$H162)</f>
        <v>311.57062020000001</v>
      </c>
      <c r="AA162" s="21">
        <f>VLOOKUP($A162,tabCustoUnit[],COLUMN(CUSTO_GLOBAL[[#Headers],[13º salário (titular)]])-2,0)*($G162-$H162)</f>
        <v>68.688408333333328</v>
      </c>
      <c r="AB162" s="21">
        <f>VLOOKUP($A162,tabCustoUnit[],COLUMN(CUSTO_GLOBAL[[#Headers],[Férias e Adicional de Férias (titular)]])-2,0)*($G162-$H162)</f>
        <v>91.584544444444433</v>
      </c>
      <c r="AC162" s="21">
        <f>VLOOKUP($A162,tabCustoUnit[],COLUMN(CUSTO_GLOBAL[[#Headers],[Incidência do Submódulo 2.1 sobre 13º Salário, Férias e Adicional de Férias]])-2,0)*($G162-$H162)</f>
        <v>60.583176149999993</v>
      </c>
      <c r="AD162" s="21">
        <f>VLOOKUP($A162,tabCustoUnit[],COLUMN(CUSTO_GLOBAL[[#Headers],[Submódulo 2.2]])-2,0)*($G162-$H162)</f>
        <v>220.85612892777775</v>
      </c>
      <c r="AE162" s="22">
        <f>VLOOKUP($A162,tabCustoUnit[],COLUMN(CUSTO_GLOBAL[[#Headers],[Vale - Transporte (Descontada parcela do empregado)]])-2,0)*($G162-$H162)</f>
        <v>208.11160000000001</v>
      </c>
      <c r="AF162" s="22">
        <f>VLOOKUP($A162,tabCustoUnit[],COLUMN(CUSTO_GLOBAL[[#Headers],[Vale - Alimentação (Descontada parcela do empregado)]])-2,0)*($G162-$H162)</f>
        <v>0</v>
      </c>
      <c r="AG162" s="22">
        <f>VLOOKUP($A162,tabCustoUnit[],COLUMN(CUSTO_GLOBAL[[#Headers],[Cesta Básica]])-2,0)*($G162-$H162)</f>
        <v>387.79</v>
      </c>
      <c r="AH162" s="22">
        <f>VLOOKUP($A162,tabCustoUnit[],COLUMN(CUSTO_GLOBAL[[#Headers],[PAF]])-2,0)*($G162-$H162)</f>
        <v>42.97</v>
      </c>
      <c r="AI162" s="22">
        <f>VLOOKUP($A162,tabCustoUnit[],COLUMN(CUSTO_GLOBAL[[#Headers],[PQM]])-2,0)*($G162-$H162)</f>
        <v>0</v>
      </c>
      <c r="AJ162" s="22">
        <v>0</v>
      </c>
      <c r="AK162" s="22">
        <f>VLOOKUP($A162,tabCustoUnit[],COLUMN(CUSTO_GLOBAL[[#Headers],[Seguro de Vida]])-2,0)*($G162-$H162)</f>
        <v>3.36</v>
      </c>
      <c r="AL162" s="22">
        <f>VLOOKUP($A162,tabCustoUnit[],COLUMN(CUSTO_GLOBAL[[#Headers],[Despesas de Viagem]])-2,0)*($G162-$H162)</f>
        <v>0</v>
      </c>
      <c r="AM162" s="22">
        <f>VLOOKUP($A162,tabCustoUnit[],COLUMN(CUSTO_GLOBAL[[#Headers],[Submódulo 2.3]])-2,0)*($G162-$H162)</f>
        <v>642.23160000000007</v>
      </c>
      <c r="AN162" s="22">
        <f>VLOOKUP($A162,tabCustoUnit[],COLUMN(CUSTO_GLOBAL[[#Headers],[MÓDULO 2 - Total Encargos e Benefícios mensais e diários]])-2,0)*($G162-$H162)</f>
        <v>1174.6583491277779</v>
      </c>
      <c r="AO162" s="22">
        <f>VLOOKUP($A162,tabCustoUnit[],COLUMN(CUSTO_GLOBAL[[#Headers],[Aviso Prévio Indenizado (API) e Reflexo do Aviso Prévio Indenizado]])-2,0)*($G162-$H162)</f>
        <v>5.7795253576581791</v>
      </c>
      <c r="AP162" s="22">
        <f>VLOOKUP($A162,tabCustoUnit[],COLUMN(CUSTO_GLOBAL[[#Headers],[Incidência do FGTS sobre API e Reflexo do API]])-2,0)*($G162-$H162)</f>
        <v>0.46236202861265435</v>
      </c>
      <c r="AQ162" s="22">
        <f>VLOOKUP($A162,tabCustoUnit[],COLUMN(CUSTO_GLOBAL[[#Headers],[Multa Rescisória do FGTS sobre o Aviso Prévio Indenizado]])-2,0)*($G162-$H162)</f>
        <v>0.18494481144506175</v>
      </c>
      <c r="AR162" s="22">
        <f>VLOOKUP($A162,tabCustoUnit[],COLUMN(CUSTO_GLOBAL[[#Headers],[Aviso Prévio Trabalhado - APT]])-2,0)*($G162-$H162)</f>
        <v>2.8849131500000005</v>
      </c>
      <c r="AS162" s="22">
        <f>VLOOKUP($A162,tabCustoUnit[],COLUMN(CUSTO_GLOBAL[[#Headers],[Incidência dos encargos do submódulo 2.1 sobre Aviso Prévio Trabalhado]])-2,0)*($G162-$H162)</f>
        <v>1.0904971707000004</v>
      </c>
      <c r="AT162" s="22">
        <f>VLOOKUP($A162,tabCustoUnit[],COLUMN(CUSTO_GLOBAL[[#Headers],[Multa Rescisória do FGTS]])-2,0)*($G162-$H162)</f>
        <v>25.204066631111107</v>
      </c>
      <c r="AU162" s="22">
        <f>VLOOKUP($A162,tabCustoUnit[],COLUMN(CUSTO_GLOBAL[[#Headers],[Indenização Adicional (Art. 9º da Lei nº 7.238/84)]])-2,0)*($G162-$H162)</f>
        <v>0.6868840833333334</v>
      </c>
      <c r="AV162" s="22">
        <f>VLOOKUP($A162,tabCustoUnit[],COLUMN(CUSTO_GLOBAL[[#Headers],[MÓDULO 3 – PROVISÃO PARA RESCISÃO]])-2,0)*($G162-$H162)</f>
        <v>36.293193232860339</v>
      </c>
      <c r="AW162" s="22">
        <f>VLOOKUP($A162,tabCustoUnit[],COLUMN(CUSTO_GLOBAL[[#Headers],[Ausência por Doença]])-2,0)*($G162-$H162)</f>
        <v>6.9604253777777769</v>
      </c>
      <c r="AX162" s="22">
        <f>VLOOKUP($A162,tabCustoUnit[],COLUMN(CUSTO_GLOBAL[[#Headers],[Ausências Legais]])-2,0)*($G162-$H162)</f>
        <v>1.671417936111111</v>
      </c>
      <c r="AY162" s="22">
        <f>VLOOKUP($A162,tabCustoUnit[],COLUMN(CUSTO_GLOBAL[[#Headers],[Licença Paternidade]])-2,0)*($G162-$H162)</f>
        <v>0.14081123708333332</v>
      </c>
      <c r="AZ162" s="22">
        <f>VLOOKUP($A162,tabCustoUnit[],COLUMN(CUSTO_GLOBAL[[#Headers],[Ausência por Acidente de Trabalho]])-2,0)*($G162-$H162)</f>
        <v>0.17172102083333335</v>
      </c>
      <c r="BA162" s="22">
        <f>VLOOKUP($A162,tabCustoUnit[],COLUMN(CUSTO_GLOBAL[[#Headers],[Férias, Adicional de Férias e 13º  com empregada em gozo de Licença Maternidade]])-2,0)*($G162-$H162)</f>
        <v>1.0684863518518517</v>
      </c>
      <c r="BB162" s="22">
        <f>VLOOKUP($A162,tabCustoUnit[],COLUMN(CUSTO_GLOBAL[[#Headers],[Incidência do Submódulo 2.1 sobre Ausências Legais]])-2,0)*($G162-$H162)</f>
        <v>3.7848618071425006</v>
      </c>
      <c r="BC162" s="22">
        <f>VLOOKUP($A162,tabCustoUnit[],COLUMN(CUSTO_GLOBAL[[#Headers],[Submódulo 4.1]])-2,0)*($G162-$H162)</f>
        <v>13.797723730799909</v>
      </c>
      <c r="BD162" s="22">
        <f>VLOOKUP($A162,tabCustoUnit[],COLUMN(CUSTO_GLOBAL[[#Headers],[Intervalo para Repouso ou Alimentação]])-2,0)*($G162-$H162)</f>
        <v>0</v>
      </c>
      <c r="BE162" s="22">
        <f>VLOOKUP($A162,tabCustoUnit[],COLUMN(CUSTO_GLOBAL[[#Headers],[Submódulo 4.2]])-2,0)*($G162-$H162)</f>
        <v>0</v>
      </c>
      <c r="BF162" s="22">
        <f>VLOOKUP($A162,tabCustoUnit[],COLUMN(CUSTO_GLOBAL[[#Headers],[Suspensão Temporária do Contrato de Trabalho]])-2,0)*($G162-$H162)</f>
        <v>0</v>
      </c>
      <c r="BG162" s="22">
        <f>VLOOKUP($A162,tabCustoUnit[],COLUMN(CUSTO_GLOBAL[[#Headers],[Submódulo 4.3]])-2,0)*($G162-$H162)</f>
        <v>0</v>
      </c>
      <c r="BH162" s="22">
        <f>VLOOKUP($A162,tabCustoUnit[],COLUMN(CUSTO_GLOBAL[[#Headers],[MÓDULO 4 – CUSTO DE REPOSIÇÃO DO PROFISSIONAL AUSENTE]])-2,0)*($G162-$H162)</f>
        <v>13.797723730799909</v>
      </c>
      <c r="BI162" s="22">
        <f>VLOOKUP($A162,tabCustoUnit[],COLUMN(CUSTO_GLOBAL[[#Headers],[Uniformes e EPIs]])-2,0)*($G162-$H162)</f>
        <v>62.806666666666665</v>
      </c>
      <c r="BJ162" s="22">
        <f>VLOOKUP($A162,tabCustoUnit[],COLUMN(CUSTO_GLOBAL[[#Headers],[Materiais de Consumo]])-2,0)*($G162-$H162)</f>
        <v>17.759106479291944</v>
      </c>
      <c r="BK162" s="22">
        <f>VLOOKUP($A162,tabCustoUnit[],COLUMN(CUSTO_GLOBAL[[#Headers],[Máquinas e Equipamentos (depreciação)]])-2,0)*($G162-$H162)</f>
        <v>32.264696957412788</v>
      </c>
      <c r="BL162" s="22">
        <f>VLOOKUP($A162,tabCustoUnit[],COLUMN(CUSTO_GLOBAL[[#Headers],[Produtos de Limpeza e Materiais de Higiene Pessoal]])-2,0)*($G162-$H162)</f>
        <v>345.13576638965827</v>
      </c>
      <c r="BM162" s="22">
        <f>VLOOKUP($A162,tabCustoUnit[],COLUMN(CUSTO_GLOBAL[[#Headers],[Outros (especificar)]])-2,0)*($G162-$H162)</f>
        <v>0</v>
      </c>
      <c r="BN162" s="22">
        <f>VLOOKUP($A162,tabCustoUnit[],COLUMN(CUSTO_GLOBAL[[#Headers],[MÓDULO 5 – INSUMOS DIVERSOS]])-2,0)*($G162-$H162)</f>
        <v>457.96623649302967</v>
      </c>
      <c r="BO162" s="22">
        <f>VLOOKUP($A162,tabCustoUnit[],COLUMN(CUSTO_GLOBAL[[#Headers],[TOTAL MÓDULOS 1+2+3+4+5]])-2,0)*($G162-$H162)</f>
        <v>2506.9764025844679</v>
      </c>
      <c r="BP162" s="22">
        <f>VLOOKUP($A162,tabCustoUnit[],COLUMN(CUSTO_GLOBAL[[#Headers],[Custos Indiretos]])-2,0)*($G162-$H162)</f>
        <v>189.64880140242613</v>
      </c>
      <c r="BQ162" s="22">
        <f>VLOOKUP($A162,tabCustoUnit[],COLUMN(CUSTO_GLOBAL[[#Headers],[Lucro]])-2,0)*($G162-$H162)</f>
        <v>159.30499317803796</v>
      </c>
      <c r="BR162" s="26">
        <f>VLOOKUP($A162,tabCustoUnit[],COLUMN(CUSTO_GLOBAL[[#Headers],[COFINS]])-2,0)</f>
        <v>8.6609686609686695E-2</v>
      </c>
      <c r="BS162" s="26">
        <f>VLOOKUP($A162,tabCustoUnit[],COLUMN(CUSTO_GLOBAL[[#Headers],[PIS]])-2,0)</f>
        <v>1.880341880341882E-2</v>
      </c>
      <c r="BT162" s="28">
        <f>VLOOKUP($A162,tabCustoUnit[],COLUMN(CUSTO_GLOBAL[[#Headers],[ISS]])-2,0)</f>
        <v>0.03</v>
      </c>
      <c r="BU162" s="26">
        <f>VLOOKUP($A162,tabCustoUnit[],COLUMN(CUSTO_GLOBAL[[#Headers],[ISS (Conversão Alíquota s/ fatura)]])-2,0)</f>
        <v>3.4188034188034219E-2</v>
      </c>
      <c r="BV162" s="26">
        <f>VLOOKUP($A162,tabCustoUnit[],COLUMN(CUSTO_GLOBAL[[#Headers],[Resumo de Alíquotas (PIS+CONFINS+ISS)]])-2,0)</f>
        <v>0.1225</v>
      </c>
      <c r="BW162" s="138">
        <f>VLOOKUP($A162,tabCustoUnit[],COLUMN(CUSTO_GLOBAL[[#Headers],[PIS + COFINS + ISS (Total Conversão  Alíquota s/ Fatura)]])-2,0)</f>
        <v>0.13960113960113973</v>
      </c>
      <c r="BX162" s="22">
        <f>VLOOKUP($A162,tabCustoUnit[],COLUMN(CUSTO_GLOBAL[[#Headers],[Valor dos Tributos (ISS, PIS, CONFINS)]])-2,0)*($G162-$H162)</f>
        <v>398.69111014553221</v>
      </c>
      <c r="BY162" s="22">
        <f>VLOOKUP($A162,tabCustoUnit[],COLUMN(CUSTO_GLOBAL[[#Headers],[MÓDULO 6 – CUSTOS INDIRETOS, TRIBUTOS E LUCRO]])-2,0)*($G162-$H162)</f>
        <v>747.6449047259963</v>
      </c>
      <c r="BZ162" s="22">
        <f>VLOOKUP($A162,tabCustoUnit[],COLUMN(CUSTO_GLOBAL[[#Headers],[CUSTO TOTAL MENSAL]])-2,0)*($G162-$H162)</f>
        <v>3254.6213073104641</v>
      </c>
      <c r="CA162" s="22">
        <f>CUSTO_GLOBAL[[#This Row],[CUSTO TOTAL MENSAL]]*12</f>
        <v>39055.455687725567</v>
      </c>
      <c r="CB162" s="24">
        <f>VLOOKUP($A162,tabCustoUnit[],COLUMN(CUSTO_GLOBAL[[#Headers],[ANO DA CCT]])-2,0)</f>
        <v>45658</v>
      </c>
      <c r="CC162" s="25" t="str">
        <f>VLOOKUP($A162,tabCustoUnit[],COLUMN(CUSTO_GLOBAL[[#Headers],[Nº DE PEDIDO DA CCT]])-2,0)</f>
        <v>-</v>
      </c>
      <c r="CD162" s="25" t="str">
        <f>VLOOKUP($A162,tabCustoUnit[],COLUMN(CUSTO_GLOBAL[[#Headers],[TERMO ADITIVO  ALTERAÇÃO DA CCT]])-2,0)</f>
        <v>-</v>
      </c>
      <c r="CF162" s="22"/>
      <c r="CG162" s="22"/>
    </row>
    <row r="163" spans="1:85" x14ac:dyDescent="0.25">
      <c r="A163" s="20" t="s">
        <v>1499</v>
      </c>
      <c r="B163" t="s">
        <v>148</v>
      </c>
      <c r="C163" t="s">
        <v>1244</v>
      </c>
      <c r="D163" t="s">
        <v>148</v>
      </c>
      <c r="E163" s="20" t="s">
        <v>9</v>
      </c>
      <c r="F163" s="20" t="s">
        <v>10</v>
      </c>
      <c r="G163" s="20">
        <v>1</v>
      </c>
      <c r="H163" s="20">
        <v>0</v>
      </c>
      <c r="I163" s="21">
        <f>VLOOKUP($A163,tabCustoUnit[],COLUMN(CUSTO_GLOBAL[[#Headers],[Salário Base]])-2,0)*($G163-$H163)</f>
        <v>824.56</v>
      </c>
      <c r="J163" s="21">
        <f>VLOOKUP($A163,tabCustoUnit[],COLUMN(CUSTO_GLOBAL[[#Headers],[Adicional Periculosidade]])-2,0)*($G163-$H163)</f>
        <v>0</v>
      </c>
      <c r="K163" s="21">
        <f>VLOOKUP($A163,tabCustoUnit[],COLUMN(CUSTO_GLOBAL[[#Headers],[Adicional Insalubridade]])-2,0)*($G163-$H163)</f>
        <v>0</v>
      </c>
      <c r="L163" s="21">
        <f>VLOOKUP($A163,tabCustoUnit[],COLUMN(CUSTO_GLOBAL[[#Headers],[Adicional Noturno]])-2,0)*($G163-$H163)</f>
        <v>0</v>
      </c>
      <c r="M163" s="21">
        <f>VLOOKUP($A163,tabCustoUnit[],COLUMN(CUSTO_GLOBAL[[#Headers],[Adicional Motorista II (Gratificação)]])-2,0)*($G163-$H163)</f>
        <v>0</v>
      </c>
      <c r="N163" s="21">
        <f>VLOOKUP($A163,tabCustoUnit[],COLUMN(CUSTO_GLOBAL[[#Headers],[Adicional de Sobreaviso]])-2,0)*($G163-$H163)</f>
        <v>0</v>
      </c>
      <c r="O163" s="21">
        <f>VLOOKUP($A163,tabCustoUnit[],COLUMN(CUSTO_GLOBAL[[#Headers],[Horas Extras TI]])-2,0)*($G163-$H163)</f>
        <v>0</v>
      </c>
      <c r="P163" s="21">
        <f>VLOOKUP($A163,tabCustoUnit[],COLUMN(CUSTO_GLOBAL[[#Headers],[Adicional de Acúmulo de função]])-2,0)*($G163-$H163)</f>
        <v>26.985600000000002</v>
      </c>
      <c r="Q163" s="21">
        <f>VLOOKUP($A163,tabCustoUnit[],COLUMN(CUSTO_GLOBAL[[#Headers],[MODULO 1 - REMUNERAÇÃO ]])-2,0)*($G163-$H163)</f>
        <v>851.54559999999992</v>
      </c>
      <c r="R163" s="21">
        <f>VLOOKUP($A163,tabCustoUnit[],COLUMN(CUSTO_GLOBAL[[#Headers],[INSS]])-2,0)*($G163-$H163)</f>
        <v>170.30912000000001</v>
      </c>
      <c r="S163" s="21">
        <f>VLOOKUP($A163,tabCustoUnit[],COLUMN(CUSTO_GLOBAL[[#Headers],[SESI OU SESC]])-2,0)*($G163-$H163)</f>
        <v>12.773183999999999</v>
      </c>
      <c r="T163" s="21">
        <f>VLOOKUP($A163,tabCustoUnit[],COLUMN(CUSTO_GLOBAL[[#Headers],[SENAI OU SENAC]])-2,0)*($G163-$H163)</f>
        <v>8.5154559999999986</v>
      </c>
      <c r="U163" s="21">
        <f>VLOOKUP($A163,tabCustoUnit[],COLUMN(CUSTO_GLOBAL[[#Headers],[INCRA]])-2,0)*($G163-$H163)</f>
        <v>1.7030911999999998</v>
      </c>
      <c r="V163" s="21">
        <f>VLOOKUP($A163,tabCustoUnit[],COLUMN(CUSTO_GLOBAL[[#Headers],[Salário Educação]])-2,0)*($G163-$H163)</f>
        <v>21.288640000000001</v>
      </c>
      <c r="W163" s="21">
        <f>VLOOKUP($A163,tabCustoUnit[],COLUMN(CUSTO_GLOBAL[[#Headers],[FGTS]])-2,0)*($G163-$H163)</f>
        <v>68.123647999999989</v>
      </c>
      <c r="X163" s="21">
        <f>VLOOKUP($A163,tabCustoUnit[],COLUMN(CUSTO_GLOBAL[[#Headers],[RAT Ajustado]])-2,0)*($G163-$H163)</f>
        <v>34.061823999999994</v>
      </c>
      <c r="Y163" s="21">
        <f>VLOOKUP($A163,tabCustoUnit[],COLUMN(CUSTO_GLOBAL[[#Headers],[SEBRAE]])-2,0)*($G163-$H163)</f>
        <v>5.1092735999999999</v>
      </c>
      <c r="Z163" s="21">
        <f>VLOOKUP($A163,tabCustoUnit[],COLUMN(CUSTO_GLOBAL[[#Headers],[Submódulo 2.1]])-2,0)*($G163-$H163)</f>
        <v>321.8842368</v>
      </c>
      <c r="AA163" s="21">
        <f>VLOOKUP($A163,tabCustoUnit[],COLUMN(CUSTO_GLOBAL[[#Headers],[13º salário (titular)]])-2,0)*($G163-$H163)</f>
        <v>70.962133333333327</v>
      </c>
      <c r="AB163" s="21">
        <f>VLOOKUP($A163,tabCustoUnit[],COLUMN(CUSTO_GLOBAL[[#Headers],[Férias e Adicional de Férias (titular)]])-2,0)*($G163-$H163)</f>
        <v>94.616177777777764</v>
      </c>
      <c r="AC163" s="21">
        <f>VLOOKUP($A163,tabCustoUnit[],COLUMN(CUSTO_GLOBAL[[#Headers],[Incidência do Submódulo 2.1 sobre 13º Salário, Férias e Adicional de Férias]])-2,0)*($G163-$H163)</f>
        <v>62.588601599999997</v>
      </c>
      <c r="AD163" s="21">
        <f>VLOOKUP($A163,tabCustoUnit[],COLUMN(CUSTO_GLOBAL[[#Headers],[Submódulo 2.2]])-2,0)*($G163-$H163)</f>
        <v>228.16691271111108</v>
      </c>
      <c r="AE163" s="22">
        <f>VLOOKUP($A163,tabCustoUnit[],COLUMN(CUSTO_GLOBAL[[#Headers],[Vale - Transporte (Descontada parcela do empregado)]])-2,0)*($G163-$H163)</f>
        <v>206.5264</v>
      </c>
      <c r="AF163" s="22">
        <f>VLOOKUP($A163,tabCustoUnit[],COLUMN(CUSTO_GLOBAL[[#Headers],[Vale - Alimentação (Descontada parcela do empregado)]])-2,0)*($G163-$H163)</f>
        <v>582</v>
      </c>
      <c r="AG163" s="22">
        <f>VLOOKUP($A163,tabCustoUnit[],COLUMN(CUSTO_GLOBAL[[#Headers],[Cesta Básica]])-2,0)*($G163-$H163)</f>
        <v>0</v>
      </c>
      <c r="AH163" s="22">
        <f>VLOOKUP($A163,tabCustoUnit[],COLUMN(CUSTO_GLOBAL[[#Headers],[PAF]])-2,0)*($G163-$H163)</f>
        <v>51.86</v>
      </c>
      <c r="AI163" s="22">
        <f>VLOOKUP($A163,tabCustoUnit[],COLUMN(CUSTO_GLOBAL[[#Headers],[PQM]])-2,0)*($G163-$H163)</f>
        <v>0</v>
      </c>
      <c r="AJ163" s="22">
        <v>0</v>
      </c>
      <c r="AK163" s="22">
        <f>VLOOKUP($A163,tabCustoUnit[],COLUMN(CUSTO_GLOBAL[[#Headers],[Seguro de Vida]])-2,0)*($G163-$H163)</f>
        <v>3.36</v>
      </c>
      <c r="AL163" s="22">
        <f>VLOOKUP($A163,tabCustoUnit[],COLUMN(CUSTO_GLOBAL[[#Headers],[Despesas de Viagem]])-2,0)*($G163-$H163)</f>
        <v>0</v>
      </c>
      <c r="AM163" s="22">
        <f>VLOOKUP($A163,tabCustoUnit[],COLUMN(CUSTO_GLOBAL[[#Headers],[Submódulo 2.3]])-2,0)*($G163-$H163)</f>
        <v>843.74639999999999</v>
      </c>
      <c r="AN163" s="22">
        <f>VLOOKUP($A163,tabCustoUnit[],COLUMN(CUSTO_GLOBAL[[#Headers],[MÓDULO 2 - Total Encargos e Benefícios mensais e diários]])-2,0)*($G163-$H163)</f>
        <v>1393.7975495111111</v>
      </c>
      <c r="AO163" s="22">
        <f>VLOOKUP($A163,tabCustoUnit[],COLUMN(CUSTO_GLOBAL[[#Headers],[Aviso Prévio Indenizado (API) e Reflexo do Aviso Prévio Indenizado]])-2,0)*($G163-$H163)</f>
        <v>5.970839316049382</v>
      </c>
      <c r="AP163" s="22">
        <f>VLOOKUP($A163,tabCustoUnit[],COLUMN(CUSTO_GLOBAL[[#Headers],[Incidência do FGTS sobre API e Reflexo do API]])-2,0)*($G163-$H163)</f>
        <v>0.4776671452839506</v>
      </c>
      <c r="AQ163" s="22">
        <f>VLOOKUP($A163,tabCustoUnit[],COLUMN(CUSTO_GLOBAL[[#Headers],[Multa Rescisória do FGTS sobre o Aviso Prévio Indenizado]])-2,0)*($G163-$H163)</f>
        <v>0.19106685811358026</v>
      </c>
      <c r="AR163" s="22">
        <f>VLOOKUP($A163,tabCustoUnit[],COLUMN(CUSTO_GLOBAL[[#Headers],[Aviso Prévio Trabalhado - APT]])-2,0)*($G163-$H163)</f>
        <v>2.9804096000000002</v>
      </c>
      <c r="AS163" s="22">
        <f>VLOOKUP($A163,tabCustoUnit[],COLUMN(CUSTO_GLOBAL[[#Headers],[Incidência dos encargos do submódulo 2.1 sobre Aviso Prévio Trabalhado]])-2,0)*($G163-$H163)</f>
        <v>1.1265948288000003</v>
      </c>
      <c r="AT163" s="22">
        <f>VLOOKUP($A163,tabCustoUnit[],COLUMN(CUSTO_GLOBAL[[#Headers],[Multa Rescisória do FGTS]])-2,0)*($G163-$H163)</f>
        <v>26.038372124444439</v>
      </c>
      <c r="AU163" s="22">
        <f>VLOOKUP($A163,tabCustoUnit[],COLUMN(CUSTO_GLOBAL[[#Headers],[Indenização Adicional (Art. 9º da Lei nº 7.238/84)]])-2,0)*($G163-$H163)</f>
        <v>0.70962133333333333</v>
      </c>
      <c r="AV163" s="22">
        <f>VLOOKUP($A163,tabCustoUnit[],COLUMN(CUSTO_GLOBAL[[#Headers],[MÓDULO 3 – PROVISÃO PARA RESCISÃO]])-2,0)*($G163-$H163)</f>
        <v>37.494571206024688</v>
      </c>
      <c r="AW163" s="22">
        <f>VLOOKUP($A163,tabCustoUnit[],COLUMN(CUSTO_GLOBAL[[#Headers],[Ausência por Doença]])-2,0)*($G163-$H163)</f>
        <v>7.1908295111111098</v>
      </c>
      <c r="AX163" s="22">
        <f>VLOOKUP($A163,tabCustoUnit[],COLUMN(CUSTO_GLOBAL[[#Headers],[Ausências Legais]])-2,0)*($G163-$H163)</f>
        <v>1.7267452444444442</v>
      </c>
      <c r="AY163" s="22">
        <f>VLOOKUP($A163,tabCustoUnit[],COLUMN(CUSTO_GLOBAL[[#Headers],[Licença Paternidade]])-2,0)*($G163-$H163)</f>
        <v>0.14547237333333332</v>
      </c>
      <c r="AZ163" s="22">
        <f>VLOOKUP($A163,tabCustoUnit[],COLUMN(CUSTO_GLOBAL[[#Headers],[Ausência por Acidente de Trabalho]])-2,0)*($G163-$H163)</f>
        <v>0.17740533333333333</v>
      </c>
      <c r="BA163" s="22">
        <f>VLOOKUP($A163,tabCustoUnit[],COLUMN(CUSTO_GLOBAL[[#Headers],[Férias, Adicional de Férias e 13º  com empregada em gozo de Licença Maternidade]])-2,0)*($G163-$H163)</f>
        <v>1.1038554074074072</v>
      </c>
      <c r="BB163" s="22">
        <f>VLOOKUP($A163,tabCustoUnit[],COLUMN(CUSTO_GLOBAL[[#Headers],[Incidência do Submódulo 2.1 sobre Ausências Legais]])-2,0)*($G163-$H163)</f>
        <v>3.9101483747200003</v>
      </c>
      <c r="BC163" s="22">
        <f>VLOOKUP($A163,tabCustoUnit[],COLUMN(CUSTO_GLOBAL[[#Headers],[Submódulo 4.1]])-2,0)*($G163-$H163)</f>
        <v>14.254456244349628</v>
      </c>
      <c r="BD163" s="22">
        <f>VLOOKUP($A163,tabCustoUnit[],COLUMN(CUSTO_GLOBAL[[#Headers],[Intervalo para Repouso ou Alimentação]])-2,0)*($G163-$H163)</f>
        <v>0</v>
      </c>
      <c r="BE163" s="22">
        <f>VLOOKUP($A163,tabCustoUnit[],COLUMN(CUSTO_GLOBAL[[#Headers],[Submódulo 4.2]])-2,0)*($G163-$H163)</f>
        <v>0</v>
      </c>
      <c r="BF163" s="22">
        <f>VLOOKUP($A163,tabCustoUnit[],COLUMN(CUSTO_GLOBAL[[#Headers],[Suspensão Temporária do Contrato de Trabalho]])-2,0)*($G163-$H163)</f>
        <v>0</v>
      </c>
      <c r="BG163" s="22">
        <f>VLOOKUP($A163,tabCustoUnit[],COLUMN(CUSTO_GLOBAL[[#Headers],[Submódulo 4.3]])-2,0)*($G163-$H163)</f>
        <v>0</v>
      </c>
      <c r="BH163" s="22">
        <f>VLOOKUP($A163,tabCustoUnit[],COLUMN(CUSTO_GLOBAL[[#Headers],[MÓDULO 4 – CUSTO DE REPOSIÇÃO DO PROFISSIONAL AUSENTE]])-2,0)*($G163-$H163)</f>
        <v>14.254456244349628</v>
      </c>
      <c r="BI163" s="22">
        <f>VLOOKUP($A163,tabCustoUnit[],COLUMN(CUSTO_GLOBAL[[#Headers],[Uniformes e EPIs]])-2,0)*($G163-$H163)</f>
        <v>62.806666666666665</v>
      </c>
      <c r="BJ163" s="22">
        <f>VLOOKUP($A163,tabCustoUnit[],COLUMN(CUSTO_GLOBAL[[#Headers],[Materiais de Consumo]])-2,0)*($G163-$H163)</f>
        <v>17.759106479291944</v>
      </c>
      <c r="BK163" s="22">
        <f>VLOOKUP($A163,tabCustoUnit[],COLUMN(CUSTO_GLOBAL[[#Headers],[Máquinas e Equipamentos (depreciação)]])-2,0)*($G163-$H163)</f>
        <v>32.264696957412788</v>
      </c>
      <c r="BL163" s="22">
        <f>VLOOKUP($A163,tabCustoUnit[],COLUMN(CUSTO_GLOBAL[[#Headers],[Produtos de Limpeza e Materiais de Higiene Pessoal]])-2,0)*($G163-$H163)</f>
        <v>345.13576638965827</v>
      </c>
      <c r="BM163" s="22">
        <f>VLOOKUP($A163,tabCustoUnit[],COLUMN(CUSTO_GLOBAL[[#Headers],[Outros (especificar)]])-2,0)*($G163-$H163)</f>
        <v>0</v>
      </c>
      <c r="BN163" s="22">
        <f>VLOOKUP($A163,tabCustoUnit[],COLUMN(CUSTO_GLOBAL[[#Headers],[MÓDULO 5 – INSUMOS DIVERSOS]])-2,0)*($G163-$H163)</f>
        <v>457.96623649302967</v>
      </c>
      <c r="BO163" s="22">
        <f>VLOOKUP($A163,tabCustoUnit[],COLUMN(CUSTO_GLOBAL[[#Headers],[TOTAL MÓDULOS 1+2+3+4+5]])-2,0)*($G163-$H163)</f>
        <v>2755.0584134545147</v>
      </c>
      <c r="BP163" s="22">
        <f>VLOOKUP($A163,tabCustoUnit[],COLUMN(CUSTO_GLOBAL[[#Headers],[Custos Indiretos]])-2,0)*($G163-$H163)</f>
        <v>189.64880140242613</v>
      </c>
      <c r="BQ163" s="22">
        <f>VLOOKUP($A163,tabCustoUnit[],COLUMN(CUSTO_GLOBAL[[#Headers],[Lucro]])-2,0)*($G163-$H163)</f>
        <v>159.30499317803796</v>
      </c>
      <c r="BR163" s="26">
        <f>VLOOKUP($A163,tabCustoUnit[],COLUMN(CUSTO_GLOBAL[[#Headers],[COFINS]])-2,0)</f>
        <v>8.6609686609686695E-2</v>
      </c>
      <c r="BS163" s="26">
        <f>VLOOKUP($A163,tabCustoUnit[],COLUMN(CUSTO_GLOBAL[[#Headers],[PIS]])-2,0)</f>
        <v>1.880341880341882E-2</v>
      </c>
      <c r="BT163" s="28">
        <f>VLOOKUP($A163,tabCustoUnit[],COLUMN(CUSTO_GLOBAL[[#Headers],[ISS]])-2,0)</f>
        <v>0.03</v>
      </c>
      <c r="BU163" s="26">
        <f>VLOOKUP($A163,tabCustoUnit[],COLUMN(CUSTO_GLOBAL[[#Headers],[ISS (Conversão Alíquota s/ fatura)]])-2,0)</f>
        <v>3.4188034188034219E-2</v>
      </c>
      <c r="BV163" s="26">
        <f>VLOOKUP($A163,tabCustoUnit[],COLUMN(CUSTO_GLOBAL[[#Headers],[Resumo de Alíquotas (PIS+CONFINS+ISS)]])-2,0)</f>
        <v>0.1225</v>
      </c>
      <c r="BW163" s="138">
        <f>VLOOKUP($A163,tabCustoUnit[],COLUMN(CUSTO_GLOBAL[[#Headers],[PIS + COFINS + ISS (Total Conversão  Alíquota s/ Fatura)]])-2,0)</f>
        <v>0.13960113960113973</v>
      </c>
      <c r="BX163" s="22">
        <f>VLOOKUP($A163,tabCustoUnit[],COLUMN(CUSTO_GLOBAL[[#Headers],[Valor dos Tributos (ISS, PIS, CONFINS)]])-2,0)*($G163-$H163)</f>
        <v>433.32364157753307</v>
      </c>
      <c r="BY163" s="22">
        <f>VLOOKUP($A163,tabCustoUnit[],COLUMN(CUSTO_GLOBAL[[#Headers],[MÓDULO 6 – CUSTOS INDIRETOS, TRIBUTOS E LUCRO]])-2,0)*($G163-$H163)</f>
        <v>782.27743615799716</v>
      </c>
      <c r="BZ163" s="22">
        <f>VLOOKUP($A163,tabCustoUnit[],COLUMN(CUSTO_GLOBAL[[#Headers],[CUSTO TOTAL MENSAL]])-2,0)*($G163-$H163)</f>
        <v>3537.335849612512</v>
      </c>
      <c r="CA163" s="22">
        <f>CUSTO_GLOBAL[[#This Row],[CUSTO TOTAL MENSAL]]*12</f>
        <v>42448.030195350148</v>
      </c>
      <c r="CB163" s="24">
        <f>VLOOKUP($A163,tabCustoUnit[],COLUMN(CUSTO_GLOBAL[[#Headers],[ANO DA CCT]])-2,0)</f>
        <v>45658</v>
      </c>
      <c r="CC163" s="25" t="str">
        <f>VLOOKUP($A163,tabCustoUnit[],COLUMN(CUSTO_GLOBAL[[#Headers],[Nº DE PEDIDO DA CCT]])-2,0)</f>
        <v>-</v>
      </c>
      <c r="CD163" s="25" t="str">
        <f>VLOOKUP($A163,tabCustoUnit[],COLUMN(CUSTO_GLOBAL[[#Headers],[TERMO ADITIVO  ALTERAÇÃO DA CCT]])-2,0)</f>
        <v>-</v>
      </c>
      <c r="CF163" s="22"/>
      <c r="CG163" s="22"/>
    </row>
    <row r="164" spans="1:85" x14ac:dyDescent="0.25">
      <c r="A164" s="20" t="s">
        <v>1500</v>
      </c>
      <c r="B164" t="s">
        <v>148</v>
      </c>
      <c r="C164" t="s">
        <v>1245</v>
      </c>
      <c r="D164" t="s">
        <v>148</v>
      </c>
      <c r="E164" s="20" t="s">
        <v>9</v>
      </c>
      <c r="F164" s="20" t="s">
        <v>10</v>
      </c>
      <c r="G164" s="20">
        <v>7</v>
      </c>
      <c r="H164" s="20">
        <v>0</v>
      </c>
      <c r="I164" s="21">
        <f>VLOOKUP($A164,tabCustoUnit[],COLUMN(CUSTO_GLOBAL[[#Headers],[Salário Base]])-2,0)*($G164-$H164)</f>
        <v>11543.84</v>
      </c>
      <c r="J164" s="21">
        <f>VLOOKUP($A164,tabCustoUnit[],COLUMN(CUSTO_GLOBAL[[#Headers],[Adicional Periculosidade]])-2,0)*($G164-$H164)</f>
        <v>0</v>
      </c>
      <c r="K164" s="21">
        <f>VLOOKUP($A164,tabCustoUnit[],COLUMN(CUSTO_GLOBAL[[#Headers],[Adicional Insalubridade]])-2,0)*($G164-$H164)</f>
        <v>0</v>
      </c>
      <c r="L164" s="21">
        <f>VLOOKUP($A164,tabCustoUnit[],COLUMN(CUSTO_GLOBAL[[#Headers],[Adicional Noturno]])-2,0)*($G164-$H164)</f>
        <v>0</v>
      </c>
      <c r="M164" s="21">
        <f>VLOOKUP($A164,tabCustoUnit[],COLUMN(CUSTO_GLOBAL[[#Headers],[Adicional Motorista II (Gratificação)]])-2,0)*($G164-$H164)</f>
        <v>0</v>
      </c>
      <c r="N164" s="21">
        <f>VLOOKUP($A164,tabCustoUnit[],COLUMN(CUSTO_GLOBAL[[#Headers],[Adicional de Sobreaviso]])-2,0)*($G164-$H164)</f>
        <v>0</v>
      </c>
      <c r="O164" s="21">
        <f>VLOOKUP($A164,tabCustoUnit[],COLUMN(CUSTO_GLOBAL[[#Headers],[Horas Extras TI]])-2,0)*($G164-$H164)</f>
        <v>0</v>
      </c>
      <c r="P164" s="21">
        <f>VLOOKUP($A164,tabCustoUnit[],COLUMN(CUSTO_GLOBAL[[#Headers],[Adicional de Acúmulo de função]])-2,0)*($G164-$H164)</f>
        <v>377.79840000000002</v>
      </c>
      <c r="Q164" s="21">
        <f>VLOOKUP($A164,tabCustoUnit[],COLUMN(CUSTO_GLOBAL[[#Headers],[MODULO 1 - REMUNERAÇÃO ]])-2,0)*($G164-$H164)</f>
        <v>11921.6384</v>
      </c>
      <c r="R164" s="21">
        <f>VLOOKUP($A164,tabCustoUnit[],COLUMN(CUSTO_GLOBAL[[#Headers],[INSS]])-2,0)*($G164-$H164)</f>
        <v>2384.3276800000003</v>
      </c>
      <c r="S164" s="21">
        <f>VLOOKUP($A164,tabCustoUnit[],COLUMN(CUSTO_GLOBAL[[#Headers],[SESI OU SESC]])-2,0)*($G164-$H164)</f>
        <v>178.82457599999998</v>
      </c>
      <c r="T164" s="21">
        <f>VLOOKUP($A164,tabCustoUnit[],COLUMN(CUSTO_GLOBAL[[#Headers],[SENAI OU SENAC]])-2,0)*($G164-$H164)</f>
        <v>119.21638399999998</v>
      </c>
      <c r="U164" s="21">
        <f>VLOOKUP($A164,tabCustoUnit[],COLUMN(CUSTO_GLOBAL[[#Headers],[INCRA]])-2,0)*($G164-$H164)</f>
        <v>23.843276799999998</v>
      </c>
      <c r="V164" s="21">
        <f>VLOOKUP($A164,tabCustoUnit[],COLUMN(CUSTO_GLOBAL[[#Headers],[Salário Educação]])-2,0)*($G164-$H164)</f>
        <v>298.04096000000004</v>
      </c>
      <c r="W164" s="21">
        <f>VLOOKUP($A164,tabCustoUnit[],COLUMN(CUSTO_GLOBAL[[#Headers],[FGTS]])-2,0)*($G164-$H164)</f>
        <v>953.73107199999981</v>
      </c>
      <c r="X164" s="21">
        <f>VLOOKUP($A164,tabCustoUnit[],COLUMN(CUSTO_GLOBAL[[#Headers],[RAT Ajustado]])-2,0)*($G164-$H164)</f>
        <v>476.86553599999991</v>
      </c>
      <c r="Y164" s="21">
        <f>VLOOKUP($A164,tabCustoUnit[],COLUMN(CUSTO_GLOBAL[[#Headers],[SEBRAE]])-2,0)*($G164-$H164)</f>
        <v>71.529830399999994</v>
      </c>
      <c r="Z164" s="21">
        <f>VLOOKUP($A164,tabCustoUnit[],COLUMN(CUSTO_GLOBAL[[#Headers],[Submódulo 2.1]])-2,0)*($G164-$H164)</f>
        <v>4506.3793151999998</v>
      </c>
      <c r="AA164" s="21">
        <f>VLOOKUP($A164,tabCustoUnit[],COLUMN(CUSTO_GLOBAL[[#Headers],[13º salário (titular)]])-2,0)*($G164-$H164)</f>
        <v>993.46986666666658</v>
      </c>
      <c r="AB164" s="21">
        <f>VLOOKUP($A164,tabCustoUnit[],COLUMN(CUSTO_GLOBAL[[#Headers],[Férias e Adicional de Férias (titular)]])-2,0)*($G164-$H164)</f>
        <v>1324.6264888888886</v>
      </c>
      <c r="AC164" s="21">
        <f>VLOOKUP($A164,tabCustoUnit[],COLUMN(CUSTO_GLOBAL[[#Headers],[Incidência do Submódulo 2.1 sobre 13º Salário, Férias e Adicional de Férias]])-2,0)*($G164-$H164)</f>
        <v>876.24042239999994</v>
      </c>
      <c r="AD164" s="21">
        <f>VLOOKUP($A164,tabCustoUnit[],COLUMN(CUSTO_GLOBAL[[#Headers],[Submódulo 2.2]])-2,0)*($G164-$H164)</f>
        <v>3194.3367779555551</v>
      </c>
      <c r="AE164" s="22">
        <f>VLOOKUP($A164,tabCustoUnit[],COLUMN(CUSTO_GLOBAL[[#Headers],[Vale - Transporte (Descontada parcela do empregado)]])-2,0)*($G164-$H164)</f>
        <v>1099.3696</v>
      </c>
      <c r="AF164" s="22">
        <f>VLOOKUP($A164,tabCustoUnit[],COLUMN(CUSTO_GLOBAL[[#Headers],[Vale - Alimentação (Descontada parcela do empregado)]])-2,0)*($G164-$H164)</f>
        <v>4074</v>
      </c>
      <c r="AG164" s="22">
        <f>VLOOKUP($A164,tabCustoUnit[],COLUMN(CUSTO_GLOBAL[[#Headers],[Cesta Básica]])-2,0)*($G164-$H164)</f>
        <v>0</v>
      </c>
      <c r="AH164" s="22">
        <f>VLOOKUP($A164,tabCustoUnit[],COLUMN(CUSTO_GLOBAL[[#Headers],[PAF]])-2,0)*($G164-$H164)</f>
        <v>363.02</v>
      </c>
      <c r="AI164" s="22">
        <f>VLOOKUP($A164,tabCustoUnit[],COLUMN(CUSTO_GLOBAL[[#Headers],[PQM]])-2,0)*($G164-$H164)</f>
        <v>0</v>
      </c>
      <c r="AJ164" s="22">
        <v>0</v>
      </c>
      <c r="AK164" s="22">
        <f>VLOOKUP($A164,tabCustoUnit[],COLUMN(CUSTO_GLOBAL[[#Headers],[Seguro de Vida]])-2,0)*($G164-$H164)</f>
        <v>23.52</v>
      </c>
      <c r="AL164" s="22">
        <f>VLOOKUP($A164,tabCustoUnit[],COLUMN(CUSTO_GLOBAL[[#Headers],[Despesas de Viagem]])-2,0)*($G164-$H164)</f>
        <v>0</v>
      </c>
      <c r="AM164" s="22">
        <f>VLOOKUP($A164,tabCustoUnit[],COLUMN(CUSTO_GLOBAL[[#Headers],[Submódulo 2.3]])-2,0)*($G164-$H164)</f>
        <v>5559.9096</v>
      </c>
      <c r="AN164" s="22">
        <f>VLOOKUP($A164,tabCustoUnit[],COLUMN(CUSTO_GLOBAL[[#Headers],[MÓDULO 2 - Total Encargos e Benefícios mensais e diários]])-2,0)*($G164-$H164)</f>
        <v>13260.625693155556</v>
      </c>
      <c r="AO164" s="22">
        <f>VLOOKUP($A164,tabCustoUnit[],COLUMN(CUSTO_GLOBAL[[#Headers],[Aviso Prévio Indenizado (API) e Reflexo do Aviso Prévio Indenizado]])-2,0)*($G164-$H164)</f>
        <v>83.591750424691355</v>
      </c>
      <c r="AP164" s="22">
        <f>VLOOKUP($A164,tabCustoUnit[],COLUMN(CUSTO_GLOBAL[[#Headers],[Incidência do FGTS sobre API e Reflexo do API]])-2,0)*($G164-$H164)</f>
        <v>6.6873400339753086</v>
      </c>
      <c r="AQ164" s="22">
        <f>VLOOKUP($A164,tabCustoUnit[],COLUMN(CUSTO_GLOBAL[[#Headers],[Multa Rescisória do FGTS sobre o Aviso Prévio Indenizado]])-2,0)*($G164-$H164)</f>
        <v>2.6749360135901235</v>
      </c>
      <c r="AR164" s="22">
        <f>VLOOKUP($A164,tabCustoUnit[],COLUMN(CUSTO_GLOBAL[[#Headers],[Aviso Prévio Trabalhado - APT]])-2,0)*($G164-$H164)</f>
        <v>41.7257344</v>
      </c>
      <c r="AS164" s="22">
        <f>VLOOKUP($A164,tabCustoUnit[],COLUMN(CUSTO_GLOBAL[[#Headers],[Incidência dos encargos do submódulo 2.1 sobre Aviso Prévio Trabalhado]])-2,0)*($G164-$H164)</f>
        <v>15.772327603200004</v>
      </c>
      <c r="AT164" s="22">
        <f>VLOOKUP($A164,tabCustoUnit[],COLUMN(CUSTO_GLOBAL[[#Headers],[Multa Rescisória do FGTS]])-2,0)*($G164-$H164)</f>
        <v>364.53720974222216</v>
      </c>
      <c r="AU164" s="22">
        <f>VLOOKUP($A164,tabCustoUnit[],COLUMN(CUSTO_GLOBAL[[#Headers],[Indenização Adicional (Art. 9º da Lei nº 7.238/84)]])-2,0)*($G164-$H164)</f>
        <v>9.9346986666666659</v>
      </c>
      <c r="AV164" s="22">
        <f>VLOOKUP($A164,tabCustoUnit[],COLUMN(CUSTO_GLOBAL[[#Headers],[MÓDULO 3 – PROVISÃO PARA RESCISÃO]])-2,0)*($G164-$H164)</f>
        <v>524.92399688434557</v>
      </c>
      <c r="AW164" s="22">
        <f>VLOOKUP($A164,tabCustoUnit[],COLUMN(CUSTO_GLOBAL[[#Headers],[Ausência por Doença]])-2,0)*($G164-$H164)</f>
        <v>100.67161315555553</v>
      </c>
      <c r="AX164" s="22">
        <f>VLOOKUP($A164,tabCustoUnit[],COLUMN(CUSTO_GLOBAL[[#Headers],[Ausências Legais]])-2,0)*($G164-$H164)</f>
        <v>24.174433422222219</v>
      </c>
      <c r="AY164" s="22">
        <f>VLOOKUP($A164,tabCustoUnit[],COLUMN(CUSTO_GLOBAL[[#Headers],[Licença Paternidade]])-2,0)*($G164-$H164)</f>
        <v>2.0366132266666663</v>
      </c>
      <c r="AZ164" s="22">
        <f>VLOOKUP($A164,tabCustoUnit[],COLUMN(CUSTO_GLOBAL[[#Headers],[Ausência por Acidente de Trabalho]])-2,0)*($G164-$H164)</f>
        <v>2.4836746666666665</v>
      </c>
      <c r="BA164" s="22">
        <f>VLOOKUP($A164,tabCustoUnit[],COLUMN(CUSTO_GLOBAL[[#Headers],[Férias, Adicional de Férias e 13º  com empregada em gozo de Licença Maternidade]])-2,0)*($G164-$H164)</f>
        <v>15.453975703703701</v>
      </c>
      <c r="BB164" s="22">
        <f>VLOOKUP($A164,tabCustoUnit[],COLUMN(CUSTO_GLOBAL[[#Headers],[Incidência do Submódulo 2.1 sobre Ausências Legais]])-2,0)*($G164-$H164)</f>
        <v>54.742077246080001</v>
      </c>
      <c r="BC164" s="22">
        <f>VLOOKUP($A164,tabCustoUnit[],COLUMN(CUSTO_GLOBAL[[#Headers],[Submódulo 4.1]])-2,0)*($G164-$H164)</f>
        <v>199.56238742089479</v>
      </c>
      <c r="BD164" s="22">
        <f>VLOOKUP($A164,tabCustoUnit[],COLUMN(CUSTO_GLOBAL[[#Headers],[Intervalo para Repouso ou Alimentação]])-2,0)*($G164-$H164)</f>
        <v>0</v>
      </c>
      <c r="BE164" s="22">
        <f>VLOOKUP($A164,tabCustoUnit[],COLUMN(CUSTO_GLOBAL[[#Headers],[Submódulo 4.2]])-2,0)*($G164-$H164)</f>
        <v>0</v>
      </c>
      <c r="BF164" s="22">
        <f>VLOOKUP($A164,tabCustoUnit[],COLUMN(CUSTO_GLOBAL[[#Headers],[Suspensão Temporária do Contrato de Trabalho]])-2,0)*($G164-$H164)</f>
        <v>0</v>
      </c>
      <c r="BG164" s="22">
        <f>VLOOKUP($A164,tabCustoUnit[],COLUMN(CUSTO_GLOBAL[[#Headers],[Submódulo 4.3]])-2,0)*($G164-$H164)</f>
        <v>0</v>
      </c>
      <c r="BH164" s="22">
        <f>VLOOKUP($A164,tabCustoUnit[],COLUMN(CUSTO_GLOBAL[[#Headers],[MÓDULO 4 – CUSTO DE REPOSIÇÃO DO PROFISSIONAL AUSENTE]])-2,0)*($G164-$H164)</f>
        <v>199.56238742089479</v>
      </c>
      <c r="BI164" s="22">
        <f>VLOOKUP($A164,tabCustoUnit[],COLUMN(CUSTO_GLOBAL[[#Headers],[Uniformes e EPIs]])-2,0)*($G164-$H164)</f>
        <v>705.66416666666657</v>
      </c>
      <c r="BJ164" s="22">
        <f>VLOOKUP($A164,tabCustoUnit[],COLUMN(CUSTO_GLOBAL[[#Headers],[Materiais de Consumo]])-2,0)*($G164-$H164)</f>
        <v>248.62749071008722</v>
      </c>
      <c r="BK164" s="22">
        <f>VLOOKUP($A164,tabCustoUnit[],COLUMN(CUSTO_GLOBAL[[#Headers],[Máquinas e Equipamentos (depreciação)]])-2,0)*($G164-$H164)</f>
        <v>451.70575740377905</v>
      </c>
      <c r="BL164" s="22">
        <f>VLOOKUP($A164,tabCustoUnit[],COLUMN(CUSTO_GLOBAL[[#Headers],[Produtos de Limpeza e Materiais de Higiene Pessoal]])-2,0)*($G164-$H164)</f>
        <v>4831.9007294552157</v>
      </c>
      <c r="BM164" s="22">
        <f>VLOOKUP($A164,tabCustoUnit[],COLUMN(CUSTO_GLOBAL[[#Headers],[Outros (especificar)]])-2,0)*($G164-$H164)</f>
        <v>0</v>
      </c>
      <c r="BN164" s="22">
        <f>VLOOKUP($A164,tabCustoUnit[],COLUMN(CUSTO_GLOBAL[[#Headers],[MÓDULO 5 – INSUMOS DIVERSOS]])-2,0)*($G164-$H164)</f>
        <v>6237.898144235749</v>
      </c>
      <c r="BO164" s="22">
        <f>VLOOKUP($A164,tabCustoUnit[],COLUMN(CUSTO_GLOBAL[[#Headers],[TOTAL MÓDULOS 1+2+3+4+5]])-2,0)*($G164-$H164)</f>
        <v>32144.648621696542</v>
      </c>
      <c r="BP164" s="22">
        <f>VLOOKUP($A164,tabCustoUnit[],COLUMN(CUSTO_GLOBAL[[#Headers],[Custos Indiretos]])-2,0)*($G164-$H164)</f>
        <v>1327.5416098169828</v>
      </c>
      <c r="BQ164" s="22">
        <f>VLOOKUP($A164,tabCustoUnit[],COLUMN(CUSTO_GLOBAL[[#Headers],[Lucro]])-2,0)*($G164-$H164)</f>
        <v>1115.1349522462658</v>
      </c>
      <c r="BR164" s="26">
        <f>VLOOKUP($A164,tabCustoUnit[],COLUMN(CUSTO_GLOBAL[[#Headers],[COFINS]])-2,0)</f>
        <v>8.6609686609686695E-2</v>
      </c>
      <c r="BS164" s="26">
        <f>VLOOKUP($A164,tabCustoUnit[],COLUMN(CUSTO_GLOBAL[[#Headers],[PIS]])-2,0)</f>
        <v>1.880341880341882E-2</v>
      </c>
      <c r="BT164" s="28">
        <f>VLOOKUP($A164,tabCustoUnit[],COLUMN(CUSTO_GLOBAL[[#Headers],[ISS]])-2,0)</f>
        <v>0.03</v>
      </c>
      <c r="BU164" s="26">
        <f>VLOOKUP($A164,tabCustoUnit[],COLUMN(CUSTO_GLOBAL[[#Headers],[ISS (Conversão Alíquota s/ fatura)]])-2,0)</f>
        <v>3.4188034188034219E-2</v>
      </c>
      <c r="BV164" s="26">
        <f>VLOOKUP($A164,tabCustoUnit[],COLUMN(CUSTO_GLOBAL[[#Headers],[Resumo de Alíquotas (PIS+CONFINS+ISS)]])-2,0)</f>
        <v>0.1225</v>
      </c>
      <c r="BW164" s="138">
        <f>VLOOKUP($A164,tabCustoUnit[],COLUMN(CUSTO_GLOBAL[[#Headers],[PIS + COFINS + ISS (Total Conversão  Alíquota s/ Fatura)]])-2,0)</f>
        <v>0.13960113960113973</v>
      </c>
      <c r="BX164" s="22">
        <f>VLOOKUP($A164,tabCustoUnit[],COLUMN(CUSTO_GLOBAL[[#Headers],[Valor dos Tributos (ISS, PIS, CONFINS)]])-2,0)*($G164-$H164)</f>
        <v>4828.430011408067</v>
      </c>
      <c r="BY164" s="22">
        <f>VLOOKUP($A164,tabCustoUnit[],COLUMN(CUSTO_GLOBAL[[#Headers],[MÓDULO 6 – CUSTOS INDIRETOS, TRIBUTOS E LUCRO]])-2,0)*($G164-$H164)</f>
        <v>7271.1065734713147</v>
      </c>
      <c r="BZ164" s="22">
        <f>VLOOKUP($A164,tabCustoUnit[],COLUMN(CUSTO_GLOBAL[[#Headers],[CUSTO TOTAL MENSAL]])-2,0)*($G164-$H164)</f>
        <v>39415.755195167862</v>
      </c>
      <c r="CA164" s="22">
        <f>CUSTO_GLOBAL[[#This Row],[CUSTO TOTAL MENSAL]]*12</f>
        <v>472989.06234201434</v>
      </c>
      <c r="CB164" s="24">
        <f>VLOOKUP($A164,tabCustoUnit[],COLUMN(CUSTO_GLOBAL[[#Headers],[ANO DA CCT]])-2,0)</f>
        <v>45658</v>
      </c>
      <c r="CC164" s="25" t="str">
        <f>VLOOKUP($A164,tabCustoUnit[],COLUMN(CUSTO_GLOBAL[[#Headers],[Nº DE PEDIDO DA CCT]])-2,0)</f>
        <v>-</v>
      </c>
      <c r="CD164" s="25" t="str">
        <f>VLOOKUP($A164,tabCustoUnit[],COLUMN(CUSTO_GLOBAL[[#Headers],[TERMO ADITIVO  ALTERAÇÃO DA CCT]])-2,0)</f>
        <v>-</v>
      </c>
      <c r="CF164" s="22"/>
      <c r="CG164" s="22"/>
    </row>
    <row r="165" spans="1:85" x14ac:dyDescent="0.25">
      <c r="A165" s="20" t="s">
        <v>1501</v>
      </c>
      <c r="B165" t="s">
        <v>149</v>
      </c>
      <c r="C165" t="s">
        <v>1245</v>
      </c>
      <c r="D165" t="s">
        <v>66</v>
      </c>
      <c r="E165" s="20" t="s">
        <v>9</v>
      </c>
      <c r="F165" s="20" t="s">
        <v>10</v>
      </c>
      <c r="G165" s="20">
        <v>1</v>
      </c>
      <c r="H165" s="20">
        <v>0</v>
      </c>
      <c r="I165" s="21">
        <f>VLOOKUP($A165,tabCustoUnit[],COLUMN(CUSTO_GLOBAL[[#Headers],[Salário Base]])-2,0)*($G165-$H165)</f>
        <v>1596.28</v>
      </c>
      <c r="J165" s="21">
        <f>VLOOKUP($A165,tabCustoUnit[],COLUMN(CUSTO_GLOBAL[[#Headers],[Adicional Periculosidade]])-2,0)*($G165-$H165)</f>
        <v>0</v>
      </c>
      <c r="K165" s="21">
        <f>VLOOKUP($A165,tabCustoUnit[],COLUMN(CUSTO_GLOBAL[[#Headers],[Adicional Insalubridade]])-2,0)*($G165-$H165)</f>
        <v>0</v>
      </c>
      <c r="L165" s="21">
        <f>VLOOKUP($A165,tabCustoUnit[],COLUMN(CUSTO_GLOBAL[[#Headers],[Adicional Noturno]])-2,0)*($G165-$H165)</f>
        <v>0</v>
      </c>
      <c r="M165" s="21">
        <f>VLOOKUP($A165,tabCustoUnit[],COLUMN(CUSTO_GLOBAL[[#Headers],[Adicional Motorista II (Gratificação)]])-2,0)*($G165-$H165)</f>
        <v>0</v>
      </c>
      <c r="N165" s="21">
        <f>VLOOKUP($A165,tabCustoUnit[],COLUMN(CUSTO_GLOBAL[[#Headers],[Adicional de Sobreaviso]])-2,0)*($G165-$H165)</f>
        <v>0</v>
      </c>
      <c r="O165" s="21">
        <f>VLOOKUP($A165,tabCustoUnit[],COLUMN(CUSTO_GLOBAL[[#Headers],[Horas Extras TI]])-2,0)*($G165-$H165)</f>
        <v>0</v>
      </c>
      <c r="P165" s="21">
        <f>VLOOKUP($A165,tabCustoUnit[],COLUMN(CUSTO_GLOBAL[[#Headers],[Adicional de Acúmulo de função]])-2,0)*($G165-$H165)</f>
        <v>52.241900000000001</v>
      </c>
      <c r="Q165" s="21">
        <f>VLOOKUP($A165,tabCustoUnit[],COLUMN(CUSTO_GLOBAL[[#Headers],[MODULO 1 - REMUNERAÇÃO ]])-2,0)*($G165-$H165)</f>
        <v>1648.5219</v>
      </c>
      <c r="R165" s="21">
        <f>VLOOKUP($A165,tabCustoUnit[],COLUMN(CUSTO_GLOBAL[[#Headers],[INSS]])-2,0)*($G165-$H165)</f>
        <v>329.70438000000001</v>
      </c>
      <c r="S165" s="21">
        <f>VLOOKUP($A165,tabCustoUnit[],COLUMN(CUSTO_GLOBAL[[#Headers],[SESI OU SESC]])-2,0)*($G165-$H165)</f>
        <v>24.727828499999998</v>
      </c>
      <c r="T165" s="21">
        <f>VLOOKUP($A165,tabCustoUnit[],COLUMN(CUSTO_GLOBAL[[#Headers],[SENAI OU SENAC]])-2,0)*($G165-$H165)</f>
        <v>16.485219000000001</v>
      </c>
      <c r="U165" s="21">
        <f>VLOOKUP($A165,tabCustoUnit[],COLUMN(CUSTO_GLOBAL[[#Headers],[INCRA]])-2,0)*($G165-$H165)</f>
        <v>3.2970438</v>
      </c>
      <c r="V165" s="21">
        <f>VLOOKUP($A165,tabCustoUnit[],COLUMN(CUSTO_GLOBAL[[#Headers],[Salário Educação]])-2,0)*($G165-$H165)</f>
        <v>41.213047500000002</v>
      </c>
      <c r="W165" s="21">
        <f>VLOOKUP($A165,tabCustoUnit[],COLUMN(CUSTO_GLOBAL[[#Headers],[FGTS]])-2,0)*($G165-$H165)</f>
        <v>131.88175200000001</v>
      </c>
      <c r="X165" s="21">
        <f>VLOOKUP($A165,tabCustoUnit[],COLUMN(CUSTO_GLOBAL[[#Headers],[RAT Ajustado]])-2,0)*($G165-$H165)</f>
        <v>65.940876000000003</v>
      </c>
      <c r="Y165" s="21">
        <f>VLOOKUP($A165,tabCustoUnit[],COLUMN(CUSTO_GLOBAL[[#Headers],[SEBRAE]])-2,0)*($G165-$H165)</f>
        <v>9.8911314000000008</v>
      </c>
      <c r="Z165" s="21">
        <f>VLOOKUP($A165,tabCustoUnit[],COLUMN(CUSTO_GLOBAL[[#Headers],[Submódulo 2.1]])-2,0)*($G165-$H165)</f>
        <v>623.14127819999999</v>
      </c>
      <c r="AA165" s="21">
        <f>VLOOKUP($A165,tabCustoUnit[],COLUMN(CUSTO_GLOBAL[[#Headers],[13º salário (titular)]])-2,0)*($G165-$H165)</f>
        <v>137.376825</v>
      </c>
      <c r="AB165" s="21">
        <f>VLOOKUP($A165,tabCustoUnit[],COLUMN(CUSTO_GLOBAL[[#Headers],[Férias e Adicional de Férias (titular)]])-2,0)*($G165-$H165)</f>
        <v>183.16909999999999</v>
      </c>
      <c r="AC165" s="21">
        <f>VLOOKUP($A165,tabCustoUnit[],COLUMN(CUSTO_GLOBAL[[#Headers],[Incidência do Submódulo 2.1 sobre 13º Salário, Férias e Adicional de Férias]])-2,0)*($G165-$H165)</f>
        <v>121.16635965</v>
      </c>
      <c r="AD165" s="21">
        <f>VLOOKUP($A165,tabCustoUnit[],COLUMN(CUSTO_GLOBAL[[#Headers],[Submódulo 2.2]])-2,0)*($G165-$H165)</f>
        <v>441.71228465000002</v>
      </c>
      <c r="AE165" s="22">
        <f>VLOOKUP($A165,tabCustoUnit[],COLUMN(CUSTO_GLOBAL[[#Headers],[Vale - Transporte (Descontada parcela do empregado)]])-2,0)*($G165-$H165)</f>
        <v>160.22320000000002</v>
      </c>
      <c r="AF165" s="22">
        <f>VLOOKUP($A165,tabCustoUnit[],COLUMN(CUSTO_GLOBAL[[#Headers],[Vale - Alimentação (Descontada parcela do empregado)]])-2,0)*($G165-$H165)</f>
        <v>582</v>
      </c>
      <c r="AG165" s="22">
        <f>VLOOKUP($A165,tabCustoUnit[],COLUMN(CUSTO_GLOBAL[[#Headers],[Cesta Básica]])-2,0)*($G165-$H165)</f>
        <v>0</v>
      </c>
      <c r="AH165" s="22">
        <f>VLOOKUP($A165,tabCustoUnit[],COLUMN(CUSTO_GLOBAL[[#Headers],[PAF]])-2,0)*($G165-$H165)</f>
        <v>57.07</v>
      </c>
      <c r="AI165" s="22">
        <f>VLOOKUP($A165,tabCustoUnit[],COLUMN(CUSTO_GLOBAL[[#Headers],[PQM]])-2,0)*($G165-$H165)</f>
        <v>0</v>
      </c>
      <c r="AJ165" s="22">
        <v>0</v>
      </c>
      <c r="AK165" s="22">
        <f>VLOOKUP($A165,tabCustoUnit[],COLUMN(CUSTO_GLOBAL[[#Headers],[Seguro de Vida]])-2,0)*($G165-$H165)</f>
        <v>3.36</v>
      </c>
      <c r="AL165" s="22">
        <f>VLOOKUP($A165,tabCustoUnit[],COLUMN(CUSTO_GLOBAL[[#Headers],[Despesas de Viagem]])-2,0)*($G165-$H165)</f>
        <v>0</v>
      </c>
      <c r="AM165" s="22">
        <f>VLOOKUP($A165,tabCustoUnit[],COLUMN(CUSTO_GLOBAL[[#Headers],[Submódulo 2.3]])-2,0)*($G165-$H165)</f>
        <v>802.65320000000008</v>
      </c>
      <c r="AN165" s="22">
        <f>VLOOKUP($A165,tabCustoUnit[],COLUMN(CUSTO_GLOBAL[[#Headers],[MÓDULO 2 - Total Encargos e Benefícios mensais e diários]])-2,0)*($G165-$H165)</f>
        <v>1867.5067628500001</v>
      </c>
      <c r="AO165" s="22">
        <f>VLOOKUP($A165,tabCustoUnit[],COLUMN(CUSTO_GLOBAL[[#Headers],[Aviso Prévio Indenizado (API) e Reflexo do Aviso Prévio Indenizado]])-2,0)*($G165-$H165)</f>
        <v>11.559051416493055</v>
      </c>
      <c r="AP165" s="22">
        <f>VLOOKUP($A165,tabCustoUnit[],COLUMN(CUSTO_GLOBAL[[#Headers],[Incidência do FGTS sobre API e Reflexo do API]])-2,0)*($G165-$H165)</f>
        <v>0.92472411331944449</v>
      </c>
      <c r="AQ165" s="22">
        <f>VLOOKUP($A165,tabCustoUnit[],COLUMN(CUSTO_GLOBAL[[#Headers],[Multa Rescisória do FGTS sobre o Aviso Prévio Indenizado]])-2,0)*($G165-$H165)</f>
        <v>0.36988964532777785</v>
      </c>
      <c r="AR165" s="22">
        <f>VLOOKUP($A165,tabCustoUnit[],COLUMN(CUSTO_GLOBAL[[#Headers],[Aviso Prévio Trabalhado - APT]])-2,0)*($G165-$H165)</f>
        <v>5.7698266500000006</v>
      </c>
      <c r="AS165" s="22">
        <f>VLOOKUP($A165,tabCustoUnit[],COLUMN(CUSTO_GLOBAL[[#Headers],[Incidência dos encargos do submódulo 2.1 sobre Aviso Prévio Trabalhado]])-2,0)*($G165-$H165)</f>
        <v>2.1809944737000007</v>
      </c>
      <c r="AT165" s="22">
        <f>VLOOKUP($A165,tabCustoUnit[],COLUMN(CUSTO_GLOBAL[[#Headers],[Multa Rescisória do FGTS]])-2,0)*($G165-$H165)</f>
        <v>50.40813631999999</v>
      </c>
      <c r="AU165" s="22">
        <f>VLOOKUP($A165,tabCustoUnit[],COLUMN(CUSTO_GLOBAL[[#Headers],[Indenização Adicional (Art. 9º da Lei nº 7.238/84)]])-2,0)*($G165-$H165)</f>
        <v>1.3737682500000001</v>
      </c>
      <c r="AV165" s="22">
        <f>VLOOKUP($A165,tabCustoUnit[],COLUMN(CUSTO_GLOBAL[[#Headers],[MÓDULO 3 – PROVISÃO PARA RESCISÃO]])-2,0)*($G165-$H165)</f>
        <v>72.586390868840269</v>
      </c>
      <c r="AW165" s="22">
        <f>VLOOKUP($A165,tabCustoUnit[],COLUMN(CUSTO_GLOBAL[[#Headers],[Ausência por Doença]])-2,0)*($G165-$H165)</f>
        <v>13.920851599999999</v>
      </c>
      <c r="AX165" s="22">
        <f>VLOOKUP($A165,tabCustoUnit[],COLUMN(CUSTO_GLOBAL[[#Headers],[Ausências Legais]])-2,0)*($G165-$H165)</f>
        <v>3.3428360749999997</v>
      </c>
      <c r="AY165" s="22">
        <f>VLOOKUP($A165,tabCustoUnit[],COLUMN(CUSTO_GLOBAL[[#Headers],[Licença Paternidade]])-2,0)*($G165-$H165)</f>
        <v>0.28162249125</v>
      </c>
      <c r="AZ165" s="22">
        <f>VLOOKUP($A165,tabCustoUnit[],COLUMN(CUSTO_GLOBAL[[#Headers],[Ausência por Acidente de Trabalho]])-2,0)*($G165-$H165)</f>
        <v>0.34344206250000003</v>
      </c>
      <c r="BA165" s="22">
        <f>VLOOKUP($A165,tabCustoUnit[],COLUMN(CUSTO_GLOBAL[[#Headers],[Férias, Adicional de Férias e 13º  com empregada em gozo de Licença Maternidade]])-2,0)*($G165-$H165)</f>
        <v>2.1369728333333331</v>
      </c>
      <c r="BB165" s="22">
        <f>VLOOKUP($A165,tabCustoUnit[],COLUMN(CUSTO_GLOBAL[[#Headers],[Incidência do Submódulo 2.1 sobre Ausências Legais]])-2,0)*($G165-$H165)</f>
        <v>7.5697240734675013</v>
      </c>
      <c r="BC165" s="22">
        <f>VLOOKUP($A165,tabCustoUnit[],COLUMN(CUSTO_GLOBAL[[#Headers],[Submódulo 4.1]])-2,0)*($G165-$H165)</f>
        <v>27.595449135550833</v>
      </c>
      <c r="BD165" s="22">
        <f>VLOOKUP($A165,tabCustoUnit[],COLUMN(CUSTO_GLOBAL[[#Headers],[Intervalo para Repouso ou Alimentação]])-2,0)*($G165-$H165)</f>
        <v>0</v>
      </c>
      <c r="BE165" s="22">
        <f>VLOOKUP($A165,tabCustoUnit[],COLUMN(CUSTO_GLOBAL[[#Headers],[Submódulo 4.2]])-2,0)*($G165-$H165)</f>
        <v>0</v>
      </c>
      <c r="BF165" s="22">
        <f>VLOOKUP($A165,tabCustoUnit[],COLUMN(CUSTO_GLOBAL[[#Headers],[Suspensão Temporária do Contrato de Trabalho]])-2,0)*($G165-$H165)</f>
        <v>0</v>
      </c>
      <c r="BG165" s="22">
        <f>VLOOKUP($A165,tabCustoUnit[],COLUMN(CUSTO_GLOBAL[[#Headers],[Submódulo 4.3]])-2,0)*($G165-$H165)</f>
        <v>0</v>
      </c>
      <c r="BH165" s="22">
        <f>VLOOKUP($A165,tabCustoUnit[],COLUMN(CUSTO_GLOBAL[[#Headers],[MÓDULO 4 – CUSTO DE REPOSIÇÃO DO PROFISSIONAL AUSENTE]])-2,0)*($G165-$H165)</f>
        <v>27.595449135550833</v>
      </c>
      <c r="BI165" s="22">
        <f>VLOOKUP($A165,tabCustoUnit[],COLUMN(CUSTO_GLOBAL[[#Headers],[Uniformes e EPIs]])-2,0)*($G165-$H165)</f>
        <v>100.80916666666666</v>
      </c>
      <c r="BJ165" s="22">
        <f>VLOOKUP($A165,tabCustoUnit[],COLUMN(CUSTO_GLOBAL[[#Headers],[Materiais de Consumo]])-2,0)*($G165-$H165)</f>
        <v>35.518212958583888</v>
      </c>
      <c r="BK165" s="22">
        <f>VLOOKUP($A165,tabCustoUnit[],COLUMN(CUSTO_GLOBAL[[#Headers],[Máquinas e Equipamentos (depreciação)]])-2,0)*($G165-$H165)</f>
        <v>64.529393914825576</v>
      </c>
      <c r="BL165" s="22">
        <f>VLOOKUP($A165,tabCustoUnit[],COLUMN(CUSTO_GLOBAL[[#Headers],[Produtos de Limpeza e Materiais de Higiene Pessoal]])-2,0)*($G165-$H165)</f>
        <v>690.27153277931654</v>
      </c>
      <c r="BM165" s="22">
        <f>VLOOKUP($A165,tabCustoUnit[],COLUMN(CUSTO_GLOBAL[[#Headers],[Outros (especificar)]])-2,0)*($G165-$H165)</f>
        <v>0</v>
      </c>
      <c r="BN165" s="22">
        <f>VLOOKUP($A165,tabCustoUnit[],COLUMN(CUSTO_GLOBAL[[#Headers],[MÓDULO 5 – INSUMOS DIVERSOS]])-2,0)*($G165-$H165)</f>
        <v>891.12830631939266</v>
      </c>
      <c r="BO165" s="22">
        <f>VLOOKUP($A165,tabCustoUnit[],COLUMN(CUSTO_GLOBAL[[#Headers],[TOTAL MÓDULOS 1+2+3+4+5]])-2,0)*($G165-$H165)</f>
        <v>4507.3388091737834</v>
      </c>
      <c r="BP165" s="22">
        <f>VLOOKUP($A165,tabCustoUnit[],COLUMN(CUSTO_GLOBAL[[#Headers],[Custos Indiretos]])-2,0)*($G165-$H165)</f>
        <v>189.64880140242613</v>
      </c>
      <c r="BQ165" s="22">
        <f>VLOOKUP($A165,tabCustoUnit[],COLUMN(CUSTO_GLOBAL[[#Headers],[Lucro]])-2,0)*($G165-$H165)</f>
        <v>159.30499317803796</v>
      </c>
      <c r="BR165" s="26">
        <f>VLOOKUP($A165,tabCustoUnit[],COLUMN(CUSTO_GLOBAL[[#Headers],[COFINS]])-2,0)</f>
        <v>8.6609686609686695E-2</v>
      </c>
      <c r="BS165" s="26">
        <f>VLOOKUP($A165,tabCustoUnit[],COLUMN(CUSTO_GLOBAL[[#Headers],[PIS]])-2,0)</f>
        <v>1.880341880341882E-2</v>
      </c>
      <c r="BT165" s="28">
        <f>VLOOKUP($A165,tabCustoUnit[],COLUMN(CUSTO_GLOBAL[[#Headers],[ISS]])-2,0)</f>
        <v>0.03</v>
      </c>
      <c r="BU165" s="26">
        <f>VLOOKUP($A165,tabCustoUnit[],COLUMN(CUSTO_GLOBAL[[#Headers],[ISS (Conversão Alíquota s/ fatura)]])-2,0)</f>
        <v>3.4188034188034219E-2</v>
      </c>
      <c r="BV165" s="26">
        <f>VLOOKUP($A165,tabCustoUnit[],COLUMN(CUSTO_GLOBAL[[#Headers],[Resumo de Alíquotas (PIS+CONFINS+ISS)]])-2,0)</f>
        <v>0.1225</v>
      </c>
      <c r="BW165" s="138">
        <f>VLOOKUP($A165,tabCustoUnit[],COLUMN(CUSTO_GLOBAL[[#Headers],[PIS + COFINS + ISS (Total Conversão  Alíquota s/ Fatura)]])-2,0)</f>
        <v>0.13960113960113973</v>
      </c>
      <c r="BX165" s="22">
        <f>VLOOKUP($A165,tabCustoUnit[],COLUMN(CUSTO_GLOBAL[[#Headers],[Valor dos Tributos (ISS, PIS, CONFINS)]])-2,0)*($G165-$H165)</f>
        <v>677.94398172067906</v>
      </c>
      <c r="BY165" s="22">
        <f>VLOOKUP($A165,tabCustoUnit[],COLUMN(CUSTO_GLOBAL[[#Headers],[MÓDULO 6 – CUSTOS INDIRETOS, TRIBUTOS E LUCRO]])-2,0)*($G165-$H165)</f>
        <v>1026.897776301143</v>
      </c>
      <c r="BZ165" s="22">
        <f>VLOOKUP($A165,tabCustoUnit[],COLUMN(CUSTO_GLOBAL[[#Headers],[CUSTO TOTAL MENSAL]])-2,0)*($G165-$H165)</f>
        <v>5534.236585474926</v>
      </c>
      <c r="CA165" s="22">
        <f>CUSTO_GLOBAL[[#This Row],[CUSTO TOTAL MENSAL]]*12</f>
        <v>66410.839025699112</v>
      </c>
      <c r="CB165" s="24">
        <f>VLOOKUP($A165,tabCustoUnit[],COLUMN(CUSTO_GLOBAL[[#Headers],[ANO DA CCT]])-2,0)</f>
        <v>45658</v>
      </c>
      <c r="CC165" s="25" t="str">
        <f>VLOOKUP($A165,tabCustoUnit[],COLUMN(CUSTO_GLOBAL[[#Headers],[Nº DE PEDIDO DA CCT]])-2,0)</f>
        <v>-</v>
      </c>
      <c r="CD165" s="25" t="str">
        <f>VLOOKUP($A165,tabCustoUnit[],COLUMN(CUSTO_GLOBAL[[#Headers],[TERMO ADITIVO  ALTERAÇÃO DA CCT]])-2,0)</f>
        <v>-</v>
      </c>
      <c r="CF165" s="22"/>
      <c r="CG165" s="22"/>
    </row>
    <row r="166" spans="1:85" x14ac:dyDescent="0.25">
      <c r="A166" s="20" t="s">
        <v>1502</v>
      </c>
      <c r="B166" t="s">
        <v>150</v>
      </c>
      <c r="C166" t="s">
        <v>1247</v>
      </c>
      <c r="D166" t="s">
        <v>1000</v>
      </c>
      <c r="E166" s="20" t="s">
        <v>9</v>
      </c>
      <c r="F166" s="20" t="s">
        <v>10</v>
      </c>
      <c r="G166" s="20">
        <v>1</v>
      </c>
      <c r="H166" s="20">
        <v>0</v>
      </c>
      <c r="I166" s="21">
        <f>VLOOKUP($A166,tabCustoUnit[],COLUMN(CUSTO_GLOBAL[[#Headers],[Salário Base]])-2,0)*($G166-$H166)</f>
        <v>544.17999999999995</v>
      </c>
      <c r="J166" s="21">
        <f>VLOOKUP($A166,tabCustoUnit[],COLUMN(CUSTO_GLOBAL[[#Headers],[Adicional Periculosidade]])-2,0)*($G166-$H166)</f>
        <v>0</v>
      </c>
      <c r="K166" s="21">
        <f>VLOOKUP($A166,tabCustoUnit[],COLUMN(CUSTO_GLOBAL[[#Headers],[Adicional Insalubridade]])-2,0)*($G166-$H166)</f>
        <v>0</v>
      </c>
      <c r="L166" s="21">
        <f>VLOOKUP($A166,tabCustoUnit[],COLUMN(CUSTO_GLOBAL[[#Headers],[Adicional Noturno]])-2,0)*($G166-$H166)</f>
        <v>0</v>
      </c>
      <c r="M166" s="21">
        <f>VLOOKUP($A166,tabCustoUnit[],COLUMN(CUSTO_GLOBAL[[#Headers],[Adicional Motorista II (Gratificação)]])-2,0)*($G166-$H166)</f>
        <v>0</v>
      </c>
      <c r="N166" s="21">
        <f>VLOOKUP($A166,tabCustoUnit[],COLUMN(CUSTO_GLOBAL[[#Headers],[Adicional de Sobreaviso]])-2,0)*($G166-$H166)</f>
        <v>0</v>
      </c>
      <c r="O166" s="21">
        <f>VLOOKUP($A166,tabCustoUnit[],COLUMN(CUSTO_GLOBAL[[#Headers],[Horas Extras TI]])-2,0)*($G166-$H166)</f>
        <v>0</v>
      </c>
      <c r="P166" s="21">
        <f>VLOOKUP($A166,tabCustoUnit[],COLUMN(CUSTO_GLOBAL[[#Headers],[Adicional de Acúmulo de função]])-2,0)*($G166-$H166)</f>
        <v>19.590499999999999</v>
      </c>
      <c r="Q166" s="21">
        <f>VLOOKUP($A166,tabCustoUnit[],COLUMN(CUSTO_GLOBAL[[#Headers],[MODULO 1 - REMUNERAÇÃO ]])-2,0)*($G166-$H166)</f>
        <v>563.77049999999997</v>
      </c>
      <c r="R166" s="21">
        <f>VLOOKUP($A166,tabCustoUnit[],COLUMN(CUSTO_GLOBAL[[#Headers],[INSS]])-2,0)*($G166-$H166)</f>
        <v>112.75409999999999</v>
      </c>
      <c r="S166" s="21">
        <f>VLOOKUP($A166,tabCustoUnit[],COLUMN(CUSTO_GLOBAL[[#Headers],[SESI OU SESC]])-2,0)*($G166-$H166)</f>
        <v>8.4565574999999988</v>
      </c>
      <c r="T166" s="21">
        <f>VLOOKUP($A166,tabCustoUnit[],COLUMN(CUSTO_GLOBAL[[#Headers],[SENAI OU SENAC]])-2,0)*($G166-$H166)</f>
        <v>5.6377049999999995</v>
      </c>
      <c r="U166" s="21">
        <f>VLOOKUP($A166,tabCustoUnit[],COLUMN(CUSTO_GLOBAL[[#Headers],[INCRA]])-2,0)*($G166-$H166)</f>
        <v>1.1275409999999999</v>
      </c>
      <c r="V166" s="21">
        <f>VLOOKUP($A166,tabCustoUnit[],COLUMN(CUSTO_GLOBAL[[#Headers],[Salário Educação]])-2,0)*($G166-$H166)</f>
        <v>14.094262499999999</v>
      </c>
      <c r="W166" s="21">
        <f>VLOOKUP($A166,tabCustoUnit[],COLUMN(CUSTO_GLOBAL[[#Headers],[FGTS]])-2,0)*($G166-$H166)</f>
        <v>45.101639999999996</v>
      </c>
      <c r="X166" s="21">
        <f>VLOOKUP($A166,tabCustoUnit[],COLUMN(CUSTO_GLOBAL[[#Headers],[RAT Ajustado]])-2,0)*($G166-$H166)</f>
        <v>22.550819999999998</v>
      </c>
      <c r="Y166" s="21">
        <f>VLOOKUP($A166,tabCustoUnit[],COLUMN(CUSTO_GLOBAL[[#Headers],[SEBRAE]])-2,0)*($G166-$H166)</f>
        <v>3.3826229999999997</v>
      </c>
      <c r="Z166" s="21">
        <f>VLOOKUP($A166,tabCustoUnit[],COLUMN(CUSTO_GLOBAL[[#Headers],[Submódulo 2.1]])-2,0)*($G166-$H166)</f>
        <v>213.10524899999996</v>
      </c>
      <c r="AA166" s="21">
        <f>VLOOKUP($A166,tabCustoUnit[],COLUMN(CUSTO_GLOBAL[[#Headers],[13º salário (titular)]])-2,0)*($G166-$H166)</f>
        <v>46.980874999999997</v>
      </c>
      <c r="AB166" s="21">
        <f>VLOOKUP($A166,tabCustoUnit[],COLUMN(CUSTO_GLOBAL[[#Headers],[Férias e Adicional de Férias (titular)]])-2,0)*($G166-$H166)</f>
        <v>62.641166666666663</v>
      </c>
      <c r="AC166" s="21">
        <f>VLOOKUP($A166,tabCustoUnit[],COLUMN(CUSTO_GLOBAL[[#Headers],[Incidência do Submódulo 2.1 sobre 13º Salário, Férias e Adicional de Férias]])-2,0)*($G166-$H166)</f>
        <v>41.437131749999992</v>
      </c>
      <c r="AD166" s="21">
        <f>VLOOKUP($A166,tabCustoUnit[],COLUMN(CUSTO_GLOBAL[[#Headers],[Submódulo 2.2]])-2,0)*($G166-$H166)</f>
        <v>151.05917341666665</v>
      </c>
      <c r="AE166" s="22">
        <f>VLOOKUP($A166,tabCustoUnit[],COLUMN(CUSTO_GLOBAL[[#Headers],[Vale - Transporte (Descontada parcela do empregado)]])-2,0)*($G166-$H166)</f>
        <v>223.3492</v>
      </c>
      <c r="AF166" s="22">
        <f>VLOOKUP($A166,tabCustoUnit[],COLUMN(CUSTO_GLOBAL[[#Headers],[Vale - Alimentação (Descontada parcela do empregado)]])-2,0)*($G166-$H166)</f>
        <v>582</v>
      </c>
      <c r="AG166" s="22">
        <f>VLOOKUP($A166,tabCustoUnit[],COLUMN(CUSTO_GLOBAL[[#Headers],[Cesta Básica]])-2,0)*($G166-$H166)</f>
        <v>0</v>
      </c>
      <c r="AH166" s="22">
        <f>VLOOKUP($A166,tabCustoUnit[],COLUMN(CUSTO_GLOBAL[[#Headers],[PAF]])-2,0)*($G166-$H166)</f>
        <v>0</v>
      </c>
      <c r="AI166" s="22">
        <f>VLOOKUP($A166,tabCustoUnit[],COLUMN(CUSTO_GLOBAL[[#Headers],[PQM]])-2,0)*($G166-$H166)</f>
        <v>15.07</v>
      </c>
      <c r="AJ166" s="22">
        <v>0</v>
      </c>
      <c r="AK166" s="22">
        <f>VLOOKUP($A166,tabCustoUnit[],COLUMN(CUSTO_GLOBAL[[#Headers],[Seguro de Vida]])-2,0)*($G166-$H166)</f>
        <v>3.36</v>
      </c>
      <c r="AL166" s="22">
        <f>VLOOKUP($A166,tabCustoUnit[],COLUMN(CUSTO_GLOBAL[[#Headers],[Despesas de Viagem]])-2,0)*($G166-$H166)</f>
        <v>0</v>
      </c>
      <c r="AM166" s="22">
        <f>VLOOKUP($A166,tabCustoUnit[],COLUMN(CUSTO_GLOBAL[[#Headers],[Submódulo 2.3]])-2,0)*($G166-$H166)</f>
        <v>823.77920000000006</v>
      </c>
      <c r="AN166" s="22">
        <f>VLOOKUP($A166,tabCustoUnit[],COLUMN(CUSTO_GLOBAL[[#Headers],[MÓDULO 2 - Total Encargos e Benefícios mensais e diários]])-2,0)*($G166-$H166)</f>
        <v>1187.9436224166666</v>
      </c>
      <c r="AO166" s="22">
        <f>VLOOKUP($A166,tabCustoUnit[],COLUMN(CUSTO_GLOBAL[[#Headers],[Aviso Prévio Indenizado (API) e Reflexo do Aviso Prévio Indenizado]])-2,0)*($G166-$H166)</f>
        <v>3.9530273735532404</v>
      </c>
      <c r="AP166" s="22">
        <f>VLOOKUP($A166,tabCustoUnit[],COLUMN(CUSTO_GLOBAL[[#Headers],[Incidência do FGTS sobre API e Reflexo do API]])-2,0)*($G166-$H166)</f>
        <v>0.31624218988425928</v>
      </c>
      <c r="AQ166" s="22">
        <f>VLOOKUP($A166,tabCustoUnit[],COLUMN(CUSTO_GLOBAL[[#Headers],[Multa Rescisória do FGTS sobre o Aviso Prévio Indenizado]])-2,0)*($G166-$H166)</f>
        <v>0.12649687595370371</v>
      </c>
      <c r="AR166" s="22">
        <f>VLOOKUP($A166,tabCustoUnit[],COLUMN(CUSTO_GLOBAL[[#Headers],[Aviso Prévio Trabalhado - APT]])-2,0)*($G166-$H166)</f>
        <v>1.9731967500000003</v>
      </c>
      <c r="AS166" s="22">
        <f>VLOOKUP($A166,tabCustoUnit[],COLUMN(CUSTO_GLOBAL[[#Headers],[Incidência dos encargos do submódulo 2.1 sobre Aviso Prévio Trabalhado]])-2,0)*($G166-$H166)</f>
        <v>0.74586837150000018</v>
      </c>
      <c r="AT166" s="22">
        <f>VLOOKUP($A166,tabCustoUnit[],COLUMN(CUSTO_GLOBAL[[#Headers],[Multa Rescisória do FGTS]])-2,0)*($G166-$H166)</f>
        <v>17.238849066666663</v>
      </c>
      <c r="AU166" s="22">
        <f>VLOOKUP($A166,tabCustoUnit[],COLUMN(CUSTO_GLOBAL[[#Headers],[Indenização Adicional (Art. 9º da Lei nº 7.238/84)]])-2,0)*($G166-$H166)</f>
        <v>0.46980875</v>
      </c>
      <c r="AV166" s="22">
        <f>VLOOKUP($A166,tabCustoUnit[],COLUMN(CUSTO_GLOBAL[[#Headers],[MÓDULO 3 – PROVISÃO PARA RESCISÃO]])-2,0)*($G166-$H166)</f>
        <v>24.823489377557866</v>
      </c>
      <c r="AW166" s="22">
        <f>VLOOKUP($A166,tabCustoUnit[],COLUMN(CUSTO_GLOBAL[[#Headers],[Ausência por Doença]])-2,0)*($G166-$H166)</f>
        <v>4.7607286666666662</v>
      </c>
      <c r="AX166" s="22">
        <f>VLOOKUP($A166,tabCustoUnit[],COLUMN(CUSTO_GLOBAL[[#Headers],[Ausências Legais]])-2,0)*($G166-$H166)</f>
        <v>1.1432012916666665</v>
      </c>
      <c r="AY166" s="22">
        <f>VLOOKUP($A166,tabCustoUnit[],COLUMN(CUSTO_GLOBAL[[#Headers],[Licença Paternidade]])-2,0)*($G166-$H166)</f>
        <v>9.6310793749999998E-2</v>
      </c>
      <c r="AZ166" s="22">
        <f>VLOOKUP($A166,tabCustoUnit[],COLUMN(CUSTO_GLOBAL[[#Headers],[Ausência por Acidente de Trabalho]])-2,0)*($G166-$H166)</f>
        <v>0.1174521875</v>
      </c>
      <c r="BA166" s="22">
        <f>VLOOKUP($A166,tabCustoUnit[],COLUMN(CUSTO_GLOBAL[[#Headers],[Férias, Adicional de Férias e 13º  com empregada em gozo de Licença Maternidade]])-2,0)*($G166-$H166)</f>
        <v>0.73081361111111109</v>
      </c>
      <c r="BB166" s="22">
        <f>VLOOKUP($A166,tabCustoUnit[],COLUMN(CUSTO_GLOBAL[[#Headers],[Incidência do Submódulo 2.1 sobre Ausências Legais]])-2,0)*($G166-$H166)</f>
        <v>2.5887354761625003</v>
      </c>
      <c r="BC166" s="22">
        <f>VLOOKUP($A166,tabCustoUnit[],COLUMN(CUSTO_GLOBAL[[#Headers],[Submódulo 4.1]])-2,0)*($G166-$H166)</f>
        <v>9.4372420268569428</v>
      </c>
      <c r="BD166" s="22">
        <f>VLOOKUP($A166,tabCustoUnit[],COLUMN(CUSTO_GLOBAL[[#Headers],[Intervalo para Repouso ou Alimentação]])-2,0)*($G166-$H166)</f>
        <v>0</v>
      </c>
      <c r="BE166" s="22">
        <f>VLOOKUP($A166,tabCustoUnit[],COLUMN(CUSTO_GLOBAL[[#Headers],[Submódulo 4.2]])-2,0)*($G166-$H166)</f>
        <v>0</v>
      </c>
      <c r="BF166" s="22">
        <f>VLOOKUP($A166,tabCustoUnit[],COLUMN(CUSTO_GLOBAL[[#Headers],[Suspensão Temporária do Contrato de Trabalho]])-2,0)*($G166-$H166)</f>
        <v>0</v>
      </c>
      <c r="BG166" s="22">
        <f>VLOOKUP($A166,tabCustoUnit[],COLUMN(CUSTO_GLOBAL[[#Headers],[Submódulo 4.3]])-2,0)*($G166-$H166)</f>
        <v>0</v>
      </c>
      <c r="BH166" s="22">
        <f>VLOOKUP($A166,tabCustoUnit[],COLUMN(CUSTO_GLOBAL[[#Headers],[MÓDULO 4 – CUSTO DE REPOSIÇÃO DO PROFISSIONAL AUSENTE]])-2,0)*($G166-$H166)</f>
        <v>9.4372420268569428</v>
      </c>
      <c r="BI166" s="22">
        <f>VLOOKUP($A166,tabCustoUnit[],COLUMN(CUSTO_GLOBAL[[#Headers],[Uniformes e EPIs]])-2,0)*($G166-$H166)</f>
        <v>62.806666666666665</v>
      </c>
      <c r="BJ166" s="22">
        <f>VLOOKUP($A166,tabCustoUnit[],COLUMN(CUSTO_GLOBAL[[#Headers],[Materiais de Consumo]])-2,0)*($G166-$H166)</f>
        <v>12.108481690426325</v>
      </c>
      <c r="BK166" s="22">
        <f>VLOOKUP($A166,tabCustoUnit[],COLUMN(CUSTO_GLOBAL[[#Headers],[Máquinas e Equipamentos (depreciação)]])-2,0)*($G166-$H166)</f>
        <v>21.998657016417809</v>
      </c>
      <c r="BL166" s="22">
        <f>VLOOKUP($A166,tabCustoUnit[],COLUMN(CUSTO_GLOBAL[[#Headers],[Produtos de Limpeza e Materiais de Higiene Pessoal]])-2,0)*($G166-$H166)</f>
        <v>235.31984072022155</v>
      </c>
      <c r="BM166" s="22">
        <f>VLOOKUP($A166,tabCustoUnit[],COLUMN(CUSTO_GLOBAL[[#Headers],[Outros (especificar)]])-2,0)*($G166-$H166)</f>
        <v>0</v>
      </c>
      <c r="BN166" s="22">
        <f>VLOOKUP($A166,tabCustoUnit[],COLUMN(CUSTO_GLOBAL[[#Headers],[MÓDULO 5 – INSUMOS DIVERSOS]])-2,0)*($G166-$H166)</f>
        <v>332.23364609373232</v>
      </c>
      <c r="BO166" s="22">
        <f>VLOOKUP($A166,tabCustoUnit[],COLUMN(CUSTO_GLOBAL[[#Headers],[TOTAL MÓDULOS 1+2+3+4+5]])-2,0)*($G166-$H166)</f>
        <v>2118.2084999148137</v>
      </c>
      <c r="BP166" s="22">
        <f>VLOOKUP($A166,tabCustoUnit[],COLUMN(CUSTO_GLOBAL[[#Headers],[Custos Indiretos]])-2,0)*($G166-$H166)</f>
        <v>189.64880140242613</v>
      </c>
      <c r="BQ166" s="22">
        <f>VLOOKUP($A166,tabCustoUnit[],COLUMN(CUSTO_GLOBAL[[#Headers],[Lucro]])-2,0)*($G166-$H166)</f>
        <v>159.30499317803796</v>
      </c>
      <c r="BR166" s="26">
        <f>VLOOKUP($A166,tabCustoUnit[],COLUMN(CUSTO_GLOBAL[[#Headers],[COFINS]])-2,0)</f>
        <v>8.6609686609686695E-2</v>
      </c>
      <c r="BS166" s="26">
        <f>VLOOKUP($A166,tabCustoUnit[],COLUMN(CUSTO_GLOBAL[[#Headers],[PIS]])-2,0)</f>
        <v>1.880341880341882E-2</v>
      </c>
      <c r="BT166" s="28">
        <f>VLOOKUP($A166,tabCustoUnit[],COLUMN(CUSTO_GLOBAL[[#Headers],[ISS]])-2,0)</f>
        <v>0.03</v>
      </c>
      <c r="BU166" s="26">
        <f>VLOOKUP($A166,tabCustoUnit[],COLUMN(CUSTO_GLOBAL[[#Headers],[ISS (Conversão Alíquota s/ fatura)]])-2,0)</f>
        <v>3.4188034188034219E-2</v>
      </c>
      <c r="BV166" s="26">
        <f>VLOOKUP($A166,tabCustoUnit[],COLUMN(CUSTO_GLOBAL[[#Headers],[Resumo de Alíquotas (PIS+CONFINS+ISS)]])-2,0)</f>
        <v>0.1225</v>
      </c>
      <c r="BW166" s="138">
        <f>VLOOKUP($A166,tabCustoUnit[],COLUMN(CUSTO_GLOBAL[[#Headers],[PIS + COFINS + ISS (Total Conversão  Alíquota s/ Fatura)]])-2,0)</f>
        <v>0.13960113960113973</v>
      </c>
      <c r="BX166" s="22">
        <f>VLOOKUP($A166,tabCustoUnit[],COLUMN(CUSTO_GLOBAL[[#Headers],[Valor dos Tributos (ISS, PIS, CONFINS)]])-2,0)*($G166-$H166)</f>
        <v>344.41866789250349</v>
      </c>
      <c r="BY166" s="22">
        <f>VLOOKUP($A166,tabCustoUnit[],COLUMN(CUSTO_GLOBAL[[#Headers],[MÓDULO 6 – CUSTOS INDIRETOS, TRIBUTOS E LUCRO]])-2,0)*($G166-$H166)</f>
        <v>693.37246247296753</v>
      </c>
      <c r="BZ166" s="22">
        <f>VLOOKUP($A166,tabCustoUnit[],COLUMN(CUSTO_GLOBAL[[#Headers],[CUSTO TOTAL MENSAL]])-2,0)*($G166-$H166)</f>
        <v>2811.5809623877813</v>
      </c>
      <c r="CA166" s="22">
        <f>CUSTO_GLOBAL[[#This Row],[CUSTO TOTAL MENSAL]]*12</f>
        <v>33738.971548653375</v>
      </c>
      <c r="CB166" s="24">
        <f>VLOOKUP($A166,tabCustoUnit[],COLUMN(CUSTO_GLOBAL[[#Headers],[ANO DA CCT]])-2,0)</f>
        <v>45658</v>
      </c>
      <c r="CC166" s="25" t="str">
        <f>VLOOKUP($A166,tabCustoUnit[],COLUMN(CUSTO_GLOBAL[[#Headers],[Nº DE PEDIDO DA CCT]])-2,0)</f>
        <v>-</v>
      </c>
      <c r="CD166" s="25" t="str">
        <f>VLOOKUP($A166,tabCustoUnit[],COLUMN(CUSTO_GLOBAL[[#Headers],[TERMO ADITIVO  ALTERAÇÃO DA CCT]])-2,0)</f>
        <v>-</v>
      </c>
      <c r="CF166" s="22"/>
      <c r="CG166" s="22"/>
    </row>
    <row r="167" spans="1:85" x14ac:dyDescent="0.25">
      <c r="A167" s="20" t="s">
        <v>1503</v>
      </c>
      <c r="B167" t="s">
        <v>151</v>
      </c>
      <c r="C167" t="s">
        <v>1244</v>
      </c>
      <c r="D167" t="s">
        <v>1000</v>
      </c>
      <c r="E167" s="20" t="s">
        <v>9</v>
      </c>
      <c r="F167" s="20" t="s">
        <v>10</v>
      </c>
      <c r="G167" s="20">
        <v>1</v>
      </c>
      <c r="H167" s="20">
        <v>0</v>
      </c>
      <c r="I167" s="21">
        <f>VLOOKUP($A167,tabCustoUnit[],COLUMN(CUSTO_GLOBAL[[#Headers],[Salário Base]])-2,0)*($G167-$H167)</f>
        <v>798.14</v>
      </c>
      <c r="J167" s="21">
        <f>VLOOKUP($A167,tabCustoUnit[],COLUMN(CUSTO_GLOBAL[[#Headers],[Adicional Periculosidade]])-2,0)*($G167-$H167)</f>
        <v>0</v>
      </c>
      <c r="K167" s="21">
        <f>VLOOKUP($A167,tabCustoUnit[],COLUMN(CUSTO_GLOBAL[[#Headers],[Adicional Insalubridade]])-2,0)*($G167-$H167)</f>
        <v>0</v>
      </c>
      <c r="L167" s="21">
        <f>VLOOKUP($A167,tabCustoUnit[],COLUMN(CUSTO_GLOBAL[[#Headers],[Adicional Noturno]])-2,0)*($G167-$H167)</f>
        <v>0</v>
      </c>
      <c r="M167" s="21">
        <f>VLOOKUP($A167,tabCustoUnit[],COLUMN(CUSTO_GLOBAL[[#Headers],[Adicional Motorista II (Gratificação)]])-2,0)*($G167-$H167)</f>
        <v>0</v>
      </c>
      <c r="N167" s="21">
        <f>VLOOKUP($A167,tabCustoUnit[],COLUMN(CUSTO_GLOBAL[[#Headers],[Adicional de Sobreaviso]])-2,0)*($G167-$H167)</f>
        <v>0</v>
      </c>
      <c r="O167" s="21">
        <f>VLOOKUP($A167,tabCustoUnit[],COLUMN(CUSTO_GLOBAL[[#Headers],[Horas Extras TI]])-2,0)*($G167-$H167)</f>
        <v>0</v>
      </c>
      <c r="P167" s="21">
        <f>VLOOKUP($A167,tabCustoUnit[],COLUMN(CUSTO_GLOBAL[[#Headers],[Adicional de Acúmulo de função]])-2,0)*($G167-$H167)</f>
        <v>26.120899999999999</v>
      </c>
      <c r="Q167" s="21">
        <f>VLOOKUP($A167,tabCustoUnit[],COLUMN(CUSTO_GLOBAL[[#Headers],[MODULO 1 - REMUNERAÇÃO ]])-2,0)*($G167-$H167)</f>
        <v>824.26089999999999</v>
      </c>
      <c r="R167" s="21">
        <f>VLOOKUP($A167,tabCustoUnit[],COLUMN(CUSTO_GLOBAL[[#Headers],[INSS]])-2,0)*($G167-$H167)</f>
        <v>164.85218</v>
      </c>
      <c r="S167" s="21">
        <f>VLOOKUP($A167,tabCustoUnit[],COLUMN(CUSTO_GLOBAL[[#Headers],[SESI OU SESC]])-2,0)*($G167-$H167)</f>
        <v>12.363913499999999</v>
      </c>
      <c r="T167" s="21">
        <f>VLOOKUP($A167,tabCustoUnit[],COLUMN(CUSTO_GLOBAL[[#Headers],[SENAI OU SENAC]])-2,0)*($G167-$H167)</f>
        <v>8.2426089999999999</v>
      </c>
      <c r="U167" s="21">
        <f>VLOOKUP($A167,tabCustoUnit[],COLUMN(CUSTO_GLOBAL[[#Headers],[INCRA]])-2,0)*($G167-$H167)</f>
        <v>1.6485217999999999</v>
      </c>
      <c r="V167" s="21">
        <f>VLOOKUP($A167,tabCustoUnit[],COLUMN(CUSTO_GLOBAL[[#Headers],[Salário Educação]])-2,0)*($G167-$H167)</f>
        <v>20.606522500000001</v>
      </c>
      <c r="W167" s="21">
        <f>VLOOKUP($A167,tabCustoUnit[],COLUMN(CUSTO_GLOBAL[[#Headers],[FGTS]])-2,0)*($G167-$H167)</f>
        <v>65.940871999999999</v>
      </c>
      <c r="X167" s="21">
        <f>VLOOKUP($A167,tabCustoUnit[],COLUMN(CUSTO_GLOBAL[[#Headers],[RAT Ajustado]])-2,0)*($G167-$H167)</f>
        <v>32.970435999999999</v>
      </c>
      <c r="Y167" s="21">
        <f>VLOOKUP($A167,tabCustoUnit[],COLUMN(CUSTO_GLOBAL[[#Headers],[SEBRAE]])-2,0)*($G167-$H167)</f>
        <v>4.9455654000000004</v>
      </c>
      <c r="Z167" s="21">
        <f>VLOOKUP($A167,tabCustoUnit[],COLUMN(CUSTO_GLOBAL[[#Headers],[Submódulo 2.1]])-2,0)*($G167-$H167)</f>
        <v>311.57062020000001</v>
      </c>
      <c r="AA167" s="21">
        <f>VLOOKUP($A167,tabCustoUnit[],COLUMN(CUSTO_GLOBAL[[#Headers],[13º salário (titular)]])-2,0)*($G167-$H167)</f>
        <v>68.688408333333328</v>
      </c>
      <c r="AB167" s="21">
        <f>VLOOKUP($A167,tabCustoUnit[],COLUMN(CUSTO_GLOBAL[[#Headers],[Férias e Adicional de Férias (titular)]])-2,0)*($G167-$H167)</f>
        <v>91.584544444444433</v>
      </c>
      <c r="AC167" s="21">
        <f>VLOOKUP($A167,tabCustoUnit[],COLUMN(CUSTO_GLOBAL[[#Headers],[Incidência do Submódulo 2.1 sobre 13º Salário, Férias e Adicional de Férias]])-2,0)*($G167-$H167)</f>
        <v>60.583176149999993</v>
      </c>
      <c r="AD167" s="21">
        <f>VLOOKUP($A167,tabCustoUnit[],COLUMN(CUSTO_GLOBAL[[#Headers],[Submódulo 2.2]])-2,0)*($G167-$H167)</f>
        <v>220.85612892777775</v>
      </c>
      <c r="AE167" s="22">
        <f>VLOOKUP($A167,tabCustoUnit[],COLUMN(CUSTO_GLOBAL[[#Headers],[Vale - Transporte (Descontada parcela do empregado)]])-2,0)*($G167-$H167)</f>
        <v>208.11160000000001</v>
      </c>
      <c r="AF167" s="22">
        <f>VLOOKUP($A167,tabCustoUnit[],COLUMN(CUSTO_GLOBAL[[#Headers],[Vale - Alimentação (Descontada parcela do empregado)]])-2,0)*($G167-$H167)</f>
        <v>582</v>
      </c>
      <c r="AG167" s="22">
        <f>VLOOKUP($A167,tabCustoUnit[],COLUMN(CUSTO_GLOBAL[[#Headers],[Cesta Básica]])-2,0)*($G167-$H167)</f>
        <v>0</v>
      </c>
      <c r="AH167" s="22">
        <f>VLOOKUP($A167,tabCustoUnit[],COLUMN(CUSTO_GLOBAL[[#Headers],[PAF]])-2,0)*($G167-$H167)</f>
        <v>0</v>
      </c>
      <c r="AI167" s="22">
        <f>VLOOKUP($A167,tabCustoUnit[],COLUMN(CUSTO_GLOBAL[[#Headers],[PQM]])-2,0)*($G167-$H167)</f>
        <v>15.07</v>
      </c>
      <c r="AJ167" s="22">
        <v>0</v>
      </c>
      <c r="AK167" s="22">
        <f>VLOOKUP($A167,tabCustoUnit[],COLUMN(CUSTO_GLOBAL[[#Headers],[Seguro de Vida]])-2,0)*($G167-$H167)</f>
        <v>3.36</v>
      </c>
      <c r="AL167" s="22">
        <f>VLOOKUP($A167,tabCustoUnit[],COLUMN(CUSTO_GLOBAL[[#Headers],[Despesas de Viagem]])-2,0)*($G167-$H167)</f>
        <v>0</v>
      </c>
      <c r="AM167" s="22">
        <f>VLOOKUP($A167,tabCustoUnit[],COLUMN(CUSTO_GLOBAL[[#Headers],[Submódulo 2.3]])-2,0)*($G167-$H167)</f>
        <v>808.54160000000002</v>
      </c>
      <c r="AN167" s="22">
        <f>VLOOKUP($A167,tabCustoUnit[],COLUMN(CUSTO_GLOBAL[[#Headers],[MÓDULO 2 - Total Encargos e Benefícios mensais e diários]])-2,0)*($G167-$H167)</f>
        <v>1340.9683491277779</v>
      </c>
      <c r="AO167" s="22">
        <f>VLOOKUP($A167,tabCustoUnit[],COLUMN(CUSTO_GLOBAL[[#Headers],[Aviso Prévio Indenizado (API) e Reflexo do Aviso Prévio Indenizado]])-2,0)*($G167-$H167)</f>
        <v>5.7795253576581791</v>
      </c>
      <c r="AP167" s="22">
        <f>VLOOKUP($A167,tabCustoUnit[],COLUMN(CUSTO_GLOBAL[[#Headers],[Incidência do FGTS sobre API e Reflexo do API]])-2,0)*($G167-$H167)</f>
        <v>0.46236202861265435</v>
      </c>
      <c r="AQ167" s="22">
        <f>VLOOKUP($A167,tabCustoUnit[],COLUMN(CUSTO_GLOBAL[[#Headers],[Multa Rescisória do FGTS sobre o Aviso Prévio Indenizado]])-2,0)*($G167-$H167)</f>
        <v>0.18494481144506175</v>
      </c>
      <c r="AR167" s="22">
        <f>VLOOKUP($A167,tabCustoUnit[],COLUMN(CUSTO_GLOBAL[[#Headers],[Aviso Prévio Trabalhado - APT]])-2,0)*($G167-$H167)</f>
        <v>2.8849131500000005</v>
      </c>
      <c r="AS167" s="22">
        <f>VLOOKUP($A167,tabCustoUnit[],COLUMN(CUSTO_GLOBAL[[#Headers],[Incidência dos encargos do submódulo 2.1 sobre Aviso Prévio Trabalhado]])-2,0)*($G167-$H167)</f>
        <v>1.0904971707000004</v>
      </c>
      <c r="AT167" s="22">
        <f>VLOOKUP($A167,tabCustoUnit[],COLUMN(CUSTO_GLOBAL[[#Headers],[Multa Rescisória do FGTS]])-2,0)*($G167-$H167)</f>
        <v>25.204066631111107</v>
      </c>
      <c r="AU167" s="22">
        <f>VLOOKUP($A167,tabCustoUnit[],COLUMN(CUSTO_GLOBAL[[#Headers],[Indenização Adicional (Art. 9º da Lei nº 7.238/84)]])-2,0)*($G167-$H167)</f>
        <v>0.6868840833333334</v>
      </c>
      <c r="AV167" s="22">
        <f>VLOOKUP($A167,tabCustoUnit[],COLUMN(CUSTO_GLOBAL[[#Headers],[MÓDULO 3 – PROVISÃO PARA RESCISÃO]])-2,0)*($G167-$H167)</f>
        <v>36.293193232860339</v>
      </c>
      <c r="AW167" s="22">
        <f>VLOOKUP($A167,tabCustoUnit[],COLUMN(CUSTO_GLOBAL[[#Headers],[Ausência por Doença]])-2,0)*($G167-$H167)</f>
        <v>6.9604253777777769</v>
      </c>
      <c r="AX167" s="22">
        <f>VLOOKUP($A167,tabCustoUnit[],COLUMN(CUSTO_GLOBAL[[#Headers],[Ausências Legais]])-2,0)*($G167-$H167)</f>
        <v>1.671417936111111</v>
      </c>
      <c r="AY167" s="22">
        <f>VLOOKUP($A167,tabCustoUnit[],COLUMN(CUSTO_GLOBAL[[#Headers],[Licença Paternidade]])-2,0)*($G167-$H167)</f>
        <v>0.14081123708333332</v>
      </c>
      <c r="AZ167" s="22">
        <f>VLOOKUP($A167,tabCustoUnit[],COLUMN(CUSTO_GLOBAL[[#Headers],[Ausência por Acidente de Trabalho]])-2,0)*($G167-$H167)</f>
        <v>0.17172102083333335</v>
      </c>
      <c r="BA167" s="22">
        <f>VLOOKUP($A167,tabCustoUnit[],COLUMN(CUSTO_GLOBAL[[#Headers],[Férias, Adicional de Férias e 13º  com empregada em gozo de Licença Maternidade]])-2,0)*($G167-$H167)</f>
        <v>1.0684863518518517</v>
      </c>
      <c r="BB167" s="22">
        <f>VLOOKUP($A167,tabCustoUnit[],COLUMN(CUSTO_GLOBAL[[#Headers],[Incidência do Submódulo 2.1 sobre Ausências Legais]])-2,0)*($G167-$H167)</f>
        <v>3.7848618071425006</v>
      </c>
      <c r="BC167" s="22">
        <f>VLOOKUP($A167,tabCustoUnit[],COLUMN(CUSTO_GLOBAL[[#Headers],[Submódulo 4.1]])-2,0)*($G167-$H167)</f>
        <v>13.797723730799909</v>
      </c>
      <c r="BD167" s="22">
        <f>VLOOKUP($A167,tabCustoUnit[],COLUMN(CUSTO_GLOBAL[[#Headers],[Intervalo para Repouso ou Alimentação]])-2,0)*($G167-$H167)</f>
        <v>0</v>
      </c>
      <c r="BE167" s="22">
        <f>VLOOKUP($A167,tabCustoUnit[],COLUMN(CUSTO_GLOBAL[[#Headers],[Submódulo 4.2]])-2,0)*($G167-$H167)</f>
        <v>0</v>
      </c>
      <c r="BF167" s="22">
        <f>VLOOKUP($A167,tabCustoUnit[],COLUMN(CUSTO_GLOBAL[[#Headers],[Suspensão Temporária do Contrato de Trabalho]])-2,0)*($G167-$H167)</f>
        <v>0</v>
      </c>
      <c r="BG167" s="22">
        <f>VLOOKUP($A167,tabCustoUnit[],COLUMN(CUSTO_GLOBAL[[#Headers],[Submódulo 4.3]])-2,0)*($G167-$H167)</f>
        <v>0</v>
      </c>
      <c r="BH167" s="22">
        <f>VLOOKUP($A167,tabCustoUnit[],COLUMN(CUSTO_GLOBAL[[#Headers],[MÓDULO 4 – CUSTO DE REPOSIÇÃO DO PROFISSIONAL AUSENTE]])-2,0)*($G167-$H167)</f>
        <v>13.797723730799909</v>
      </c>
      <c r="BI167" s="22">
        <f>VLOOKUP($A167,tabCustoUnit[],COLUMN(CUSTO_GLOBAL[[#Headers],[Uniformes e EPIs]])-2,0)*($G167-$H167)</f>
        <v>62.806666666666665</v>
      </c>
      <c r="BJ167" s="22">
        <f>VLOOKUP($A167,tabCustoUnit[],COLUMN(CUSTO_GLOBAL[[#Headers],[Materiais de Consumo]])-2,0)*($G167-$H167)</f>
        <v>17.759106479291944</v>
      </c>
      <c r="BK167" s="22">
        <f>VLOOKUP($A167,tabCustoUnit[],COLUMN(CUSTO_GLOBAL[[#Headers],[Máquinas e Equipamentos (depreciação)]])-2,0)*($G167-$H167)</f>
        <v>32.264696957412788</v>
      </c>
      <c r="BL167" s="22">
        <f>VLOOKUP($A167,tabCustoUnit[],COLUMN(CUSTO_GLOBAL[[#Headers],[Produtos de Limpeza e Materiais de Higiene Pessoal]])-2,0)*($G167-$H167)</f>
        <v>345.13576638965827</v>
      </c>
      <c r="BM167" s="22">
        <f>VLOOKUP($A167,tabCustoUnit[],COLUMN(CUSTO_GLOBAL[[#Headers],[Outros (especificar)]])-2,0)*($G167-$H167)</f>
        <v>0</v>
      </c>
      <c r="BN167" s="22">
        <f>VLOOKUP($A167,tabCustoUnit[],COLUMN(CUSTO_GLOBAL[[#Headers],[MÓDULO 5 – INSUMOS DIVERSOS]])-2,0)*($G167-$H167)</f>
        <v>457.96623649302967</v>
      </c>
      <c r="BO167" s="22">
        <f>VLOOKUP($A167,tabCustoUnit[],COLUMN(CUSTO_GLOBAL[[#Headers],[TOTAL MÓDULOS 1+2+3+4+5]])-2,0)*($G167-$H167)</f>
        <v>2673.2864025844674</v>
      </c>
      <c r="BP167" s="22">
        <f>VLOOKUP($A167,tabCustoUnit[],COLUMN(CUSTO_GLOBAL[[#Headers],[Custos Indiretos]])-2,0)*($G167-$H167)</f>
        <v>189.64880140242613</v>
      </c>
      <c r="BQ167" s="22">
        <f>VLOOKUP($A167,tabCustoUnit[],COLUMN(CUSTO_GLOBAL[[#Headers],[Lucro]])-2,0)*($G167-$H167)</f>
        <v>159.30499317803796</v>
      </c>
      <c r="BR167" s="26">
        <f>VLOOKUP($A167,tabCustoUnit[],COLUMN(CUSTO_GLOBAL[[#Headers],[COFINS]])-2,0)</f>
        <v>8.6609686609686695E-2</v>
      </c>
      <c r="BS167" s="26">
        <f>VLOOKUP($A167,tabCustoUnit[],COLUMN(CUSTO_GLOBAL[[#Headers],[PIS]])-2,0)</f>
        <v>1.880341880341882E-2</v>
      </c>
      <c r="BT167" s="28">
        <f>VLOOKUP($A167,tabCustoUnit[],COLUMN(CUSTO_GLOBAL[[#Headers],[ISS]])-2,0)</f>
        <v>0.03</v>
      </c>
      <c r="BU167" s="26">
        <f>VLOOKUP($A167,tabCustoUnit[],COLUMN(CUSTO_GLOBAL[[#Headers],[ISS (Conversão Alíquota s/ fatura)]])-2,0)</f>
        <v>3.4188034188034219E-2</v>
      </c>
      <c r="BV167" s="26">
        <f>VLOOKUP($A167,tabCustoUnit[],COLUMN(CUSTO_GLOBAL[[#Headers],[Resumo de Alíquotas (PIS+CONFINS+ISS)]])-2,0)</f>
        <v>0.1225</v>
      </c>
      <c r="BW167" s="138">
        <f>VLOOKUP($A167,tabCustoUnit[],COLUMN(CUSTO_GLOBAL[[#Headers],[PIS + COFINS + ISS (Total Conversão  Alíquota s/ Fatura)]])-2,0)</f>
        <v>0.13960113960113973</v>
      </c>
      <c r="BX167" s="22">
        <f>VLOOKUP($A167,tabCustoUnit[],COLUMN(CUSTO_GLOBAL[[#Headers],[Valor dos Tributos (ISS, PIS, CONFINS)]])-2,0)*($G167-$H167)</f>
        <v>421.90817567259768</v>
      </c>
      <c r="BY167" s="22">
        <f>VLOOKUP($A167,tabCustoUnit[],COLUMN(CUSTO_GLOBAL[[#Headers],[MÓDULO 6 – CUSTOS INDIRETOS, TRIBUTOS E LUCRO]])-2,0)*($G167-$H167)</f>
        <v>770.86197025306183</v>
      </c>
      <c r="BZ167" s="22">
        <f>VLOOKUP($A167,tabCustoUnit[],COLUMN(CUSTO_GLOBAL[[#Headers],[CUSTO TOTAL MENSAL]])-2,0)*($G167-$H167)</f>
        <v>3444.1483728375292</v>
      </c>
      <c r="CA167" s="22">
        <f>CUSTO_GLOBAL[[#This Row],[CUSTO TOTAL MENSAL]]*12</f>
        <v>41329.780474050349</v>
      </c>
      <c r="CB167" s="24">
        <f>VLOOKUP($A167,tabCustoUnit[],COLUMN(CUSTO_GLOBAL[[#Headers],[ANO DA CCT]])-2,0)</f>
        <v>45658</v>
      </c>
      <c r="CC167" s="25" t="str">
        <f>VLOOKUP($A167,tabCustoUnit[],COLUMN(CUSTO_GLOBAL[[#Headers],[Nº DE PEDIDO DA CCT]])-2,0)</f>
        <v>-</v>
      </c>
      <c r="CD167" s="25" t="str">
        <f>VLOOKUP($A167,tabCustoUnit[],COLUMN(CUSTO_GLOBAL[[#Headers],[TERMO ADITIVO  ALTERAÇÃO DA CCT]])-2,0)</f>
        <v>-</v>
      </c>
      <c r="CF167" s="22"/>
      <c r="CG167" s="22"/>
    </row>
    <row r="168" spans="1:85" x14ac:dyDescent="0.25">
      <c r="A168" s="20" t="s">
        <v>1504</v>
      </c>
      <c r="B168" t="s">
        <v>152</v>
      </c>
      <c r="C168" t="s">
        <v>1244</v>
      </c>
      <c r="D168" t="s">
        <v>1026</v>
      </c>
      <c r="E168" s="20" t="s">
        <v>9</v>
      </c>
      <c r="F168" s="20" t="s">
        <v>10</v>
      </c>
      <c r="G168" s="20">
        <v>1</v>
      </c>
      <c r="H168" s="20">
        <v>0</v>
      </c>
      <c r="I168" s="21">
        <f>VLOOKUP($A168,tabCustoUnit[],COLUMN(CUSTO_GLOBAL[[#Headers],[Salário Base]])-2,0)*($G168-$H168)</f>
        <v>798.14</v>
      </c>
      <c r="J168" s="21">
        <f>VLOOKUP($A168,tabCustoUnit[],COLUMN(CUSTO_GLOBAL[[#Headers],[Adicional Periculosidade]])-2,0)*($G168-$H168)</f>
        <v>0</v>
      </c>
      <c r="K168" s="21">
        <f>VLOOKUP($A168,tabCustoUnit[],COLUMN(CUSTO_GLOBAL[[#Headers],[Adicional Insalubridade]])-2,0)*($G168-$H168)</f>
        <v>0</v>
      </c>
      <c r="L168" s="21">
        <f>VLOOKUP($A168,tabCustoUnit[],COLUMN(CUSTO_GLOBAL[[#Headers],[Adicional Noturno]])-2,0)*($G168-$H168)</f>
        <v>0</v>
      </c>
      <c r="M168" s="21">
        <f>VLOOKUP($A168,tabCustoUnit[],COLUMN(CUSTO_GLOBAL[[#Headers],[Adicional Motorista II (Gratificação)]])-2,0)*($G168-$H168)</f>
        <v>0</v>
      </c>
      <c r="N168" s="21">
        <f>VLOOKUP($A168,tabCustoUnit[],COLUMN(CUSTO_GLOBAL[[#Headers],[Adicional de Sobreaviso]])-2,0)*($G168-$H168)</f>
        <v>0</v>
      </c>
      <c r="O168" s="21">
        <f>VLOOKUP($A168,tabCustoUnit[],COLUMN(CUSTO_GLOBAL[[#Headers],[Horas Extras TI]])-2,0)*($G168-$H168)</f>
        <v>0</v>
      </c>
      <c r="P168" s="21">
        <f>VLOOKUP($A168,tabCustoUnit[],COLUMN(CUSTO_GLOBAL[[#Headers],[Adicional de Acúmulo de função]])-2,0)*($G168-$H168)</f>
        <v>26.120899999999999</v>
      </c>
      <c r="Q168" s="21">
        <f>VLOOKUP($A168,tabCustoUnit[],COLUMN(CUSTO_GLOBAL[[#Headers],[MODULO 1 - REMUNERAÇÃO ]])-2,0)*($G168-$H168)</f>
        <v>824.26089999999999</v>
      </c>
      <c r="R168" s="21">
        <f>VLOOKUP($A168,tabCustoUnit[],COLUMN(CUSTO_GLOBAL[[#Headers],[INSS]])-2,0)*($G168-$H168)</f>
        <v>164.85218</v>
      </c>
      <c r="S168" s="21">
        <f>VLOOKUP($A168,tabCustoUnit[],COLUMN(CUSTO_GLOBAL[[#Headers],[SESI OU SESC]])-2,0)*($G168-$H168)</f>
        <v>12.363913499999999</v>
      </c>
      <c r="T168" s="21">
        <f>VLOOKUP($A168,tabCustoUnit[],COLUMN(CUSTO_GLOBAL[[#Headers],[SENAI OU SENAC]])-2,0)*($G168-$H168)</f>
        <v>8.2426089999999999</v>
      </c>
      <c r="U168" s="21">
        <f>VLOOKUP($A168,tabCustoUnit[],COLUMN(CUSTO_GLOBAL[[#Headers],[INCRA]])-2,0)*($G168-$H168)</f>
        <v>1.6485217999999999</v>
      </c>
      <c r="V168" s="21">
        <f>VLOOKUP($A168,tabCustoUnit[],COLUMN(CUSTO_GLOBAL[[#Headers],[Salário Educação]])-2,0)*($G168-$H168)</f>
        <v>20.606522500000001</v>
      </c>
      <c r="W168" s="21">
        <f>VLOOKUP($A168,tabCustoUnit[],COLUMN(CUSTO_GLOBAL[[#Headers],[FGTS]])-2,0)*($G168-$H168)</f>
        <v>65.940871999999999</v>
      </c>
      <c r="X168" s="21">
        <f>VLOOKUP($A168,tabCustoUnit[],COLUMN(CUSTO_GLOBAL[[#Headers],[RAT Ajustado]])-2,0)*($G168-$H168)</f>
        <v>32.970435999999999</v>
      </c>
      <c r="Y168" s="21">
        <f>VLOOKUP($A168,tabCustoUnit[],COLUMN(CUSTO_GLOBAL[[#Headers],[SEBRAE]])-2,0)*($G168-$H168)</f>
        <v>4.9455654000000004</v>
      </c>
      <c r="Z168" s="21">
        <f>VLOOKUP($A168,tabCustoUnit[],COLUMN(CUSTO_GLOBAL[[#Headers],[Submódulo 2.1]])-2,0)*($G168-$H168)</f>
        <v>311.57062020000001</v>
      </c>
      <c r="AA168" s="21">
        <f>VLOOKUP($A168,tabCustoUnit[],COLUMN(CUSTO_GLOBAL[[#Headers],[13º salário (titular)]])-2,0)*($G168-$H168)</f>
        <v>68.688408333333328</v>
      </c>
      <c r="AB168" s="21">
        <f>VLOOKUP($A168,tabCustoUnit[],COLUMN(CUSTO_GLOBAL[[#Headers],[Férias e Adicional de Férias (titular)]])-2,0)*($G168-$H168)</f>
        <v>91.584544444444433</v>
      </c>
      <c r="AC168" s="21">
        <f>VLOOKUP($A168,tabCustoUnit[],COLUMN(CUSTO_GLOBAL[[#Headers],[Incidência do Submódulo 2.1 sobre 13º Salário, Férias e Adicional de Férias]])-2,0)*($G168-$H168)</f>
        <v>60.583176149999993</v>
      </c>
      <c r="AD168" s="21">
        <f>VLOOKUP($A168,tabCustoUnit[],COLUMN(CUSTO_GLOBAL[[#Headers],[Submódulo 2.2]])-2,0)*($G168-$H168)</f>
        <v>220.85612892777775</v>
      </c>
      <c r="AE168" s="22">
        <f>VLOOKUP($A168,tabCustoUnit[],COLUMN(CUSTO_GLOBAL[[#Headers],[Vale - Transporte (Descontada parcela do empregado)]])-2,0)*($G168-$H168)</f>
        <v>208.11160000000001</v>
      </c>
      <c r="AF168" s="22">
        <f>VLOOKUP($A168,tabCustoUnit[],COLUMN(CUSTO_GLOBAL[[#Headers],[Vale - Alimentação (Descontada parcela do empregado)]])-2,0)*($G168-$H168)</f>
        <v>582</v>
      </c>
      <c r="AG168" s="22">
        <f>VLOOKUP($A168,tabCustoUnit[],COLUMN(CUSTO_GLOBAL[[#Headers],[Cesta Básica]])-2,0)*($G168-$H168)</f>
        <v>0</v>
      </c>
      <c r="AH168" s="22">
        <f>VLOOKUP($A168,tabCustoUnit[],COLUMN(CUSTO_GLOBAL[[#Headers],[PAF]])-2,0)*($G168-$H168)</f>
        <v>0</v>
      </c>
      <c r="AI168" s="22">
        <f>VLOOKUP($A168,tabCustoUnit[],COLUMN(CUSTO_GLOBAL[[#Headers],[PQM]])-2,0)*($G168-$H168)</f>
        <v>15.07</v>
      </c>
      <c r="AJ168" s="22">
        <v>0</v>
      </c>
      <c r="AK168" s="22">
        <f>VLOOKUP($A168,tabCustoUnit[],COLUMN(CUSTO_GLOBAL[[#Headers],[Seguro de Vida]])-2,0)*($G168-$H168)</f>
        <v>3.36</v>
      </c>
      <c r="AL168" s="22">
        <f>VLOOKUP($A168,tabCustoUnit[],COLUMN(CUSTO_GLOBAL[[#Headers],[Despesas de Viagem]])-2,0)*($G168-$H168)</f>
        <v>0</v>
      </c>
      <c r="AM168" s="22">
        <f>VLOOKUP($A168,tabCustoUnit[],COLUMN(CUSTO_GLOBAL[[#Headers],[Submódulo 2.3]])-2,0)*($G168-$H168)</f>
        <v>808.54160000000002</v>
      </c>
      <c r="AN168" s="22">
        <f>VLOOKUP($A168,tabCustoUnit[],COLUMN(CUSTO_GLOBAL[[#Headers],[MÓDULO 2 - Total Encargos e Benefícios mensais e diários]])-2,0)*($G168-$H168)</f>
        <v>1340.9683491277779</v>
      </c>
      <c r="AO168" s="22">
        <f>VLOOKUP($A168,tabCustoUnit[],COLUMN(CUSTO_GLOBAL[[#Headers],[Aviso Prévio Indenizado (API) e Reflexo do Aviso Prévio Indenizado]])-2,0)*($G168-$H168)</f>
        <v>5.7795253576581791</v>
      </c>
      <c r="AP168" s="22">
        <f>VLOOKUP($A168,tabCustoUnit[],COLUMN(CUSTO_GLOBAL[[#Headers],[Incidência do FGTS sobre API e Reflexo do API]])-2,0)*($G168-$H168)</f>
        <v>0.46236202861265435</v>
      </c>
      <c r="AQ168" s="22">
        <f>VLOOKUP($A168,tabCustoUnit[],COLUMN(CUSTO_GLOBAL[[#Headers],[Multa Rescisória do FGTS sobre o Aviso Prévio Indenizado]])-2,0)*($G168-$H168)</f>
        <v>0.18494481144506175</v>
      </c>
      <c r="AR168" s="22">
        <f>VLOOKUP($A168,tabCustoUnit[],COLUMN(CUSTO_GLOBAL[[#Headers],[Aviso Prévio Trabalhado - APT]])-2,0)*($G168-$H168)</f>
        <v>2.8849131500000005</v>
      </c>
      <c r="AS168" s="22">
        <f>VLOOKUP($A168,tabCustoUnit[],COLUMN(CUSTO_GLOBAL[[#Headers],[Incidência dos encargos do submódulo 2.1 sobre Aviso Prévio Trabalhado]])-2,0)*($G168-$H168)</f>
        <v>1.0904971707000004</v>
      </c>
      <c r="AT168" s="22">
        <f>VLOOKUP($A168,tabCustoUnit[],COLUMN(CUSTO_GLOBAL[[#Headers],[Multa Rescisória do FGTS]])-2,0)*($G168-$H168)</f>
        <v>25.204066631111107</v>
      </c>
      <c r="AU168" s="22">
        <f>VLOOKUP($A168,tabCustoUnit[],COLUMN(CUSTO_GLOBAL[[#Headers],[Indenização Adicional (Art. 9º da Lei nº 7.238/84)]])-2,0)*($G168-$H168)</f>
        <v>0.6868840833333334</v>
      </c>
      <c r="AV168" s="22">
        <f>VLOOKUP($A168,tabCustoUnit[],COLUMN(CUSTO_GLOBAL[[#Headers],[MÓDULO 3 – PROVISÃO PARA RESCISÃO]])-2,0)*($G168-$H168)</f>
        <v>36.293193232860339</v>
      </c>
      <c r="AW168" s="22">
        <f>VLOOKUP($A168,tabCustoUnit[],COLUMN(CUSTO_GLOBAL[[#Headers],[Ausência por Doença]])-2,0)*($G168-$H168)</f>
        <v>6.9604253777777769</v>
      </c>
      <c r="AX168" s="22">
        <f>VLOOKUP($A168,tabCustoUnit[],COLUMN(CUSTO_GLOBAL[[#Headers],[Ausências Legais]])-2,0)*($G168-$H168)</f>
        <v>1.671417936111111</v>
      </c>
      <c r="AY168" s="22">
        <f>VLOOKUP($A168,tabCustoUnit[],COLUMN(CUSTO_GLOBAL[[#Headers],[Licença Paternidade]])-2,0)*($G168-$H168)</f>
        <v>0.14081123708333332</v>
      </c>
      <c r="AZ168" s="22">
        <f>VLOOKUP($A168,tabCustoUnit[],COLUMN(CUSTO_GLOBAL[[#Headers],[Ausência por Acidente de Trabalho]])-2,0)*($G168-$H168)</f>
        <v>0.17172102083333335</v>
      </c>
      <c r="BA168" s="22">
        <f>VLOOKUP($A168,tabCustoUnit[],COLUMN(CUSTO_GLOBAL[[#Headers],[Férias, Adicional de Férias e 13º  com empregada em gozo de Licença Maternidade]])-2,0)*($G168-$H168)</f>
        <v>1.0684863518518517</v>
      </c>
      <c r="BB168" s="22">
        <f>VLOOKUP($A168,tabCustoUnit[],COLUMN(CUSTO_GLOBAL[[#Headers],[Incidência do Submódulo 2.1 sobre Ausências Legais]])-2,0)*($G168-$H168)</f>
        <v>3.7848618071425006</v>
      </c>
      <c r="BC168" s="22">
        <f>VLOOKUP($A168,tabCustoUnit[],COLUMN(CUSTO_GLOBAL[[#Headers],[Submódulo 4.1]])-2,0)*($G168-$H168)</f>
        <v>13.797723730799909</v>
      </c>
      <c r="BD168" s="22">
        <f>VLOOKUP($A168,tabCustoUnit[],COLUMN(CUSTO_GLOBAL[[#Headers],[Intervalo para Repouso ou Alimentação]])-2,0)*($G168-$H168)</f>
        <v>0</v>
      </c>
      <c r="BE168" s="22">
        <f>VLOOKUP($A168,tabCustoUnit[],COLUMN(CUSTO_GLOBAL[[#Headers],[Submódulo 4.2]])-2,0)*($G168-$H168)</f>
        <v>0</v>
      </c>
      <c r="BF168" s="22">
        <f>VLOOKUP($A168,tabCustoUnit[],COLUMN(CUSTO_GLOBAL[[#Headers],[Suspensão Temporária do Contrato de Trabalho]])-2,0)*($G168-$H168)</f>
        <v>0</v>
      </c>
      <c r="BG168" s="22">
        <f>VLOOKUP($A168,tabCustoUnit[],COLUMN(CUSTO_GLOBAL[[#Headers],[Submódulo 4.3]])-2,0)*($G168-$H168)</f>
        <v>0</v>
      </c>
      <c r="BH168" s="22">
        <f>VLOOKUP($A168,tabCustoUnit[],COLUMN(CUSTO_GLOBAL[[#Headers],[MÓDULO 4 – CUSTO DE REPOSIÇÃO DO PROFISSIONAL AUSENTE]])-2,0)*($G168-$H168)</f>
        <v>13.797723730799909</v>
      </c>
      <c r="BI168" s="22">
        <f>VLOOKUP($A168,tabCustoUnit[],COLUMN(CUSTO_GLOBAL[[#Headers],[Uniformes e EPIs]])-2,0)*($G168-$H168)</f>
        <v>62.806666666666665</v>
      </c>
      <c r="BJ168" s="22">
        <f>VLOOKUP($A168,tabCustoUnit[],COLUMN(CUSTO_GLOBAL[[#Headers],[Materiais de Consumo]])-2,0)*($G168-$H168)</f>
        <v>17.759106479291944</v>
      </c>
      <c r="BK168" s="22">
        <f>VLOOKUP($A168,tabCustoUnit[],COLUMN(CUSTO_GLOBAL[[#Headers],[Máquinas e Equipamentos (depreciação)]])-2,0)*($G168-$H168)</f>
        <v>32.264696957412788</v>
      </c>
      <c r="BL168" s="22">
        <f>VLOOKUP($A168,tabCustoUnit[],COLUMN(CUSTO_GLOBAL[[#Headers],[Produtos de Limpeza e Materiais de Higiene Pessoal]])-2,0)*($G168-$H168)</f>
        <v>345.13576638965827</v>
      </c>
      <c r="BM168" s="22">
        <f>VLOOKUP($A168,tabCustoUnit[],COLUMN(CUSTO_GLOBAL[[#Headers],[Outros (especificar)]])-2,0)*($G168-$H168)</f>
        <v>0</v>
      </c>
      <c r="BN168" s="22">
        <f>VLOOKUP($A168,tabCustoUnit[],COLUMN(CUSTO_GLOBAL[[#Headers],[MÓDULO 5 – INSUMOS DIVERSOS]])-2,0)*($G168-$H168)</f>
        <v>457.96623649302967</v>
      </c>
      <c r="BO168" s="22">
        <f>VLOOKUP($A168,tabCustoUnit[],COLUMN(CUSTO_GLOBAL[[#Headers],[TOTAL MÓDULOS 1+2+3+4+5]])-2,0)*($G168-$H168)</f>
        <v>2673.2864025844674</v>
      </c>
      <c r="BP168" s="22">
        <f>VLOOKUP($A168,tabCustoUnit[],COLUMN(CUSTO_GLOBAL[[#Headers],[Custos Indiretos]])-2,0)*($G168-$H168)</f>
        <v>189.64880140242613</v>
      </c>
      <c r="BQ168" s="22">
        <f>VLOOKUP($A168,tabCustoUnit[],COLUMN(CUSTO_GLOBAL[[#Headers],[Lucro]])-2,0)*($G168-$H168)</f>
        <v>159.30499317803796</v>
      </c>
      <c r="BR168" s="26">
        <f>VLOOKUP($A168,tabCustoUnit[],COLUMN(CUSTO_GLOBAL[[#Headers],[COFINS]])-2,0)</f>
        <v>8.6609686609686695E-2</v>
      </c>
      <c r="BS168" s="26">
        <f>VLOOKUP($A168,tabCustoUnit[],COLUMN(CUSTO_GLOBAL[[#Headers],[PIS]])-2,0)</f>
        <v>1.880341880341882E-2</v>
      </c>
      <c r="BT168" s="28">
        <f>VLOOKUP($A168,tabCustoUnit[],COLUMN(CUSTO_GLOBAL[[#Headers],[ISS]])-2,0)</f>
        <v>0.03</v>
      </c>
      <c r="BU168" s="26">
        <f>VLOOKUP($A168,tabCustoUnit[],COLUMN(CUSTO_GLOBAL[[#Headers],[ISS (Conversão Alíquota s/ fatura)]])-2,0)</f>
        <v>3.4188034188034219E-2</v>
      </c>
      <c r="BV168" s="26">
        <f>VLOOKUP($A168,tabCustoUnit[],COLUMN(CUSTO_GLOBAL[[#Headers],[Resumo de Alíquotas (PIS+CONFINS+ISS)]])-2,0)</f>
        <v>0.1225</v>
      </c>
      <c r="BW168" s="138">
        <f>VLOOKUP($A168,tabCustoUnit[],COLUMN(CUSTO_GLOBAL[[#Headers],[PIS + COFINS + ISS (Total Conversão  Alíquota s/ Fatura)]])-2,0)</f>
        <v>0.13960113960113973</v>
      </c>
      <c r="BX168" s="22">
        <f>VLOOKUP($A168,tabCustoUnit[],COLUMN(CUSTO_GLOBAL[[#Headers],[Valor dos Tributos (ISS, PIS, CONFINS)]])-2,0)*($G168-$H168)</f>
        <v>421.90817567259768</v>
      </c>
      <c r="BY168" s="22">
        <f>VLOOKUP($A168,tabCustoUnit[],COLUMN(CUSTO_GLOBAL[[#Headers],[MÓDULO 6 – CUSTOS INDIRETOS, TRIBUTOS E LUCRO]])-2,0)*($G168-$H168)</f>
        <v>770.86197025306183</v>
      </c>
      <c r="BZ168" s="22">
        <f>VLOOKUP($A168,tabCustoUnit[],COLUMN(CUSTO_GLOBAL[[#Headers],[CUSTO TOTAL MENSAL]])-2,0)*($G168-$H168)</f>
        <v>3444.1483728375292</v>
      </c>
      <c r="CA168" s="22">
        <f>CUSTO_GLOBAL[[#This Row],[CUSTO TOTAL MENSAL]]*12</f>
        <v>41329.780474050349</v>
      </c>
      <c r="CB168" s="24">
        <f>VLOOKUP($A168,tabCustoUnit[],COLUMN(CUSTO_GLOBAL[[#Headers],[ANO DA CCT]])-2,0)</f>
        <v>45658</v>
      </c>
      <c r="CC168" s="25" t="str">
        <f>VLOOKUP($A168,tabCustoUnit[],COLUMN(CUSTO_GLOBAL[[#Headers],[Nº DE PEDIDO DA CCT]])-2,0)</f>
        <v>-</v>
      </c>
      <c r="CD168" s="25" t="str">
        <f>VLOOKUP($A168,tabCustoUnit[],COLUMN(CUSTO_GLOBAL[[#Headers],[TERMO ADITIVO  ALTERAÇÃO DA CCT]])-2,0)</f>
        <v>-</v>
      </c>
      <c r="CF168" s="22"/>
      <c r="CG168" s="22"/>
    </row>
    <row r="169" spans="1:85" x14ac:dyDescent="0.25">
      <c r="A169" s="20" t="s">
        <v>1505</v>
      </c>
      <c r="B169" t="s">
        <v>153</v>
      </c>
      <c r="C169" t="s">
        <v>1247</v>
      </c>
      <c r="D169" t="s">
        <v>1023</v>
      </c>
      <c r="E169" s="20" t="s">
        <v>9</v>
      </c>
      <c r="F169" s="20" t="s">
        <v>10</v>
      </c>
      <c r="G169" s="20">
        <v>1</v>
      </c>
      <c r="H169" s="20">
        <v>0</v>
      </c>
      <c r="I169" s="21">
        <f>VLOOKUP($A169,tabCustoUnit[],COLUMN(CUSTO_GLOBAL[[#Headers],[Salário Base]])-2,0)*($G169-$H169)</f>
        <v>544.17999999999995</v>
      </c>
      <c r="J169" s="21">
        <f>VLOOKUP($A169,tabCustoUnit[],COLUMN(CUSTO_GLOBAL[[#Headers],[Adicional Periculosidade]])-2,0)*($G169-$H169)</f>
        <v>0</v>
      </c>
      <c r="K169" s="21">
        <f>VLOOKUP($A169,tabCustoUnit[],COLUMN(CUSTO_GLOBAL[[#Headers],[Adicional Insalubridade]])-2,0)*($G169-$H169)</f>
        <v>0</v>
      </c>
      <c r="L169" s="21">
        <f>VLOOKUP($A169,tabCustoUnit[],COLUMN(CUSTO_GLOBAL[[#Headers],[Adicional Noturno]])-2,0)*($G169-$H169)</f>
        <v>0</v>
      </c>
      <c r="M169" s="21">
        <f>VLOOKUP($A169,tabCustoUnit[],COLUMN(CUSTO_GLOBAL[[#Headers],[Adicional Motorista II (Gratificação)]])-2,0)*($G169-$H169)</f>
        <v>0</v>
      </c>
      <c r="N169" s="21">
        <f>VLOOKUP($A169,tabCustoUnit[],COLUMN(CUSTO_GLOBAL[[#Headers],[Adicional de Sobreaviso]])-2,0)*($G169-$H169)</f>
        <v>0</v>
      </c>
      <c r="O169" s="21">
        <f>VLOOKUP($A169,tabCustoUnit[],COLUMN(CUSTO_GLOBAL[[#Headers],[Horas Extras TI]])-2,0)*($G169-$H169)</f>
        <v>0</v>
      </c>
      <c r="P169" s="21">
        <f>VLOOKUP($A169,tabCustoUnit[],COLUMN(CUSTO_GLOBAL[[#Headers],[Adicional de Acúmulo de função]])-2,0)*($G169-$H169)</f>
        <v>19.590499999999999</v>
      </c>
      <c r="Q169" s="21">
        <f>VLOOKUP($A169,tabCustoUnit[],COLUMN(CUSTO_GLOBAL[[#Headers],[MODULO 1 - REMUNERAÇÃO ]])-2,0)*($G169-$H169)</f>
        <v>563.77049999999997</v>
      </c>
      <c r="R169" s="21">
        <f>VLOOKUP($A169,tabCustoUnit[],COLUMN(CUSTO_GLOBAL[[#Headers],[INSS]])-2,0)*($G169-$H169)</f>
        <v>112.75409999999999</v>
      </c>
      <c r="S169" s="21">
        <f>VLOOKUP($A169,tabCustoUnit[],COLUMN(CUSTO_GLOBAL[[#Headers],[SESI OU SESC]])-2,0)*($G169-$H169)</f>
        <v>8.4565574999999988</v>
      </c>
      <c r="T169" s="21">
        <f>VLOOKUP($A169,tabCustoUnit[],COLUMN(CUSTO_GLOBAL[[#Headers],[SENAI OU SENAC]])-2,0)*($G169-$H169)</f>
        <v>5.6377049999999995</v>
      </c>
      <c r="U169" s="21">
        <f>VLOOKUP($A169,tabCustoUnit[],COLUMN(CUSTO_GLOBAL[[#Headers],[INCRA]])-2,0)*($G169-$H169)</f>
        <v>1.1275409999999999</v>
      </c>
      <c r="V169" s="21">
        <f>VLOOKUP($A169,tabCustoUnit[],COLUMN(CUSTO_GLOBAL[[#Headers],[Salário Educação]])-2,0)*($G169-$H169)</f>
        <v>14.094262499999999</v>
      </c>
      <c r="W169" s="21">
        <f>VLOOKUP($A169,tabCustoUnit[],COLUMN(CUSTO_GLOBAL[[#Headers],[FGTS]])-2,0)*($G169-$H169)</f>
        <v>45.101639999999996</v>
      </c>
      <c r="X169" s="21">
        <f>VLOOKUP($A169,tabCustoUnit[],COLUMN(CUSTO_GLOBAL[[#Headers],[RAT Ajustado]])-2,0)*($G169-$H169)</f>
        <v>22.550819999999998</v>
      </c>
      <c r="Y169" s="21">
        <f>VLOOKUP($A169,tabCustoUnit[],COLUMN(CUSTO_GLOBAL[[#Headers],[SEBRAE]])-2,0)*($G169-$H169)</f>
        <v>3.3826229999999997</v>
      </c>
      <c r="Z169" s="21">
        <f>VLOOKUP($A169,tabCustoUnit[],COLUMN(CUSTO_GLOBAL[[#Headers],[Submódulo 2.1]])-2,0)*($G169-$H169)</f>
        <v>213.10524899999996</v>
      </c>
      <c r="AA169" s="21">
        <f>VLOOKUP($A169,tabCustoUnit[],COLUMN(CUSTO_GLOBAL[[#Headers],[13º salário (titular)]])-2,0)*($G169-$H169)</f>
        <v>46.980874999999997</v>
      </c>
      <c r="AB169" s="21">
        <f>VLOOKUP($A169,tabCustoUnit[],COLUMN(CUSTO_GLOBAL[[#Headers],[Férias e Adicional de Férias (titular)]])-2,0)*($G169-$H169)</f>
        <v>62.641166666666663</v>
      </c>
      <c r="AC169" s="21">
        <f>VLOOKUP($A169,tabCustoUnit[],COLUMN(CUSTO_GLOBAL[[#Headers],[Incidência do Submódulo 2.1 sobre 13º Salário, Férias e Adicional de Férias]])-2,0)*($G169-$H169)</f>
        <v>41.437131749999992</v>
      </c>
      <c r="AD169" s="21">
        <f>VLOOKUP($A169,tabCustoUnit[],COLUMN(CUSTO_GLOBAL[[#Headers],[Submódulo 2.2]])-2,0)*($G169-$H169)</f>
        <v>151.05917341666665</v>
      </c>
      <c r="AE169" s="22">
        <f>VLOOKUP($A169,tabCustoUnit[],COLUMN(CUSTO_GLOBAL[[#Headers],[Vale - Transporte (Descontada parcela do empregado)]])-2,0)*($G169-$H169)</f>
        <v>223.3492</v>
      </c>
      <c r="AF169" s="22">
        <f>VLOOKUP($A169,tabCustoUnit[],COLUMN(CUSTO_GLOBAL[[#Headers],[Vale - Alimentação (Descontada parcela do empregado)]])-2,0)*($G169-$H169)</f>
        <v>582</v>
      </c>
      <c r="AG169" s="22">
        <f>VLOOKUP($A169,tabCustoUnit[],COLUMN(CUSTO_GLOBAL[[#Headers],[Cesta Básica]])-2,0)*($G169-$H169)</f>
        <v>0</v>
      </c>
      <c r="AH169" s="22">
        <f>VLOOKUP($A169,tabCustoUnit[],COLUMN(CUSTO_GLOBAL[[#Headers],[PAF]])-2,0)*($G169-$H169)</f>
        <v>0</v>
      </c>
      <c r="AI169" s="22">
        <f>VLOOKUP($A169,tabCustoUnit[],COLUMN(CUSTO_GLOBAL[[#Headers],[PQM]])-2,0)*($G169-$H169)</f>
        <v>0</v>
      </c>
      <c r="AJ169" s="22">
        <v>0</v>
      </c>
      <c r="AK169" s="22">
        <f>VLOOKUP($A169,tabCustoUnit[],COLUMN(CUSTO_GLOBAL[[#Headers],[Seguro de Vida]])-2,0)*($G169-$H169)</f>
        <v>3.36</v>
      </c>
      <c r="AL169" s="22">
        <f>VLOOKUP($A169,tabCustoUnit[],COLUMN(CUSTO_GLOBAL[[#Headers],[Despesas de Viagem]])-2,0)*($G169-$H169)</f>
        <v>0</v>
      </c>
      <c r="AM169" s="22">
        <f>VLOOKUP($A169,tabCustoUnit[],COLUMN(CUSTO_GLOBAL[[#Headers],[Submódulo 2.3]])-2,0)*($G169-$H169)</f>
        <v>808.70920000000001</v>
      </c>
      <c r="AN169" s="22">
        <f>VLOOKUP($A169,tabCustoUnit[],COLUMN(CUSTO_GLOBAL[[#Headers],[MÓDULO 2 - Total Encargos e Benefícios mensais e diários]])-2,0)*($G169-$H169)</f>
        <v>1172.8736224166666</v>
      </c>
      <c r="AO169" s="22">
        <f>VLOOKUP($A169,tabCustoUnit[],COLUMN(CUSTO_GLOBAL[[#Headers],[Aviso Prévio Indenizado (API) e Reflexo do Aviso Prévio Indenizado]])-2,0)*($G169-$H169)</f>
        <v>3.9530273735532404</v>
      </c>
      <c r="AP169" s="22">
        <f>VLOOKUP($A169,tabCustoUnit[],COLUMN(CUSTO_GLOBAL[[#Headers],[Incidência do FGTS sobre API e Reflexo do API]])-2,0)*($G169-$H169)</f>
        <v>0.31624218988425928</v>
      </c>
      <c r="AQ169" s="22">
        <f>VLOOKUP($A169,tabCustoUnit[],COLUMN(CUSTO_GLOBAL[[#Headers],[Multa Rescisória do FGTS sobre o Aviso Prévio Indenizado]])-2,0)*($G169-$H169)</f>
        <v>0.12649687595370371</v>
      </c>
      <c r="AR169" s="22">
        <f>VLOOKUP($A169,tabCustoUnit[],COLUMN(CUSTO_GLOBAL[[#Headers],[Aviso Prévio Trabalhado - APT]])-2,0)*($G169-$H169)</f>
        <v>1.9731967500000003</v>
      </c>
      <c r="AS169" s="22">
        <f>VLOOKUP($A169,tabCustoUnit[],COLUMN(CUSTO_GLOBAL[[#Headers],[Incidência dos encargos do submódulo 2.1 sobre Aviso Prévio Trabalhado]])-2,0)*($G169-$H169)</f>
        <v>0.74586837150000018</v>
      </c>
      <c r="AT169" s="22">
        <f>VLOOKUP($A169,tabCustoUnit[],COLUMN(CUSTO_GLOBAL[[#Headers],[Multa Rescisória do FGTS]])-2,0)*($G169-$H169)</f>
        <v>17.238849066666663</v>
      </c>
      <c r="AU169" s="22">
        <f>VLOOKUP($A169,tabCustoUnit[],COLUMN(CUSTO_GLOBAL[[#Headers],[Indenização Adicional (Art. 9º da Lei nº 7.238/84)]])-2,0)*($G169-$H169)</f>
        <v>0.46980875</v>
      </c>
      <c r="AV169" s="22">
        <f>VLOOKUP($A169,tabCustoUnit[],COLUMN(CUSTO_GLOBAL[[#Headers],[MÓDULO 3 – PROVISÃO PARA RESCISÃO]])-2,0)*($G169-$H169)</f>
        <v>24.823489377557866</v>
      </c>
      <c r="AW169" s="22">
        <f>VLOOKUP($A169,tabCustoUnit[],COLUMN(CUSTO_GLOBAL[[#Headers],[Ausência por Doença]])-2,0)*($G169-$H169)</f>
        <v>4.7607286666666662</v>
      </c>
      <c r="AX169" s="22">
        <f>VLOOKUP($A169,tabCustoUnit[],COLUMN(CUSTO_GLOBAL[[#Headers],[Ausências Legais]])-2,0)*($G169-$H169)</f>
        <v>1.1432012916666665</v>
      </c>
      <c r="AY169" s="22">
        <f>VLOOKUP($A169,tabCustoUnit[],COLUMN(CUSTO_GLOBAL[[#Headers],[Licença Paternidade]])-2,0)*($G169-$H169)</f>
        <v>9.6310793749999998E-2</v>
      </c>
      <c r="AZ169" s="22">
        <f>VLOOKUP($A169,tabCustoUnit[],COLUMN(CUSTO_GLOBAL[[#Headers],[Ausência por Acidente de Trabalho]])-2,0)*($G169-$H169)</f>
        <v>0.1174521875</v>
      </c>
      <c r="BA169" s="22">
        <f>VLOOKUP($A169,tabCustoUnit[],COLUMN(CUSTO_GLOBAL[[#Headers],[Férias, Adicional de Férias e 13º  com empregada em gozo de Licença Maternidade]])-2,0)*($G169-$H169)</f>
        <v>0.73081361111111109</v>
      </c>
      <c r="BB169" s="22">
        <f>VLOOKUP($A169,tabCustoUnit[],COLUMN(CUSTO_GLOBAL[[#Headers],[Incidência do Submódulo 2.1 sobre Ausências Legais]])-2,0)*($G169-$H169)</f>
        <v>2.5887354761625003</v>
      </c>
      <c r="BC169" s="22">
        <f>VLOOKUP($A169,tabCustoUnit[],COLUMN(CUSTO_GLOBAL[[#Headers],[Submódulo 4.1]])-2,0)*($G169-$H169)</f>
        <v>9.4372420268569428</v>
      </c>
      <c r="BD169" s="22">
        <f>VLOOKUP($A169,tabCustoUnit[],COLUMN(CUSTO_GLOBAL[[#Headers],[Intervalo para Repouso ou Alimentação]])-2,0)*($G169-$H169)</f>
        <v>0</v>
      </c>
      <c r="BE169" s="22">
        <f>VLOOKUP($A169,tabCustoUnit[],COLUMN(CUSTO_GLOBAL[[#Headers],[Submódulo 4.2]])-2,0)*($G169-$H169)</f>
        <v>0</v>
      </c>
      <c r="BF169" s="22">
        <f>VLOOKUP($A169,tabCustoUnit[],COLUMN(CUSTO_GLOBAL[[#Headers],[Suspensão Temporária do Contrato de Trabalho]])-2,0)*($G169-$H169)</f>
        <v>0</v>
      </c>
      <c r="BG169" s="22">
        <f>VLOOKUP($A169,tabCustoUnit[],COLUMN(CUSTO_GLOBAL[[#Headers],[Submódulo 4.3]])-2,0)*($G169-$H169)</f>
        <v>0</v>
      </c>
      <c r="BH169" s="22">
        <f>VLOOKUP($A169,tabCustoUnit[],COLUMN(CUSTO_GLOBAL[[#Headers],[MÓDULO 4 – CUSTO DE REPOSIÇÃO DO PROFISSIONAL AUSENTE]])-2,0)*($G169-$H169)</f>
        <v>9.4372420268569428</v>
      </c>
      <c r="BI169" s="22">
        <f>VLOOKUP($A169,tabCustoUnit[],COLUMN(CUSTO_GLOBAL[[#Headers],[Uniformes e EPIs]])-2,0)*($G169-$H169)</f>
        <v>62.806666666666665</v>
      </c>
      <c r="BJ169" s="22">
        <f>VLOOKUP($A169,tabCustoUnit[],COLUMN(CUSTO_GLOBAL[[#Headers],[Materiais de Consumo]])-2,0)*($G169-$H169)</f>
        <v>12.108481690426325</v>
      </c>
      <c r="BK169" s="22">
        <f>VLOOKUP($A169,tabCustoUnit[],COLUMN(CUSTO_GLOBAL[[#Headers],[Máquinas e Equipamentos (depreciação)]])-2,0)*($G169-$H169)</f>
        <v>21.998657016417809</v>
      </c>
      <c r="BL169" s="22">
        <f>VLOOKUP($A169,tabCustoUnit[],COLUMN(CUSTO_GLOBAL[[#Headers],[Produtos de Limpeza e Materiais de Higiene Pessoal]])-2,0)*($G169-$H169)</f>
        <v>235.31984072022155</v>
      </c>
      <c r="BM169" s="22">
        <f>VLOOKUP($A169,tabCustoUnit[],COLUMN(CUSTO_GLOBAL[[#Headers],[Outros (especificar)]])-2,0)*($G169-$H169)</f>
        <v>0</v>
      </c>
      <c r="BN169" s="22">
        <f>VLOOKUP($A169,tabCustoUnit[],COLUMN(CUSTO_GLOBAL[[#Headers],[MÓDULO 5 – INSUMOS DIVERSOS]])-2,0)*($G169-$H169)</f>
        <v>332.23364609373232</v>
      </c>
      <c r="BO169" s="22">
        <f>VLOOKUP($A169,tabCustoUnit[],COLUMN(CUSTO_GLOBAL[[#Headers],[TOTAL MÓDULOS 1+2+3+4+5]])-2,0)*($G169-$H169)</f>
        <v>2103.1384999148136</v>
      </c>
      <c r="BP169" s="22">
        <f>VLOOKUP($A169,tabCustoUnit[],COLUMN(CUSTO_GLOBAL[[#Headers],[Custos Indiretos]])-2,0)*($G169-$H169)</f>
        <v>189.64880140242613</v>
      </c>
      <c r="BQ169" s="22">
        <f>VLOOKUP($A169,tabCustoUnit[],COLUMN(CUSTO_GLOBAL[[#Headers],[Lucro]])-2,0)*($G169-$H169)</f>
        <v>159.30499317803796</v>
      </c>
      <c r="BR169" s="26">
        <f>VLOOKUP($A169,tabCustoUnit[],COLUMN(CUSTO_GLOBAL[[#Headers],[COFINS]])-2,0)</f>
        <v>8.6118980169971604E-2</v>
      </c>
      <c r="BS169" s="26">
        <f>VLOOKUP($A169,tabCustoUnit[],COLUMN(CUSTO_GLOBAL[[#Headers],[PIS]])-2,0)</f>
        <v>1.8696883852691224E-2</v>
      </c>
      <c r="BT169" s="28">
        <f>VLOOKUP($A169,tabCustoUnit[],COLUMN(CUSTO_GLOBAL[[#Headers],[ISS]])-2,0)</f>
        <v>2.5000000000000001E-2</v>
      </c>
      <c r="BU169" s="26">
        <f>VLOOKUP($A169,tabCustoUnit[],COLUMN(CUSTO_GLOBAL[[#Headers],[ISS (Conversão Alíquota s/ fatura)]])-2,0)</f>
        <v>2.8328611898017008E-2</v>
      </c>
      <c r="BV169" s="26">
        <f>VLOOKUP($A169,tabCustoUnit[],COLUMN(CUSTO_GLOBAL[[#Headers],[Resumo de Alíquotas (PIS+CONFINS+ISS)]])-2,0)</f>
        <v>0.11749999999999999</v>
      </c>
      <c r="BW169" s="138">
        <f>VLOOKUP($A169,tabCustoUnit[],COLUMN(CUSTO_GLOBAL[[#Headers],[PIS + COFINS + ISS (Total Conversão  Alíquota s/ Fatura)]])-2,0)</f>
        <v>0.13314447592067982</v>
      </c>
      <c r="BX169" s="22">
        <f>VLOOKUP($A169,tabCustoUnit[],COLUMN(CUSTO_GLOBAL[[#Headers],[Valor dos Tributos (ISS, PIS, CONFINS)]])-2,0)*($G169-$H169)</f>
        <v>326.48254345971105</v>
      </c>
      <c r="BY169" s="22">
        <f>VLOOKUP($A169,tabCustoUnit[],COLUMN(CUSTO_GLOBAL[[#Headers],[MÓDULO 6 – CUSTOS INDIRETOS, TRIBUTOS E LUCRO]])-2,0)*($G169-$H169)</f>
        <v>675.43633804017509</v>
      </c>
      <c r="BZ169" s="22">
        <f>VLOOKUP($A169,tabCustoUnit[],COLUMN(CUSTO_GLOBAL[[#Headers],[CUSTO TOTAL MENSAL]])-2,0)*($G169-$H169)</f>
        <v>2778.5748379549887</v>
      </c>
      <c r="CA169" s="22">
        <f>CUSTO_GLOBAL[[#This Row],[CUSTO TOTAL MENSAL]]*12</f>
        <v>33342.898055459867</v>
      </c>
      <c r="CB169" s="24">
        <f>VLOOKUP($A169,tabCustoUnit[],COLUMN(CUSTO_GLOBAL[[#Headers],[ANO DA CCT]])-2,0)</f>
        <v>45658</v>
      </c>
      <c r="CC169" s="25" t="str">
        <f>VLOOKUP($A169,tabCustoUnit[],COLUMN(CUSTO_GLOBAL[[#Headers],[Nº DE PEDIDO DA CCT]])-2,0)</f>
        <v>-</v>
      </c>
      <c r="CD169" s="25" t="str">
        <f>VLOOKUP($A169,tabCustoUnit[],COLUMN(CUSTO_GLOBAL[[#Headers],[TERMO ADITIVO  ALTERAÇÃO DA CCT]])-2,0)</f>
        <v>-</v>
      </c>
      <c r="CF169" s="22"/>
      <c r="CG169" s="22"/>
    </row>
    <row r="170" spans="1:85" x14ac:dyDescent="0.25">
      <c r="A170" s="20" t="s">
        <v>1506</v>
      </c>
      <c r="B170" t="s">
        <v>154</v>
      </c>
      <c r="C170" t="s">
        <v>1245</v>
      </c>
      <c r="D170" t="s">
        <v>1045</v>
      </c>
      <c r="E170" s="20" t="s">
        <v>9</v>
      </c>
      <c r="F170" s="20" t="s">
        <v>10</v>
      </c>
      <c r="G170" s="20">
        <v>2</v>
      </c>
      <c r="H170" s="20">
        <v>0</v>
      </c>
      <c r="I170" s="21">
        <f>VLOOKUP($A170,tabCustoUnit[],COLUMN(CUSTO_GLOBAL[[#Headers],[Salário Base]])-2,0)*($G170-$H170)</f>
        <v>3298.24</v>
      </c>
      <c r="J170" s="21">
        <f>VLOOKUP($A170,tabCustoUnit[],COLUMN(CUSTO_GLOBAL[[#Headers],[Adicional Periculosidade]])-2,0)*($G170-$H170)</f>
        <v>0</v>
      </c>
      <c r="K170" s="21">
        <f>VLOOKUP($A170,tabCustoUnit[],COLUMN(CUSTO_GLOBAL[[#Headers],[Adicional Insalubridade]])-2,0)*($G170-$H170)</f>
        <v>0</v>
      </c>
      <c r="L170" s="21">
        <f>VLOOKUP($A170,tabCustoUnit[],COLUMN(CUSTO_GLOBAL[[#Headers],[Adicional Noturno]])-2,0)*($G170-$H170)</f>
        <v>0</v>
      </c>
      <c r="M170" s="21">
        <f>VLOOKUP($A170,tabCustoUnit[],COLUMN(CUSTO_GLOBAL[[#Headers],[Adicional Motorista II (Gratificação)]])-2,0)*($G170-$H170)</f>
        <v>0</v>
      </c>
      <c r="N170" s="21">
        <f>VLOOKUP($A170,tabCustoUnit[],COLUMN(CUSTO_GLOBAL[[#Headers],[Adicional de Sobreaviso]])-2,0)*($G170-$H170)</f>
        <v>0</v>
      </c>
      <c r="O170" s="21">
        <f>VLOOKUP($A170,tabCustoUnit[],COLUMN(CUSTO_GLOBAL[[#Headers],[Horas Extras TI]])-2,0)*($G170-$H170)</f>
        <v>0</v>
      </c>
      <c r="P170" s="21">
        <f>VLOOKUP($A170,tabCustoUnit[],COLUMN(CUSTO_GLOBAL[[#Headers],[Adicional de Acúmulo de função]])-2,0)*($G170-$H170)</f>
        <v>107.94240000000001</v>
      </c>
      <c r="Q170" s="21">
        <f>VLOOKUP($A170,tabCustoUnit[],COLUMN(CUSTO_GLOBAL[[#Headers],[MODULO 1 - REMUNERAÇÃO ]])-2,0)*($G170-$H170)</f>
        <v>3406.1823999999997</v>
      </c>
      <c r="R170" s="21">
        <f>VLOOKUP($A170,tabCustoUnit[],COLUMN(CUSTO_GLOBAL[[#Headers],[INSS]])-2,0)*($G170-$H170)</f>
        <v>681.23648000000003</v>
      </c>
      <c r="S170" s="21">
        <f>VLOOKUP($A170,tabCustoUnit[],COLUMN(CUSTO_GLOBAL[[#Headers],[SESI OU SESC]])-2,0)*($G170-$H170)</f>
        <v>51.092735999999995</v>
      </c>
      <c r="T170" s="21">
        <f>VLOOKUP($A170,tabCustoUnit[],COLUMN(CUSTO_GLOBAL[[#Headers],[SENAI OU SENAC]])-2,0)*($G170-$H170)</f>
        <v>34.061823999999994</v>
      </c>
      <c r="U170" s="21">
        <f>VLOOKUP($A170,tabCustoUnit[],COLUMN(CUSTO_GLOBAL[[#Headers],[INCRA]])-2,0)*($G170-$H170)</f>
        <v>6.8123647999999992</v>
      </c>
      <c r="V170" s="21">
        <f>VLOOKUP($A170,tabCustoUnit[],COLUMN(CUSTO_GLOBAL[[#Headers],[Salário Educação]])-2,0)*($G170-$H170)</f>
        <v>85.154560000000004</v>
      </c>
      <c r="W170" s="21">
        <f>VLOOKUP($A170,tabCustoUnit[],COLUMN(CUSTO_GLOBAL[[#Headers],[FGTS]])-2,0)*($G170-$H170)</f>
        <v>272.49459199999995</v>
      </c>
      <c r="X170" s="21">
        <f>VLOOKUP($A170,tabCustoUnit[],COLUMN(CUSTO_GLOBAL[[#Headers],[RAT Ajustado]])-2,0)*($G170-$H170)</f>
        <v>136.24729599999998</v>
      </c>
      <c r="Y170" s="21">
        <f>VLOOKUP($A170,tabCustoUnit[],COLUMN(CUSTO_GLOBAL[[#Headers],[SEBRAE]])-2,0)*($G170-$H170)</f>
        <v>20.437094399999999</v>
      </c>
      <c r="Z170" s="21">
        <f>VLOOKUP($A170,tabCustoUnit[],COLUMN(CUSTO_GLOBAL[[#Headers],[Submódulo 2.1]])-2,0)*($G170-$H170)</f>
        <v>1287.5369472</v>
      </c>
      <c r="AA170" s="21">
        <f>VLOOKUP($A170,tabCustoUnit[],COLUMN(CUSTO_GLOBAL[[#Headers],[13º salário (titular)]])-2,0)*($G170-$H170)</f>
        <v>283.84853333333331</v>
      </c>
      <c r="AB170" s="21">
        <f>VLOOKUP($A170,tabCustoUnit[],COLUMN(CUSTO_GLOBAL[[#Headers],[Férias e Adicional de Férias (titular)]])-2,0)*($G170-$H170)</f>
        <v>378.46471111111106</v>
      </c>
      <c r="AC170" s="21">
        <f>VLOOKUP($A170,tabCustoUnit[],COLUMN(CUSTO_GLOBAL[[#Headers],[Incidência do Submódulo 2.1 sobre 13º Salário, Férias e Adicional de Férias]])-2,0)*($G170-$H170)</f>
        <v>250.35440639999999</v>
      </c>
      <c r="AD170" s="21">
        <f>VLOOKUP($A170,tabCustoUnit[],COLUMN(CUSTO_GLOBAL[[#Headers],[Submódulo 2.2]])-2,0)*($G170-$H170)</f>
        <v>912.66765084444432</v>
      </c>
      <c r="AE170" s="22">
        <f>VLOOKUP($A170,tabCustoUnit[],COLUMN(CUSTO_GLOBAL[[#Headers],[Vale - Transporte (Descontada parcela do empregado)]])-2,0)*($G170-$H170)</f>
        <v>314.10559999999998</v>
      </c>
      <c r="AF170" s="22">
        <f>VLOOKUP($A170,tabCustoUnit[],COLUMN(CUSTO_GLOBAL[[#Headers],[Vale - Alimentação (Descontada parcela do empregado)]])-2,0)*($G170-$H170)</f>
        <v>1164</v>
      </c>
      <c r="AG170" s="22">
        <f>VLOOKUP($A170,tabCustoUnit[],COLUMN(CUSTO_GLOBAL[[#Headers],[Cesta Básica]])-2,0)*($G170-$H170)</f>
        <v>0</v>
      </c>
      <c r="AH170" s="22">
        <f>VLOOKUP($A170,tabCustoUnit[],COLUMN(CUSTO_GLOBAL[[#Headers],[PAF]])-2,0)*($G170-$H170)</f>
        <v>154.5</v>
      </c>
      <c r="AI170" s="22">
        <f>VLOOKUP($A170,tabCustoUnit[],COLUMN(CUSTO_GLOBAL[[#Headers],[PQM]])-2,0)*($G170-$H170)</f>
        <v>0</v>
      </c>
      <c r="AJ170" s="22">
        <v>0</v>
      </c>
      <c r="AK170" s="22">
        <f>VLOOKUP($A170,tabCustoUnit[],COLUMN(CUSTO_GLOBAL[[#Headers],[Seguro de Vida]])-2,0)*($G170-$H170)</f>
        <v>6.72</v>
      </c>
      <c r="AL170" s="22">
        <f>VLOOKUP($A170,tabCustoUnit[],COLUMN(CUSTO_GLOBAL[[#Headers],[Despesas de Viagem]])-2,0)*($G170-$H170)</f>
        <v>0</v>
      </c>
      <c r="AM170" s="22">
        <f>VLOOKUP($A170,tabCustoUnit[],COLUMN(CUSTO_GLOBAL[[#Headers],[Submódulo 2.3]])-2,0)*($G170-$H170)</f>
        <v>1639.3255999999999</v>
      </c>
      <c r="AN170" s="22">
        <f>VLOOKUP($A170,tabCustoUnit[],COLUMN(CUSTO_GLOBAL[[#Headers],[MÓDULO 2 - Total Encargos e Benefícios mensais e diários]])-2,0)*($G170-$H170)</f>
        <v>3839.5301980444447</v>
      </c>
      <c r="AO170" s="22">
        <f>VLOOKUP($A170,tabCustoUnit[],COLUMN(CUSTO_GLOBAL[[#Headers],[Aviso Prévio Indenizado (API) e Reflexo do Aviso Prévio Indenizado]])-2,0)*($G170-$H170)</f>
        <v>23.883357264197528</v>
      </c>
      <c r="AP170" s="22">
        <f>VLOOKUP($A170,tabCustoUnit[],COLUMN(CUSTO_GLOBAL[[#Headers],[Incidência do FGTS sobre API e Reflexo do API]])-2,0)*($G170-$H170)</f>
        <v>1.9106685811358024</v>
      </c>
      <c r="AQ170" s="22">
        <f>VLOOKUP($A170,tabCustoUnit[],COLUMN(CUSTO_GLOBAL[[#Headers],[Multa Rescisória do FGTS sobre o Aviso Prévio Indenizado]])-2,0)*($G170-$H170)</f>
        <v>0.76426743245432105</v>
      </c>
      <c r="AR170" s="22">
        <f>VLOOKUP($A170,tabCustoUnit[],COLUMN(CUSTO_GLOBAL[[#Headers],[Aviso Prévio Trabalhado - APT]])-2,0)*($G170-$H170)</f>
        <v>11.921638400000001</v>
      </c>
      <c r="AS170" s="22">
        <f>VLOOKUP($A170,tabCustoUnit[],COLUMN(CUSTO_GLOBAL[[#Headers],[Incidência dos encargos do submódulo 2.1 sobre Aviso Prévio Trabalhado]])-2,0)*($G170-$H170)</f>
        <v>4.5063793152000011</v>
      </c>
      <c r="AT170" s="22">
        <f>VLOOKUP($A170,tabCustoUnit[],COLUMN(CUSTO_GLOBAL[[#Headers],[Multa Rescisória do FGTS]])-2,0)*($G170-$H170)</f>
        <v>104.15348849777776</v>
      </c>
      <c r="AU170" s="22">
        <f>VLOOKUP($A170,tabCustoUnit[],COLUMN(CUSTO_GLOBAL[[#Headers],[Indenização Adicional (Art. 9º da Lei nº 7.238/84)]])-2,0)*($G170-$H170)</f>
        <v>2.8384853333333333</v>
      </c>
      <c r="AV170" s="22">
        <f>VLOOKUP($A170,tabCustoUnit[],COLUMN(CUSTO_GLOBAL[[#Headers],[MÓDULO 3 – PROVISÃO PARA RESCISÃO]])-2,0)*($G170-$H170)</f>
        <v>149.97828482409875</v>
      </c>
      <c r="AW170" s="22">
        <f>VLOOKUP($A170,tabCustoUnit[],COLUMN(CUSTO_GLOBAL[[#Headers],[Ausência por Doença]])-2,0)*($G170-$H170)</f>
        <v>28.763318044444439</v>
      </c>
      <c r="AX170" s="22">
        <f>VLOOKUP($A170,tabCustoUnit[],COLUMN(CUSTO_GLOBAL[[#Headers],[Ausências Legais]])-2,0)*($G170-$H170)</f>
        <v>6.9069809777777769</v>
      </c>
      <c r="AY170" s="22">
        <f>VLOOKUP($A170,tabCustoUnit[],COLUMN(CUSTO_GLOBAL[[#Headers],[Licença Paternidade]])-2,0)*($G170-$H170)</f>
        <v>0.58188949333333329</v>
      </c>
      <c r="AZ170" s="22">
        <f>VLOOKUP($A170,tabCustoUnit[],COLUMN(CUSTO_GLOBAL[[#Headers],[Ausência por Acidente de Trabalho]])-2,0)*($G170-$H170)</f>
        <v>0.70962133333333333</v>
      </c>
      <c r="BA170" s="22">
        <f>VLOOKUP($A170,tabCustoUnit[],COLUMN(CUSTO_GLOBAL[[#Headers],[Férias, Adicional de Férias e 13º  com empregada em gozo de Licença Maternidade]])-2,0)*($G170-$H170)</f>
        <v>4.4154216296296287</v>
      </c>
      <c r="BB170" s="22">
        <f>VLOOKUP($A170,tabCustoUnit[],COLUMN(CUSTO_GLOBAL[[#Headers],[Incidência do Submódulo 2.1 sobre Ausências Legais]])-2,0)*($G170-$H170)</f>
        <v>15.640593498880001</v>
      </c>
      <c r="BC170" s="22">
        <f>VLOOKUP($A170,tabCustoUnit[],COLUMN(CUSTO_GLOBAL[[#Headers],[Submódulo 4.1]])-2,0)*($G170-$H170)</f>
        <v>57.017824977398512</v>
      </c>
      <c r="BD170" s="22">
        <f>VLOOKUP($A170,tabCustoUnit[],COLUMN(CUSTO_GLOBAL[[#Headers],[Intervalo para Repouso ou Alimentação]])-2,0)*($G170-$H170)</f>
        <v>0</v>
      </c>
      <c r="BE170" s="22">
        <f>VLOOKUP($A170,tabCustoUnit[],COLUMN(CUSTO_GLOBAL[[#Headers],[Submódulo 4.2]])-2,0)*($G170-$H170)</f>
        <v>0</v>
      </c>
      <c r="BF170" s="22">
        <f>VLOOKUP($A170,tabCustoUnit[],COLUMN(CUSTO_GLOBAL[[#Headers],[Suspensão Temporária do Contrato de Trabalho]])-2,0)*($G170-$H170)</f>
        <v>0</v>
      </c>
      <c r="BG170" s="22">
        <f>VLOOKUP($A170,tabCustoUnit[],COLUMN(CUSTO_GLOBAL[[#Headers],[Submódulo 4.3]])-2,0)*($G170-$H170)</f>
        <v>0</v>
      </c>
      <c r="BH170" s="22">
        <f>VLOOKUP($A170,tabCustoUnit[],COLUMN(CUSTO_GLOBAL[[#Headers],[MÓDULO 4 – CUSTO DE REPOSIÇÃO DO PROFISSIONAL AUSENTE]])-2,0)*($G170-$H170)</f>
        <v>57.017824977398512</v>
      </c>
      <c r="BI170" s="22">
        <f>VLOOKUP($A170,tabCustoUnit[],COLUMN(CUSTO_GLOBAL[[#Headers],[Uniformes e EPIs]])-2,0)*($G170-$H170)</f>
        <v>201.61833333333331</v>
      </c>
      <c r="BJ170" s="22">
        <f>VLOOKUP($A170,tabCustoUnit[],COLUMN(CUSTO_GLOBAL[[#Headers],[Materiais de Consumo]])-2,0)*($G170-$H170)</f>
        <v>71.036425917167776</v>
      </c>
      <c r="BK170" s="22">
        <f>VLOOKUP($A170,tabCustoUnit[],COLUMN(CUSTO_GLOBAL[[#Headers],[Máquinas e Equipamentos (depreciação)]])-2,0)*($G170-$H170)</f>
        <v>129.05878782965115</v>
      </c>
      <c r="BL170" s="22">
        <f>VLOOKUP($A170,tabCustoUnit[],COLUMN(CUSTO_GLOBAL[[#Headers],[Produtos de Limpeza e Materiais de Higiene Pessoal]])-2,0)*($G170-$H170)</f>
        <v>1380.5430655586331</v>
      </c>
      <c r="BM170" s="22">
        <f>VLOOKUP($A170,tabCustoUnit[],COLUMN(CUSTO_GLOBAL[[#Headers],[Outros (especificar)]])-2,0)*($G170-$H170)</f>
        <v>0</v>
      </c>
      <c r="BN170" s="22">
        <f>VLOOKUP($A170,tabCustoUnit[],COLUMN(CUSTO_GLOBAL[[#Headers],[MÓDULO 5 – INSUMOS DIVERSOS]])-2,0)*($G170-$H170)</f>
        <v>1782.2566126387853</v>
      </c>
      <c r="BO170" s="22">
        <f>VLOOKUP($A170,tabCustoUnit[],COLUMN(CUSTO_GLOBAL[[#Headers],[TOTAL MÓDULOS 1+2+3+4+5]])-2,0)*($G170-$H170)</f>
        <v>9234.9653204847273</v>
      </c>
      <c r="BP170" s="22">
        <f>VLOOKUP($A170,tabCustoUnit[],COLUMN(CUSTO_GLOBAL[[#Headers],[Custos Indiretos]])-2,0)*($G170-$H170)</f>
        <v>379.29760280485226</v>
      </c>
      <c r="BQ170" s="22">
        <f>VLOOKUP($A170,tabCustoUnit[],COLUMN(CUSTO_GLOBAL[[#Headers],[Lucro]])-2,0)*($G170-$H170)</f>
        <v>318.60998635607592</v>
      </c>
      <c r="BR170" s="26">
        <f>VLOOKUP($A170,tabCustoUnit[],COLUMN(CUSTO_GLOBAL[[#Headers],[COFINS]])-2,0)</f>
        <v>8.6609686609686695E-2</v>
      </c>
      <c r="BS170" s="26">
        <f>VLOOKUP($A170,tabCustoUnit[],COLUMN(CUSTO_GLOBAL[[#Headers],[PIS]])-2,0)</f>
        <v>1.880341880341882E-2</v>
      </c>
      <c r="BT170" s="28">
        <f>VLOOKUP($A170,tabCustoUnit[],COLUMN(CUSTO_GLOBAL[[#Headers],[ISS]])-2,0)</f>
        <v>0.03</v>
      </c>
      <c r="BU170" s="26">
        <f>VLOOKUP($A170,tabCustoUnit[],COLUMN(CUSTO_GLOBAL[[#Headers],[ISS (Conversão Alíquota s/ fatura)]])-2,0)</f>
        <v>3.4188034188034219E-2</v>
      </c>
      <c r="BV170" s="26">
        <f>VLOOKUP($A170,tabCustoUnit[],COLUMN(CUSTO_GLOBAL[[#Headers],[Resumo de Alíquotas (PIS+CONFINS+ISS)]])-2,0)</f>
        <v>0.1225</v>
      </c>
      <c r="BW170" s="138">
        <f>VLOOKUP($A170,tabCustoUnit[],COLUMN(CUSTO_GLOBAL[[#Headers],[PIS + COFINS + ISS (Total Conversão  Alíquota s/ Fatura)]])-2,0)</f>
        <v>0.13960113960113973</v>
      </c>
      <c r="BX170" s="22">
        <f>VLOOKUP($A170,tabCustoUnit[],COLUMN(CUSTO_GLOBAL[[#Headers],[Valor dos Tributos (ISS, PIS, CONFINS)]])-2,0)*($G170-$H170)</f>
        <v>1386.6403776998222</v>
      </c>
      <c r="BY170" s="22">
        <f>VLOOKUP($A170,tabCustoUnit[],COLUMN(CUSTO_GLOBAL[[#Headers],[MÓDULO 6 – CUSTOS INDIRETOS, TRIBUTOS E LUCRO]])-2,0)*($G170-$H170)</f>
        <v>2084.5479668607504</v>
      </c>
      <c r="BZ170" s="22">
        <f>VLOOKUP($A170,tabCustoUnit[],COLUMN(CUSTO_GLOBAL[[#Headers],[CUSTO TOTAL MENSAL]])-2,0)*($G170-$H170)</f>
        <v>11319.513287345479</v>
      </c>
      <c r="CA170" s="22">
        <f>CUSTO_GLOBAL[[#This Row],[CUSTO TOTAL MENSAL]]*12</f>
        <v>135834.15944814574</v>
      </c>
      <c r="CB170" s="24">
        <f>VLOOKUP($A170,tabCustoUnit[],COLUMN(CUSTO_GLOBAL[[#Headers],[ANO DA CCT]])-2,0)</f>
        <v>45658</v>
      </c>
      <c r="CC170" s="25" t="str">
        <f>VLOOKUP($A170,tabCustoUnit[],COLUMN(CUSTO_GLOBAL[[#Headers],[Nº DE PEDIDO DA CCT]])-2,0)</f>
        <v>-</v>
      </c>
      <c r="CD170" s="25" t="str">
        <f>VLOOKUP($A170,tabCustoUnit[],COLUMN(CUSTO_GLOBAL[[#Headers],[TERMO ADITIVO  ALTERAÇÃO DA CCT]])-2,0)</f>
        <v>-</v>
      </c>
      <c r="CF170" s="22"/>
      <c r="CG170" s="22"/>
    </row>
    <row r="171" spans="1:85" x14ac:dyDescent="0.25">
      <c r="A171" s="20" t="s">
        <v>1507</v>
      </c>
      <c r="B171" t="s">
        <v>155</v>
      </c>
      <c r="C171" t="s">
        <v>1245</v>
      </c>
      <c r="D171" t="s">
        <v>992</v>
      </c>
      <c r="E171" s="20" t="s">
        <v>9</v>
      </c>
      <c r="F171" s="20" t="s">
        <v>10</v>
      </c>
      <c r="G171" s="20">
        <v>1</v>
      </c>
      <c r="H171" s="20">
        <v>0</v>
      </c>
      <c r="I171" s="21">
        <f>VLOOKUP($A171,tabCustoUnit[],COLUMN(CUSTO_GLOBAL[[#Headers],[Salário Base]])-2,0)*($G171-$H171)</f>
        <v>1596.28</v>
      </c>
      <c r="J171" s="21">
        <f>VLOOKUP($A171,tabCustoUnit[],COLUMN(CUSTO_GLOBAL[[#Headers],[Adicional Periculosidade]])-2,0)*($G171-$H171)</f>
        <v>0</v>
      </c>
      <c r="K171" s="21">
        <f>VLOOKUP($A171,tabCustoUnit[],COLUMN(CUSTO_GLOBAL[[#Headers],[Adicional Insalubridade]])-2,0)*($G171-$H171)</f>
        <v>0</v>
      </c>
      <c r="L171" s="21">
        <f>VLOOKUP($A171,tabCustoUnit[],COLUMN(CUSTO_GLOBAL[[#Headers],[Adicional Noturno]])-2,0)*($G171-$H171)</f>
        <v>0</v>
      </c>
      <c r="M171" s="21">
        <f>VLOOKUP($A171,tabCustoUnit[],COLUMN(CUSTO_GLOBAL[[#Headers],[Adicional Motorista II (Gratificação)]])-2,0)*($G171-$H171)</f>
        <v>0</v>
      </c>
      <c r="N171" s="21">
        <f>VLOOKUP($A171,tabCustoUnit[],COLUMN(CUSTO_GLOBAL[[#Headers],[Adicional de Sobreaviso]])-2,0)*($G171-$H171)</f>
        <v>0</v>
      </c>
      <c r="O171" s="21">
        <f>VLOOKUP($A171,tabCustoUnit[],COLUMN(CUSTO_GLOBAL[[#Headers],[Horas Extras TI]])-2,0)*($G171-$H171)</f>
        <v>0</v>
      </c>
      <c r="P171" s="21">
        <f>VLOOKUP($A171,tabCustoUnit[],COLUMN(CUSTO_GLOBAL[[#Headers],[Adicional de Acúmulo de função]])-2,0)*($G171-$H171)</f>
        <v>52.241900000000001</v>
      </c>
      <c r="Q171" s="21">
        <f>VLOOKUP($A171,tabCustoUnit[],COLUMN(CUSTO_GLOBAL[[#Headers],[MODULO 1 - REMUNERAÇÃO ]])-2,0)*($G171-$H171)</f>
        <v>1648.5219</v>
      </c>
      <c r="R171" s="21">
        <f>VLOOKUP($A171,tabCustoUnit[],COLUMN(CUSTO_GLOBAL[[#Headers],[INSS]])-2,0)*($G171-$H171)</f>
        <v>329.70438000000001</v>
      </c>
      <c r="S171" s="21">
        <f>VLOOKUP($A171,tabCustoUnit[],COLUMN(CUSTO_GLOBAL[[#Headers],[SESI OU SESC]])-2,0)*($G171-$H171)</f>
        <v>24.727828499999998</v>
      </c>
      <c r="T171" s="21">
        <f>VLOOKUP($A171,tabCustoUnit[],COLUMN(CUSTO_GLOBAL[[#Headers],[SENAI OU SENAC]])-2,0)*($G171-$H171)</f>
        <v>16.485219000000001</v>
      </c>
      <c r="U171" s="21">
        <f>VLOOKUP($A171,tabCustoUnit[],COLUMN(CUSTO_GLOBAL[[#Headers],[INCRA]])-2,0)*($G171-$H171)</f>
        <v>3.2970438</v>
      </c>
      <c r="V171" s="21">
        <f>VLOOKUP($A171,tabCustoUnit[],COLUMN(CUSTO_GLOBAL[[#Headers],[Salário Educação]])-2,0)*($G171-$H171)</f>
        <v>41.213047500000002</v>
      </c>
      <c r="W171" s="21">
        <f>VLOOKUP($A171,tabCustoUnit[],COLUMN(CUSTO_GLOBAL[[#Headers],[FGTS]])-2,0)*($G171-$H171)</f>
        <v>131.88175200000001</v>
      </c>
      <c r="X171" s="21">
        <f>VLOOKUP($A171,tabCustoUnit[],COLUMN(CUSTO_GLOBAL[[#Headers],[RAT Ajustado]])-2,0)*($G171-$H171)</f>
        <v>65.940876000000003</v>
      </c>
      <c r="Y171" s="21">
        <f>VLOOKUP($A171,tabCustoUnit[],COLUMN(CUSTO_GLOBAL[[#Headers],[SEBRAE]])-2,0)*($G171-$H171)</f>
        <v>9.8911314000000008</v>
      </c>
      <c r="Z171" s="21">
        <f>VLOOKUP($A171,tabCustoUnit[],COLUMN(CUSTO_GLOBAL[[#Headers],[Submódulo 2.1]])-2,0)*($G171-$H171)</f>
        <v>623.14127819999999</v>
      </c>
      <c r="AA171" s="21">
        <f>VLOOKUP($A171,tabCustoUnit[],COLUMN(CUSTO_GLOBAL[[#Headers],[13º salário (titular)]])-2,0)*($G171-$H171)</f>
        <v>137.376825</v>
      </c>
      <c r="AB171" s="21">
        <f>VLOOKUP($A171,tabCustoUnit[],COLUMN(CUSTO_GLOBAL[[#Headers],[Férias e Adicional de Férias (titular)]])-2,0)*($G171-$H171)</f>
        <v>183.16909999999999</v>
      </c>
      <c r="AC171" s="21">
        <f>VLOOKUP($A171,tabCustoUnit[],COLUMN(CUSTO_GLOBAL[[#Headers],[Incidência do Submódulo 2.1 sobre 13º Salário, Férias e Adicional de Férias]])-2,0)*($G171-$H171)</f>
        <v>121.16635965</v>
      </c>
      <c r="AD171" s="21">
        <f>VLOOKUP($A171,tabCustoUnit[],COLUMN(CUSTO_GLOBAL[[#Headers],[Submódulo 2.2]])-2,0)*($G171-$H171)</f>
        <v>441.71228465000002</v>
      </c>
      <c r="AE171" s="22">
        <f>VLOOKUP($A171,tabCustoUnit[],COLUMN(CUSTO_GLOBAL[[#Headers],[Vale - Transporte (Descontada parcela do empregado)]])-2,0)*($G171-$H171)</f>
        <v>160.22320000000002</v>
      </c>
      <c r="AF171" s="22">
        <f>VLOOKUP($A171,tabCustoUnit[],COLUMN(CUSTO_GLOBAL[[#Headers],[Vale - Alimentação (Descontada parcela do empregado)]])-2,0)*($G171-$H171)</f>
        <v>0</v>
      </c>
      <c r="AG171" s="22">
        <f>VLOOKUP($A171,tabCustoUnit[],COLUMN(CUSTO_GLOBAL[[#Headers],[Cesta Básica]])-2,0)*($G171-$H171)</f>
        <v>387.79</v>
      </c>
      <c r="AH171" s="22">
        <f>VLOOKUP($A171,tabCustoUnit[],COLUMN(CUSTO_GLOBAL[[#Headers],[PAF]])-2,0)*($G171-$H171)</f>
        <v>42.97</v>
      </c>
      <c r="AI171" s="22">
        <f>VLOOKUP($A171,tabCustoUnit[],COLUMN(CUSTO_GLOBAL[[#Headers],[PQM]])-2,0)*($G171-$H171)</f>
        <v>0</v>
      </c>
      <c r="AJ171" s="22">
        <v>0</v>
      </c>
      <c r="AK171" s="22">
        <f>VLOOKUP($A171,tabCustoUnit[],COLUMN(CUSTO_GLOBAL[[#Headers],[Seguro de Vida]])-2,0)*($G171-$H171)</f>
        <v>3.36</v>
      </c>
      <c r="AL171" s="22">
        <f>VLOOKUP($A171,tabCustoUnit[],COLUMN(CUSTO_GLOBAL[[#Headers],[Despesas de Viagem]])-2,0)*($G171-$H171)</f>
        <v>0</v>
      </c>
      <c r="AM171" s="22">
        <f>VLOOKUP($A171,tabCustoUnit[],COLUMN(CUSTO_GLOBAL[[#Headers],[Submódulo 2.3]])-2,0)*($G171-$H171)</f>
        <v>594.34320000000014</v>
      </c>
      <c r="AN171" s="22">
        <f>VLOOKUP($A171,tabCustoUnit[],COLUMN(CUSTO_GLOBAL[[#Headers],[MÓDULO 2 - Total Encargos e Benefícios mensais e diários]])-2,0)*($G171-$H171)</f>
        <v>1659.1967628500001</v>
      </c>
      <c r="AO171" s="22">
        <f>VLOOKUP($A171,tabCustoUnit[],COLUMN(CUSTO_GLOBAL[[#Headers],[Aviso Prévio Indenizado (API) e Reflexo do Aviso Prévio Indenizado]])-2,0)*($G171-$H171)</f>
        <v>11.559051416493055</v>
      </c>
      <c r="AP171" s="22">
        <f>VLOOKUP($A171,tabCustoUnit[],COLUMN(CUSTO_GLOBAL[[#Headers],[Incidência do FGTS sobre API e Reflexo do API]])-2,0)*($G171-$H171)</f>
        <v>0.92472411331944449</v>
      </c>
      <c r="AQ171" s="22">
        <f>VLOOKUP($A171,tabCustoUnit[],COLUMN(CUSTO_GLOBAL[[#Headers],[Multa Rescisória do FGTS sobre o Aviso Prévio Indenizado]])-2,0)*($G171-$H171)</f>
        <v>0.36988964532777785</v>
      </c>
      <c r="AR171" s="22">
        <f>VLOOKUP($A171,tabCustoUnit[],COLUMN(CUSTO_GLOBAL[[#Headers],[Aviso Prévio Trabalhado - APT]])-2,0)*($G171-$H171)</f>
        <v>5.7698266500000006</v>
      </c>
      <c r="AS171" s="22">
        <f>VLOOKUP($A171,tabCustoUnit[],COLUMN(CUSTO_GLOBAL[[#Headers],[Incidência dos encargos do submódulo 2.1 sobre Aviso Prévio Trabalhado]])-2,0)*($G171-$H171)</f>
        <v>2.1809944737000007</v>
      </c>
      <c r="AT171" s="22">
        <f>VLOOKUP($A171,tabCustoUnit[],COLUMN(CUSTO_GLOBAL[[#Headers],[Multa Rescisória do FGTS]])-2,0)*($G171-$H171)</f>
        <v>50.40813631999999</v>
      </c>
      <c r="AU171" s="22">
        <f>VLOOKUP($A171,tabCustoUnit[],COLUMN(CUSTO_GLOBAL[[#Headers],[Indenização Adicional (Art. 9º da Lei nº 7.238/84)]])-2,0)*($G171-$H171)</f>
        <v>1.3737682500000001</v>
      </c>
      <c r="AV171" s="22">
        <f>VLOOKUP($A171,tabCustoUnit[],COLUMN(CUSTO_GLOBAL[[#Headers],[MÓDULO 3 – PROVISÃO PARA RESCISÃO]])-2,0)*($G171-$H171)</f>
        <v>72.586390868840269</v>
      </c>
      <c r="AW171" s="22">
        <f>VLOOKUP($A171,tabCustoUnit[],COLUMN(CUSTO_GLOBAL[[#Headers],[Ausência por Doença]])-2,0)*($G171-$H171)</f>
        <v>13.920851599999999</v>
      </c>
      <c r="AX171" s="22">
        <f>VLOOKUP($A171,tabCustoUnit[],COLUMN(CUSTO_GLOBAL[[#Headers],[Ausências Legais]])-2,0)*($G171-$H171)</f>
        <v>3.3428360749999997</v>
      </c>
      <c r="AY171" s="22">
        <f>VLOOKUP($A171,tabCustoUnit[],COLUMN(CUSTO_GLOBAL[[#Headers],[Licença Paternidade]])-2,0)*($G171-$H171)</f>
        <v>0.28162249125</v>
      </c>
      <c r="AZ171" s="22">
        <f>VLOOKUP($A171,tabCustoUnit[],COLUMN(CUSTO_GLOBAL[[#Headers],[Ausência por Acidente de Trabalho]])-2,0)*($G171-$H171)</f>
        <v>0.34344206250000003</v>
      </c>
      <c r="BA171" s="22">
        <f>VLOOKUP($A171,tabCustoUnit[],COLUMN(CUSTO_GLOBAL[[#Headers],[Férias, Adicional de Férias e 13º  com empregada em gozo de Licença Maternidade]])-2,0)*($G171-$H171)</f>
        <v>2.1369728333333331</v>
      </c>
      <c r="BB171" s="22">
        <f>VLOOKUP($A171,tabCustoUnit[],COLUMN(CUSTO_GLOBAL[[#Headers],[Incidência do Submódulo 2.1 sobre Ausências Legais]])-2,0)*($G171-$H171)</f>
        <v>7.5697240734675013</v>
      </c>
      <c r="BC171" s="22">
        <f>VLOOKUP($A171,tabCustoUnit[],COLUMN(CUSTO_GLOBAL[[#Headers],[Submódulo 4.1]])-2,0)*($G171-$H171)</f>
        <v>27.595449135550833</v>
      </c>
      <c r="BD171" s="22">
        <f>VLOOKUP($A171,tabCustoUnit[],COLUMN(CUSTO_GLOBAL[[#Headers],[Intervalo para Repouso ou Alimentação]])-2,0)*($G171-$H171)</f>
        <v>0</v>
      </c>
      <c r="BE171" s="22">
        <f>VLOOKUP($A171,tabCustoUnit[],COLUMN(CUSTO_GLOBAL[[#Headers],[Submódulo 4.2]])-2,0)*($G171-$H171)</f>
        <v>0</v>
      </c>
      <c r="BF171" s="22">
        <f>VLOOKUP($A171,tabCustoUnit[],COLUMN(CUSTO_GLOBAL[[#Headers],[Suspensão Temporária do Contrato de Trabalho]])-2,0)*($G171-$H171)</f>
        <v>0</v>
      </c>
      <c r="BG171" s="22">
        <f>VLOOKUP($A171,tabCustoUnit[],COLUMN(CUSTO_GLOBAL[[#Headers],[Submódulo 4.3]])-2,0)*($G171-$H171)</f>
        <v>0</v>
      </c>
      <c r="BH171" s="22">
        <f>VLOOKUP($A171,tabCustoUnit[],COLUMN(CUSTO_GLOBAL[[#Headers],[MÓDULO 4 – CUSTO DE REPOSIÇÃO DO PROFISSIONAL AUSENTE]])-2,0)*($G171-$H171)</f>
        <v>27.595449135550833</v>
      </c>
      <c r="BI171" s="22">
        <f>VLOOKUP($A171,tabCustoUnit[],COLUMN(CUSTO_GLOBAL[[#Headers],[Uniformes e EPIs]])-2,0)*($G171-$H171)</f>
        <v>100.80916666666666</v>
      </c>
      <c r="BJ171" s="22">
        <f>VLOOKUP($A171,tabCustoUnit[],COLUMN(CUSTO_GLOBAL[[#Headers],[Materiais de Consumo]])-2,0)*($G171-$H171)</f>
        <v>35.518212958583888</v>
      </c>
      <c r="BK171" s="22">
        <f>VLOOKUP($A171,tabCustoUnit[],COLUMN(CUSTO_GLOBAL[[#Headers],[Máquinas e Equipamentos (depreciação)]])-2,0)*($G171-$H171)</f>
        <v>64.529393914825576</v>
      </c>
      <c r="BL171" s="22">
        <f>VLOOKUP($A171,tabCustoUnit[],COLUMN(CUSTO_GLOBAL[[#Headers],[Produtos de Limpeza e Materiais de Higiene Pessoal]])-2,0)*($G171-$H171)</f>
        <v>690.27153277931654</v>
      </c>
      <c r="BM171" s="22">
        <f>VLOOKUP($A171,tabCustoUnit[],COLUMN(CUSTO_GLOBAL[[#Headers],[Outros (especificar)]])-2,0)*($G171-$H171)</f>
        <v>0</v>
      </c>
      <c r="BN171" s="22">
        <f>VLOOKUP($A171,tabCustoUnit[],COLUMN(CUSTO_GLOBAL[[#Headers],[MÓDULO 5 – INSUMOS DIVERSOS]])-2,0)*($G171-$H171)</f>
        <v>891.12830631939266</v>
      </c>
      <c r="BO171" s="22">
        <f>VLOOKUP($A171,tabCustoUnit[],COLUMN(CUSTO_GLOBAL[[#Headers],[TOTAL MÓDULOS 1+2+3+4+5]])-2,0)*($G171-$H171)</f>
        <v>4299.0288091737839</v>
      </c>
      <c r="BP171" s="22">
        <f>VLOOKUP($A171,tabCustoUnit[],COLUMN(CUSTO_GLOBAL[[#Headers],[Custos Indiretos]])-2,0)*($G171-$H171)</f>
        <v>189.64880140242613</v>
      </c>
      <c r="BQ171" s="22">
        <f>VLOOKUP($A171,tabCustoUnit[],COLUMN(CUSTO_GLOBAL[[#Headers],[Lucro]])-2,0)*($G171-$H171)</f>
        <v>159.30499317803796</v>
      </c>
      <c r="BR171" s="26">
        <f>VLOOKUP($A171,tabCustoUnit[],COLUMN(CUSTO_GLOBAL[[#Headers],[COFINS]])-2,0)</f>
        <v>8.7608069164265154E-2</v>
      </c>
      <c r="BS171" s="26">
        <f>VLOOKUP($A171,tabCustoUnit[],COLUMN(CUSTO_GLOBAL[[#Headers],[PIS]])-2,0)</f>
        <v>1.9020172910662814E-2</v>
      </c>
      <c r="BT171" s="28">
        <f>VLOOKUP($A171,tabCustoUnit[],COLUMN(CUSTO_GLOBAL[[#Headers],[ISS]])-2,0)</f>
        <v>0.04</v>
      </c>
      <c r="BU171" s="26">
        <f>VLOOKUP($A171,tabCustoUnit[],COLUMN(CUSTO_GLOBAL[[#Headers],[ISS (Conversão Alíquota s/ fatura)]])-2,0)</f>
        <v>4.6109510086455294E-2</v>
      </c>
      <c r="BV171" s="26">
        <f>VLOOKUP($A171,tabCustoUnit[],COLUMN(CUSTO_GLOBAL[[#Headers],[Resumo de Alíquotas (PIS+CONFINS+ISS)]])-2,0)</f>
        <v>0.13250000000000001</v>
      </c>
      <c r="BW171" s="138">
        <f>VLOOKUP($A171,tabCustoUnit[],COLUMN(CUSTO_GLOBAL[[#Headers],[PIS + COFINS + ISS (Total Conversão  Alíquota s/ Fatura)]])-2,0)</f>
        <v>0.15273775216138324</v>
      </c>
      <c r="BX171" s="22">
        <f>VLOOKUP($A171,tabCustoUnit[],COLUMN(CUSTO_GLOBAL[[#Headers],[Valor dos Tributos (ISS, PIS, CONFINS)]])-2,0)*($G171-$H171)</f>
        <v>709.92241498263706</v>
      </c>
      <c r="BY171" s="22">
        <f>VLOOKUP($A171,tabCustoUnit[],COLUMN(CUSTO_GLOBAL[[#Headers],[MÓDULO 6 – CUSTOS INDIRETOS, TRIBUTOS E LUCRO]])-2,0)*($G171-$H171)</f>
        <v>1058.8762095631012</v>
      </c>
      <c r="BZ171" s="22">
        <f>VLOOKUP($A171,tabCustoUnit[],COLUMN(CUSTO_GLOBAL[[#Headers],[CUSTO TOTAL MENSAL]])-2,0)*($G171-$H171)</f>
        <v>5357.9050187368848</v>
      </c>
      <c r="CA171" s="22">
        <f>CUSTO_GLOBAL[[#This Row],[CUSTO TOTAL MENSAL]]*12</f>
        <v>64294.860224842618</v>
      </c>
      <c r="CB171" s="24">
        <f>VLOOKUP($A171,tabCustoUnit[],COLUMN(CUSTO_GLOBAL[[#Headers],[ANO DA CCT]])-2,0)</f>
        <v>45658</v>
      </c>
      <c r="CC171" s="25" t="str">
        <f>VLOOKUP($A171,tabCustoUnit[],COLUMN(CUSTO_GLOBAL[[#Headers],[Nº DE PEDIDO DA CCT]])-2,0)</f>
        <v>-</v>
      </c>
      <c r="CD171" s="25" t="str">
        <f>VLOOKUP($A171,tabCustoUnit[],COLUMN(CUSTO_GLOBAL[[#Headers],[TERMO ADITIVO  ALTERAÇÃO DA CCT]])-2,0)</f>
        <v>-</v>
      </c>
      <c r="CF171" s="22"/>
      <c r="CG171" s="22"/>
    </row>
    <row r="172" spans="1:85" x14ac:dyDescent="0.25">
      <c r="A172" s="20" t="s">
        <v>1508</v>
      </c>
      <c r="B172" t="s">
        <v>156</v>
      </c>
      <c r="C172" t="s">
        <v>1246</v>
      </c>
      <c r="D172" t="s">
        <v>1010</v>
      </c>
      <c r="E172" s="20" t="s">
        <v>9</v>
      </c>
      <c r="F172" s="20" t="s">
        <v>10</v>
      </c>
      <c r="G172" s="20">
        <v>1</v>
      </c>
      <c r="H172" s="20">
        <v>0</v>
      </c>
      <c r="I172" s="21">
        <f>VLOOKUP($A172,tabCustoUnit[],COLUMN(CUSTO_GLOBAL[[#Headers],[Salário Base]])-2,0)*($G172-$H172)</f>
        <v>1088.3699999999999</v>
      </c>
      <c r="J172" s="21">
        <f>VLOOKUP($A172,tabCustoUnit[],COLUMN(CUSTO_GLOBAL[[#Headers],[Adicional Periculosidade]])-2,0)*($G172-$H172)</f>
        <v>0</v>
      </c>
      <c r="K172" s="21">
        <f>VLOOKUP($A172,tabCustoUnit[],COLUMN(CUSTO_GLOBAL[[#Headers],[Adicional Insalubridade]])-2,0)*($G172-$H172)</f>
        <v>0</v>
      </c>
      <c r="L172" s="21">
        <f>VLOOKUP($A172,tabCustoUnit[],COLUMN(CUSTO_GLOBAL[[#Headers],[Adicional Noturno]])-2,0)*($G172-$H172)</f>
        <v>0</v>
      </c>
      <c r="M172" s="21">
        <f>VLOOKUP($A172,tabCustoUnit[],COLUMN(CUSTO_GLOBAL[[#Headers],[Adicional Motorista II (Gratificação)]])-2,0)*($G172-$H172)</f>
        <v>0</v>
      </c>
      <c r="N172" s="21">
        <f>VLOOKUP($A172,tabCustoUnit[],COLUMN(CUSTO_GLOBAL[[#Headers],[Adicional de Sobreaviso]])-2,0)*($G172-$H172)</f>
        <v>0</v>
      </c>
      <c r="O172" s="21">
        <f>VLOOKUP($A172,tabCustoUnit[],COLUMN(CUSTO_GLOBAL[[#Headers],[Horas Extras TI]])-2,0)*($G172-$H172)</f>
        <v>0</v>
      </c>
      <c r="P172" s="21">
        <f>VLOOKUP($A172,tabCustoUnit[],COLUMN(CUSTO_GLOBAL[[#Headers],[Adicional de Acúmulo de função]])-2,0)*($G172-$H172)</f>
        <v>39.1813</v>
      </c>
      <c r="Q172" s="21">
        <f>VLOOKUP($A172,tabCustoUnit[],COLUMN(CUSTO_GLOBAL[[#Headers],[MODULO 1 - REMUNERAÇÃO ]])-2,0)*($G172-$H172)</f>
        <v>1127.5512999999999</v>
      </c>
      <c r="R172" s="21">
        <f>VLOOKUP($A172,tabCustoUnit[],COLUMN(CUSTO_GLOBAL[[#Headers],[INSS]])-2,0)*($G172-$H172)</f>
        <v>225.51025999999999</v>
      </c>
      <c r="S172" s="21">
        <f>VLOOKUP($A172,tabCustoUnit[],COLUMN(CUSTO_GLOBAL[[#Headers],[SESI OU SESC]])-2,0)*($G172-$H172)</f>
        <v>16.913269499999998</v>
      </c>
      <c r="T172" s="21">
        <f>VLOOKUP($A172,tabCustoUnit[],COLUMN(CUSTO_GLOBAL[[#Headers],[SENAI OU SENAC]])-2,0)*($G172-$H172)</f>
        <v>11.275512999999998</v>
      </c>
      <c r="U172" s="21">
        <f>VLOOKUP($A172,tabCustoUnit[],COLUMN(CUSTO_GLOBAL[[#Headers],[INCRA]])-2,0)*($G172-$H172)</f>
        <v>2.2551025999999998</v>
      </c>
      <c r="V172" s="21">
        <f>VLOOKUP($A172,tabCustoUnit[],COLUMN(CUSTO_GLOBAL[[#Headers],[Salário Educação]])-2,0)*($G172-$H172)</f>
        <v>28.188782499999999</v>
      </c>
      <c r="W172" s="21">
        <f>VLOOKUP($A172,tabCustoUnit[],COLUMN(CUSTO_GLOBAL[[#Headers],[FGTS]])-2,0)*($G172-$H172)</f>
        <v>90.204103999999987</v>
      </c>
      <c r="X172" s="21">
        <f>VLOOKUP($A172,tabCustoUnit[],COLUMN(CUSTO_GLOBAL[[#Headers],[RAT Ajustado]])-2,0)*($G172-$H172)</f>
        <v>45.102051999999993</v>
      </c>
      <c r="Y172" s="21">
        <f>VLOOKUP($A172,tabCustoUnit[],COLUMN(CUSTO_GLOBAL[[#Headers],[SEBRAE]])-2,0)*($G172-$H172)</f>
        <v>6.7653077999999995</v>
      </c>
      <c r="Z172" s="21">
        <f>VLOOKUP($A172,tabCustoUnit[],COLUMN(CUSTO_GLOBAL[[#Headers],[Submódulo 2.1]])-2,0)*($G172-$H172)</f>
        <v>426.21439139999995</v>
      </c>
      <c r="AA172" s="21">
        <f>VLOOKUP($A172,tabCustoUnit[],COLUMN(CUSTO_GLOBAL[[#Headers],[13º salário (titular)]])-2,0)*($G172-$H172)</f>
        <v>93.962608333333321</v>
      </c>
      <c r="AB172" s="21">
        <f>VLOOKUP($A172,tabCustoUnit[],COLUMN(CUSTO_GLOBAL[[#Headers],[Férias e Adicional de Férias (titular)]])-2,0)*($G172-$H172)</f>
        <v>125.28347777777776</v>
      </c>
      <c r="AC172" s="21">
        <f>VLOOKUP($A172,tabCustoUnit[],COLUMN(CUSTO_GLOBAL[[#Headers],[Incidência do Submódulo 2.1 sobre 13º Salário, Férias e Adicional de Férias]])-2,0)*($G172-$H172)</f>
        <v>82.875020549999988</v>
      </c>
      <c r="AD172" s="21">
        <f>VLOOKUP($A172,tabCustoUnit[],COLUMN(CUSTO_GLOBAL[[#Headers],[Submódulo 2.2]])-2,0)*($G172-$H172)</f>
        <v>302.12110666111107</v>
      </c>
      <c r="AE172" s="22">
        <f>VLOOKUP($A172,tabCustoUnit[],COLUMN(CUSTO_GLOBAL[[#Headers],[Vale - Transporte (Descontada parcela do empregado)]])-2,0)*($G172-$H172)</f>
        <v>190.69780000000003</v>
      </c>
      <c r="AF172" s="22">
        <f>VLOOKUP($A172,tabCustoUnit[],COLUMN(CUSTO_GLOBAL[[#Headers],[Vale - Alimentação (Descontada parcela do empregado)]])-2,0)*($G172-$H172)</f>
        <v>582</v>
      </c>
      <c r="AG172" s="22">
        <f>VLOOKUP($A172,tabCustoUnit[],COLUMN(CUSTO_GLOBAL[[#Headers],[Cesta Básica]])-2,0)*($G172-$H172)</f>
        <v>0</v>
      </c>
      <c r="AH172" s="22">
        <f>VLOOKUP($A172,tabCustoUnit[],COLUMN(CUSTO_GLOBAL[[#Headers],[PAF]])-2,0)*($G172-$H172)</f>
        <v>51.88</v>
      </c>
      <c r="AI172" s="22">
        <f>VLOOKUP($A172,tabCustoUnit[],COLUMN(CUSTO_GLOBAL[[#Headers],[PQM]])-2,0)*($G172-$H172)</f>
        <v>0</v>
      </c>
      <c r="AJ172" s="22">
        <v>0</v>
      </c>
      <c r="AK172" s="22">
        <f>VLOOKUP($A172,tabCustoUnit[],COLUMN(CUSTO_GLOBAL[[#Headers],[Seguro de Vida]])-2,0)*($G172-$H172)</f>
        <v>3.36</v>
      </c>
      <c r="AL172" s="22">
        <f>VLOOKUP($A172,tabCustoUnit[],COLUMN(CUSTO_GLOBAL[[#Headers],[Despesas de Viagem]])-2,0)*($G172-$H172)</f>
        <v>0</v>
      </c>
      <c r="AM172" s="22">
        <f>VLOOKUP($A172,tabCustoUnit[],COLUMN(CUSTO_GLOBAL[[#Headers],[Submódulo 2.3]])-2,0)*($G172-$H172)</f>
        <v>827.93780000000004</v>
      </c>
      <c r="AN172" s="22">
        <f>VLOOKUP($A172,tabCustoUnit[],COLUMN(CUSTO_GLOBAL[[#Headers],[MÓDULO 2 - Total Encargos e Benefícios mensais e diários]])-2,0)*($G172-$H172)</f>
        <v>1556.2732980611111</v>
      </c>
      <c r="AO172" s="22">
        <f>VLOOKUP($A172,tabCustoUnit[],COLUMN(CUSTO_GLOBAL[[#Headers],[Aviso Prévio Indenizado (API) e Reflexo do Aviso Prévio Indenizado]])-2,0)*($G172-$H172)</f>
        <v>7.9061269683063262</v>
      </c>
      <c r="AP172" s="22">
        <f>VLOOKUP($A172,tabCustoUnit[],COLUMN(CUSTO_GLOBAL[[#Headers],[Incidência do FGTS sobre API e Reflexo do API]])-2,0)*($G172-$H172)</f>
        <v>0.6324901574645061</v>
      </c>
      <c r="AQ172" s="22">
        <f>VLOOKUP($A172,tabCustoUnit[],COLUMN(CUSTO_GLOBAL[[#Headers],[Multa Rescisória do FGTS sobre o Aviso Prévio Indenizado]])-2,0)*($G172-$H172)</f>
        <v>0.25299606298580246</v>
      </c>
      <c r="AR172" s="22">
        <f>VLOOKUP($A172,tabCustoUnit[],COLUMN(CUSTO_GLOBAL[[#Headers],[Aviso Prévio Trabalhado - APT]])-2,0)*($G172-$H172)</f>
        <v>3.94642955</v>
      </c>
      <c r="AS172" s="22">
        <f>VLOOKUP($A172,tabCustoUnit[],COLUMN(CUSTO_GLOBAL[[#Headers],[Incidência dos encargos do submódulo 2.1 sobre Aviso Prévio Trabalhado]])-2,0)*($G172-$H172)</f>
        <v>1.4917503699000003</v>
      </c>
      <c r="AT172" s="22">
        <f>VLOOKUP($A172,tabCustoUnit[],COLUMN(CUSTO_GLOBAL[[#Headers],[Multa Rescisória do FGTS]])-2,0)*($G172-$H172)</f>
        <v>34.478013084444434</v>
      </c>
      <c r="AU172" s="22">
        <f>VLOOKUP($A172,tabCustoUnit[],COLUMN(CUSTO_GLOBAL[[#Headers],[Indenização Adicional (Art. 9º da Lei nº 7.238/84)]])-2,0)*($G172-$H172)</f>
        <v>0.93962608333333331</v>
      </c>
      <c r="AV172" s="22">
        <f>VLOOKUP($A172,tabCustoUnit[],COLUMN(CUSTO_GLOBAL[[#Headers],[MÓDULO 3 – PROVISÃO PARA RESCISÃO]])-2,0)*($G172-$H172)</f>
        <v>49.647432276434401</v>
      </c>
      <c r="AW172" s="22">
        <f>VLOOKUP($A172,tabCustoUnit[],COLUMN(CUSTO_GLOBAL[[#Headers],[Ausência por Doença]])-2,0)*($G172-$H172)</f>
        <v>9.5215443111111089</v>
      </c>
      <c r="AX172" s="22">
        <f>VLOOKUP($A172,tabCustoUnit[],COLUMN(CUSTO_GLOBAL[[#Headers],[Ausências Legais]])-2,0)*($G172-$H172)</f>
        <v>2.2864234694444439</v>
      </c>
      <c r="AY172" s="22">
        <f>VLOOKUP($A172,tabCustoUnit[],COLUMN(CUSTO_GLOBAL[[#Headers],[Licença Paternidade]])-2,0)*($G172-$H172)</f>
        <v>0.19262334708333331</v>
      </c>
      <c r="AZ172" s="22">
        <f>VLOOKUP($A172,tabCustoUnit[],COLUMN(CUSTO_GLOBAL[[#Headers],[Ausência por Acidente de Trabalho]])-2,0)*($G172-$H172)</f>
        <v>0.23490652083333333</v>
      </c>
      <c r="BA172" s="22">
        <f>VLOOKUP($A172,tabCustoUnit[],COLUMN(CUSTO_GLOBAL[[#Headers],[Férias, Adicional de Férias e 13º  com empregada em gozo de Licença Maternidade]])-2,0)*($G172-$H172)</f>
        <v>1.4616405740740739</v>
      </c>
      <c r="BB172" s="22">
        <f>VLOOKUP($A172,tabCustoUnit[],COLUMN(CUSTO_GLOBAL[[#Headers],[Incidência do Submódulo 2.1 sobre Ausências Legais]])-2,0)*($G172-$H172)</f>
        <v>5.1775182481225004</v>
      </c>
      <c r="BC172" s="22">
        <f>VLOOKUP($A172,tabCustoUnit[],COLUMN(CUSTO_GLOBAL[[#Headers],[Submódulo 4.1]])-2,0)*($G172-$H172)</f>
        <v>18.874656470668793</v>
      </c>
      <c r="BD172" s="22">
        <f>VLOOKUP($A172,tabCustoUnit[],COLUMN(CUSTO_GLOBAL[[#Headers],[Intervalo para Repouso ou Alimentação]])-2,0)*($G172-$H172)</f>
        <v>0</v>
      </c>
      <c r="BE172" s="22">
        <f>VLOOKUP($A172,tabCustoUnit[],COLUMN(CUSTO_GLOBAL[[#Headers],[Submódulo 4.2]])-2,0)*($G172-$H172)</f>
        <v>0</v>
      </c>
      <c r="BF172" s="22">
        <f>VLOOKUP($A172,tabCustoUnit[],COLUMN(CUSTO_GLOBAL[[#Headers],[Suspensão Temporária do Contrato de Trabalho]])-2,0)*($G172-$H172)</f>
        <v>0</v>
      </c>
      <c r="BG172" s="22">
        <f>VLOOKUP($A172,tabCustoUnit[],COLUMN(CUSTO_GLOBAL[[#Headers],[Submódulo 4.3]])-2,0)*($G172-$H172)</f>
        <v>0</v>
      </c>
      <c r="BH172" s="22">
        <f>VLOOKUP($A172,tabCustoUnit[],COLUMN(CUSTO_GLOBAL[[#Headers],[MÓDULO 4 – CUSTO DE REPOSIÇÃO DO PROFISSIONAL AUSENTE]])-2,0)*($G172-$H172)</f>
        <v>18.874656470668793</v>
      </c>
      <c r="BI172" s="22">
        <f>VLOOKUP($A172,tabCustoUnit[],COLUMN(CUSTO_GLOBAL[[#Headers],[Uniformes e EPIs]])-2,0)*($G172-$H172)</f>
        <v>100.80916666666666</v>
      </c>
      <c r="BJ172" s="22">
        <f>VLOOKUP($A172,tabCustoUnit[],COLUMN(CUSTO_GLOBAL[[#Headers],[Materiais de Consumo]])-2,0)*($G172-$H172)</f>
        <v>24.216963380852651</v>
      </c>
      <c r="BK172" s="22">
        <f>VLOOKUP($A172,tabCustoUnit[],COLUMN(CUSTO_GLOBAL[[#Headers],[Máquinas e Equipamentos (depreciação)]])-2,0)*($G172-$H172)</f>
        <v>43.997314032835618</v>
      </c>
      <c r="BL172" s="22">
        <f>VLOOKUP($A172,tabCustoUnit[],COLUMN(CUSTO_GLOBAL[[#Headers],[Produtos de Limpeza e Materiais de Higiene Pessoal]])-2,0)*($G172-$H172)</f>
        <v>470.6396814404431</v>
      </c>
      <c r="BM172" s="22">
        <f>VLOOKUP($A172,tabCustoUnit[],COLUMN(CUSTO_GLOBAL[[#Headers],[Outros (especificar)]])-2,0)*($G172-$H172)</f>
        <v>0</v>
      </c>
      <c r="BN172" s="22">
        <f>VLOOKUP($A172,tabCustoUnit[],COLUMN(CUSTO_GLOBAL[[#Headers],[MÓDULO 5 – INSUMOS DIVERSOS]])-2,0)*($G172-$H172)</f>
        <v>639.66312552079808</v>
      </c>
      <c r="BO172" s="22">
        <f>VLOOKUP($A172,tabCustoUnit[],COLUMN(CUSTO_GLOBAL[[#Headers],[TOTAL MÓDULOS 1+2+3+4+5]])-2,0)*($G172-$H172)</f>
        <v>3392.0098123290122</v>
      </c>
      <c r="BP172" s="22">
        <f>VLOOKUP($A172,tabCustoUnit[],COLUMN(CUSTO_GLOBAL[[#Headers],[Custos Indiretos]])-2,0)*($G172-$H172)</f>
        <v>189.64880140242613</v>
      </c>
      <c r="BQ172" s="22">
        <f>VLOOKUP($A172,tabCustoUnit[],COLUMN(CUSTO_GLOBAL[[#Headers],[Lucro]])-2,0)*($G172-$H172)</f>
        <v>159.30499317803796</v>
      </c>
      <c r="BR172" s="26">
        <f>VLOOKUP($A172,tabCustoUnit[],COLUMN(CUSTO_GLOBAL[[#Headers],[COFINS]])-2,0)</f>
        <v>8.6609686609686695E-2</v>
      </c>
      <c r="BS172" s="26">
        <f>VLOOKUP($A172,tabCustoUnit[],COLUMN(CUSTO_GLOBAL[[#Headers],[PIS]])-2,0)</f>
        <v>1.880341880341882E-2</v>
      </c>
      <c r="BT172" s="28">
        <f>VLOOKUP($A172,tabCustoUnit[],COLUMN(CUSTO_GLOBAL[[#Headers],[ISS]])-2,0)</f>
        <v>0.03</v>
      </c>
      <c r="BU172" s="26">
        <f>VLOOKUP($A172,tabCustoUnit[],COLUMN(CUSTO_GLOBAL[[#Headers],[ISS (Conversão Alíquota s/ fatura)]])-2,0)</f>
        <v>3.4188034188034219E-2</v>
      </c>
      <c r="BV172" s="26">
        <f>VLOOKUP($A172,tabCustoUnit[],COLUMN(CUSTO_GLOBAL[[#Headers],[Resumo de Alíquotas (PIS+CONFINS+ISS)]])-2,0)</f>
        <v>0.1225</v>
      </c>
      <c r="BW172" s="138">
        <f>VLOOKUP($A172,tabCustoUnit[],COLUMN(CUSTO_GLOBAL[[#Headers],[PIS + COFINS + ISS (Total Conversão  Alíquota s/ Fatura)]])-2,0)</f>
        <v>0.13960113960113973</v>
      </c>
      <c r="BX172" s="22">
        <f>VLOOKUP($A172,tabCustoUnit[],COLUMN(CUSTO_GLOBAL[[#Headers],[Valor dos Tributos (ISS, PIS, CONFINS)]])-2,0)*($G172-$H172)</f>
        <v>522.24278273095308</v>
      </c>
      <c r="BY172" s="22">
        <f>VLOOKUP($A172,tabCustoUnit[],COLUMN(CUSTO_GLOBAL[[#Headers],[MÓDULO 6 – CUSTOS INDIRETOS, TRIBUTOS E LUCRO]])-2,0)*($G172-$H172)</f>
        <v>871.19657731141717</v>
      </c>
      <c r="BZ172" s="22">
        <f>VLOOKUP($A172,tabCustoUnit[],COLUMN(CUSTO_GLOBAL[[#Headers],[CUSTO TOTAL MENSAL]])-2,0)*($G172-$H172)</f>
        <v>4263.2063896404297</v>
      </c>
      <c r="CA172" s="22">
        <f>CUSTO_GLOBAL[[#This Row],[CUSTO TOTAL MENSAL]]*12</f>
        <v>51158.47667568516</v>
      </c>
      <c r="CB172" s="24">
        <f>VLOOKUP($A172,tabCustoUnit[],COLUMN(CUSTO_GLOBAL[[#Headers],[ANO DA CCT]])-2,0)</f>
        <v>45658</v>
      </c>
      <c r="CC172" s="25" t="str">
        <f>VLOOKUP($A172,tabCustoUnit[],COLUMN(CUSTO_GLOBAL[[#Headers],[Nº DE PEDIDO DA CCT]])-2,0)</f>
        <v>-</v>
      </c>
      <c r="CD172" s="25" t="str">
        <f>VLOOKUP($A172,tabCustoUnit[],COLUMN(CUSTO_GLOBAL[[#Headers],[TERMO ADITIVO  ALTERAÇÃO DA CCT]])-2,0)</f>
        <v>-</v>
      </c>
      <c r="CF172" s="22"/>
      <c r="CG172" s="22"/>
    </row>
    <row r="173" spans="1:85" x14ac:dyDescent="0.25">
      <c r="A173" s="20" t="s">
        <v>1509</v>
      </c>
      <c r="B173" t="s">
        <v>157</v>
      </c>
      <c r="C173" t="s">
        <v>1247</v>
      </c>
      <c r="D173" t="s">
        <v>1026</v>
      </c>
      <c r="E173" s="20" t="s">
        <v>9</v>
      </c>
      <c r="F173" s="20" t="s">
        <v>10</v>
      </c>
      <c r="G173" s="20">
        <v>1</v>
      </c>
      <c r="H173" s="20">
        <v>0</v>
      </c>
      <c r="I173" s="21">
        <f>VLOOKUP($A173,tabCustoUnit[],COLUMN(CUSTO_GLOBAL[[#Headers],[Salário Base]])-2,0)*($G173-$H173)</f>
        <v>544.17999999999995</v>
      </c>
      <c r="J173" s="21">
        <f>VLOOKUP($A173,tabCustoUnit[],COLUMN(CUSTO_GLOBAL[[#Headers],[Adicional Periculosidade]])-2,0)*($G173-$H173)</f>
        <v>0</v>
      </c>
      <c r="K173" s="21">
        <f>VLOOKUP($A173,tabCustoUnit[],COLUMN(CUSTO_GLOBAL[[#Headers],[Adicional Insalubridade]])-2,0)*($G173-$H173)</f>
        <v>0</v>
      </c>
      <c r="L173" s="21">
        <f>VLOOKUP($A173,tabCustoUnit[],COLUMN(CUSTO_GLOBAL[[#Headers],[Adicional Noturno]])-2,0)*($G173-$H173)</f>
        <v>0</v>
      </c>
      <c r="M173" s="21">
        <f>VLOOKUP($A173,tabCustoUnit[],COLUMN(CUSTO_GLOBAL[[#Headers],[Adicional Motorista II (Gratificação)]])-2,0)*($G173-$H173)</f>
        <v>0</v>
      </c>
      <c r="N173" s="21">
        <f>VLOOKUP($A173,tabCustoUnit[],COLUMN(CUSTO_GLOBAL[[#Headers],[Adicional de Sobreaviso]])-2,0)*($G173-$H173)</f>
        <v>0</v>
      </c>
      <c r="O173" s="21">
        <f>VLOOKUP($A173,tabCustoUnit[],COLUMN(CUSTO_GLOBAL[[#Headers],[Horas Extras TI]])-2,0)*($G173-$H173)</f>
        <v>0</v>
      </c>
      <c r="P173" s="21">
        <f>VLOOKUP($A173,tabCustoUnit[],COLUMN(CUSTO_GLOBAL[[#Headers],[Adicional de Acúmulo de função]])-2,0)*($G173-$H173)</f>
        <v>19.590499999999999</v>
      </c>
      <c r="Q173" s="21">
        <f>VLOOKUP($A173,tabCustoUnit[],COLUMN(CUSTO_GLOBAL[[#Headers],[MODULO 1 - REMUNERAÇÃO ]])-2,0)*($G173-$H173)</f>
        <v>563.77049999999997</v>
      </c>
      <c r="R173" s="21">
        <f>VLOOKUP($A173,tabCustoUnit[],COLUMN(CUSTO_GLOBAL[[#Headers],[INSS]])-2,0)*($G173-$H173)</f>
        <v>112.75409999999999</v>
      </c>
      <c r="S173" s="21">
        <f>VLOOKUP($A173,tabCustoUnit[],COLUMN(CUSTO_GLOBAL[[#Headers],[SESI OU SESC]])-2,0)*($G173-$H173)</f>
        <v>8.4565574999999988</v>
      </c>
      <c r="T173" s="21">
        <f>VLOOKUP($A173,tabCustoUnit[],COLUMN(CUSTO_GLOBAL[[#Headers],[SENAI OU SENAC]])-2,0)*($G173-$H173)</f>
        <v>5.6377049999999995</v>
      </c>
      <c r="U173" s="21">
        <f>VLOOKUP($A173,tabCustoUnit[],COLUMN(CUSTO_GLOBAL[[#Headers],[INCRA]])-2,0)*($G173-$H173)</f>
        <v>1.1275409999999999</v>
      </c>
      <c r="V173" s="21">
        <f>VLOOKUP($A173,tabCustoUnit[],COLUMN(CUSTO_GLOBAL[[#Headers],[Salário Educação]])-2,0)*($G173-$H173)</f>
        <v>14.094262499999999</v>
      </c>
      <c r="W173" s="21">
        <f>VLOOKUP($A173,tabCustoUnit[],COLUMN(CUSTO_GLOBAL[[#Headers],[FGTS]])-2,0)*($G173-$H173)</f>
        <v>45.101639999999996</v>
      </c>
      <c r="X173" s="21">
        <f>VLOOKUP($A173,tabCustoUnit[],COLUMN(CUSTO_GLOBAL[[#Headers],[RAT Ajustado]])-2,0)*($G173-$H173)</f>
        <v>22.550819999999998</v>
      </c>
      <c r="Y173" s="21">
        <f>VLOOKUP($A173,tabCustoUnit[],COLUMN(CUSTO_GLOBAL[[#Headers],[SEBRAE]])-2,0)*($G173-$H173)</f>
        <v>3.3826229999999997</v>
      </c>
      <c r="Z173" s="21">
        <f>VLOOKUP($A173,tabCustoUnit[],COLUMN(CUSTO_GLOBAL[[#Headers],[Submódulo 2.1]])-2,0)*($G173-$H173)</f>
        <v>213.10524899999996</v>
      </c>
      <c r="AA173" s="21">
        <f>VLOOKUP($A173,tabCustoUnit[],COLUMN(CUSTO_GLOBAL[[#Headers],[13º salário (titular)]])-2,0)*($G173-$H173)</f>
        <v>46.980874999999997</v>
      </c>
      <c r="AB173" s="21">
        <f>VLOOKUP($A173,tabCustoUnit[],COLUMN(CUSTO_GLOBAL[[#Headers],[Férias e Adicional de Férias (titular)]])-2,0)*($G173-$H173)</f>
        <v>62.641166666666663</v>
      </c>
      <c r="AC173" s="21">
        <f>VLOOKUP($A173,tabCustoUnit[],COLUMN(CUSTO_GLOBAL[[#Headers],[Incidência do Submódulo 2.1 sobre 13º Salário, Férias e Adicional de Férias]])-2,0)*($G173-$H173)</f>
        <v>41.437131749999992</v>
      </c>
      <c r="AD173" s="21">
        <f>VLOOKUP($A173,tabCustoUnit[],COLUMN(CUSTO_GLOBAL[[#Headers],[Submódulo 2.2]])-2,0)*($G173-$H173)</f>
        <v>151.05917341666665</v>
      </c>
      <c r="AE173" s="22">
        <f>VLOOKUP($A173,tabCustoUnit[],COLUMN(CUSTO_GLOBAL[[#Headers],[Vale - Transporte (Descontada parcela do empregado)]])-2,0)*($G173-$H173)</f>
        <v>223.3492</v>
      </c>
      <c r="AF173" s="22">
        <f>VLOOKUP($A173,tabCustoUnit[],COLUMN(CUSTO_GLOBAL[[#Headers],[Vale - Alimentação (Descontada parcela do empregado)]])-2,0)*($G173-$H173)</f>
        <v>582</v>
      </c>
      <c r="AG173" s="22">
        <f>VLOOKUP($A173,tabCustoUnit[],COLUMN(CUSTO_GLOBAL[[#Headers],[Cesta Básica]])-2,0)*($G173-$H173)</f>
        <v>0</v>
      </c>
      <c r="AH173" s="22">
        <f>VLOOKUP($A173,tabCustoUnit[],COLUMN(CUSTO_GLOBAL[[#Headers],[PAF]])-2,0)*($G173-$H173)</f>
        <v>0</v>
      </c>
      <c r="AI173" s="22">
        <f>VLOOKUP($A173,tabCustoUnit[],COLUMN(CUSTO_GLOBAL[[#Headers],[PQM]])-2,0)*($G173-$H173)</f>
        <v>15.07</v>
      </c>
      <c r="AJ173" s="22">
        <v>0</v>
      </c>
      <c r="AK173" s="22">
        <f>VLOOKUP($A173,tabCustoUnit[],COLUMN(CUSTO_GLOBAL[[#Headers],[Seguro de Vida]])-2,0)*($G173-$H173)</f>
        <v>3.36</v>
      </c>
      <c r="AL173" s="22">
        <f>VLOOKUP($A173,tabCustoUnit[],COLUMN(CUSTO_GLOBAL[[#Headers],[Despesas de Viagem]])-2,0)*($G173-$H173)</f>
        <v>0</v>
      </c>
      <c r="AM173" s="22">
        <f>VLOOKUP($A173,tabCustoUnit[],COLUMN(CUSTO_GLOBAL[[#Headers],[Submódulo 2.3]])-2,0)*($G173-$H173)</f>
        <v>823.77920000000006</v>
      </c>
      <c r="AN173" s="22">
        <f>VLOOKUP($A173,tabCustoUnit[],COLUMN(CUSTO_GLOBAL[[#Headers],[MÓDULO 2 - Total Encargos e Benefícios mensais e diários]])-2,0)*($G173-$H173)</f>
        <v>1187.9436224166666</v>
      </c>
      <c r="AO173" s="22">
        <f>VLOOKUP($A173,tabCustoUnit[],COLUMN(CUSTO_GLOBAL[[#Headers],[Aviso Prévio Indenizado (API) e Reflexo do Aviso Prévio Indenizado]])-2,0)*($G173-$H173)</f>
        <v>3.9530273735532404</v>
      </c>
      <c r="AP173" s="22">
        <f>VLOOKUP($A173,tabCustoUnit[],COLUMN(CUSTO_GLOBAL[[#Headers],[Incidência do FGTS sobre API e Reflexo do API]])-2,0)*($G173-$H173)</f>
        <v>0.31624218988425928</v>
      </c>
      <c r="AQ173" s="22">
        <f>VLOOKUP($A173,tabCustoUnit[],COLUMN(CUSTO_GLOBAL[[#Headers],[Multa Rescisória do FGTS sobre o Aviso Prévio Indenizado]])-2,0)*($G173-$H173)</f>
        <v>0.12649687595370371</v>
      </c>
      <c r="AR173" s="22">
        <f>VLOOKUP($A173,tabCustoUnit[],COLUMN(CUSTO_GLOBAL[[#Headers],[Aviso Prévio Trabalhado - APT]])-2,0)*($G173-$H173)</f>
        <v>1.9731967500000003</v>
      </c>
      <c r="AS173" s="22">
        <f>VLOOKUP($A173,tabCustoUnit[],COLUMN(CUSTO_GLOBAL[[#Headers],[Incidência dos encargos do submódulo 2.1 sobre Aviso Prévio Trabalhado]])-2,0)*($G173-$H173)</f>
        <v>0.74586837150000018</v>
      </c>
      <c r="AT173" s="22">
        <f>VLOOKUP($A173,tabCustoUnit[],COLUMN(CUSTO_GLOBAL[[#Headers],[Multa Rescisória do FGTS]])-2,0)*($G173-$H173)</f>
        <v>17.238849066666663</v>
      </c>
      <c r="AU173" s="22">
        <f>VLOOKUP($A173,tabCustoUnit[],COLUMN(CUSTO_GLOBAL[[#Headers],[Indenização Adicional (Art. 9º da Lei nº 7.238/84)]])-2,0)*($G173-$H173)</f>
        <v>0.46980875</v>
      </c>
      <c r="AV173" s="22">
        <f>VLOOKUP($A173,tabCustoUnit[],COLUMN(CUSTO_GLOBAL[[#Headers],[MÓDULO 3 – PROVISÃO PARA RESCISÃO]])-2,0)*($G173-$H173)</f>
        <v>24.823489377557866</v>
      </c>
      <c r="AW173" s="22">
        <f>VLOOKUP($A173,tabCustoUnit[],COLUMN(CUSTO_GLOBAL[[#Headers],[Ausência por Doença]])-2,0)*($G173-$H173)</f>
        <v>4.7607286666666662</v>
      </c>
      <c r="AX173" s="22">
        <f>VLOOKUP($A173,tabCustoUnit[],COLUMN(CUSTO_GLOBAL[[#Headers],[Ausências Legais]])-2,0)*($G173-$H173)</f>
        <v>1.1432012916666665</v>
      </c>
      <c r="AY173" s="22">
        <f>VLOOKUP($A173,tabCustoUnit[],COLUMN(CUSTO_GLOBAL[[#Headers],[Licença Paternidade]])-2,0)*($G173-$H173)</f>
        <v>9.6310793749999998E-2</v>
      </c>
      <c r="AZ173" s="22">
        <f>VLOOKUP($A173,tabCustoUnit[],COLUMN(CUSTO_GLOBAL[[#Headers],[Ausência por Acidente de Trabalho]])-2,0)*($G173-$H173)</f>
        <v>0.1174521875</v>
      </c>
      <c r="BA173" s="22">
        <f>VLOOKUP($A173,tabCustoUnit[],COLUMN(CUSTO_GLOBAL[[#Headers],[Férias, Adicional de Férias e 13º  com empregada em gozo de Licença Maternidade]])-2,0)*($G173-$H173)</f>
        <v>0.73081361111111109</v>
      </c>
      <c r="BB173" s="22">
        <f>VLOOKUP($A173,tabCustoUnit[],COLUMN(CUSTO_GLOBAL[[#Headers],[Incidência do Submódulo 2.1 sobre Ausências Legais]])-2,0)*($G173-$H173)</f>
        <v>2.5887354761625003</v>
      </c>
      <c r="BC173" s="22">
        <f>VLOOKUP($A173,tabCustoUnit[],COLUMN(CUSTO_GLOBAL[[#Headers],[Submódulo 4.1]])-2,0)*($G173-$H173)</f>
        <v>9.4372420268569428</v>
      </c>
      <c r="BD173" s="22">
        <f>VLOOKUP($A173,tabCustoUnit[],COLUMN(CUSTO_GLOBAL[[#Headers],[Intervalo para Repouso ou Alimentação]])-2,0)*($G173-$H173)</f>
        <v>0</v>
      </c>
      <c r="BE173" s="22">
        <f>VLOOKUP($A173,tabCustoUnit[],COLUMN(CUSTO_GLOBAL[[#Headers],[Submódulo 4.2]])-2,0)*($G173-$H173)</f>
        <v>0</v>
      </c>
      <c r="BF173" s="22">
        <f>VLOOKUP($A173,tabCustoUnit[],COLUMN(CUSTO_GLOBAL[[#Headers],[Suspensão Temporária do Contrato de Trabalho]])-2,0)*($G173-$H173)</f>
        <v>0</v>
      </c>
      <c r="BG173" s="22">
        <f>VLOOKUP($A173,tabCustoUnit[],COLUMN(CUSTO_GLOBAL[[#Headers],[Submódulo 4.3]])-2,0)*($G173-$H173)</f>
        <v>0</v>
      </c>
      <c r="BH173" s="22">
        <f>VLOOKUP($A173,tabCustoUnit[],COLUMN(CUSTO_GLOBAL[[#Headers],[MÓDULO 4 – CUSTO DE REPOSIÇÃO DO PROFISSIONAL AUSENTE]])-2,0)*($G173-$H173)</f>
        <v>9.4372420268569428</v>
      </c>
      <c r="BI173" s="22">
        <f>VLOOKUP($A173,tabCustoUnit[],COLUMN(CUSTO_GLOBAL[[#Headers],[Uniformes e EPIs]])-2,0)*($G173-$H173)</f>
        <v>62.806666666666665</v>
      </c>
      <c r="BJ173" s="22">
        <f>VLOOKUP($A173,tabCustoUnit[],COLUMN(CUSTO_GLOBAL[[#Headers],[Materiais de Consumo]])-2,0)*($G173-$H173)</f>
        <v>12.108481690426325</v>
      </c>
      <c r="BK173" s="22">
        <f>VLOOKUP($A173,tabCustoUnit[],COLUMN(CUSTO_GLOBAL[[#Headers],[Máquinas e Equipamentos (depreciação)]])-2,0)*($G173-$H173)</f>
        <v>21.998657016417809</v>
      </c>
      <c r="BL173" s="22">
        <f>VLOOKUP($A173,tabCustoUnit[],COLUMN(CUSTO_GLOBAL[[#Headers],[Produtos de Limpeza e Materiais de Higiene Pessoal]])-2,0)*($G173-$H173)</f>
        <v>235.31984072022155</v>
      </c>
      <c r="BM173" s="22">
        <f>VLOOKUP($A173,tabCustoUnit[],COLUMN(CUSTO_GLOBAL[[#Headers],[Outros (especificar)]])-2,0)*($G173-$H173)</f>
        <v>0</v>
      </c>
      <c r="BN173" s="22">
        <f>VLOOKUP($A173,tabCustoUnit[],COLUMN(CUSTO_GLOBAL[[#Headers],[MÓDULO 5 – INSUMOS DIVERSOS]])-2,0)*($G173-$H173)</f>
        <v>332.23364609373232</v>
      </c>
      <c r="BO173" s="22">
        <f>VLOOKUP($A173,tabCustoUnit[],COLUMN(CUSTO_GLOBAL[[#Headers],[TOTAL MÓDULOS 1+2+3+4+5]])-2,0)*($G173-$H173)</f>
        <v>2118.2084999148137</v>
      </c>
      <c r="BP173" s="22">
        <f>VLOOKUP($A173,tabCustoUnit[],COLUMN(CUSTO_GLOBAL[[#Headers],[Custos Indiretos]])-2,0)*($G173-$H173)</f>
        <v>189.64880140242613</v>
      </c>
      <c r="BQ173" s="22">
        <f>VLOOKUP($A173,tabCustoUnit[],COLUMN(CUSTO_GLOBAL[[#Headers],[Lucro]])-2,0)*($G173-$H173)</f>
        <v>159.30499317803796</v>
      </c>
      <c r="BR173" s="26">
        <f>VLOOKUP($A173,tabCustoUnit[],COLUMN(CUSTO_GLOBAL[[#Headers],[COFINS]])-2,0)</f>
        <v>8.8629737609329504E-2</v>
      </c>
      <c r="BS173" s="26">
        <f>VLOOKUP($A173,tabCustoUnit[],COLUMN(CUSTO_GLOBAL[[#Headers],[PIS]])-2,0)</f>
        <v>1.9241982507288629E-2</v>
      </c>
      <c r="BT173" s="28">
        <f>VLOOKUP($A173,tabCustoUnit[],COLUMN(CUSTO_GLOBAL[[#Headers],[ISS]])-2,0)</f>
        <v>0.05</v>
      </c>
      <c r="BU173" s="26">
        <f>VLOOKUP($A173,tabCustoUnit[],COLUMN(CUSTO_GLOBAL[[#Headers],[ISS (Conversão Alíquota s/ fatura)]])-2,0)</f>
        <v>5.8309037900874633E-2</v>
      </c>
      <c r="BV173" s="26">
        <f>VLOOKUP($A173,tabCustoUnit[],COLUMN(CUSTO_GLOBAL[[#Headers],[Resumo de Alíquotas (PIS+CONFINS+ISS)]])-2,0)</f>
        <v>0.14250000000000002</v>
      </c>
      <c r="BW173" s="138">
        <f>VLOOKUP($A173,tabCustoUnit[],COLUMN(CUSTO_GLOBAL[[#Headers],[PIS + COFINS + ISS (Total Conversão  Alíquota s/ Fatura)]])-2,0)</f>
        <v>0.16618075801749277</v>
      </c>
      <c r="BX173" s="22">
        <f>VLOOKUP($A173,tabCustoUnit[],COLUMN(CUSTO_GLOBAL[[#Headers],[Valor dos Tributos (ISS, PIS, CONFINS)]])-2,0)*($G173-$H173)</f>
        <v>409.99490025140199</v>
      </c>
      <c r="BY173" s="22">
        <f>VLOOKUP($A173,tabCustoUnit[],COLUMN(CUSTO_GLOBAL[[#Headers],[MÓDULO 6 – CUSTOS INDIRETOS, TRIBUTOS E LUCRO]])-2,0)*($G173-$H173)</f>
        <v>758.94869483186608</v>
      </c>
      <c r="BZ173" s="22">
        <f>VLOOKUP($A173,tabCustoUnit[],COLUMN(CUSTO_GLOBAL[[#Headers],[CUSTO TOTAL MENSAL]])-2,0)*($G173-$H173)</f>
        <v>2877.15719474668</v>
      </c>
      <c r="CA173" s="22">
        <f>CUSTO_GLOBAL[[#This Row],[CUSTO TOTAL MENSAL]]*12</f>
        <v>34525.88633696016</v>
      </c>
      <c r="CB173" s="24">
        <f>VLOOKUP($A173,tabCustoUnit[],COLUMN(CUSTO_GLOBAL[[#Headers],[ANO DA CCT]])-2,0)</f>
        <v>45658</v>
      </c>
      <c r="CC173" s="25" t="str">
        <f>VLOOKUP($A173,tabCustoUnit[],COLUMN(CUSTO_GLOBAL[[#Headers],[Nº DE PEDIDO DA CCT]])-2,0)</f>
        <v>-</v>
      </c>
      <c r="CD173" s="25" t="str">
        <f>VLOOKUP($A173,tabCustoUnit[],COLUMN(CUSTO_GLOBAL[[#Headers],[TERMO ADITIVO  ALTERAÇÃO DA CCT]])-2,0)</f>
        <v>-</v>
      </c>
      <c r="CF173" s="22"/>
      <c r="CG173" s="22"/>
    </row>
    <row r="174" spans="1:85" x14ac:dyDescent="0.25">
      <c r="A174" s="20" t="s">
        <v>1510</v>
      </c>
      <c r="B174" t="s">
        <v>158</v>
      </c>
      <c r="C174" t="s">
        <v>1245</v>
      </c>
      <c r="D174" t="s">
        <v>1010</v>
      </c>
      <c r="E174" s="20" t="s">
        <v>9</v>
      </c>
      <c r="F174" s="20" t="s">
        <v>10</v>
      </c>
      <c r="G174" s="20">
        <v>1</v>
      </c>
      <c r="H174" s="20">
        <v>0</v>
      </c>
      <c r="I174" s="21">
        <f>VLOOKUP($A174,tabCustoUnit[],COLUMN(CUSTO_GLOBAL[[#Headers],[Salário Base]])-2,0)*($G174-$H174)</f>
        <v>1596.28</v>
      </c>
      <c r="J174" s="21">
        <f>VLOOKUP($A174,tabCustoUnit[],COLUMN(CUSTO_GLOBAL[[#Headers],[Adicional Periculosidade]])-2,0)*($G174-$H174)</f>
        <v>0</v>
      </c>
      <c r="K174" s="21">
        <f>VLOOKUP($A174,tabCustoUnit[],COLUMN(CUSTO_GLOBAL[[#Headers],[Adicional Insalubridade]])-2,0)*($G174-$H174)</f>
        <v>0</v>
      </c>
      <c r="L174" s="21">
        <f>VLOOKUP($A174,tabCustoUnit[],COLUMN(CUSTO_GLOBAL[[#Headers],[Adicional Noturno]])-2,0)*($G174-$H174)</f>
        <v>0</v>
      </c>
      <c r="M174" s="21">
        <f>VLOOKUP($A174,tabCustoUnit[],COLUMN(CUSTO_GLOBAL[[#Headers],[Adicional Motorista II (Gratificação)]])-2,0)*($G174-$H174)</f>
        <v>0</v>
      </c>
      <c r="N174" s="21">
        <f>VLOOKUP($A174,tabCustoUnit[],COLUMN(CUSTO_GLOBAL[[#Headers],[Adicional de Sobreaviso]])-2,0)*($G174-$H174)</f>
        <v>0</v>
      </c>
      <c r="O174" s="21">
        <f>VLOOKUP($A174,tabCustoUnit[],COLUMN(CUSTO_GLOBAL[[#Headers],[Horas Extras TI]])-2,0)*($G174-$H174)</f>
        <v>0</v>
      </c>
      <c r="P174" s="21">
        <f>VLOOKUP($A174,tabCustoUnit[],COLUMN(CUSTO_GLOBAL[[#Headers],[Adicional de Acúmulo de função]])-2,0)*($G174-$H174)</f>
        <v>52.241900000000001</v>
      </c>
      <c r="Q174" s="21">
        <f>VLOOKUP($A174,tabCustoUnit[],COLUMN(CUSTO_GLOBAL[[#Headers],[MODULO 1 - REMUNERAÇÃO ]])-2,0)*($G174-$H174)</f>
        <v>1648.5219</v>
      </c>
      <c r="R174" s="21">
        <f>VLOOKUP($A174,tabCustoUnit[],COLUMN(CUSTO_GLOBAL[[#Headers],[INSS]])-2,0)*($G174-$H174)</f>
        <v>329.70438000000001</v>
      </c>
      <c r="S174" s="21">
        <f>VLOOKUP($A174,tabCustoUnit[],COLUMN(CUSTO_GLOBAL[[#Headers],[SESI OU SESC]])-2,0)*($G174-$H174)</f>
        <v>24.727828499999998</v>
      </c>
      <c r="T174" s="21">
        <f>VLOOKUP($A174,tabCustoUnit[],COLUMN(CUSTO_GLOBAL[[#Headers],[SENAI OU SENAC]])-2,0)*($G174-$H174)</f>
        <v>16.485219000000001</v>
      </c>
      <c r="U174" s="21">
        <f>VLOOKUP($A174,tabCustoUnit[],COLUMN(CUSTO_GLOBAL[[#Headers],[INCRA]])-2,0)*($G174-$H174)</f>
        <v>3.2970438</v>
      </c>
      <c r="V174" s="21">
        <f>VLOOKUP($A174,tabCustoUnit[],COLUMN(CUSTO_GLOBAL[[#Headers],[Salário Educação]])-2,0)*($G174-$H174)</f>
        <v>41.213047500000002</v>
      </c>
      <c r="W174" s="21">
        <f>VLOOKUP($A174,tabCustoUnit[],COLUMN(CUSTO_GLOBAL[[#Headers],[FGTS]])-2,0)*($G174-$H174)</f>
        <v>131.88175200000001</v>
      </c>
      <c r="X174" s="21">
        <f>VLOOKUP($A174,tabCustoUnit[],COLUMN(CUSTO_GLOBAL[[#Headers],[RAT Ajustado]])-2,0)*($G174-$H174)</f>
        <v>65.940876000000003</v>
      </c>
      <c r="Y174" s="21">
        <f>VLOOKUP($A174,tabCustoUnit[],COLUMN(CUSTO_GLOBAL[[#Headers],[SEBRAE]])-2,0)*($G174-$H174)</f>
        <v>9.8911314000000008</v>
      </c>
      <c r="Z174" s="21">
        <f>VLOOKUP($A174,tabCustoUnit[],COLUMN(CUSTO_GLOBAL[[#Headers],[Submódulo 2.1]])-2,0)*($G174-$H174)</f>
        <v>623.14127819999999</v>
      </c>
      <c r="AA174" s="21">
        <f>VLOOKUP($A174,tabCustoUnit[],COLUMN(CUSTO_GLOBAL[[#Headers],[13º salário (titular)]])-2,0)*($G174-$H174)</f>
        <v>137.376825</v>
      </c>
      <c r="AB174" s="21">
        <f>VLOOKUP($A174,tabCustoUnit[],COLUMN(CUSTO_GLOBAL[[#Headers],[Férias e Adicional de Férias (titular)]])-2,0)*($G174-$H174)</f>
        <v>183.16909999999999</v>
      </c>
      <c r="AC174" s="21">
        <f>VLOOKUP($A174,tabCustoUnit[],COLUMN(CUSTO_GLOBAL[[#Headers],[Incidência do Submódulo 2.1 sobre 13º Salário, Férias e Adicional de Férias]])-2,0)*($G174-$H174)</f>
        <v>121.16635965</v>
      </c>
      <c r="AD174" s="21">
        <f>VLOOKUP($A174,tabCustoUnit[],COLUMN(CUSTO_GLOBAL[[#Headers],[Submódulo 2.2]])-2,0)*($G174-$H174)</f>
        <v>441.71228465000002</v>
      </c>
      <c r="AE174" s="22">
        <f>VLOOKUP($A174,tabCustoUnit[],COLUMN(CUSTO_GLOBAL[[#Headers],[Vale - Transporte (Descontada parcela do empregado)]])-2,0)*($G174-$H174)</f>
        <v>160.22320000000002</v>
      </c>
      <c r="AF174" s="22">
        <f>VLOOKUP($A174,tabCustoUnit[],COLUMN(CUSTO_GLOBAL[[#Headers],[Vale - Alimentação (Descontada parcela do empregado)]])-2,0)*($G174-$H174)</f>
        <v>582</v>
      </c>
      <c r="AG174" s="22">
        <f>VLOOKUP($A174,tabCustoUnit[],COLUMN(CUSTO_GLOBAL[[#Headers],[Cesta Básica]])-2,0)*($G174-$H174)</f>
        <v>0</v>
      </c>
      <c r="AH174" s="22">
        <f>VLOOKUP($A174,tabCustoUnit[],COLUMN(CUSTO_GLOBAL[[#Headers],[PAF]])-2,0)*($G174-$H174)</f>
        <v>51.88</v>
      </c>
      <c r="AI174" s="22">
        <f>VLOOKUP($A174,tabCustoUnit[],COLUMN(CUSTO_GLOBAL[[#Headers],[PQM]])-2,0)*($G174-$H174)</f>
        <v>0</v>
      </c>
      <c r="AJ174" s="22">
        <v>0</v>
      </c>
      <c r="AK174" s="22">
        <f>VLOOKUP($A174,tabCustoUnit[],COLUMN(CUSTO_GLOBAL[[#Headers],[Seguro de Vida]])-2,0)*($G174-$H174)</f>
        <v>3.36</v>
      </c>
      <c r="AL174" s="22">
        <f>VLOOKUP($A174,tabCustoUnit[],COLUMN(CUSTO_GLOBAL[[#Headers],[Despesas de Viagem]])-2,0)*($G174-$H174)</f>
        <v>0</v>
      </c>
      <c r="AM174" s="22">
        <f>VLOOKUP($A174,tabCustoUnit[],COLUMN(CUSTO_GLOBAL[[#Headers],[Submódulo 2.3]])-2,0)*($G174-$H174)</f>
        <v>797.46320000000003</v>
      </c>
      <c r="AN174" s="22">
        <f>VLOOKUP($A174,tabCustoUnit[],COLUMN(CUSTO_GLOBAL[[#Headers],[MÓDULO 2 - Total Encargos e Benefícios mensais e diários]])-2,0)*($G174-$H174)</f>
        <v>1862.31676285</v>
      </c>
      <c r="AO174" s="22">
        <f>VLOOKUP($A174,tabCustoUnit[],COLUMN(CUSTO_GLOBAL[[#Headers],[Aviso Prévio Indenizado (API) e Reflexo do Aviso Prévio Indenizado]])-2,0)*($G174-$H174)</f>
        <v>11.559051416493055</v>
      </c>
      <c r="AP174" s="22">
        <f>VLOOKUP($A174,tabCustoUnit[],COLUMN(CUSTO_GLOBAL[[#Headers],[Incidência do FGTS sobre API e Reflexo do API]])-2,0)*($G174-$H174)</f>
        <v>0.92472411331944449</v>
      </c>
      <c r="AQ174" s="22">
        <f>VLOOKUP($A174,tabCustoUnit[],COLUMN(CUSTO_GLOBAL[[#Headers],[Multa Rescisória do FGTS sobre o Aviso Prévio Indenizado]])-2,0)*($G174-$H174)</f>
        <v>0.36988964532777785</v>
      </c>
      <c r="AR174" s="22">
        <f>VLOOKUP($A174,tabCustoUnit[],COLUMN(CUSTO_GLOBAL[[#Headers],[Aviso Prévio Trabalhado - APT]])-2,0)*($G174-$H174)</f>
        <v>5.7698266500000006</v>
      </c>
      <c r="AS174" s="22">
        <f>VLOOKUP($A174,tabCustoUnit[],COLUMN(CUSTO_GLOBAL[[#Headers],[Incidência dos encargos do submódulo 2.1 sobre Aviso Prévio Trabalhado]])-2,0)*($G174-$H174)</f>
        <v>2.1809944737000007</v>
      </c>
      <c r="AT174" s="22">
        <f>VLOOKUP($A174,tabCustoUnit[],COLUMN(CUSTO_GLOBAL[[#Headers],[Multa Rescisória do FGTS]])-2,0)*($G174-$H174)</f>
        <v>50.40813631999999</v>
      </c>
      <c r="AU174" s="22">
        <f>VLOOKUP($A174,tabCustoUnit[],COLUMN(CUSTO_GLOBAL[[#Headers],[Indenização Adicional (Art. 9º da Lei nº 7.238/84)]])-2,0)*($G174-$H174)</f>
        <v>1.3737682500000001</v>
      </c>
      <c r="AV174" s="22">
        <f>VLOOKUP($A174,tabCustoUnit[],COLUMN(CUSTO_GLOBAL[[#Headers],[MÓDULO 3 – PROVISÃO PARA RESCISÃO]])-2,0)*($G174-$H174)</f>
        <v>72.586390868840269</v>
      </c>
      <c r="AW174" s="22">
        <f>VLOOKUP($A174,tabCustoUnit[],COLUMN(CUSTO_GLOBAL[[#Headers],[Ausência por Doença]])-2,0)*($G174-$H174)</f>
        <v>13.920851599999999</v>
      </c>
      <c r="AX174" s="22">
        <f>VLOOKUP($A174,tabCustoUnit[],COLUMN(CUSTO_GLOBAL[[#Headers],[Ausências Legais]])-2,0)*($G174-$H174)</f>
        <v>3.3428360749999997</v>
      </c>
      <c r="AY174" s="22">
        <f>VLOOKUP($A174,tabCustoUnit[],COLUMN(CUSTO_GLOBAL[[#Headers],[Licença Paternidade]])-2,0)*($G174-$H174)</f>
        <v>0.28162249125</v>
      </c>
      <c r="AZ174" s="22">
        <f>VLOOKUP($A174,tabCustoUnit[],COLUMN(CUSTO_GLOBAL[[#Headers],[Ausência por Acidente de Trabalho]])-2,0)*($G174-$H174)</f>
        <v>0.34344206250000003</v>
      </c>
      <c r="BA174" s="22">
        <f>VLOOKUP($A174,tabCustoUnit[],COLUMN(CUSTO_GLOBAL[[#Headers],[Férias, Adicional de Férias e 13º  com empregada em gozo de Licença Maternidade]])-2,0)*($G174-$H174)</f>
        <v>2.1369728333333331</v>
      </c>
      <c r="BB174" s="22">
        <f>VLOOKUP($A174,tabCustoUnit[],COLUMN(CUSTO_GLOBAL[[#Headers],[Incidência do Submódulo 2.1 sobre Ausências Legais]])-2,0)*($G174-$H174)</f>
        <v>7.5697240734675013</v>
      </c>
      <c r="BC174" s="22">
        <f>VLOOKUP($A174,tabCustoUnit[],COLUMN(CUSTO_GLOBAL[[#Headers],[Submódulo 4.1]])-2,0)*($G174-$H174)</f>
        <v>27.595449135550833</v>
      </c>
      <c r="BD174" s="22">
        <f>VLOOKUP($A174,tabCustoUnit[],COLUMN(CUSTO_GLOBAL[[#Headers],[Intervalo para Repouso ou Alimentação]])-2,0)*($G174-$H174)</f>
        <v>0</v>
      </c>
      <c r="BE174" s="22">
        <f>VLOOKUP($A174,tabCustoUnit[],COLUMN(CUSTO_GLOBAL[[#Headers],[Submódulo 4.2]])-2,0)*($G174-$H174)</f>
        <v>0</v>
      </c>
      <c r="BF174" s="22">
        <f>VLOOKUP($A174,tabCustoUnit[],COLUMN(CUSTO_GLOBAL[[#Headers],[Suspensão Temporária do Contrato de Trabalho]])-2,0)*($G174-$H174)</f>
        <v>0</v>
      </c>
      <c r="BG174" s="22">
        <f>VLOOKUP($A174,tabCustoUnit[],COLUMN(CUSTO_GLOBAL[[#Headers],[Submódulo 4.3]])-2,0)*($G174-$H174)</f>
        <v>0</v>
      </c>
      <c r="BH174" s="22">
        <f>VLOOKUP($A174,tabCustoUnit[],COLUMN(CUSTO_GLOBAL[[#Headers],[MÓDULO 4 – CUSTO DE REPOSIÇÃO DO PROFISSIONAL AUSENTE]])-2,0)*($G174-$H174)</f>
        <v>27.595449135550833</v>
      </c>
      <c r="BI174" s="22">
        <f>VLOOKUP($A174,tabCustoUnit[],COLUMN(CUSTO_GLOBAL[[#Headers],[Uniformes e EPIs]])-2,0)*($G174-$H174)</f>
        <v>100.80916666666666</v>
      </c>
      <c r="BJ174" s="22">
        <f>VLOOKUP($A174,tabCustoUnit[],COLUMN(CUSTO_GLOBAL[[#Headers],[Materiais de Consumo]])-2,0)*($G174-$H174)</f>
        <v>35.518212958583888</v>
      </c>
      <c r="BK174" s="22">
        <f>VLOOKUP($A174,tabCustoUnit[],COLUMN(CUSTO_GLOBAL[[#Headers],[Máquinas e Equipamentos (depreciação)]])-2,0)*($G174-$H174)</f>
        <v>64.529393914825576</v>
      </c>
      <c r="BL174" s="22">
        <f>VLOOKUP($A174,tabCustoUnit[],COLUMN(CUSTO_GLOBAL[[#Headers],[Produtos de Limpeza e Materiais de Higiene Pessoal]])-2,0)*($G174-$H174)</f>
        <v>690.27153277931654</v>
      </c>
      <c r="BM174" s="22">
        <f>VLOOKUP($A174,tabCustoUnit[],COLUMN(CUSTO_GLOBAL[[#Headers],[Outros (especificar)]])-2,0)*($G174-$H174)</f>
        <v>0</v>
      </c>
      <c r="BN174" s="22">
        <f>VLOOKUP($A174,tabCustoUnit[],COLUMN(CUSTO_GLOBAL[[#Headers],[MÓDULO 5 – INSUMOS DIVERSOS]])-2,0)*($G174-$H174)</f>
        <v>891.12830631939266</v>
      </c>
      <c r="BO174" s="22">
        <f>VLOOKUP($A174,tabCustoUnit[],COLUMN(CUSTO_GLOBAL[[#Headers],[TOTAL MÓDULOS 1+2+3+4+5]])-2,0)*($G174-$H174)</f>
        <v>4502.1488091737838</v>
      </c>
      <c r="BP174" s="22">
        <f>VLOOKUP($A174,tabCustoUnit[],COLUMN(CUSTO_GLOBAL[[#Headers],[Custos Indiretos]])-2,0)*($G174-$H174)</f>
        <v>189.64880140242613</v>
      </c>
      <c r="BQ174" s="22">
        <f>VLOOKUP($A174,tabCustoUnit[],COLUMN(CUSTO_GLOBAL[[#Headers],[Lucro]])-2,0)*($G174-$H174)</f>
        <v>159.30499317803796</v>
      </c>
      <c r="BR174" s="26">
        <f>VLOOKUP($A174,tabCustoUnit[],COLUMN(CUSTO_GLOBAL[[#Headers],[COFINS]])-2,0)</f>
        <v>8.6609686609686695E-2</v>
      </c>
      <c r="BS174" s="26">
        <f>VLOOKUP($A174,tabCustoUnit[],COLUMN(CUSTO_GLOBAL[[#Headers],[PIS]])-2,0)</f>
        <v>1.880341880341882E-2</v>
      </c>
      <c r="BT174" s="28">
        <f>VLOOKUP($A174,tabCustoUnit[],COLUMN(CUSTO_GLOBAL[[#Headers],[ISS]])-2,0)</f>
        <v>0.03</v>
      </c>
      <c r="BU174" s="26">
        <f>VLOOKUP($A174,tabCustoUnit[],COLUMN(CUSTO_GLOBAL[[#Headers],[ISS (Conversão Alíquota s/ fatura)]])-2,0)</f>
        <v>3.4188034188034219E-2</v>
      </c>
      <c r="BV174" s="26">
        <f>VLOOKUP($A174,tabCustoUnit[],COLUMN(CUSTO_GLOBAL[[#Headers],[Resumo de Alíquotas (PIS+CONFINS+ISS)]])-2,0)</f>
        <v>0.1225</v>
      </c>
      <c r="BW174" s="138">
        <f>VLOOKUP($A174,tabCustoUnit[],COLUMN(CUSTO_GLOBAL[[#Headers],[PIS + COFINS + ISS (Total Conversão  Alíquota s/ Fatura)]])-2,0)</f>
        <v>0.13960113960113973</v>
      </c>
      <c r="BX174" s="22">
        <f>VLOOKUP($A174,tabCustoUnit[],COLUMN(CUSTO_GLOBAL[[#Headers],[Valor dos Tributos (ISS, PIS, CONFINS)]])-2,0)*($G174-$H174)</f>
        <v>677.21945180614921</v>
      </c>
      <c r="BY174" s="22">
        <f>VLOOKUP($A174,tabCustoUnit[],COLUMN(CUSTO_GLOBAL[[#Headers],[MÓDULO 6 – CUSTOS INDIRETOS, TRIBUTOS E LUCRO]])-2,0)*($G174-$H174)</f>
        <v>1026.1732463866133</v>
      </c>
      <c r="BZ174" s="22">
        <f>VLOOKUP($A174,tabCustoUnit[],COLUMN(CUSTO_GLOBAL[[#Headers],[CUSTO TOTAL MENSAL]])-2,0)*($G174-$H174)</f>
        <v>5528.3220555603966</v>
      </c>
      <c r="CA174" s="22">
        <f>CUSTO_GLOBAL[[#This Row],[CUSTO TOTAL MENSAL]]*12</f>
        <v>66339.864666724752</v>
      </c>
      <c r="CB174" s="24">
        <f>VLOOKUP($A174,tabCustoUnit[],COLUMN(CUSTO_GLOBAL[[#Headers],[ANO DA CCT]])-2,0)</f>
        <v>45658</v>
      </c>
      <c r="CC174" s="25" t="str">
        <f>VLOOKUP($A174,tabCustoUnit[],COLUMN(CUSTO_GLOBAL[[#Headers],[Nº DE PEDIDO DA CCT]])-2,0)</f>
        <v>-</v>
      </c>
      <c r="CD174" s="25" t="str">
        <f>VLOOKUP($A174,tabCustoUnit[],COLUMN(CUSTO_GLOBAL[[#Headers],[TERMO ADITIVO  ALTERAÇÃO DA CCT]])-2,0)</f>
        <v>-</v>
      </c>
      <c r="CF174" s="22"/>
      <c r="CG174" s="22"/>
    </row>
    <row r="175" spans="1:85" x14ac:dyDescent="0.25">
      <c r="A175" s="20" t="s">
        <v>1511</v>
      </c>
      <c r="B175" t="s">
        <v>159</v>
      </c>
      <c r="C175" t="s">
        <v>1247</v>
      </c>
      <c r="D175" t="s">
        <v>1023</v>
      </c>
      <c r="E175" s="20" t="s">
        <v>9</v>
      </c>
      <c r="F175" s="20" t="s">
        <v>10</v>
      </c>
      <c r="G175" s="20">
        <v>1</v>
      </c>
      <c r="H175" s="20">
        <v>0</v>
      </c>
      <c r="I175" s="21">
        <f>VLOOKUP($A175,tabCustoUnit[],COLUMN(CUSTO_GLOBAL[[#Headers],[Salário Base]])-2,0)*($G175-$H175)</f>
        <v>544.17999999999995</v>
      </c>
      <c r="J175" s="21">
        <f>VLOOKUP($A175,tabCustoUnit[],COLUMN(CUSTO_GLOBAL[[#Headers],[Adicional Periculosidade]])-2,0)*($G175-$H175)</f>
        <v>0</v>
      </c>
      <c r="K175" s="21">
        <f>VLOOKUP($A175,tabCustoUnit[],COLUMN(CUSTO_GLOBAL[[#Headers],[Adicional Insalubridade]])-2,0)*($G175-$H175)</f>
        <v>0</v>
      </c>
      <c r="L175" s="21">
        <f>VLOOKUP($A175,tabCustoUnit[],COLUMN(CUSTO_GLOBAL[[#Headers],[Adicional Noturno]])-2,0)*($G175-$H175)</f>
        <v>0</v>
      </c>
      <c r="M175" s="21">
        <f>VLOOKUP($A175,tabCustoUnit[],COLUMN(CUSTO_GLOBAL[[#Headers],[Adicional Motorista II (Gratificação)]])-2,0)*($G175-$H175)</f>
        <v>0</v>
      </c>
      <c r="N175" s="21">
        <f>VLOOKUP($A175,tabCustoUnit[],COLUMN(CUSTO_GLOBAL[[#Headers],[Adicional de Sobreaviso]])-2,0)*($G175-$H175)</f>
        <v>0</v>
      </c>
      <c r="O175" s="21">
        <f>VLOOKUP($A175,tabCustoUnit[],COLUMN(CUSTO_GLOBAL[[#Headers],[Horas Extras TI]])-2,0)*($G175-$H175)</f>
        <v>0</v>
      </c>
      <c r="P175" s="21">
        <f>VLOOKUP($A175,tabCustoUnit[],COLUMN(CUSTO_GLOBAL[[#Headers],[Adicional de Acúmulo de função]])-2,0)*($G175-$H175)</f>
        <v>19.590499999999999</v>
      </c>
      <c r="Q175" s="21">
        <f>VLOOKUP($A175,tabCustoUnit[],COLUMN(CUSTO_GLOBAL[[#Headers],[MODULO 1 - REMUNERAÇÃO ]])-2,0)*($G175-$H175)</f>
        <v>563.77049999999997</v>
      </c>
      <c r="R175" s="21">
        <f>VLOOKUP($A175,tabCustoUnit[],COLUMN(CUSTO_GLOBAL[[#Headers],[INSS]])-2,0)*($G175-$H175)</f>
        <v>112.75409999999999</v>
      </c>
      <c r="S175" s="21">
        <f>VLOOKUP($A175,tabCustoUnit[],COLUMN(CUSTO_GLOBAL[[#Headers],[SESI OU SESC]])-2,0)*($G175-$H175)</f>
        <v>8.4565574999999988</v>
      </c>
      <c r="T175" s="21">
        <f>VLOOKUP($A175,tabCustoUnit[],COLUMN(CUSTO_GLOBAL[[#Headers],[SENAI OU SENAC]])-2,0)*($G175-$H175)</f>
        <v>5.6377049999999995</v>
      </c>
      <c r="U175" s="21">
        <f>VLOOKUP($A175,tabCustoUnit[],COLUMN(CUSTO_GLOBAL[[#Headers],[INCRA]])-2,0)*($G175-$H175)</f>
        <v>1.1275409999999999</v>
      </c>
      <c r="V175" s="21">
        <f>VLOOKUP($A175,tabCustoUnit[],COLUMN(CUSTO_GLOBAL[[#Headers],[Salário Educação]])-2,0)*($G175-$H175)</f>
        <v>14.094262499999999</v>
      </c>
      <c r="W175" s="21">
        <f>VLOOKUP($A175,tabCustoUnit[],COLUMN(CUSTO_GLOBAL[[#Headers],[FGTS]])-2,0)*($G175-$H175)</f>
        <v>45.101639999999996</v>
      </c>
      <c r="X175" s="21">
        <f>VLOOKUP($A175,tabCustoUnit[],COLUMN(CUSTO_GLOBAL[[#Headers],[RAT Ajustado]])-2,0)*($G175-$H175)</f>
        <v>22.550819999999998</v>
      </c>
      <c r="Y175" s="21">
        <f>VLOOKUP($A175,tabCustoUnit[],COLUMN(CUSTO_GLOBAL[[#Headers],[SEBRAE]])-2,0)*($G175-$H175)</f>
        <v>3.3826229999999997</v>
      </c>
      <c r="Z175" s="21">
        <f>VLOOKUP($A175,tabCustoUnit[],COLUMN(CUSTO_GLOBAL[[#Headers],[Submódulo 2.1]])-2,0)*($G175-$H175)</f>
        <v>213.10524899999996</v>
      </c>
      <c r="AA175" s="21">
        <f>VLOOKUP($A175,tabCustoUnit[],COLUMN(CUSTO_GLOBAL[[#Headers],[13º salário (titular)]])-2,0)*($G175-$H175)</f>
        <v>46.980874999999997</v>
      </c>
      <c r="AB175" s="21">
        <f>VLOOKUP($A175,tabCustoUnit[],COLUMN(CUSTO_GLOBAL[[#Headers],[Férias e Adicional de Férias (titular)]])-2,0)*($G175-$H175)</f>
        <v>62.641166666666663</v>
      </c>
      <c r="AC175" s="21">
        <f>VLOOKUP($A175,tabCustoUnit[],COLUMN(CUSTO_GLOBAL[[#Headers],[Incidência do Submódulo 2.1 sobre 13º Salário, Férias e Adicional de Férias]])-2,0)*($G175-$H175)</f>
        <v>41.437131749999992</v>
      </c>
      <c r="AD175" s="21">
        <f>VLOOKUP($A175,tabCustoUnit[],COLUMN(CUSTO_GLOBAL[[#Headers],[Submódulo 2.2]])-2,0)*($G175-$H175)</f>
        <v>151.05917341666665</v>
      </c>
      <c r="AE175" s="22">
        <f>VLOOKUP($A175,tabCustoUnit[],COLUMN(CUSTO_GLOBAL[[#Headers],[Vale - Transporte (Descontada parcela do empregado)]])-2,0)*($G175-$H175)</f>
        <v>223.3492</v>
      </c>
      <c r="AF175" s="22">
        <f>VLOOKUP($A175,tabCustoUnit[],COLUMN(CUSTO_GLOBAL[[#Headers],[Vale - Alimentação (Descontada parcela do empregado)]])-2,0)*($G175-$H175)</f>
        <v>582</v>
      </c>
      <c r="AG175" s="22">
        <f>VLOOKUP($A175,tabCustoUnit[],COLUMN(CUSTO_GLOBAL[[#Headers],[Cesta Básica]])-2,0)*($G175-$H175)</f>
        <v>0</v>
      </c>
      <c r="AH175" s="22">
        <f>VLOOKUP($A175,tabCustoUnit[],COLUMN(CUSTO_GLOBAL[[#Headers],[PAF]])-2,0)*($G175-$H175)</f>
        <v>0</v>
      </c>
      <c r="AI175" s="22">
        <f>VLOOKUP($A175,tabCustoUnit[],COLUMN(CUSTO_GLOBAL[[#Headers],[PQM]])-2,0)*($G175-$H175)</f>
        <v>0</v>
      </c>
      <c r="AJ175" s="22">
        <v>0</v>
      </c>
      <c r="AK175" s="22">
        <f>VLOOKUP($A175,tabCustoUnit[],COLUMN(CUSTO_GLOBAL[[#Headers],[Seguro de Vida]])-2,0)*($G175-$H175)</f>
        <v>3.36</v>
      </c>
      <c r="AL175" s="22">
        <f>VLOOKUP($A175,tabCustoUnit[],COLUMN(CUSTO_GLOBAL[[#Headers],[Despesas de Viagem]])-2,0)*($G175-$H175)</f>
        <v>0</v>
      </c>
      <c r="AM175" s="22">
        <f>VLOOKUP($A175,tabCustoUnit[],COLUMN(CUSTO_GLOBAL[[#Headers],[Submódulo 2.3]])-2,0)*($G175-$H175)</f>
        <v>808.70920000000001</v>
      </c>
      <c r="AN175" s="22">
        <f>VLOOKUP($A175,tabCustoUnit[],COLUMN(CUSTO_GLOBAL[[#Headers],[MÓDULO 2 - Total Encargos e Benefícios mensais e diários]])-2,0)*($G175-$H175)</f>
        <v>1172.8736224166666</v>
      </c>
      <c r="AO175" s="22">
        <f>VLOOKUP($A175,tabCustoUnit[],COLUMN(CUSTO_GLOBAL[[#Headers],[Aviso Prévio Indenizado (API) e Reflexo do Aviso Prévio Indenizado]])-2,0)*($G175-$H175)</f>
        <v>3.9530273735532404</v>
      </c>
      <c r="AP175" s="22">
        <f>VLOOKUP($A175,tabCustoUnit[],COLUMN(CUSTO_GLOBAL[[#Headers],[Incidência do FGTS sobre API e Reflexo do API]])-2,0)*($G175-$H175)</f>
        <v>0.31624218988425928</v>
      </c>
      <c r="AQ175" s="22">
        <f>VLOOKUP($A175,tabCustoUnit[],COLUMN(CUSTO_GLOBAL[[#Headers],[Multa Rescisória do FGTS sobre o Aviso Prévio Indenizado]])-2,0)*($G175-$H175)</f>
        <v>0.12649687595370371</v>
      </c>
      <c r="AR175" s="22">
        <f>VLOOKUP($A175,tabCustoUnit[],COLUMN(CUSTO_GLOBAL[[#Headers],[Aviso Prévio Trabalhado - APT]])-2,0)*($G175-$H175)</f>
        <v>1.9731967500000003</v>
      </c>
      <c r="AS175" s="22">
        <f>VLOOKUP($A175,tabCustoUnit[],COLUMN(CUSTO_GLOBAL[[#Headers],[Incidência dos encargos do submódulo 2.1 sobre Aviso Prévio Trabalhado]])-2,0)*($G175-$H175)</f>
        <v>0.74586837150000018</v>
      </c>
      <c r="AT175" s="22">
        <f>VLOOKUP($A175,tabCustoUnit[],COLUMN(CUSTO_GLOBAL[[#Headers],[Multa Rescisória do FGTS]])-2,0)*($G175-$H175)</f>
        <v>17.238849066666663</v>
      </c>
      <c r="AU175" s="22">
        <f>VLOOKUP($A175,tabCustoUnit[],COLUMN(CUSTO_GLOBAL[[#Headers],[Indenização Adicional (Art. 9º da Lei nº 7.238/84)]])-2,0)*($G175-$H175)</f>
        <v>0.46980875</v>
      </c>
      <c r="AV175" s="22">
        <f>VLOOKUP($A175,tabCustoUnit[],COLUMN(CUSTO_GLOBAL[[#Headers],[MÓDULO 3 – PROVISÃO PARA RESCISÃO]])-2,0)*($G175-$H175)</f>
        <v>24.823489377557866</v>
      </c>
      <c r="AW175" s="22">
        <f>VLOOKUP($A175,tabCustoUnit[],COLUMN(CUSTO_GLOBAL[[#Headers],[Ausência por Doença]])-2,0)*($G175-$H175)</f>
        <v>4.7607286666666662</v>
      </c>
      <c r="AX175" s="22">
        <f>VLOOKUP($A175,tabCustoUnit[],COLUMN(CUSTO_GLOBAL[[#Headers],[Ausências Legais]])-2,0)*($G175-$H175)</f>
        <v>1.1432012916666665</v>
      </c>
      <c r="AY175" s="22">
        <f>VLOOKUP($A175,tabCustoUnit[],COLUMN(CUSTO_GLOBAL[[#Headers],[Licença Paternidade]])-2,0)*($G175-$H175)</f>
        <v>9.6310793749999998E-2</v>
      </c>
      <c r="AZ175" s="22">
        <f>VLOOKUP($A175,tabCustoUnit[],COLUMN(CUSTO_GLOBAL[[#Headers],[Ausência por Acidente de Trabalho]])-2,0)*($G175-$H175)</f>
        <v>0.1174521875</v>
      </c>
      <c r="BA175" s="22">
        <f>VLOOKUP($A175,tabCustoUnit[],COLUMN(CUSTO_GLOBAL[[#Headers],[Férias, Adicional de Férias e 13º  com empregada em gozo de Licença Maternidade]])-2,0)*($G175-$H175)</f>
        <v>0.73081361111111109</v>
      </c>
      <c r="BB175" s="22">
        <f>VLOOKUP($A175,tabCustoUnit[],COLUMN(CUSTO_GLOBAL[[#Headers],[Incidência do Submódulo 2.1 sobre Ausências Legais]])-2,0)*($G175-$H175)</f>
        <v>2.5887354761625003</v>
      </c>
      <c r="BC175" s="22">
        <f>VLOOKUP($A175,tabCustoUnit[],COLUMN(CUSTO_GLOBAL[[#Headers],[Submódulo 4.1]])-2,0)*($G175-$H175)</f>
        <v>9.4372420268569428</v>
      </c>
      <c r="BD175" s="22">
        <f>VLOOKUP($A175,tabCustoUnit[],COLUMN(CUSTO_GLOBAL[[#Headers],[Intervalo para Repouso ou Alimentação]])-2,0)*($G175-$H175)</f>
        <v>0</v>
      </c>
      <c r="BE175" s="22">
        <f>VLOOKUP($A175,tabCustoUnit[],COLUMN(CUSTO_GLOBAL[[#Headers],[Submódulo 4.2]])-2,0)*($G175-$H175)</f>
        <v>0</v>
      </c>
      <c r="BF175" s="22">
        <f>VLOOKUP($A175,tabCustoUnit[],COLUMN(CUSTO_GLOBAL[[#Headers],[Suspensão Temporária do Contrato de Trabalho]])-2,0)*($G175-$H175)</f>
        <v>0</v>
      </c>
      <c r="BG175" s="22">
        <f>VLOOKUP($A175,tabCustoUnit[],COLUMN(CUSTO_GLOBAL[[#Headers],[Submódulo 4.3]])-2,0)*($G175-$H175)</f>
        <v>0</v>
      </c>
      <c r="BH175" s="22">
        <f>VLOOKUP($A175,tabCustoUnit[],COLUMN(CUSTO_GLOBAL[[#Headers],[MÓDULO 4 – CUSTO DE REPOSIÇÃO DO PROFISSIONAL AUSENTE]])-2,0)*($G175-$H175)</f>
        <v>9.4372420268569428</v>
      </c>
      <c r="BI175" s="22">
        <f>VLOOKUP($A175,tabCustoUnit[],COLUMN(CUSTO_GLOBAL[[#Headers],[Uniformes e EPIs]])-2,0)*($G175-$H175)</f>
        <v>62.806666666666665</v>
      </c>
      <c r="BJ175" s="22">
        <f>VLOOKUP($A175,tabCustoUnit[],COLUMN(CUSTO_GLOBAL[[#Headers],[Materiais de Consumo]])-2,0)*($G175-$H175)</f>
        <v>12.108481690426325</v>
      </c>
      <c r="BK175" s="22">
        <f>VLOOKUP($A175,tabCustoUnit[],COLUMN(CUSTO_GLOBAL[[#Headers],[Máquinas e Equipamentos (depreciação)]])-2,0)*($G175-$H175)</f>
        <v>21.998657016417809</v>
      </c>
      <c r="BL175" s="22">
        <f>VLOOKUP($A175,tabCustoUnit[],COLUMN(CUSTO_GLOBAL[[#Headers],[Produtos de Limpeza e Materiais de Higiene Pessoal]])-2,0)*($G175-$H175)</f>
        <v>235.31984072022155</v>
      </c>
      <c r="BM175" s="22">
        <f>VLOOKUP($A175,tabCustoUnit[],COLUMN(CUSTO_GLOBAL[[#Headers],[Outros (especificar)]])-2,0)*($G175-$H175)</f>
        <v>0</v>
      </c>
      <c r="BN175" s="22">
        <f>VLOOKUP($A175,tabCustoUnit[],COLUMN(CUSTO_GLOBAL[[#Headers],[MÓDULO 5 – INSUMOS DIVERSOS]])-2,0)*($G175-$H175)</f>
        <v>332.23364609373232</v>
      </c>
      <c r="BO175" s="22">
        <f>VLOOKUP($A175,tabCustoUnit[],COLUMN(CUSTO_GLOBAL[[#Headers],[TOTAL MÓDULOS 1+2+3+4+5]])-2,0)*($G175-$H175)</f>
        <v>2103.1384999148136</v>
      </c>
      <c r="BP175" s="22">
        <f>VLOOKUP($A175,tabCustoUnit[],COLUMN(CUSTO_GLOBAL[[#Headers],[Custos Indiretos]])-2,0)*($G175-$H175)</f>
        <v>189.64880140242613</v>
      </c>
      <c r="BQ175" s="22">
        <f>VLOOKUP($A175,tabCustoUnit[],COLUMN(CUSTO_GLOBAL[[#Headers],[Lucro]])-2,0)*($G175-$H175)</f>
        <v>159.30499317803796</v>
      </c>
      <c r="BR175" s="26">
        <f>VLOOKUP($A175,tabCustoUnit[],COLUMN(CUSTO_GLOBAL[[#Headers],[COFINS]])-2,0)</f>
        <v>8.8629737609329504E-2</v>
      </c>
      <c r="BS175" s="26">
        <f>VLOOKUP($A175,tabCustoUnit[],COLUMN(CUSTO_GLOBAL[[#Headers],[PIS]])-2,0)</f>
        <v>1.9241982507288629E-2</v>
      </c>
      <c r="BT175" s="28">
        <f>VLOOKUP($A175,tabCustoUnit[],COLUMN(CUSTO_GLOBAL[[#Headers],[ISS]])-2,0)</f>
        <v>0.05</v>
      </c>
      <c r="BU175" s="26">
        <f>VLOOKUP($A175,tabCustoUnit[],COLUMN(CUSTO_GLOBAL[[#Headers],[ISS (Conversão Alíquota s/ fatura)]])-2,0)</f>
        <v>5.8309037900874633E-2</v>
      </c>
      <c r="BV175" s="26">
        <f>VLOOKUP($A175,tabCustoUnit[],COLUMN(CUSTO_GLOBAL[[#Headers],[Resumo de Alíquotas (PIS+CONFINS+ISS)]])-2,0)</f>
        <v>0.14250000000000002</v>
      </c>
      <c r="BW175" s="138">
        <f>VLOOKUP($A175,tabCustoUnit[],COLUMN(CUSTO_GLOBAL[[#Headers],[PIS + COFINS + ISS (Total Conversão  Alíquota s/ Fatura)]])-2,0)</f>
        <v>0.16618075801749277</v>
      </c>
      <c r="BX175" s="22">
        <f>VLOOKUP($A175,tabCustoUnit[],COLUMN(CUSTO_GLOBAL[[#Headers],[Valor dos Tributos (ISS, PIS, CONFINS)]])-2,0)*($G175-$H175)</f>
        <v>407.49055622807833</v>
      </c>
      <c r="BY175" s="22">
        <f>VLOOKUP($A175,tabCustoUnit[],COLUMN(CUSTO_GLOBAL[[#Headers],[MÓDULO 6 – CUSTOS INDIRETOS, TRIBUTOS E LUCRO]])-2,0)*($G175-$H175)</f>
        <v>756.44435080854237</v>
      </c>
      <c r="BZ175" s="22">
        <f>VLOOKUP($A175,tabCustoUnit[],COLUMN(CUSTO_GLOBAL[[#Headers],[CUSTO TOTAL MENSAL]])-2,0)*($G175-$H175)</f>
        <v>2859.5828507233559</v>
      </c>
      <c r="CA175" s="22">
        <f>CUSTO_GLOBAL[[#This Row],[CUSTO TOTAL MENSAL]]*12</f>
        <v>34314.994208680269</v>
      </c>
      <c r="CB175" s="24">
        <f>VLOOKUP($A175,tabCustoUnit[],COLUMN(CUSTO_GLOBAL[[#Headers],[ANO DA CCT]])-2,0)</f>
        <v>45658</v>
      </c>
      <c r="CC175" s="25" t="str">
        <f>VLOOKUP($A175,tabCustoUnit[],COLUMN(CUSTO_GLOBAL[[#Headers],[Nº DE PEDIDO DA CCT]])-2,0)</f>
        <v>-</v>
      </c>
      <c r="CD175" s="25" t="str">
        <f>VLOOKUP($A175,tabCustoUnit[],COLUMN(CUSTO_GLOBAL[[#Headers],[TERMO ADITIVO  ALTERAÇÃO DA CCT]])-2,0)</f>
        <v>-</v>
      </c>
      <c r="CF175" s="22"/>
      <c r="CG175" s="22"/>
    </row>
    <row r="176" spans="1:85" x14ac:dyDescent="0.25">
      <c r="A176" s="20" t="s">
        <v>1512</v>
      </c>
      <c r="B176" t="s">
        <v>160</v>
      </c>
      <c r="C176" t="s">
        <v>1245</v>
      </c>
      <c r="D176" t="s">
        <v>1020</v>
      </c>
      <c r="E176" s="20" t="s">
        <v>9</v>
      </c>
      <c r="F176" s="20" t="s">
        <v>10</v>
      </c>
      <c r="G176" s="20">
        <v>1</v>
      </c>
      <c r="H176" s="20">
        <v>0</v>
      </c>
      <c r="I176" s="21">
        <f>VLOOKUP($A176,tabCustoUnit[],COLUMN(CUSTO_GLOBAL[[#Headers],[Salário Base]])-2,0)*($G176-$H176)</f>
        <v>1596.28</v>
      </c>
      <c r="J176" s="21">
        <f>VLOOKUP($A176,tabCustoUnit[],COLUMN(CUSTO_GLOBAL[[#Headers],[Adicional Periculosidade]])-2,0)*($G176-$H176)</f>
        <v>0</v>
      </c>
      <c r="K176" s="21">
        <f>VLOOKUP($A176,tabCustoUnit[],COLUMN(CUSTO_GLOBAL[[#Headers],[Adicional Insalubridade]])-2,0)*($G176-$H176)</f>
        <v>0</v>
      </c>
      <c r="L176" s="21">
        <f>VLOOKUP($A176,tabCustoUnit[],COLUMN(CUSTO_GLOBAL[[#Headers],[Adicional Noturno]])-2,0)*($G176-$H176)</f>
        <v>0</v>
      </c>
      <c r="M176" s="21">
        <f>VLOOKUP($A176,tabCustoUnit[],COLUMN(CUSTO_GLOBAL[[#Headers],[Adicional Motorista II (Gratificação)]])-2,0)*($G176-$H176)</f>
        <v>0</v>
      </c>
      <c r="N176" s="21">
        <f>VLOOKUP($A176,tabCustoUnit[],COLUMN(CUSTO_GLOBAL[[#Headers],[Adicional de Sobreaviso]])-2,0)*($G176-$H176)</f>
        <v>0</v>
      </c>
      <c r="O176" s="21">
        <f>VLOOKUP($A176,tabCustoUnit[],COLUMN(CUSTO_GLOBAL[[#Headers],[Horas Extras TI]])-2,0)*($G176-$H176)</f>
        <v>0</v>
      </c>
      <c r="P176" s="21">
        <f>VLOOKUP($A176,tabCustoUnit[],COLUMN(CUSTO_GLOBAL[[#Headers],[Adicional de Acúmulo de função]])-2,0)*($G176-$H176)</f>
        <v>52.241900000000001</v>
      </c>
      <c r="Q176" s="21">
        <f>VLOOKUP($A176,tabCustoUnit[],COLUMN(CUSTO_GLOBAL[[#Headers],[MODULO 1 - REMUNERAÇÃO ]])-2,0)*($G176-$H176)</f>
        <v>1648.5219</v>
      </c>
      <c r="R176" s="21">
        <f>VLOOKUP($A176,tabCustoUnit[],COLUMN(CUSTO_GLOBAL[[#Headers],[INSS]])-2,0)*($G176-$H176)</f>
        <v>329.70438000000001</v>
      </c>
      <c r="S176" s="21">
        <f>VLOOKUP($A176,tabCustoUnit[],COLUMN(CUSTO_GLOBAL[[#Headers],[SESI OU SESC]])-2,0)*($G176-$H176)</f>
        <v>24.727828499999998</v>
      </c>
      <c r="T176" s="21">
        <f>VLOOKUP($A176,tabCustoUnit[],COLUMN(CUSTO_GLOBAL[[#Headers],[SENAI OU SENAC]])-2,0)*($G176-$H176)</f>
        <v>16.485219000000001</v>
      </c>
      <c r="U176" s="21">
        <f>VLOOKUP($A176,tabCustoUnit[],COLUMN(CUSTO_GLOBAL[[#Headers],[INCRA]])-2,0)*($G176-$H176)</f>
        <v>3.2970438</v>
      </c>
      <c r="V176" s="21">
        <f>VLOOKUP($A176,tabCustoUnit[],COLUMN(CUSTO_GLOBAL[[#Headers],[Salário Educação]])-2,0)*($G176-$H176)</f>
        <v>41.213047500000002</v>
      </c>
      <c r="W176" s="21">
        <f>VLOOKUP($A176,tabCustoUnit[],COLUMN(CUSTO_GLOBAL[[#Headers],[FGTS]])-2,0)*($G176-$H176)</f>
        <v>131.88175200000001</v>
      </c>
      <c r="X176" s="21">
        <f>VLOOKUP($A176,tabCustoUnit[],COLUMN(CUSTO_GLOBAL[[#Headers],[RAT Ajustado]])-2,0)*($G176-$H176)</f>
        <v>65.940876000000003</v>
      </c>
      <c r="Y176" s="21">
        <f>VLOOKUP($A176,tabCustoUnit[],COLUMN(CUSTO_GLOBAL[[#Headers],[SEBRAE]])-2,0)*($G176-$H176)</f>
        <v>9.8911314000000008</v>
      </c>
      <c r="Z176" s="21">
        <f>VLOOKUP($A176,tabCustoUnit[],COLUMN(CUSTO_GLOBAL[[#Headers],[Submódulo 2.1]])-2,0)*($G176-$H176)</f>
        <v>623.14127819999999</v>
      </c>
      <c r="AA176" s="21">
        <f>VLOOKUP($A176,tabCustoUnit[],COLUMN(CUSTO_GLOBAL[[#Headers],[13º salário (titular)]])-2,0)*($G176-$H176)</f>
        <v>137.376825</v>
      </c>
      <c r="AB176" s="21">
        <f>VLOOKUP($A176,tabCustoUnit[],COLUMN(CUSTO_GLOBAL[[#Headers],[Férias e Adicional de Férias (titular)]])-2,0)*($G176-$H176)</f>
        <v>183.16909999999999</v>
      </c>
      <c r="AC176" s="21">
        <f>VLOOKUP($A176,tabCustoUnit[],COLUMN(CUSTO_GLOBAL[[#Headers],[Incidência do Submódulo 2.1 sobre 13º Salário, Férias e Adicional de Férias]])-2,0)*($G176-$H176)</f>
        <v>121.16635965</v>
      </c>
      <c r="AD176" s="21">
        <f>VLOOKUP($A176,tabCustoUnit[],COLUMN(CUSTO_GLOBAL[[#Headers],[Submódulo 2.2]])-2,0)*($G176-$H176)</f>
        <v>441.71228465000002</v>
      </c>
      <c r="AE176" s="22">
        <f>VLOOKUP($A176,tabCustoUnit[],COLUMN(CUSTO_GLOBAL[[#Headers],[Vale - Transporte (Descontada parcela do empregado)]])-2,0)*($G176-$H176)</f>
        <v>160.22320000000002</v>
      </c>
      <c r="AF176" s="22">
        <f>VLOOKUP($A176,tabCustoUnit[],COLUMN(CUSTO_GLOBAL[[#Headers],[Vale - Alimentação (Descontada parcela do empregado)]])-2,0)*($G176-$H176)</f>
        <v>582</v>
      </c>
      <c r="AG176" s="22">
        <f>VLOOKUP($A176,tabCustoUnit[],COLUMN(CUSTO_GLOBAL[[#Headers],[Cesta Básica]])-2,0)*($G176-$H176)</f>
        <v>0</v>
      </c>
      <c r="AH176" s="22">
        <f>VLOOKUP($A176,tabCustoUnit[],COLUMN(CUSTO_GLOBAL[[#Headers],[PAF]])-2,0)*($G176-$H176)</f>
        <v>51.87</v>
      </c>
      <c r="AI176" s="22">
        <f>VLOOKUP($A176,tabCustoUnit[],COLUMN(CUSTO_GLOBAL[[#Headers],[PQM]])-2,0)*($G176-$H176)</f>
        <v>0</v>
      </c>
      <c r="AJ176" s="22">
        <v>0</v>
      </c>
      <c r="AK176" s="22">
        <f>VLOOKUP($A176,tabCustoUnit[],COLUMN(CUSTO_GLOBAL[[#Headers],[Seguro de Vida]])-2,0)*($G176-$H176)</f>
        <v>3.36</v>
      </c>
      <c r="AL176" s="22">
        <f>VLOOKUP($A176,tabCustoUnit[],COLUMN(CUSTO_GLOBAL[[#Headers],[Despesas de Viagem]])-2,0)*($G176-$H176)</f>
        <v>0</v>
      </c>
      <c r="AM176" s="22">
        <f>VLOOKUP($A176,tabCustoUnit[],COLUMN(CUSTO_GLOBAL[[#Headers],[Submódulo 2.3]])-2,0)*($G176-$H176)</f>
        <v>797.45320000000004</v>
      </c>
      <c r="AN176" s="22">
        <f>VLOOKUP($A176,tabCustoUnit[],COLUMN(CUSTO_GLOBAL[[#Headers],[MÓDULO 2 - Total Encargos e Benefícios mensais e diários]])-2,0)*($G176-$H176)</f>
        <v>1862.3067628499998</v>
      </c>
      <c r="AO176" s="22">
        <f>VLOOKUP($A176,tabCustoUnit[],COLUMN(CUSTO_GLOBAL[[#Headers],[Aviso Prévio Indenizado (API) e Reflexo do Aviso Prévio Indenizado]])-2,0)*($G176-$H176)</f>
        <v>11.559051416493055</v>
      </c>
      <c r="AP176" s="22">
        <f>VLOOKUP($A176,tabCustoUnit[],COLUMN(CUSTO_GLOBAL[[#Headers],[Incidência do FGTS sobre API e Reflexo do API]])-2,0)*($G176-$H176)</f>
        <v>0.92472411331944449</v>
      </c>
      <c r="AQ176" s="22">
        <f>VLOOKUP($A176,tabCustoUnit[],COLUMN(CUSTO_GLOBAL[[#Headers],[Multa Rescisória do FGTS sobre o Aviso Prévio Indenizado]])-2,0)*($G176-$H176)</f>
        <v>0.36988964532777785</v>
      </c>
      <c r="AR176" s="22">
        <f>VLOOKUP($A176,tabCustoUnit[],COLUMN(CUSTO_GLOBAL[[#Headers],[Aviso Prévio Trabalhado - APT]])-2,0)*($G176-$H176)</f>
        <v>5.7698266500000006</v>
      </c>
      <c r="AS176" s="22">
        <f>VLOOKUP($A176,tabCustoUnit[],COLUMN(CUSTO_GLOBAL[[#Headers],[Incidência dos encargos do submódulo 2.1 sobre Aviso Prévio Trabalhado]])-2,0)*($G176-$H176)</f>
        <v>2.1809944737000007</v>
      </c>
      <c r="AT176" s="22">
        <f>VLOOKUP($A176,tabCustoUnit[],COLUMN(CUSTO_GLOBAL[[#Headers],[Multa Rescisória do FGTS]])-2,0)*($G176-$H176)</f>
        <v>50.40813631999999</v>
      </c>
      <c r="AU176" s="22">
        <f>VLOOKUP($A176,tabCustoUnit[],COLUMN(CUSTO_GLOBAL[[#Headers],[Indenização Adicional (Art. 9º da Lei nº 7.238/84)]])-2,0)*($G176-$H176)</f>
        <v>1.3737682500000001</v>
      </c>
      <c r="AV176" s="22">
        <f>VLOOKUP($A176,tabCustoUnit[],COLUMN(CUSTO_GLOBAL[[#Headers],[MÓDULO 3 – PROVISÃO PARA RESCISÃO]])-2,0)*($G176-$H176)</f>
        <v>72.586390868840269</v>
      </c>
      <c r="AW176" s="22">
        <f>VLOOKUP($A176,tabCustoUnit[],COLUMN(CUSTO_GLOBAL[[#Headers],[Ausência por Doença]])-2,0)*($G176-$H176)</f>
        <v>13.920851599999999</v>
      </c>
      <c r="AX176" s="22">
        <f>VLOOKUP($A176,tabCustoUnit[],COLUMN(CUSTO_GLOBAL[[#Headers],[Ausências Legais]])-2,0)*($G176-$H176)</f>
        <v>3.3428360749999997</v>
      </c>
      <c r="AY176" s="22">
        <f>VLOOKUP($A176,tabCustoUnit[],COLUMN(CUSTO_GLOBAL[[#Headers],[Licença Paternidade]])-2,0)*($G176-$H176)</f>
        <v>0.28162249125</v>
      </c>
      <c r="AZ176" s="22">
        <f>VLOOKUP($A176,tabCustoUnit[],COLUMN(CUSTO_GLOBAL[[#Headers],[Ausência por Acidente de Trabalho]])-2,0)*($G176-$H176)</f>
        <v>0.34344206250000003</v>
      </c>
      <c r="BA176" s="22">
        <f>VLOOKUP($A176,tabCustoUnit[],COLUMN(CUSTO_GLOBAL[[#Headers],[Férias, Adicional de Férias e 13º  com empregada em gozo de Licença Maternidade]])-2,0)*($G176-$H176)</f>
        <v>2.1369728333333331</v>
      </c>
      <c r="BB176" s="22">
        <f>VLOOKUP($A176,tabCustoUnit[],COLUMN(CUSTO_GLOBAL[[#Headers],[Incidência do Submódulo 2.1 sobre Ausências Legais]])-2,0)*($G176-$H176)</f>
        <v>7.5697240734675013</v>
      </c>
      <c r="BC176" s="22">
        <f>VLOOKUP($A176,tabCustoUnit[],COLUMN(CUSTO_GLOBAL[[#Headers],[Submódulo 4.1]])-2,0)*($G176-$H176)</f>
        <v>27.595449135550833</v>
      </c>
      <c r="BD176" s="22">
        <f>VLOOKUP($A176,tabCustoUnit[],COLUMN(CUSTO_GLOBAL[[#Headers],[Intervalo para Repouso ou Alimentação]])-2,0)*($G176-$H176)</f>
        <v>0</v>
      </c>
      <c r="BE176" s="22">
        <f>VLOOKUP($A176,tabCustoUnit[],COLUMN(CUSTO_GLOBAL[[#Headers],[Submódulo 4.2]])-2,0)*($G176-$H176)</f>
        <v>0</v>
      </c>
      <c r="BF176" s="22">
        <f>VLOOKUP($A176,tabCustoUnit[],COLUMN(CUSTO_GLOBAL[[#Headers],[Suspensão Temporária do Contrato de Trabalho]])-2,0)*($G176-$H176)</f>
        <v>0</v>
      </c>
      <c r="BG176" s="22">
        <f>VLOOKUP($A176,tabCustoUnit[],COLUMN(CUSTO_GLOBAL[[#Headers],[Submódulo 4.3]])-2,0)*($G176-$H176)</f>
        <v>0</v>
      </c>
      <c r="BH176" s="22">
        <f>VLOOKUP($A176,tabCustoUnit[],COLUMN(CUSTO_GLOBAL[[#Headers],[MÓDULO 4 – CUSTO DE REPOSIÇÃO DO PROFISSIONAL AUSENTE]])-2,0)*($G176-$H176)</f>
        <v>27.595449135550833</v>
      </c>
      <c r="BI176" s="22">
        <f>VLOOKUP($A176,tabCustoUnit[],COLUMN(CUSTO_GLOBAL[[#Headers],[Uniformes e EPIs]])-2,0)*($G176-$H176)</f>
        <v>100.80916666666666</v>
      </c>
      <c r="BJ176" s="22">
        <f>VLOOKUP($A176,tabCustoUnit[],COLUMN(CUSTO_GLOBAL[[#Headers],[Materiais de Consumo]])-2,0)*($G176-$H176)</f>
        <v>35.518212958583888</v>
      </c>
      <c r="BK176" s="22">
        <f>VLOOKUP($A176,tabCustoUnit[],COLUMN(CUSTO_GLOBAL[[#Headers],[Máquinas e Equipamentos (depreciação)]])-2,0)*($G176-$H176)</f>
        <v>64.529393914825576</v>
      </c>
      <c r="BL176" s="22">
        <f>VLOOKUP($A176,tabCustoUnit[],COLUMN(CUSTO_GLOBAL[[#Headers],[Produtos de Limpeza e Materiais de Higiene Pessoal]])-2,0)*($G176-$H176)</f>
        <v>690.27153277931654</v>
      </c>
      <c r="BM176" s="22">
        <f>VLOOKUP($A176,tabCustoUnit[],COLUMN(CUSTO_GLOBAL[[#Headers],[Outros (especificar)]])-2,0)*($G176-$H176)</f>
        <v>0</v>
      </c>
      <c r="BN176" s="22">
        <f>VLOOKUP($A176,tabCustoUnit[],COLUMN(CUSTO_GLOBAL[[#Headers],[MÓDULO 5 – INSUMOS DIVERSOS]])-2,0)*($G176-$H176)</f>
        <v>891.12830631939266</v>
      </c>
      <c r="BO176" s="22">
        <f>VLOOKUP($A176,tabCustoUnit[],COLUMN(CUSTO_GLOBAL[[#Headers],[TOTAL MÓDULOS 1+2+3+4+5]])-2,0)*($G176-$H176)</f>
        <v>4502.1388091737836</v>
      </c>
      <c r="BP176" s="22">
        <f>VLOOKUP($A176,tabCustoUnit[],COLUMN(CUSTO_GLOBAL[[#Headers],[Custos Indiretos]])-2,0)*($G176-$H176)</f>
        <v>189.64880140242613</v>
      </c>
      <c r="BQ176" s="22">
        <f>VLOOKUP($A176,tabCustoUnit[],COLUMN(CUSTO_GLOBAL[[#Headers],[Lucro]])-2,0)*($G176-$H176)</f>
        <v>159.30499317803796</v>
      </c>
      <c r="BR176" s="26">
        <f>VLOOKUP($A176,tabCustoUnit[],COLUMN(CUSTO_GLOBAL[[#Headers],[COFINS]])-2,0)</f>
        <v>8.8629737609329504E-2</v>
      </c>
      <c r="BS176" s="26">
        <f>VLOOKUP($A176,tabCustoUnit[],COLUMN(CUSTO_GLOBAL[[#Headers],[PIS]])-2,0)</f>
        <v>1.9241982507288629E-2</v>
      </c>
      <c r="BT176" s="28">
        <f>VLOOKUP($A176,tabCustoUnit[],COLUMN(CUSTO_GLOBAL[[#Headers],[ISS]])-2,0)</f>
        <v>0.05</v>
      </c>
      <c r="BU176" s="26">
        <f>VLOOKUP($A176,tabCustoUnit[],COLUMN(CUSTO_GLOBAL[[#Headers],[ISS (Conversão Alíquota s/ fatura)]])-2,0)</f>
        <v>5.8309037900874633E-2</v>
      </c>
      <c r="BV176" s="26">
        <f>VLOOKUP($A176,tabCustoUnit[],COLUMN(CUSTO_GLOBAL[[#Headers],[Resumo de Alíquotas (PIS+CONFINS+ISS)]])-2,0)</f>
        <v>0.14250000000000002</v>
      </c>
      <c r="BW176" s="138">
        <f>VLOOKUP($A176,tabCustoUnit[],COLUMN(CUSTO_GLOBAL[[#Headers],[PIS + COFINS + ISS (Total Conversão  Alíquota s/ Fatura)]])-2,0)</f>
        <v>0.16618075801749277</v>
      </c>
      <c r="BX176" s="22">
        <f>VLOOKUP($A176,tabCustoUnit[],COLUMN(CUSTO_GLOBAL[[#Headers],[Valor dos Tributos (ISS, PIS, CONFINS)]])-2,0)*($G176-$H176)</f>
        <v>806.1582461049336</v>
      </c>
      <c r="BY176" s="22">
        <f>VLOOKUP($A176,tabCustoUnit[],COLUMN(CUSTO_GLOBAL[[#Headers],[MÓDULO 6 – CUSTOS INDIRETOS, TRIBUTOS E LUCRO]])-2,0)*($G176-$H176)</f>
        <v>1155.1120406853977</v>
      </c>
      <c r="BZ176" s="22">
        <f>VLOOKUP($A176,tabCustoUnit[],COLUMN(CUSTO_GLOBAL[[#Headers],[CUSTO TOTAL MENSAL]])-2,0)*($G176-$H176)</f>
        <v>5657.2508498591815</v>
      </c>
      <c r="CA176" s="22">
        <f>CUSTO_GLOBAL[[#This Row],[CUSTO TOTAL MENSAL]]*12</f>
        <v>67887.010198310178</v>
      </c>
      <c r="CB176" s="24">
        <f>VLOOKUP($A176,tabCustoUnit[],COLUMN(CUSTO_GLOBAL[[#Headers],[ANO DA CCT]])-2,0)</f>
        <v>45658</v>
      </c>
      <c r="CC176" s="25" t="str">
        <f>VLOOKUP($A176,tabCustoUnit[],COLUMN(CUSTO_GLOBAL[[#Headers],[Nº DE PEDIDO DA CCT]])-2,0)</f>
        <v>-</v>
      </c>
      <c r="CD176" s="25" t="str">
        <f>VLOOKUP($A176,tabCustoUnit[],COLUMN(CUSTO_GLOBAL[[#Headers],[TERMO ADITIVO  ALTERAÇÃO DA CCT]])-2,0)</f>
        <v>-</v>
      </c>
      <c r="CF176" s="22"/>
      <c r="CG176" s="22"/>
    </row>
    <row r="177" spans="1:85" x14ac:dyDescent="0.25">
      <c r="A177" s="20" t="s">
        <v>1513</v>
      </c>
      <c r="B177" t="s">
        <v>1239</v>
      </c>
      <c r="C177" t="s">
        <v>1245</v>
      </c>
      <c r="D177" t="s">
        <v>1018</v>
      </c>
      <c r="E177" s="20" t="s">
        <v>9</v>
      </c>
      <c r="F177" s="20" t="s">
        <v>10</v>
      </c>
      <c r="G177" s="20">
        <v>1</v>
      </c>
      <c r="H177" s="20">
        <v>0</v>
      </c>
      <c r="I177" s="21">
        <f>VLOOKUP($A177,tabCustoUnit[],COLUMN(CUSTO_GLOBAL[[#Headers],[Salário Base]])-2,0)*($G177-$H177)</f>
        <v>1596.28</v>
      </c>
      <c r="J177" s="21">
        <f>VLOOKUP($A177,tabCustoUnit[],COLUMN(CUSTO_GLOBAL[[#Headers],[Adicional Periculosidade]])-2,0)*($G177-$H177)</f>
        <v>0</v>
      </c>
      <c r="K177" s="21">
        <f>VLOOKUP($A177,tabCustoUnit[],COLUMN(CUSTO_GLOBAL[[#Headers],[Adicional Insalubridade]])-2,0)*($G177-$H177)</f>
        <v>0</v>
      </c>
      <c r="L177" s="21">
        <f>VLOOKUP($A177,tabCustoUnit[],COLUMN(CUSTO_GLOBAL[[#Headers],[Adicional Noturno]])-2,0)*($G177-$H177)</f>
        <v>0</v>
      </c>
      <c r="M177" s="21">
        <f>VLOOKUP($A177,tabCustoUnit[],COLUMN(CUSTO_GLOBAL[[#Headers],[Adicional Motorista II (Gratificação)]])-2,0)*($G177-$H177)</f>
        <v>0</v>
      </c>
      <c r="N177" s="21">
        <f>VLOOKUP($A177,tabCustoUnit[],COLUMN(CUSTO_GLOBAL[[#Headers],[Adicional de Sobreaviso]])-2,0)*($G177-$H177)</f>
        <v>0</v>
      </c>
      <c r="O177" s="21">
        <f>VLOOKUP($A177,tabCustoUnit[],COLUMN(CUSTO_GLOBAL[[#Headers],[Horas Extras TI]])-2,0)*($G177-$H177)</f>
        <v>0</v>
      </c>
      <c r="P177" s="21">
        <f>VLOOKUP($A177,tabCustoUnit[],COLUMN(CUSTO_GLOBAL[[#Headers],[Adicional de Acúmulo de função]])-2,0)*($G177-$H177)</f>
        <v>52.241900000000001</v>
      </c>
      <c r="Q177" s="21">
        <f>VLOOKUP($A177,tabCustoUnit[],COLUMN(CUSTO_GLOBAL[[#Headers],[MODULO 1 - REMUNERAÇÃO ]])-2,0)*($G177-$H177)</f>
        <v>1648.5219</v>
      </c>
      <c r="R177" s="21">
        <f>VLOOKUP($A177,tabCustoUnit[],COLUMN(CUSTO_GLOBAL[[#Headers],[INSS]])-2,0)*($G177-$H177)</f>
        <v>329.70438000000001</v>
      </c>
      <c r="S177" s="21">
        <f>VLOOKUP($A177,tabCustoUnit[],COLUMN(CUSTO_GLOBAL[[#Headers],[SESI OU SESC]])-2,0)*($G177-$H177)</f>
        <v>24.727828499999998</v>
      </c>
      <c r="T177" s="21">
        <f>VLOOKUP($A177,tabCustoUnit[],COLUMN(CUSTO_GLOBAL[[#Headers],[SENAI OU SENAC]])-2,0)*($G177-$H177)</f>
        <v>16.485219000000001</v>
      </c>
      <c r="U177" s="21">
        <f>VLOOKUP($A177,tabCustoUnit[],COLUMN(CUSTO_GLOBAL[[#Headers],[INCRA]])-2,0)*($G177-$H177)</f>
        <v>3.2970438</v>
      </c>
      <c r="V177" s="21">
        <f>VLOOKUP($A177,tabCustoUnit[],COLUMN(CUSTO_GLOBAL[[#Headers],[Salário Educação]])-2,0)*($G177-$H177)</f>
        <v>41.213047500000002</v>
      </c>
      <c r="W177" s="21">
        <f>VLOOKUP($A177,tabCustoUnit[],COLUMN(CUSTO_GLOBAL[[#Headers],[FGTS]])-2,0)*($G177-$H177)</f>
        <v>131.88175200000001</v>
      </c>
      <c r="X177" s="21">
        <f>VLOOKUP($A177,tabCustoUnit[],COLUMN(CUSTO_GLOBAL[[#Headers],[RAT Ajustado]])-2,0)*($G177-$H177)</f>
        <v>65.940876000000003</v>
      </c>
      <c r="Y177" s="21">
        <f>VLOOKUP($A177,tabCustoUnit[],COLUMN(CUSTO_GLOBAL[[#Headers],[SEBRAE]])-2,0)*($G177-$H177)</f>
        <v>9.8911314000000008</v>
      </c>
      <c r="Z177" s="21">
        <f>VLOOKUP($A177,tabCustoUnit[],COLUMN(CUSTO_GLOBAL[[#Headers],[Submódulo 2.1]])-2,0)*($G177-$H177)</f>
        <v>623.14127819999999</v>
      </c>
      <c r="AA177" s="21">
        <f>VLOOKUP($A177,tabCustoUnit[],COLUMN(CUSTO_GLOBAL[[#Headers],[13º salário (titular)]])-2,0)*($G177-$H177)</f>
        <v>137.376825</v>
      </c>
      <c r="AB177" s="21">
        <f>VLOOKUP($A177,tabCustoUnit[],COLUMN(CUSTO_GLOBAL[[#Headers],[Férias e Adicional de Férias (titular)]])-2,0)*($G177-$H177)</f>
        <v>183.16909999999999</v>
      </c>
      <c r="AC177" s="21">
        <f>VLOOKUP($A177,tabCustoUnit[],COLUMN(CUSTO_GLOBAL[[#Headers],[Incidência do Submódulo 2.1 sobre 13º Salário, Férias e Adicional de Férias]])-2,0)*($G177-$H177)</f>
        <v>121.16635965</v>
      </c>
      <c r="AD177" s="21">
        <f>VLOOKUP($A177,tabCustoUnit[],COLUMN(CUSTO_GLOBAL[[#Headers],[Submódulo 2.2]])-2,0)*($G177-$H177)</f>
        <v>441.71228465000002</v>
      </c>
      <c r="AE177" s="22">
        <f>VLOOKUP($A177,tabCustoUnit[],COLUMN(CUSTO_GLOBAL[[#Headers],[Vale - Transporte (Descontada parcela do empregado)]])-2,0)*($G177-$H177)</f>
        <v>160.22320000000002</v>
      </c>
      <c r="AF177" s="22">
        <f>VLOOKUP($A177,tabCustoUnit[],COLUMN(CUSTO_GLOBAL[[#Headers],[Vale - Alimentação (Descontada parcela do empregado)]])-2,0)*($G177-$H177)</f>
        <v>582</v>
      </c>
      <c r="AG177" s="22">
        <f>VLOOKUP($A177,tabCustoUnit[],COLUMN(CUSTO_GLOBAL[[#Headers],[Cesta Básica]])-2,0)*($G177-$H177)</f>
        <v>0</v>
      </c>
      <c r="AH177" s="22">
        <f>VLOOKUP($A177,tabCustoUnit[],COLUMN(CUSTO_GLOBAL[[#Headers],[PAF]])-2,0)*($G177-$H177)</f>
        <v>51.88</v>
      </c>
      <c r="AI177" s="22">
        <f>VLOOKUP($A177,tabCustoUnit[],COLUMN(CUSTO_GLOBAL[[#Headers],[PQM]])-2,0)*($G177-$H177)</f>
        <v>0</v>
      </c>
      <c r="AJ177" s="22">
        <v>0</v>
      </c>
      <c r="AK177" s="22">
        <f>VLOOKUP($A177,tabCustoUnit[],COLUMN(CUSTO_GLOBAL[[#Headers],[Seguro de Vida]])-2,0)*($G177-$H177)</f>
        <v>3.36</v>
      </c>
      <c r="AL177" s="22">
        <f>VLOOKUP($A177,tabCustoUnit[],COLUMN(CUSTO_GLOBAL[[#Headers],[Despesas de Viagem]])-2,0)*($G177-$H177)</f>
        <v>0</v>
      </c>
      <c r="AM177" s="22">
        <f>VLOOKUP($A177,tabCustoUnit[],COLUMN(CUSTO_GLOBAL[[#Headers],[Submódulo 2.3]])-2,0)*($G177-$H177)</f>
        <v>797.46320000000003</v>
      </c>
      <c r="AN177" s="22">
        <f>VLOOKUP($A177,tabCustoUnit[],COLUMN(CUSTO_GLOBAL[[#Headers],[MÓDULO 2 - Total Encargos e Benefícios mensais e diários]])-2,0)*($G177-$H177)</f>
        <v>1862.31676285</v>
      </c>
      <c r="AO177" s="22">
        <f>VLOOKUP($A177,tabCustoUnit[],COLUMN(CUSTO_GLOBAL[[#Headers],[Aviso Prévio Indenizado (API) e Reflexo do Aviso Prévio Indenizado]])-2,0)*($G177-$H177)</f>
        <v>11.559051416493055</v>
      </c>
      <c r="AP177" s="22">
        <f>VLOOKUP($A177,tabCustoUnit[],COLUMN(CUSTO_GLOBAL[[#Headers],[Incidência do FGTS sobre API e Reflexo do API]])-2,0)*($G177-$H177)</f>
        <v>0.92472411331944449</v>
      </c>
      <c r="AQ177" s="22">
        <f>VLOOKUP($A177,tabCustoUnit[],COLUMN(CUSTO_GLOBAL[[#Headers],[Multa Rescisória do FGTS sobre o Aviso Prévio Indenizado]])-2,0)*($G177-$H177)</f>
        <v>0.36988964532777785</v>
      </c>
      <c r="AR177" s="22">
        <f>VLOOKUP($A177,tabCustoUnit[],COLUMN(CUSTO_GLOBAL[[#Headers],[Aviso Prévio Trabalhado - APT]])-2,0)*($G177-$H177)</f>
        <v>5.7698266500000006</v>
      </c>
      <c r="AS177" s="22">
        <f>VLOOKUP($A177,tabCustoUnit[],COLUMN(CUSTO_GLOBAL[[#Headers],[Incidência dos encargos do submódulo 2.1 sobre Aviso Prévio Trabalhado]])-2,0)*($G177-$H177)</f>
        <v>2.1809944737000007</v>
      </c>
      <c r="AT177" s="22">
        <f>VLOOKUP($A177,tabCustoUnit[],COLUMN(CUSTO_GLOBAL[[#Headers],[Multa Rescisória do FGTS]])-2,0)*($G177-$H177)</f>
        <v>50.40813631999999</v>
      </c>
      <c r="AU177" s="22">
        <f>VLOOKUP($A177,tabCustoUnit[],COLUMN(CUSTO_GLOBAL[[#Headers],[Indenização Adicional (Art. 9º da Lei nº 7.238/84)]])-2,0)*($G177-$H177)</f>
        <v>1.3737682500000001</v>
      </c>
      <c r="AV177" s="22">
        <f>VLOOKUP($A177,tabCustoUnit[],COLUMN(CUSTO_GLOBAL[[#Headers],[MÓDULO 3 – PROVISÃO PARA RESCISÃO]])-2,0)*($G177-$H177)</f>
        <v>72.586390868840269</v>
      </c>
      <c r="AW177" s="22">
        <f>VLOOKUP($A177,tabCustoUnit[],COLUMN(CUSTO_GLOBAL[[#Headers],[Ausência por Doença]])-2,0)*($G177-$H177)</f>
        <v>13.920851599999999</v>
      </c>
      <c r="AX177" s="22">
        <f>VLOOKUP($A177,tabCustoUnit[],COLUMN(CUSTO_GLOBAL[[#Headers],[Ausências Legais]])-2,0)*($G177-$H177)</f>
        <v>3.3428360749999997</v>
      </c>
      <c r="AY177" s="22">
        <f>VLOOKUP($A177,tabCustoUnit[],COLUMN(CUSTO_GLOBAL[[#Headers],[Licença Paternidade]])-2,0)*($G177-$H177)</f>
        <v>0.28162249125</v>
      </c>
      <c r="AZ177" s="22">
        <f>VLOOKUP($A177,tabCustoUnit[],COLUMN(CUSTO_GLOBAL[[#Headers],[Ausência por Acidente de Trabalho]])-2,0)*($G177-$H177)</f>
        <v>0.34344206250000003</v>
      </c>
      <c r="BA177" s="22">
        <f>VLOOKUP($A177,tabCustoUnit[],COLUMN(CUSTO_GLOBAL[[#Headers],[Férias, Adicional de Férias e 13º  com empregada em gozo de Licença Maternidade]])-2,0)*($G177-$H177)</f>
        <v>2.1369728333333331</v>
      </c>
      <c r="BB177" s="22">
        <f>VLOOKUP($A177,tabCustoUnit[],COLUMN(CUSTO_GLOBAL[[#Headers],[Incidência do Submódulo 2.1 sobre Ausências Legais]])-2,0)*($G177-$H177)</f>
        <v>7.5697240734675013</v>
      </c>
      <c r="BC177" s="22">
        <f>VLOOKUP($A177,tabCustoUnit[],COLUMN(CUSTO_GLOBAL[[#Headers],[Submódulo 4.1]])-2,0)*($G177-$H177)</f>
        <v>27.595449135550833</v>
      </c>
      <c r="BD177" s="22">
        <f>VLOOKUP($A177,tabCustoUnit[],COLUMN(CUSTO_GLOBAL[[#Headers],[Intervalo para Repouso ou Alimentação]])-2,0)*($G177-$H177)</f>
        <v>0</v>
      </c>
      <c r="BE177" s="22">
        <f>VLOOKUP($A177,tabCustoUnit[],COLUMN(CUSTO_GLOBAL[[#Headers],[Submódulo 4.2]])-2,0)*($G177-$H177)</f>
        <v>0</v>
      </c>
      <c r="BF177" s="22">
        <f>VLOOKUP($A177,tabCustoUnit[],COLUMN(CUSTO_GLOBAL[[#Headers],[Suspensão Temporária do Contrato de Trabalho]])-2,0)*($G177-$H177)</f>
        <v>0</v>
      </c>
      <c r="BG177" s="22">
        <f>VLOOKUP($A177,tabCustoUnit[],COLUMN(CUSTO_GLOBAL[[#Headers],[Submódulo 4.3]])-2,0)*($G177-$H177)</f>
        <v>0</v>
      </c>
      <c r="BH177" s="22">
        <f>VLOOKUP($A177,tabCustoUnit[],COLUMN(CUSTO_GLOBAL[[#Headers],[MÓDULO 4 – CUSTO DE REPOSIÇÃO DO PROFISSIONAL AUSENTE]])-2,0)*($G177-$H177)</f>
        <v>27.595449135550833</v>
      </c>
      <c r="BI177" s="22">
        <f>VLOOKUP($A177,tabCustoUnit[],COLUMN(CUSTO_GLOBAL[[#Headers],[Uniformes e EPIs]])-2,0)*($G177-$H177)</f>
        <v>100.80916666666666</v>
      </c>
      <c r="BJ177" s="22">
        <f>VLOOKUP($A177,tabCustoUnit[],COLUMN(CUSTO_GLOBAL[[#Headers],[Materiais de Consumo]])-2,0)*($G177-$H177)</f>
        <v>35.518212958583888</v>
      </c>
      <c r="BK177" s="22">
        <f>VLOOKUP($A177,tabCustoUnit[],COLUMN(CUSTO_GLOBAL[[#Headers],[Máquinas e Equipamentos (depreciação)]])-2,0)*($G177-$H177)</f>
        <v>64.529393914825576</v>
      </c>
      <c r="BL177" s="22">
        <f>VLOOKUP($A177,tabCustoUnit[],COLUMN(CUSTO_GLOBAL[[#Headers],[Produtos de Limpeza e Materiais de Higiene Pessoal]])-2,0)*($G177-$H177)</f>
        <v>690.27153277931654</v>
      </c>
      <c r="BM177" s="22">
        <f>VLOOKUP($A177,tabCustoUnit[],COLUMN(CUSTO_GLOBAL[[#Headers],[Outros (especificar)]])-2,0)*($G177-$H177)</f>
        <v>0</v>
      </c>
      <c r="BN177" s="22">
        <f>VLOOKUP($A177,tabCustoUnit[],COLUMN(CUSTO_GLOBAL[[#Headers],[MÓDULO 5 – INSUMOS DIVERSOS]])-2,0)*($G177-$H177)</f>
        <v>891.12830631939266</v>
      </c>
      <c r="BO177" s="22">
        <f>VLOOKUP($A177,tabCustoUnit[],COLUMN(CUSTO_GLOBAL[[#Headers],[TOTAL MÓDULOS 1+2+3+4+5]])-2,0)*($G177-$H177)</f>
        <v>4502.1488091737838</v>
      </c>
      <c r="BP177" s="22">
        <f>VLOOKUP($A177,tabCustoUnit[],COLUMN(CUSTO_GLOBAL[[#Headers],[Custos Indiretos]])-2,0)*($G177-$H177)</f>
        <v>189.64880140242613</v>
      </c>
      <c r="BQ177" s="22">
        <f>VLOOKUP($A177,tabCustoUnit[],COLUMN(CUSTO_GLOBAL[[#Headers],[Lucro]])-2,0)*($G177-$H177)</f>
        <v>159.30499317803796</v>
      </c>
      <c r="BR177" s="26">
        <f>VLOOKUP($A177,tabCustoUnit[],COLUMN(CUSTO_GLOBAL[[#Headers],[COFINS]])-2,0)</f>
        <v>8.6609686609686695E-2</v>
      </c>
      <c r="BS177" s="26">
        <f>VLOOKUP($A177,tabCustoUnit[],COLUMN(CUSTO_GLOBAL[[#Headers],[PIS]])-2,0)</f>
        <v>1.880341880341882E-2</v>
      </c>
      <c r="BT177" s="28">
        <f>VLOOKUP($A177,tabCustoUnit[],COLUMN(CUSTO_GLOBAL[[#Headers],[ISS]])-2,0)</f>
        <v>0.03</v>
      </c>
      <c r="BU177" s="26">
        <f>VLOOKUP($A177,tabCustoUnit[],COLUMN(CUSTO_GLOBAL[[#Headers],[ISS (Conversão Alíquota s/ fatura)]])-2,0)</f>
        <v>3.4188034188034219E-2</v>
      </c>
      <c r="BV177" s="26">
        <f>VLOOKUP($A177,tabCustoUnit[],COLUMN(CUSTO_GLOBAL[[#Headers],[Resumo de Alíquotas (PIS+CONFINS+ISS)]])-2,0)</f>
        <v>0.1225</v>
      </c>
      <c r="BW177" s="138">
        <f>VLOOKUP($A177,tabCustoUnit[],COLUMN(CUSTO_GLOBAL[[#Headers],[PIS + COFINS + ISS (Total Conversão  Alíquota s/ Fatura)]])-2,0)</f>
        <v>0.13960113960113973</v>
      </c>
      <c r="BX177" s="22">
        <f>VLOOKUP($A177,tabCustoUnit[],COLUMN(CUSTO_GLOBAL[[#Headers],[Valor dos Tributos (ISS, PIS, CONFINS)]])-2,0)*($G177-$H177)</f>
        <v>677.21945180614921</v>
      </c>
      <c r="BY177" s="22">
        <f>VLOOKUP($A177,tabCustoUnit[],COLUMN(CUSTO_GLOBAL[[#Headers],[MÓDULO 6 – CUSTOS INDIRETOS, TRIBUTOS E LUCRO]])-2,0)*($G177-$H177)</f>
        <v>1026.1732463866133</v>
      </c>
      <c r="BZ177" s="22">
        <f>VLOOKUP($A177,tabCustoUnit[],COLUMN(CUSTO_GLOBAL[[#Headers],[CUSTO TOTAL MENSAL]])-2,0)*($G177-$H177)</f>
        <v>5528.3220555603966</v>
      </c>
      <c r="CA177" s="22">
        <f>CUSTO_GLOBAL[[#This Row],[CUSTO TOTAL MENSAL]]*12</f>
        <v>66339.864666724752</v>
      </c>
      <c r="CB177" s="24">
        <f>VLOOKUP($A177,tabCustoUnit[],COLUMN(CUSTO_GLOBAL[[#Headers],[ANO DA CCT]])-2,0)</f>
        <v>45658</v>
      </c>
      <c r="CC177" s="25" t="str">
        <f>VLOOKUP($A177,tabCustoUnit[],COLUMN(CUSTO_GLOBAL[[#Headers],[Nº DE PEDIDO DA CCT]])-2,0)</f>
        <v>-</v>
      </c>
      <c r="CD177" s="25" t="str">
        <f>VLOOKUP($A177,tabCustoUnit[],COLUMN(CUSTO_GLOBAL[[#Headers],[TERMO ADITIVO  ALTERAÇÃO DA CCT]])-2,0)</f>
        <v>-</v>
      </c>
      <c r="CF177" s="22"/>
      <c r="CG177" s="22"/>
    </row>
    <row r="178" spans="1:85" x14ac:dyDescent="0.25">
      <c r="A178" s="20" t="s">
        <v>1514</v>
      </c>
      <c r="B178" t="s">
        <v>161</v>
      </c>
      <c r="C178" t="s">
        <v>1244</v>
      </c>
      <c r="D178" t="s">
        <v>1000</v>
      </c>
      <c r="E178" s="20" t="s">
        <v>9</v>
      </c>
      <c r="F178" s="20" t="s">
        <v>10</v>
      </c>
      <c r="G178" s="20">
        <v>1</v>
      </c>
      <c r="H178" s="20">
        <v>0</v>
      </c>
      <c r="I178" s="21">
        <f>VLOOKUP($A178,tabCustoUnit[],COLUMN(CUSTO_GLOBAL[[#Headers],[Salário Base]])-2,0)*($G178-$H178)</f>
        <v>798.14</v>
      </c>
      <c r="J178" s="21">
        <f>VLOOKUP($A178,tabCustoUnit[],COLUMN(CUSTO_GLOBAL[[#Headers],[Adicional Periculosidade]])-2,0)*($G178-$H178)</f>
        <v>0</v>
      </c>
      <c r="K178" s="21">
        <f>VLOOKUP($A178,tabCustoUnit[],COLUMN(CUSTO_GLOBAL[[#Headers],[Adicional Insalubridade]])-2,0)*($G178-$H178)</f>
        <v>0</v>
      </c>
      <c r="L178" s="21">
        <f>VLOOKUP($A178,tabCustoUnit[],COLUMN(CUSTO_GLOBAL[[#Headers],[Adicional Noturno]])-2,0)*($G178-$H178)</f>
        <v>0</v>
      </c>
      <c r="M178" s="21">
        <f>VLOOKUP($A178,tabCustoUnit[],COLUMN(CUSTO_GLOBAL[[#Headers],[Adicional Motorista II (Gratificação)]])-2,0)*($G178-$H178)</f>
        <v>0</v>
      </c>
      <c r="N178" s="21">
        <f>VLOOKUP($A178,tabCustoUnit[],COLUMN(CUSTO_GLOBAL[[#Headers],[Adicional de Sobreaviso]])-2,0)*($G178-$H178)</f>
        <v>0</v>
      </c>
      <c r="O178" s="21">
        <f>VLOOKUP($A178,tabCustoUnit[],COLUMN(CUSTO_GLOBAL[[#Headers],[Horas Extras TI]])-2,0)*($G178-$H178)</f>
        <v>0</v>
      </c>
      <c r="P178" s="21">
        <f>VLOOKUP($A178,tabCustoUnit[],COLUMN(CUSTO_GLOBAL[[#Headers],[Adicional de Acúmulo de função]])-2,0)*($G178-$H178)</f>
        <v>26.120899999999999</v>
      </c>
      <c r="Q178" s="21">
        <f>VLOOKUP($A178,tabCustoUnit[],COLUMN(CUSTO_GLOBAL[[#Headers],[MODULO 1 - REMUNERAÇÃO ]])-2,0)*($G178-$H178)</f>
        <v>824.26089999999999</v>
      </c>
      <c r="R178" s="21">
        <f>VLOOKUP($A178,tabCustoUnit[],COLUMN(CUSTO_GLOBAL[[#Headers],[INSS]])-2,0)*($G178-$H178)</f>
        <v>164.85218</v>
      </c>
      <c r="S178" s="21">
        <f>VLOOKUP($A178,tabCustoUnit[],COLUMN(CUSTO_GLOBAL[[#Headers],[SESI OU SESC]])-2,0)*($G178-$H178)</f>
        <v>12.363913499999999</v>
      </c>
      <c r="T178" s="21">
        <f>VLOOKUP($A178,tabCustoUnit[],COLUMN(CUSTO_GLOBAL[[#Headers],[SENAI OU SENAC]])-2,0)*($G178-$H178)</f>
        <v>8.2426089999999999</v>
      </c>
      <c r="U178" s="21">
        <f>VLOOKUP($A178,tabCustoUnit[],COLUMN(CUSTO_GLOBAL[[#Headers],[INCRA]])-2,0)*($G178-$H178)</f>
        <v>1.6485217999999999</v>
      </c>
      <c r="V178" s="21">
        <f>VLOOKUP($A178,tabCustoUnit[],COLUMN(CUSTO_GLOBAL[[#Headers],[Salário Educação]])-2,0)*($G178-$H178)</f>
        <v>20.606522500000001</v>
      </c>
      <c r="W178" s="21">
        <f>VLOOKUP($A178,tabCustoUnit[],COLUMN(CUSTO_GLOBAL[[#Headers],[FGTS]])-2,0)*($G178-$H178)</f>
        <v>65.940871999999999</v>
      </c>
      <c r="X178" s="21">
        <f>VLOOKUP($A178,tabCustoUnit[],COLUMN(CUSTO_GLOBAL[[#Headers],[RAT Ajustado]])-2,0)*($G178-$H178)</f>
        <v>32.970435999999999</v>
      </c>
      <c r="Y178" s="21">
        <f>VLOOKUP($A178,tabCustoUnit[],COLUMN(CUSTO_GLOBAL[[#Headers],[SEBRAE]])-2,0)*($G178-$H178)</f>
        <v>4.9455654000000004</v>
      </c>
      <c r="Z178" s="21">
        <f>VLOOKUP($A178,tabCustoUnit[],COLUMN(CUSTO_GLOBAL[[#Headers],[Submódulo 2.1]])-2,0)*($G178-$H178)</f>
        <v>311.57062020000001</v>
      </c>
      <c r="AA178" s="21">
        <f>VLOOKUP($A178,tabCustoUnit[],COLUMN(CUSTO_GLOBAL[[#Headers],[13º salário (titular)]])-2,0)*($G178-$H178)</f>
        <v>68.688408333333328</v>
      </c>
      <c r="AB178" s="21">
        <f>VLOOKUP($A178,tabCustoUnit[],COLUMN(CUSTO_GLOBAL[[#Headers],[Férias e Adicional de Férias (titular)]])-2,0)*($G178-$H178)</f>
        <v>91.584544444444433</v>
      </c>
      <c r="AC178" s="21">
        <f>VLOOKUP($A178,tabCustoUnit[],COLUMN(CUSTO_GLOBAL[[#Headers],[Incidência do Submódulo 2.1 sobre 13º Salário, Férias e Adicional de Férias]])-2,0)*($G178-$H178)</f>
        <v>60.583176149999993</v>
      </c>
      <c r="AD178" s="21">
        <f>VLOOKUP($A178,tabCustoUnit[],COLUMN(CUSTO_GLOBAL[[#Headers],[Submódulo 2.2]])-2,0)*($G178-$H178)</f>
        <v>220.85612892777775</v>
      </c>
      <c r="AE178" s="22">
        <f>VLOOKUP($A178,tabCustoUnit[],COLUMN(CUSTO_GLOBAL[[#Headers],[Vale - Transporte (Descontada parcela do empregado)]])-2,0)*($G178-$H178)</f>
        <v>208.11160000000001</v>
      </c>
      <c r="AF178" s="22">
        <f>VLOOKUP($A178,tabCustoUnit[],COLUMN(CUSTO_GLOBAL[[#Headers],[Vale - Alimentação (Descontada parcela do empregado)]])-2,0)*($G178-$H178)</f>
        <v>582</v>
      </c>
      <c r="AG178" s="22">
        <f>VLOOKUP($A178,tabCustoUnit[],COLUMN(CUSTO_GLOBAL[[#Headers],[Cesta Básica]])-2,0)*($G178-$H178)</f>
        <v>0</v>
      </c>
      <c r="AH178" s="22">
        <f>VLOOKUP($A178,tabCustoUnit[],COLUMN(CUSTO_GLOBAL[[#Headers],[PAF]])-2,0)*($G178-$H178)</f>
        <v>0</v>
      </c>
      <c r="AI178" s="22">
        <f>VLOOKUP($A178,tabCustoUnit[],COLUMN(CUSTO_GLOBAL[[#Headers],[PQM]])-2,0)*($G178-$H178)</f>
        <v>15.07</v>
      </c>
      <c r="AJ178" s="22">
        <v>0</v>
      </c>
      <c r="AK178" s="22">
        <f>VLOOKUP($A178,tabCustoUnit[],COLUMN(CUSTO_GLOBAL[[#Headers],[Seguro de Vida]])-2,0)*($G178-$H178)</f>
        <v>3.36</v>
      </c>
      <c r="AL178" s="22">
        <f>VLOOKUP($A178,tabCustoUnit[],COLUMN(CUSTO_GLOBAL[[#Headers],[Despesas de Viagem]])-2,0)*($G178-$H178)</f>
        <v>0</v>
      </c>
      <c r="AM178" s="22">
        <f>VLOOKUP($A178,tabCustoUnit[],COLUMN(CUSTO_GLOBAL[[#Headers],[Submódulo 2.3]])-2,0)*($G178-$H178)</f>
        <v>808.54160000000002</v>
      </c>
      <c r="AN178" s="22">
        <f>VLOOKUP($A178,tabCustoUnit[],COLUMN(CUSTO_GLOBAL[[#Headers],[MÓDULO 2 - Total Encargos e Benefícios mensais e diários]])-2,0)*($G178-$H178)</f>
        <v>1340.9683491277779</v>
      </c>
      <c r="AO178" s="22">
        <f>VLOOKUP($A178,tabCustoUnit[],COLUMN(CUSTO_GLOBAL[[#Headers],[Aviso Prévio Indenizado (API) e Reflexo do Aviso Prévio Indenizado]])-2,0)*($G178-$H178)</f>
        <v>5.7795253576581791</v>
      </c>
      <c r="AP178" s="22">
        <f>VLOOKUP($A178,tabCustoUnit[],COLUMN(CUSTO_GLOBAL[[#Headers],[Incidência do FGTS sobre API e Reflexo do API]])-2,0)*($G178-$H178)</f>
        <v>0.46236202861265435</v>
      </c>
      <c r="AQ178" s="22">
        <f>VLOOKUP($A178,tabCustoUnit[],COLUMN(CUSTO_GLOBAL[[#Headers],[Multa Rescisória do FGTS sobre o Aviso Prévio Indenizado]])-2,0)*($G178-$H178)</f>
        <v>0.18494481144506175</v>
      </c>
      <c r="AR178" s="22">
        <f>VLOOKUP($A178,tabCustoUnit[],COLUMN(CUSTO_GLOBAL[[#Headers],[Aviso Prévio Trabalhado - APT]])-2,0)*($G178-$H178)</f>
        <v>2.8849131500000005</v>
      </c>
      <c r="AS178" s="22">
        <f>VLOOKUP($A178,tabCustoUnit[],COLUMN(CUSTO_GLOBAL[[#Headers],[Incidência dos encargos do submódulo 2.1 sobre Aviso Prévio Trabalhado]])-2,0)*($G178-$H178)</f>
        <v>1.0904971707000004</v>
      </c>
      <c r="AT178" s="22">
        <f>VLOOKUP($A178,tabCustoUnit[],COLUMN(CUSTO_GLOBAL[[#Headers],[Multa Rescisória do FGTS]])-2,0)*($G178-$H178)</f>
        <v>25.204066631111107</v>
      </c>
      <c r="AU178" s="22">
        <f>VLOOKUP($A178,tabCustoUnit[],COLUMN(CUSTO_GLOBAL[[#Headers],[Indenização Adicional (Art. 9º da Lei nº 7.238/84)]])-2,0)*($G178-$H178)</f>
        <v>0.6868840833333334</v>
      </c>
      <c r="AV178" s="22">
        <f>VLOOKUP($A178,tabCustoUnit[],COLUMN(CUSTO_GLOBAL[[#Headers],[MÓDULO 3 – PROVISÃO PARA RESCISÃO]])-2,0)*($G178-$H178)</f>
        <v>36.293193232860339</v>
      </c>
      <c r="AW178" s="22">
        <f>VLOOKUP($A178,tabCustoUnit[],COLUMN(CUSTO_GLOBAL[[#Headers],[Ausência por Doença]])-2,0)*($G178-$H178)</f>
        <v>6.9604253777777769</v>
      </c>
      <c r="AX178" s="22">
        <f>VLOOKUP($A178,tabCustoUnit[],COLUMN(CUSTO_GLOBAL[[#Headers],[Ausências Legais]])-2,0)*($G178-$H178)</f>
        <v>1.671417936111111</v>
      </c>
      <c r="AY178" s="22">
        <f>VLOOKUP($A178,tabCustoUnit[],COLUMN(CUSTO_GLOBAL[[#Headers],[Licença Paternidade]])-2,0)*($G178-$H178)</f>
        <v>0.14081123708333332</v>
      </c>
      <c r="AZ178" s="22">
        <f>VLOOKUP($A178,tabCustoUnit[],COLUMN(CUSTO_GLOBAL[[#Headers],[Ausência por Acidente de Trabalho]])-2,0)*($G178-$H178)</f>
        <v>0.17172102083333335</v>
      </c>
      <c r="BA178" s="22">
        <f>VLOOKUP($A178,tabCustoUnit[],COLUMN(CUSTO_GLOBAL[[#Headers],[Férias, Adicional de Férias e 13º  com empregada em gozo de Licença Maternidade]])-2,0)*($G178-$H178)</f>
        <v>1.0684863518518517</v>
      </c>
      <c r="BB178" s="22">
        <f>VLOOKUP($A178,tabCustoUnit[],COLUMN(CUSTO_GLOBAL[[#Headers],[Incidência do Submódulo 2.1 sobre Ausências Legais]])-2,0)*($G178-$H178)</f>
        <v>3.7848618071425006</v>
      </c>
      <c r="BC178" s="22">
        <f>VLOOKUP($A178,tabCustoUnit[],COLUMN(CUSTO_GLOBAL[[#Headers],[Submódulo 4.1]])-2,0)*($G178-$H178)</f>
        <v>13.797723730799909</v>
      </c>
      <c r="BD178" s="22">
        <f>VLOOKUP($A178,tabCustoUnit[],COLUMN(CUSTO_GLOBAL[[#Headers],[Intervalo para Repouso ou Alimentação]])-2,0)*($G178-$H178)</f>
        <v>0</v>
      </c>
      <c r="BE178" s="22">
        <f>VLOOKUP($A178,tabCustoUnit[],COLUMN(CUSTO_GLOBAL[[#Headers],[Submódulo 4.2]])-2,0)*($G178-$H178)</f>
        <v>0</v>
      </c>
      <c r="BF178" s="22">
        <f>VLOOKUP($A178,tabCustoUnit[],COLUMN(CUSTO_GLOBAL[[#Headers],[Suspensão Temporária do Contrato de Trabalho]])-2,0)*($G178-$H178)</f>
        <v>0</v>
      </c>
      <c r="BG178" s="22">
        <f>VLOOKUP($A178,tabCustoUnit[],COLUMN(CUSTO_GLOBAL[[#Headers],[Submódulo 4.3]])-2,0)*($G178-$H178)</f>
        <v>0</v>
      </c>
      <c r="BH178" s="22">
        <f>VLOOKUP($A178,tabCustoUnit[],COLUMN(CUSTO_GLOBAL[[#Headers],[MÓDULO 4 – CUSTO DE REPOSIÇÃO DO PROFISSIONAL AUSENTE]])-2,0)*($G178-$H178)</f>
        <v>13.797723730799909</v>
      </c>
      <c r="BI178" s="22">
        <f>VLOOKUP($A178,tabCustoUnit[],COLUMN(CUSTO_GLOBAL[[#Headers],[Uniformes e EPIs]])-2,0)*($G178-$H178)</f>
        <v>62.806666666666665</v>
      </c>
      <c r="BJ178" s="22">
        <f>VLOOKUP($A178,tabCustoUnit[],COLUMN(CUSTO_GLOBAL[[#Headers],[Materiais de Consumo]])-2,0)*($G178-$H178)</f>
        <v>17.759106479291944</v>
      </c>
      <c r="BK178" s="22">
        <f>VLOOKUP($A178,tabCustoUnit[],COLUMN(CUSTO_GLOBAL[[#Headers],[Máquinas e Equipamentos (depreciação)]])-2,0)*($G178-$H178)</f>
        <v>32.264696957412788</v>
      </c>
      <c r="BL178" s="22">
        <f>VLOOKUP($A178,tabCustoUnit[],COLUMN(CUSTO_GLOBAL[[#Headers],[Produtos de Limpeza e Materiais de Higiene Pessoal]])-2,0)*($G178-$H178)</f>
        <v>345.13576638965827</v>
      </c>
      <c r="BM178" s="22">
        <f>VLOOKUP($A178,tabCustoUnit[],COLUMN(CUSTO_GLOBAL[[#Headers],[Outros (especificar)]])-2,0)*($G178-$H178)</f>
        <v>0</v>
      </c>
      <c r="BN178" s="22">
        <f>VLOOKUP($A178,tabCustoUnit[],COLUMN(CUSTO_GLOBAL[[#Headers],[MÓDULO 5 – INSUMOS DIVERSOS]])-2,0)*($G178-$H178)</f>
        <v>457.96623649302967</v>
      </c>
      <c r="BO178" s="22">
        <f>VLOOKUP($A178,tabCustoUnit[],COLUMN(CUSTO_GLOBAL[[#Headers],[TOTAL MÓDULOS 1+2+3+4+5]])-2,0)*($G178-$H178)</f>
        <v>2673.2864025844674</v>
      </c>
      <c r="BP178" s="22">
        <f>VLOOKUP($A178,tabCustoUnit[],COLUMN(CUSTO_GLOBAL[[#Headers],[Custos Indiretos]])-2,0)*($G178-$H178)</f>
        <v>189.64880140242613</v>
      </c>
      <c r="BQ178" s="22">
        <f>VLOOKUP($A178,tabCustoUnit[],COLUMN(CUSTO_GLOBAL[[#Headers],[Lucro]])-2,0)*($G178-$H178)</f>
        <v>159.30499317803796</v>
      </c>
      <c r="BR178" s="26">
        <f>VLOOKUP($A178,tabCustoUnit[],COLUMN(CUSTO_GLOBAL[[#Headers],[COFINS]])-2,0)</f>
        <v>8.7608069164265154E-2</v>
      </c>
      <c r="BS178" s="26">
        <f>VLOOKUP($A178,tabCustoUnit[],COLUMN(CUSTO_GLOBAL[[#Headers],[PIS]])-2,0)</f>
        <v>1.9020172910662814E-2</v>
      </c>
      <c r="BT178" s="28">
        <f>VLOOKUP($A178,tabCustoUnit[],COLUMN(CUSTO_GLOBAL[[#Headers],[ISS]])-2,0)</f>
        <v>0.04</v>
      </c>
      <c r="BU178" s="26">
        <f>VLOOKUP($A178,tabCustoUnit[],COLUMN(CUSTO_GLOBAL[[#Headers],[ISS (Conversão Alíquota s/ fatura)]])-2,0)</f>
        <v>4.6109510086455294E-2</v>
      </c>
      <c r="BV178" s="26">
        <f>VLOOKUP($A178,tabCustoUnit[],COLUMN(CUSTO_GLOBAL[[#Headers],[Resumo de Alíquotas (PIS+CONFINS+ISS)]])-2,0)</f>
        <v>0.13250000000000001</v>
      </c>
      <c r="BW178" s="138">
        <f>VLOOKUP($A178,tabCustoUnit[],COLUMN(CUSTO_GLOBAL[[#Headers],[PIS + COFINS + ISS (Total Conversão  Alíquota s/ Fatura)]])-2,0)</f>
        <v>0.15273775216138324</v>
      </c>
      <c r="BX178" s="22">
        <f>VLOOKUP($A178,tabCustoUnit[],COLUMN(CUSTO_GLOBAL[[#Headers],[Valor dos Tributos (ISS, PIS, CONFINS)]])-2,0)*($G178-$H178)</f>
        <v>461.61017420674733</v>
      </c>
      <c r="BY178" s="22">
        <f>VLOOKUP($A178,tabCustoUnit[],COLUMN(CUSTO_GLOBAL[[#Headers],[MÓDULO 6 – CUSTOS INDIRETOS, TRIBUTOS E LUCRO]])-2,0)*($G178-$H178)</f>
        <v>810.56396878721148</v>
      </c>
      <c r="BZ178" s="22">
        <f>VLOOKUP($A178,tabCustoUnit[],COLUMN(CUSTO_GLOBAL[[#Headers],[CUSTO TOTAL MENSAL]])-2,0)*($G178-$H178)</f>
        <v>3483.8503713716791</v>
      </c>
      <c r="CA178" s="22">
        <f>CUSTO_GLOBAL[[#This Row],[CUSTO TOTAL MENSAL]]*12</f>
        <v>41806.204456460153</v>
      </c>
      <c r="CB178" s="24">
        <f>VLOOKUP($A178,tabCustoUnit[],COLUMN(CUSTO_GLOBAL[[#Headers],[ANO DA CCT]])-2,0)</f>
        <v>45658</v>
      </c>
      <c r="CC178" s="25" t="str">
        <f>VLOOKUP($A178,tabCustoUnit[],COLUMN(CUSTO_GLOBAL[[#Headers],[Nº DE PEDIDO DA CCT]])-2,0)</f>
        <v>-</v>
      </c>
      <c r="CD178" s="25" t="str">
        <f>VLOOKUP($A178,tabCustoUnit[],COLUMN(CUSTO_GLOBAL[[#Headers],[TERMO ADITIVO  ALTERAÇÃO DA CCT]])-2,0)</f>
        <v>-</v>
      </c>
      <c r="CF178" s="22"/>
      <c r="CG178" s="22"/>
    </row>
    <row r="179" spans="1:85" x14ac:dyDescent="0.25">
      <c r="A179" s="20" t="s">
        <v>1515</v>
      </c>
      <c r="B179" t="s">
        <v>162</v>
      </c>
      <c r="C179" t="s">
        <v>1247</v>
      </c>
      <c r="D179" t="s">
        <v>1000</v>
      </c>
      <c r="E179" s="20" t="s">
        <v>9</v>
      </c>
      <c r="F179" s="20" t="s">
        <v>10</v>
      </c>
      <c r="G179" s="20">
        <v>2</v>
      </c>
      <c r="H179" s="20">
        <v>0</v>
      </c>
      <c r="I179" s="21">
        <f>VLOOKUP($A179,tabCustoUnit[],COLUMN(CUSTO_GLOBAL[[#Headers],[Salário Base]])-2,0)*($G179-$H179)</f>
        <v>1088.3599999999999</v>
      </c>
      <c r="J179" s="21">
        <f>VLOOKUP($A179,tabCustoUnit[],COLUMN(CUSTO_GLOBAL[[#Headers],[Adicional Periculosidade]])-2,0)*($G179-$H179)</f>
        <v>0</v>
      </c>
      <c r="K179" s="21">
        <f>VLOOKUP($A179,tabCustoUnit[],COLUMN(CUSTO_GLOBAL[[#Headers],[Adicional Insalubridade]])-2,0)*($G179-$H179)</f>
        <v>0</v>
      </c>
      <c r="L179" s="21">
        <f>VLOOKUP($A179,tabCustoUnit[],COLUMN(CUSTO_GLOBAL[[#Headers],[Adicional Noturno]])-2,0)*($G179-$H179)</f>
        <v>0</v>
      </c>
      <c r="M179" s="21">
        <f>VLOOKUP($A179,tabCustoUnit[],COLUMN(CUSTO_GLOBAL[[#Headers],[Adicional Motorista II (Gratificação)]])-2,0)*($G179-$H179)</f>
        <v>0</v>
      </c>
      <c r="N179" s="21">
        <f>VLOOKUP($A179,tabCustoUnit[],COLUMN(CUSTO_GLOBAL[[#Headers],[Adicional de Sobreaviso]])-2,0)*($G179-$H179)</f>
        <v>0</v>
      </c>
      <c r="O179" s="21">
        <f>VLOOKUP($A179,tabCustoUnit[],COLUMN(CUSTO_GLOBAL[[#Headers],[Horas Extras TI]])-2,0)*($G179-$H179)</f>
        <v>0</v>
      </c>
      <c r="P179" s="21">
        <f>VLOOKUP($A179,tabCustoUnit[],COLUMN(CUSTO_GLOBAL[[#Headers],[Adicional de Acúmulo de função]])-2,0)*($G179-$H179)</f>
        <v>39.180999999999997</v>
      </c>
      <c r="Q179" s="21">
        <f>VLOOKUP($A179,tabCustoUnit[],COLUMN(CUSTO_GLOBAL[[#Headers],[MODULO 1 - REMUNERAÇÃO ]])-2,0)*($G179-$H179)</f>
        <v>1127.5409999999999</v>
      </c>
      <c r="R179" s="21">
        <f>VLOOKUP($A179,tabCustoUnit[],COLUMN(CUSTO_GLOBAL[[#Headers],[INSS]])-2,0)*($G179-$H179)</f>
        <v>225.50819999999999</v>
      </c>
      <c r="S179" s="21">
        <f>VLOOKUP($A179,tabCustoUnit[],COLUMN(CUSTO_GLOBAL[[#Headers],[SESI OU SESC]])-2,0)*($G179-$H179)</f>
        <v>16.913114999999998</v>
      </c>
      <c r="T179" s="21">
        <f>VLOOKUP($A179,tabCustoUnit[],COLUMN(CUSTO_GLOBAL[[#Headers],[SENAI OU SENAC]])-2,0)*($G179-$H179)</f>
        <v>11.275409999999999</v>
      </c>
      <c r="U179" s="21">
        <f>VLOOKUP($A179,tabCustoUnit[],COLUMN(CUSTO_GLOBAL[[#Headers],[INCRA]])-2,0)*($G179-$H179)</f>
        <v>2.2550819999999998</v>
      </c>
      <c r="V179" s="21">
        <f>VLOOKUP($A179,tabCustoUnit[],COLUMN(CUSTO_GLOBAL[[#Headers],[Salário Educação]])-2,0)*($G179-$H179)</f>
        <v>28.188524999999998</v>
      </c>
      <c r="W179" s="21">
        <f>VLOOKUP($A179,tabCustoUnit[],COLUMN(CUSTO_GLOBAL[[#Headers],[FGTS]])-2,0)*($G179-$H179)</f>
        <v>90.203279999999992</v>
      </c>
      <c r="X179" s="21">
        <f>VLOOKUP($A179,tabCustoUnit[],COLUMN(CUSTO_GLOBAL[[#Headers],[RAT Ajustado]])-2,0)*($G179-$H179)</f>
        <v>45.101639999999996</v>
      </c>
      <c r="Y179" s="21">
        <f>VLOOKUP($A179,tabCustoUnit[],COLUMN(CUSTO_GLOBAL[[#Headers],[SEBRAE]])-2,0)*($G179-$H179)</f>
        <v>6.7652459999999994</v>
      </c>
      <c r="Z179" s="21">
        <f>VLOOKUP($A179,tabCustoUnit[],COLUMN(CUSTO_GLOBAL[[#Headers],[Submódulo 2.1]])-2,0)*($G179-$H179)</f>
        <v>426.21049799999992</v>
      </c>
      <c r="AA179" s="21">
        <f>VLOOKUP($A179,tabCustoUnit[],COLUMN(CUSTO_GLOBAL[[#Headers],[13º salário (titular)]])-2,0)*($G179-$H179)</f>
        <v>93.961749999999995</v>
      </c>
      <c r="AB179" s="21">
        <f>VLOOKUP($A179,tabCustoUnit[],COLUMN(CUSTO_GLOBAL[[#Headers],[Férias e Adicional de Férias (titular)]])-2,0)*($G179-$H179)</f>
        <v>125.28233333333333</v>
      </c>
      <c r="AC179" s="21">
        <f>VLOOKUP($A179,tabCustoUnit[],COLUMN(CUSTO_GLOBAL[[#Headers],[Incidência do Submódulo 2.1 sobre 13º Salário, Férias e Adicional de Férias]])-2,0)*($G179-$H179)</f>
        <v>82.874263499999984</v>
      </c>
      <c r="AD179" s="21">
        <f>VLOOKUP($A179,tabCustoUnit[],COLUMN(CUSTO_GLOBAL[[#Headers],[Submódulo 2.2]])-2,0)*($G179-$H179)</f>
        <v>302.11834683333331</v>
      </c>
      <c r="AE179" s="22">
        <f>VLOOKUP($A179,tabCustoUnit[],COLUMN(CUSTO_GLOBAL[[#Headers],[Vale - Transporte (Descontada parcela do empregado)]])-2,0)*($G179-$H179)</f>
        <v>446.69839999999999</v>
      </c>
      <c r="AF179" s="22">
        <f>VLOOKUP($A179,tabCustoUnit[],COLUMN(CUSTO_GLOBAL[[#Headers],[Vale - Alimentação (Descontada parcela do empregado)]])-2,0)*($G179-$H179)</f>
        <v>1164</v>
      </c>
      <c r="AG179" s="22">
        <f>VLOOKUP($A179,tabCustoUnit[],COLUMN(CUSTO_GLOBAL[[#Headers],[Cesta Básica]])-2,0)*($G179-$H179)</f>
        <v>0</v>
      </c>
      <c r="AH179" s="22">
        <f>VLOOKUP($A179,tabCustoUnit[],COLUMN(CUSTO_GLOBAL[[#Headers],[PAF]])-2,0)*($G179-$H179)</f>
        <v>0</v>
      </c>
      <c r="AI179" s="22">
        <f>VLOOKUP($A179,tabCustoUnit[],COLUMN(CUSTO_GLOBAL[[#Headers],[PQM]])-2,0)*($G179-$H179)</f>
        <v>30.14</v>
      </c>
      <c r="AJ179" s="22">
        <v>0</v>
      </c>
      <c r="AK179" s="22">
        <f>VLOOKUP($A179,tabCustoUnit[],COLUMN(CUSTO_GLOBAL[[#Headers],[Seguro de Vida]])-2,0)*($G179-$H179)</f>
        <v>6.72</v>
      </c>
      <c r="AL179" s="22">
        <f>VLOOKUP($A179,tabCustoUnit[],COLUMN(CUSTO_GLOBAL[[#Headers],[Despesas de Viagem]])-2,0)*($G179-$H179)</f>
        <v>0</v>
      </c>
      <c r="AM179" s="22">
        <f>VLOOKUP($A179,tabCustoUnit[],COLUMN(CUSTO_GLOBAL[[#Headers],[Submódulo 2.3]])-2,0)*($G179-$H179)</f>
        <v>1647.5584000000001</v>
      </c>
      <c r="AN179" s="22">
        <f>VLOOKUP($A179,tabCustoUnit[],COLUMN(CUSTO_GLOBAL[[#Headers],[MÓDULO 2 - Total Encargos e Benefícios mensais e diários]])-2,0)*($G179-$H179)</f>
        <v>2375.8872448333332</v>
      </c>
      <c r="AO179" s="22">
        <f>VLOOKUP($A179,tabCustoUnit[],COLUMN(CUSTO_GLOBAL[[#Headers],[Aviso Prévio Indenizado (API) e Reflexo do Aviso Prévio Indenizado]])-2,0)*($G179-$H179)</f>
        <v>7.9060547471064808</v>
      </c>
      <c r="AP179" s="22">
        <f>VLOOKUP($A179,tabCustoUnit[],COLUMN(CUSTO_GLOBAL[[#Headers],[Incidência do FGTS sobre API e Reflexo do API]])-2,0)*($G179-$H179)</f>
        <v>0.63248437976851857</v>
      </c>
      <c r="AQ179" s="22">
        <f>VLOOKUP($A179,tabCustoUnit[],COLUMN(CUSTO_GLOBAL[[#Headers],[Multa Rescisória do FGTS sobre o Aviso Prévio Indenizado]])-2,0)*($G179-$H179)</f>
        <v>0.25299375190740742</v>
      </c>
      <c r="AR179" s="22">
        <f>VLOOKUP($A179,tabCustoUnit[],COLUMN(CUSTO_GLOBAL[[#Headers],[Aviso Prévio Trabalhado - APT]])-2,0)*($G179-$H179)</f>
        <v>3.9463935000000006</v>
      </c>
      <c r="AS179" s="22">
        <f>VLOOKUP($A179,tabCustoUnit[],COLUMN(CUSTO_GLOBAL[[#Headers],[Incidência dos encargos do submódulo 2.1 sobre Aviso Prévio Trabalhado]])-2,0)*($G179-$H179)</f>
        <v>1.4917367430000004</v>
      </c>
      <c r="AT179" s="22">
        <f>VLOOKUP($A179,tabCustoUnit[],COLUMN(CUSTO_GLOBAL[[#Headers],[Multa Rescisória do FGTS]])-2,0)*($G179-$H179)</f>
        <v>34.477698133333327</v>
      </c>
      <c r="AU179" s="22">
        <f>VLOOKUP($A179,tabCustoUnit[],COLUMN(CUSTO_GLOBAL[[#Headers],[Indenização Adicional (Art. 9º da Lei nº 7.238/84)]])-2,0)*($G179-$H179)</f>
        <v>0.93961749999999999</v>
      </c>
      <c r="AV179" s="22">
        <f>VLOOKUP($A179,tabCustoUnit[],COLUMN(CUSTO_GLOBAL[[#Headers],[MÓDULO 3 – PROVISÃO PARA RESCISÃO]])-2,0)*($G179-$H179)</f>
        <v>49.646978755115732</v>
      </c>
      <c r="AW179" s="22">
        <f>VLOOKUP($A179,tabCustoUnit[],COLUMN(CUSTO_GLOBAL[[#Headers],[Ausência por Doença]])-2,0)*($G179-$H179)</f>
        <v>9.5214573333333323</v>
      </c>
      <c r="AX179" s="22">
        <f>VLOOKUP($A179,tabCustoUnit[],COLUMN(CUSTO_GLOBAL[[#Headers],[Ausências Legais]])-2,0)*($G179-$H179)</f>
        <v>2.286402583333333</v>
      </c>
      <c r="AY179" s="22">
        <f>VLOOKUP($A179,tabCustoUnit[],COLUMN(CUSTO_GLOBAL[[#Headers],[Licença Paternidade]])-2,0)*($G179-$H179)</f>
        <v>0.1926215875</v>
      </c>
      <c r="AZ179" s="22">
        <f>VLOOKUP($A179,tabCustoUnit[],COLUMN(CUSTO_GLOBAL[[#Headers],[Ausência por Acidente de Trabalho]])-2,0)*($G179-$H179)</f>
        <v>0.234904375</v>
      </c>
      <c r="BA179" s="22">
        <f>VLOOKUP($A179,tabCustoUnit[],COLUMN(CUSTO_GLOBAL[[#Headers],[Férias, Adicional de Férias e 13º  com empregada em gozo de Licença Maternidade]])-2,0)*($G179-$H179)</f>
        <v>1.4616272222222222</v>
      </c>
      <c r="BB179" s="22">
        <f>VLOOKUP($A179,tabCustoUnit[],COLUMN(CUSTO_GLOBAL[[#Headers],[Incidência do Submódulo 2.1 sobre Ausências Legais]])-2,0)*($G179-$H179)</f>
        <v>5.1774709523250007</v>
      </c>
      <c r="BC179" s="22">
        <f>VLOOKUP($A179,tabCustoUnit[],COLUMN(CUSTO_GLOBAL[[#Headers],[Submódulo 4.1]])-2,0)*($G179-$H179)</f>
        <v>18.874484053713886</v>
      </c>
      <c r="BD179" s="22">
        <f>VLOOKUP($A179,tabCustoUnit[],COLUMN(CUSTO_GLOBAL[[#Headers],[Intervalo para Repouso ou Alimentação]])-2,0)*($G179-$H179)</f>
        <v>0</v>
      </c>
      <c r="BE179" s="22">
        <f>VLOOKUP($A179,tabCustoUnit[],COLUMN(CUSTO_GLOBAL[[#Headers],[Submódulo 4.2]])-2,0)*($G179-$H179)</f>
        <v>0</v>
      </c>
      <c r="BF179" s="22">
        <f>VLOOKUP($A179,tabCustoUnit[],COLUMN(CUSTO_GLOBAL[[#Headers],[Suspensão Temporária do Contrato de Trabalho]])-2,0)*($G179-$H179)</f>
        <v>0</v>
      </c>
      <c r="BG179" s="22">
        <f>VLOOKUP($A179,tabCustoUnit[],COLUMN(CUSTO_GLOBAL[[#Headers],[Submódulo 4.3]])-2,0)*($G179-$H179)</f>
        <v>0</v>
      </c>
      <c r="BH179" s="22">
        <f>VLOOKUP($A179,tabCustoUnit[],COLUMN(CUSTO_GLOBAL[[#Headers],[MÓDULO 4 – CUSTO DE REPOSIÇÃO DO PROFISSIONAL AUSENTE]])-2,0)*($G179-$H179)</f>
        <v>18.874484053713886</v>
      </c>
      <c r="BI179" s="22">
        <f>VLOOKUP($A179,tabCustoUnit[],COLUMN(CUSTO_GLOBAL[[#Headers],[Uniformes e EPIs]])-2,0)*($G179-$H179)</f>
        <v>125.61333333333333</v>
      </c>
      <c r="BJ179" s="22">
        <f>VLOOKUP($A179,tabCustoUnit[],COLUMN(CUSTO_GLOBAL[[#Headers],[Materiais de Consumo]])-2,0)*($G179-$H179)</f>
        <v>24.216963380852651</v>
      </c>
      <c r="BK179" s="22">
        <f>VLOOKUP($A179,tabCustoUnit[],COLUMN(CUSTO_GLOBAL[[#Headers],[Máquinas e Equipamentos (depreciação)]])-2,0)*($G179-$H179)</f>
        <v>43.997314032835618</v>
      </c>
      <c r="BL179" s="22">
        <f>VLOOKUP($A179,tabCustoUnit[],COLUMN(CUSTO_GLOBAL[[#Headers],[Produtos de Limpeza e Materiais de Higiene Pessoal]])-2,0)*($G179-$H179)</f>
        <v>470.6396814404431</v>
      </c>
      <c r="BM179" s="22">
        <f>VLOOKUP($A179,tabCustoUnit[],COLUMN(CUSTO_GLOBAL[[#Headers],[Outros (especificar)]])-2,0)*($G179-$H179)</f>
        <v>0</v>
      </c>
      <c r="BN179" s="22">
        <f>VLOOKUP($A179,tabCustoUnit[],COLUMN(CUSTO_GLOBAL[[#Headers],[MÓDULO 5 – INSUMOS DIVERSOS]])-2,0)*($G179-$H179)</f>
        <v>664.46729218746464</v>
      </c>
      <c r="BO179" s="22">
        <f>VLOOKUP($A179,tabCustoUnit[],COLUMN(CUSTO_GLOBAL[[#Headers],[TOTAL MÓDULOS 1+2+3+4+5]])-2,0)*($G179-$H179)</f>
        <v>4236.4169998296275</v>
      </c>
      <c r="BP179" s="22">
        <f>VLOOKUP($A179,tabCustoUnit[],COLUMN(CUSTO_GLOBAL[[#Headers],[Custos Indiretos]])-2,0)*($G179-$H179)</f>
        <v>379.29760280485226</v>
      </c>
      <c r="BQ179" s="22">
        <f>VLOOKUP($A179,tabCustoUnit[],COLUMN(CUSTO_GLOBAL[[#Headers],[Lucro]])-2,0)*($G179-$H179)</f>
        <v>318.60998635607592</v>
      </c>
      <c r="BR179" s="26">
        <f>VLOOKUP($A179,tabCustoUnit[],COLUMN(CUSTO_GLOBAL[[#Headers],[COFINS]])-2,0)</f>
        <v>8.7106017191977067E-2</v>
      </c>
      <c r="BS179" s="26">
        <f>VLOOKUP($A179,tabCustoUnit[],COLUMN(CUSTO_GLOBAL[[#Headers],[PIS]])-2,0)</f>
        <v>1.8911174785100283E-2</v>
      </c>
      <c r="BT179" s="28">
        <f>VLOOKUP($A179,tabCustoUnit[],COLUMN(CUSTO_GLOBAL[[#Headers],[ISS]])-2,0)</f>
        <v>3.5000000000000003E-2</v>
      </c>
      <c r="BU179" s="26">
        <f>VLOOKUP($A179,tabCustoUnit[],COLUMN(CUSTO_GLOBAL[[#Headers],[ISS (Conversão Alíquota s/ fatura)]])-2,0)</f>
        <v>4.0114613180515762E-2</v>
      </c>
      <c r="BV179" s="26">
        <f>VLOOKUP($A179,tabCustoUnit[],COLUMN(CUSTO_GLOBAL[[#Headers],[Resumo de Alíquotas (PIS+CONFINS+ISS)]])-2,0)</f>
        <v>0.1275</v>
      </c>
      <c r="BW179" s="138">
        <f>VLOOKUP($A179,tabCustoUnit[],COLUMN(CUSTO_GLOBAL[[#Headers],[PIS + COFINS + ISS (Total Conversão  Alíquota s/ Fatura)]])-2,0)</f>
        <v>0.14613180515759311</v>
      </c>
      <c r="BX179" s="22">
        <f>VLOOKUP($A179,tabCustoUnit[],COLUMN(CUSTO_GLOBAL[[#Headers],[Valor dos Tributos (ISS, PIS, CONFINS)]])-2,0)*($G179-$H179)</f>
        <v>721.06175942268862</v>
      </c>
      <c r="BY179" s="22">
        <f>VLOOKUP($A179,tabCustoUnit[],COLUMN(CUSTO_GLOBAL[[#Headers],[MÓDULO 6 – CUSTOS INDIRETOS, TRIBUTOS E LUCRO]])-2,0)*($G179-$H179)</f>
        <v>1418.9693485836169</v>
      </c>
      <c r="BZ179" s="22">
        <f>VLOOKUP($A179,tabCustoUnit[],COLUMN(CUSTO_GLOBAL[[#Headers],[CUSTO TOTAL MENSAL]])-2,0)*($G179-$H179)</f>
        <v>5655.3863484132444</v>
      </c>
      <c r="CA179" s="22">
        <f>CUSTO_GLOBAL[[#This Row],[CUSTO TOTAL MENSAL]]*12</f>
        <v>67864.636180958929</v>
      </c>
      <c r="CB179" s="24">
        <f>VLOOKUP($A179,tabCustoUnit[],COLUMN(CUSTO_GLOBAL[[#Headers],[ANO DA CCT]])-2,0)</f>
        <v>45658</v>
      </c>
      <c r="CC179" s="25" t="str">
        <f>VLOOKUP($A179,tabCustoUnit[],COLUMN(CUSTO_GLOBAL[[#Headers],[Nº DE PEDIDO DA CCT]])-2,0)</f>
        <v>-</v>
      </c>
      <c r="CD179" s="25" t="str">
        <f>VLOOKUP($A179,tabCustoUnit[],COLUMN(CUSTO_GLOBAL[[#Headers],[TERMO ADITIVO  ALTERAÇÃO DA CCT]])-2,0)</f>
        <v>-</v>
      </c>
      <c r="CF179" s="22"/>
      <c r="CG179" s="22"/>
    </row>
    <row r="180" spans="1:85" x14ac:dyDescent="0.25">
      <c r="A180" s="20" t="s">
        <v>1516</v>
      </c>
      <c r="B180" t="s">
        <v>162</v>
      </c>
      <c r="C180" t="s">
        <v>1246</v>
      </c>
      <c r="D180" t="s">
        <v>1000</v>
      </c>
      <c r="E180" s="20" t="s">
        <v>9</v>
      </c>
      <c r="F180" s="20" t="s">
        <v>10</v>
      </c>
      <c r="G180" s="20">
        <v>1</v>
      </c>
      <c r="H180" s="20">
        <v>0</v>
      </c>
      <c r="I180" s="21">
        <f>VLOOKUP($A180,tabCustoUnit[],COLUMN(CUSTO_GLOBAL[[#Headers],[Salário Base]])-2,0)*($G180-$H180)</f>
        <v>1088.3699999999999</v>
      </c>
      <c r="J180" s="21">
        <f>VLOOKUP($A180,tabCustoUnit[],COLUMN(CUSTO_GLOBAL[[#Headers],[Adicional Periculosidade]])-2,0)*($G180-$H180)</f>
        <v>0</v>
      </c>
      <c r="K180" s="21">
        <f>VLOOKUP($A180,tabCustoUnit[],COLUMN(CUSTO_GLOBAL[[#Headers],[Adicional Insalubridade]])-2,0)*($G180-$H180)</f>
        <v>0</v>
      </c>
      <c r="L180" s="21">
        <f>VLOOKUP($A180,tabCustoUnit[],COLUMN(CUSTO_GLOBAL[[#Headers],[Adicional Noturno]])-2,0)*($G180-$H180)</f>
        <v>0</v>
      </c>
      <c r="M180" s="21">
        <f>VLOOKUP($A180,tabCustoUnit[],COLUMN(CUSTO_GLOBAL[[#Headers],[Adicional Motorista II (Gratificação)]])-2,0)*($G180-$H180)</f>
        <v>0</v>
      </c>
      <c r="N180" s="21">
        <f>VLOOKUP($A180,tabCustoUnit[],COLUMN(CUSTO_GLOBAL[[#Headers],[Adicional de Sobreaviso]])-2,0)*($G180-$H180)</f>
        <v>0</v>
      </c>
      <c r="O180" s="21">
        <f>VLOOKUP($A180,tabCustoUnit[],COLUMN(CUSTO_GLOBAL[[#Headers],[Horas Extras TI]])-2,0)*($G180-$H180)</f>
        <v>0</v>
      </c>
      <c r="P180" s="21">
        <f>VLOOKUP($A180,tabCustoUnit[],COLUMN(CUSTO_GLOBAL[[#Headers],[Adicional de Acúmulo de função]])-2,0)*($G180-$H180)</f>
        <v>39.1813</v>
      </c>
      <c r="Q180" s="21">
        <f>VLOOKUP($A180,tabCustoUnit[],COLUMN(CUSTO_GLOBAL[[#Headers],[MODULO 1 - REMUNERAÇÃO ]])-2,0)*($G180-$H180)</f>
        <v>1127.5512999999999</v>
      </c>
      <c r="R180" s="21">
        <f>VLOOKUP($A180,tabCustoUnit[],COLUMN(CUSTO_GLOBAL[[#Headers],[INSS]])-2,0)*($G180-$H180)</f>
        <v>225.51025999999999</v>
      </c>
      <c r="S180" s="21">
        <f>VLOOKUP($A180,tabCustoUnit[],COLUMN(CUSTO_GLOBAL[[#Headers],[SESI OU SESC]])-2,0)*($G180-$H180)</f>
        <v>16.913269499999998</v>
      </c>
      <c r="T180" s="21">
        <f>VLOOKUP($A180,tabCustoUnit[],COLUMN(CUSTO_GLOBAL[[#Headers],[SENAI OU SENAC]])-2,0)*($G180-$H180)</f>
        <v>11.275512999999998</v>
      </c>
      <c r="U180" s="21">
        <f>VLOOKUP($A180,tabCustoUnit[],COLUMN(CUSTO_GLOBAL[[#Headers],[INCRA]])-2,0)*($G180-$H180)</f>
        <v>2.2551025999999998</v>
      </c>
      <c r="V180" s="21">
        <f>VLOOKUP($A180,tabCustoUnit[],COLUMN(CUSTO_GLOBAL[[#Headers],[Salário Educação]])-2,0)*($G180-$H180)</f>
        <v>28.188782499999999</v>
      </c>
      <c r="W180" s="21">
        <f>VLOOKUP($A180,tabCustoUnit[],COLUMN(CUSTO_GLOBAL[[#Headers],[FGTS]])-2,0)*($G180-$H180)</f>
        <v>90.204103999999987</v>
      </c>
      <c r="X180" s="21">
        <f>VLOOKUP($A180,tabCustoUnit[],COLUMN(CUSTO_GLOBAL[[#Headers],[RAT Ajustado]])-2,0)*($G180-$H180)</f>
        <v>45.102051999999993</v>
      </c>
      <c r="Y180" s="21">
        <f>VLOOKUP($A180,tabCustoUnit[],COLUMN(CUSTO_GLOBAL[[#Headers],[SEBRAE]])-2,0)*($G180-$H180)</f>
        <v>6.7653077999999995</v>
      </c>
      <c r="Z180" s="21">
        <f>VLOOKUP($A180,tabCustoUnit[],COLUMN(CUSTO_GLOBAL[[#Headers],[Submódulo 2.1]])-2,0)*($G180-$H180)</f>
        <v>426.21439139999995</v>
      </c>
      <c r="AA180" s="21">
        <f>VLOOKUP($A180,tabCustoUnit[],COLUMN(CUSTO_GLOBAL[[#Headers],[13º salário (titular)]])-2,0)*($G180-$H180)</f>
        <v>93.962608333333321</v>
      </c>
      <c r="AB180" s="21">
        <f>VLOOKUP($A180,tabCustoUnit[],COLUMN(CUSTO_GLOBAL[[#Headers],[Férias e Adicional de Férias (titular)]])-2,0)*($G180-$H180)</f>
        <v>125.28347777777776</v>
      </c>
      <c r="AC180" s="21">
        <f>VLOOKUP($A180,tabCustoUnit[],COLUMN(CUSTO_GLOBAL[[#Headers],[Incidência do Submódulo 2.1 sobre 13º Salário, Férias e Adicional de Férias]])-2,0)*($G180-$H180)</f>
        <v>82.875020549999988</v>
      </c>
      <c r="AD180" s="21">
        <f>VLOOKUP($A180,tabCustoUnit[],COLUMN(CUSTO_GLOBAL[[#Headers],[Submódulo 2.2]])-2,0)*($G180-$H180)</f>
        <v>302.12110666111107</v>
      </c>
      <c r="AE180" s="22">
        <f>VLOOKUP($A180,tabCustoUnit[],COLUMN(CUSTO_GLOBAL[[#Headers],[Vale - Transporte (Descontada parcela do empregado)]])-2,0)*($G180-$H180)</f>
        <v>190.69780000000003</v>
      </c>
      <c r="AF180" s="22">
        <f>VLOOKUP($A180,tabCustoUnit[],COLUMN(CUSTO_GLOBAL[[#Headers],[Vale - Alimentação (Descontada parcela do empregado)]])-2,0)*($G180-$H180)</f>
        <v>582</v>
      </c>
      <c r="AG180" s="22">
        <f>VLOOKUP($A180,tabCustoUnit[],COLUMN(CUSTO_GLOBAL[[#Headers],[Cesta Básica]])-2,0)*($G180-$H180)</f>
        <v>0</v>
      </c>
      <c r="AH180" s="22">
        <f>VLOOKUP($A180,tabCustoUnit[],COLUMN(CUSTO_GLOBAL[[#Headers],[PAF]])-2,0)*($G180-$H180)</f>
        <v>0</v>
      </c>
      <c r="AI180" s="22">
        <f>VLOOKUP($A180,tabCustoUnit[],COLUMN(CUSTO_GLOBAL[[#Headers],[PQM]])-2,0)*($G180-$H180)</f>
        <v>15.07</v>
      </c>
      <c r="AJ180" s="22">
        <v>0</v>
      </c>
      <c r="AK180" s="22">
        <f>VLOOKUP($A180,tabCustoUnit[],COLUMN(CUSTO_GLOBAL[[#Headers],[Seguro de Vida]])-2,0)*($G180-$H180)</f>
        <v>3.36</v>
      </c>
      <c r="AL180" s="22">
        <f>VLOOKUP($A180,tabCustoUnit[],COLUMN(CUSTO_GLOBAL[[#Headers],[Despesas de Viagem]])-2,0)*($G180-$H180)</f>
        <v>0</v>
      </c>
      <c r="AM180" s="22">
        <f>VLOOKUP($A180,tabCustoUnit[],COLUMN(CUSTO_GLOBAL[[#Headers],[Submódulo 2.3]])-2,0)*($G180-$H180)</f>
        <v>791.12780000000009</v>
      </c>
      <c r="AN180" s="22">
        <f>VLOOKUP($A180,tabCustoUnit[],COLUMN(CUSTO_GLOBAL[[#Headers],[MÓDULO 2 - Total Encargos e Benefícios mensais e diários]])-2,0)*($G180-$H180)</f>
        <v>1519.4632980611111</v>
      </c>
      <c r="AO180" s="22">
        <f>VLOOKUP($A180,tabCustoUnit[],COLUMN(CUSTO_GLOBAL[[#Headers],[Aviso Prévio Indenizado (API) e Reflexo do Aviso Prévio Indenizado]])-2,0)*($G180-$H180)</f>
        <v>7.9061269683063262</v>
      </c>
      <c r="AP180" s="22">
        <f>VLOOKUP($A180,tabCustoUnit[],COLUMN(CUSTO_GLOBAL[[#Headers],[Incidência do FGTS sobre API e Reflexo do API]])-2,0)*($G180-$H180)</f>
        <v>0.6324901574645061</v>
      </c>
      <c r="AQ180" s="22">
        <f>VLOOKUP($A180,tabCustoUnit[],COLUMN(CUSTO_GLOBAL[[#Headers],[Multa Rescisória do FGTS sobre o Aviso Prévio Indenizado]])-2,0)*($G180-$H180)</f>
        <v>0.25299606298580246</v>
      </c>
      <c r="AR180" s="22">
        <f>VLOOKUP($A180,tabCustoUnit[],COLUMN(CUSTO_GLOBAL[[#Headers],[Aviso Prévio Trabalhado - APT]])-2,0)*($G180-$H180)</f>
        <v>3.94642955</v>
      </c>
      <c r="AS180" s="22">
        <f>VLOOKUP($A180,tabCustoUnit[],COLUMN(CUSTO_GLOBAL[[#Headers],[Incidência dos encargos do submódulo 2.1 sobre Aviso Prévio Trabalhado]])-2,0)*($G180-$H180)</f>
        <v>1.4917503699000003</v>
      </c>
      <c r="AT180" s="22">
        <f>VLOOKUP($A180,tabCustoUnit[],COLUMN(CUSTO_GLOBAL[[#Headers],[Multa Rescisória do FGTS]])-2,0)*($G180-$H180)</f>
        <v>34.478013084444434</v>
      </c>
      <c r="AU180" s="22">
        <f>VLOOKUP($A180,tabCustoUnit[],COLUMN(CUSTO_GLOBAL[[#Headers],[Indenização Adicional (Art. 9º da Lei nº 7.238/84)]])-2,0)*($G180-$H180)</f>
        <v>0.93962608333333331</v>
      </c>
      <c r="AV180" s="22">
        <f>VLOOKUP($A180,tabCustoUnit[],COLUMN(CUSTO_GLOBAL[[#Headers],[MÓDULO 3 – PROVISÃO PARA RESCISÃO]])-2,0)*($G180-$H180)</f>
        <v>49.647432276434401</v>
      </c>
      <c r="AW180" s="22">
        <f>VLOOKUP($A180,tabCustoUnit[],COLUMN(CUSTO_GLOBAL[[#Headers],[Ausência por Doença]])-2,0)*($G180-$H180)</f>
        <v>9.5215443111111089</v>
      </c>
      <c r="AX180" s="22">
        <f>VLOOKUP($A180,tabCustoUnit[],COLUMN(CUSTO_GLOBAL[[#Headers],[Ausências Legais]])-2,0)*($G180-$H180)</f>
        <v>2.2864234694444439</v>
      </c>
      <c r="AY180" s="22">
        <f>VLOOKUP($A180,tabCustoUnit[],COLUMN(CUSTO_GLOBAL[[#Headers],[Licença Paternidade]])-2,0)*($G180-$H180)</f>
        <v>0.19262334708333331</v>
      </c>
      <c r="AZ180" s="22">
        <f>VLOOKUP($A180,tabCustoUnit[],COLUMN(CUSTO_GLOBAL[[#Headers],[Ausência por Acidente de Trabalho]])-2,0)*($G180-$H180)</f>
        <v>0.23490652083333333</v>
      </c>
      <c r="BA180" s="22">
        <f>VLOOKUP($A180,tabCustoUnit[],COLUMN(CUSTO_GLOBAL[[#Headers],[Férias, Adicional de Férias e 13º  com empregada em gozo de Licença Maternidade]])-2,0)*($G180-$H180)</f>
        <v>1.4616405740740739</v>
      </c>
      <c r="BB180" s="22">
        <f>VLOOKUP($A180,tabCustoUnit[],COLUMN(CUSTO_GLOBAL[[#Headers],[Incidência do Submódulo 2.1 sobre Ausências Legais]])-2,0)*($G180-$H180)</f>
        <v>5.1775182481225004</v>
      </c>
      <c r="BC180" s="22">
        <f>VLOOKUP($A180,tabCustoUnit[],COLUMN(CUSTO_GLOBAL[[#Headers],[Submódulo 4.1]])-2,0)*($G180-$H180)</f>
        <v>18.874656470668793</v>
      </c>
      <c r="BD180" s="22">
        <f>VLOOKUP($A180,tabCustoUnit[],COLUMN(CUSTO_GLOBAL[[#Headers],[Intervalo para Repouso ou Alimentação]])-2,0)*($G180-$H180)</f>
        <v>0</v>
      </c>
      <c r="BE180" s="22">
        <f>VLOOKUP($A180,tabCustoUnit[],COLUMN(CUSTO_GLOBAL[[#Headers],[Submódulo 4.2]])-2,0)*($G180-$H180)</f>
        <v>0</v>
      </c>
      <c r="BF180" s="22">
        <f>VLOOKUP($A180,tabCustoUnit[],COLUMN(CUSTO_GLOBAL[[#Headers],[Suspensão Temporária do Contrato de Trabalho]])-2,0)*($G180-$H180)</f>
        <v>0</v>
      </c>
      <c r="BG180" s="22">
        <f>VLOOKUP($A180,tabCustoUnit[],COLUMN(CUSTO_GLOBAL[[#Headers],[Submódulo 4.3]])-2,0)*($G180-$H180)</f>
        <v>0</v>
      </c>
      <c r="BH180" s="22">
        <f>VLOOKUP($A180,tabCustoUnit[],COLUMN(CUSTO_GLOBAL[[#Headers],[MÓDULO 4 – CUSTO DE REPOSIÇÃO DO PROFISSIONAL AUSENTE]])-2,0)*($G180-$H180)</f>
        <v>18.874656470668793</v>
      </c>
      <c r="BI180" s="22">
        <f>VLOOKUP($A180,tabCustoUnit[],COLUMN(CUSTO_GLOBAL[[#Headers],[Uniformes e EPIs]])-2,0)*($G180-$H180)</f>
        <v>100.80916666666666</v>
      </c>
      <c r="BJ180" s="22">
        <f>VLOOKUP($A180,tabCustoUnit[],COLUMN(CUSTO_GLOBAL[[#Headers],[Materiais de Consumo]])-2,0)*($G180-$H180)</f>
        <v>24.216963380852651</v>
      </c>
      <c r="BK180" s="22">
        <f>VLOOKUP($A180,tabCustoUnit[],COLUMN(CUSTO_GLOBAL[[#Headers],[Máquinas e Equipamentos (depreciação)]])-2,0)*($G180-$H180)</f>
        <v>43.997314032835618</v>
      </c>
      <c r="BL180" s="22">
        <f>VLOOKUP($A180,tabCustoUnit[],COLUMN(CUSTO_GLOBAL[[#Headers],[Produtos de Limpeza e Materiais de Higiene Pessoal]])-2,0)*($G180-$H180)</f>
        <v>470.6396814404431</v>
      </c>
      <c r="BM180" s="22">
        <f>VLOOKUP($A180,tabCustoUnit[],COLUMN(CUSTO_GLOBAL[[#Headers],[Outros (especificar)]])-2,0)*($G180-$H180)</f>
        <v>0</v>
      </c>
      <c r="BN180" s="22">
        <f>VLOOKUP($A180,tabCustoUnit[],COLUMN(CUSTO_GLOBAL[[#Headers],[MÓDULO 5 – INSUMOS DIVERSOS]])-2,0)*($G180-$H180)</f>
        <v>639.66312552079808</v>
      </c>
      <c r="BO180" s="22">
        <f>VLOOKUP($A180,tabCustoUnit[],COLUMN(CUSTO_GLOBAL[[#Headers],[TOTAL MÓDULOS 1+2+3+4+5]])-2,0)*($G180-$H180)</f>
        <v>3355.1998123290123</v>
      </c>
      <c r="BP180" s="22">
        <f>VLOOKUP($A180,tabCustoUnit[],COLUMN(CUSTO_GLOBAL[[#Headers],[Custos Indiretos]])-2,0)*($G180-$H180)</f>
        <v>189.64880140242613</v>
      </c>
      <c r="BQ180" s="22">
        <f>VLOOKUP($A180,tabCustoUnit[],COLUMN(CUSTO_GLOBAL[[#Headers],[Lucro]])-2,0)*($G180-$H180)</f>
        <v>159.30499317803796</v>
      </c>
      <c r="BR180" s="26">
        <f>VLOOKUP($A180,tabCustoUnit[],COLUMN(CUSTO_GLOBAL[[#Headers],[COFINS]])-2,0)</f>
        <v>8.7106017191977067E-2</v>
      </c>
      <c r="BS180" s="26">
        <f>VLOOKUP($A180,tabCustoUnit[],COLUMN(CUSTO_GLOBAL[[#Headers],[PIS]])-2,0)</f>
        <v>1.8911174785100283E-2</v>
      </c>
      <c r="BT180" s="28">
        <f>VLOOKUP($A180,tabCustoUnit[],COLUMN(CUSTO_GLOBAL[[#Headers],[ISS]])-2,0)</f>
        <v>3.5000000000000003E-2</v>
      </c>
      <c r="BU180" s="26">
        <f>VLOOKUP($A180,tabCustoUnit[],COLUMN(CUSTO_GLOBAL[[#Headers],[ISS (Conversão Alíquota s/ fatura)]])-2,0)</f>
        <v>4.0114613180515762E-2</v>
      </c>
      <c r="BV180" s="26">
        <f>VLOOKUP($A180,tabCustoUnit[],COLUMN(CUSTO_GLOBAL[[#Headers],[Resumo de Alíquotas (PIS+CONFINS+ISS)]])-2,0)</f>
        <v>0.1275</v>
      </c>
      <c r="BW180" s="138">
        <f>VLOOKUP($A180,tabCustoUnit[],COLUMN(CUSTO_GLOBAL[[#Headers],[PIS + COFINS + ISS (Total Conversão  Alíquota s/ Fatura)]])-2,0)</f>
        <v>0.14613180515759311</v>
      </c>
      <c r="BX180" s="22">
        <f>VLOOKUP($A180,tabCustoUnit[],COLUMN(CUSTO_GLOBAL[[#Headers],[Valor dos Tributos (ISS, PIS, CONFINS)]])-2,0)*($G180-$H180)</f>
        <v>541.29465315869129</v>
      </c>
      <c r="BY180" s="22">
        <f>VLOOKUP($A180,tabCustoUnit[],COLUMN(CUSTO_GLOBAL[[#Headers],[MÓDULO 6 – CUSTOS INDIRETOS, TRIBUTOS E LUCRO]])-2,0)*($G180-$H180)</f>
        <v>890.24844773915538</v>
      </c>
      <c r="BZ180" s="22">
        <f>VLOOKUP($A180,tabCustoUnit[],COLUMN(CUSTO_GLOBAL[[#Headers],[CUSTO TOTAL MENSAL]])-2,0)*($G180-$H180)</f>
        <v>4245.4482600681677</v>
      </c>
      <c r="CA180" s="22">
        <f>CUSTO_GLOBAL[[#This Row],[CUSTO TOTAL MENSAL]]*12</f>
        <v>50945.379120818012</v>
      </c>
      <c r="CB180" s="24">
        <f>VLOOKUP($A180,tabCustoUnit[],COLUMN(CUSTO_GLOBAL[[#Headers],[ANO DA CCT]])-2,0)</f>
        <v>45658</v>
      </c>
      <c r="CC180" s="25" t="str">
        <f>VLOOKUP($A180,tabCustoUnit[],COLUMN(CUSTO_GLOBAL[[#Headers],[Nº DE PEDIDO DA CCT]])-2,0)</f>
        <v>-</v>
      </c>
      <c r="CD180" s="25" t="str">
        <f>VLOOKUP($A180,tabCustoUnit[],COLUMN(CUSTO_GLOBAL[[#Headers],[TERMO ADITIVO  ALTERAÇÃO DA CCT]])-2,0)</f>
        <v>-</v>
      </c>
      <c r="CF180" s="22"/>
      <c r="CG180" s="22"/>
    </row>
    <row r="181" spans="1:85" x14ac:dyDescent="0.25">
      <c r="A181" s="20" t="s">
        <v>1517</v>
      </c>
      <c r="B181" t="s">
        <v>163</v>
      </c>
      <c r="C181" t="s">
        <v>1244</v>
      </c>
      <c r="D181" t="s">
        <v>1023</v>
      </c>
      <c r="E181" s="20" t="s">
        <v>9</v>
      </c>
      <c r="F181" s="20" t="s">
        <v>10</v>
      </c>
      <c r="G181" s="20">
        <v>1</v>
      </c>
      <c r="H181" s="20">
        <v>0</v>
      </c>
      <c r="I181" s="21">
        <f>VLOOKUP($A181,tabCustoUnit[],COLUMN(CUSTO_GLOBAL[[#Headers],[Salário Base]])-2,0)*($G181-$H181)</f>
        <v>798.14</v>
      </c>
      <c r="J181" s="21">
        <f>VLOOKUP($A181,tabCustoUnit[],COLUMN(CUSTO_GLOBAL[[#Headers],[Adicional Periculosidade]])-2,0)*($G181-$H181)</f>
        <v>0</v>
      </c>
      <c r="K181" s="21">
        <f>VLOOKUP($A181,tabCustoUnit[],COLUMN(CUSTO_GLOBAL[[#Headers],[Adicional Insalubridade]])-2,0)*($G181-$H181)</f>
        <v>0</v>
      </c>
      <c r="L181" s="21">
        <f>VLOOKUP($A181,tabCustoUnit[],COLUMN(CUSTO_GLOBAL[[#Headers],[Adicional Noturno]])-2,0)*($G181-$H181)</f>
        <v>0</v>
      </c>
      <c r="M181" s="21">
        <f>VLOOKUP($A181,tabCustoUnit[],COLUMN(CUSTO_GLOBAL[[#Headers],[Adicional Motorista II (Gratificação)]])-2,0)*($G181-$H181)</f>
        <v>0</v>
      </c>
      <c r="N181" s="21">
        <f>VLOOKUP($A181,tabCustoUnit[],COLUMN(CUSTO_GLOBAL[[#Headers],[Adicional de Sobreaviso]])-2,0)*($G181-$H181)</f>
        <v>0</v>
      </c>
      <c r="O181" s="21">
        <f>VLOOKUP($A181,tabCustoUnit[],COLUMN(CUSTO_GLOBAL[[#Headers],[Horas Extras TI]])-2,0)*($G181-$H181)</f>
        <v>0</v>
      </c>
      <c r="P181" s="21">
        <f>VLOOKUP($A181,tabCustoUnit[],COLUMN(CUSTO_GLOBAL[[#Headers],[Adicional de Acúmulo de função]])-2,0)*($G181-$H181)</f>
        <v>26.120899999999999</v>
      </c>
      <c r="Q181" s="21">
        <f>VLOOKUP($A181,tabCustoUnit[],COLUMN(CUSTO_GLOBAL[[#Headers],[MODULO 1 - REMUNERAÇÃO ]])-2,0)*($G181-$H181)</f>
        <v>824.26089999999999</v>
      </c>
      <c r="R181" s="21">
        <f>VLOOKUP($A181,tabCustoUnit[],COLUMN(CUSTO_GLOBAL[[#Headers],[INSS]])-2,0)*($G181-$H181)</f>
        <v>164.85218</v>
      </c>
      <c r="S181" s="21">
        <f>VLOOKUP($A181,tabCustoUnit[],COLUMN(CUSTO_GLOBAL[[#Headers],[SESI OU SESC]])-2,0)*($G181-$H181)</f>
        <v>12.363913499999999</v>
      </c>
      <c r="T181" s="21">
        <f>VLOOKUP($A181,tabCustoUnit[],COLUMN(CUSTO_GLOBAL[[#Headers],[SENAI OU SENAC]])-2,0)*($G181-$H181)</f>
        <v>8.2426089999999999</v>
      </c>
      <c r="U181" s="21">
        <f>VLOOKUP($A181,tabCustoUnit[],COLUMN(CUSTO_GLOBAL[[#Headers],[INCRA]])-2,0)*($G181-$H181)</f>
        <v>1.6485217999999999</v>
      </c>
      <c r="V181" s="21">
        <f>VLOOKUP($A181,tabCustoUnit[],COLUMN(CUSTO_GLOBAL[[#Headers],[Salário Educação]])-2,0)*($G181-$H181)</f>
        <v>20.606522500000001</v>
      </c>
      <c r="W181" s="21">
        <f>VLOOKUP($A181,tabCustoUnit[],COLUMN(CUSTO_GLOBAL[[#Headers],[FGTS]])-2,0)*($G181-$H181)</f>
        <v>65.940871999999999</v>
      </c>
      <c r="X181" s="21">
        <f>VLOOKUP($A181,tabCustoUnit[],COLUMN(CUSTO_GLOBAL[[#Headers],[RAT Ajustado]])-2,0)*($G181-$H181)</f>
        <v>32.970435999999999</v>
      </c>
      <c r="Y181" s="21">
        <f>VLOOKUP($A181,tabCustoUnit[],COLUMN(CUSTO_GLOBAL[[#Headers],[SEBRAE]])-2,0)*($G181-$H181)</f>
        <v>4.9455654000000004</v>
      </c>
      <c r="Z181" s="21">
        <f>VLOOKUP($A181,tabCustoUnit[],COLUMN(CUSTO_GLOBAL[[#Headers],[Submódulo 2.1]])-2,0)*($G181-$H181)</f>
        <v>311.57062020000001</v>
      </c>
      <c r="AA181" s="21">
        <f>VLOOKUP($A181,tabCustoUnit[],COLUMN(CUSTO_GLOBAL[[#Headers],[13º salário (titular)]])-2,0)*($G181-$H181)</f>
        <v>68.688408333333328</v>
      </c>
      <c r="AB181" s="21">
        <f>VLOOKUP($A181,tabCustoUnit[],COLUMN(CUSTO_GLOBAL[[#Headers],[Férias e Adicional de Férias (titular)]])-2,0)*($G181-$H181)</f>
        <v>91.584544444444433</v>
      </c>
      <c r="AC181" s="21">
        <f>VLOOKUP($A181,tabCustoUnit[],COLUMN(CUSTO_GLOBAL[[#Headers],[Incidência do Submódulo 2.1 sobre 13º Salário, Férias e Adicional de Férias]])-2,0)*($G181-$H181)</f>
        <v>60.583176149999993</v>
      </c>
      <c r="AD181" s="21">
        <f>VLOOKUP($A181,tabCustoUnit[],COLUMN(CUSTO_GLOBAL[[#Headers],[Submódulo 2.2]])-2,0)*($G181-$H181)</f>
        <v>220.85612892777775</v>
      </c>
      <c r="AE181" s="22">
        <f>VLOOKUP($A181,tabCustoUnit[],COLUMN(CUSTO_GLOBAL[[#Headers],[Vale - Transporte (Descontada parcela do empregado)]])-2,0)*($G181-$H181)</f>
        <v>208.11160000000001</v>
      </c>
      <c r="AF181" s="22">
        <f>VLOOKUP($A181,tabCustoUnit[],COLUMN(CUSTO_GLOBAL[[#Headers],[Vale - Alimentação (Descontada parcela do empregado)]])-2,0)*($G181-$H181)</f>
        <v>582</v>
      </c>
      <c r="AG181" s="22">
        <f>VLOOKUP($A181,tabCustoUnit[],COLUMN(CUSTO_GLOBAL[[#Headers],[Cesta Básica]])-2,0)*($G181-$H181)</f>
        <v>0</v>
      </c>
      <c r="AH181" s="22">
        <f>VLOOKUP($A181,tabCustoUnit[],COLUMN(CUSTO_GLOBAL[[#Headers],[PAF]])-2,0)*($G181-$H181)</f>
        <v>0</v>
      </c>
      <c r="AI181" s="22">
        <f>VLOOKUP($A181,tabCustoUnit[],COLUMN(CUSTO_GLOBAL[[#Headers],[PQM]])-2,0)*($G181-$H181)</f>
        <v>0</v>
      </c>
      <c r="AJ181" s="22">
        <v>0</v>
      </c>
      <c r="AK181" s="22">
        <f>VLOOKUP($A181,tabCustoUnit[],COLUMN(CUSTO_GLOBAL[[#Headers],[Seguro de Vida]])-2,0)*($G181-$H181)</f>
        <v>3.36</v>
      </c>
      <c r="AL181" s="22">
        <f>VLOOKUP($A181,tabCustoUnit[],COLUMN(CUSTO_GLOBAL[[#Headers],[Despesas de Viagem]])-2,0)*($G181-$H181)</f>
        <v>0</v>
      </c>
      <c r="AM181" s="22">
        <f>VLOOKUP($A181,tabCustoUnit[],COLUMN(CUSTO_GLOBAL[[#Headers],[Submódulo 2.3]])-2,0)*($G181-$H181)</f>
        <v>793.47159999999997</v>
      </c>
      <c r="AN181" s="22">
        <f>VLOOKUP($A181,tabCustoUnit[],COLUMN(CUSTO_GLOBAL[[#Headers],[MÓDULO 2 - Total Encargos e Benefícios mensais e diários]])-2,0)*($G181-$H181)</f>
        <v>1325.8983491277777</v>
      </c>
      <c r="AO181" s="22">
        <f>VLOOKUP($A181,tabCustoUnit[],COLUMN(CUSTO_GLOBAL[[#Headers],[Aviso Prévio Indenizado (API) e Reflexo do Aviso Prévio Indenizado]])-2,0)*($G181-$H181)</f>
        <v>5.7795253576581791</v>
      </c>
      <c r="AP181" s="22">
        <f>VLOOKUP($A181,tabCustoUnit[],COLUMN(CUSTO_GLOBAL[[#Headers],[Incidência do FGTS sobre API e Reflexo do API]])-2,0)*($G181-$H181)</f>
        <v>0.46236202861265435</v>
      </c>
      <c r="AQ181" s="22">
        <f>VLOOKUP($A181,tabCustoUnit[],COLUMN(CUSTO_GLOBAL[[#Headers],[Multa Rescisória do FGTS sobre o Aviso Prévio Indenizado]])-2,0)*($G181-$H181)</f>
        <v>0.18494481144506175</v>
      </c>
      <c r="AR181" s="22">
        <f>VLOOKUP($A181,tabCustoUnit[],COLUMN(CUSTO_GLOBAL[[#Headers],[Aviso Prévio Trabalhado - APT]])-2,0)*($G181-$H181)</f>
        <v>2.8849131500000005</v>
      </c>
      <c r="AS181" s="22">
        <f>VLOOKUP($A181,tabCustoUnit[],COLUMN(CUSTO_GLOBAL[[#Headers],[Incidência dos encargos do submódulo 2.1 sobre Aviso Prévio Trabalhado]])-2,0)*($G181-$H181)</f>
        <v>1.0904971707000004</v>
      </c>
      <c r="AT181" s="22">
        <f>VLOOKUP($A181,tabCustoUnit[],COLUMN(CUSTO_GLOBAL[[#Headers],[Multa Rescisória do FGTS]])-2,0)*($G181-$H181)</f>
        <v>25.204066631111107</v>
      </c>
      <c r="AU181" s="22">
        <f>VLOOKUP($A181,tabCustoUnit[],COLUMN(CUSTO_GLOBAL[[#Headers],[Indenização Adicional (Art. 9º da Lei nº 7.238/84)]])-2,0)*($G181-$H181)</f>
        <v>0.6868840833333334</v>
      </c>
      <c r="AV181" s="22">
        <f>VLOOKUP($A181,tabCustoUnit[],COLUMN(CUSTO_GLOBAL[[#Headers],[MÓDULO 3 – PROVISÃO PARA RESCISÃO]])-2,0)*($G181-$H181)</f>
        <v>36.293193232860339</v>
      </c>
      <c r="AW181" s="22">
        <f>VLOOKUP($A181,tabCustoUnit[],COLUMN(CUSTO_GLOBAL[[#Headers],[Ausência por Doença]])-2,0)*($G181-$H181)</f>
        <v>6.9604253777777769</v>
      </c>
      <c r="AX181" s="22">
        <f>VLOOKUP($A181,tabCustoUnit[],COLUMN(CUSTO_GLOBAL[[#Headers],[Ausências Legais]])-2,0)*($G181-$H181)</f>
        <v>1.671417936111111</v>
      </c>
      <c r="AY181" s="22">
        <f>VLOOKUP($A181,tabCustoUnit[],COLUMN(CUSTO_GLOBAL[[#Headers],[Licença Paternidade]])-2,0)*($G181-$H181)</f>
        <v>0.14081123708333332</v>
      </c>
      <c r="AZ181" s="22">
        <f>VLOOKUP($A181,tabCustoUnit[],COLUMN(CUSTO_GLOBAL[[#Headers],[Ausência por Acidente de Trabalho]])-2,0)*($G181-$H181)</f>
        <v>0.17172102083333335</v>
      </c>
      <c r="BA181" s="22">
        <f>VLOOKUP($A181,tabCustoUnit[],COLUMN(CUSTO_GLOBAL[[#Headers],[Férias, Adicional de Férias e 13º  com empregada em gozo de Licença Maternidade]])-2,0)*($G181-$H181)</f>
        <v>1.0684863518518517</v>
      </c>
      <c r="BB181" s="22">
        <f>VLOOKUP($A181,tabCustoUnit[],COLUMN(CUSTO_GLOBAL[[#Headers],[Incidência do Submódulo 2.1 sobre Ausências Legais]])-2,0)*($G181-$H181)</f>
        <v>3.7848618071425006</v>
      </c>
      <c r="BC181" s="22">
        <f>VLOOKUP($A181,tabCustoUnit[],COLUMN(CUSTO_GLOBAL[[#Headers],[Submódulo 4.1]])-2,0)*($G181-$H181)</f>
        <v>13.797723730799909</v>
      </c>
      <c r="BD181" s="22">
        <f>VLOOKUP($A181,tabCustoUnit[],COLUMN(CUSTO_GLOBAL[[#Headers],[Intervalo para Repouso ou Alimentação]])-2,0)*($G181-$H181)</f>
        <v>0</v>
      </c>
      <c r="BE181" s="22">
        <f>VLOOKUP($A181,tabCustoUnit[],COLUMN(CUSTO_GLOBAL[[#Headers],[Submódulo 4.2]])-2,0)*($G181-$H181)</f>
        <v>0</v>
      </c>
      <c r="BF181" s="22">
        <f>VLOOKUP($A181,tabCustoUnit[],COLUMN(CUSTO_GLOBAL[[#Headers],[Suspensão Temporária do Contrato de Trabalho]])-2,0)*($G181-$H181)</f>
        <v>0</v>
      </c>
      <c r="BG181" s="22">
        <f>VLOOKUP($A181,tabCustoUnit[],COLUMN(CUSTO_GLOBAL[[#Headers],[Submódulo 4.3]])-2,0)*($G181-$H181)</f>
        <v>0</v>
      </c>
      <c r="BH181" s="22">
        <f>VLOOKUP($A181,tabCustoUnit[],COLUMN(CUSTO_GLOBAL[[#Headers],[MÓDULO 4 – CUSTO DE REPOSIÇÃO DO PROFISSIONAL AUSENTE]])-2,0)*($G181-$H181)</f>
        <v>13.797723730799909</v>
      </c>
      <c r="BI181" s="22">
        <f>VLOOKUP($A181,tabCustoUnit[],COLUMN(CUSTO_GLOBAL[[#Headers],[Uniformes e EPIs]])-2,0)*($G181-$H181)</f>
        <v>62.806666666666665</v>
      </c>
      <c r="BJ181" s="22">
        <f>VLOOKUP($A181,tabCustoUnit[],COLUMN(CUSTO_GLOBAL[[#Headers],[Materiais de Consumo]])-2,0)*($G181-$H181)</f>
        <v>17.759106479291944</v>
      </c>
      <c r="BK181" s="22">
        <f>VLOOKUP($A181,tabCustoUnit[],COLUMN(CUSTO_GLOBAL[[#Headers],[Máquinas e Equipamentos (depreciação)]])-2,0)*($G181-$H181)</f>
        <v>32.264696957412788</v>
      </c>
      <c r="BL181" s="22">
        <f>VLOOKUP($A181,tabCustoUnit[],COLUMN(CUSTO_GLOBAL[[#Headers],[Produtos de Limpeza e Materiais de Higiene Pessoal]])-2,0)*($G181-$H181)</f>
        <v>345.13576638965827</v>
      </c>
      <c r="BM181" s="22">
        <f>VLOOKUP($A181,tabCustoUnit[],COLUMN(CUSTO_GLOBAL[[#Headers],[Outros (especificar)]])-2,0)*($G181-$H181)</f>
        <v>0</v>
      </c>
      <c r="BN181" s="22">
        <f>VLOOKUP($A181,tabCustoUnit[],COLUMN(CUSTO_GLOBAL[[#Headers],[MÓDULO 5 – INSUMOS DIVERSOS]])-2,0)*($G181-$H181)</f>
        <v>457.96623649302967</v>
      </c>
      <c r="BO181" s="22">
        <f>VLOOKUP($A181,tabCustoUnit[],COLUMN(CUSTO_GLOBAL[[#Headers],[TOTAL MÓDULOS 1+2+3+4+5]])-2,0)*($G181-$H181)</f>
        <v>2658.2164025844677</v>
      </c>
      <c r="BP181" s="22">
        <f>VLOOKUP($A181,tabCustoUnit[],COLUMN(CUSTO_GLOBAL[[#Headers],[Custos Indiretos]])-2,0)*($G181-$H181)</f>
        <v>189.64880140242613</v>
      </c>
      <c r="BQ181" s="22">
        <f>VLOOKUP($A181,tabCustoUnit[],COLUMN(CUSTO_GLOBAL[[#Headers],[Lucro]])-2,0)*($G181-$H181)</f>
        <v>159.30499317803796</v>
      </c>
      <c r="BR181" s="26">
        <f>VLOOKUP($A181,tabCustoUnit[],COLUMN(CUSTO_GLOBAL[[#Headers],[COFINS]])-2,0)</f>
        <v>8.6609686609686695E-2</v>
      </c>
      <c r="BS181" s="26">
        <f>VLOOKUP($A181,tabCustoUnit[],COLUMN(CUSTO_GLOBAL[[#Headers],[PIS]])-2,0)</f>
        <v>1.880341880341882E-2</v>
      </c>
      <c r="BT181" s="28">
        <f>VLOOKUP($A181,tabCustoUnit[],COLUMN(CUSTO_GLOBAL[[#Headers],[ISS]])-2,0)</f>
        <v>0.03</v>
      </c>
      <c r="BU181" s="26">
        <f>VLOOKUP($A181,tabCustoUnit[],COLUMN(CUSTO_GLOBAL[[#Headers],[ISS (Conversão Alíquota s/ fatura)]])-2,0)</f>
        <v>3.4188034188034219E-2</v>
      </c>
      <c r="BV181" s="26">
        <f>VLOOKUP($A181,tabCustoUnit[],COLUMN(CUSTO_GLOBAL[[#Headers],[Resumo de Alíquotas (PIS+CONFINS+ISS)]])-2,0)</f>
        <v>0.1225</v>
      </c>
      <c r="BW181" s="138">
        <f>VLOOKUP($A181,tabCustoUnit[],COLUMN(CUSTO_GLOBAL[[#Headers],[PIS + COFINS + ISS (Total Conversão  Alíquota s/ Fatura)]])-2,0)</f>
        <v>0.13960113960113973</v>
      </c>
      <c r="BX181" s="22">
        <f>VLOOKUP($A181,tabCustoUnit[],COLUMN(CUSTO_GLOBAL[[#Headers],[Valor dos Tributos (ISS, PIS, CONFINS)]])-2,0)*($G181-$H181)</f>
        <v>419.80438649880853</v>
      </c>
      <c r="BY181" s="22">
        <f>VLOOKUP($A181,tabCustoUnit[],COLUMN(CUSTO_GLOBAL[[#Headers],[MÓDULO 6 – CUSTOS INDIRETOS, TRIBUTOS E LUCRO]])-2,0)*($G181-$H181)</f>
        <v>768.75818107927262</v>
      </c>
      <c r="BZ181" s="22">
        <f>VLOOKUP($A181,tabCustoUnit[],COLUMN(CUSTO_GLOBAL[[#Headers],[CUSTO TOTAL MENSAL]])-2,0)*($G181-$H181)</f>
        <v>3426.9745836637403</v>
      </c>
      <c r="CA181" s="22">
        <f>CUSTO_GLOBAL[[#This Row],[CUSTO TOTAL MENSAL]]*12</f>
        <v>41123.69500396488</v>
      </c>
      <c r="CB181" s="24">
        <f>VLOOKUP($A181,tabCustoUnit[],COLUMN(CUSTO_GLOBAL[[#Headers],[ANO DA CCT]])-2,0)</f>
        <v>45658</v>
      </c>
      <c r="CC181" s="25" t="str">
        <f>VLOOKUP($A181,tabCustoUnit[],COLUMN(CUSTO_GLOBAL[[#Headers],[Nº DE PEDIDO DA CCT]])-2,0)</f>
        <v>-</v>
      </c>
      <c r="CD181" s="25" t="str">
        <f>VLOOKUP($A181,tabCustoUnit[],COLUMN(CUSTO_GLOBAL[[#Headers],[TERMO ADITIVO  ALTERAÇÃO DA CCT]])-2,0)</f>
        <v>-</v>
      </c>
      <c r="CF181" s="22"/>
      <c r="CG181" s="22"/>
    </row>
    <row r="182" spans="1:85" x14ac:dyDescent="0.25">
      <c r="A182" s="20" t="s">
        <v>1518</v>
      </c>
      <c r="B182" t="s">
        <v>164</v>
      </c>
      <c r="C182" t="s">
        <v>1244</v>
      </c>
      <c r="D182" t="s">
        <v>211</v>
      </c>
      <c r="E182" s="20" t="s">
        <v>9</v>
      </c>
      <c r="F182" s="20" t="s">
        <v>10</v>
      </c>
      <c r="G182" s="20">
        <v>1</v>
      </c>
      <c r="H182" s="20">
        <v>0</v>
      </c>
      <c r="I182" s="21">
        <f>VLOOKUP($A182,tabCustoUnit[],COLUMN(CUSTO_GLOBAL[[#Headers],[Salário Base]])-2,0)*($G182-$H182)</f>
        <v>824.56</v>
      </c>
      <c r="J182" s="21">
        <f>VLOOKUP($A182,tabCustoUnit[],COLUMN(CUSTO_GLOBAL[[#Headers],[Adicional Periculosidade]])-2,0)*($G182-$H182)</f>
        <v>0</v>
      </c>
      <c r="K182" s="21">
        <f>VLOOKUP($A182,tabCustoUnit[],COLUMN(CUSTO_GLOBAL[[#Headers],[Adicional Insalubridade]])-2,0)*($G182-$H182)</f>
        <v>0</v>
      </c>
      <c r="L182" s="21">
        <f>VLOOKUP($A182,tabCustoUnit[],COLUMN(CUSTO_GLOBAL[[#Headers],[Adicional Noturno]])-2,0)*($G182-$H182)</f>
        <v>0</v>
      </c>
      <c r="M182" s="21">
        <f>VLOOKUP($A182,tabCustoUnit[],COLUMN(CUSTO_GLOBAL[[#Headers],[Adicional Motorista II (Gratificação)]])-2,0)*($G182-$H182)</f>
        <v>0</v>
      </c>
      <c r="N182" s="21">
        <f>VLOOKUP($A182,tabCustoUnit[],COLUMN(CUSTO_GLOBAL[[#Headers],[Adicional de Sobreaviso]])-2,0)*($G182-$H182)</f>
        <v>0</v>
      </c>
      <c r="O182" s="21">
        <f>VLOOKUP($A182,tabCustoUnit[],COLUMN(CUSTO_GLOBAL[[#Headers],[Horas Extras TI]])-2,0)*($G182-$H182)</f>
        <v>0</v>
      </c>
      <c r="P182" s="21">
        <f>VLOOKUP($A182,tabCustoUnit[],COLUMN(CUSTO_GLOBAL[[#Headers],[Adicional de Acúmulo de função]])-2,0)*($G182-$H182)</f>
        <v>26.985600000000002</v>
      </c>
      <c r="Q182" s="21">
        <f>VLOOKUP($A182,tabCustoUnit[],COLUMN(CUSTO_GLOBAL[[#Headers],[MODULO 1 - REMUNERAÇÃO ]])-2,0)*($G182-$H182)</f>
        <v>851.54559999999992</v>
      </c>
      <c r="R182" s="21">
        <f>VLOOKUP($A182,tabCustoUnit[],COLUMN(CUSTO_GLOBAL[[#Headers],[INSS]])-2,0)*($G182-$H182)</f>
        <v>170.30912000000001</v>
      </c>
      <c r="S182" s="21">
        <f>VLOOKUP($A182,tabCustoUnit[],COLUMN(CUSTO_GLOBAL[[#Headers],[SESI OU SESC]])-2,0)*($G182-$H182)</f>
        <v>12.773183999999999</v>
      </c>
      <c r="T182" s="21">
        <f>VLOOKUP($A182,tabCustoUnit[],COLUMN(CUSTO_GLOBAL[[#Headers],[SENAI OU SENAC]])-2,0)*($G182-$H182)</f>
        <v>8.5154559999999986</v>
      </c>
      <c r="U182" s="21">
        <f>VLOOKUP($A182,tabCustoUnit[],COLUMN(CUSTO_GLOBAL[[#Headers],[INCRA]])-2,0)*($G182-$H182)</f>
        <v>1.7030911999999998</v>
      </c>
      <c r="V182" s="21">
        <f>VLOOKUP($A182,tabCustoUnit[],COLUMN(CUSTO_GLOBAL[[#Headers],[Salário Educação]])-2,0)*($G182-$H182)</f>
        <v>21.288640000000001</v>
      </c>
      <c r="W182" s="21">
        <f>VLOOKUP($A182,tabCustoUnit[],COLUMN(CUSTO_GLOBAL[[#Headers],[FGTS]])-2,0)*($G182-$H182)</f>
        <v>68.123647999999989</v>
      </c>
      <c r="X182" s="21">
        <f>VLOOKUP($A182,tabCustoUnit[],COLUMN(CUSTO_GLOBAL[[#Headers],[RAT Ajustado]])-2,0)*($G182-$H182)</f>
        <v>34.061823999999994</v>
      </c>
      <c r="Y182" s="21">
        <f>VLOOKUP($A182,tabCustoUnit[],COLUMN(CUSTO_GLOBAL[[#Headers],[SEBRAE]])-2,0)*($G182-$H182)</f>
        <v>5.1092735999999999</v>
      </c>
      <c r="Z182" s="21">
        <f>VLOOKUP($A182,tabCustoUnit[],COLUMN(CUSTO_GLOBAL[[#Headers],[Submódulo 2.1]])-2,0)*($G182-$H182)</f>
        <v>321.8842368</v>
      </c>
      <c r="AA182" s="21">
        <f>VLOOKUP($A182,tabCustoUnit[],COLUMN(CUSTO_GLOBAL[[#Headers],[13º salário (titular)]])-2,0)*($G182-$H182)</f>
        <v>70.962133333333327</v>
      </c>
      <c r="AB182" s="21">
        <f>VLOOKUP($A182,tabCustoUnit[],COLUMN(CUSTO_GLOBAL[[#Headers],[Férias e Adicional de Férias (titular)]])-2,0)*($G182-$H182)</f>
        <v>94.616177777777764</v>
      </c>
      <c r="AC182" s="21">
        <f>VLOOKUP($A182,tabCustoUnit[],COLUMN(CUSTO_GLOBAL[[#Headers],[Incidência do Submódulo 2.1 sobre 13º Salário, Férias e Adicional de Férias]])-2,0)*($G182-$H182)</f>
        <v>62.588601599999997</v>
      </c>
      <c r="AD182" s="21">
        <f>VLOOKUP($A182,tabCustoUnit[],COLUMN(CUSTO_GLOBAL[[#Headers],[Submódulo 2.2]])-2,0)*($G182-$H182)</f>
        <v>228.16691271111108</v>
      </c>
      <c r="AE182" s="22">
        <f>VLOOKUP($A182,tabCustoUnit[],COLUMN(CUSTO_GLOBAL[[#Headers],[Vale - Transporte (Descontada parcela do empregado)]])-2,0)*($G182-$H182)</f>
        <v>206.5264</v>
      </c>
      <c r="AF182" s="22">
        <f>VLOOKUP($A182,tabCustoUnit[],COLUMN(CUSTO_GLOBAL[[#Headers],[Vale - Alimentação (Descontada parcela do empregado)]])-2,0)*($G182-$H182)</f>
        <v>582</v>
      </c>
      <c r="AG182" s="22">
        <f>VLOOKUP($A182,tabCustoUnit[],COLUMN(CUSTO_GLOBAL[[#Headers],[Cesta Básica]])-2,0)*($G182-$H182)</f>
        <v>0</v>
      </c>
      <c r="AH182" s="22">
        <f>VLOOKUP($A182,tabCustoUnit[],COLUMN(CUSTO_GLOBAL[[#Headers],[PAF]])-2,0)*($G182-$H182)</f>
        <v>51.86</v>
      </c>
      <c r="AI182" s="22">
        <f>VLOOKUP($A182,tabCustoUnit[],COLUMN(CUSTO_GLOBAL[[#Headers],[PQM]])-2,0)*($G182-$H182)</f>
        <v>0</v>
      </c>
      <c r="AJ182" s="22">
        <v>0</v>
      </c>
      <c r="AK182" s="22">
        <f>VLOOKUP($A182,tabCustoUnit[],COLUMN(CUSTO_GLOBAL[[#Headers],[Seguro de Vida]])-2,0)*($G182-$H182)</f>
        <v>3.36</v>
      </c>
      <c r="AL182" s="22">
        <f>VLOOKUP($A182,tabCustoUnit[],COLUMN(CUSTO_GLOBAL[[#Headers],[Despesas de Viagem]])-2,0)*($G182-$H182)</f>
        <v>0</v>
      </c>
      <c r="AM182" s="22">
        <f>VLOOKUP($A182,tabCustoUnit[],COLUMN(CUSTO_GLOBAL[[#Headers],[Submódulo 2.3]])-2,0)*($G182-$H182)</f>
        <v>843.74639999999999</v>
      </c>
      <c r="AN182" s="22">
        <f>VLOOKUP($A182,tabCustoUnit[],COLUMN(CUSTO_GLOBAL[[#Headers],[MÓDULO 2 - Total Encargos e Benefícios mensais e diários]])-2,0)*($G182-$H182)</f>
        <v>1393.7975495111111</v>
      </c>
      <c r="AO182" s="22">
        <f>VLOOKUP($A182,tabCustoUnit[],COLUMN(CUSTO_GLOBAL[[#Headers],[Aviso Prévio Indenizado (API) e Reflexo do Aviso Prévio Indenizado]])-2,0)*($G182-$H182)</f>
        <v>5.970839316049382</v>
      </c>
      <c r="AP182" s="22">
        <f>VLOOKUP($A182,tabCustoUnit[],COLUMN(CUSTO_GLOBAL[[#Headers],[Incidência do FGTS sobre API e Reflexo do API]])-2,0)*($G182-$H182)</f>
        <v>0.4776671452839506</v>
      </c>
      <c r="AQ182" s="22">
        <f>VLOOKUP($A182,tabCustoUnit[],COLUMN(CUSTO_GLOBAL[[#Headers],[Multa Rescisória do FGTS sobre o Aviso Prévio Indenizado]])-2,0)*($G182-$H182)</f>
        <v>0.19106685811358026</v>
      </c>
      <c r="AR182" s="22">
        <f>VLOOKUP($A182,tabCustoUnit[],COLUMN(CUSTO_GLOBAL[[#Headers],[Aviso Prévio Trabalhado - APT]])-2,0)*($G182-$H182)</f>
        <v>2.9804096000000002</v>
      </c>
      <c r="AS182" s="22">
        <f>VLOOKUP($A182,tabCustoUnit[],COLUMN(CUSTO_GLOBAL[[#Headers],[Incidência dos encargos do submódulo 2.1 sobre Aviso Prévio Trabalhado]])-2,0)*($G182-$H182)</f>
        <v>1.1265948288000003</v>
      </c>
      <c r="AT182" s="22">
        <f>VLOOKUP($A182,tabCustoUnit[],COLUMN(CUSTO_GLOBAL[[#Headers],[Multa Rescisória do FGTS]])-2,0)*($G182-$H182)</f>
        <v>26.038372124444439</v>
      </c>
      <c r="AU182" s="22">
        <f>VLOOKUP($A182,tabCustoUnit[],COLUMN(CUSTO_GLOBAL[[#Headers],[Indenização Adicional (Art. 9º da Lei nº 7.238/84)]])-2,0)*($G182-$H182)</f>
        <v>0.70962133333333333</v>
      </c>
      <c r="AV182" s="22">
        <f>VLOOKUP($A182,tabCustoUnit[],COLUMN(CUSTO_GLOBAL[[#Headers],[MÓDULO 3 – PROVISÃO PARA RESCISÃO]])-2,0)*($G182-$H182)</f>
        <v>37.494571206024688</v>
      </c>
      <c r="AW182" s="22">
        <f>VLOOKUP($A182,tabCustoUnit[],COLUMN(CUSTO_GLOBAL[[#Headers],[Ausência por Doença]])-2,0)*($G182-$H182)</f>
        <v>7.1908295111111098</v>
      </c>
      <c r="AX182" s="22">
        <f>VLOOKUP($A182,tabCustoUnit[],COLUMN(CUSTO_GLOBAL[[#Headers],[Ausências Legais]])-2,0)*($G182-$H182)</f>
        <v>1.7267452444444442</v>
      </c>
      <c r="AY182" s="22">
        <f>VLOOKUP($A182,tabCustoUnit[],COLUMN(CUSTO_GLOBAL[[#Headers],[Licença Paternidade]])-2,0)*($G182-$H182)</f>
        <v>0.14547237333333332</v>
      </c>
      <c r="AZ182" s="22">
        <f>VLOOKUP($A182,tabCustoUnit[],COLUMN(CUSTO_GLOBAL[[#Headers],[Ausência por Acidente de Trabalho]])-2,0)*($G182-$H182)</f>
        <v>0.17740533333333333</v>
      </c>
      <c r="BA182" s="22">
        <f>VLOOKUP($A182,tabCustoUnit[],COLUMN(CUSTO_GLOBAL[[#Headers],[Férias, Adicional de Férias e 13º  com empregada em gozo de Licença Maternidade]])-2,0)*($G182-$H182)</f>
        <v>1.1038554074074072</v>
      </c>
      <c r="BB182" s="22">
        <f>VLOOKUP($A182,tabCustoUnit[],COLUMN(CUSTO_GLOBAL[[#Headers],[Incidência do Submódulo 2.1 sobre Ausências Legais]])-2,0)*($G182-$H182)</f>
        <v>3.9101483747200003</v>
      </c>
      <c r="BC182" s="22">
        <f>VLOOKUP($A182,tabCustoUnit[],COLUMN(CUSTO_GLOBAL[[#Headers],[Submódulo 4.1]])-2,0)*($G182-$H182)</f>
        <v>14.254456244349628</v>
      </c>
      <c r="BD182" s="22">
        <f>VLOOKUP($A182,tabCustoUnit[],COLUMN(CUSTO_GLOBAL[[#Headers],[Intervalo para Repouso ou Alimentação]])-2,0)*($G182-$H182)</f>
        <v>0</v>
      </c>
      <c r="BE182" s="22">
        <f>VLOOKUP($A182,tabCustoUnit[],COLUMN(CUSTO_GLOBAL[[#Headers],[Submódulo 4.2]])-2,0)*($G182-$H182)</f>
        <v>0</v>
      </c>
      <c r="BF182" s="22">
        <f>VLOOKUP($A182,tabCustoUnit[],COLUMN(CUSTO_GLOBAL[[#Headers],[Suspensão Temporária do Contrato de Trabalho]])-2,0)*($G182-$H182)</f>
        <v>0</v>
      </c>
      <c r="BG182" s="22">
        <f>VLOOKUP($A182,tabCustoUnit[],COLUMN(CUSTO_GLOBAL[[#Headers],[Submódulo 4.3]])-2,0)*($G182-$H182)</f>
        <v>0</v>
      </c>
      <c r="BH182" s="22">
        <f>VLOOKUP($A182,tabCustoUnit[],COLUMN(CUSTO_GLOBAL[[#Headers],[MÓDULO 4 – CUSTO DE REPOSIÇÃO DO PROFISSIONAL AUSENTE]])-2,0)*($G182-$H182)</f>
        <v>14.254456244349628</v>
      </c>
      <c r="BI182" s="22">
        <f>VLOOKUP($A182,tabCustoUnit[],COLUMN(CUSTO_GLOBAL[[#Headers],[Uniformes e EPIs]])-2,0)*($G182-$H182)</f>
        <v>62.806666666666665</v>
      </c>
      <c r="BJ182" s="22">
        <f>VLOOKUP($A182,tabCustoUnit[],COLUMN(CUSTO_GLOBAL[[#Headers],[Materiais de Consumo]])-2,0)*($G182-$H182)</f>
        <v>17.759106479291944</v>
      </c>
      <c r="BK182" s="22">
        <f>VLOOKUP($A182,tabCustoUnit[],COLUMN(CUSTO_GLOBAL[[#Headers],[Máquinas e Equipamentos (depreciação)]])-2,0)*($G182-$H182)</f>
        <v>32.264696957412788</v>
      </c>
      <c r="BL182" s="22">
        <f>VLOOKUP($A182,tabCustoUnit[],COLUMN(CUSTO_GLOBAL[[#Headers],[Produtos de Limpeza e Materiais de Higiene Pessoal]])-2,0)*($G182-$H182)</f>
        <v>345.13576638965827</v>
      </c>
      <c r="BM182" s="22">
        <f>VLOOKUP($A182,tabCustoUnit[],COLUMN(CUSTO_GLOBAL[[#Headers],[Outros (especificar)]])-2,0)*($G182-$H182)</f>
        <v>0</v>
      </c>
      <c r="BN182" s="22">
        <f>VLOOKUP($A182,tabCustoUnit[],COLUMN(CUSTO_GLOBAL[[#Headers],[MÓDULO 5 – INSUMOS DIVERSOS]])-2,0)*($G182-$H182)</f>
        <v>457.96623649302967</v>
      </c>
      <c r="BO182" s="22">
        <f>VLOOKUP($A182,tabCustoUnit[],COLUMN(CUSTO_GLOBAL[[#Headers],[TOTAL MÓDULOS 1+2+3+4+5]])-2,0)*($G182-$H182)</f>
        <v>2755.0584134545147</v>
      </c>
      <c r="BP182" s="22">
        <f>VLOOKUP($A182,tabCustoUnit[],COLUMN(CUSTO_GLOBAL[[#Headers],[Custos Indiretos]])-2,0)*($G182-$H182)</f>
        <v>189.64880140242613</v>
      </c>
      <c r="BQ182" s="22">
        <f>VLOOKUP($A182,tabCustoUnit[],COLUMN(CUSTO_GLOBAL[[#Headers],[Lucro]])-2,0)*($G182-$H182)</f>
        <v>159.30499317803796</v>
      </c>
      <c r="BR182" s="26">
        <f>VLOOKUP($A182,tabCustoUnit[],COLUMN(CUSTO_GLOBAL[[#Headers],[COFINS]])-2,0)</f>
        <v>8.6609686609686695E-2</v>
      </c>
      <c r="BS182" s="26">
        <f>VLOOKUP($A182,tabCustoUnit[],COLUMN(CUSTO_GLOBAL[[#Headers],[PIS]])-2,0)</f>
        <v>1.880341880341882E-2</v>
      </c>
      <c r="BT182" s="28">
        <f>VLOOKUP($A182,tabCustoUnit[],COLUMN(CUSTO_GLOBAL[[#Headers],[ISS]])-2,0)</f>
        <v>0.03</v>
      </c>
      <c r="BU182" s="26">
        <f>VLOOKUP($A182,tabCustoUnit[],COLUMN(CUSTO_GLOBAL[[#Headers],[ISS (Conversão Alíquota s/ fatura)]])-2,0)</f>
        <v>3.4188034188034219E-2</v>
      </c>
      <c r="BV182" s="26">
        <f>VLOOKUP($A182,tabCustoUnit[],COLUMN(CUSTO_GLOBAL[[#Headers],[Resumo de Alíquotas (PIS+CONFINS+ISS)]])-2,0)</f>
        <v>0.1225</v>
      </c>
      <c r="BW182" s="138">
        <f>VLOOKUP($A182,tabCustoUnit[],COLUMN(CUSTO_GLOBAL[[#Headers],[PIS + COFINS + ISS (Total Conversão  Alíquota s/ Fatura)]])-2,0)</f>
        <v>0.13960113960113973</v>
      </c>
      <c r="BX182" s="22">
        <f>VLOOKUP($A182,tabCustoUnit[],COLUMN(CUSTO_GLOBAL[[#Headers],[Valor dos Tributos (ISS, PIS, CONFINS)]])-2,0)*($G182-$H182)</f>
        <v>433.32364157753307</v>
      </c>
      <c r="BY182" s="22">
        <f>VLOOKUP($A182,tabCustoUnit[],COLUMN(CUSTO_GLOBAL[[#Headers],[MÓDULO 6 – CUSTOS INDIRETOS, TRIBUTOS E LUCRO]])-2,0)*($G182-$H182)</f>
        <v>782.27743615799716</v>
      </c>
      <c r="BZ182" s="22">
        <f>VLOOKUP($A182,tabCustoUnit[],COLUMN(CUSTO_GLOBAL[[#Headers],[CUSTO TOTAL MENSAL]])-2,0)*($G182-$H182)</f>
        <v>3537.335849612512</v>
      </c>
      <c r="CA182" s="22">
        <f>CUSTO_GLOBAL[[#This Row],[CUSTO TOTAL MENSAL]]*12</f>
        <v>42448.030195350148</v>
      </c>
      <c r="CB182" s="24">
        <f>VLOOKUP($A182,tabCustoUnit[],COLUMN(CUSTO_GLOBAL[[#Headers],[ANO DA CCT]])-2,0)</f>
        <v>45658</v>
      </c>
      <c r="CC182" s="25" t="str">
        <f>VLOOKUP($A182,tabCustoUnit[],COLUMN(CUSTO_GLOBAL[[#Headers],[Nº DE PEDIDO DA CCT]])-2,0)</f>
        <v>-</v>
      </c>
      <c r="CD182" s="25" t="str">
        <f>VLOOKUP($A182,tabCustoUnit[],COLUMN(CUSTO_GLOBAL[[#Headers],[TERMO ADITIVO  ALTERAÇÃO DA CCT]])-2,0)</f>
        <v>-</v>
      </c>
      <c r="CF182" s="22"/>
      <c r="CG182" s="22"/>
    </row>
    <row r="183" spans="1:85" x14ac:dyDescent="0.25">
      <c r="A183" s="20" t="s">
        <v>1519</v>
      </c>
      <c r="B183" t="s">
        <v>165</v>
      </c>
      <c r="C183" t="s">
        <v>1245</v>
      </c>
      <c r="D183" t="s">
        <v>1023</v>
      </c>
      <c r="E183" s="20" t="s">
        <v>9</v>
      </c>
      <c r="F183" s="20" t="s">
        <v>10</v>
      </c>
      <c r="G183" s="20">
        <v>2</v>
      </c>
      <c r="H183" s="20">
        <v>0</v>
      </c>
      <c r="I183" s="21">
        <f>VLOOKUP($A183,tabCustoUnit[],COLUMN(CUSTO_GLOBAL[[#Headers],[Salário Base]])-2,0)*($G183-$H183)</f>
        <v>3192.56</v>
      </c>
      <c r="J183" s="21">
        <f>VLOOKUP($A183,tabCustoUnit[],COLUMN(CUSTO_GLOBAL[[#Headers],[Adicional Periculosidade]])-2,0)*($G183-$H183)</f>
        <v>0</v>
      </c>
      <c r="K183" s="21">
        <f>VLOOKUP($A183,tabCustoUnit[],COLUMN(CUSTO_GLOBAL[[#Headers],[Adicional Insalubridade]])-2,0)*($G183-$H183)</f>
        <v>0</v>
      </c>
      <c r="L183" s="21">
        <f>VLOOKUP($A183,tabCustoUnit[],COLUMN(CUSTO_GLOBAL[[#Headers],[Adicional Noturno]])-2,0)*($G183-$H183)</f>
        <v>0</v>
      </c>
      <c r="M183" s="21">
        <f>VLOOKUP($A183,tabCustoUnit[],COLUMN(CUSTO_GLOBAL[[#Headers],[Adicional Motorista II (Gratificação)]])-2,0)*($G183-$H183)</f>
        <v>0</v>
      </c>
      <c r="N183" s="21">
        <f>VLOOKUP($A183,tabCustoUnit[],COLUMN(CUSTO_GLOBAL[[#Headers],[Adicional de Sobreaviso]])-2,0)*($G183-$H183)</f>
        <v>0</v>
      </c>
      <c r="O183" s="21">
        <f>VLOOKUP($A183,tabCustoUnit[],COLUMN(CUSTO_GLOBAL[[#Headers],[Horas Extras TI]])-2,0)*($G183-$H183)</f>
        <v>0</v>
      </c>
      <c r="P183" s="21">
        <f>VLOOKUP($A183,tabCustoUnit[],COLUMN(CUSTO_GLOBAL[[#Headers],[Adicional de Acúmulo de função]])-2,0)*($G183-$H183)</f>
        <v>104.4838</v>
      </c>
      <c r="Q183" s="21">
        <f>VLOOKUP($A183,tabCustoUnit[],COLUMN(CUSTO_GLOBAL[[#Headers],[MODULO 1 - REMUNERAÇÃO ]])-2,0)*($G183-$H183)</f>
        <v>3297.0437999999999</v>
      </c>
      <c r="R183" s="21">
        <f>VLOOKUP($A183,tabCustoUnit[],COLUMN(CUSTO_GLOBAL[[#Headers],[INSS]])-2,0)*($G183-$H183)</f>
        <v>659.40876000000003</v>
      </c>
      <c r="S183" s="21">
        <f>VLOOKUP($A183,tabCustoUnit[],COLUMN(CUSTO_GLOBAL[[#Headers],[SESI OU SESC]])-2,0)*($G183-$H183)</f>
        <v>49.455656999999995</v>
      </c>
      <c r="T183" s="21">
        <f>VLOOKUP($A183,tabCustoUnit[],COLUMN(CUSTO_GLOBAL[[#Headers],[SENAI OU SENAC]])-2,0)*($G183-$H183)</f>
        <v>32.970438000000001</v>
      </c>
      <c r="U183" s="21">
        <f>VLOOKUP($A183,tabCustoUnit[],COLUMN(CUSTO_GLOBAL[[#Headers],[INCRA]])-2,0)*($G183-$H183)</f>
        <v>6.5940875999999999</v>
      </c>
      <c r="V183" s="21">
        <f>VLOOKUP($A183,tabCustoUnit[],COLUMN(CUSTO_GLOBAL[[#Headers],[Salário Educação]])-2,0)*($G183-$H183)</f>
        <v>82.426095000000004</v>
      </c>
      <c r="W183" s="21">
        <f>VLOOKUP($A183,tabCustoUnit[],COLUMN(CUSTO_GLOBAL[[#Headers],[FGTS]])-2,0)*($G183-$H183)</f>
        <v>263.76350400000001</v>
      </c>
      <c r="X183" s="21">
        <f>VLOOKUP($A183,tabCustoUnit[],COLUMN(CUSTO_GLOBAL[[#Headers],[RAT Ajustado]])-2,0)*($G183-$H183)</f>
        <v>131.88175200000001</v>
      </c>
      <c r="Y183" s="21">
        <f>VLOOKUP($A183,tabCustoUnit[],COLUMN(CUSTO_GLOBAL[[#Headers],[SEBRAE]])-2,0)*($G183-$H183)</f>
        <v>19.782262800000002</v>
      </c>
      <c r="Z183" s="21">
        <f>VLOOKUP($A183,tabCustoUnit[],COLUMN(CUSTO_GLOBAL[[#Headers],[Submódulo 2.1]])-2,0)*($G183-$H183)</f>
        <v>1246.2825564</v>
      </c>
      <c r="AA183" s="21">
        <f>VLOOKUP($A183,tabCustoUnit[],COLUMN(CUSTO_GLOBAL[[#Headers],[13º salário (titular)]])-2,0)*($G183-$H183)</f>
        <v>274.75364999999999</v>
      </c>
      <c r="AB183" s="21">
        <f>VLOOKUP($A183,tabCustoUnit[],COLUMN(CUSTO_GLOBAL[[#Headers],[Férias e Adicional de Férias (titular)]])-2,0)*($G183-$H183)</f>
        <v>366.33819999999997</v>
      </c>
      <c r="AC183" s="21">
        <f>VLOOKUP($A183,tabCustoUnit[],COLUMN(CUSTO_GLOBAL[[#Headers],[Incidência do Submódulo 2.1 sobre 13º Salário, Férias e Adicional de Férias]])-2,0)*($G183-$H183)</f>
        <v>242.33271930000001</v>
      </c>
      <c r="AD183" s="21">
        <f>VLOOKUP($A183,tabCustoUnit[],COLUMN(CUSTO_GLOBAL[[#Headers],[Submódulo 2.2]])-2,0)*($G183-$H183)</f>
        <v>883.42456930000003</v>
      </c>
      <c r="AE183" s="22">
        <f>VLOOKUP($A183,tabCustoUnit[],COLUMN(CUSTO_GLOBAL[[#Headers],[Vale - Transporte (Descontada parcela do empregado)]])-2,0)*($G183-$H183)</f>
        <v>320.44640000000004</v>
      </c>
      <c r="AF183" s="22">
        <f>VLOOKUP($A183,tabCustoUnit[],COLUMN(CUSTO_GLOBAL[[#Headers],[Vale - Alimentação (Descontada parcela do empregado)]])-2,0)*($G183-$H183)</f>
        <v>1164</v>
      </c>
      <c r="AG183" s="22">
        <f>VLOOKUP($A183,tabCustoUnit[],COLUMN(CUSTO_GLOBAL[[#Headers],[Cesta Básica]])-2,0)*($G183-$H183)</f>
        <v>0</v>
      </c>
      <c r="AH183" s="22">
        <f>VLOOKUP($A183,tabCustoUnit[],COLUMN(CUSTO_GLOBAL[[#Headers],[PAF]])-2,0)*($G183-$H183)</f>
        <v>0</v>
      </c>
      <c r="AI183" s="22">
        <f>VLOOKUP($A183,tabCustoUnit[],COLUMN(CUSTO_GLOBAL[[#Headers],[PQM]])-2,0)*($G183-$H183)</f>
        <v>0</v>
      </c>
      <c r="AJ183" s="22">
        <v>0</v>
      </c>
      <c r="AK183" s="22">
        <f>VLOOKUP($A183,tabCustoUnit[],COLUMN(CUSTO_GLOBAL[[#Headers],[Seguro de Vida]])-2,0)*($G183-$H183)</f>
        <v>6.72</v>
      </c>
      <c r="AL183" s="22">
        <f>VLOOKUP($A183,tabCustoUnit[],COLUMN(CUSTO_GLOBAL[[#Headers],[Despesas de Viagem]])-2,0)*($G183-$H183)</f>
        <v>0</v>
      </c>
      <c r="AM183" s="22">
        <f>VLOOKUP($A183,tabCustoUnit[],COLUMN(CUSTO_GLOBAL[[#Headers],[Submódulo 2.3]])-2,0)*($G183-$H183)</f>
        <v>1491.1664000000001</v>
      </c>
      <c r="AN183" s="22">
        <f>VLOOKUP($A183,tabCustoUnit[],COLUMN(CUSTO_GLOBAL[[#Headers],[MÓDULO 2 - Total Encargos e Benefícios mensais e diários]])-2,0)*($G183-$H183)</f>
        <v>3620.8735256999998</v>
      </c>
      <c r="AO183" s="22">
        <f>VLOOKUP($A183,tabCustoUnit[],COLUMN(CUSTO_GLOBAL[[#Headers],[Aviso Prévio Indenizado (API) e Reflexo do Aviso Prévio Indenizado]])-2,0)*($G183-$H183)</f>
        <v>23.118102832986111</v>
      </c>
      <c r="AP183" s="22">
        <f>VLOOKUP($A183,tabCustoUnit[],COLUMN(CUSTO_GLOBAL[[#Headers],[Incidência do FGTS sobre API e Reflexo do API]])-2,0)*($G183-$H183)</f>
        <v>1.849448226638889</v>
      </c>
      <c r="AQ183" s="22">
        <f>VLOOKUP($A183,tabCustoUnit[],COLUMN(CUSTO_GLOBAL[[#Headers],[Multa Rescisória do FGTS sobre o Aviso Prévio Indenizado]])-2,0)*($G183-$H183)</f>
        <v>0.7397792906555557</v>
      </c>
      <c r="AR183" s="22">
        <f>VLOOKUP($A183,tabCustoUnit[],COLUMN(CUSTO_GLOBAL[[#Headers],[Aviso Prévio Trabalhado - APT]])-2,0)*($G183-$H183)</f>
        <v>11.539653300000001</v>
      </c>
      <c r="AS183" s="22">
        <f>VLOOKUP($A183,tabCustoUnit[],COLUMN(CUSTO_GLOBAL[[#Headers],[Incidência dos encargos do submódulo 2.1 sobre Aviso Prévio Trabalhado]])-2,0)*($G183-$H183)</f>
        <v>4.3619889474000013</v>
      </c>
      <c r="AT183" s="22">
        <f>VLOOKUP($A183,tabCustoUnit[],COLUMN(CUSTO_GLOBAL[[#Headers],[Multa Rescisória do FGTS]])-2,0)*($G183-$H183)</f>
        <v>100.81627263999998</v>
      </c>
      <c r="AU183" s="22">
        <f>VLOOKUP($A183,tabCustoUnit[],COLUMN(CUSTO_GLOBAL[[#Headers],[Indenização Adicional (Art. 9º da Lei nº 7.238/84)]])-2,0)*($G183-$H183)</f>
        <v>2.7475365000000003</v>
      </c>
      <c r="AV183" s="22">
        <f>VLOOKUP($A183,tabCustoUnit[],COLUMN(CUSTO_GLOBAL[[#Headers],[MÓDULO 3 – PROVISÃO PARA RESCISÃO]])-2,0)*($G183-$H183)</f>
        <v>145.17278173768054</v>
      </c>
      <c r="AW183" s="22">
        <f>VLOOKUP($A183,tabCustoUnit[],COLUMN(CUSTO_GLOBAL[[#Headers],[Ausência por Doença]])-2,0)*($G183-$H183)</f>
        <v>27.841703199999998</v>
      </c>
      <c r="AX183" s="22">
        <f>VLOOKUP($A183,tabCustoUnit[],COLUMN(CUSTO_GLOBAL[[#Headers],[Ausências Legais]])-2,0)*($G183-$H183)</f>
        <v>6.6856721499999994</v>
      </c>
      <c r="AY183" s="22">
        <f>VLOOKUP($A183,tabCustoUnit[],COLUMN(CUSTO_GLOBAL[[#Headers],[Licença Paternidade]])-2,0)*($G183-$H183)</f>
        <v>0.56324498249999999</v>
      </c>
      <c r="AZ183" s="22">
        <f>VLOOKUP($A183,tabCustoUnit[],COLUMN(CUSTO_GLOBAL[[#Headers],[Ausência por Acidente de Trabalho]])-2,0)*($G183-$H183)</f>
        <v>0.68688412500000007</v>
      </c>
      <c r="BA183" s="22">
        <f>VLOOKUP($A183,tabCustoUnit[],COLUMN(CUSTO_GLOBAL[[#Headers],[Férias, Adicional de Férias e 13º  com empregada em gozo de Licença Maternidade]])-2,0)*($G183-$H183)</f>
        <v>4.2739456666666662</v>
      </c>
      <c r="BB183" s="22">
        <f>VLOOKUP($A183,tabCustoUnit[],COLUMN(CUSTO_GLOBAL[[#Headers],[Incidência do Submódulo 2.1 sobre Ausências Legais]])-2,0)*($G183-$H183)</f>
        <v>15.139448146935003</v>
      </c>
      <c r="BC183" s="22">
        <f>VLOOKUP($A183,tabCustoUnit[],COLUMN(CUSTO_GLOBAL[[#Headers],[Submódulo 4.1]])-2,0)*($G183-$H183)</f>
        <v>55.190898271101666</v>
      </c>
      <c r="BD183" s="22">
        <f>VLOOKUP($A183,tabCustoUnit[],COLUMN(CUSTO_GLOBAL[[#Headers],[Intervalo para Repouso ou Alimentação]])-2,0)*($G183-$H183)</f>
        <v>0</v>
      </c>
      <c r="BE183" s="22">
        <f>VLOOKUP($A183,tabCustoUnit[],COLUMN(CUSTO_GLOBAL[[#Headers],[Submódulo 4.2]])-2,0)*($G183-$H183)</f>
        <v>0</v>
      </c>
      <c r="BF183" s="22">
        <f>VLOOKUP($A183,tabCustoUnit[],COLUMN(CUSTO_GLOBAL[[#Headers],[Suspensão Temporária do Contrato de Trabalho]])-2,0)*($G183-$H183)</f>
        <v>0</v>
      </c>
      <c r="BG183" s="22">
        <f>VLOOKUP($A183,tabCustoUnit[],COLUMN(CUSTO_GLOBAL[[#Headers],[Submódulo 4.3]])-2,0)*($G183-$H183)</f>
        <v>0</v>
      </c>
      <c r="BH183" s="22">
        <f>VLOOKUP($A183,tabCustoUnit[],COLUMN(CUSTO_GLOBAL[[#Headers],[MÓDULO 4 – CUSTO DE REPOSIÇÃO DO PROFISSIONAL AUSENTE]])-2,0)*($G183-$H183)</f>
        <v>55.190898271101666</v>
      </c>
      <c r="BI183" s="22">
        <f>VLOOKUP($A183,tabCustoUnit[],COLUMN(CUSTO_GLOBAL[[#Headers],[Uniformes e EPIs]])-2,0)*($G183-$H183)</f>
        <v>201.61833333333331</v>
      </c>
      <c r="BJ183" s="22">
        <f>VLOOKUP($A183,tabCustoUnit[],COLUMN(CUSTO_GLOBAL[[#Headers],[Materiais de Consumo]])-2,0)*($G183-$H183)</f>
        <v>71.036425917167776</v>
      </c>
      <c r="BK183" s="22">
        <f>VLOOKUP($A183,tabCustoUnit[],COLUMN(CUSTO_GLOBAL[[#Headers],[Máquinas e Equipamentos (depreciação)]])-2,0)*($G183-$H183)</f>
        <v>129.05878782965115</v>
      </c>
      <c r="BL183" s="22">
        <f>VLOOKUP($A183,tabCustoUnit[],COLUMN(CUSTO_GLOBAL[[#Headers],[Produtos de Limpeza e Materiais de Higiene Pessoal]])-2,0)*($G183-$H183)</f>
        <v>1380.5430655586331</v>
      </c>
      <c r="BM183" s="22">
        <f>VLOOKUP($A183,tabCustoUnit[],COLUMN(CUSTO_GLOBAL[[#Headers],[Outros (especificar)]])-2,0)*($G183-$H183)</f>
        <v>0</v>
      </c>
      <c r="BN183" s="22">
        <f>VLOOKUP($A183,tabCustoUnit[],COLUMN(CUSTO_GLOBAL[[#Headers],[MÓDULO 5 – INSUMOS DIVERSOS]])-2,0)*($G183-$H183)</f>
        <v>1782.2566126387853</v>
      </c>
      <c r="BO183" s="22">
        <f>VLOOKUP($A183,tabCustoUnit[],COLUMN(CUSTO_GLOBAL[[#Headers],[TOTAL MÓDULOS 1+2+3+4+5]])-2,0)*($G183-$H183)</f>
        <v>8900.5376183475673</v>
      </c>
      <c r="BP183" s="22">
        <f>VLOOKUP($A183,tabCustoUnit[],COLUMN(CUSTO_GLOBAL[[#Headers],[Custos Indiretos]])-2,0)*($G183-$H183)</f>
        <v>379.29760280485226</v>
      </c>
      <c r="BQ183" s="22">
        <f>VLOOKUP($A183,tabCustoUnit[],COLUMN(CUSTO_GLOBAL[[#Headers],[Lucro]])-2,0)*($G183-$H183)</f>
        <v>318.60998635607592</v>
      </c>
      <c r="BR183" s="26">
        <f>VLOOKUP($A183,tabCustoUnit[],COLUMN(CUSTO_GLOBAL[[#Headers],[COFINS]])-2,0)</f>
        <v>8.6609686609686695E-2</v>
      </c>
      <c r="BS183" s="26">
        <f>VLOOKUP($A183,tabCustoUnit[],COLUMN(CUSTO_GLOBAL[[#Headers],[PIS]])-2,0)</f>
        <v>1.880341880341882E-2</v>
      </c>
      <c r="BT183" s="28">
        <f>VLOOKUP($A183,tabCustoUnit[],COLUMN(CUSTO_GLOBAL[[#Headers],[ISS]])-2,0)</f>
        <v>0.03</v>
      </c>
      <c r="BU183" s="26">
        <f>VLOOKUP($A183,tabCustoUnit[],COLUMN(CUSTO_GLOBAL[[#Headers],[ISS (Conversão Alíquota s/ fatura)]])-2,0)</f>
        <v>3.4188034188034219E-2</v>
      </c>
      <c r="BV183" s="26">
        <f>VLOOKUP($A183,tabCustoUnit[],COLUMN(CUSTO_GLOBAL[[#Headers],[Resumo de Alíquotas (PIS+CONFINS+ISS)]])-2,0)</f>
        <v>0.1225</v>
      </c>
      <c r="BW183" s="138">
        <f>VLOOKUP($A183,tabCustoUnit[],COLUMN(CUSTO_GLOBAL[[#Headers],[PIS + COFINS + ISS (Total Conversão  Alíquota s/ Fatura)]])-2,0)</f>
        <v>0.13960113960113973</v>
      </c>
      <c r="BX183" s="22">
        <f>VLOOKUP($A183,tabCustoUnit[],COLUMN(CUSTO_GLOBAL[[#Headers],[Valor dos Tributos (ISS, PIS, CONFINS)]])-2,0)*($G183-$H183)</f>
        <v>1339.9538893672841</v>
      </c>
      <c r="BY183" s="22">
        <f>VLOOKUP($A183,tabCustoUnit[],COLUMN(CUSTO_GLOBAL[[#Headers],[MÓDULO 6 – CUSTOS INDIRETOS, TRIBUTOS E LUCRO]])-2,0)*($G183-$H183)</f>
        <v>2037.8614785282123</v>
      </c>
      <c r="BZ183" s="22">
        <f>VLOOKUP($A183,tabCustoUnit[],COLUMN(CUSTO_GLOBAL[[#Headers],[CUSTO TOTAL MENSAL]])-2,0)*($G183-$H183)</f>
        <v>10938.399096875779</v>
      </c>
      <c r="CA183" s="22">
        <f>CUSTO_GLOBAL[[#This Row],[CUSTO TOTAL MENSAL]]*12</f>
        <v>131260.78916250935</v>
      </c>
      <c r="CB183" s="24">
        <f>VLOOKUP($A183,tabCustoUnit[],COLUMN(CUSTO_GLOBAL[[#Headers],[ANO DA CCT]])-2,0)</f>
        <v>45658</v>
      </c>
      <c r="CC183" s="25" t="str">
        <f>VLOOKUP($A183,tabCustoUnit[],COLUMN(CUSTO_GLOBAL[[#Headers],[Nº DE PEDIDO DA CCT]])-2,0)</f>
        <v>-</v>
      </c>
      <c r="CD183" s="25" t="str">
        <f>VLOOKUP($A183,tabCustoUnit[],COLUMN(CUSTO_GLOBAL[[#Headers],[TERMO ADITIVO  ALTERAÇÃO DA CCT]])-2,0)</f>
        <v>-</v>
      </c>
      <c r="CF183" s="22"/>
      <c r="CG183" s="22"/>
    </row>
    <row r="184" spans="1:85" x14ac:dyDescent="0.25">
      <c r="A184" s="20" t="s">
        <v>1520</v>
      </c>
      <c r="B184" t="s">
        <v>166</v>
      </c>
      <c r="C184" t="s">
        <v>1245</v>
      </c>
      <c r="D184" t="s">
        <v>1028</v>
      </c>
      <c r="E184" s="20" t="s">
        <v>9</v>
      </c>
      <c r="F184" s="20" t="s">
        <v>10</v>
      </c>
      <c r="G184" s="20">
        <v>5</v>
      </c>
      <c r="H184" s="20">
        <v>0</v>
      </c>
      <c r="I184" s="21">
        <f>VLOOKUP($A184,tabCustoUnit[],COLUMN(CUSTO_GLOBAL[[#Headers],[Salário Base]])-2,0)*($G184-$H184)</f>
        <v>7981.4</v>
      </c>
      <c r="J184" s="21">
        <f>VLOOKUP($A184,tabCustoUnit[],COLUMN(CUSTO_GLOBAL[[#Headers],[Adicional Periculosidade]])-2,0)*($G184-$H184)</f>
        <v>0</v>
      </c>
      <c r="K184" s="21">
        <f>VLOOKUP($A184,tabCustoUnit[],COLUMN(CUSTO_GLOBAL[[#Headers],[Adicional Insalubridade]])-2,0)*($G184-$H184)</f>
        <v>0</v>
      </c>
      <c r="L184" s="21">
        <f>VLOOKUP($A184,tabCustoUnit[],COLUMN(CUSTO_GLOBAL[[#Headers],[Adicional Noturno]])-2,0)*($G184-$H184)</f>
        <v>0</v>
      </c>
      <c r="M184" s="21">
        <f>VLOOKUP($A184,tabCustoUnit[],COLUMN(CUSTO_GLOBAL[[#Headers],[Adicional Motorista II (Gratificação)]])-2,0)*($G184-$H184)</f>
        <v>0</v>
      </c>
      <c r="N184" s="21">
        <f>VLOOKUP($A184,tabCustoUnit[],COLUMN(CUSTO_GLOBAL[[#Headers],[Adicional de Sobreaviso]])-2,0)*($G184-$H184)</f>
        <v>0</v>
      </c>
      <c r="O184" s="21">
        <f>VLOOKUP($A184,tabCustoUnit[],COLUMN(CUSTO_GLOBAL[[#Headers],[Horas Extras TI]])-2,0)*($G184-$H184)</f>
        <v>0</v>
      </c>
      <c r="P184" s="21">
        <f>VLOOKUP($A184,tabCustoUnit[],COLUMN(CUSTO_GLOBAL[[#Headers],[Adicional de Acúmulo de função]])-2,0)*($G184-$H184)</f>
        <v>261.20949999999999</v>
      </c>
      <c r="Q184" s="21">
        <f>VLOOKUP($A184,tabCustoUnit[],COLUMN(CUSTO_GLOBAL[[#Headers],[MODULO 1 - REMUNERAÇÃO ]])-2,0)*($G184-$H184)</f>
        <v>8242.6095000000005</v>
      </c>
      <c r="R184" s="21">
        <f>VLOOKUP($A184,tabCustoUnit[],COLUMN(CUSTO_GLOBAL[[#Headers],[INSS]])-2,0)*($G184-$H184)</f>
        <v>1648.5219000000002</v>
      </c>
      <c r="S184" s="21">
        <f>VLOOKUP($A184,tabCustoUnit[],COLUMN(CUSTO_GLOBAL[[#Headers],[SESI OU SESC]])-2,0)*($G184-$H184)</f>
        <v>123.63914249999999</v>
      </c>
      <c r="T184" s="21">
        <f>VLOOKUP($A184,tabCustoUnit[],COLUMN(CUSTO_GLOBAL[[#Headers],[SENAI OU SENAC]])-2,0)*($G184-$H184)</f>
        <v>82.426095000000004</v>
      </c>
      <c r="U184" s="21">
        <f>VLOOKUP($A184,tabCustoUnit[],COLUMN(CUSTO_GLOBAL[[#Headers],[INCRA]])-2,0)*($G184-$H184)</f>
        <v>16.485219000000001</v>
      </c>
      <c r="V184" s="21">
        <f>VLOOKUP($A184,tabCustoUnit[],COLUMN(CUSTO_GLOBAL[[#Headers],[Salário Educação]])-2,0)*($G184-$H184)</f>
        <v>206.06523750000002</v>
      </c>
      <c r="W184" s="21">
        <f>VLOOKUP($A184,tabCustoUnit[],COLUMN(CUSTO_GLOBAL[[#Headers],[FGTS]])-2,0)*($G184-$H184)</f>
        <v>659.40876000000003</v>
      </c>
      <c r="X184" s="21">
        <f>VLOOKUP($A184,tabCustoUnit[],COLUMN(CUSTO_GLOBAL[[#Headers],[RAT Ajustado]])-2,0)*($G184-$H184)</f>
        <v>329.70438000000001</v>
      </c>
      <c r="Y184" s="21">
        <f>VLOOKUP($A184,tabCustoUnit[],COLUMN(CUSTO_GLOBAL[[#Headers],[SEBRAE]])-2,0)*($G184-$H184)</f>
        <v>49.455657000000002</v>
      </c>
      <c r="Z184" s="21">
        <f>VLOOKUP($A184,tabCustoUnit[],COLUMN(CUSTO_GLOBAL[[#Headers],[Submódulo 2.1]])-2,0)*($G184-$H184)</f>
        <v>3115.7063909999997</v>
      </c>
      <c r="AA184" s="21">
        <f>VLOOKUP($A184,tabCustoUnit[],COLUMN(CUSTO_GLOBAL[[#Headers],[13º salário (titular)]])-2,0)*($G184-$H184)</f>
        <v>686.88412500000004</v>
      </c>
      <c r="AB184" s="21">
        <f>VLOOKUP($A184,tabCustoUnit[],COLUMN(CUSTO_GLOBAL[[#Headers],[Férias e Adicional de Férias (titular)]])-2,0)*($G184-$H184)</f>
        <v>915.8454999999999</v>
      </c>
      <c r="AC184" s="21">
        <f>VLOOKUP($A184,tabCustoUnit[],COLUMN(CUSTO_GLOBAL[[#Headers],[Incidência do Submódulo 2.1 sobre 13º Salário, Férias e Adicional de Férias]])-2,0)*($G184-$H184)</f>
        <v>605.83179825000002</v>
      </c>
      <c r="AD184" s="21">
        <f>VLOOKUP($A184,tabCustoUnit[],COLUMN(CUSTO_GLOBAL[[#Headers],[Submódulo 2.2]])-2,0)*($G184-$H184)</f>
        <v>2208.5614232500002</v>
      </c>
      <c r="AE184" s="22">
        <f>VLOOKUP($A184,tabCustoUnit[],COLUMN(CUSTO_GLOBAL[[#Headers],[Vale - Transporte (Descontada parcela do empregado)]])-2,0)*($G184-$H184)</f>
        <v>801.1160000000001</v>
      </c>
      <c r="AF184" s="22">
        <f>VLOOKUP($A184,tabCustoUnit[],COLUMN(CUSTO_GLOBAL[[#Headers],[Vale - Alimentação (Descontada parcela do empregado)]])-2,0)*($G184-$H184)</f>
        <v>2910</v>
      </c>
      <c r="AG184" s="22">
        <f>VLOOKUP($A184,tabCustoUnit[],COLUMN(CUSTO_GLOBAL[[#Headers],[Cesta Básica]])-2,0)*($G184-$H184)</f>
        <v>0</v>
      </c>
      <c r="AH184" s="22">
        <f>VLOOKUP($A184,tabCustoUnit[],COLUMN(CUSTO_GLOBAL[[#Headers],[PAF]])-2,0)*($G184-$H184)</f>
        <v>259.3</v>
      </c>
      <c r="AI184" s="22">
        <f>VLOOKUP($A184,tabCustoUnit[],COLUMN(CUSTO_GLOBAL[[#Headers],[PQM]])-2,0)*($G184-$H184)</f>
        <v>0</v>
      </c>
      <c r="AJ184" s="22">
        <v>0</v>
      </c>
      <c r="AK184" s="22">
        <f>VLOOKUP($A184,tabCustoUnit[],COLUMN(CUSTO_GLOBAL[[#Headers],[Seguro de Vida]])-2,0)*($G184-$H184)</f>
        <v>16.8</v>
      </c>
      <c r="AL184" s="22">
        <f>VLOOKUP($A184,tabCustoUnit[],COLUMN(CUSTO_GLOBAL[[#Headers],[Despesas de Viagem]])-2,0)*($G184-$H184)</f>
        <v>0</v>
      </c>
      <c r="AM184" s="22">
        <f>VLOOKUP($A184,tabCustoUnit[],COLUMN(CUSTO_GLOBAL[[#Headers],[Submódulo 2.3]])-2,0)*($G184-$H184)</f>
        <v>3987.2160000000003</v>
      </c>
      <c r="AN184" s="22">
        <f>VLOOKUP($A184,tabCustoUnit[],COLUMN(CUSTO_GLOBAL[[#Headers],[MÓDULO 2 - Total Encargos e Benefícios mensais e diários]])-2,0)*($G184-$H184)</f>
        <v>9311.4838142500012</v>
      </c>
      <c r="AO184" s="22">
        <f>VLOOKUP($A184,tabCustoUnit[],COLUMN(CUSTO_GLOBAL[[#Headers],[Aviso Prévio Indenizado (API) e Reflexo do Aviso Prévio Indenizado]])-2,0)*($G184-$H184)</f>
        <v>57.795257082465277</v>
      </c>
      <c r="AP184" s="22">
        <f>VLOOKUP($A184,tabCustoUnit[],COLUMN(CUSTO_GLOBAL[[#Headers],[Incidência do FGTS sobre API e Reflexo do API]])-2,0)*($G184-$H184)</f>
        <v>4.6236205665972223</v>
      </c>
      <c r="AQ184" s="22">
        <f>VLOOKUP($A184,tabCustoUnit[],COLUMN(CUSTO_GLOBAL[[#Headers],[Multa Rescisória do FGTS sobre o Aviso Prévio Indenizado]])-2,0)*($G184-$H184)</f>
        <v>1.8494482266388892</v>
      </c>
      <c r="AR184" s="22">
        <f>VLOOKUP($A184,tabCustoUnit[],COLUMN(CUSTO_GLOBAL[[#Headers],[Aviso Prévio Trabalhado - APT]])-2,0)*($G184-$H184)</f>
        <v>28.849133250000001</v>
      </c>
      <c r="AS184" s="22">
        <f>VLOOKUP($A184,tabCustoUnit[],COLUMN(CUSTO_GLOBAL[[#Headers],[Incidência dos encargos do submódulo 2.1 sobre Aviso Prévio Trabalhado]])-2,0)*($G184-$H184)</f>
        <v>10.904972368500003</v>
      </c>
      <c r="AT184" s="22">
        <f>VLOOKUP($A184,tabCustoUnit[],COLUMN(CUSTO_GLOBAL[[#Headers],[Multa Rescisória do FGTS]])-2,0)*($G184-$H184)</f>
        <v>252.04068159999994</v>
      </c>
      <c r="AU184" s="22">
        <f>VLOOKUP($A184,tabCustoUnit[],COLUMN(CUSTO_GLOBAL[[#Headers],[Indenização Adicional (Art. 9º da Lei nº 7.238/84)]])-2,0)*($G184-$H184)</f>
        <v>6.8688412500000009</v>
      </c>
      <c r="AV184" s="22">
        <f>VLOOKUP($A184,tabCustoUnit[],COLUMN(CUSTO_GLOBAL[[#Headers],[MÓDULO 3 – PROVISÃO PARA RESCISÃO]])-2,0)*($G184-$H184)</f>
        <v>362.93195434420136</v>
      </c>
      <c r="AW184" s="22">
        <f>VLOOKUP($A184,tabCustoUnit[],COLUMN(CUSTO_GLOBAL[[#Headers],[Ausência por Doença]])-2,0)*($G184-$H184)</f>
        <v>69.604257999999987</v>
      </c>
      <c r="AX184" s="22">
        <f>VLOOKUP($A184,tabCustoUnit[],COLUMN(CUSTO_GLOBAL[[#Headers],[Ausências Legais]])-2,0)*($G184-$H184)</f>
        <v>16.714180374999998</v>
      </c>
      <c r="AY184" s="22">
        <f>VLOOKUP($A184,tabCustoUnit[],COLUMN(CUSTO_GLOBAL[[#Headers],[Licença Paternidade]])-2,0)*($G184-$H184)</f>
        <v>1.40811245625</v>
      </c>
      <c r="AZ184" s="22">
        <f>VLOOKUP($A184,tabCustoUnit[],COLUMN(CUSTO_GLOBAL[[#Headers],[Ausência por Acidente de Trabalho]])-2,0)*($G184-$H184)</f>
        <v>1.7172103125000002</v>
      </c>
      <c r="BA184" s="22">
        <f>VLOOKUP($A184,tabCustoUnit[],COLUMN(CUSTO_GLOBAL[[#Headers],[Férias, Adicional de Férias e 13º  com empregada em gozo de Licença Maternidade]])-2,0)*($G184-$H184)</f>
        <v>10.684864166666665</v>
      </c>
      <c r="BB184" s="22">
        <f>VLOOKUP($A184,tabCustoUnit[],COLUMN(CUSTO_GLOBAL[[#Headers],[Incidência do Submódulo 2.1 sobre Ausências Legais]])-2,0)*($G184-$H184)</f>
        <v>37.848620367337503</v>
      </c>
      <c r="BC184" s="22">
        <f>VLOOKUP($A184,tabCustoUnit[],COLUMN(CUSTO_GLOBAL[[#Headers],[Submódulo 4.1]])-2,0)*($G184-$H184)</f>
        <v>137.97724567775415</v>
      </c>
      <c r="BD184" s="22">
        <f>VLOOKUP($A184,tabCustoUnit[],COLUMN(CUSTO_GLOBAL[[#Headers],[Intervalo para Repouso ou Alimentação]])-2,0)*($G184-$H184)</f>
        <v>0</v>
      </c>
      <c r="BE184" s="22">
        <f>VLOOKUP($A184,tabCustoUnit[],COLUMN(CUSTO_GLOBAL[[#Headers],[Submódulo 4.2]])-2,0)*($G184-$H184)</f>
        <v>0</v>
      </c>
      <c r="BF184" s="22">
        <f>VLOOKUP($A184,tabCustoUnit[],COLUMN(CUSTO_GLOBAL[[#Headers],[Suspensão Temporária do Contrato de Trabalho]])-2,0)*($G184-$H184)</f>
        <v>0</v>
      </c>
      <c r="BG184" s="22">
        <f>VLOOKUP($A184,tabCustoUnit[],COLUMN(CUSTO_GLOBAL[[#Headers],[Submódulo 4.3]])-2,0)*($G184-$H184)</f>
        <v>0</v>
      </c>
      <c r="BH184" s="22">
        <f>VLOOKUP($A184,tabCustoUnit[],COLUMN(CUSTO_GLOBAL[[#Headers],[MÓDULO 4 – CUSTO DE REPOSIÇÃO DO PROFISSIONAL AUSENTE]])-2,0)*($G184-$H184)</f>
        <v>137.97724567775415</v>
      </c>
      <c r="BI184" s="22">
        <f>VLOOKUP($A184,tabCustoUnit[],COLUMN(CUSTO_GLOBAL[[#Headers],[Uniformes e EPIs]])-2,0)*($G184-$H184)</f>
        <v>504.04583333333329</v>
      </c>
      <c r="BJ184" s="22">
        <f>VLOOKUP($A184,tabCustoUnit[],COLUMN(CUSTO_GLOBAL[[#Headers],[Materiais de Consumo]])-2,0)*($G184-$H184)</f>
        <v>177.59106479291944</v>
      </c>
      <c r="BK184" s="22">
        <f>VLOOKUP($A184,tabCustoUnit[],COLUMN(CUSTO_GLOBAL[[#Headers],[Máquinas e Equipamentos (depreciação)]])-2,0)*($G184-$H184)</f>
        <v>322.64696957412787</v>
      </c>
      <c r="BL184" s="22">
        <f>VLOOKUP($A184,tabCustoUnit[],COLUMN(CUSTO_GLOBAL[[#Headers],[Produtos de Limpeza e Materiais de Higiene Pessoal]])-2,0)*($G184-$H184)</f>
        <v>3451.3576638965828</v>
      </c>
      <c r="BM184" s="22">
        <f>VLOOKUP($A184,tabCustoUnit[],COLUMN(CUSTO_GLOBAL[[#Headers],[Outros (especificar)]])-2,0)*($G184-$H184)</f>
        <v>0</v>
      </c>
      <c r="BN184" s="22">
        <f>VLOOKUP($A184,tabCustoUnit[],COLUMN(CUSTO_GLOBAL[[#Headers],[MÓDULO 5 – INSUMOS DIVERSOS]])-2,0)*($G184-$H184)</f>
        <v>4455.6415315969634</v>
      </c>
      <c r="BO184" s="22">
        <f>VLOOKUP($A184,tabCustoUnit[],COLUMN(CUSTO_GLOBAL[[#Headers],[TOTAL MÓDULOS 1+2+3+4+5]])-2,0)*($G184-$H184)</f>
        <v>22510.644045868918</v>
      </c>
      <c r="BP184" s="22">
        <f>VLOOKUP($A184,tabCustoUnit[],COLUMN(CUSTO_GLOBAL[[#Headers],[Custos Indiretos]])-2,0)*($G184-$H184)</f>
        <v>948.24400701213062</v>
      </c>
      <c r="BQ184" s="22">
        <f>VLOOKUP($A184,tabCustoUnit[],COLUMN(CUSTO_GLOBAL[[#Headers],[Lucro]])-2,0)*($G184-$H184)</f>
        <v>796.52496589018983</v>
      </c>
      <c r="BR184" s="26">
        <f>VLOOKUP($A184,tabCustoUnit[],COLUMN(CUSTO_GLOBAL[[#Headers],[COFINS]])-2,0)</f>
        <v>8.5633802816901458E-2</v>
      </c>
      <c r="BS184" s="26">
        <f>VLOOKUP($A184,tabCustoUnit[],COLUMN(CUSTO_GLOBAL[[#Headers],[PIS]])-2,0)</f>
        <v>1.8591549295774657E-2</v>
      </c>
      <c r="BT184" s="28">
        <f>VLOOKUP($A184,tabCustoUnit[],COLUMN(CUSTO_GLOBAL[[#Headers],[ISS]])-2,0)</f>
        <v>0.02</v>
      </c>
      <c r="BU184" s="26">
        <f>VLOOKUP($A184,tabCustoUnit[],COLUMN(CUSTO_GLOBAL[[#Headers],[ISS (Conversão Alíquota s/ fatura)]])-2,0)</f>
        <v>2.2535211267605645E-2</v>
      </c>
      <c r="BV184" s="26">
        <f>VLOOKUP($A184,tabCustoUnit[],COLUMN(CUSTO_GLOBAL[[#Headers],[Resumo de Alíquotas (PIS+CONFINS+ISS)]])-2,0)</f>
        <v>0.1125</v>
      </c>
      <c r="BW184" s="138">
        <f>VLOOKUP($A184,tabCustoUnit[],COLUMN(CUSTO_GLOBAL[[#Headers],[PIS + COFINS + ISS (Total Conversão  Alíquota s/ Fatura)]])-2,0)</f>
        <v>0.12676056338028174</v>
      </c>
      <c r="BX184" s="22">
        <f>VLOOKUP($A184,tabCustoUnit[],COLUMN(CUSTO_GLOBAL[[#Headers],[Valor dos Tributos (ISS, PIS, CONFINS)]])-2,0)*($G184-$H184)</f>
        <v>3074.6298192808622</v>
      </c>
      <c r="BY184" s="22">
        <f>VLOOKUP($A184,tabCustoUnit[],COLUMN(CUSTO_GLOBAL[[#Headers],[MÓDULO 6 – CUSTOS INDIRETOS, TRIBUTOS E LUCRO]])-2,0)*($G184-$H184)</f>
        <v>4819.3987921831822</v>
      </c>
      <c r="BZ184" s="22">
        <f>VLOOKUP($A184,tabCustoUnit[],COLUMN(CUSTO_GLOBAL[[#Headers],[CUSTO TOTAL MENSAL]])-2,0)*($G184-$H184)</f>
        <v>27330.042838052101</v>
      </c>
      <c r="CA184" s="22">
        <f>CUSTO_GLOBAL[[#This Row],[CUSTO TOTAL MENSAL]]*12</f>
        <v>327960.51405662519</v>
      </c>
      <c r="CB184" s="24">
        <f>VLOOKUP($A184,tabCustoUnit[],COLUMN(CUSTO_GLOBAL[[#Headers],[ANO DA CCT]])-2,0)</f>
        <v>45658</v>
      </c>
      <c r="CC184" s="25" t="str">
        <f>VLOOKUP($A184,tabCustoUnit[],COLUMN(CUSTO_GLOBAL[[#Headers],[Nº DE PEDIDO DA CCT]])-2,0)</f>
        <v>-</v>
      </c>
      <c r="CD184" s="25" t="str">
        <f>VLOOKUP($A184,tabCustoUnit[],COLUMN(CUSTO_GLOBAL[[#Headers],[TERMO ADITIVO  ALTERAÇÃO DA CCT]])-2,0)</f>
        <v>-</v>
      </c>
      <c r="CF184" s="22"/>
      <c r="CG184" s="22"/>
    </row>
    <row r="185" spans="1:85" x14ac:dyDescent="0.25">
      <c r="A185" s="20" t="s">
        <v>1521</v>
      </c>
      <c r="B185" t="s">
        <v>167</v>
      </c>
      <c r="C185" t="s">
        <v>1246</v>
      </c>
      <c r="D185" t="s">
        <v>1000</v>
      </c>
      <c r="E185" s="20" t="s">
        <v>9</v>
      </c>
      <c r="F185" s="20" t="s">
        <v>10</v>
      </c>
      <c r="G185" s="20">
        <v>1</v>
      </c>
      <c r="H185" s="20">
        <v>0</v>
      </c>
      <c r="I185" s="21">
        <f>VLOOKUP($A185,tabCustoUnit[],COLUMN(CUSTO_GLOBAL[[#Headers],[Salário Base]])-2,0)*($G185-$H185)</f>
        <v>1088.3699999999999</v>
      </c>
      <c r="J185" s="21">
        <f>VLOOKUP($A185,tabCustoUnit[],COLUMN(CUSTO_GLOBAL[[#Headers],[Adicional Periculosidade]])-2,0)*($G185-$H185)</f>
        <v>0</v>
      </c>
      <c r="K185" s="21">
        <f>VLOOKUP($A185,tabCustoUnit[],COLUMN(CUSTO_GLOBAL[[#Headers],[Adicional Insalubridade]])-2,0)*($G185-$H185)</f>
        <v>0</v>
      </c>
      <c r="L185" s="21">
        <f>VLOOKUP($A185,tabCustoUnit[],COLUMN(CUSTO_GLOBAL[[#Headers],[Adicional Noturno]])-2,0)*($G185-$H185)</f>
        <v>0</v>
      </c>
      <c r="M185" s="21">
        <f>VLOOKUP($A185,tabCustoUnit[],COLUMN(CUSTO_GLOBAL[[#Headers],[Adicional Motorista II (Gratificação)]])-2,0)*($G185-$H185)</f>
        <v>0</v>
      </c>
      <c r="N185" s="21">
        <f>VLOOKUP($A185,tabCustoUnit[],COLUMN(CUSTO_GLOBAL[[#Headers],[Adicional de Sobreaviso]])-2,0)*($G185-$H185)</f>
        <v>0</v>
      </c>
      <c r="O185" s="21">
        <f>VLOOKUP($A185,tabCustoUnit[],COLUMN(CUSTO_GLOBAL[[#Headers],[Horas Extras TI]])-2,0)*($G185-$H185)</f>
        <v>0</v>
      </c>
      <c r="P185" s="21">
        <f>VLOOKUP($A185,tabCustoUnit[],COLUMN(CUSTO_GLOBAL[[#Headers],[Adicional de Acúmulo de função]])-2,0)*($G185-$H185)</f>
        <v>39.1813</v>
      </c>
      <c r="Q185" s="21">
        <f>VLOOKUP($A185,tabCustoUnit[],COLUMN(CUSTO_GLOBAL[[#Headers],[MODULO 1 - REMUNERAÇÃO ]])-2,0)*($G185-$H185)</f>
        <v>1127.5512999999999</v>
      </c>
      <c r="R185" s="21">
        <f>VLOOKUP($A185,tabCustoUnit[],COLUMN(CUSTO_GLOBAL[[#Headers],[INSS]])-2,0)*($G185-$H185)</f>
        <v>225.51025999999999</v>
      </c>
      <c r="S185" s="21">
        <f>VLOOKUP($A185,tabCustoUnit[],COLUMN(CUSTO_GLOBAL[[#Headers],[SESI OU SESC]])-2,0)*($G185-$H185)</f>
        <v>16.913269499999998</v>
      </c>
      <c r="T185" s="21">
        <f>VLOOKUP($A185,tabCustoUnit[],COLUMN(CUSTO_GLOBAL[[#Headers],[SENAI OU SENAC]])-2,0)*($G185-$H185)</f>
        <v>11.275512999999998</v>
      </c>
      <c r="U185" s="21">
        <f>VLOOKUP($A185,tabCustoUnit[],COLUMN(CUSTO_GLOBAL[[#Headers],[INCRA]])-2,0)*($G185-$H185)</f>
        <v>2.2551025999999998</v>
      </c>
      <c r="V185" s="21">
        <f>VLOOKUP($A185,tabCustoUnit[],COLUMN(CUSTO_GLOBAL[[#Headers],[Salário Educação]])-2,0)*($G185-$H185)</f>
        <v>28.188782499999999</v>
      </c>
      <c r="W185" s="21">
        <f>VLOOKUP($A185,tabCustoUnit[],COLUMN(CUSTO_GLOBAL[[#Headers],[FGTS]])-2,0)*($G185-$H185)</f>
        <v>90.204103999999987</v>
      </c>
      <c r="X185" s="21">
        <f>VLOOKUP($A185,tabCustoUnit[],COLUMN(CUSTO_GLOBAL[[#Headers],[RAT Ajustado]])-2,0)*($G185-$H185)</f>
        <v>45.102051999999993</v>
      </c>
      <c r="Y185" s="21">
        <f>VLOOKUP($A185,tabCustoUnit[],COLUMN(CUSTO_GLOBAL[[#Headers],[SEBRAE]])-2,0)*($G185-$H185)</f>
        <v>6.7653077999999995</v>
      </c>
      <c r="Z185" s="21">
        <f>VLOOKUP($A185,tabCustoUnit[],COLUMN(CUSTO_GLOBAL[[#Headers],[Submódulo 2.1]])-2,0)*($G185-$H185)</f>
        <v>426.21439139999995</v>
      </c>
      <c r="AA185" s="21">
        <f>VLOOKUP($A185,tabCustoUnit[],COLUMN(CUSTO_GLOBAL[[#Headers],[13º salário (titular)]])-2,0)*($G185-$H185)</f>
        <v>93.962608333333321</v>
      </c>
      <c r="AB185" s="21">
        <f>VLOOKUP($A185,tabCustoUnit[],COLUMN(CUSTO_GLOBAL[[#Headers],[Férias e Adicional de Férias (titular)]])-2,0)*($G185-$H185)</f>
        <v>125.28347777777776</v>
      </c>
      <c r="AC185" s="21">
        <f>VLOOKUP($A185,tabCustoUnit[],COLUMN(CUSTO_GLOBAL[[#Headers],[Incidência do Submódulo 2.1 sobre 13º Salário, Férias e Adicional de Férias]])-2,0)*($G185-$H185)</f>
        <v>82.875020549999988</v>
      </c>
      <c r="AD185" s="21">
        <f>VLOOKUP($A185,tabCustoUnit[],COLUMN(CUSTO_GLOBAL[[#Headers],[Submódulo 2.2]])-2,0)*($G185-$H185)</f>
        <v>302.12110666111107</v>
      </c>
      <c r="AE185" s="22">
        <f>VLOOKUP($A185,tabCustoUnit[],COLUMN(CUSTO_GLOBAL[[#Headers],[Vale - Transporte (Descontada parcela do empregado)]])-2,0)*($G185-$H185)</f>
        <v>190.69780000000003</v>
      </c>
      <c r="AF185" s="22">
        <f>VLOOKUP($A185,tabCustoUnit[],COLUMN(CUSTO_GLOBAL[[#Headers],[Vale - Alimentação (Descontada parcela do empregado)]])-2,0)*($G185-$H185)</f>
        <v>582</v>
      </c>
      <c r="AG185" s="22">
        <f>VLOOKUP($A185,tabCustoUnit[],COLUMN(CUSTO_GLOBAL[[#Headers],[Cesta Básica]])-2,0)*($G185-$H185)</f>
        <v>0</v>
      </c>
      <c r="AH185" s="22">
        <f>VLOOKUP($A185,tabCustoUnit[],COLUMN(CUSTO_GLOBAL[[#Headers],[PAF]])-2,0)*($G185-$H185)</f>
        <v>0</v>
      </c>
      <c r="AI185" s="22">
        <f>VLOOKUP($A185,tabCustoUnit[],COLUMN(CUSTO_GLOBAL[[#Headers],[PQM]])-2,0)*($G185-$H185)</f>
        <v>15.07</v>
      </c>
      <c r="AJ185" s="22">
        <v>0</v>
      </c>
      <c r="AK185" s="22">
        <f>VLOOKUP($A185,tabCustoUnit[],COLUMN(CUSTO_GLOBAL[[#Headers],[Seguro de Vida]])-2,0)*($G185-$H185)</f>
        <v>3.36</v>
      </c>
      <c r="AL185" s="22">
        <f>VLOOKUP($A185,tabCustoUnit[],COLUMN(CUSTO_GLOBAL[[#Headers],[Despesas de Viagem]])-2,0)*($G185-$H185)</f>
        <v>0</v>
      </c>
      <c r="AM185" s="22">
        <f>VLOOKUP($A185,tabCustoUnit[],COLUMN(CUSTO_GLOBAL[[#Headers],[Submódulo 2.3]])-2,0)*($G185-$H185)</f>
        <v>791.12780000000009</v>
      </c>
      <c r="AN185" s="22">
        <f>VLOOKUP($A185,tabCustoUnit[],COLUMN(CUSTO_GLOBAL[[#Headers],[MÓDULO 2 - Total Encargos e Benefícios mensais e diários]])-2,0)*($G185-$H185)</f>
        <v>1519.4632980611111</v>
      </c>
      <c r="AO185" s="22">
        <f>VLOOKUP($A185,tabCustoUnit[],COLUMN(CUSTO_GLOBAL[[#Headers],[Aviso Prévio Indenizado (API) e Reflexo do Aviso Prévio Indenizado]])-2,0)*($G185-$H185)</f>
        <v>7.9061269683063262</v>
      </c>
      <c r="AP185" s="22">
        <f>VLOOKUP($A185,tabCustoUnit[],COLUMN(CUSTO_GLOBAL[[#Headers],[Incidência do FGTS sobre API e Reflexo do API]])-2,0)*($G185-$H185)</f>
        <v>0.6324901574645061</v>
      </c>
      <c r="AQ185" s="22">
        <f>VLOOKUP($A185,tabCustoUnit[],COLUMN(CUSTO_GLOBAL[[#Headers],[Multa Rescisória do FGTS sobre o Aviso Prévio Indenizado]])-2,0)*($G185-$H185)</f>
        <v>0.25299606298580246</v>
      </c>
      <c r="AR185" s="22">
        <f>VLOOKUP($A185,tabCustoUnit[],COLUMN(CUSTO_GLOBAL[[#Headers],[Aviso Prévio Trabalhado - APT]])-2,0)*($G185-$H185)</f>
        <v>3.94642955</v>
      </c>
      <c r="AS185" s="22">
        <f>VLOOKUP($A185,tabCustoUnit[],COLUMN(CUSTO_GLOBAL[[#Headers],[Incidência dos encargos do submódulo 2.1 sobre Aviso Prévio Trabalhado]])-2,0)*($G185-$H185)</f>
        <v>1.4917503699000003</v>
      </c>
      <c r="AT185" s="22">
        <f>VLOOKUP($A185,tabCustoUnit[],COLUMN(CUSTO_GLOBAL[[#Headers],[Multa Rescisória do FGTS]])-2,0)*($G185-$H185)</f>
        <v>34.478013084444434</v>
      </c>
      <c r="AU185" s="22">
        <f>VLOOKUP($A185,tabCustoUnit[],COLUMN(CUSTO_GLOBAL[[#Headers],[Indenização Adicional (Art. 9º da Lei nº 7.238/84)]])-2,0)*($G185-$H185)</f>
        <v>0.93962608333333331</v>
      </c>
      <c r="AV185" s="22">
        <f>VLOOKUP($A185,tabCustoUnit[],COLUMN(CUSTO_GLOBAL[[#Headers],[MÓDULO 3 – PROVISÃO PARA RESCISÃO]])-2,0)*($G185-$H185)</f>
        <v>49.647432276434401</v>
      </c>
      <c r="AW185" s="22">
        <f>VLOOKUP($A185,tabCustoUnit[],COLUMN(CUSTO_GLOBAL[[#Headers],[Ausência por Doença]])-2,0)*($G185-$H185)</f>
        <v>9.5215443111111089</v>
      </c>
      <c r="AX185" s="22">
        <f>VLOOKUP($A185,tabCustoUnit[],COLUMN(CUSTO_GLOBAL[[#Headers],[Ausências Legais]])-2,0)*($G185-$H185)</f>
        <v>2.2864234694444439</v>
      </c>
      <c r="AY185" s="22">
        <f>VLOOKUP($A185,tabCustoUnit[],COLUMN(CUSTO_GLOBAL[[#Headers],[Licença Paternidade]])-2,0)*($G185-$H185)</f>
        <v>0.19262334708333331</v>
      </c>
      <c r="AZ185" s="22">
        <f>VLOOKUP($A185,tabCustoUnit[],COLUMN(CUSTO_GLOBAL[[#Headers],[Ausência por Acidente de Trabalho]])-2,0)*($G185-$H185)</f>
        <v>0.23490652083333333</v>
      </c>
      <c r="BA185" s="22">
        <f>VLOOKUP($A185,tabCustoUnit[],COLUMN(CUSTO_GLOBAL[[#Headers],[Férias, Adicional de Férias e 13º  com empregada em gozo de Licença Maternidade]])-2,0)*($G185-$H185)</f>
        <v>1.4616405740740739</v>
      </c>
      <c r="BB185" s="22">
        <f>VLOOKUP($A185,tabCustoUnit[],COLUMN(CUSTO_GLOBAL[[#Headers],[Incidência do Submódulo 2.1 sobre Ausências Legais]])-2,0)*($G185-$H185)</f>
        <v>5.1775182481225004</v>
      </c>
      <c r="BC185" s="22">
        <f>VLOOKUP($A185,tabCustoUnit[],COLUMN(CUSTO_GLOBAL[[#Headers],[Submódulo 4.1]])-2,0)*($G185-$H185)</f>
        <v>18.874656470668793</v>
      </c>
      <c r="BD185" s="22">
        <f>VLOOKUP($A185,tabCustoUnit[],COLUMN(CUSTO_GLOBAL[[#Headers],[Intervalo para Repouso ou Alimentação]])-2,0)*($G185-$H185)</f>
        <v>0</v>
      </c>
      <c r="BE185" s="22">
        <f>VLOOKUP($A185,tabCustoUnit[],COLUMN(CUSTO_GLOBAL[[#Headers],[Submódulo 4.2]])-2,0)*($G185-$H185)</f>
        <v>0</v>
      </c>
      <c r="BF185" s="22">
        <f>VLOOKUP($A185,tabCustoUnit[],COLUMN(CUSTO_GLOBAL[[#Headers],[Suspensão Temporária do Contrato de Trabalho]])-2,0)*($G185-$H185)</f>
        <v>0</v>
      </c>
      <c r="BG185" s="22">
        <f>VLOOKUP($A185,tabCustoUnit[],COLUMN(CUSTO_GLOBAL[[#Headers],[Submódulo 4.3]])-2,0)*($G185-$H185)</f>
        <v>0</v>
      </c>
      <c r="BH185" s="22">
        <f>VLOOKUP($A185,tabCustoUnit[],COLUMN(CUSTO_GLOBAL[[#Headers],[MÓDULO 4 – CUSTO DE REPOSIÇÃO DO PROFISSIONAL AUSENTE]])-2,0)*($G185-$H185)</f>
        <v>18.874656470668793</v>
      </c>
      <c r="BI185" s="22">
        <f>VLOOKUP($A185,tabCustoUnit[],COLUMN(CUSTO_GLOBAL[[#Headers],[Uniformes e EPIs]])-2,0)*($G185-$H185)</f>
        <v>100.80916666666666</v>
      </c>
      <c r="BJ185" s="22">
        <f>VLOOKUP($A185,tabCustoUnit[],COLUMN(CUSTO_GLOBAL[[#Headers],[Materiais de Consumo]])-2,0)*($G185-$H185)</f>
        <v>24.216963380852651</v>
      </c>
      <c r="BK185" s="22">
        <f>VLOOKUP($A185,tabCustoUnit[],COLUMN(CUSTO_GLOBAL[[#Headers],[Máquinas e Equipamentos (depreciação)]])-2,0)*($G185-$H185)</f>
        <v>43.997314032835618</v>
      </c>
      <c r="BL185" s="22">
        <f>VLOOKUP($A185,tabCustoUnit[],COLUMN(CUSTO_GLOBAL[[#Headers],[Produtos de Limpeza e Materiais de Higiene Pessoal]])-2,0)*($G185-$H185)</f>
        <v>470.6396814404431</v>
      </c>
      <c r="BM185" s="22">
        <f>VLOOKUP($A185,tabCustoUnit[],COLUMN(CUSTO_GLOBAL[[#Headers],[Outros (especificar)]])-2,0)*($G185-$H185)</f>
        <v>0</v>
      </c>
      <c r="BN185" s="22">
        <f>VLOOKUP($A185,tabCustoUnit[],COLUMN(CUSTO_GLOBAL[[#Headers],[MÓDULO 5 – INSUMOS DIVERSOS]])-2,0)*($G185-$H185)</f>
        <v>639.66312552079808</v>
      </c>
      <c r="BO185" s="22">
        <f>VLOOKUP($A185,tabCustoUnit[],COLUMN(CUSTO_GLOBAL[[#Headers],[TOTAL MÓDULOS 1+2+3+4+5]])-2,0)*($G185-$H185)</f>
        <v>3355.1998123290123</v>
      </c>
      <c r="BP185" s="22">
        <f>VLOOKUP($A185,tabCustoUnit[],COLUMN(CUSTO_GLOBAL[[#Headers],[Custos Indiretos]])-2,0)*($G185-$H185)</f>
        <v>189.64880140242613</v>
      </c>
      <c r="BQ185" s="22">
        <f>VLOOKUP($A185,tabCustoUnit[],COLUMN(CUSTO_GLOBAL[[#Headers],[Lucro]])-2,0)*($G185-$H185)</f>
        <v>159.30499317803796</v>
      </c>
      <c r="BR185" s="26">
        <f>VLOOKUP($A185,tabCustoUnit[],COLUMN(CUSTO_GLOBAL[[#Headers],[COFINS]])-2,0)</f>
        <v>8.8629737609329504E-2</v>
      </c>
      <c r="BS185" s="26">
        <f>VLOOKUP($A185,tabCustoUnit[],COLUMN(CUSTO_GLOBAL[[#Headers],[PIS]])-2,0)</f>
        <v>1.9241982507288629E-2</v>
      </c>
      <c r="BT185" s="28">
        <f>VLOOKUP($A185,tabCustoUnit[],COLUMN(CUSTO_GLOBAL[[#Headers],[ISS]])-2,0)</f>
        <v>0.05</v>
      </c>
      <c r="BU185" s="26">
        <f>VLOOKUP($A185,tabCustoUnit[],COLUMN(CUSTO_GLOBAL[[#Headers],[ISS (Conversão Alíquota s/ fatura)]])-2,0)</f>
        <v>5.8309037900874633E-2</v>
      </c>
      <c r="BV185" s="26">
        <f>VLOOKUP($A185,tabCustoUnit[],COLUMN(CUSTO_GLOBAL[[#Headers],[Resumo de Alíquotas (PIS+CONFINS+ISS)]])-2,0)</f>
        <v>0.14250000000000002</v>
      </c>
      <c r="BW185" s="138">
        <f>VLOOKUP($A185,tabCustoUnit[],COLUMN(CUSTO_GLOBAL[[#Headers],[PIS + COFINS + ISS (Total Conversão  Alíquota s/ Fatura)]])-2,0)</f>
        <v>0.16618075801749277</v>
      </c>
      <c r="BX185" s="22">
        <f>VLOOKUP($A185,tabCustoUnit[],COLUMN(CUSTO_GLOBAL[[#Headers],[Valor dos Tributos (ISS, PIS, CONFINS)]])-2,0)*($G185-$H185)</f>
        <v>615.55905420944669</v>
      </c>
      <c r="BY185" s="22">
        <f>VLOOKUP($A185,tabCustoUnit[],COLUMN(CUSTO_GLOBAL[[#Headers],[MÓDULO 6 – CUSTOS INDIRETOS, TRIBUTOS E LUCRO]])-2,0)*($G185-$H185)</f>
        <v>964.51284878991078</v>
      </c>
      <c r="BZ185" s="22">
        <f>VLOOKUP($A185,tabCustoUnit[],COLUMN(CUSTO_GLOBAL[[#Headers],[CUSTO TOTAL MENSAL]])-2,0)*($G185-$H185)</f>
        <v>4319.7126611189233</v>
      </c>
      <c r="CA185" s="22">
        <f>CUSTO_GLOBAL[[#This Row],[CUSTO TOTAL MENSAL]]*12</f>
        <v>51836.551933427079</v>
      </c>
      <c r="CB185" s="24">
        <f>VLOOKUP($A185,tabCustoUnit[],COLUMN(CUSTO_GLOBAL[[#Headers],[ANO DA CCT]])-2,0)</f>
        <v>45658</v>
      </c>
      <c r="CC185" s="25" t="str">
        <f>VLOOKUP($A185,tabCustoUnit[],COLUMN(CUSTO_GLOBAL[[#Headers],[Nº DE PEDIDO DA CCT]])-2,0)</f>
        <v>-</v>
      </c>
      <c r="CD185" s="25" t="str">
        <f>VLOOKUP($A185,tabCustoUnit[],COLUMN(CUSTO_GLOBAL[[#Headers],[TERMO ADITIVO  ALTERAÇÃO DA CCT]])-2,0)</f>
        <v>-</v>
      </c>
      <c r="CF185" s="22"/>
      <c r="CG185" s="22"/>
    </row>
    <row r="186" spans="1:85" x14ac:dyDescent="0.25">
      <c r="A186" s="20" t="s">
        <v>1522</v>
      </c>
      <c r="B186" t="s">
        <v>168</v>
      </c>
      <c r="C186" t="s">
        <v>1244</v>
      </c>
      <c r="D186" t="s">
        <v>1026</v>
      </c>
      <c r="E186" s="20" t="s">
        <v>9</v>
      </c>
      <c r="F186" s="20" t="s">
        <v>10</v>
      </c>
      <c r="G186" s="20">
        <v>1</v>
      </c>
      <c r="H186" s="20">
        <v>0</v>
      </c>
      <c r="I186" s="21">
        <f>VLOOKUP($A186,tabCustoUnit[],COLUMN(CUSTO_GLOBAL[[#Headers],[Salário Base]])-2,0)*($G186-$H186)</f>
        <v>798.14</v>
      </c>
      <c r="J186" s="21">
        <f>VLOOKUP($A186,tabCustoUnit[],COLUMN(CUSTO_GLOBAL[[#Headers],[Adicional Periculosidade]])-2,0)*($G186-$H186)</f>
        <v>0</v>
      </c>
      <c r="K186" s="21">
        <f>VLOOKUP($A186,tabCustoUnit[],COLUMN(CUSTO_GLOBAL[[#Headers],[Adicional Insalubridade]])-2,0)*($G186-$H186)</f>
        <v>0</v>
      </c>
      <c r="L186" s="21">
        <f>VLOOKUP($A186,tabCustoUnit[],COLUMN(CUSTO_GLOBAL[[#Headers],[Adicional Noturno]])-2,0)*($G186-$H186)</f>
        <v>0</v>
      </c>
      <c r="M186" s="21">
        <f>VLOOKUP($A186,tabCustoUnit[],COLUMN(CUSTO_GLOBAL[[#Headers],[Adicional Motorista II (Gratificação)]])-2,0)*($G186-$H186)</f>
        <v>0</v>
      </c>
      <c r="N186" s="21">
        <f>VLOOKUP($A186,tabCustoUnit[],COLUMN(CUSTO_GLOBAL[[#Headers],[Adicional de Sobreaviso]])-2,0)*($G186-$H186)</f>
        <v>0</v>
      </c>
      <c r="O186" s="21">
        <f>VLOOKUP($A186,tabCustoUnit[],COLUMN(CUSTO_GLOBAL[[#Headers],[Horas Extras TI]])-2,0)*($G186-$H186)</f>
        <v>0</v>
      </c>
      <c r="P186" s="21">
        <f>VLOOKUP($A186,tabCustoUnit[],COLUMN(CUSTO_GLOBAL[[#Headers],[Adicional de Acúmulo de função]])-2,0)*($G186-$H186)</f>
        <v>26.120899999999999</v>
      </c>
      <c r="Q186" s="21">
        <f>VLOOKUP($A186,tabCustoUnit[],COLUMN(CUSTO_GLOBAL[[#Headers],[MODULO 1 - REMUNERAÇÃO ]])-2,0)*($G186-$H186)</f>
        <v>824.26089999999999</v>
      </c>
      <c r="R186" s="21">
        <f>VLOOKUP($A186,tabCustoUnit[],COLUMN(CUSTO_GLOBAL[[#Headers],[INSS]])-2,0)*($G186-$H186)</f>
        <v>164.85218</v>
      </c>
      <c r="S186" s="21">
        <f>VLOOKUP($A186,tabCustoUnit[],COLUMN(CUSTO_GLOBAL[[#Headers],[SESI OU SESC]])-2,0)*($G186-$H186)</f>
        <v>12.363913499999999</v>
      </c>
      <c r="T186" s="21">
        <f>VLOOKUP($A186,tabCustoUnit[],COLUMN(CUSTO_GLOBAL[[#Headers],[SENAI OU SENAC]])-2,0)*($G186-$H186)</f>
        <v>8.2426089999999999</v>
      </c>
      <c r="U186" s="21">
        <f>VLOOKUP($A186,tabCustoUnit[],COLUMN(CUSTO_GLOBAL[[#Headers],[INCRA]])-2,0)*($G186-$H186)</f>
        <v>1.6485217999999999</v>
      </c>
      <c r="V186" s="21">
        <f>VLOOKUP($A186,tabCustoUnit[],COLUMN(CUSTO_GLOBAL[[#Headers],[Salário Educação]])-2,0)*($G186-$H186)</f>
        <v>20.606522500000001</v>
      </c>
      <c r="W186" s="21">
        <f>VLOOKUP($A186,tabCustoUnit[],COLUMN(CUSTO_GLOBAL[[#Headers],[FGTS]])-2,0)*($G186-$H186)</f>
        <v>65.940871999999999</v>
      </c>
      <c r="X186" s="21">
        <f>VLOOKUP($A186,tabCustoUnit[],COLUMN(CUSTO_GLOBAL[[#Headers],[RAT Ajustado]])-2,0)*($G186-$H186)</f>
        <v>32.970435999999999</v>
      </c>
      <c r="Y186" s="21">
        <f>VLOOKUP($A186,tabCustoUnit[],COLUMN(CUSTO_GLOBAL[[#Headers],[SEBRAE]])-2,0)*($G186-$H186)</f>
        <v>4.9455654000000004</v>
      </c>
      <c r="Z186" s="21">
        <f>VLOOKUP($A186,tabCustoUnit[],COLUMN(CUSTO_GLOBAL[[#Headers],[Submódulo 2.1]])-2,0)*($G186-$H186)</f>
        <v>311.57062020000001</v>
      </c>
      <c r="AA186" s="21">
        <f>VLOOKUP($A186,tabCustoUnit[],COLUMN(CUSTO_GLOBAL[[#Headers],[13º salário (titular)]])-2,0)*($G186-$H186)</f>
        <v>68.688408333333328</v>
      </c>
      <c r="AB186" s="21">
        <f>VLOOKUP($A186,tabCustoUnit[],COLUMN(CUSTO_GLOBAL[[#Headers],[Férias e Adicional de Férias (titular)]])-2,0)*($G186-$H186)</f>
        <v>91.584544444444433</v>
      </c>
      <c r="AC186" s="21">
        <f>VLOOKUP($A186,tabCustoUnit[],COLUMN(CUSTO_GLOBAL[[#Headers],[Incidência do Submódulo 2.1 sobre 13º Salário, Férias e Adicional de Férias]])-2,0)*($G186-$H186)</f>
        <v>60.583176149999993</v>
      </c>
      <c r="AD186" s="21">
        <f>VLOOKUP($A186,tabCustoUnit[],COLUMN(CUSTO_GLOBAL[[#Headers],[Submódulo 2.2]])-2,0)*($G186-$H186)</f>
        <v>220.85612892777775</v>
      </c>
      <c r="AE186" s="22">
        <f>VLOOKUP($A186,tabCustoUnit[],COLUMN(CUSTO_GLOBAL[[#Headers],[Vale - Transporte (Descontada parcela do empregado)]])-2,0)*($G186-$H186)</f>
        <v>208.11160000000001</v>
      </c>
      <c r="AF186" s="22">
        <f>VLOOKUP($A186,tabCustoUnit[],COLUMN(CUSTO_GLOBAL[[#Headers],[Vale - Alimentação (Descontada parcela do empregado)]])-2,0)*($G186-$H186)</f>
        <v>582</v>
      </c>
      <c r="AG186" s="22">
        <f>VLOOKUP($A186,tabCustoUnit[],COLUMN(CUSTO_GLOBAL[[#Headers],[Cesta Básica]])-2,0)*($G186-$H186)</f>
        <v>0</v>
      </c>
      <c r="AH186" s="22">
        <f>VLOOKUP($A186,tabCustoUnit[],COLUMN(CUSTO_GLOBAL[[#Headers],[PAF]])-2,0)*($G186-$H186)</f>
        <v>0</v>
      </c>
      <c r="AI186" s="22">
        <f>VLOOKUP($A186,tabCustoUnit[],COLUMN(CUSTO_GLOBAL[[#Headers],[PQM]])-2,0)*($G186-$H186)</f>
        <v>15.07</v>
      </c>
      <c r="AJ186" s="22">
        <v>0</v>
      </c>
      <c r="AK186" s="22">
        <f>VLOOKUP($A186,tabCustoUnit[],COLUMN(CUSTO_GLOBAL[[#Headers],[Seguro de Vida]])-2,0)*($G186-$H186)</f>
        <v>3.36</v>
      </c>
      <c r="AL186" s="22">
        <f>VLOOKUP($A186,tabCustoUnit[],COLUMN(CUSTO_GLOBAL[[#Headers],[Despesas de Viagem]])-2,0)*($G186-$H186)</f>
        <v>0</v>
      </c>
      <c r="AM186" s="22">
        <f>VLOOKUP($A186,tabCustoUnit[],COLUMN(CUSTO_GLOBAL[[#Headers],[Submódulo 2.3]])-2,0)*($G186-$H186)</f>
        <v>808.54160000000002</v>
      </c>
      <c r="AN186" s="22">
        <f>VLOOKUP($A186,tabCustoUnit[],COLUMN(CUSTO_GLOBAL[[#Headers],[MÓDULO 2 - Total Encargos e Benefícios mensais e diários]])-2,0)*($G186-$H186)</f>
        <v>1340.9683491277779</v>
      </c>
      <c r="AO186" s="22">
        <f>VLOOKUP($A186,tabCustoUnit[],COLUMN(CUSTO_GLOBAL[[#Headers],[Aviso Prévio Indenizado (API) e Reflexo do Aviso Prévio Indenizado]])-2,0)*($G186-$H186)</f>
        <v>5.7795253576581791</v>
      </c>
      <c r="AP186" s="22">
        <f>VLOOKUP($A186,tabCustoUnit[],COLUMN(CUSTO_GLOBAL[[#Headers],[Incidência do FGTS sobre API e Reflexo do API]])-2,0)*($G186-$H186)</f>
        <v>0.46236202861265435</v>
      </c>
      <c r="AQ186" s="22">
        <f>VLOOKUP($A186,tabCustoUnit[],COLUMN(CUSTO_GLOBAL[[#Headers],[Multa Rescisória do FGTS sobre o Aviso Prévio Indenizado]])-2,0)*($G186-$H186)</f>
        <v>0.18494481144506175</v>
      </c>
      <c r="AR186" s="22">
        <f>VLOOKUP($A186,tabCustoUnit[],COLUMN(CUSTO_GLOBAL[[#Headers],[Aviso Prévio Trabalhado - APT]])-2,0)*($G186-$H186)</f>
        <v>2.8849131500000005</v>
      </c>
      <c r="AS186" s="22">
        <f>VLOOKUP($A186,tabCustoUnit[],COLUMN(CUSTO_GLOBAL[[#Headers],[Incidência dos encargos do submódulo 2.1 sobre Aviso Prévio Trabalhado]])-2,0)*($G186-$H186)</f>
        <v>1.0904971707000004</v>
      </c>
      <c r="AT186" s="22">
        <f>VLOOKUP($A186,tabCustoUnit[],COLUMN(CUSTO_GLOBAL[[#Headers],[Multa Rescisória do FGTS]])-2,0)*($G186-$H186)</f>
        <v>25.204066631111107</v>
      </c>
      <c r="AU186" s="22">
        <f>VLOOKUP($A186,tabCustoUnit[],COLUMN(CUSTO_GLOBAL[[#Headers],[Indenização Adicional (Art. 9º da Lei nº 7.238/84)]])-2,0)*($G186-$H186)</f>
        <v>0.6868840833333334</v>
      </c>
      <c r="AV186" s="22">
        <f>VLOOKUP($A186,tabCustoUnit[],COLUMN(CUSTO_GLOBAL[[#Headers],[MÓDULO 3 – PROVISÃO PARA RESCISÃO]])-2,0)*($G186-$H186)</f>
        <v>36.293193232860339</v>
      </c>
      <c r="AW186" s="22">
        <f>VLOOKUP($A186,tabCustoUnit[],COLUMN(CUSTO_GLOBAL[[#Headers],[Ausência por Doença]])-2,0)*($G186-$H186)</f>
        <v>6.9604253777777769</v>
      </c>
      <c r="AX186" s="22">
        <f>VLOOKUP($A186,tabCustoUnit[],COLUMN(CUSTO_GLOBAL[[#Headers],[Ausências Legais]])-2,0)*($G186-$H186)</f>
        <v>1.671417936111111</v>
      </c>
      <c r="AY186" s="22">
        <f>VLOOKUP($A186,tabCustoUnit[],COLUMN(CUSTO_GLOBAL[[#Headers],[Licença Paternidade]])-2,0)*($G186-$H186)</f>
        <v>0.14081123708333332</v>
      </c>
      <c r="AZ186" s="22">
        <f>VLOOKUP($A186,tabCustoUnit[],COLUMN(CUSTO_GLOBAL[[#Headers],[Ausência por Acidente de Trabalho]])-2,0)*($G186-$H186)</f>
        <v>0.17172102083333335</v>
      </c>
      <c r="BA186" s="22">
        <f>VLOOKUP($A186,tabCustoUnit[],COLUMN(CUSTO_GLOBAL[[#Headers],[Férias, Adicional de Férias e 13º  com empregada em gozo de Licença Maternidade]])-2,0)*($G186-$H186)</f>
        <v>1.0684863518518517</v>
      </c>
      <c r="BB186" s="22">
        <f>VLOOKUP($A186,tabCustoUnit[],COLUMN(CUSTO_GLOBAL[[#Headers],[Incidência do Submódulo 2.1 sobre Ausências Legais]])-2,0)*($G186-$H186)</f>
        <v>3.7848618071425006</v>
      </c>
      <c r="BC186" s="22">
        <f>VLOOKUP($A186,tabCustoUnit[],COLUMN(CUSTO_GLOBAL[[#Headers],[Submódulo 4.1]])-2,0)*($G186-$H186)</f>
        <v>13.797723730799909</v>
      </c>
      <c r="BD186" s="22">
        <f>VLOOKUP($A186,tabCustoUnit[],COLUMN(CUSTO_GLOBAL[[#Headers],[Intervalo para Repouso ou Alimentação]])-2,0)*($G186-$H186)</f>
        <v>0</v>
      </c>
      <c r="BE186" s="22">
        <f>VLOOKUP($A186,tabCustoUnit[],COLUMN(CUSTO_GLOBAL[[#Headers],[Submódulo 4.2]])-2,0)*($G186-$H186)</f>
        <v>0</v>
      </c>
      <c r="BF186" s="22">
        <f>VLOOKUP($A186,tabCustoUnit[],COLUMN(CUSTO_GLOBAL[[#Headers],[Suspensão Temporária do Contrato de Trabalho]])-2,0)*($G186-$H186)</f>
        <v>0</v>
      </c>
      <c r="BG186" s="22">
        <f>VLOOKUP($A186,tabCustoUnit[],COLUMN(CUSTO_GLOBAL[[#Headers],[Submódulo 4.3]])-2,0)*($G186-$H186)</f>
        <v>0</v>
      </c>
      <c r="BH186" s="22">
        <f>VLOOKUP($A186,tabCustoUnit[],COLUMN(CUSTO_GLOBAL[[#Headers],[MÓDULO 4 – CUSTO DE REPOSIÇÃO DO PROFISSIONAL AUSENTE]])-2,0)*($G186-$H186)</f>
        <v>13.797723730799909</v>
      </c>
      <c r="BI186" s="22">
        <f>VLOOKUP($A186,tabCustoUnit[],COLUMN(CUSTO_GLOBAL[[#Headers],[Uniformes e EPIs]])-2,0)*($G186-$H186)</f>
        <v>62.806666666666665</v>
      </c>
      <c r="BJ186" s="22">
        <f>VLOOKUP($A186,tabCustoUnit[],COLUMN(CUSTO_GLOBAL[[#Headers],[Materiais de Consumo]])-2,0)*($G186-$H186)</f>
        <v>17.759106479291944</v>
      </c>
      <c r="BK186" s="22">
        <f>VLOOKUP($A186,tabCustoUnit[],COLUMN(CUSTO_GLOBAL[[#Headers],[Máquinas e Equipamentos (depreciação)]])-2,0)*($G186-$H186)</f>
        <v>32.264696957412788</v>
      </c>
      <c r="BL186" s="22">
        <f>VLOOKUP($A186,tabCustoUnit[],COLUMN(CUSTO_GLOBAL[[#Headers],[Produtos de Limpeza e Materiais de Higiene Pessoal]])-2,0)*($G186-$H186)</f>
        <v>345.13576638965827</v>
      </c>
      <c r="BM186" s="22">
        <f>VLOOKUP($A186,tabCustoUnit[],COLUMN(CUSTO_GLOBAL[[#Headers],[Outros (especificar)]])-2,0)*($G186-$H186)</f>
        <v>0</v>
      </c>
      <c r="BN186" s="22">
        <f>VLOOKUP($A186,tabCustoUnit[],COLUMN(CUSTO_GLOBAL[[#Headers],[MÓDULO 5 – INSUMOS DIVERSOS]])-2,0)*($G186-$H186)</f>
        <v>457.96623649302967</v>
      </c>
      <c r="BO186" s="22">
        <f>VLOOKUP($A186,tabCustoUnit[],COLUMN(CUSTO_GLOBAL[[#Headers],[TOTAL MÓDULOS 1+2+3+4+5]])-2,0)*($G186-$H186)</f>
        <v>2673.2864025844674</v>
      </c>
      <c r="BP186" s="22">
        <f>VLOOKUP($A186,tabCustoUnit[],COLUMN(CUSTO_GLOBAL[[#Headers],[Custos Indiretos]])-2,0)*($G186-$H186)</f>
        <v>189.64880140242613</v>
      </c>
      <c r="BQ186" s="22">
        <f>VLOOKUP($A186,tabCustoUnit[],COLUMN(CUSTO_GLOBAL[[#Headers],[Lucro]])-2,0)*($G186-$H186)</f>
        <v>159.30499317803796</v>
      </c>
      <c r="BR186" s="26">
        <f>VLOOKUP($A186,tabCustoUnit[],COLUMN(CUSTO_GLOBAL[[#Headers],[COFINS]])-2,0)</f>
        <v>8.8629737609329504E-2</v>
      </c>
      <c r="BS186" s="26">
        <f>VLOOKUP($A186,tabCustoUnit[],COLUMN(CUSTO_GLOBAL[[#Headers],[PIS]])-2,0)</f>
        <v>1.9241982507288629E-2</v>
      </c>
      <c r="BT186" s="28">
        <f>VLOOKUP($A186,tabCustoUnit[],COLUMN(CUSTO_GLOBAL[[#Headers],[ISS]])-2,0)</f>
        <v>0.05</v>
      </c>
      <c r="BU186" s="26">
        <f>VLOOKUP($A186,tabCustoUnit[],COLUMN(CUSTO_GLOBAL[[#Headers],[ISS (Conversão Alíquota s/ fatura)]])-2,0)</f>
        <v>5.8309037900874633E-2</v>
      </c>
      <c r="BV186" s="26">
        <f>VLOOKUP($A186,tabCustoUnit[],COLUMN(CUSTO_GLOBAL[[#Headers],[Resumo de Alíquotas (PIS+CONFINS+ISS)]])-2,0)</f>
        <v>0.14250000000000002</v>
      </c>
      <c r="BW186" s="138">
        <f>VLOOKUP($A186,tabCustoUnit[],COLUMN(CUSTO_GLOBAL[[#Headers],[PIS + COFINS + ISS (Total Conversão  Alíquota s/ Fatura)]])-2,0)</f>
        <v>0.16618075801749277</v>
      </c>
      <c r="BX186" s="22">
        <f>VLOOKUP($A186,tabCustoUnit[],COLUMN(CUSTO_GLOBAL[[#Headers],[Valor dos Tributos (ISS, PIS, CONFINS)]])-2,0)*($G186-$H186)</f>
        <v>502.23816687580512</v>
      </c>
      <c r="BY186" s="22">
        <f>VLOOKUP($A186,tabCustoUnit[],COLUMN(CUSTO_GLOBAL[[#Headers],[MÓDULO 6 – CUSTOS INDIRETOS, TRIBUTOS E LUCRO]])-2,0)*($G186-$H186)</f>
        <v>851.19196145626915</v>
      </c>
      <c r="BZ186" s="22">
        <f>VLOOKUP($A186,tabCustoUnit[],COLUMN(CUSTO_GLOBAL[[#Headers],[CUSTO TOTAL MENSAL]])-2,0)*($G186-$H186)</f>
        <v>3524.4783640407368</v>
      </c>
      <c r="CA186" s="22">
        <f>CUSTO_GLOBAL[[#This Row],[CUSTO TOTAL MENSAL]]*12</f>
        <v>42293.740368488841</v>
      </c>
      <c r="CB186" s="24">
        <f>VLOOKUP($A186,tabCustoUnit[],COLUMN(CUSTO_GLOBAL[[#Headers],[ANO DA CCT]])-2,0)</f>
        <v>45658</v>
      </c>
      <c r="CC186" s="25" t="str">
        <f>VLOOKUP($A186,tabCustoUnit[],COLUMN(CUSTO_GLOBAL[[#Headers],[Nº DE PEDIDO DA CCT]])-2,0)</f>
        <v>-</v>
      </c>
      <c r="CD186" s="25" t="str">
        <f>VLOOKUP($A186,tabCustoUnit[],COLUMN(CUSTO_GLOBAL[[#Headers],[TERMO ADITIVO  ALTERAÇÃO DA CCT]])-2,0)</f>
        <v>-</v>
      </c>
      <c r="CF186" s="22"/>
      <c r="CG186" s="22"/>
    </row>
    <row r="187" spans="1:85" x14ac:dyDescent="0.25">
      <c r="A187" s="20" t="s">
        <v>1523</v>
      </c>
      <c r="B187" t="s">
        <v>169</v>
      </c>
      <c r="C187" t="s">
        <v>1245</v>
      </c>
      <c r="D187" t="s">
        <v>1002</v>
      </c>
      <c r="E187" s="20" t="s">
        <v>9</v>
      </c>
      <c r="F187" s="20" t="s">
        <v>10</v>
      </c>
      <c r="G187" s="20">
        <v>1</v>
      </c>
      <c r="H187" s="20">
        <v>0</v>
      </c>
      <c r="I187" s="21">
        <f>VLOOKUP($A187,tabCustoUnit[],COLUMN(CUSTO_GLOBAL[[#Headers],[Salário Base]])-2,0)*($G187-$H187)</f>
        <v>1649.12</v>
      </c>
      <c r="J187" s="21">
        <f>VLOOKUP($A187,tabCustoUnit[],COLUMN(CUSTO_GLOBAL[[#Headers],[Adicional Periculosidade]])-2,0)*($G187-$H187)</f>
        <v>0</v>
      </c>
      <c r="K187" s="21">
        <f>VLOOKUP($A187,tabCustoUnit[],COLUMN(CUSTO_GLOBAL[[#Headers],[Adicional Insalubridade]])-2,0)*($G187-$H187)</f>
        <v>0</v>
      </c>
      <c r="L187" s="21">
        <f>VLOOKUP($A187,tabCustoUnit[],COLUMN(CUSTO_GLOBAL[[#Headers],[Adicional Noturno]])-2,0)*($G187-$H187)</f>
        <v>0</v>
      </c>
      <c r="M187" s="21">
        <f>VLOOKUP($A187,tabCustoUnit[],COLUMN(CUSTO_GLOBAL[[#Headers],[Adicional Motorista II (Gratificação)]])-2,0)*($G187-$H187)</f>
        <v>0</v>
      </c>
      <c r="N187" s="21">
        <f>VLOOKUP($A187,tabCustoUnit[],COLUMN(CUSTO_GLOBAL[[#Headers],[Adicional de Sobreaviso]])-2,0)*($G187-$H187)</f>
        <v>0</v>
      </c>
      <c r="O187" s="21">
        <f>VLOOKUP($A187,tabCustoUnit[],COLUMN(CUSTO_GLOBAL[[#Headers],[Horas Extras TI]])-2,0)*($G187-$H187)</f>
        <v>0</v>
      </c>
      <c r="P187" s="21">
        <f>VLOOKUP($A187,tabCustoUnit[],COLUMN(CUSTO_GLOBAL[[#Headers],[Adicional de Acúmulo de função]])-2,0)*($G187-$H187)</f>
        <v>53.971200000000003</v>
      </c>
      <c r="Q187" s="21">
        <f>VLOOKUP($A187,tabCustoUnit[],COLUMN(CUSTO_GLOBAL[[#Headers],[MODULO 1 - REMUNERAÇÃO ]])-2,0)*($G187-$H187)</f>
        <v>1703.0911999999998</v>
      </c>
      <c r="R187" s="21">
        <f>VLOOKUP($A187,tabCustoUnit[],COLUMN(CUSTO_GLOBAL[[#Headers],[INSS]])-2,0)*($G187-$H187)</f>
        <v>340.61824000000001</v>
      </c>
      <c r="S187" s="21">
        <f>VLOOKUP($A187,tabCustoUnit[],COLUMN(CUSTO_GLOBAL[[#Headers],[SESI OU SESC]])-2,0)*($G187-$H187)</f>
        <v>25.546367999999998</v>
      </c>
      <c r="T187" s="21">
        <f>VLOOKUP($A187,tabCustoUnit[],COLUMN(CUSTO_GLOBAL[[#Headers],[SENAI OU SENAC]])-2,0)*($G187-$H187)</f>
        <v>17.030911999999997</v>
      </c>
      <c r="U187" s="21">
        <f>VLOOKUP($A187,tabCustoUnit[],COLUMN(CUSTO_GLOBAL[[#Headers],[INCRA]])-2,0)*($G187-$H187)</f>
        <v>3.4061823999999996</v>
      </c>
      <c r="V187" s="21">
        <f>VLOOKUP($A187,tabCustoUnit[],COLUMN(CUSTO_GLOBAL[[#Headers],[Salário Educação]])-2,0)*($G187-$H187)</f>
        <v>42.577280000000002</v>
      </c>
      <c r="W187" s="21">
        <f>VLOOKUP($A187,tabCustoUnit[],COLUMN(CUSTO_GLOBAL[[#Headers],[FGTS]])-2,0)*($G187-$H187)</f>
        <v>136.24729599999998</v>
      </c>
      <c r="X187" s="21">
        <f>VLOOKUP($A187,tabCustoUnit[],COLUMN(CUSTO_GLOBAL[[#Headers],[RAT Ajustado]])-2,0)*($G187-$H187)</f>
        <v>68.123647999999989</v>
      </c>
      <c r="Y187" s="21">
        <f>VLOOKUP($A187,tabCustoUnit[],COLUMN(CUSTO_GLOBAL[[#Headers],[SEBRAE]])-2,0)*($G187-$H187)</f>
        <v>10.2185472</v>
      </c>
      <c r="Z187" s="21">
        <f>VLOOKUP($A187,tabCustoUnit[],COLUMN(CUSTO_GLOBAL[[#Headers],[Submódulo 2.1]])-2,0)*($G187-$H187)</f>
        <v>643.76847359999999</v>
      </c>
      <c r="AA187" s="21">
        <f>VLOOKUP($A187,tabCustoUnit[],COLUMN(CUSTO_GLOBAL[[#Headers],[13º salário (titular)]])-2,0)*($G187-$H187)</f>
        <v>141.92426666666665</v>
      </c>
      <c r="AB187" s="21">
        <f>VLOOKUP($A187,tabCustoUnit[],COLUMN(CUSTO_GLOBAL[[#Headers],[Férias e Adicional de Férias (titular)]])-2,0)*($G187-$H187)</f>
        <v>189.23235555555553</v>
      </c>
      <c r="AC187" s="21">
        <f>VLOOKUP($A187,tabCustoUnit[],COLUMN(CUSTO_GLOBAL[[#Headers],[Incidência do Submódulo 2.1 sobre 13º Salário, Férias e Adicional de Férias]])-2,0)*($G187-$H187)</f>
        <v>125.17720319999999</v>
      </c>
      <c r="AD187" s="21">
        <f>VLOOKUP($A187,tabCustoUnit[],COLUMN(CUSTO_GLOBAL[[#Headers],[Submódulo 2.2]])-2,0)*($G187-$H187)</f>
        <v>456.33382542222216</v>
      </c>
      <c r="AE187" s="22">
        <f>VLOOKUP($A187,tabCustoUnit[],COLUMN(CUSTO_GLOBAL[[#Headers],[Vale - Transporte (Descontada parcela do empregado)]])-2,0)*($G187-$H187)</f>
        <v>157.05279999999999</v>
      </c>
      <c r="AF187" s="22">
        <f>VLOOKUP($A187,tabCustoUnit[],COLUMN(CUSTO_GLOBAL[[#Headers],[Vale - Alimentação (Descontada parcela do empregado)]])-2,0)*($G187-$H187)</f>
        <v>582</v>
      </c>
      <c r="AG187" s="22">
        <f>VLOOKUP($A187,tabCustoUnit[],COLUMN(CUSTO_GLOBAL[[#Headers],[Cesta Básica]])-2,0)*($G187-$H187)</f>
        <v>0</v>
      </c>
      <c r="AH187" s="22">
        <f>VLOOKUP($A187,tabCustoUnit[],COLUMN(CUSTO_GLOBAL[[#Headers],[PAF]])-2,0)*($G187-$H187)</f>
        <v>0</v>
      </c>
      <c r="AI187" s="22">
        <f>VLOOKUP($A187,tabCustoUnit[],COLUMN(CUSTO_GLOBAL[[#Headers],[PQM]])-2,0)*($G187-$H187)</f>
        <v>15.07</v>
      </c>
      <c r="AJ187" s="22">
        <v>0</v>
      </c>
      <c r="AK187" s="22">
        <f>VLOOKUP($A187,tabCustoUnit[],COLUMN(CUSTO_GLOBAL[[#Headers],[Seguro de Vida]])-2,0)*($G187-$H187)</f>
        <v>3.36</v>
      </c>
      <c r="AL187" s="22">
        <f>VLOOKUP($A187,tabCustoUnit[],COLUMN(CUSTO_GLOBAL[[#Headers],[Despesas de Viagem]])-2,0)*($G187-$H187)</f>
        <v>0</v>
      </c>
      <c r="AM187" s="22">
        <f>VLOOKUP($A187,tabCustoUnit[],COLUMN(CUSTO_GLOBAL[[#Headers],[Submódulo 2.3]])-2,0)*($G187-$H187)</f>
        <v>757.4828</v>
      </c>
      <c r="AN187" s="22">
        <f>VLOOKUP($A187,tabCustoUnit[],COLUMN(CUSTO_GLOBAL[[#Headers],[MÓDULO 2 - Total Encargos e Benefícios mensais e diários]])-2,0)*($G187-$H187)</f>
        <v>1857.5850990222223</v>
      </c>
      <c r="AO187" s="22">
        <f>VLOOKUP($A187,tabCustoUnit[],COLUMN(CUSTO_GLOBAL[[#Headers],[Aviso Prévio Indenizado (API) e Reflexo do Aviso Prévio Indenizado]])-2,0)*($G187-$H187)</f>
        <v>11.941678632098764</v>
      </c>
      <c r="AP187" s="22">
        <f>VLOOKUP($A187,tabCustoUnit[],COLUMN(CUSTO_GLOBAL[[#Headers],[Incidência do FGTS sobre API e Reflexo do API]])-2,0)*($G187-$H187)</f>
        <v>0.9553342905679012</v>
      </c>
      <c r="AQ187" s="22">
        <f>VLOOKUP($A187,tabCustoUnit[],COLUMN(CUSTO_GLOBAL[[#Headers],[Multa Rescisória do FGTS sobre o Aviso Prévio Indenizado]])-2,0)*($G187-$H187)</f>
        <v>0.38213371622716052</v>
      </c>
      <c r="AR187" s="22">
        <f>VLOOKUP($A187,tabCustoUnit[],COLUMN(CUSTO_GLOBAL[[#Headers],[Aviso Prévio Trabalhado - APT]])-2,0)*($G187-$H187)</f>
        <v>5.9608192000000004</v>
      </c>
      <c r="AS187" s="22">
        <f>VLOOKUP($A187,tabCustoUnit[],COLUMN(CUSTO_GLOBAL[[#Headers],[Incidência dos encargos do submódulo 2.1 sobre Aviso Prévio Trabalhado]])-2,0)*($G187-$H187)</f>
        <v>2.2531896576000006</v>
      </c>
      <c r="AT187" s="22">
        <f>VLOOKUP($A187,tabCustoUnit[],COLUMN(CUSTO_GLOBAL[[#Headers],[Multa Rescisória do FGTS]])-2,0)*($G187-$H187)</f>
        <v>52.076744248888879</v>
      </c>
      <c r="AU187" s="22">
        <f>VLOOKUP($A187,tabCustoUnit[],COLUMN(CUSTO_GLOBAL[[#Headers],[Indenização Adicional (Art. 9º da Lei nº 7.238/84)]])-2,0)*($G187-$H187)</f>
        <v>1.4192426666666667</v>
      </c>
      <c r="AV187" s="22">
        <f>VLOOKUP($A187,tabCustoUnit[],COLUMN(CUSTO_GLOBAL[[#Headers],[MÓDULO 3 – PROVISÃO PARA RESCISÃO]])-2,0)*($G187-$H187)</f>
        <v>74.989142412049375</v>
      </c>
      <c r="AW187" s="22">
        <f>VLOOKUP($A187,tabCustoUnit[],COLUMN(CUSTO_GLOBAL[[#Headers],[Ausência por Doença]])-2,0)*($G187-$H187)</f>
        <v>14.38165902222222</v>
      </c>
      <c r="AX187" s="22">
        <f>VLOOKUP($A187,tabCustoUnit[],COLUMN(CUSTO_GLOBAL[[#Headers],[Ausências Legais]])-2,0)*($G187-$H187)</f>
        <v>3.4534904888888884</v>
      </c>
      <c r="AY187" s="22">
        <f>VLOOKUP($A187,tabCustoUnit[],COLUMN(CUSTO_GLOBAL[[#Headers],[Licença Paternidade]])-2,0)*($G187-$H187)</f>
        <v>0.29094474666666664</v>
      </c>
      <c r="AZ187" s="22">
        <f>VLOOKUP($A187,tabCustoUnit[],COLUMN(CUSTO_GLOBAL[[#Headers],[Ausência por Acidente de Trabalho]])-2,0)*($G187-$H187)</f>
        <v>0.35481066666666666</v>
      </c>
      <c r="BA187" s="22">
        <f>VLOOKUP($A187,tabCustoUnit[],COLUMN(CUSTO_GLOBAL[[#Headers],[Férias, Adicional de Férias e 13º  com empregada em gozo de Licença Maternidade]])-2,0)*($G187-$H187)</f>
        <v>2.2077108148148143</v>
      </c>
      <c r="BB187" s="22">
        <f>VLOOKUP($A187,tabCustoUnit[],COLUMN(CUSTO_GLOBAL[[#Headers],[Incidência do Submódulo 2.1 sobre Ausências Legais]])-2,0)*($G187-$H187)</f>
        <v>7.8202967494400006</v>
      </c>
      <c r="BC187" s="22">
        <f>VLOOKUP($A187,tabCustoUnit[],COLUMN(CUSTO_GLOBAL[[#Headers],[Submódulo 4.1]])-2,0)*($G187-$H187)</f>
        <v>28.508912488699256</v>
      </c>
      <c r="BD187" s="22">
        <f>VLOOKUP($A187,tabCustoUnit[],COLUMN(CUSTO_GLOBAL[[#Headers],[Intervalo para Repouso ou Alimentação]])-2,0)*($G187-$H187)</f>
        <v>0</v>
      </c>
      <c r="BE187" s="22">
        <f>VLOOKUP($A187,tabCustoUnit[],COLUMN(CUSTO_GLOBAL[[#Headers],[Submódulo 4.2]])-2,0)*($G187-$H187)</f>
        <v>0</v>
      </c>
      <c r="BF187" s="22">
        <f>VLOOKUP($A187,tabCustoUnit[],COLUMN(CUSTO_GLOBAL[[#Headers],[Suspensão Temporária do Contrato de Trabalho]])-2,0)*($G187-$H187)</f>
        <v>0</v>
      </c>
      <c r="BG187" s="22">
        <f>VLOOKUP($A187,tabCustoUnit[],COLUMN(CUSTO_GLOBAL[[#Headers],[Submódulo 4.3]])-2,0)*($G187-$H187)</f>
        <v>0</v>
      </c>
      <c r="BH187" s="22">
        <f>VLOOKUP($A187,tabCustoUnit[],COLUMN(CUSTO_GLOBAL[[#Headers],[MÓDULO 4 – CUSTO DE REPOSIÇÃO DO PROFISSIONAL AUSENTE]])-2,0)*($G187-$H187)</f>
        <v>28.508912488699256</v>
      </c>
      <c r="BI187" s="22">
        <f>VLOOKUP($A187,tabCustoUnit[],COLUMN(CUSTO_GLOBAL[[#Headers],[Uniformes e EPIs]])-2,0)*($G187-$H187)</f>
        <v>100.80916666666666</v>
      </c>
      <c r="BJ187" s="22">
        <f>VLOOKUP($A187,tabCustoUnit[],COLUMN(CUSTO_GLOBAL[[#Headers],[Materiais de Consumo]])-2,0)*($G187-$H187)</f>
        <v>35.518212958583888</v>
      </c>
      <c r="BK187" s="22">
        <f>VLOOKUP($A187,tabCustoUnit[],COLUMN(CUSTO_GLOBAL[[#Headers],[Máquinas e Equipamentos (depreciação)]])-2,0)*($G187-$H187)</f>
        <v>64.529393914825576</v>
      </c>
      <c r="BL187" s="22">
        <f>VLOOKUP($A187,tabCustoUnit[],COLUMN(CUSTO_GLOBAL[[#Headers],[Produtos de Limpeza e Materiais de Higiene Pessoal]])-2,0)*($G187-$H187)</f>
        <v>690.27153277931654</v>
      </c>
      <c r="BM187" s="22">
        <f>VLOOKUP($A187,tabCustoUnit[],COLUMN(CUSTO_GLOBAL[[#Headers],[Outros (especificar)]])-2,0)*($G187-$H187)</f>
        <v>0</v>
      </c>
      <c r="BN187" s="22">
        <f>VLOOKUP($A187,tabCustoUnit[],COLUMN(CUSTO_GLOBAL[[#Headers],[MÓDULO 5 – INSUMOS DIVERSOS]])-2,0)*($G187-$H187)</f>
        <v>891.12830631939266</v>
      </c>
      <c r="BO187" s="22">
        <f>VLOOKUP($A187,tabCustoUnit[],COLUMN(CUSTO_GLOBAL[[#Headers],[TOTAL MÓDULOS 1+2+3+4+5]])-2,0)*($G187-$H187)</f>
        <v>4555.3026602423633</v>
      </c>
      <c r="BP187" s="22">
        <f>VLOOKUP($A187,tabCustoUnit[],COLUMN(CUSTO_GLOBAL[[#Headers],[Custos Indiretos]])-2,0)*($G187-$H187)</f>
        <v>189.64880140242613</v>
      </c>
      <c r="BQ187" s="22">
        <f>VLOOKUP($A187,tabCustoUnit[],COLUMN(CUSTO_GLOBAL[[#Headers],[Lucro]])-2,0)*($G187-$H187)</f>
        <v>159.30499317803796</v>
      </c>
      <c r="BR187" s="26">
        <f>VLOOKUP($A187,tabCustoUnit[],COLUMN(CUSTO_GLOBAL[[#Headers],[COFINS]])-2,0)</f>
        <v>8.6314593980692772E-2</v>
      </c>
      <c r="BS187" s="26">
        <f>VLOOKUP($A187,tabCustoUnit[],COLUMN(CUSTO_GLOBAL[[#Headers],[PIS]])-2,0)</f>
        <v>1.8739352640545163E-2</v>
      </c>
      <c r="BT187" s="28">
        <f>VLOOKUP($A187,tabCustoUnit[],COLUMN(CUSTO_GLOBAL[[#Headers],[ISS]])-2,0)</f>
        <v>2.7E-2</v>
      </c>
      <c r="BU187" s="26">
        <f>VLOOKUP($A187,tabCustoUnit[],COLUMN(CUSTO_GLOBAL[[#Headers],[ISS (Conversão Alíquota s/ fatura)]])-2,0)</f>
        <v>3.0664395229982988E-2</v>
      </c>
      <c r="BV187" s="26">
        <f>VLOOKUP($A187,tabCustoUnit[],COLUMN(CUSTO_GLOBAL[[#Headers],[Resumo de Alíquotas (PIS+CONFINS+ISS)]])-2,0)</f>
        <v>0.1195</v>
      </c>
      <c r="BW187" s="138">
        <f>VLOOKUP($A187,tabCustoUnit[],COLUMN(CUSTO_GLOBAL[[#Headers],[PIS + COFINS + ISS (Total Conversão  Alíquota s/ Fatura)]])-2,0)</f>
        <v>0.13571834185122092</v>
      </c>
      <c r="BX187" s="22">
        <f>VLOOKUP($A187,tabCustoUnit[],COLUMN(CUSTO_GLOBAL[[#Headers],[Valor dos Tributos (ISS, PIS, CONFINS)]])-2,0)*($G187-$H187)</f>
        <v>665.59755406170132</v>
      </c>
      <c r="BY187" s="22">
        <f>VLOOKUP($A187,tabCustoUnit[],COLUMN(CUSTO_GLOBAL[[#Headers],[MÓDULO 6 – CUSTOS INDIRETOS, TRIBUTOS E LUCRO]])-2,0)*($G187-$H187)</f>
        <v>1014.5513486421654</v>
      </c>
      <c r="BZ187" s="22">
        <f>VLOOKUP($A187,tabCustoUnit[],COLUMN(CUSTO_GLOBAL[[#Headers],[CUSTO TOTAL MENSAL]])-2,0)*($G187-$H187)</f>
        <v>5569.8540088845284</v>
      </c>
      <c r="CA187" s="22">
        <f>CUSTO_GLOBAL[[#This Row],[CUSTO TOTAL MENSAL]]*12</f>
        <v>66838.248106614337</v>
      </c>
      <c r="CB187" s="24">
        <f>VLOOKUP($A187,tabCustoUnit[],COLUMN(CUSTO_GLOBAL[[#Headers],[ANO DA CCT]])-2,0)</f>
        <v>45658</v>
      </c>
      <c r="CC187" s="25" t="str">
        <f>VLOOKUP($A187,tabCustoUnit[],COLUMN(CUSTO_GLOBAL[[#Headers],[Nº DE PEDIDO DA CCT]])-2,0)</f>
        <v>-</v>
      </c>
      <c r="CD187" s="25" t="str">
        <f>VLOOKUP($A187,tabCustoUnit[],COLUMN(CUSTO_GLOBAL[[#Headers],[TERMO ADITIVO  ALTERAÇÃO DA CCT]])-2,0)</f>
        <v>-</v>
      </c>
      <c r="CF187" s="22"/>
      <c r="CG187" s="22"/>
    </row>
    <row r="188" spans="1:85" x14ac:dyDescent="0.25">
      <c r="A188" s="20" t="s">
        <v>1524</v>
      </c>
      <c r="B188" t="s">
        <v>170</v>
      </c>
      <c r="C188" t="s">
        <v>1244</v>
      </c>
      <c r="D188" t="s">
        <v>992</v>
      </c>
      <c r="E188" s="20" t="s">
        <v>9</v>
      </c>
      <c r="F188" s="20" t="s">
        <v>10</v>
      </c>
      <c r="G188" s="20">
        <v>1</v>
      </c>
      <c r="H188" s="20">
        <v>0</v>
      </c>
      <c r="I188" s="21">
        <f>VLOOKUP($A188,tabCustoUnit[],COLUMN(CUSTO_GLOBAL[[#Headers],[Salário Base]])-2,0)*($G188-$H188)</f>
        <v>798.14</v>
      </c>
      <c r="J188" s="21">
        <f>VLOOKUP($A188,tabCustoUnit[],COLUMN(CUSTO_GLOBAL[[#Headers],[Adicional Periculosidade]])-2,0)*($G188-$H188)</f>
        <v>0</v>
      </c>
      <c r="K188" s="21">
        <f>VLOOKUP($A188,tabCustoUnit[],COLUMN(CUSTO_GLOBAL[[#Headers],[Adicional Insalubridade]])-2,0)*($G188-$H188)</f>
        <v>0</v>
      </c>
      <c r="L188" s="21">
        <f>VLOOKUP($A188,tabCustoUnit[],COLUMN(CUSTO_GLOBAL[[#Headers],[Adicional Noturno]])-2,0)*($G188-$H188)</f>
        <v>0</v>
      </c>
      <c r="M188" s="21">
        <f>VLOOKUP($A188,tabCustoUnit[],COLUMN(CUSTO_GLOBAL[[#Headers],[Adicional Motorista II (Gratificação)]])-2,0)*($G188-$H188)</f>
        <v>0</v>
      </c>
      <c r="N188" s="21">
        <f>VLOOKUP($A188,tabCustoUnit[],COLUMN(CUSTO_GLOBAL[[#Headers],[Adicional de Sobreaviso]])-2,0)*($G188-$H188)</f>
        <v>0</v>
      </c>
      <c r="O188" s="21">
        <f>VLOOKUP($A188,tabCustoUnit[],COLUMN(CUSTO_GLOBAL[[#Headers],[Horas Extras TI]])-2,0)*($G188-$H188)</f>
        <v>0</v>
      </c>
      <c r="P188" s="21">
        <f>VLOOKUP($A188,tabCustoUnit[],COLUMN(CUSTO_GLOBAL[[#Headers],[Adicional de Acúmulo de função]])-2,0)*($G188-$H188)</f>
        <v>26.120899999999999</v>
      </c>
      <c r="Q188" s="21">
        <f>VLOOKUP($A188,tabCustoUnit[],COLUMN(CUSTO_GLOBAL[[#Headers],[MODULO 1 - REMUNERAÇÃO ]])-2,0)*($G188-$H188)</f>
        <v>824.26089999999999</v>
      </c>
      <c r="R188" s="21">
        <f>VLOOKUP($A188,tabCustoUnit[],COLUMN(CUSTO_GLOBAL[[#Headers],[INSS]])-2,0)*($G188-$H188)</f>
        <v>164.85218</v>
      </c>
      <c r="S188" s="21">
        <f>VLOOKUP($A188,tabCustoUnit[],COLUMN(CUSTO_GLOBAL[[#Headers],[SESI OU SESC]])-2,0)*($G188-$H188)</f>
        <v>12.363913499999999</v>
      </c>
      <c r="T188" s="21">
        <f>VLOOKUP($A188,tabCustoUnit[],COLUMN(CUSTO_GLOBAL[[#Headers],[SENAI OU SENAC]])-2,0)*($G188-$H188)</f>
        <v>8.2426089999999999</v>
      </c>
      <c r="U188" s="21">
        <f>VLOOKUP($A188,tabCustoUnit[],COLUMN(CUSTO_GLOBAL[[#Headers],[INCRA]])-2,0)*($G188-$H188)</f>
        <v>1.6485217999999999</v>
      </c>
      <c r="V188" s="21">
        <f>VLOOKUP($A188,tabCustoUnit[],COLUMN(CUSTO_GLOBAL[[#Headers],[Salário Educação]])-2,0)*($G188-$H188)</f>
        <v>20.606522500000001</v>
      </c>
      <c r="W188" s="21">
        <f>VLOOKUP($A188,tabCustoUnit[],COLUMN(CUSTO_GLOBAL[[#Headers],[FGTS]])-2,0)*($G188-$H188)</f>
        <v>65.940871999999999</v>
      </c>
      <c r="X188" s="21">
        <f>VLOOKUP($A188,tabCustoUnit[],COLUMN(CUSTO_GLOBAL[[#Headers],[RAT Ajustado]])-2,0)*($G188-$H188)</f>
        <v>32.970435999999999</v>
      </c>
      <c r="Y188" s="21">
        <f>VLOOKUP($A188,tabCustoUnit[],COLUMN(CUSTO_GLOBAL[[#Headers],[SEBRAE]])-2,0)*($G188-$H188)</f>
        <v>4.9455654000000004</v>
      </c>
      <c r="Z188" s="21">
        <f>VLOOKUP($A188,tabCustoUnit[],COLUMN(CUSTO_GLOBAL[[#Headers],[Submódulo 2.1]])-2,0)*($G188-$H188)</f>
        <v>311.57062020000001</v>
      </c>
      <c r="AA188" s="21">
        <f>VLOOKUP($A188,tabCustoUnit[],COLUMN(CUSTO_GLOBAL[[#Headers],[13º salário (titular)]])-2,0)*($G188-$H188)</f>
        <v>68.688408333333328</v>
      </c>
      <c r="AB188" s="21">
        <f>VLOOKUP($A188,tabCustoUnit[],COLUMN(CUSTO_GLOBAL[[#Headers],[Férias e Adicional de Férias (titular)]])-2,0)*($G188-$H188)</f>
        <v>91.584544444444433</v>
      </c>
      <c r="AC188" s="21">
        <f>VLOOKUP($A188,tabCustoUnit[],COLUMN(CUSTO_GLOBAL[[#Headers],[Incidência do Submódulo 2.1 sobre 13º Salário, Férias e Adicional de Férias]])-2,0)*($G188-$H188)</f>
        <v>60.583176149999993</v>
      </c>
      <c r="AD188" s="21">
        <f>VLOOKUP($A188,tabCustoUnit[],COLUMN(CUSTO_GLOBAL[[#Headers],[Submódulo 2.2]])-2,0)*($G188-$H188)</f>
        <v>220.85612892777775</v>
      </c>
      <c r="AE188" s="22">
        <f>VLOOKUP($A188,tabCustoUnit[],COLUMN(CUSTO_GLOBAL[[#Headers],[Vale - Transporte (Descontada parcela do empregado)]])-2,0)*($G188-$H188)</f>
        <v>208.11160000000001</v>
      </c>
      <c r="AF188" s="22">
        <f>VLOOKUP($A188,tabCustoUnit[],COLUMN(CUSTO_GLOBAL[[#Headers],[Vale - Alimentação (Descontada parcela do empregado)]])-2,0)*($G188-$H188)</f>
        <v>0</v>
      </c>
      <c r="AG188" s="22">
        <f>VLOOKUP($A188,tabCustoUnit[],COLUMN(CUSTO_GLOBAL[[#Headers],[Cesta Básica]])-2,0)*($G188-$H188)</f>
        <v>387.79</v>
      </c>
      <c r="AH188" s="22">
        <f>VLOOKUP($A188,tabCustoUnit[],COLUMN(CUSTO_GLOBAL[[#Headers],[PAF]])-2,0)*($G188-$H188)</f>
        <v>42.97</v>
      </c>
      <c r="AI188" s="22">
        <f>VLOOKUP($A188,tabCustoUnit[],COLUMN(CUSTO_GLOBAL[[#Headers],[PQM]])-2,0)*($G188-$H188)</f>
        <v>0</v>
      </c>
      <c r="AJ188" s="22">
        <v>0</v>
      </c>
      <c r="AK188" s="22">
        <f>VLOOKUP($A188,tabCustoUnit[],COLUMN(CUSTO_GLOBAL[[#Headers],[Seguro de Vida]])-2,0)*($G188-$H188)</f>
        <v>3.36</v>
      </c>
      <c r="AL188" s="22">
        <f>VLOOKUP($A188,tabCustoUnit[],COLUMN(CUSTO_GLOBAL[[#Headers],[Despesas de Viagem]])-2,0)*($G188-$H188)</f>
        <v>0</v>
      </c>
      <c r="AM188" s="22">
        <f>VLOOKUP($A188,tabCustoUnit[],COLUMN(CUSTO_GLOBAL[[#Headers],[Submódulo 2.3]])-2,0)*($G188-$H188)</f>
        <v>642.23160000000007</v>
      </c>
      <c r="AN188" s="22">
        <f>VLOOKUP($A188,tabCustoUnit[],COLUMN(CUSTO_GLOBAL[[#Headers],[MÓDULO 2 - Total Encargos e Benefícios mensais e diários]])-2,0)*($G188-$H188)</f>
        <v>1174.6583491277779</v>
      </c>
      <c r="AO188" s="22">
        <f>VLOOKUP($A188,tabCustoUnit[],COLUMN(CUSTO_GLOBAL[[#Headers],[Aviso Prévio Indenizado (API) e Reflexo do Aviso Prévio Indenizado]])-2,0)*($G188-$H188)</f>
        <v>5.7795253576581791</v>
      </c>
      <c r="AP188" s="22">
        <f>VLOOKUP($A188,tabCustoUnit[],COLUMN(CUSTO_GLOBAL[[#Headers],[Incidência do FGTS sobre API e Reflexo do API]])-2,0)*($G188-$H188)</f>
        <v>0.46236202861265435</v>
      </c>
      <c r="AQ188" s="22">
        <f>VLOOKUP($A188,tabCustoUnit[],COLUMN(CUSTO_GLOBAL[[#Headers],[Multa Rescisória do FGTS sobre o Aviso Prévio Indenizado]])-2,0)*($G188-$H188)</f>
        <v>0.18494481144506175</v>
      </c>
      <c r="AR188" s="22">
        <f>VLOOKUP($A188,tabCustoUnit[],COLUMN(CUSTO_GLOBAL[[#Headers],[Aviso Prévio Trabalhado - APT]])-2,0)*($G188-$H188)</f>
        <v>2.8849131500000005</v>
      </c>
      <c r="AS188" s="22">
        <f>VLOOKUP($A188,tabCustoUnit[],COLUMN(CUSTO_GLOBAL[[#Headers],[Incidência dos encargos do submódulo 2.1 sobre Aviso Prévio Trabalhado]])-2,0)*($G188-$H188)</f>
        <v>1.0904971707000004</v>
      </c>
      <c r="AT188" s="22">
        <f>VLOOKUP($A188,tabCustoUnit[],COLUMN(CUSTO_GLOBAL[[#Headers],[Multa Rescisória do FGTS]])-2,0)*($G188-$H188)</f>
        <v>25.204066631111107</v>
      </c>
      <c r="AU188" s="22">
        <f>VLOOKUP($A188,tabCustoUnit[],COLUMN(CUSTO_GLOBAL[[#Headers],[Indenização Adicional (Art. 9º da Lei nº 7.238/84)]])-2,0)*($G188-$H188)</f>
        <v>0.6868840833333334</v>
      </c>
      <c r="AV188" s="22">
        <f>VLOOKUP($A188,tabCustoUnit[],COLUMN(CUSTO_GLOBAL[[#Headers],[MÓDULO 3 – PROVISÃO PARA RESCISÃO]])-2,0)*($G188-$H188)</f>
        <v>36.293193232860339</v>
      </c>
      <c r="AW188" s="22">
        <f>VLOOKUP($A188,tabCustoUnit[],COLUMN(CUSTO_GLOBAL[[#Headers],[Ausência por Doença]])-2,0)*($G188-$H188)</f>
        <v>6.9604253777777769</v>
      </c>
      <c r="AX188" s="22">
        <f>VLOOKUP($A188,tabCustoUnit[],COLUMN(CUSTO_GLOBAL[[#Headers],[Ausências Legais]])-2,0)*($G188-$H188)</f>
        <v>1.671417936111111</v>
      </c>
      <c r="AY188" s="22">
        <f>VLOOKUP($A188,tabCustoUnit[],COLUMN(CUSTO_GLOBAL[[#Headers],[Licença Paternidade]])-2,0)*($G188-$H188)</f>
        <v>0.14081123708333332</v>
      </c>
      <c r="AZ188" s="22">
        <f>VLOOKUP($A188,tabCustoUnit[],COLUMN(CUSTO_GLOBAL[[#Headers],[Ausência por Acidente de Trabalho]])-2,0)*($G188-$H188)</f>
        <v>0.17172102083333335</v>
      </c>
      <c r="BA188" s="22">
        <f>VLOOKUP($A188,tabCustoUnit[],COLUMN(CUSTO_GLOBAL[[#Headers],[Férias, Adicional de Férias e 13º  com empregada em gozo de Licença Maternidade]])-2,0)*($G188-$H188)</f>
        <v>1.0684863518518517</v>
      </c>
      <c r="BB188" s="22">
        <f>VLOOKUP($A188,tabCustoUnit[],COLUMN(CUSTO_GLOBAL[[#Headers],[Incidência do Submódulo 2.1 sobre Ausências Legais]])-2,0)*($G188-$H188)</f>
        <v>3.7848618071425006</v>
      </c>
      <c r="BC188" s="22">
        <f>VLOOKUP($A188,tabCustoUnit[],COLUMN(CUSTO_GLOBAL[[#Headers],[Submódulo 4.1]])-2,0)*($G188-$H188)</f>
        <v>13.797723730799909</v>
      </c>
      <c r="BD188" s="22">
        <f>VLOOKUP($A188,tabCustoUnit[],COLUMN(CUSTO_GLOBAL[[#Headers],[Intervalo para Repouso ou Alimentação]])-2,0)*($G188-$H188)</f>
        <v>0</v>
      </c>
      <c r="BE188" s="22">
        <f>VLOOKUP($A188,tabCustoUnit[],COLUMN(CUSTO_GLOBAL[[#Headers],[Submódulo 4.2]])-2,0)*($G188-$H188)</f>
        <v>0</v>
      </c>
      <c r="BF188" s="22">
        <f>VLOOKUP($A188,tabCustoUnit[],COLUMN(CUSTO_GLOBAL[[#Headers],[Suspensão Temporária do Contrato de Trabalho]])-2,0)*($G188-$H188)</f>
        <v>0</v>
      </c>
      <c r="BG188" s="22">
        <f>VLOOKUP($A188,tabCustoUnit[],COLUMN(CUSTO_GLOBAL[[#Headers],[Submódulo 4.3]])-2,0)*($G188-$H188)</f>
        <v>0</v>
      </c>
      <c r="BH188" s="22">
        <f>VLOOKUP($A188,tabCustoUnit[],COLUMN(CUSTO_GLOBAL[[#Headers],[MÓDULO 4 – CUSTO DE REPOSIÇÃO DO PROFISSIONAL AUSENTE]])-2,0)*($G188-$H188)</f>
        <v>13.797723730799909</v>
      </c>
      <c r="BI188" s="22">
        <f>VLOOKUP($A188,tabCustoUnit[],COLUMN(CUSTO_GLOBAL[[#Headers],[Uniformes e EPIs]])-2,0)*($G188-$H188)</f>
        <v>62.806666666666665</v>
      </c>
      <c r="BJ188" s="22">
        <f>VLOOKUP($A188,tabCustoUnit[],COLUMN(CUSTO_GLOBAL[[#Headers],[Materiais de Consumo]])-2,0)*($G188-$H188)</f>
        <v>17.759106479291944</v>
      </c>
      <c r="BK188" s="22">
        <f>VLOOKUP($A188,tabCustoUnit[],COLUMN(CUSTO_GLOBAL[[#Headers],[Máquinas e Equipamentos (depreciação)]])-2,0)*($G188-$H188)</f>
        <v>32.264696957412788</v>
      </c>
      <c r="BL188" s="22">
        <f>VLOOKUP($A188,tabCustoUnit[],COLUMN(CUSTO_GLOBAL[[#Headers],[Produtos de Limpeza e Materiais de Higiene Pessoal]])-2,0)*($G188-$H188)</f>
        <v>345.13576638965827</v>
      </c>
      <c r="BM188" s="22">
        <f>VLOOKUP($A188,tabCustoUnit[],COLUMN(CUSTO_GLOBAL[[#Headers],[Outros (especificar)]])-2,0)*($G188-$H188)</f>
        <v>0</v>
      </c>
      <c r="BN188" s="22">
        <f>VLOOKUP($A188,tabCustoUnit[],COLUMN(CUSTO_GLOBAL[[#Headers],[MÓDULO 5 – INSUMOS DIVERSOS]])-2,0)*($G188-$H188)</f>
        <v>457.96623649302967</v>
      </c>
      <c r="BO188" s="22">
        <f>VLOOKUP($A188,tabCustoUnit[],COLUMN(CUSTO_GLOBAL[[#Headers],[TOTAL MÓDULOS 1+2+3+4+5]])-2,0)*($G188-$H188)</f>
        <v>2506.9764025844679</v>
      </c>
      <c r="BP188" s="22">
        <f>VLOOKUP($A188,tabCustoUnit[],COLUMN(CUSTO_GLOBAL[[#Headers],[Custos Indiretos]])-2,0)*($G188-$H188)</f>
        <v>189.64880140242613</v>
      </c>
      <c r="BQ188" s="22">
        <f>VLOOKUP($A188,tabCustoUnit[],COLUMN(CUSTO_GLOBAL[[#Headers],[Lucro]])-2,0)*($G188-$H188)</f>
        <v>159.30499317803796</v>
      </c>
      <c r="BR188" s="26">
        <f>VLOOKUP($A188,tabCustoUnit[],COLUMN(CUSTO_GLOBAL[[#Headers],[COFINS]])-2,0)</f>
        <v>8.6609686609686695E-2</v>
      </c>
      <c r="BS188" s="26">
        <f>VLOOKUP($A188,tabCustoUnit[],COLUMN(CUSTO_GLOBAL[[#Headers],[PIS]])-2,0)</f>
        <v>1.880341880341882E-2</v>
      </c>
      <c r="BT188" s="28">
        <f>VLOOKUP($A188,tabCustoUnit[],COLUMN(CUSTO_GLOBAL[[#Headers],[ISS]])-2,0)</f>
        <v>0.03</v>
      </c>
      <c r="BU188" s="26">
        <f>VLOOKUP($A188,tabCustoUnit[],COLUMN(CUSTO_GLOBAL[[#Headers],[ISS (Conversão Alíquota s/ fatura)]])-2,0)</f>
        <v>3.4188034188034219E-2</v>
      </c>
      <c r="BV188" s="26">
        <f>VLOOKUP($A188,tabCustoUnit[],COLUMN(CUSTO_GLOBAL[[#Headers],[Resumo de Alíquotas (PIS+CONFINS+ISS)]])-2,0)</f>
        <v>0.1225</v>
      </c>
      <c r="BW188" s="138">
        <f>VLOOKUP($A188,tabCustoUnit[],COLUMN(CUSTO_GLOBAL[[#Headers],[PIS + COFINS + ISS (Total Conversão  Alíquota s/ Fatura)]])-2,0)</f>
        <v>0.13960113960113973</v>
      </c>
      <c r="BX188" s="22">
        <f>VLOOKUP($A188,tabCustoUnit[],COLUMN(CUSTO_GLOBAL[[#Headers],[Valor dos Tributos (ISS, PIS, CONFINS)]])-2,0)*($G188-$H188)</f>
        <v>398.69111014553221</v>
      </c>
      <c r="BY188" s="22">
        <f>VLOOKUP($A188,tabCustoUnit[],COLUMN(CUSTO_GLOBAL[[#Headers],[MÓDULO 6 – CUSTOS INDIRETOS, TRIBUTOS E LUCRO]])-2,0)*($G188-$H188)</f>
        <v>747.6449047259963</v>
      </c>
      <c r="BZ188" s="22">
        <f>VLOOKUP($A188,tabCustoUnit[],COLUMN(CUSTO_GLOBAL[[#Headers],[CUSTO TOTAL MENSAL]])-2,0)*($G188-$H188)</f>
        <v>3254.6213073104641</v>
      </c>
      <c r="CA188" s="22">
        <f>CUSTO_GLOBAL[[#This Row],[CUSTO TOTAL MENSAL]]*12</f>
        <v>39055.455687725567</v>
      </c>
      <c r="CB188" s="24">
        <f>VLOOKUP($A188,tabCustoUnit[],COLUMN(CUSTO_GLOBAL[[#Headers],[ANO DA CCT]])-2,0)</f>
        <v>45658</v>
      </c>
      <c r="CC188" s="25" t="str">
        <f>VLOOKUP($A188,tabCustoUnit[],COLUMN(CUSTO_GLOBAL[[#Headers],[Nº DE PEDIDO DA CCT]])-2,0)</f>
        <v>-</v>
      </c>
      <c r="CD188" s="25" t="str">
        <f>VLOOKUP($A188,tabCustoUnit[],COLUMN(CUSTO_GLOBAL[[#Headers],[TERMO ADITIVO  ALTERAÇÃO DA CCT]])-2,0)</f>
        <v>-</v>
      </c>
      <c r="CF188" s="22"/>
      <c r="CG188" s="22"/>
    </row>
    <row r="189" spans="1:85" x14ac:dyDescent="0.25">
      <c r="A189" s="20" t="s">
        <v>1525</v>
      </c>
      <c r="B189" t="s">
        <v>171</v>
      </c>
      <c r="C189" t="s">
        <v>1244</v>
      </c>
      <c r="D189" t="s">
        <v>1020</v>
      </c>
      <c r="E189" s="20" t="s">
        <v>9</v>
      </c>
      <c r="F189" s="20" t="s">
        <v>10</v>
      </c>
      <c r="G189" s="20">
        <v>1</v>
      </c>
      <c r="H189" s="20">
        <v>0</v>
      </c>
      <c r="I189" s="21">
        <f>VLOOKUP($A189,tabCustoUnit[],COLUMN(CUSTO_GLOBAL[[#Headers],[Salário Base]])-2,0)*($G189-$H189)</f>
        <v>798.14</v>
      </c>
      <c r="J189" s="21">
        <f>VLOOKUP($A189,tabCustoUnit[],COLUMN(CUSTO_GLOBAL[[#Headers],[Adicional Periculosidade]])-2,0)*($G189-$H189)</f>
        <v>0</v>
      </c>
      <c r="K189" s="21">
        <f>VLOOKUP($A189,tabCustoUnit[],COLUMN(CUSTO_GLOBAL[[#Headers],[Adicional Insalubridade]])-2,0)*($G189-$H189)</f>
        <v>0</v>
      </c>
      <c r="L189" s="21">
        <f>VLOOKUP($A189,tabCustoUnit[],COLUMN(CUSTO_GLOBAL[[#Headers],[Adicional Noturno]])-2,0)*($G189-$H189)</f>
        <v>0</v>
      </c>
      <c r="M189" s="21">
        <f>VLOOKUP($A189,tabCustoUnit[],COLUMN(CUSTO_GLOBAL[[#Headers],[Adicional Motorista II (Gratificação)]])-2,0)*($G189-$H189)</f>
        <v>0</v>
      </c>
      <c r="N189" s="21">
        <f>VLOOKUP($A189,tabCustoUnit[],COLUMN(CUSTO_GLOBAL[[#Headers],[Adicional de Sobreaviso]])-2,0)*($G189-$H189)</f>
        <v>0</v>
      </c>
      <c r="O189" s="21">
        <f>VLOOKUP($A189,tabCustoUnit[],COLUMN(CUSTO_GLOBAL[[#Headers],[Horas Extras TI]])-2,0)*($G189-$H189)</f>
        <v>0</v>
      </c>
      <c r="P189" s="21">
        <f>VLOOKUP($A189,tabCustoUnit[],COLUMN(CUSTO_GLOBAL[[#Headers],[Adicional de Acúmulo de função]])-2,0)*($G189-$H189)</f>
        <v>26.120899999999999</v>
      </c>
      <c r="Q189" s="21">
        <f>VLOOKUP($A189,tabCustoUnit[],COLUMN(CUSTO_GLOBAL[[#Headers],[MODULO 1 - REMUNERAÇÃO ]])-2,0)*($G189-$H189)</f>
        <v>824.26089999999999</v>
      </c>
      <c r="R189" s="21">
        <f>VLOOKUP($A189,tabCustoUnit[],COLUMN(CUSTO_GLOBAL[[#Headers],[INSS]])-2,0)*($G189-$H189)</f>
        <v>164.85218</v>
      </c>
      <c r="S189" s="21">
        <f>VLOOKUP($A189,tabCustoUnit[],COLUMN(CUSTO_GLOBAL[[#Headers],[SESI OU SESC]])-2,0)*($G189-$H189)</f>
        <v>12.363913499999999</v>
      </c>
      <c r="T189" s="21">
        <f>VLOOKUP($A189,tabCustoUnit[],COLUMN(CUSTO_GLOBAL[[#Headers],[SENAI OU SENAC]])-2,0)*($G189-$H189)</f>
        <v>8.2426089999999999</v>
      </c>
      <c r="U189" s="21">
        <f>VLOOKUP($A189,tabCustoUnit[],COLUMN(CUSTO_GLOBAL[[#Headers],[INCRA]])-2,0)*($G189-$H189)</f>
        <v>1.6485217999999999</v>
      </c>
      <c r="V189" s="21">
        <f>VLOOKUP($A189,tabCustoUnit[],COLUMN(CUSTO_GLOBAL[[#Headers],[Salário Educação]])-2,0)*($G189-$H189)</f>
        <v>20.606522500000001</v>
      </c>
      <c r="W189" s="21">
        <f>VLOOKUP($A189,tabCustoUnit[],COLUMN(CUSTO_GLOBAL[[#Headers],[FGTS]])-2,0)*($G189-$H189)</f>
        <v>65.940871999999999</v>
      </c>
      <c r="X189" s="21">
        <f>VLOOKUP($A189,tabCustoUnit[],COLUMN(CUSTO_GLOBAL[[#Headers],[RAT Ajustado]])-2,0)*($G189-$H189)</f>
        <v>32.970435999999999</v>
      </c>
      <c r="Y189" s="21">
        <f>VLOOKUP($A189,tabCustoUnit[],COLUMN(CUSTO_GLOBAL[[#Headers],[SEBRAE]])-2,0)*($G189-$H189)</f>
        <v>4.9455654000000004</v>
      </c>
      <c r="Z189" s="21">
        <f>VLOOKUP($A189,tabCustoUnit[],COLUMN(CUSTO_GLOBAL[[#Headers],[Submódulo 2.1]])-2,0)*($G189-$H189)</f>
        <v>311.57062020000001</v>
      </c>
      <c r="AA189" s="21">
        <f>VLOOKUP($A189,tabCustoUnit[],COLUMN(CUSTO_GLOBAL[[#Headers],[13º salário (titular)]])-2,0)*($G189-$H189)</f>
        <v>68.688408333333328</v>
      </c>
      <c r="AB189" s="21">
        <f>VLOOKUP($A189,tabCustoUnit[],COLUMN(CUSTO_GLOBAL[[#Headers],[Férias e Adicional de Férias (titular)]])-2,0)*($G189-$H189)</f>
        <v>91.584544444444433</v>
      </c>
      <c r="AC189" s="21">
        <f>VLOOKUP($A189,tabCustoUnit[],COLUMN(CUSTO_GLOBAL[[#Headers],[Incidência do Submódulo 2.1 sobre 13º Salário, Férias e Adicional de Férias]])-2,0)*($G189-$H189)</f>
        <v>60.583176149999993</v>
      </c>
      <c r="AD189" s="21">
        <f>VLOOKUP($A189,tabCustoUnit[],COLUMN(CUSTO_GLOBAL[[#Headers],[Submódulo 2.2]])-2,0)*($G189-$H189)</f>
        <v>220.85612892777775</v>
      </c>
      <c r="AE189" s="22">
        <f>VLOOKUP($A189,tabCustoUnit[],COLUMN(CUSTO_GLOBAL[[#Headers],[Vale - Transporte (Descontada parcela do empregado)]])-2,0)*($G189-$H189)</f>
        <v>208.11160000000001</v>
      </c>
      <c r="AF189" s="22">
        <f>VLOOKUP($A189,tabCustoUnit[],COLUMN(CUSTO_GLOBAL[[#Headers],[Vale - Alimentação (Descontada parcela do empregado)]])-2,0)*($G189-$H189)</f>
        <v>582</v>
      </c>
      <c r="AG189" s="22">
        <f>VLOOKUP($A189,tabCustoUnit[],COLUMN(CUSTO_GLOBAL[[#Headers],[Cesta Básica]])-2,0)*($G189-$H189)</f>
        <v>0</v>
      </c>
      <c r="AH189" s="22">
        <f>VLOOKUP($A189,tabCustoUnit[],COLUMN(CUSTO_GLOBAL[[#Headers],[PAF]])-2,0)*($G189-$H189)</f>
        <v>0</v>
      </c>
      <c r="AI189" s="22">
        <f>VLOOKUP($A189,tabCustoUnit[],COLUMN(CUSTO_GLOBAL[[#Headers],[PQM]])-2,0)*($G189-$H189)</f>
        <v>0</v>
      </c>
      <c r="AJ189" s="22">
        <v>0</v>
      </c>
      <c r="AK189" s="22">
        <f>VLOOKUP($A189,tabCustoUnit[],COLUMN(CUSTO_GLOBAL[[#Headers],[Seguro de Vida]])-2,0)*($G189-$H189)</f>
        <v>3.36</v>
      </c>
      <c r="AL189" s="22">
        <f>VLOOKUP($A189,tabCustoUnit[],COLUMN(CUSTO_GLOBAL[[#Headers],[Despesas de Viagem]])-2,0)*($G189-$H189)</f>
        <v>0</v>
      </c>
      <c r="AM189" s="22">
        <f>VLOOKUP($A189,tabCustoUnit[],COLUMN(CUSTO_GLOBAL[[#Headers],[Submódulo 2.3]])-2,0)*($G189-$H189)</f>
        <v>793.47159999999997</v>
      </c>
      <c r="AN189" s="22">
        <f>VLOOKUP($A189,tabCustoUnit[],COLUMN(CUSTO_GLOBAL[[#Headers],[MÓDULO 2 - Total Encargos e Benefícios mensais e diários]])-2,0)*($G189-$H189)</f>
        <v>1325.8983491277777</v>
      </c>
      <c r="AO189" s="22">
        <f>VLOOKUP($A189,tabCustoUnit[],COLUMN(CUSTO_GLOBAL[[#Headers],[Aviso Prévio Indenizado (API) e Reflexo do Aviso Prévio Indenizado]])-2,0)*($G189-$H189)</f>
        <v>5.7795253576581791</v>
      </c>
      <c r="AP189" s="22">
        <f>VLOOKUP($A189,tabCustoUnit[],COLUMN(CUSTO_GLOBAL[[#Headers],[Incidência do FGTS sobre API e Reflexo do API]])-2,0)*($G189-$H189)</f>
        <v>0.46236202861265435</v>
      </c>
      <c r="AQ189" s="22">
        <f>VLOOKUP($A189,tabCustoUnit[],COLUMN(CUSTO_GLOBAL[[#Headers],[Multa Rescisória do FGTS sobre o Aviso Prévio Indenizado]])-2,0)*($G189-$H189)</f>
        <v>0.18494481144506175</v>
      </c>
      <c r="AR189" s="22">
        <f>VLOOKUP($A189,tabCustoUnit[],COLUMN(CUSTO_GLOBAL[[#Headers],[Aviso Prévio Trabalhado - APT]])-2,0)*($G189-$H189)</f>
        <v>2.8849131500000005</v>
      </c>
      <c r="AS189" s="22">
        <f>VLOOKUP($A189,tabCustoUnit[],COLUMN(CUSTO_GLOBAL[[#Headers],[Incidência dos encargos do submódulo 2.1 sobre Aviso Prévio Trabalhado]])-2,0)*($G189-$H189)</f>
        <v>1.0904971707000004</v>
      </c>
      <c r="AT189" s="22">
        <f>VLOOKUP($A189,tabCustoUnit[],COLUMN(CUSTO_GLOBAL[[#Headers],[Multa Rescisória do FGTS]])-2,0)*($G189-$H189)</f>
        <v>25.204066631111107</v>
      </c>
      <c r="AU189" s="22">
        <f>VLOOKUP($A189,tabCustoUnit[],COLUMN(CUSTO_GLOBAL[[#Headers],[Indenização Adicional (Art. 9º da Lei nº 7.238/84)]])-2,0)*($G189-$H189)</f>
        <v>0.6868840833333334</v>
      </c>
      <c r="AV189" s="22">
        <f>VLOOKUP($A189,tabCustoUnit[],COLUMN(CUSTO_GLOBAL[[#Headers],[MÓDULO 3 – PROVISÃO PARA RESCISÃO]])-2,0)*($G189-$H189)</f>
        <v>36.293193232860339</v>
      </c>
      <c r="AW189" s="22">
        <f>VLOOKUP($A189,tabCustoUnit[],COLUMN(CUSTO_GLOBAL[[#Headers],[Ausência por Doença]])-2,0)*($G189-$H189)</f>
        <v>6.9604253777777769</v>
      </c>
      <c r="AX189" s="22">
        <f>VLOOKUP($A189,tabCustoUnit[],COLUMN(CUSTO_GLOBAL[[#Headers],[Ausências Legais]])-2,0)*($G189-$H189)</f>
        <v>1.671417936111111</v>
      </c>
      <c r="AY189" s="22">
        <f>VLOOKUP($A189,tabCustoUnit[],COLUMN(CUSTO_GLOBAL[[#Headers],[Licença Paternidade]])-2,0)*($G189-$H189)</f>
        <v>0.14081123708333332</v>
      </c>
      <c r="AZ189" s="22">
        <f>VLOOKUP($A189,tabCustoUnit[],COLUMN(CUSTO_GLOBAL[[#Headers],[Ausência por Acidente de Trabalho]])-2,0)*($G189-$H189)</f>
        <v>0.17172102083333335</v>
      </c>
      <c r="BA189" s="22">
        <f>VLOOKUP($A189,tabCustoUnit[],COLUMN(CUSTO_GLOBAL[[#Headers],[Férias, Adicional de Férias e 13º  com empregada em gozo de Licença Maternidade]])-2,0)*($G189-$H189)</f>
        <v>1.0684863518518517</v>
      </c>
      <c r="BB189" s="22">
        <f>VLOOKUP($A189,tabCustoUnit[],COLUMN(CUSTO_GLOBAL[[#Headers],[Incidência do Submódulo 2.1 sobre Ausências Legais]])-2,0)*($G189-$H189)</f>
        <v>3.7848618071425006</v>
      </c>
      <c r="BC189" s="22">
        <f>VLOOKUP($A189,tabCustoUnit[],COLUMN(CUSTO_GLOBAL[[#Headers],[Submódulo 4.1]])-2,0)*($G189-$H189)</f>
        <v>13.797723730799909</v>
      </c>
      <c r="BD189" s="22">
        <f>VLOOKUP($A189,tabCustoUnit[],COLUMN(CUSTO_GLOBAL[[#Headers],[Intervalo para Repouso ou Alimentação]])-2,0)*($G189-$H189)</f>
        <v>0</v>
      </c>
      <c r="BE189" s="22">
        <f>VLOOKUP($A189,tabCustoUnit[],COLUMN(CUSTO_GLOBAL[[#Headers],[Submódulo 4.2]])-2,0)*($G189-$H189)</f>
        <v>0</v>
      </c>
      <c r="BF189" s="22">
        <f>VLOOKUP($A189,tabCustoUnit[],COLUMN(CUSTO_GLOBAL[[#Headers],[Suspensão Temporária do Contrato de Trabalho]])-2,0)*($G189-$H189)</f>
        <v>0</v>
      </c>
      <c r="BG189" s="22">
        <f>VLOOKUP($A189,tabCustoUnit[],COLUMN(CUSTO_GLOBAL[[#Headers],[Submódulo 4.3]])-2,0)*($G189-$H189)</f>
        <v>0</v>
      </c>
      <c r="BH189" s="22">
        <f>VLOOKUP($A189,tabCustoUnit[],COLUMN(CUSTO_GLOBAL[[#Headers],[MÓDULO 4 – CUSTO DE REPOSIÇÃO DO PROFISSIONAL AUSENTE]])-2,0)*($G189-$H189)</f>
        <v>13.797723730799909</v>
      </c>
      <c r="BI189" s="22">
        <f>VLOOKUP($A189,tabCustoUnit[],COLUMN(CUSTO_GLOBAL[[#Headers],[Uniformes e EPIs]])-2,0)*($G189-$H189)</f>
        <v>62.806666666666665</v>
      </c>
      <c r="BJ189" s="22">
        <f>VLOOKUP($A189,tabCustoUnit[],COLUMN(CUSTO_GLOBAL[[#Headers],[Materiais de Consumo]])-2,0)*($G189-$H189)</f>
        <v>17.759106479291944</v>
      </c>
      <c r="BK189" s="22">
        <f>VLOOKUP($A189,tabCustoUnit[],COLUMN(CUSTO_GLOBAL[[#Headers],[Máquinas e Equipamentos (depreciação)]])-2,0)*($G189-$H189)</f>
        <v>32.264696957412788</v>
      </c>
      <c r="BL189" s="22">
        <f>VLOOKUP($A189,tabCustoUnit[],COLUMN(CUSTO_GLOBAL[[#Headers],[Produtos de Limpeza e Materiais de Higiene Pessoal]])-2,0)*($G189-$H189)</f>
        <v>345.13576638965827</v>
      </c>
      <c r="BM189" s="22">
        <f>VLOOKUP($A189,tabCustoUnit[],COLUMN(CUSTO_GLOBAL[[#Headers],[Outros (especificar)]])-2,0)*($G189-$H189)</f>
        <v>0</v>
      </c>
      <c r="BN189" s="22">
        <f>VLOOKUP($A189,tabCustoUnit[],COLUMN(CUSTO_GLOBAL[[#Headers],[MÓDULO 5 – INSUMOS DIVERSOS]])-2,0)*($G189-$H189)</f>
        <v>457.96623649302967</v>
      </c>
      <c r="BO189" s="22">
        <f>VLOOKUP($A189,tabCustoUnit[],COLUMN(CUSTO_GLOBAL[[#Headers],[TOTAL MÓDULOS 1+2+3+4+5]])-2,0)*($G189-$H189)</f>
        <v>2658.2164025844677</v>
      </c>
      <c r="BP189" s="22">
        <f>VLOOKUP($A189,tabCustoUnit[],COLUMN(CUSTO_GLOBAL[[#Headers],[Custos Indiretos]])-2,0)*($G189-$H189)</f>
        <v>189.64880140242613</v>
      </c>
      <c r="BQ189" s="22">
        <f>VLOOKUP($A189,tabCustoUnit[],COLUMN(CUSTO_GLOBAL[[#Headers],[Lucro]])-2,0)*($G189-$H189)</f>
        <v>159.30499317803796</v>
      </c>
      <c r="BR189" s="26">
        <f>VLOOKUP($A189,tabCustoUnit[],COLUMN(CUSTO_GLOBAL[[#Headers],[COFINS]])-2,0)</f>
        <v>8.5633802816901458E-2</v>
      </c>
      <c r="BS189" s="26">
        <f>VLOOKUP($A189,tabCustoUnit[],COLUMN(CUSTO_GLOBAL[[#Headers],[PIS]])-2,0)</f>
        <v>1.8591549295774657E-2</v>
      </c>
      <c r="BT189" s="28">
        <f>VLOOKUP($A189,tabCustoUnit[],COLUMN(CUSTO_GLOBAL[[#Headers],[ISS]])-2,0)</f>
        <v>0.02</v>
      </c>
      <c r="BU189" s="26">
        <f>VLOOKUP($A189,tabCustoUnit[],COLUMN(CUSTO_GLOBAL[[#Headers],[ISS (Conversão Alíquota s/ fatura)]])-2,0)</f>
        <v>2.2535211267605645E-2</v>
      </c>
      <c r="BV189" s="26">
        <f>VLOOKUP($A189,tabCustoUnit[],COLUMN(CUSTO_GLOBAL[[#Headers],[Resumo de Alíquotas (PIS+CONFINS+ISS)]])-2,0)</f>
        <v>0.1125</v>
      </c>
      <c r="BW189" s="138">
        <f>VLOOKUP($A189,tabCustoUnit[],COLUMN(CUSTO_GLOBAL[[#Headers],[PIS + COFINS + ISS (Total Conversão  Alíquota s/ Fatura)]])-2,0)</f>
        <v>0.12676056338028174</v>
      </c>
      <c r="BX189" s="22">
        <f>VLOOKUP($A189,tabCustoUnit[],COLUMN(CUSTO_GLOBAL[[#Headers],[Valor dos Tributos (ISS, PIS, CONFINS)]])-2,0)*($G189-$H189)</f>
        <v>381.19058837301969</v>
      </c>
      <c r="BY189" s="22">
        <f>VLOOKUP($A189,tabCustoUnit[],COLUMN(CUSTO_GLOBAL[[#Headers],[MÓDULO 6 – CUSTOS INDIRETOS, TRIBUTOS E LUCRO]])-2,0)*($G189-$H189)</f>
        <v>730.14438295348373</v>
      </c>
      <c r="BZ189" s="22">
        <f>VLOOKUP($A189,tabCustoUnit[],COLUMN(CUSTO_GLOBAL[[#Headers],[CUSTO TOTAL MENSAL]])-2,0)*($G189-$H189)</f>
        <v>3388.3607855379514</v>
      </c>
      <c r="CA189" s="22">
        <f>CUSTO_GLOBAL[[#This Row],[CUSTO TOTAL MENSAL]]*12</f>
        <v>40660.329426455413</v>
      </c>
      <c r="CB189" s="24">
        <f>VLOOKUP($A189,tabCustoUnit[],COLUMN(CUSTO_GLOBAL[[#Headers],[ANO DA CCT]])-2,0)</f>
        <v>45658</v>
      </c>
      <c r="CC189" s="25" t="str">
        <f>VLOOKUP($A189,tabCustoUnit[],COLUMN(CUSTO_GLOBAL[[#Headers],[Nº DE PEDIDO DA CCT]])-2,0)</f>
        <v>-</v>
      </c>
      <c r="CD189" s="25" t="str">
        <f>VLOOKUP($A189,tabCustoUnit[],COLUMN(CUSTO_GLOBAL[[#Headers],[TERMO ADITIVO  ALTERAÇÃO DA CCT]])-2,0)</f>
        <v>-</v>
      </c>
      <c r="CF189" s="22"/>
      <c r="CG189" s="22"/>
    </row>
    <row r="190" spans="1:85" x14ac:dyDescent="0.25">
      <c r="A190" s="20" t="s">
        <v>1526</v>
      </c>
      <c r="B190" t="s">
        <v>172</v>
      </c>
      <c r="C190" t="s">
        <v>1246</v>
      </c>
      <c r="D190" t="s">
        <v>1041</v>
      </c>
      <c r="E190" s="20" t="s">
        <v>9</v>
      </c>
      <c r="F190" s="20" t="s">
        <v>10</v>
      </c>
      <c r="G190" s="20">
        <v>1</v>
      </c>
      <c r="H190" s="20">
        <v>0</v>
      </c>
      <c r="I190" s="21">
        <f>VLOOKUP($A190,tabCustoUnit[],COLUMN(CUSTO_GLOBAL[[#Headers],[Salário Base]])-2,0)*($G190-$H190)</f>
        <v>1088.3699999999999</v>
      </c>
      <c r="J190" s="21">
        <f>VLOOKUP($A190,tabCustoUnit[],COLUMN(CUSTO_GLOBAL[[#Headers],[Adicional Periculosidade]])-2,0)*($G190-$H190)</f>
        <v>0</v>
      </c>
      <c r="K190" s="21">
        <f>VLOOKUP($A190,tabCustoUnit[],COLUMN(CUSTO_GLOBAL[[#Headers],[Adicional Insalubridade]])-2,0)*($G190-$H190)</f>
        <v>0</v>
      </c>
      <c r="L190" s="21">
        <f>VLOOKUP($A190,tabCustoUnit[],COLUMN(CUSTO_GLOBAL[[#Headers],[Adicional Noturno]])-2,0)*($G190-$H190)</f>
        <v>0</v>
      </c>
      <c r="M190" s="21">
        <f>VLOOKUP($A190,tabCustoUnit[],COLUMN(CUSTO_GLOBAL[[#Headers],[Adicional Motorista II (Gratificação)]])-2,0)*($G190-$H190)</f>
        <v>0</v>
      </c>
      <c r="N190" s="21">
        <f>VLOOKUP($A190,tabCustoUnit[],COLUMN(CUSTO_GLOBAL[[#Headers],[Adicional de Sobreaviso]])-2,0)*($G190-$H190)</f>
        <v>0</v>
      </c>
      <c r="O190" s="21">
        <f>VLOOKUP($A190,tabCustoUnit[],COLUMN(CUSTO_GLOBAL[[#Headers],[Horas Extras TI]])-2,0)*($G190-$H190)</f>
        <v>0</v>
      </c>
      <c r="P190" s="21">
        <f>VLOOKUP($A190,tabCustoUnit[],COLUMN(CUSTO_GLOBAL[[#Headers],[Adicional de Acúmulo de função]])-2,0)*($G190-$H190)</f>
        <v>39.1813</v>
      </c>
      <c r="Q190" s="21">
        <f>VLOOKUP($A190,tabCustoUnit[],COLUMN(CUSTO_GLOBAL[[#Headers],[MODULO 1 - REMUNERAÇÃO ]])-2,0)*($G190-$H190)</f>
        <v>1127.5512999999999</v>
      </c>
      <c r="R190" s="21">
        <f>VLOOKUP($A190,tabCustoUnit[],COLUMN(CUSTO_GLOBAL[[#Headers],[INSS]])-2,0)*($G190-$H190)</f>
        <v>225.51025999999999</v>
      </c>
      <c r="S190" s="21">
        <f>VLOOKUP($A190,tabCustoUnit[],COLUMN(CUSTO_GLOBAL[[#Headers],[SESI OU SESC]])-2,0)*($G190-$H190)</f>
        <v>16.913269499999998</v>
      </c>
      <c r="T190" s="21">
        <f>VLOOKUP($A190,tabCustoUnit[],COLUMN(CUSTO_GLOBAL[[#Headers],[SENAI OU SENAC]])-2,0)*($G190-$H190)</f>
        <v>11.275512999999998</v>
      </c>
      <c r="U190" s="21">
        <f>VLOOKUP($A190,tabCustoUnit[],COLUMN(CUSTO_GLOBAL[[#Headers],[INCRA]])-2,0)*($G190-$H190)</f>
        <v>2.2551025999999998</v>
      </c>
      <c r="V190" s="21">
        <f>VLOOKUP($A190,tabCustoUnit[],COLUMN(CUSTO_GLOBAL[[#Headers],[Salário Educação]])-2,0)*($G190-$H190)</f>
        <v>28.188782499999999</v>
      </c>
      <c r="W190" s="21">
        <f>VLOOKUP($A190,tabCustoUnit[],COLUMN(CUSTO_GLOBAL[[#Headers],[FGTS]])-2,0)*($G190-$H190)</f>
        <v>90.204103999999987</v>
      </c>
      <c r="X190" s="21">
        <f>VLOOKUP($A190,tabCustoUnit[],COLUMN(CUSTO_GLOBAL[[#Headers],[RAT Ajustado]])-2,0)*($G190-$H190)</f>
        <v>45.102051999999993</v>
      </c>
      <c r="Y190" s="21">
        <f>VLOOKUP($A190,tabCustoUnit[],COLUMN(CUSTO_GLOBAL[[#Headers],[SEBRAE]])-2,0)*($G190-$H190)</f>
        <v>6.7653077999999995</v>
      </c>
      <c r="Z190" s="21">
        <f>VLOOKUP($A190,tabCustoUnit[],COLUMN(CUSTO_GLOBAL[[#Headers],[Submódulo 2.1]])-2,0)*($G190-$H190)</f>
        <v>426.21439139999995</v>
      </c>
      <c r="AA190" s="21">
        <f>VLOOKUP($A190,tabCustoUnit[],COLUMN(CUSTO_GLOBAL[[#Headers],[13º salário (titular)]])-2,0)*($G190-$H190)</f>
        <v>93.962608333333321</v>
      </c>
      <c r="AB190" s="21">
        <f>VLOOKUP($A190,tabCustoUnit[],COLUMN(CUSTO_GLOBAL[[#Headers],[Férias e Adicional de Férias (titular)]])-2,0)*($G190-$H190)</f>
        <v>125.28347777777776</v>
      </c>
      <c r="AC190" s="21">
        <f>VLOOKUP($A190,tabCustoUnit[],COLUMN(CUSTO_GLOBAL[[#Headers],[Incidência do Submódulo 2.1 sobre 13º Salário, Férias e Adicional de Férias]])-2,0)*($G190-$H190)</f>
        <v>82.875020549999988</v>
      </c>
      <c r="AD190" s="21">
        <f>VLOOKUP($A190,tabCustoUnit[],COLUMN(CUSTO_GLOBAL[[#Headers],[Submódulo 2.2]])-2,0)*($G190-$H190)</f>
        <v>302.12110666111107</v>
      </c>
      <c r="AE190" s="22">
        <f>VLOOKUP($A190,tabCustoUnit[],COLUMN(CUSTO_GLOBAL[[#Headers],[Vale - Transporte (Descontada parcela do empregado)]])-2,0)*($G190-$H190)</f>
        <v>190.69780000000003</v>
      </c>
      <c r="AF190" s="22">
        <f>VLOOKUP($A190,tabCustoUnit[],COLUMN(CUSTO_GLOBAL[[#Headers],[Vale - Alimentação (Descontada parcela do empregado)]])-2,0)*($G190-$H190)</f>
        <v>582</v>
      </c>
      <c r="AG190" s="22">
        <f>VLOOKUP($A190,tabCustoUnit[],COLUMN(CUSTO_GLOBAL[[#Headers],[Cesta Básica]])-2,0)*($G190-$H190)</f>
        <v>0</v>
      </c>
      <c r="AH190" s="22">
        <f>VLOOKUP($A190,tabCustoUnit[],COLUMN(CUSTO_GLOBAL[[#Headers],[PAF]])-2,0)*($G190-$H190)</f>
        <v>51.86</v>
      </c>
      <c r="AI190" s="22">
        <f>VLOOKUP($A190,tabCustoUnit[],COLUMN(CUSTO_GLOBAL[[#Headers],[PQM]])-2,0)*($G190-$H190)</f>
        <v>0</v>
      </c>
      <c r="AJ190" s="22">
        <v>0</v>
      </c>
      <c r="AK190" s="22">
        <f>VLOOKUP($A190,tabCustoUnit[],COLUMN(CUSTO_GLOBAL[[#Headers],[Seguro de Vida]])-2,0)*($G190-$H190)</f>
        <v>3.36</v>
      </c>
      <c r="AL190" s="22">
        <f>VLOOKUP($A190,tabCustoUnit[],COLUMN(CUSTO_GLOBAL[[#Headers],[Despesas de Viagem]])-2,0)*($G190-$H190)</f>
        <v>0</v>
      </c>
      <c r="AM190" s="22">
        <f>VLOOKUP($A190,tabCustoUnit[],COLUMN(CUSTO_GLOBAL[[#Headers],[Submódulo 2.3]])-2,0)*($G190-$H190)</f>
        <v>827.91780000000006</v>
      </c>
      <c r="AN190" s="22">
        <f>VLOOKUP($A190,tabCustoUnit[],COLUMN(CUSTO_GLOBAL[[#Headers],[MÓDULO 2 - Total Encargos e Benefícios mensais e diários]])-2,0)*($G190-$H190)</f>
        <v>1556.2532980611111</v>
      </c>
      <c r="AO190" s="22">
        <f>VLOOKUP($A190,tabCustoUnit[],COLUMN(CUSTO_GLOBAL[[#Headers],[Aviso Prévio Indenizado (API) e Reflexo do Aviso Prévio Indenizado]])-2,0)*($G190-$H190)</f>
        <v>7.9061269683063262</v>
      </c>
      <c r="AP190" s="22">
        <f>VLOOKUP($A190,tabCustoUnit[],COLUMN(CUSTO_GLOBAL[[#Headers],[Incidência do FGTS sobre API e Reflexo do API]])-2,0)*($G190-$H190)</f>
        <v>0.6324901574645061</v>
      </c>
      <c r="AQ190" s="22">
        <f>VLOOKUP($A190,tabCustoUnit[],COLUMN(CUSTO_GLOBAL[[#Headers],[Multa Rescisória do FGTS sobre o Aviso Prévio Indenizado]])-2,0)*($G190-$H190)</f>
        <v>0.25299606298580246</v>
      </c>
      <c r="AR190" s="22">
        <f>VLOOKUP($A190,tabCustoUnit[],COLUMN(CUSTO_GLOBAL[[#Headers],[Aviso Prévio Trabalhado - APT]])-2,0)*($G190-$H190)</f>
        <v>3.94642955</v>
      </c>
      <c r="AS190" s="22">
        <f>VLOOKUP($A190,tabCustoUnit[],COLUMN(CUSTO_GLOBAL[[#Headers],[Incidência dos encargos do submódulo 2.1 sobre Aviso Prévio Trabalhado]])-2,0)*($G190-$H190)</f>
        <v>1.4917503699000003</v>
      </c>
      <c r="AT190" s="22">
        <f>VLOOKUP($A190,tabCustoUnit[],COLUMN(CUSTO_GLOBAL[[#Headers],[Multa Rescisória do FGTS]])-2,0)*($G190-$H190)</f>
        <v>34.478013084444434</v>
      </c>
      <c r="AU190" s="22">
        <f>VLOOKUP($A190,tabCustoUnit[],COLUMN(CUSTO_GLOBAL[[#Headers],[Indenização Adicional (Art. 9º da Lei nº 7.238/84)]])-2,0)*($G190-$H190)</f>
        <v>0.93962608333333331</v>
      </c>
      <c r="AV190" s="22">
        <f>VLOOKUP($A190,tabCustoUnit[],COLUMN(CUSTO_GLOBAL[[#Headers],[MÓDULO 3 – PROVISÃO PARA RESCISÃO]])-2,0)*($G190-$H190)</f>
        <v>49.647432276434401</v>
      </c>
      <c r="AW190" s="22">
        <f>VLOOKUP($A190,tabCustoUnit[],COLUMN(CUSTO_GLOBAL[[#Headers],[Ausência por Doença]])-2,0)*($G190-$H190)</f>
        <v>9.5215443111111089</v>
      </c>
      <c r="AX190" s="22">
        <f>VLOOKUP($A190,tabCustoUnit[],COLUMN(CUSTO_GLOBAL[[#Headers],[Ausências Legais]])-2,0)*($G190-$H190)</f>
        <v>2.2864234694444439</v>
      </c>
      <c r="AY190" s="22">
        <f>VLOOKUP($A190,tabCustoUnit[],COLUMN(CUSTO_GLOBAL[[#Headers],[Licença Paternidade]])-2,0)*($G190-$H190)</f>
        <v>0.19262334708333331</v>
      </c>
      <c r="AZ190" s="22">
        <f>VLOOKUP($A190,tabCustoUnit[],COLUMN(CUSTO_GLOBAL[[#Headers],[Ausência por Acidente de Trabalho]])-2,0)*($G190-$H190)</f>
        <v>0.23490652083333333</v>
      </c>
      <c r="BA190" s="22">
        <f>VLOOKUP($A190,tabCustoUnit[],COLUMN(CUSTO_GLOBAL[[#Headers],[Férias, Adicional de Férias e 13º  com empregada em gozo de Licença Maternidade]])-2,0)*($G190-$H190)</f>
        <v>1.4616405740740739</v>
      </c>
      <c r="BB190" s="22">
        <f>VLOOKUP($A190,tabCustoUnit[],COLUMN(CUSTO_GLOBAL[[#Headers],[Incidência do Submódulo 2.1 sobre Ausências Legais]])-2,0)*($G190-$H190)</f>
        <v>5.1775182481225004</v>
      </c>
      <c r="BC190" s="22">
        <f>VLOOKUP($A190,tabCustoUnit[],COLUMN(CUSTO_GLOBAL[[#Headers],[Submódulo 4.1]])-2,0)*($G190-$H190)</f>
        <v>18.874656470668793</v>
      </c>
      <c r="BD190" s="22">
        <f>VLOOKUP($A190,tabCustoUnit[],COLUMN(CUSTO_GLOBAL[[#Headers],[Intervalo para Repouso ou Alimentação]])-2,0)*($G190-$H190)</f>
        <v>0</v>
      </c>
      <c r="BE190" s="22">
        <f>VLOOKUP($A190,tabCustoUnit[],COLUMN(CUSTO_GLOBAL[[#Headers],[Submódulo 4.2]])-2,0)*($G190-$H190)</f>
        <v>0</v>
      </c>
      <c r="BF190" s="22">
        <f>VLOOKUP($A190,tabCustoUnit[],COLUMN(CUSTO_GLOBAL[[#Headers],[Suspensão Temporária do Contrato de Trabalho]])-2,0)*($G190-$H190)</f>
        <v>0</v>
      </c>
      <c r="BG190" s="22">
        <f>VLOOKUP($A190,tabCustoUnit[],COLUMN(CUSTO_GLOBAL[[#Headers],[Submódulo 4.3]])-2,0)*($G190-$H190)</f>
        <v>0</v>
      </c>
      <c r="BH190" s="22">
        <f>VLOOKUP($A190,tabCustoUnit[],COLUMN(CUSTO_GLOBAL[[#Headers],[MÓDULO 4 – CUSTO DE REPOSIÇÃO DO PROFISSIONAL AUSENTE]])-2,0)*($G190-$H190)</f>
        <v>18.874656470668793</v>
      </c>
      <c r="BI190" s="22">
        <f>VLOOKUP($A190,tabCustoUnit[],COLUMN(CUSTO_GLOBAL[[#Headers],[Uniformes e EPIs]])-2,0)*($G190-$H190)</f>
        <v>100.80916666666666</v>
      </c>
      <c r="BJ190" s="22">
        <f>VLOOKUP($A190,tabCustoUnit[],COLUMN(CUSTO_GLOBAL[[#Headers],[Materiais de Consumo]])-2,0)*($G190-$H190)</f>
        <v>24.216963380852651</v>
      </c>
      <c r="BK190" s="22">
        <f>VLOOKUP($A190,tabCustoUnit[],COLUMN(CUSTO_GLOBAL[[#Headers],[Máquinas e Equipamentos (depreciação)]])-2,0)*($G190-$H190)</f>
        <v>43.997314032835618</v>
      </c>
      <c r="BL190" s="22">
        <f>VLOOKUP($A190,tabCustoUnit[],COLUMN(CUSTO_GLOBAL[[#Headers],[Produtos de Limpeza e Materiais de Higiene Pessoal]])-2,0)*($G190-$H190)</f>
        <v>470.6396814404431</v>
      </c>
      <c r="BM190" s="22">
        <f>VLOOKUP($A190,tabCustoUnit[],COLUMN(CUSTO_GLOBAL[[#Headers],[Outros (especificar)]])-2,0)*($G190-$H190)</f>
        <v>0</v>
      </c>
      <c r="BN190" s="22">
        <f>VLOOKUP($A190,tabCustoUnit[],COLUMN(CUSTO_GLOBAL[[#Headers],[MÓDULO 5 – INSUMOS DIVERSOS]])-2,0)*($G190-$H190)</f>
        <v>639.66312552079808</v>
      </c>
      <c r="BO190" s="22">
        <f>VLOOKUP($A190,tabCustoUnit[],COLUMN(CUSTO_GLOBAL[[#Headers],[TOTAL MÓDULOS 1+2+3+4+5]])-2,0)*($G190-$H190)</f>
        <v>3391.9898123290122</v>
      </c>
      <c r="BP190" s="22">
        <f>VLOOKUP($A190,tabCustoUnit[],COLUMN(CUSTO_GLOBAL[[#Headers],[Custos Indiretos]])-2,0)*($G190-$H190)</f>
        <v>189.64880140242613</v>
      </c>
      <c r="BQ190" s="22">
        <f>VLOOKUP($A190,tabCustoUnit[],COLUMN(CUSTO_GLOBAL[[#Headers],[Lucro]])-2,0)*($G190-$H190)</f>
        <v>159.30499317803796</v>
      </c>
      <c r="BR190" s="26">
        <f>VLOOKUP($A190,tabCustoUnit[],COLUMN(CUSTO_GLOBAL[[#Headers],[COFINS]])-2,0)</f>
        <v>8.8629737609329504E-2</v>
      </c>
      <c r="BS190" s="26">
        <f>VLOOKUP($A190,tabCustoUnit[],COLUMN(CUSTO_GLOBAL[[#Headers],[PIS]])-2,0)</f>
        <v>1.9241982507288629E-2</v>
      </c>
      <c r="BT190" s="28">
        <f>VLOOKUP($A190,tabCustoUnit[],COLUMN(CUSTO_GLOBAL[[#Headers],[ISS]])-2,0)</f>
        <v>0.05</v>
      </c>
      <c r="BU190" s="26">
        <f>VLOOKUP($A190,tabCustoUnit[],COLUMN(CUSTO_GLOBAL[[#Headers],[ISS (Conversão Alíquota s/ fatura)]])-2,0)</f>
        <v>5.8309037900874633E-2</v>
      </c>
      <c r="BV190" s="26">
        <f>VLOOKUP($A190,tabCustoUnit[],COLUMN(CUSTO_GLOBAL[[#Headers],[Resumo de Alíquotas (PIS+CONFINS+ISS)]])-2,0)</f>
        <v>0.14250000000000002</v>
      </c>
      <c r="BW190" s="138">
        <f>VLOOKUP($A190,tabCustoUnit[],COLUMN(CUSTO_GLOBAL[[#Headers],[PIS + COFINS + ISS (Total Conversão  Alíquota s/ Fatura)]])-2,0)</f>
        <v>0.16618075801749277</v>
      </c>
      <c r="BX190" s="22">
        <f>VLOOKUP($A190,tabCustoUnit[],COLUMN(CUSTO_GLOBAL[[#Headers],[Valor dos Tributos (ISS, PIS, CONFINS)]])-2,0)*($G190-$H190)</f>
        <v>621.67284429691028</v>
      </c>
      <c r="BY190" s="22">
        <f>VLOOKUP($A190,tabCustoUnit[],COLUMN(CUSTO_GLOBAL[[#Headers],[MÓDULO 6 – CUSTOS INDIRETOS, TRIBUTOS E LUCRO]])-2,0)*($G190-$H190)</f>
        <v>970.62663887737438</v>
      </c>
      <c r="BZ190" s="22">
        <f>VLOOKUP($A190,tabCustoUnit[],COLUMN(CUSTO_GLOBAL[[#Headers],[CUSTO TOTAL MENSAL]])-2,0)*($G190-$H190)</f>
        <v>4362.616451206387</v>
      </c>
      <c r="CA190" s="22">
        <f>CUSTO_GLOBAL[[#This Row],[CUSTO TOTAL MENSAL]]*12</f>
        <v>52351.39741447664</v>
      </c>
      <c r="CB190" s="24">
        <f>VLOOKUP($A190,tabCustoUnit[],COLUMN(CUSTO_GLOBAL[[#Headers],[ANO DA CCT]])-2,0)</f>
        <v>45658</v>
      </c>
      <c r="CC190" s="25" t="str">
        <f>VLOOKUP($A190,tabCustoUnit[],COLUMN(CUSTO_GLOBAL[[#Headers],[Nº DE PEDIDO DA CCT]])-2,0)</f>
        <v>-</v>
      </c>
      <c r="CD190" s="25" t="str">
        <f>VLOOKUP($A190,tabCustoUnit[],COLUMN(CUSTO_GLOBAL[[#Headers],[TERMO ADITIVO  ALTERAÇÃO DA CCT]])-2,0)</f>
        <v>-</v>
      </c>
      <c r="CF190" s="22"/>
      <c r="CG190" s="22"/>
    </row>
    <row r="191" spans="1:85" x14ac:dyDescent="0.25">
      <c r="A191" s="20" t="s">
        <v>1527</v>
      </c>
      <c r="B191" t="s">
        <v>173</v>
      </c>
      <c r="C191" t="s">
        <v>1244</v>
      </c>
      <c r="D191" t="s">
        <v>1010</v>
      </c>
      <c r="E191" s="20" t="s">
        <v>9</v>
      </c>
      <c r="F191" s="20" t="s">
        <v>10</v>
      </c>
      <c r="G191" s="20">
        <v>1</v>
      </c>
      <c r="H191" s="20">
        <v>0</v>
      </c>
      <c r="I191" s="21">
        <f>VLOOKUP($A191,tabCustoUnit[],COLUMN(CUSTO_GLOBAL[[#Headers],[Salário Base]])-2,0)*($G191-$H191)</f>
        <v>798.14</v>
      </c>
      <c r="J191" s="21">
        <f>VLOOKUP($A191,tabCustoUnit[],COLUMN(CUSTO_GLOBAL[[#Headers],[Adicional Periculosidade]])-2,0)*($G191-$H191)</f>
        <v>0</v>
      </c>
      <c r="K191" s="21">
        <f>VLOOKUP($A191,tabCustoUnit[],COLUMN(CUSTO_GLOBAL[[#Headers],[Adicional Insalubridade]])-2,0)*($G191-$H191)</f>
        <v>0</v>
      </c>
      <c r="L191" s="21">
        <f>VLOOKUP($A191,tabCustoUnit[],COLUMN(CUSTO_GLOBAL[[#Headers],[Adicional Noturno]])-2,0)*($G191-$H191)</f>
        <v>0</v>
      </c>
      <c r="M191" s="21">
        <f>VLOOKUP($A191,tabCustoUnit[],COLUMN(CUSTO_GLOBAL[[#Headers],[Adicional Motorista II (Gratificação)]])-2,0)*($G191-$H191)</f>
        <v>0</v>
      </c>
      <c r="N191" s="21">
        <f>VLOOKUP($A191,tabCustoUnit[],COLUMN(CUSTO_GLOBAL[[#Headers],[Adicional de Sobreaviso]])-2,0)*($G191-$H191)</f>
        <v>0</v>
      </c>
      <c r="O191" s="21">
        <f>VLOOKUP($A191,tabCustoUnit[],COLUMN(CUSTO_GLOBAL[[#Headers],[Horas Extras TI]])-2,0)*($G191-$H191)</f>
        <v>0</v>
      </c>
      <c r="P191" s="21">
        <f>VLOOKUP($A191,tabCustoUnit[],COLUMN(CUSTO_GLOBAL[[#Headers],[Adicional de Acúmulo de função]])-2,0)*($G191-$H191)</f>
        <v>26.120899999999999</v>
      </c>
      <c r="Q191" s="21">
        <f>VLOOKUP($A191,tabCustoUnit[],COLUMN(CUSTO_GLOBAL[[#Headers],[MODULO 1 - REMUNERAÇÃO ]])-2,0)*($G191-$H191)</f>
        <v>824.26089999999999</v>
      </c>
      <c r="R191" s="21">
        <f>VLOOKUP($A191,tabCustoUnit[],COLUMN(CUSTO_GLOBAL[[#Headers],[INSS]])-2,0)*($G191-$H191)</f>
        <v>164.85218</v>
      </c>
      <c r="S191" s="21">
        <f>VLOOKUP($A191,tabCustoUnit[],COLUMN(CUSTO_GLOBAL[[#Headers],[SESI OU SESC]])-2,0)*($G191-$H191)</f>
        <v>12.363913499999999</v>
      </c>
      <c r="T191" s="21">
        <f>VLOOKUP($A191,tabCustoUnit[],COLUMN(CUSTO_GLOBAL[[#Headers],[SENAI OU SENAC]])-2,0)*($G191-$H191)</f>
        <v>8.2426089999999999</v>
      </c>
      <c r="U191" s="21">
        <f>VLOOKUP($A191,tabCustoUnit[],COLUMN(CUSTO_GLOBAL[[#Headers],[INCRA]])-2,0)*($G191-$H191)</f>
        <v>1.6485217999999999</v>
      </c>
      <c r="V191" s="21">
        <f>VLOOKUP($A191,tabCustoUnit[],COLUMN(CUSTO_GLOBAL[[#Headers],[Salário Educação]])-2,0)*($G191-$H191)</f>
        <v>20.606522500000001</v>
      </c>
      <c r="W191" s="21">
        <f>VLOOKUP($A191,tabCustoUnit[],COLUMN(CUSTO_GLOBAL[[#Headers],[FGTS]])-2,0)*($G191-$H191)</f>
        <v>65.940871999999999</v>
      </c>
      <c r="X191" s="21">
        <f>VLOOKUP($A191,tabCustoUnit[],COLUMN(CUSTO_GLOBAL[[#Headers],[RAT Ajustado]])-2,0)*($G191-$H191)</f>
        <v>32.970435999999999</v>
      </c>
      <c r="Y191" s="21">
        <f>VLOOKUP($A191,tabCustoUnit[],COLUMN(CUSTO_GLOBAL[[#Headers],[SEBRAE]])-2,0)*($G191-$H191)</f>
        <v>4.9455654000000004</v>
      </c>
      <c r="Z191" s="21">
        <f>VLOOKUP($A191,tabCustoUnit[],COLUMN(CUSTO_GLOBAL[[#Headers],[Submódulo 2.1]])-2,0)*($G191-$H191)</f>
        <v>311.57062020000001</v>
      </c>
      <c r="AA191" s="21">
        <f>VLOOKUP($A191,tabCustoUnit[],COLUMN(CUSTO_GLOBAL[[#Headers],[13º salário (titular)]])-2,0)*($G191-$H191)</f>
        <v>68.688408333333328</v>
      </c>
      <c r="AB191" s="21">
        <f>VLOOKUP($A191,tabCustoUnit[],COLUMN(CUSTO_GLOBAL[[#Headers],[Férias e Adicional de Férias (titular)]])-2,0)*($G191-$H191)</f>
        <v>91.584544444444433</v>
      </c>
      <c r="AC191" s="21">
        <f>VLOOKUP($A191,tabCustoUnit[],COLUMN(CUSTO_GLOBAL[[#Headers],[Incidência do Submódulo 2.1 sobre 13º Salário, Férias e Adicional de Férias]])-2,0)*($G191-$H191)</f>
        <v>60.583176149999993</v>
      </c>
      <c r="AD191" s="21">
        <f>VLOOKUP($A191,tabCustoUnit[],COLUMN(CUSTO_GLOBAL[[#Headers],[Submódulo 2.2]])-2,0)*($G191-$H191)</f>
        <v>220.85612892777775</v>
      </c>
      <c r="AE191" s="22">
        <f>VLOOKUP($A191,tabCustoUnit[],COLUMN(CUSTO_GLOBAL[[#Headers],[Vale - Transporte (Descontada parcela do empregado)]])-2,0)*($G191-$H191)</f>
        <v>208.11160000000001</v>
      </c>
      <c r="AF191" s="22">
        <f>VLOOKUP($A191,tabCustoUnit[],COLUMN(CUSTO_GLOBAL[[#Headers],[Vale - Alimentação (Descontada parcela do empregado)]])-2,0)*($G191-$H191)</f>
        <v>582</v>
      </c>
      <c r="AG191" s="22">
        <f>VLOOKUP($A191,tabCustoUnit[],COLUMN(CUSTO_GLOBAL[[#Headers],[Cesta Básica]])-2,0)*($G191-$H191)</f>
        <v>0</v>
      </c>
      <c r="AH191" s="22">
        <f>VLOOKUP($A191,tabCustoUnit[],COLUMN(CUSTO_GLOBAL[[#Headers],[PAF]])-2,0)*($G191-$H191)</f>
        <v>0</v>
      </c>
      <c r="AI191" s="22">
        <f>VLOOKUP($A191,tabCustoUnit[],COLUMN(CUSTO_GLOBAL[[#Headers],[PQM]])-2,0)*($G191-$H191)</f>
        <v>0</v>
      </c>
      <c r="AJ191" s="22">
        <v>0</v>
      </c>
      <c r="AK191" s="22">
        <f>VLOOKUP($A191,tabCustoUnit[],COLUMN(CUSTO_GLOBAL[[#Headers],[Seguro de Vida]])-2,0)*($G191-$H191)</f>
        <v>3.36</v>
      </c>
      <c r="AL191" s="22">
        <f>VLOOKUP($A191,tabCustoUnit[],COLUMN(CUSTO_GLOBAL[[#Headers],[Despesas de Viagem]])-2,0)*($G191-$H191)</f>
        <v>0</v>
      </c>
      <c r="AM191" s="22">
        <f>VLOOKUP($A191,tabCustoUnit[],COLUMN(CUSTO_GLOBAL[[#Headers],[Submódulo 2.3]])-2,0)*($G191-$H191)</f>
        <v>793.47159999999997</v>
      </c>
      <c r="AN191" s="22">
        <f>VLOOKUP($A191,tabCustoUnit[],COLUMN(CUSTO_GLOBAL[[#Headers],[MÓDULO 2 - Total Encargos e Benefícios mensais e diários]])-2,0)*($G191-$H191)</f>
        <v>1325.8983491277777</v>
      </c>
      <c r="AO191" s="22">
        <f>VLOOKUP($A191,tabCustoUnit[],COLUMN(CUSTO_GLOBAL[[#Headers],[Aviso Prévio Indenizado (API) e Reflexo do Aviso Prévio Indenizado]])-2,0)*($G191-$H191)</f>
        <v>5.7795253576581791</v>
      </c>
      <c r="AP191" s="22">
        <f>VLOOKUP($A191,tabCustoUnit[],COLUMN(CUSTO_GLOBAL[[#Headers],[Incidência do FGTS sobre API e Reflexo do API]])-2,0)*($G191-$H191)</f>
        <v>0.46236202861265435</v>
      </c>
      <c r="AQ191" s="22">
        <f>VLOOKUP($A191,tabCustoUnit[],COLUMN(CUSTO_GLOBAL[[#Headers],[Multa Rescisória do FGTS sobre o Aviso Prévio Indenizado]])-2,0)*($G191-$H191)</f>
        <v>0.18494481144506175</v>
      </c>
      <c r="AR191" s="22">
        <f>VLOOKUP($A191,tabCustoUnit[],COLUMN(CUSTO_GLOBAL[[#Headers],[Aviso Prévio Trabalhado - APT]])-2,0)*($G191-$H191)</f>
        <v>2.8849131500000005</v>
      </c>
      <c r="AS191" s="22">
        <f>VLOOKUP($A191,tabCustoUnit[],COLUMN(CUSTO_GLOBAL[[#Headers],[Incidência dos encargos do submódulo 2.1 sobre Aviso Prévio Trabalhado]])-2,0)*($G191-$H191)</f>
        <v>1.0904971707000004</v>
      </c>
      <c r="AT191" s="22">
        <f>VLOOKUP($A191,tabCustoUnit[],COLUMN(CUSTO_GLOBAL[[#Headers],[Multa Rescisória do FGTS]])-2,0)*($G191-$H191)</f>
        <v>25.204066631111107</v>
      </c>
      <c r="AU191" s="22">
        <f>VLOOKUP($A191,tabCustoUnit[],COLUMN(CUSTO_GLOBAL[[#Headers],[Indenização Adicional (Art. 9º da Lei nº 7.238/84)]])-2,0)*($G191-$H191)</f>
        <v>0.6868840833333334</v>
      </c>
      <c r="AV191" s="22">
        <f>VLOOKUP($A191,tabCustoUnit[],COLUMN(CUSTO_GLOBAL[[#Headers],[MÓDULO 3 – PROVISÃO PARA RESCISÃO]])-2,0)*($G191-$H191)</f>
        <v>36.293193232860339</v>
      </c>
      <c r="AW191" s="22">
        <f>VLOOKUP($A191,tabCustoUnit[],COLUMN(CUSTO_GLOBAL[[#Headers],[Ausência por Doença]])-2,0)*($G191-$H191)</f>
        <v>6.9604253777777769</v>
      </c>
      <c r="AX191" s="22">
        <f>VLOOKUP($A191,tabCustoUnit[],COLUMN(CUSTO_GLOBAL[[#Headers],[Ausências Legais]])-2,0)*($G191-$H191)</f>
        <v>1.671417936111111</v>
      </c>
      <c r="AY191" s="22">
        <f>VLOOKUP($A191,tabCustoUnit[],COLUMN(CUSTO_GLOBAL[[#Headers],[Licença Paternidade]])-2,0)*($G191-$H191)</f>
        <v>0.14081123708333332</v>
      </c>
      <c r="AZ191" s="22">
        <f>VLOOKUP($A191,tabCustoUnit[],COLUMN(CUSTO_GLOBAL[[#Headers],[Ausência por Acidente de Trabalho]])-2,0)*($G191-$H191)</f>
        <v>0.17172102083333335</v>
      </c>
      <c r="BA191" s="22">
        <f>VLOOKUP($A191,tabCustoUnit[],COLUMN(CUSTO_GLOBAL[[#Headers],[Férias, Adicional de Férias e 13º  com empregada em gozo de Licença Maternidade]])-2,0)*($G191-$H191)</f>
        <v>1.0684863518518517</v>
      </c>
      <c r="BB191" s="22">
        <f>VLOOKUP($A191,tabCustoUnit[],COLUMN(CUSTO_GLOBAL[[#Headers],[Incidência do Submódulo 2.1 sobre Ausências Legais]])-2,0)*($G191-$H191)</f>
        <v>3.7848618071425006</v>
      </c>
      <c r="BC191" s="22">
        <f>VLOOKUP($A191,tabCustoUnit[],COLUMN(CUSTO_GLOBAL[[#Headers],[Submódulo 4.1]])-2,0)*($G191-$H191)</f>
        <v>13.797723730799909</v>
      </c>
      <c r="BD191" s="22">
        <f>VLOOKUP($A191,tabCustoUnit[],COLUMN(CUSTO_GLOBAL[[#Headers],[Intervalo para Repouso ou Alimentação]])-2,0)*($G191-$H191)</f>
        <v>0</v>
      </c>
      <c r="BE191" s="22">
        <f>VLOOKUP($A191,tabCustoUnit[],COLUMN(CUSTO_GLOBAL[[#Headers],[Submódulo 4.2]])-2,0)*($G191-$H191)</f>
        <v>0</v>
      </c>
      <c r="BF191" s="22">
        <f>VLOOKUP($A191,tabCustoUnit[],COLUMN(CUSTO_GLOBAL[[#Headers],[Suspensão Temporária do Contrato de Trabalho]])-2,0)*($G191-$H191)</f>
        <v>0</v>
      </c>
      <c r="BG191" s="22">
        <f>VLOOKUP($A191,tabCustoUnit[],COLUMN(CUSTO_GLOBAL[[#Headers],[Submódulo 4.3]])-2,0)*($G191-$H191)</f>
        <v>0</v>
      </c>
      <c r="BH191" s="22">
        <f>VLOOKUP($A191,tabCustoUnit[],COLUMN(CUSTO_GLOBAL[[#Headers],[MÓDULO 4 – CUSTO DE REPOSIÇÃO DO PROFISSIONAL AUSENTE]])-2,0)*($G191-$H191)</f>
        <v>13.797723730799909</v>
      </c>
      <c r="BI191" s="22">
        <f>VLOOKUP($A191,tabCustoUnit[],COLUMN(CUSTO_GLOBAL[[#Headers],[Uniformes e EPIs]])-2,0)*($G191-$H191)</f>
        <v>62.806666666666665</v>
      </c>
      <c r="BJ191" s="22">
        <f>VLOOKUP($A191,tabCustoUnit[],COLUMN(CUSTO_GLOBAL[[#Headers],[Materiais de Consumo]])-2,0)*($G191-$H191)</f>
        <v>17.759106479291944</v>
      </c>
      <c r="BK191" s="22">
        <f>VLOOKUP($A191,tabCustoUnit[],COLUMN(CUSTO_GLOBAL[[#Headers],[Máquinas e Equipamentos (depreciação)]])-2,0)*($G191-$H191)</f>
        <v>32.264696957412788</v>
      </c>
      <c r="BL191" s="22">
        <f>VLOOKUP($A191,tabCustoUnit[],COLUMN(CUSTO_GLOBAL[[#Headers],[Produtos de Limpeza e Materiais de Higiene Pessoal]])-2,0)*($G191-$H191)</f>
        <v>345.13576638965827</v>
      </c>
      <c r="BM191" s="22">
        <f>VLOOKUP($A191,tabCustoUnit[],COLUMN(CUSTO_GLOBAL[[#Headers],[Outros (especificar)]])-2,0)*($G191-$H191)</f>
        <v>0</v>
      </c>
      <c r="BN191" s="22">
        <f>VLOOKUP($A191,tabCustoUnit[],COLUMN(CUSTO_GLOBAL[[#Headers],[MÓDULO 5 – INSUMOS DIVERSOS]])-2,0)*($G191-$H191)</f>
        <v>457.96623649302967</v>
      </c>
      <c r="BO191" s="22">
        <f>VLOOKUP($A191,tabCustoUnit[],COLUMN(CUSTO_GLOBAL[[#Headers],[TOTAL MÓDULOS 1+2+3+4+5]])-2,0)*($G191-$H191)</f>
        <v>2658.2164025844677</v>
      </c>
      <c r="BP191" s="22">
        <f>VLOOKUP($A191,tabCustoUnit[],COLUMN(CUSTO_GLOBAL[[#Headers],[Custos Indiretos]])-2,0)*($G191-$H191)</f>
        <v>189.64880140242613</v>
      </c>
      <c r="BQ191" s="22">
        <f>VLOOKUP($A191,tabCustoUnit[],COLUMN(CUSTO_GLOBAL[[#Headers],[Lucro]])-2,0)*($G191-$H191)</f>
        <v>159.30499317803796</v>
      </c>
      <c r="BR191" s="26">
        <f>VLOOKUP($A191,tabCustoUnit[],COLUMN(CUSTO_GLOBAL[[#Headers],[COFINS]])-2,0)</f>
        <v>8.5633802816901458E-2</v>
      </c>
      <c r="BS191" s="26">
        <f>VLOOKUP($A191,tabCustoUnit[],COLUMN(CUSTO_GLOBAL[[#Headers],[PIS]])-2,0)</f>
        <v>1.8591549295774657E-2</v>
      </c>
      <c r="BT191" s="28">
        <f>VLOOKUP($A191,tabCustoUnit[],COLUMN(CUSTO_GLOBAL[[#Headers],[ISS]])-2,0)</f>
        <v>0.02</v>
      </c>
      <c r="BU191" s="26">
        <f>VLOOKUP($A191,tabCustoUnit[],COLUMN(CUSTO_GLOBAL[[#Headers],[ISS (Conversão Alíquota s/ fatura)]])-2,0)</f>
        <v>2.2535211267605645E-2</v>
      </c>
      <c r="BV191" s="26">
        <f>VLOOKUP($A191,tabCustoUnit[],COLUMN(CUSTO_GLOBAL[[#Headers],[Resumo de Alíquotas (PIS+CONFINS+ISS)]])-2,0)</f>
        <v>0.1125</v>
      </c>
      <c r="BW191" s="138">
        <f>VLOOKUP($A191,tabCustoUnit[],COLUMN(CUSTO_GLOBAL[[#Headers],[PIS + COFINS + ISS (Total Conversão  Alíquota s/ Fatura)]])-2,0)</f>
        <v>0.12676056338028174</v>
      </c>
      <c r="BX191" s="22">
        <f>VLOOKUP($A191,tabCustoUnit[],COLUMN(CUSTO_GLOBAL[[#Headers],[Valor dos Tributos (ISS, PIS, CONFINS)]])-2,0)*($G191-$H191)</f>
        <v>381.19058837301969</v>
      </c>
      <c r="BY191" s="22">
        <f>VLOOKUP($A191,tabCustoUnit[],COLUMN(CUSTO_GLOBAL[[#Headers],[MÓDULO 6 – CUSTOS INDIRETOS, TRIBUTOS E LUCRO]])-2,0)*($G191-$H191)</f>
        <v>730.14438295348373</v>
      </c>
      <c r="BZ191" s="22">
        <f>VLOOKUP($A191,tabCustoUnit[],COLUMN(CUSTO_GLOBAL[[#Headers],[CUSTO TOTAL MENSAL]])-2,0)*($G191-$H191)</f>
        <v>3388.3607855379514</v>
      </c>
      <c r="CA191" s="22">
        <f>CUSTO_GLOBAL[[#This Row],[CUSTO TOTAL MENSAL]]*12</f>
        <v>40660.329426455413</v>
      </c>
      <c r="CB191" s="24">
        <f>VLOOKUP($A191,tabCustoUnit[],COLUMN(CUSTO_GLOBAL[[#Headers],[ANO DA CCT]])-2,0)</f>
        <v>45658</v>
      </c>
      <c r="CC191" s="25" t="str">
        <f>VLOOKUP($A191,tabCustoUnit[],COLUMN(CUSTO_GLOBAL[[#Headers],[Nº DE PEDIDO DA CCT]])-2,0)</f>
        <v>-</v>
      </c>
      <c r="CD191" s="25" t="str">
        <f>VLOOKUP($A191,tabCustoUnit[],COLUMN(CUSTO_GLOBAL[[#Headers],[TERMO ADITIVO  ALTERAÇÃO DA CCT]])-2,0)</f>
        <v>-</v>
      </c>
      <c r="CF191" s="22"/>
      <c r="CG191" s="22"/>
    </row>
    <row r="192" spans="1:85" x14ac:dyDescent="0.25">
      <c r="A192" s="20" t="s">
        <v>1528</v>
      </c>
      <c r="B192" t="s">
        <v>174</v>
      </c>
      <c r="C192" t="s">
        <v>1244</v>
      </c>
      <c r="D192" t="s">
        <v>1023</v>
      </c>
      <c r="E192" s="20" t="s">
        <v>9</v>
      </c>
      <c r="F192" s="20" t="s">
        <v>10</v>
      </c>
      <c r="G192" s="20">
        <v>1</v>
      </c>
      <c r="H192" s="20">
        <v>0</v>
      </c>
      <c r="I192" s="21">
        <f>VLOOKUP($A192,tabCustoUnit[],COLUMN(CUSTO_GLOBAL[[#Headers],[Salário Base]])-2,0)*($G192-$H192)</f>
        <v>798.14</v>
      </c>
      <c r="J192" s="21">
        <f>VLOOKUP($A192,tabCustoUnit[],COLUMN(CUSTO_GLOBAL[[#Headers],[Adicional Periculosidade]])-2,0)*($G192-$H192)</f>
        <v>0</v>
      </c>
      <c r="K192" s="21">
        <f>VLOOKUP($A192,tabCustoUnit[],COLUMN(CUSTO_GLOBAL[[#Headers],[Adicional Insalubridade]])-2,0)*($G192-$H192)</f>
        <v>0</v>
      </c>
      <c r="L192" s="21">
        <f>VLOOKUP($A192,tabCustoUnit[],COLUMN(CUSTO_GLOBAL[[#Headers],[Adicional Noturno]])-2,0)*($G192-$H192)</f>
        <v>0</v>
      </c>
      <c r="M192" s="21">
        <f>VLOOKUP($A192,tabCustoUnit[],COLUMN(CUSTO_GLOBAL[[#Headers],[Adicional Motorista II (Gratificação)]])-2,0)*($G192-$H192)</f>
        <v>0</v>
      </c>
      <c r="N192" s="21">
        <f>VLOOKUP($A192,tabCustoUnit[],COLUMN(CUSTO_GLOBAL[[#Headers],[Adicional de Sobreaviso]])-2,0)*($G192-$H192)</f>
        <v>0</v>
      </c>
      <c r="O192" s="21">
        <f>VLOOKUP($A192,tabCustoUnit[],COLUMN(CUSTO_GLOBAL[[#Headers],[Horas Extras TI]])-2,0)*($G192-$H192)</f>
        <v>0</v>
      </c>
      <c r="P192" s="21">
        <f>VLOOKUP($A192,tabCustoUnit[],COLUMN(CUSTO_GLOBAL[[#Headers],[Adicional de Acúmulo de função]])-2,0)*($G192-$H192)</f>
        <v>26.120899999999999</v>
      </c>
      <c r="Q192" s="21">
        <f>VLOOKUP($A192,tabCustoUnit[],COLUMN(CUSTO_GLOBAL[[#Headers],[MODULO 1 - REMUNERAÇÃO ]])-2,0)*($G192-$H192)</f>
        <v>824.26089999999999</v>
      </c>
      <c r="R192" s="21">
        <f>VLOOKUP($A192,tabCustoUnit[],COLUMN(CUSTO_GLOBAL[[#Headers],[INSS]])-2,0)*($G192-$H192)</f>
        <v>164.85218</v>
      </c>
      <c r="S192" s="21">
        <f>VLOOKUP($A192,tabCustoUnit[],COLUMN(CUSTO_GLOBAL[[#Headers],[SESI OU SESC]])-2,0)*($G192-$H192)</f>
        <v>12.363913499999999</v>
      </c>
      <c r="T192" s="21">
        <f>VLOOKUP($A192,tabCustoUnit[],COLUMN(CUSTO_GLOBAL[[#Headers],[SENAI OU SENAC]])-2,0)*($G192-$H192)</f>
        <v>8.2426089999999999</v>
      </c>
      <c r="U192" s="21">
        <f>VLOOKUP($A192,tabCustoUnit[],COLUMN(CUSTO_GLOBAL[[#Headers],[INCRA]])-2,0)*($G192-$H192)</f>
        <v>1.6485217999999999</v>
      </c>
      <c r="V192" s="21">
        <f>VLOOKUP($A192,tabCustoUnit[],COLUMN(CUSTO_GLOBAL[[#Headers],[Salário Educação]])-2,0)*($G192-$H192)</f>
        <v>20.606522500000001</v>
      </c>
      <c r="W192" s="21">
        <f>VLOOKUP($A192,tabCustoUnit[],COLUMN(CUSTO_GLOBAL[[#Headers],[FGTS]])-2,0)*($G192-$H192)</f>
        <v>65.940871999999999</v>
      </c>
      <c r="X192" s="21">
        <f>VLOOKUP($A192,tabCustoUnit[],COLUMN(CUSTO_GLOBAL[[#Headers],[RAT Ajustado]])-2,0)*($G192-$H192)</f>
        <v>32.970435999999999</v>
      </c>
      <c r="Y192" s="21">
        <f>VLOOKUP($A192,tabCustoUnit[],COLUMN(CUSTO_GLOBAL[[#Headers],[SEBRAE]])-2,0)*($G192-$H192)</f>
        <v>4.9455654000000004</v>
      </c>
      <c r="Z192" s="21">
        <f>VLOOKUP($A192,tabCustoUnit[],COLUMN(CUSTO_GLOBAL[[#Headers],[Submódulo 2.1]])-2,0)*($G192-$H192)</f>
        <v>311.57062020000001</v>
      </c>
      <c r="AA192" s="21">
        <f>VLOOKUP($A192,tabCustoUnit[],COLUMN(CUSTO_GLOBAL[[#Headers],[13º salário (titular)]])-2,0)*($G192-$H192)</f>
        <v>68.688408333333328</v>
      </c>
      <c r="AB192" s="21">
        <f>VLOOKUP($A192,tabCustoUnit[],COLUMN(CUSTO_GLOBAL[[#Headers],[Férias e Adicional de Férias (titular)]])-2,0)*($G192-$H192)</f>
        <v>91.584544444444433</v>
      </c>
      <c r="AC192" s="21">
        <f>VLOOKUP($A192,tabCustoUnit[],COLUMN(CUSTO_GLOBAL[[#Headers],[Incidência do Submódulo 2.1 sobre 13º Salário, Férias e Adicional de Férias]])-2,0)*($G192-$H192)</f>
        <v>60.583176149999993</v>
      </c>
      <c r="AD192" s="21">
        <f>VLOOKUP($A192,tabCustoUnit[],COLUMN(CUSTO_GLOBAL[[#Headers],[Submódulo 2.2]])-2,0)*($G192-$H192)</f>
        <v>220.85612892777775</v>
      </c>
      <c r="AE192" s="22">
        <f>VLOOKUP($A192,tabCustoUnit[],COLUMN(CUSTO_GLOBAL[[#Headers],[Vale - Transporte (Descontada parcela do empregado)]])-2,0)*($G192-$H192)</f>
        <v>208.11160000000001</v>
      </c>
      <c r="AF192" s="22">
        <f>VLOOKUP($A192,tabCustoUnit[],COLUMN(CUSTO_GLOBAL[[#Headers],[Vale - Alimentação (Descontada parcela do empregado)]])-2,0)*($G192-$H192)</f>
        <v>582</v>
      </c>
      <c r="AG192" s="22">
        <f>VLOOKUP($A192,tabCustoUnit[],COLUMN(CUSTO_GLOBAL[[#Headers],[Cesta Básica]])-2,0)*($G192-$H192)</f>
        <v>0</v>
      </c>
      <c r="AH192" s="22">
        <f>VLOOKUP($A192,tabCustoUnit[],COLUMN(CUSTO_GLOBAL[[#Headers],[PAF]])-2,0)*($G192-$H192)</f>
        <v>0</v>
      </c>
      <c r="AI192" s="22">
        <f>VLOOKUP($A192,tabCustoUnit[],COLUMN(CUSTO_GLOBAL[[#Headers],[PQM]])-2,0)*($G192-$H192)</f>
        <v>0</v>
      </c>
      <c r="AJ192" s="22">
        <v>0</v>
      </c>
      <c r="AK192" s="22">
        <f>VLOOKUP($A192,tabCustoUnit[],COLUMN(CUSTO_GLOBAL[[#Headers],[Seguro de Vida]])-2,0)*($G192-$H192)</f>
        <v>3.36</v>
      </c>
      <c r="AL192" s="22">
        <f>VLOOKUP($A192,tabCustoUnit[],COLUMN(CUSTO_GLOBAL[[#Headers],[Despesas de Viagem]])-2,0)*($G192-$H192)</f>
        <v>0</v>
      </c>
      <c r="AM192" s="22">
        <f>VLOOKUP($A192,tabCustoUnit[],COLUMN(CUSTO_GLOBAL[[#Headers],[Submódulo 2.3]])-2,0)*($G192-$H192)</f>
        <v>793.47159999999997</v>
      </c>
      <c r="AN192" s="22">
        <f>VLOOKUP($A192,tabCustoUnit[],COLUMN(CUSTO_GLOBAL[[#Headers],[MÓDULO 2 - Total Encargos e Benefícios mensais e diários]])-2,0)*($G192-$H192)</f>
        <v>1325.8983491277777</v>
      </c>
      <c r="AO192" s="22">
        <f>VLOOKUP($A192,tabCustoUnit[],COLUMN(CUSTO_GLOBAL[[#Headers],[Aviso Prévio Indenizado (API) e Reflexo do Aviso Prévio Indenizado]])-2,0)*($G192-$H192)</f>
        <v>5.7795253576581791</v>
      </c>
      <c r="AP192" s="22">
        <f>VLOOKUP($A192,tabCustoUnit[],COLUMN(CUSTO_GLOBAL[[#Headers],[Incidência do FGTS sobre API e Reflexo do API]])-2,0)*($G192-$H192)</f>
        <v>0.46236202861265435</v>
      </c>
      <c r="AQ192" s="22">
        <f>VLOOKUP($A192,tabCustoUnit[],COLUMN(CUSTO_GLOBAL[[#Headers],[Multa Rescisória do FGTS sobre o Aviso Prévio Indenizado]])-2,0)*($G192-$H192)</f>
        <v>0.18494481144506175</v>
      </c>
      <c r="AR192" s="22">
        <f>VLOOKUP($A192,tabCustoUnit[],COLUMN(CUSTO_GLOBAL[[#Headers],[Aviso Prévio Trabalhado - APT]])-2,0)*($G192-$H192)</f>
        <v>2.8849131500000005</v>
      </c>
      <c r="AS192" s="22">
        <f>VLOOKUP($A192,tabCustoUnit[],COLUMN(CUSTO_GLOBAL[[#Headers],[Incidência dos encargos do submódulo 2.1 sobre Aviso Prévio Trabalhado]])-2,0)*($G192-$H192)</f>
        <v>1.0904971707000004</v>
      </c>
      <c r="AT192" s="22">
        <f>VLOOKUP($A192,tabCustoUnit[],COLUMN(CUSTO_GLOBAL[[#Headers],[Multa Rescisória do FGTS]])-2,0)*($G192-$H192)</f>
        <v>25.204066631111107</v>
      </c>
      <c r="AU192" s="22">
        <f>VLOOKUP($A192,tabCustoUnit[],COLUMN(CUSTO_GLOBAL[[#Headers],[Indenização Adicional (Art. 9º da Lei nº 7.238/84)]])-2,0)*($G192-$H192)</f>
        <v>0.6868840833333334</v>
      </c>
      <c r="AV192" s="22">
        <f>VLOOKUP($A192,tabCustoUnit[],COLUMN(CUSTO_GLOBAL[[#Headers],[MÓDULO 3 – PROVISÃO PARA RESCISÃO]])-2,0)*($G192-$H192)</f>
        <v>36.293193232860339</v>
      </c>
      <c r="AW192" s="22">
        <f>VLOOKUP($A192,tabCustoUnit[],COLUMN(CUSTO_GLOBAL[[#Headers],[Ausência por Doença]])-2,0)*($G192-$H192)</f>
        <v>6.9604253777777769</v>
      </c>
      <c r="AX192" s="22">
        <f>VLOOKUP($A192,tabCustoUnit[],COLUMN(CUSTO_GLOBAL[[#Headers],[Ausências Legais]])-2,0)*($G192-$H192)</f>
        <v>1.671417936111111</v>
      </c>
      <c r="AY192" s="22">
        <f>VLOOKUP($A192,tabCustoUnit[],COLUMN(CUSTO_GLOBAL[[#Headers],[Licença Paternidade]])-2,0)*($G192-$H192)</f>
        <v>0.14081123708333332</v>
      </c>
      <c r="AZ192" s="22">
        <f>VLOOKUP($A192,tabCustoUnit[],COLUMN(CUSTO_GLOBAL[[#Headers],[Ausência por Acidente de Trabalho]])-2,0)*($G192-$H192)</f>
        <v>0.17172102083333335</v>
      </c>
      <c r="BA192" s="22">
        <f>VLOOKUP($A192,tabCustoUnit[],COLUMN(CUSTO_GLOBAL[[#Headers],[Férias, Adicional de Férias e 13º  com empregada em gozo de Licença Maternidade]])-2,0)*($G192-$H192)</f>
        <v>1.0684863518518517</v>
      </c>
      <c r="BB192" s="22">
        <f>VLOOKUP($A192,tabCustoUnit[],COLUMN(CUSTO_GLOBAL[[#Headers],[Incidência do Submódulo 2.1 sobre Ausências Legais]])-2,0)*($G192-$H192)</f>
        <v>3.7848618071425006</v>
      </c>
      <c r="BC192" s="22">
        <f>VLOOKUP($A192,tabCustoUnit[],COLUMN(CUSTO_GLOBAL[[#Headers],[Submódulo 4.1]])-2,0)*($G192-$H192)</f>
        <v>13.797723730799909</v>
      </c>
      <c r="BD192" s="22">
        <f>VLOOKUP($A192,tabCustoUnit[],COLUMN(CUSTO_GLOBAL[[#Headers],[Intervalo para Repouso ou Alimentação]])-2,0)*($G192-$H192)</f>
        <v>0</v>
      </c>
      <c r="BE192" s="22">
        <f>VLOOKUP($A192,tabCustoUnit[],COLUMN(CUSTO_GLOBAL[[#Headers],[Submódulo 4.2]])-2,0)*($G192-$H192)</f>
        <v>0</v>
      </c>
      <c r="BF192" s="22">
        <f>VLOOKUP($A192,tabCustoUnit[],COLUMN(CUSTO_GLOBAL[[#Headers],[Suspensão Temporária do Contrato de Trabalho]])-2,0)*($G192-$H192)</f>
        <v>0</v>
      </c>
      <c r="BG192" s="22">
        <f>VLOOKUP($A192,tabCustoUnit[],COLUMN(CUSTO_GLOBAL[[#Headers],[Submódulo 4.3]])-2,0)*($G192-$H192)</f>
        <v>0</v>
      </c>
      <c r="BH192" s="22">
        <f>VLOOKUP($A192,tabCustoUnit[],COLUMN(CUSTO_GLOBAL[[#Headers],[MÓDULO 4 – CUSTO DE REPOSIÇÃO DO PROFISSIONAL AUSENTE]])-2,0)*($G192-$H192)</f>
        <v>13.797723730799909</v>
      </c>
      <c r="BI192" s="22">
        <f>VLOOKUP($A192,tabCustoUnit[],COLUMN(CUSTO_GLOBAL[[#Headers],[Uniformes e EPIs]])-2,0)*($G192-$H192)</f>
        <v>62.806666666666665</v>
      </c>
      <c r="BJ192" s="22">
        <f>VLOOKUP($A192,tabCustoUnit[],COLUMN(CUSTO_GLOBAL[[#Headers],[Materiais de Consumo]])-2,0)*($G192-$H192)</f>
        <v>17.759106479291944</v>
      </c>
      <c r="BK192" s="22">
        <f>VLOOKUP($A192,tabCustoUnit[],COLUMN(CUSTO_GLOBAL[[#Headers],[Máquinas e Equipamentos (depreciação)]])-2,0)*($G192-$H192)</f>
        <v>32.264696957412788</v>
      </c>
      <c r="BL192" s="22">
        <f>VLOOKUP($A192,tabCustoUnit[],COLUMN(CUSTO_GLOBAL[[#Headers],[Produtos de Limpeza e Materiais de Higiene Pessoal]])-2,0)*($G192-$H192)</f>
        <v>345.13576638965827</v>
      </c>
      <c r="BM192" s="22">
        <f>VLOOKUP($A192,tabCustoUnit[],COLUMN(CUSTO_GLOBAL[[#Headers],[Outros (especificar)]])-2,0)*($G192-$H192)</f>
        <v>0</v>
      </c>
      <c r="BN192" s="22">
        <f>VLOOKUP($A192,tabCustoUnit[],COLUMN(CUSTO_GLOBAL[[#Headers],[MÓDULO 5 – INSUMOS DIVERSOS]])-2,0)*($G192-$H192)</f>
        <v>457.96623649302967</v>
      </c>
      <c r="BO192" s="22">
        <f>VLOOKUP($A192,tabCustoUnit[],COLUMN(CUSTO_GLOBAL[[#Headers],[TOTAL MÓDULOS 1+2+3+4+5]])-2,0)*($G192-$H192)</f>
        <v>2658.2164025844677</v>
      </c>
      <c r="BP192" s="22">
        <f>VLOOKUP($A192,tabCustoUnit[],COLUMN(CUSTO_GLOBAL[[#Headers],[Custos Indiretos]])-2,0)*($G192-$H192)</f>
        <v>189.64880140242613</v>
      </c>
      <c r="BQ192" s="22">
        <f>VLOOKUP($A192,tabCustoUnit[],COLUMN(CUSTO_GLOBAL[[#Headers],[Lucro]])-2,0)*($G192-$H192)</f>
        <v>159.30499317803796</v>
      </c>
      <c r="BR192" s="26">
        <f>VLOOKUP($A192,tabCustoUnit[],COLUMN(CUSTO_GLOBAL[[#Headers],[COFINS]])-2,0)</f>
        <v>8.8629737609329504E-2</v>
      </c>
      <c r="BS192" s="26">
        <f>VLOOKUP($A192,tabCustoUnit[],COLUMN(CUSTO_GLOBAL[[#Headers],[PIS]])-2,0)</f>
        <v>1.9241982507288629E-2</v>
      </c>
      <c r="BT192" s="28">
        <f>VLOOKUP($A192,tabCustoUnit[],COLUMN(CUSTO_GLOBAL[[#Headers],[ISS]])-2,0)</f>
        <v>0.05</v>
      </c>
      <c r="BU192" s="26">
        <f>VLOOKUP($A192,tabCustoUnit[],COLUMN(CUSTO_GLOBAL[[#Headers],[ISS (Conversão Alíquota s/ fatura)]])-2,0)</f>
        <v>5.8309037900874633E-2</v>
      </c>
      <c r="BV192" s="26">
        <f>VLOOKUP($A192,tabCustoUnit[],COLUMN(CUSTO_GLOBAL[[#Headers],[Resumo de Alíquotas (PIS+CONFINS+ISS)]])-2,0)</f>
        <v>0.14250000000000002</v>
      </c>
      <c r="BW192" s="138">
        <f>VLOOKUP($A192,tabCustoUnit[],COLUMN(CUSTO_GLOBAL[[#Headers],[PIS + COFINS + ISS (Total Conversão  Alíquota s/ Fatura)]])-2,0)</f>
        <v>0.16618075801749277</v>
      </c>
      <c r="BX192" s="22">
        <f>VLOOKUP($A192,tabCustoUnit[],COLUMN(CUSTO_GLOBAL[[#Headers],[Valor dos Tributos (ISS, PIS, CONFINS)]])-2,0)*($G192-$H192)</f>
        <v>499.73382285248152</v>
      </c>
      <c r="BY192" s="22">
        <f>VLOOKUP($A192,tabCustoUnit[],COLUMN(CUSTO_GLOBAL[[#Headers],[MÓDULO 6 – CUSTOS INDIRETOS, TRIBUTOS E LUCRO]])-2,0)*($G192-$H192)</f>
        <v>848.68761743294567</v>
      </c>
      <c r="BZ192" s="22">
        <f>VLOOKUP($A192,tabCustoUnit[],COLUMN(CUSTO_GLOBAL[[#Headers],[CUSTO TOTAL MENSAL]])-2,0)*($G192-$H192)</f>
        <v>3506.9040200174131</v>
      </c>
      <c r="CA192" s="22">
        <f>CUSTO_GLOBAL[[#This Row],[CUSTO TOTAL MENSAL]]*12</f>
        <v>42082.848240208958</v>
      </c>
      <c r="CB192" s="24">
        <f>VLOOKUP($A192,tabCustoUnit[],COLUMN(CUSTO_GLOBAL[[#Headers],[ANO DA CCT]])-2,0)</f>
        <v>45658</v>
      </c>
      <c r="CC192" s="25" t="str">
        <f>VLOOKUP($A192,tabCustoUnit[],COLUMN(CUSTO_GLOBAL[[#Headers],[Nº DE PEDIDO DA CCT]])-2,0)</f>
        <v>-</v>
      </c>
      <c r="CD192" s="25" t="str">
        <f>VLOOKUP($A192,tabCustoUnit[],COLUMN(CUSTO_GLOBAL[[#Headers],[TERMO ADITIVO  ALTERAÇÃO DA CCT]])-2,0)</f>
        <v>-</v>
      </c>
      <c r="CF192" s="22"/>
      <c r="CG192" s="22"/>
    </row>
    <row r="193" spans="1:85" x14ac:dyDescent="0.25">
      <c r="A193" s="20" t="s">
        <v>1529</v>
      </c>
      <c r="B193" t="s">
        <v>175</v>
      </c>
      <c r="C193" t="s">
        <v>1245</v>
      </c>
      <c r="D193" t="s">
        <v>1023</v>
      </c>
      <c r="E193" s="20" t="s">
        <v>9</v>
      </c>
      <c r="F193" s="20" t="s">
        <v>10</v>
      </c>
      <c r="G193" s="20">
        <v>1</v>
      </c>
      <c r="H193" s="20">
        <v>0</v>
      </c>
      <c r="I193" s="21">
        <f>VLOOKUP($A193,tabCustoUnit[],COLUMN(CUSTO_GLOBAL[[#Headers],[Salário Base]])-2,0)*($G193-$H193)</f>
        <v>1596.28</v>
      </c>
      <c r="J193" s="21">
        <f>VLOOKUP($A193,tabCustoUnit[],COLUMN(CUSTO_GLOBAL[[#Headers],[Adicional Periculosidade]])-2,0)*($G193-$H193)</f>
        <v>0</v>
      </c>
      <c r="K193" s="21">
        <f>VLOOKUP($A193,tabCustoUnit[],COLUMN(CUSTO_GLOBAL[[#Headers],[Adicional Insalubridade]])-2,0)*($G193-$H193)</f>
        <v>0</v>
      </c>
      <c r="L193" s="21">
        <f>VLOOKUP($A193,tabCustoUnit[],COLUMN(CUSTO_GLOBAL[[#Headers],[Adicional Noturno]])-2,0)*($G193-$H193)</f>
        <v>0</v>
      </c>
      <c r="M193" s="21">
        <f>VLOOKUP($A193,tabCustoUnit[],COLUMN(CUSTO_GLOBAL[[#Headers],[Adicional Motorista II (Gratificação)]])-2,0)*($G193-$H193)</f>
        <v>0</v>
      </c>
      <c r="N193" s="21">
        <f>VLOOKUP($A193,tabCustoUnit[],COLUMN(CUSTO_GLOBAL[[#Headers],[Adicional de Sobreaviso]])-2,0)*($G193-$H193)</f>
        <v>0</v>
      </c>
      <c r="O193" s="21">
        <f>VLOOKUP($A193,tabCustoUnit[],COLUMN(CUSTO_GLOBAL[[#Headers],[Horas Extras TI]])-2,0)*($G193-$H193)</f>
        <v>0</v>
      </c>
      <c r="P193" s="21">
        <f>VLOOKUP($A193,tabCustoUnit[],COLUMN(CUSTO_GLOBAL[[#Headers],[Adicional de Acúmulo de função]])-2,0)*($G193-$H193)</f>
        <v>52.241900000000001</v>
      </c>
      <c r="Q193" s="21">
        <f>VLOOKUP($A193,tabCustoUnit[],COLUMN(CUSTO_GLOBAL[[#Headers],[MODULO 1 - REMUNERAÇÃO ]])-2,0)*($G193-$H193)</f>
        <v>1648.5219</v>
      </c>
      <c r="R193" s="21">
        <f>VLOOKUP($A193,tabCustoUnit[],COLUMN(CUSTO_GLOBAL[[#Headers],[INSS]])-2,0)*($G193-$H193)</f>
        <v>329.70438000000001</v>
      </c>
      <c r="S193" s="21">
        <f>VLOOKUP($A193,tabCustoUnit[],COLUMN(CUSTO_GLOBAL[[#Headers],[SESI OU SESC]])-2,0)*($G193-$H193)</f>
        <v>24.727828499999998</v>
      </c>
      <c r="T193" s="21">
        <f>VLOOKUP($A193,tabCustoUnit[],COLUMN(CUSTO_GLOBAL[[#Headers],[SENAI OU SENAC]])-2,0)*($G193-$H193)</f>
        <v>16.485219000000001</v>
      </c>
      <c r="U193" s="21">
        <f>VLOOKUP($A193,tabCustoUnit[],COLUMN(CUSTO_GLOBAL[[#Headers],[INCRA]])-2,0)*($G193-$H193)</f>
        <v>3.2970438</v>
      </c>
      <c r="V193" s="21">
        <f>VLOOKUP($A193,tabCustoUnit[],COLUMN(CUSTO_GLOBAL[[#Headers],[Salário Educação]])-2,0)*($G193-$H193)</f>
        <v>41.213047500000002</v>
      </c>
      <c r="W193" s="21">
        <f>VLOOKUP($A193,tabCustoUnit[],COLUMN(CUSTO_GLOBAL[[#Headers],[FGTS]])-2,0)*($G193-$H193)</f>
        <v>131.88175200000001</v>
      </c>
      <c r="X193" s="21">
        <f>VLOOKUP($A193,tabCustoUnit[],COLUMN(CUSTO_GLOBAL[[#Headers],[RAT Ajustado]])-2,0)*($G193-$H193)</f>
        <v>65.940876000000003</v>
      </c>
      <c r="Y193" s="21">
        <f>VLOOKUP($A193,tabCustoUnit[],COLUMN(CUSTO_GLOBAL[[#Headers],[SEBRAE]])-2,0)*($G193-$H193)</f>
        <v>9.8911314000000008</v>
      </c>
      <c r="Z193" s="21">
        <f>VLOOKUP($A193,tabCustoUnit[],COLUMN(CUSTO_GLOBAL[[#Headers],[Submódulo 2.1]])-2,0)*($G193-$H193)</f>
        <v>623.14127819999999</v>
      </c>
      <c r="AA193" s="21">
        <f>VLOOKUP($A193,tabCustoUnit[],COLUMN(CUSTO_GLOBAL[[#Headers],[13º salário (titular)]])-2,0)*($G193-$H193)</f>
        <v>137.376825</v>
      </c>
      <c r="AB193" s="21">
        <f>VLOOKUP($A193,tabCustoUnit[],COLUMN(CUSTO_GLOBAL[[#Headers],[Férias e Adicional de Férias (titular)]])-2,0)*($G193-$H193)</f>
        <v>183.16909999999999</v>
      </c>
      <c r="AC193" s="21">
        <f>VLOOKUP($A193,tabCustoUnit[],COLUMN(CUSTO_GLOBAL[[#Headers],[Incidência do Submódulo 2.1 sobre 13º Salário, Férias e Adicional de Férias]])-2,0)*($G193-$H193)</f>
        <v>121.16635965</v>
      </c>
      <c r="AD193" s="21">
        <f>VLOOKUP($A193,tabCustoUnit[],COLUMN(CUSTO_GLOBAL[[#Headers],[Submódulo 2.2]])-2,0)*($G193-$H193)</f>
        <v>441.71228465000002</v>
      </c>
      <c r="AE193" s="22">
        <f>VLOOKUP($A193,tabCustoUnit[],COLUMN(CUSTO_GLOBAL[[#Headers],[Vale - Transporte (Descontada parcela do empregado)]])-2,0)*($G193-$H193)</f>
        <v>160.22320000000002</v>
      </c>
      <c r="AF193" s="22">
        <f>VLOOKUP($A193,tabCustoUnit[],COLUMN(CUSTO_GLOBAL[[#Headers],[Vale - Alimentação (Descontada parcela do empregado)]])-2,0)*($G193-$H193)</f>
        <v>582</v>
      </c>
      <c r="AG193" s="22">
        <f>VLOOKUP($A193,tabCustoUnit[],COLUMN(CUSTO_GLOBAL[[#Headers],[Cesta Básica]])-2,0)*($G193-$H193)</f>
        <v>0</v>
      </c>
      <c r="AH193" s="22">
        <f>VLOOKUP($A193,tabCustoUnit[],COLUMN(CUSTO_GLOBAL[[#Headers],[PAF]])-2,0)*($G193-$H193)</f>
        <v>0</v>
      </c>
      <c r="AI193" s="22">
        <f>VLOOKUP($A193,tabCustoUnit[],COLUMN(CUSTO_GLOBAL[[#Headers],[PQM]])-2,0)*($G193-$H193)</f>
        <v>0</v>
      </c>
      <c r="AJ193" s="22">
        <v>0</v>
      </c>
      <c r="AK193" s="22">
        <f>VLOOKUP($A193,tabCustoUnit[],COLUMN(CUSTO_GLOBAL[[#Headers],[Seguro de Vida]])-2,0)*($G193-$H193)</f>
        <v>3.36</v>
      </c>
      <c r="AL193" s="22">
        <f>VLOOKUP($A193,tabCustoUnit[],COLUMN(CUSTO_GLOBAL[[#Headers],[Despesas de Viagem]])-2,0)*($G193-$H193)</f>
        <v>0</v>
      </c>
      <c r="AM193" s="22">
        <f>VLOOKUP($A193,tabCustoUnit[],COLUMN(CUSTO_GLOBAL[[#Headers],[Submódulo 2.3]])-2,0)*($G193-$H193)</f>
        <v>745.58320000000003</v>
      </c>
      <c r="AN193" s="22">
        <f>VLOOKUP($A193,tabCustoUnit[],COLUMN(CUSTO_GLOBAL[[#Headers],[MÓDULO 2 - Total Encargos e Benefícios mensais e diários]])-2,0)*($G193-$H193)</f>
        <v>1810.4367628499999</v>
      </c>
      <c r="AO193" s="22">
        <f>VLOOKUP($A193,tabCustoUnit[],COLUMN(CUSTO_GLOBAL[[#Headers],[Aviso Prévio Indenizado (API) e Reflexo do Aviso Prévio Indenizado]])-2,0)*($G193-$H193)</f>
        <v>11.559051416493055</v>
      </c>
      <c r="AP193" s="22">
        <f>VLOOKUP($A193,tabCustoUnit[],COLUMN(CUSTO_GLOBAL[[#Headers],[Incidência do FGTS sobre API e Reflexo do API]])-2,0)*($G193-$H193)</f>
        <v>0.92472411331944449</v>
      </c>
      <c r="AQ193" s="22">
        <f>VLOOKUP($A193,tabCustoUnit[],COLUMN(CUSTO_GLOBAL[[#Headers],[Multa Rescisória do FGTS sobre o Aviso Prévio Indenizado]])-2,0)*($G193-$H193)</f>
        <v>0.36988964532777785</v>
      </c>
      <c r="AR193" s="22">
        <f>VLOOKUP($A193,tabCustoUnit[],COLUMN(CUSTO_GLOBAL[[#Headers],[Aviso Prévio Trabalhado - APT]])-2,0)*($G193-$H193)</f>
        <v>5.7698266500000006</v>
      </c>
      <c r="AS193" s="22">
        <f>VLOOKUP($A193,tabCustoUnit[],COLUMN(CUSTO_GLOBAL[[#Headers],[Incidência dos encargos do submódulo 2.1 sobre Aviso Prévio Trabalhado]])-2,0)*($G193-$H193)</f>
        <v>2.1809944737000007</v>
      </c>
      <c r="AT193" s="22">
        <f>VLOOKUP($A193,tabCustoUnit[],COLUMN(CUSTO_GLOBAL[[#Headers],[Multa Rescisória do FGTS]])-2,0)*($G193-$H193)</f>
        <v>50.40813631999999</v>
      </c>
      <c r="AU193" s="22">
        <f>VLOOKUP($A193,tabCustoUnit[],COLUMN(CUSTO_GLOBAL[[#Headers],[Indenização Adicional (Art. 9º da Lei nº 7.238/84)]])-2,0)*($G193-$H193)</f>
        <v>1.3737682500000001</v>
      </c>
      <c r="AV193" s="22">
        <f>VLOOKUP($A193,tabCustoUnit[],COLUMN(CUSTO_GLOBAL[[#Headers],[MÓDULO 3 – PROVISÃO PARA RESCISÃO]])-2,0)*($G193-$H193)</f>
        <v>72.586390868840269</v>
      </c>
      <c r="AW193" s="22">
        <f>VLOOKUP($A193,tabCustoUnit[],COLUMN(CUSTO_GLOBAL[[#Headers],[Ausência por Doença]])-2,0)*($G193-$H193)</f>
        <v>13.920851599999999</v>
      </c>
      <c r="AX193" s="22">
        <f>VLOOKUP($A193,tabCustoUnit[],COLUMN(CUSTO_GLOBAL[[#Headers],[Ausências Legais]])-2,0)*($G193-$H193)</f>
        <v>3.3428360749999997</v>
      </c>
      <c r="AY193" s="22">
        <f>VLOOKUP($A193,tabCustoUnit[],COLUMN(CUSTO_GLOBAL[[#Headers],[Licença Paternidade]])-2,0)*($G193-$H193)</f>
        <v>0.28162249125</v>
      </c>
      <c r="AZ193" s="22">
        <f>VLOOKUP($A193,tabCustoUnit[],COLUMN(CUSTO_GLOBAL[[#Headers],[Ausência por Acidente de Trabalho]])-2,0)*($G193-$H193)</f>
        <v>0.34344206250000003</v>
      </c>
      <c r="BA193" s="22">
        <f>VLOOKUP($A193,tabCustoUnit[],COLUMN(CUSTO_GLOBAL[[#Headers],[Férias, Adicional de Férias e 13º  com empregada em gozo de Licença Maternidade]])-2,0)*($G193-$H193)</f>
        <v>2.1369728333333331</v>
      </c>
      <c r="BB193" s="22">
        <f>VLOOKUP($A193,tabCustoUnit[],COLUMN(CUSTO_GLOBAL[[#Headers],[Incidência do Submódulo 2.1 sobre Ausências Legais]])-2,0)*($G193-$H193)</f>
        <v>7.5697240734675013</v>
      </c>
      <c r="BC193" s="22">
        <f>VLOOKUP($A193,tabCustoUnit[],COLUMN(CUSTO_GLOBAL[[#Headers],[Submódulo 4.1]])-2,0)*($G193-$H193)</f>
        <v>27.595449135550833</v>
      </c>
      <c r="BD193" s="22">
        <f>VLOOKUP($A193,tabCustoUnit[],COLUMN(CUSTO_GLOBAL[[#Headers],[Intervalo para Repouso ou Alimentação]])-2,0)*($G193-$H193)</f>
        <v>0</v>
      </c>
      <c r="BE193" s="22">
        <f>VLOOKUP($A193,tabCustoUnit[],COLUMN(CUSTO_GLOBAL[[#Headers],[Submódulo 4.2]])-2,0)*($G193-$H193)</f>
        <v>0</v>
      </c>
      <c r="BF193" s="22">
        <f>VLOOKUP($A193,tabCustoUnit[],COLUMN(CUSTO_GLOBAL[[#Headers],[Suspensão Temporária do Contrato de Trabalho]])-2,0)*($G193-$H193)</f>
        <v>0</v>
      </c>
      <c r="BG193" s="22">
        <f>VLOOKUP($A193,tabCustoUnit[],COLUMN(CUSTO_GLOBAL[[#Headers],[Submódulo 4.3]])-2,0)*($G193-$H193)</f>
        <v>0</v>
      </c>
      <c r="BH193" s="22">
        <f>VLOOKUP($A193,tabCustoUnit[],COLUMN(CUSTO_GLOBAL[[#Headers],[MÓDULO 4 – CUSTO DE REPOSIÇÃO DO PROFISSIONAL AUSENTE]])-2,0)*($G193-$H193)</f>
        <v>27.595449135550833</v>
      </c>
      <c r="BI193" s="22">
        <f>VLOOKUP($A193,tabCustoUnit[],COLUMN(CUSTO_GLOBAL[[#Headers],[Uniformes e EPIs]])-2,0)*($G193-$H193)</f>
        <v>100.80916666666666</v>
      </c>
      <c r="BJ193" s="22">
        <f>VLOOKUP($A193,tabCustoUnit[],COLUMN(CUSTO_GLOBAL[[#Headers],[Materiais de Consumo]])-2,0)*($G193-$H193)</f>
        <v>35.518212958583888</v>
      </c>
      <c r="BK193" s="22">
        <f>VLOOKUP($A193,tabCustoUnit[],COLUMN(CUSTO_GLOBAL[[#Headers],[Máquinas e Equipamentos (depreciação)]])-2,0)*($G193-$H193)</f>
        <v>64.529393914825576</v>
      </c>
      <c r="BL193" s="22">
        <f>VLOOKUP($A193,tabCustoUnit[],COLUMN(CUSTO_GLOBAL[[#Headers],[Produtos de Limpeza e Materiais de Higiene Pessoal]])-2,0)*($G193-$H193)</f>
        <v>690.27153277931654</v>
      </c>
      <c r="BM193" s="22">
        <f>VLOOKUP($A193,tabCustoUnit[],COLUMN(CUSTO_GLOBAL[[#Headers],[Outros (especificar)]])-2,0)*($G193-$H193)</f>
        <v>0</v>
      </c>
      <c r="BN193" s="22">
        <f>VLOOKUP($A193,tabCustoUnit[],COLUMN(CUSTO_GLOBAL[[#Headers],[MÓDULO 5 – INSUMOS DIVERSOS]])-2,0)*($G193-$H193)</f>
        <v>891.12830631939266</v>
      </c>
      <c r="BO193" s="22">
        <f>VLOOKUP($A193,tabCustoUnit[],COLUMN(CUSTO_GLOBAL[[#Headers],[TOTAL MÓDULOS 1+2+3+4+5]])-2,0)*($G193-$H193)</f>
        <v>4450.2688091737837</v>
      </c>
      <c r="BP193" s="22">
        <f>VLOOKUP($A193,tabCustoUnit[],COLUMN(CUSTO_GLOBAL[[#Headers],[Custos Indiretos]])-2,0)*($G193-$H193)</f>
        <v>189.64880140242613</v>
      </c>
      <c r="BQ193" s="22">
        <f>VLOOKUP($A193,tabCustoUnit[],COLUMN(CUSTO_GLOBAL[[#Headers],[Lucro]])-2,0)*($G193-$H193)</f>
        <v>159.30499317803796</v>
      </c>
      <c r="BR193" s="26">
        <f>VLOOKUP($A193,tabCustoUnit[],COLUMN(CUSTO_GLOBAL[[#Headers],[COFINS]])-2,0)</f>
        <v>8.6609686609686695E-2</v>
      </c>
      <c r="BS193" s="26">
        <f>VLOOKUP($A193,tabCustoUnit[],COLUMN(CUSTO_GLOBAL[[#Headers],[PIS]])-2,0)</f>
        <v>1.880341880341882E-2</v>
      </c>
      <c r="BT193" s="28">
        <f>VLOOKUP($A193,tabCustoUnit[],COLUMN(CUSTO_GLOBAL[[#Headers],[ISS]])-2,0)</f>
        <v>0.03</v>
      </c>
      <c r="BU193" s="26">
        <f>VLOOKUP($A193,tabCustoUnit[],COLUMN(CUSTO_GLOBAL[[#Headers],[ISS (Conversão Alíquota s/ fatura)]])-2,0)</f>
        <v>3.4188034188034219E-2</v>
      </c>
      <c r="BV193" s="26">
        <f>VLOOKUP($A193,tabCustoUnit[],COLUMN(CUSTO_GLOBAL[[#Headers],[Resumo de Alíquotas (PIS+CONFINS+ISS)]])-2,0)</f>
        <v>0.1225</v>
      </c>
      <c r="BW193" s="138">
        <f>VLOOKUP($A193,tabCustoUnit[],COLUMN(CUSTO_GLOBAL[[#Headers],[PIS + COFINS + ISS (Total Conversão  Alíquota s/ Fatura)]])-2,0)</f>
        <v>0.13960113960113973</v>
      </c>
      <c r="BX193" s="22">
        <f>VLOOKUP($A193,tabCustoUnit[],COLUMN(CUSTO_GLOBAL[[#Headers],[Valor dos Tributos (ISS, PIS, CONFINS)]])-2,0)*($G193-$H193)</f>
        <v>669.97694468364205</v>
      </c>
      <c r="BY193" s="22">
        <f>VLOOKUP($A193,tabCustoUnit[],COLUMN(CUSTO_GLOBAL[[#Headers],[MÓDULO 6 – CUSTOS INDIRETOS, TRIBUTOS E LUCRO]])-2,0)*($G193-$H193)</f>
        <v>1018.9307392641061</v>
      </c>
      <c r="BZ193" s="22">
        <f>VLOOKUP($A193,tabCustoUnit[],COLUMN(CUSTO_GLOBAL[[#Headers],[CUSTO TOTAL MENSAL]])-2,0)*($G193-$H193)</f>
        <v>5469.1995484378895</v>
      </c>
      <c r="CA193" s="22">
        <f>CUSTO_GLOBAL[[#This Row],[CUSTO TOTAL MENSAL]]*12</f>
        <v>65630.394581254674</v>
      </c>
      <c r="CB193" s="24">
        <f>VLOOKUP($A193,tabCustoUnit[],COLUMN(CUSTO_GLOBAL[[#Headers],[ANO DA CCT]])-2,0)</f>
        <v>45658</v>
      </c>
      <c r="CC193" s="25" t="str">
        <f>VLOOKUP($A193,tabCustoUnit[],COLUMN(CUSTO_GLOBAL[[#Headers],[Nº DE PEDIDO DA CCT]])-2,0)</f>
        <v>-</v>
      </c>
      <c r="CD193" s="25" t="str">
        <f>VLOOKUP($A193,tabCustoUnit[],COLUMN(CUSTO_GLOBAL[[#Headers],[TERMO ADITIVO  ALTERAÇÃO DA CCT]])-2,0)</f>
        <v>-</v>
      </c>
      <c r="CF193" s="22"/>
      <c r="CG193" s="22"/>
    </row>
    <row r="194" spans="1:85" x14ac:dyDescent="0.25">
      <c r="A194" s="20" t="s">
        <v>1530</v>
      </c>
      <c r="B194" t="s">
        <v>176</v>
      </c>
      <c r="C194" t="s">
        <v>1245</v>
      </c>
      <c r="D194" t="s">
        <v>1044</v>
      </c>
      <c r="E194" s="20" t="s">
        <v>9</v>
      </c>
      <c r="F194" s="20" t="s">
        <v>10</v>
      </c>
      <c r="G194" s="20">
        <v>1</v>
      </c>
      <c r="H194" s="20">
        <v>0</v>
      </c>
      <c r="I194" s="21">
        <f>VLOOKUP($A194,tabCustoUnit[],COLUMN(CUSTO_GLOBAL[[#Headers],[Salário Base]])-2,0)*($G194-$H194)</f>
        <v>1596.28</v>
      </c>
      <c r="J194" s="21">
        <f>VLOOKUP($A194,tabCustoUnit[],COLUMN(CUSTO_GLOBAL[[#Headers],[Adicional Periculosidade]])-2,0)*($G194-$H194)</f>
        <v>0</v>
      </c>
      <c r="K194" s="21">
        <f>VLOOKUP($A194,tabCustoUnit[],COLUMN(CUSTO_GLOBAL[[#Headers],[Adicional Insalubridade]])-2,0)*($G194-$H194)</f>
        <v>0</v>
      </c>
      <c r="L194" s="21">
        <f>VLOOKUP($A194,tabCustoUnit[],COLUMN(CUSTO_GLOBAL[[#Headers],[Adicional Noturno]])-2,0)*($G194-$H194)</f>
        <v>0</v>
      </c>
      <c r="M194" s="21">
        <f>VLOOKUP($A194,tabCustoUnit[],COLUMN(CUSTO_GLOBAL[[#Headers],[Adicional Motorista II (Gratificação)]])-2,0)*($G194-$H194)</f>
        <v>0</v>
      </c>
      <c r="N194" s="21">
        <f>VLOOKUP($A194,tabCustoUnit[],COLUMN(CUSTO_GLOBAL[[#Headers],[Adicional de Sobreaviso]])-2,0)*($G194-$H194)</f>
        <v>0</v>
      </c>
      <c r="O194" s="21">
        <f>VLOOKUP($A194,tabCustoUnit[],COLUMN(CUSTO_GLOBAL[[#Headers],[Horas Extras TI]])-2,0)*($G194-$H194)</f>
        <v>0</v>
      </c>
      <c r="P194" s="21">
        <f>VLOOKUP($A194,tabCustoUnit[],COLUMN(CUSTO_GLOBAL[[#Headers],[Adicional de Acúmulo de função]])-2,0)*($G194-$H194)</f>
        <v>52.241900000000001</v>
      </c>
      <c r="Q194" s="21">
        <f>VLOOKUP($A194,tabCustoUnit[],COLUMN(CUSTO_GLOBAL[[#Headers],[MODULO 1 - REMUNERAÇÃO ]])-2,0)*($G194-$H194)</f>
        <v>1648.5219</v>
      </c>
      <c r="R194" s="21">
        <f>VLOOKUP($A194,tabCustoUnit[],COLUMN(CUSTO_GLOBAL[[#Headers],[INSS]])-2,0)*($G194-$H194)</f>
        <v>329.70438000000001</v>
      </c>
      <c r="S194" s="21">
        <f>VLOOKUP($A194,tabCustoUnit[],COLUMN(CUSTO_GLOBAL[[#Headers],[SESI OU SESC]])-2,0)*($G194-$H194)</f>
        <v>24.727828499999998</v>
      </c>
      <c r="T194" s="21">
        <f>VLOOKUP($A194,tabCustoUnit[],COLUMN(CUSTO_GLOBAL[[#Headers],[SENAI OU SENAC]])-2,0)*($G194-$H194)</f>
        <v>16.485219000000001</v>
      </c>
      <c r="U194" s="21">
        <f>VLOOKUP($A194,tabCustoUnit[],COLUMN(CUSTO_GLOBAL[[#Headers],[INCRA]])-2,0)*($G194-$H194)</f>
        <v>3.2970438</v>
      </c>
      <c r="V194" s="21">
        <f>VLOOKUP($A194,tabCustoUnit[],COLUMN(CUSTO_GLOBAL[[#Headers],[Salário Educação]])-2,0)*($G194-$H194)</f>
        <v>41.213047500000002</v>
      </c>
      <c r="W194" s="21">
        <f>VLOOKUP($A194,tabCustoUnit[],COLUMN(CUSTO_GLOBAL[[#Headers],[FGTS]])-2,0)*($G194-$H194)</f>
        <v>131.88175200000001</v>
      </c>
      <c r="X194" s="21">
        <f>VLOOKUP($A194,tabCustoUnit[],COLUMN(CUSTO_GLOBAL[[#Headers],[RAT Ajustado]])-2,0)*($G194-$H194)</f>
        <v>65.940876000000003</v>
      </c>
      <c r="Y194" s="21">
        <f>VLOOKUP($A194,tabCustoUnit[],COLUMN(CUSTO_GLOBAL[[#Headers],[SEBRAE]])-2,0)*($G194-$H194)</f>
        <v>9.8911314000000008</v>
      </c>
      <c r="Z194" s="21">
        <f>VLOOKUP($A194,tabCustoUnit[],COLUMN(CUSTO_GLOBAL[[#Headers],[Submódulo 2.1]])-2,0)*($G194-$H194)</f>
        <v>623.14127819999999</v>
      </c>
      <c r="AA194" s="21">
        <f>VLOOKUP($A194,tabCustoUnit[],COLUMN(CUSTO_GLOBAL[[#Headers],[13º salário (titular)]])-2,0)*($G194-$H194)</f>
        <v>137.376825</v>
      </c>
      <c r="AB194" s="21">
        <f>VLOOKUP($A194,tabCustoUnit[],COLUMN(CUSTO_GLOBAL[[#Headers],[Férias e Adicional de Férias (titular)]])-2,0)*($G194-$H194)</f>
        <v>183.16909999999999</v>
      </c>
      <c r="AC194" s="21">
        <f>VLOOKUP($A194,tabCustoUnit[],COLUMN(CUSTO_GLOBAL[[#Headers],[Incidência do Submódulo 2.1 sobre 13º Salário, Férias e Adicional de Férias]])-2,0)*($G194-$H194)</f>
        <v>121.16635965</v>
      </c>
      <c r="AD194" s="21">
        <f>VLOOKUP($A194,tabCustoUnit[],COLUMN(CUSTO_GLOBAL[[#Headers],[Submódulo 2.2]])-2,0)*($G194-$H194)</f>
        <v>441.71228465000002</v>
      </c>
      <c r="AE194" s="22">
        <f>VLOOKUP($A194,tabCustoUnit[],COLUMN(CUSTO_GLOBAL[[#Headers],[Vale - Transporte (Descontada parcela do empregado)]])-2,0)*($G194-$H194)</f>
        <v>160.22320000000002</v>
      </c>
      <c r="AF194" s="22">
        <f>VLOOKUP($A194,tabCustoUnit[],COLUMN(CUSTO_GLOBAL[[#Headers],[Vale - Alimentação (Descontada parcela do empregado)]])-2,0)*($G194-$H194)</f>
        <v>582</v>
      </c>
      <c r="AG194" s="22">
        <f>VLOOKUP($A194,tabCustoUnit[],COLUMN(CUSTO_GLOBAL[[#Headers],[Cesta Básica]])-2,0)*($G194-$H194)</f>
        <v>0</v>
      </c>
      <c r="AH194" s="22">
        <f>VLOOKUP($A194,tabCustoUnit[],COLUMN(CUSTO_GLOBAL[[#Headers],[PAF]])-2,0)*($G194-$H194)</f>
        <v>51.86</v>
      </c>
      <c r="AI194" s="22">
        <f>VLOOKUP($A194,tabCustoUnit[],COLUMN(CUSTO_GLOBAL[[#Headers],[PQM]])-2,0)*($G194-$H194)</f>
        <v>0</v>
      </c>
      <c r="AJ194" s="22">
        <v>0</v>
      </c>
      <c r="AK194" s="22">
        <f>VLOOKUP($A194,tabCustoUnit[],COLUMN(CUSTO_GLOBAL[[#Headers],[Seguro de Vida]])-2,0)*($G194-$H194)</f>
        <v>3.36</v>
      </c>
      <c r="AL194" s="22">
        <f>VLOOKUP($A194,tabCustoUnit[],COLUMN(CUSTO_GLOBAL[[#Headers],[Despesas de Viagem]])-2,0)*($G194-$H194)</f>
        <v>0</v>
      </c>
      <c r="AM194" s="22">
        <f>VLOOKUP($A194,tabCustoUnit[],COLUMN(CUSTO_GLOBAL[[#Headers],[Submódulo 2.3]])-2,0)*($G194-$H194)</f>
        <v>797.44320000000005</v>
      </c>
      <c r="AN194" s="22">
        <f>VLOOKUP($A194,tabCustoUnit[],COLUMN(CUSTO_GLOBAL[[#Headers],[MÓDULO 2 - Total Encargos e Benefícios mensais e diários]])-2,0)*($G194-$H194)</f>
        <v>1862.2967628500001</v>
      </c>
      <c r="AO194" s="22">
        <f>VLOOKUP($A194,tabCustoUnit[],COLUMN(CUSTO_GLOBAL[[#Headers],[Aviso Prévio Indenizado (API) e Reflexo do Aviso Prévio Indenizado]])-2,0)*($G194-$H194)</f>
        <v>11.559051416493055</v>
      </c>
      <c r="AP194" s="22">
        <f>VLOOKUP($A194,tabCustoUnit[],COLUMN(CUSTO_GLOBAL[[#Headers],[Incidência do FGTS sobre API e Reflexo do API]])-2,0)*($G194-$H194)</f>
        <v>0.92472411331944449</v>
      </c>
      <c r="AQ194" s="22">
        <f>VLOOKUP($A194,tabCustoUnit[],COLUMN(CUSTO_GLOBAL[[#Headers],[Multa Rescisória do FGTS sobre o Aviso Prévio Indenizado]])-2,0)*($G194-$H194)</f>
        <v>0.36988964532777785</v>
      </c>
      <c r="AR194" s="22">
        <f>VLOOKUP($A194,tabCustoUnit[],COLUMN(CUSTO_GLOBAL[[#Headers],[Aviso Prévio Trabalhado - APT]])-2,0)*($G194-$H194)</f>
        <v>5.7698266500000006</v>
      </c>
      <c r="AS194" s="22">
        <f>VLOOKUP($A194,tabCustoUnit[],COLUMN(CUSTO_GLOBAL[[#Headers],[Incidência dos encargos do submódulo 2.1 sobre Aviso Prévio Trabalhado]])-2,0)*($G194-$H194)</f>
        <v>2.1809944737000007</v>
      </c>
      <c r="AT194" s="22">
        <f>VLOOKUP($A194,tabCustoUnit[],COLUMN(CUSTO_GLOBAL[[#Headers],[Multa Rescisória do FGTS]])-2,0)*($G194-$H194)</f>
        <v>50.40813631999999</v>
      </c>
      <c r="AU194" s="22">
        <f>VLOOKUP($A194,tabCustoUnit[],COLUMN(CUSTO_GLOBAL[[#Headers],[Indenização Adicional (Art. 9º da Lei nº 7.238/84)]])-2,0)*($G194-$H194)</f>
        <v>1.3737682500000001</v>
      </c>
      <c r="AV194" s="22">
        <f>VLOOKUP($A194,tabCustoUnit[],COLUMN(CUSTO_GLOBAL[[#Headers],[MÓDULO 3 – PROVISÃO PARA RESCISÃO]])-2,0)*($G194-$H194)</f>
        <v>72.586390868840269</v>
      </c>
      <c r="AW194" s="22">
        <f>VLOOKUP($A194,tabCustoUnit[],COLUMN(CUSTO_GLOBAL[[#Headers],[Ausência por Doença]])-2,0)*($G194-$H194)</f>
        <v>13.920851599999999</v>
      </c>
      <c r="AX194" s="22">
        <f>VLOOKUP($A194,tabCustoUnit[],COLUMN(CUSTO_GLOBAL[[#Headers],[Ausências Legais]])-2,0)*($G194-$H194)</f>
        <v>3.3428360749999997</v>
      </c>
      <c r="AY194" s="22">
        <f>VLOOKUP($A194,tabCustoUnit[],COLUMN(CUSTO_GLOBAL[[#Headers],[Licença Paternidade]])-2,0)*($G194-$H194)</f>
        <v>0.28162249125</v>
      </c>
      <c r="AZ194" s="22">
        <f>VLOOKUP($A194,tabCustoUnit[],COLUMN(CUSTO_GLOBAL[[#Headers],[Ausência por Acidente de Trabalho]])-2,0)*($G194-$H194)</f>
        <v>0.34344206250000003</v>
      </c>
      <c r="BA194" s="22">
        <f>VLOOKUP($A194,tabCustoUnit[],COLUMN(CUSTO_GLOBAL[[#Headers],[Férias, Adicional de Férias e 13º  com empregada em gozo de Licença Maternidade]])-2,0)*($G194-$H194)</f>
        <v>2.1369728333333331</v>
      </c>
      <c r="BB194" s="22">
        <f>VLOOKUP($A194,tabCustoUnit[],COLUMN(CUSTO_GLOBAL[[#Headers],[Incidência do Submódulo 2.1 sobre Ausências Legais]])-2,0)*($G194-$H194)</f>
        <v>7.5697240734675013</v>
      </c>
      <c r="BC194" s="22">
        <f>VLOOKUP($A194,tabCustoUnit[],COLUMN(CUSTO_GLOBAL[[#Headers],[Submódulo 4.1]])-2,0)*($G194-$H194)</f>
        <v>27.595449135550833</v>
      </c>
      <c r="BD194" s="22">
        <f>VLOOKUP($A194,tabCustoUnit[],COLUMN(CUSTO_GLOBAL[[#Headers],[Intervalo para Repouso ou Alimentação]])-2,0)*($G194-$H194)</f>
        <v>0</v>
      </c>
      <c r="BE194" s="22">
        <f>VLOOKUP($A194,tabCustoUnit[],COLUMN(CUSTO_GLOBAL[[#Headers],[Submódulo 4.2]])-2,0)*($G194-$H194)</f>
        <v>0</v>
      </c>
      <c r="BF194" s="22">
        <f>VLOOKUP($A194,tabCustoUnit[],COLUMN(CUSTO_GLOBAL[[#Headers],[Suspensão Temporária do Contrato de Trabalho]])-2,0)*($G194-$H194)</f>
        <v>0</v>
      </c>
      <c r="BG194" s="22">
        <f>VLOOKUP($A194,tabCustoUnit[],COLUMN(CUSTO_GLOBAL[[#Headers],[Submódulo 4.3]])-2,0)*($G194-$H194)</f>
        <v>0</v>
      </c>
      <c r="BH194" s="22">
        <f>VLOOKUP($A194,tabCustoUnit[],COLUMN(CUSTO_GLOBAL[[#Headers],[MÓDULO 4 – CUSTO DE REPOSIÇÃO DO PROFISSIONAL AUSENTE]])-2,0)*($G194-$H194)</f>
        <v>27.595449135550833</v>
      </c>
      <c r="BI194" s="22">
        <f>VLOOKUP($A194,tabCustoUnit[],COLUMN(CUSTO_GLOBAL[[#Headers],[Uniformes e EPIs]])-2,0)*($G194-$H194)</f>
        <v>100.80916666666666</v>
      </c>
      <c r="BJ194" s="22">
        <f>VLOOKUP($A194,tabCustoUnit[],COLUMN(CUSTO_GLOBAL[[#Headers],[Materiais de Consumo]])-2,0)*($G194-$H194)</f>
        <v>35.518212958583888</v>
      </c>
      <c r="BK194" s="22">
        <f>VLOOKUP($A194,tabCustoUnit[],COLUMN(CUSTO_GLOBAL[[#Headers],[Máquinas e Equipamentos (depreciação)]])-2,0)*($G194-$H194)</f>
        <v>64.529393914825576</v>
      </c>
      <c r="BL194" s="22">
        <f>VLOOKUP($A194,tabCustoUnit[],COLUMN(CUSTO_GLOBAL[[#Headers],[Produtos de Limpeza e Materiais de Higiene Pessoal]])-2,0)*($G194-$H194)</f>
        <v>690.27153277931654</v>
      </c>
      <c r="BM194" s="22">
        <f>VLOOKUP($A194,tabCustoUnit[],COLUMN(CUSTO_GLOBAL[[#Headers],[Outros (especificar)]])-2,0)*($G194-$H194)</f>
        <v>0</v>
      </c>
      <c r="BN194" s="22">
        <f>VLOOKUP($A194,tabCustoUnit[],COLUMN(CUSTO_GLOBAL[[#Headers],[MÓDULO 5 – INSUMOS DIVERSOS]])-2,0)*($G194-$H194)</f>
        <v>891.12830631939266</v>
      </c>
      <c r="BO194" s="22">
        <f>VLOOKUP($A194,tabCustoUnit[],COLUMN(CUSTO_GLOBAL[[#Headers],[TOTAL MÓDULOS 1+2+3+4+5]])-2,0)*($G194-$H194)</f>
        <v>4502.1288091737833</v>
      </c>
      <c r="BP194" s="22">
        <f>VLOOKUP($A194,tabCustoUnit[],COLUMN(CUSTO_GLOBAL[[#Headers],[Custos Indiretos]])-2,0)*($G194-$H194)</f>
        <v>189.64880140242613</v>
      </c>
      <c r="BQ194" s="22">
        <f>VLOOKUP($A194,tabCustoUnit[],COLUMN(CUSTO_GLOBAL[[#Headers],[Lucro]])-2,0)*($G194-$H194)</f>
        <v>159.30499317803796</v>
      </c>
      <c r="BR194" s="26">
        <f>VLOOKUP($A194,tabCustoUnit[],COLUMN(CUSTO_GLOBAL[[#Headers],[COFINS]])-2,0)</f>
        <v>8.8629737609329504E-2</v>
      </c>
      <c r="BS194" s="26">
        <f>VLOOKUP($A194,tabCustoUnit[],COLUMN(CUSTO_GLOBAL[[#Headers],[PIS]])-2,0)</f>
        <v>1.9241982507288629E-2</v>
      </c>
      <c r="BT194" s="28">
        <f>VLOOKUP($A194,tabCustoUnit[],COLUMN(CUSTO_GLOBAL[[#Headers],[ISS]])-2,0)</f>
        <v>0.05</v>
      </c>
      <c r="BU194" s="26">
        <f>VLOOKUP($A194,tabCustoUnit[],COLUMN(CUSTO_GLOBAL[[#Headers],[ISS (Conversão Alíquota s/ fatura)]])-2,0)</f>
        <v>5.8309037900874633E-2</v>
      </c>
      <c r="BV194" s="26">
        <f>VLOOKUP($A194,tabCustoUnit[],COLUMN(CUSTO_GLOBAL[[#Headers],[Resumo de Alíquotas (PIS+CONFINS+ISS)]])-2,0)</f>
        <v>0.14250000000000002</v>
      </c>
      <c r="BW194" s="138">
        <f>VLOOKUP($A194,tabCustoUnit[],COLUMN(CUSTO_GLOBAL[[#Headers],[PIS + COFINS + ISS (Total Conversão  Alíquota s/ Fatura)]])-2,0)</f>
        <v>0.16618075801749277</v>
      </c>
      <c r="BX194" s="22">
        <f>VLOOKUP($A194,tabCustoUnit[],COLUMN(CUSTO_GLOBAL[[#Headers],[Valor dos Tributos (ISS, PIS, CONFINS)]])-2,0)*($G194-$H194)</f>
        <v>806.15658429735333</v>
      </c>
      <c r="BY194" s="22">
        <f>VLOOKUP($A194,tabCustoUnit[],COLUMN(CUSTO_GLOBAL[[#Headers],[MÓDULO 6 – CUSTOS INDIRETOS, TRIBUTOS E LUCRO]])-2,0)*($G194-$H194)</f>
        <v>1155.1103788778173</v>
      </c>
      <c r="BZ194" s="22">
        <f>VLOOKUP($A194,tabCustoUnit[],COLUMN(CUSTO_GLOBAL[[#Headers],[CUSTO TOTAL MENSAL]])-2,0)*($G194-$H194)</f>
        <v>5657.2391880516006</v>
      </c>
      <c r="CA194" s="22">
        <f>CUSTO_GLOBAL[[#This Row],[CUSTO TOTAL MENSAL]]*12</f>
        <v>67886.870256619208</v>
      </c>
      <c r="CB194" s="24">
        <f>VLOOKUP($A194,tabCustoUnit[],COLUMN(CUSTO_GLOBAL[[#Headers],[ANO DA CCT]])-2,0)</f>
        <v>45658</v>
      </c>
      <c r="CC194" s="25" t="str">
        <f>VLOOKUP($A194,tabCustoUnit[],COLUMN(CUSTO_GLOBAL[[#Headers],[Nº DE PEDIDO DA CCT]])-2,0)</f>
        <v>-</v>
      </c>
      <c r="CD194" s="25" t="str">
        <f>VLOOKUP($A194,tabCustoUnit[],COLUMN(CUSTO_GLOBAL[[#Headers],[TERMO ADITIVO  ALTERAÇÃO DA CCT]])-2,0)</f>
        <v>-</v>
      </c>
      <c r="CF194" s="22"/>
      <c r="CG194" s="22"/>
    </row>
    <row r="195" spans="1:85" x14ac:dyDescent="0.25">
      <c r="A195" s="20" t="s">
        <v>1274</v>
      </c>
      <c r="B195" t="s">
        <v>177</v>
      </c>
      <c r="C195" t="s">
        <v>1247</v>
      </c>
      <c r="D195" t="s">
        <v>81</v>
      </c>
      <c r="E195" s="20" t="s">
        <v>9</v>
      </c>
      <c r="F195" s="20" t="s">
        <v>10</v>
      </c>
      <c r="G195" s="20">
        <v>1</v>
      </c>
      <c r="H195" s="20">
        <v>0</v>
      </c>
      <c r="I195" s="21">
        <f>VLOOKUP($A195,tabCustoUnit[],COLUMN(CUSTO_GLOBAL[[#Headers],[Salário Base]])-2,0)*($G195-$H195)</f>
        <v>544.17999999999995</v>
      </c>
      <c r="J195" s="21">
        <f>VLOOKUP($A195,tabCustoUnit[],COLUMN(CUSTO_GLOBAL[[#Headers],[Adicional Periculosidade]])-2,0)*($G195-$H195)</f>
        <v>0</v>
      </c>
      <c r="K195" s="21">
        <f>VLOOKUP($A195,tabCustoUnit[],COLUMN(CUSTO_GLOBAL[[#Headers],[Adicional Insalubridade]])-2,0)*($G195-$H195)</f>
        <v>0</v>
      </c>
      <c r="L195" s="21">
        <f>VLOOKUP($A195,tabCustoUnit[],COLUMN(CUSTO_GLOBAL[[#Headers],[Adicional Noturno]])-2,0)*($G195-$H195)</f>
        <v>0</v>
      </c>
      <c r="M195" s="21">
        <f>VLOOKUP($A195,tabCustoUnit[],COLUMN(CUSTO_GLOBAL[[#Headers],[Adicional Motorista II (Gratificação)]])-2,0)*($G195-$H195)</f>
        <v>0</v>
      </c>
      <c r="N195" s="21">
        <f>VLOOKUP($A195,tabCustoUnit[],COLUMN(CUSTO_GLOBAL[[#Headers],[Adicional de Sobreaviso]])-2,0)*($G195-$H195)</f>
        <v>0</v>
      </c>
      <c r="O195" s="21">
        <f>VLOOKUP($A195,tabCustoUnit[],COLUMN(CUSTO_GLOBAL[[#Headers],[Horas Extras TI]])-2,0)*($G195-$H195)</f>
        <v>0</v>
      </c>
      <c r="P195" s="21">
        <f>VLOOKUP($A195,tabCustoUnit[],COLUMN(CUSTO_GLOBAL[[#Headers],[Adicional de Acúmulo de função]])-2,0)*($G195-$H195)</f>
        <v>19.590499999999999</v>
      </c>
      <c r="Q195" s="21">
        <f>VLOOKUP($A195,tabCustoUnit[],COLUMN(CUSTO_GLOBAL[[#Headers],[MODULO 1 - REMUNERAÇÃO ]])-2,0)*($G195-$H195)</f>
        <v>563.77049999999997</v>
      </c>
      <c r="R195" s="21">
        <f>VLOOKUP($A195,tabCustoUnit[],COLUMN(CUSTO_GLOBAL[[#Headers],[INSS]])-2,0)*($G195-$H195)</f>
        <v>112.75409999999999</v>
      </c>
      <c r="S195" s="21">
        <f>VLOOKUP($A195,tabCustoUnit[],COLUMN(CUSTO_GLOBAL[[#Headers],[SESI OU SESC]])-2,0)*($G195-$H195)</f>
        <v>8.4565574999999988</v>
      </c>
      <c r="T195" s="21">
        <f>VLOOKUP($A195,tabCustoUnit[],COLUMN(CUSTO_GLOBAL[[#Headers],[SENAI OU SENAC]])-2,0)*($G195-$H195)</f>
        <v>5.6377049999999995</v>
      </c>
      <c r="U195" s="21">
        <f>VLOOKUP($A195,tabCustoUnit[],COLUMN(CUSTO_GLOBAL[[#Headers],[INCRA]])-2,0)*($G195-$H195)</f>
        <v>1.1275409999999999</v>
      </c>
      <c r="V195" s="21">
        <f>VLOOKUP($A195,tabCustoUnit[],COLUMN(CUSTO_GLOBAL[[#Headers],[Salário Educação]])-2,0)*($G195-$H195)</f>
        <v>14.094262499999999</v>
      </c>
      <c r="W195" s="21">
        <f>VLOOKUP($A195,tabCustoUnit[],COLUMN(CUSTO_GLOBAL[[#Headers],[FGTS]])-2,0)*($G195-$H195)</f>
        <v>45.101639999999996</v>
      </c>
      <c r="X195" s="21">
        <f>VLOOKUP($A195,tabCustoUnit[],COLUMN(CUSTO_GLOBAL[[#Headers],[RAT Ajustado]])-2,0)*($G195-$H195)</f>
        <v>22.550819999999998</v>
      </c>
      <c r="Y195" s="21">
        <f>VLOOKUP($A195,tabCustoUnit[],COLUMN(CUSTO_GLOBAL[[#Headers],[SEBRAE]])-2,0)*($G195-$H195)</f>
        <v>3.3826229999999997</v>
      </c>
      <c r="Z195" s="21">
        <f>VLOOKUP($A195,tabCustoUnit[],COLUMN(CUSTO_GLOBAL[[#Headers],[Submódulo 2.1]])-2,0)*($G195-$H195)</f>
        <v>213.10524899999996</v>
      </c>
      <c r="AA195" s="21">
        <f>VLOOKUP($A195,tabCustoUnit[],COLUMN(CUSTO_GLOBAL[[#Headers],[13º salário (titular)]])-2,0)*($G195-$H195)</f>
        <v>46.980874999999997</v>
      </c>
      <c r="AB195" s="21">
        <f>VLOOKUP($A195,tabCustoUnit[],COLUMN(CUSTO_GLOBAL[[#Headers],[Férias e Adicional de Férias (titular)]])-2,0)*($G195-$H195)</f>
        <v>62.641166666666663</v>
      </c>
      <c r="AC195" s="21">
        <f>VLOOKUP($A195,tabCustoUnit[],COLUMN(CUSTO_GLOBAL[[#Headers],[Incidência do Submódulo 2.1 sobre 13º Salário, Férias e Adicional de Férias]])-2,0)*($G195-$H195)</f>
        <v>41.437131749999992</v>
      </c>
      <c r="AD195" s="21">
        <f>VLOOKUP($A195,tabCustoUnit[],COLUMN(CUSTO_GLOBAL[[#Headers],[Submódulo 2.2]])-2,0)*($G195-$H195)</f>
        <v>151.05917341666665</v>
      </c>
      <c r="AE195" s="22">
        <f>VLOOKUP($A195,tabCustoUnit[],COLUMN(CUSTO_GLOBAL[[#Headers],[Vale - Transporte (Descontada parcela do empregado)]])-2,0)*($G195-$H195)</f>
        <v>223.3492</v>
      </c>
      <c r="AF195" s="22">
        <f>VLOOKUP($A195,tabCustoUnit[],COLUMN(CUSTO_GLOBAL[[#Headers],[Vale - Alimentação (Descontada parcela do empregado)]])-2,0)*($G195-$H195)</f>
        <v>582</v>
      </c>
      <c r="AG195" s="22">
        <f>VLOOKUP($A195,tabCustoUnit[],COLUMN(CUSTO_GLOBAL[[#Headers],[Cesta Básica]])-2,0)*($G195-$H195)</f>
        <v>0</v>
      </c>
      <c r="AH195" s="22">
        <f>VLOOKUP($A195,tabCustoUnit[],COLUMN(CUSTO_GLOBAL[[#Headers],[PAF]])-2,0)*($G195-$H195)</f>
        <v>0</v>
      </c>
      <c r="AI195" s="22">
        <f>VLOOKUP($A195,tabCustoUnit[],COLUMN(CUSTO_GLOBAL[[#Headers],[PQM]])-2,0)*($G195-$H195)</f>
        <v>0</v>
      </c>
      <c r="AJ195" s="22">
        <v>0</v>
      </c>
      <c r="AK195" s="22">
        <f>VLOOKUP($A195,tabCustoUnit[],COLUMN(CUSTO_GLOBAL[[#Headers],[Seguro de Vida]])-2,0)*($G195-$H195)</f>
        <v>3.36</v>
      </c>
      <c r="AL195" s="22">
        <f>VLOOKUP($A195,tabCustoUnit[],COLUMN(CUSTO_GLOBAL[[#Headers],[Despesas de Viagem]])-2,0)*($G195-$H195)</f>
        <v>0</v>
      </c>
      <c r="AM195" s="22">
        <f>VLOOKUP($A195,tabCustoUnit[],COLUMN(CUSTO_GLOBAL[[#Headers],[Submódulo 2.3]])-2,0)*($G195-$H195)</f>
        <v>808.70920000000001</v>
      </c>
      <c r="AN195" s="22">
        <f>VLOOKUP($A195,tabCustoUnit[],COLUMN(CUSTO_GLOBAL[[#Headers],[MÓDULO 2 - Total Encargos e Benefícios mensais e diários]])-2,0)*($G195-$H195)</f>
        <v>1172.8736224166666</v>
      </c>
      <c r="AO195" s="22">
        <f>VLOOKUP($A195,tabCustoUnit[],COLUMN(CUSTO_GLOBAL[[#Headers],[Aviso Prévio Indenizado (API) e Reflexo do Aviso Prévio Indenizado]])-2,0)*($G195-$H195)</f>
        <v>3.9530273735532404</v>
      </c>
      <c r="AP195" s="22">
        <f>VLOOKUP($A195,tabCustoUnit[],COLUMN(CUSTO_GLOBAL[[#Headers],[Incidência do FGTS sobre API e Reflexo do API]])-2,0)*($G195-$H195)</f>
        <v>0.31624218988425928</v>
      </c>
      <c r="AQ195" s="22">
        <f>VLOOKUP($A195,tabCustoUnit[],COLUMN(CUSTO_GLOBAL[[#Headers],[Multa Rescisória do FGTS sobre o Aviso Prévio Indenizado]])-2,0)*($G195-$H195)</f>
        <v>0.12649687595370371</v>
      </c>
      <c r="AR195" s="22">
        <f>VLOOKUP($A195,tabCustoUnit[],COLUMN(CUSTO_GLOBAL[[#Headers],[Aviso Prévio Trabalhado - APT]])-2,0)*($G195-$H195)</f>
        <v>1.9731967500000003</v>
      </c>
      <c r="AS195" s="22">
        <f>VLOOKUP($A195,tabCustoUnit[],COLUMN(CUSTO_GLOBAL[[#Headers],[Incidência dos encargos do submódulo 2.1 sobre Aviso Prévio Trabalhado]])-2,0)*($G195-$H195)</f>
        <v>0.74586837150000018</v>
      </c>
      <c r="AT195" s="22">
        <f>VLOOKUP($A195,tabCustoUnit[],COLUMN(CUSTO_GLOBAL[[#Headers],[Multa Rescisória do FGTS]])-2,0)*($G195-$H195)</f>
        <v>17.238849066666663</v>
      </c>
      <c r="AU195" s="22">
        <f>VLOOKUP($A195,tabCustoUnit[],COLUMN(CUSTO_GLOBAL[[#Headers],[Indenização Adicional (Art. 9º da Lei nº 7.238/84)]])-2,0)*($G195-$H195)</f>
        <v>0.46980875</v>
      </c>
      <c r="AV195" s="22">
        <f>VLOOKUP($A195,tabCustoUnit[],COLUMN(CUSTO_GLOBAL[[#Headers],[MÓDULO 3 – PROVISÃO PARA RESCISÃO]])-2,0)*($G195-$H195)</f>
        <v>24.823489377557866</v>
      </c>
      <c r="AW195" s="22">
        <f>VLOOKUP($A195,tabCustoUnit[],COLUMN(CUSTO_GLOBAL[[#Headers],[Ausência por Doença]])-2,0)*($G195-$H195)</f>
        <v>4.7607286666666662</v>
      </c>
      <c r="AX195" s="22">
        <f>VLOOKUP($A195,tabCustoUnit[],COLUMN(CUSTO_GLOBAL[[#Headers],[Ausências Legais]])-2,0)*($G195-$H195)</f>
        <v>1.1432012916666665</v>
      </c>
      <c r="AY195" s="22">
        <f>VLOOKUP($A195,tabCustoUnit[],COLUMN(CUSTO_GLOBAL[[#Headers],[Licença Paternidade]])-2,0)*($G195-$H195)</f>
        <v>9.6310793749999998E-2</v>
      </c>
      <c r="AZ195" s="22">
        <f>VLOOKUP($A195,tabCustoUnit[],COLUMN(CUSTO_GLOBAL[[#Headers],[Ausência por Acidente de Trabalho]])-2,0)*($G195-$H195)</f>
        <v>0.1174521875</v>
      </c>
      <c r="BA195" s="22">
        <f>VLOOKUP($A195,tabCustoUnit[],COLUMN(CUSTO_GLOBAL[[#Headers],[Férias, Adicional de Férias e 13º  com empregada em gozo de Licença Maternidade]])-2,0)*($G195-$H195)</f>
        <v>0.73081361111111109</v>
      </c>
      <c r="BB195" s="22">
        <f>VLOOKUP($A195,tabCustoUnit[],COLUMN(CUSTO_GLOBAL[[#Headers],[Incidência do Submódulo 2.1 sobre Ausências Legais]])-2,0)*($G195-$H195)</f>
        <v>2.5887354761625003</v>
      </c>
      <c r="BC195" s="22">
        <f>VLOOKUP($A195,tabCustoUnit[],COLUMN(CUSTO_GLOBAL[[#Headers],[Submódulo 4.1]])-2,0)*($G195-$H195)</f>
        <v>9.4372420268569428</v>
      </c>
      <c r="BD195" s="22">
        <f>VLOOKUP($A195,tabCustoUnit[],COLUMN(CUSTO_GLOBAL[[#Headers],[Intervalo para Repouso ou Alimentação]])-2,0)*($G195-$H195)</f>
        <v>0</v>
      </c>
      <c r="BE195" s="22">
        <f>VLOOKUP($A195,tabCustoUnit[],COLUMN(CUSTO_GLOBAL[[#Headers],[Submódulo 4.2]])-2,0)*($G195-$H195)</f>
        <v>0</v>
      </c>
      <c r="BF195" s="22">
        <f>VLOOKUP($A195,tabCustoUnit[],COLUMN(CUSTO_GLOBAL[[#Headers],[Suspensão Temporária do Contrato de Trabalho]])-2,0)*($G195-$H195)</f>
        <v>0</v>
      </c>
      <c r="BG195" s="22">
        <f>VLOOKUP($A195,tabCustoUnit[],COLUMN(CUSTO_GLOBAL[[#Headers],[Submódulo 4.3]])-2,0)*($G195-$H195)</f>
        <v>0</v>
      </c>
      <c r="BH195" s="22">
        <f>VLOOKUP($A195,tabCustoUnit[],COLUMN(CUSTO_GLOBAL[[#Headers],[MÓDULO 4 – CUSTO DE REPOSIÇÃO DO PROFISSIONAL AUSENTE]])-2,0)*($G195-$H195)</f>
        <v>9.4372420268569428</v>
      </c>
      <c r="BI195" s="22">
        <f>VLOOKUP($A195,tabCustoUnit[],COLUMN(CUSTO_GLOBAL[[#Headers],[Uniformes e EPIs]])-2,0)*($G195-$H195)</f>
        <v>62.806666666666665</v>
      </c>
      <c r="BJ195" s="22">
        <f>VLOOKUP($A195,tabCustoUnit[],COLUMN(CUSTO_GLOBAL[[#Headers],[Materiais de Consumo]])-2,0)*($G195-$H195)</f>
        <v>12.108481690426325</v>
      </c>
      <c r="BK195" s="22">
        <f>VLOOKUP($A195,tabCustoUnit[],COLUMN(CUSTO_GLOBAL[[#Headers],[Máquinas e Equipamentos (depreciação)]])-2,0)*($G195-$H195)</f>
        <v>21.998657016417809</v>
      </c>
      <c r="BL195" s="22">
        <f>VLOOKUP($A195,tabCustoUnit[],COLUMN(CUSTO_GLOBAL[[#Headers],[Produtos de Limpeza e Materiais de Higiene Pessoal]])-2,0)*($G195-$H195)</f>
        <v>235.31984072022155</v>
      </c>
      <c r="BM195" s="22">
        <f>VLOOKUP($A195,tabCustoUnit[],COLUMN(CUSTO_GLOBAL[[#Headers],[Outros (especificar)]])-2,0)*($G195-$H195)</f>
        <v>0</v>
      </c>
      <c r="BN195" s="22">
        <f>VLOOKUP($A195,tabCustoUnit[],COLUMN(CUSTO_GLOBAL[[#Headers],[MÓDULO 5 – INSUMOS DIVERSOS]])-2,0)*($G195-$H195)</f>
        <v>332.23364609373232</v>
      </c>
      <c r="BO195" s="22">
        <f>VLOOKUP($A195,tabCustoUnit[],COLUMN(CUSTO_GLOBAL[[#Headers],[TOTAL MÓDULOS 1+2+3+4+5]])-2,0)*($G195-$H195)</f>
        <v>2103.1384999148136</v>
      </c>
      <c r="BP195" s="22">
        <f>VLOOKUP($A195,tabCustoUnit[],COLUMN(CUSTO_GLOBAL[[#Headers],[Custos Indiretos]])-2,0)*($G195-$H195)</f>
        <v>189.64880140242613</v>
      </c>
      <c r="BQ195" s="22">
        <f>VLOOKUP($A195,tabCustoUnit[],COLUMN(CUSTO_GLOBAL[[#Headers],[Lucro]])-2,0)*($G195-$H195)</f>
        <v>159.30499317803796</v>
      </c>
      <c r="BR195" s="26">
        <f>VLOOKUP($A195,tabCustoUnit[],COLUMN(CUSTO_GLOBAL[[#Headers],[COFINS]])-2,0)</f>
        <v>8.5633802816901458E-2</v>
      </c>
      <c r="BS195" s="26">
        <f>VLOOKUP($A195,tabCustoUnit[],COLUMN(CUSTO_GLOBAL[[#Headers],[PIS]])-2,0)</f>
        <v>1.8591549295774657E-2</v>
      </c>
      <c r="BT195" s="28">
        <f>VLOOKUP($A195,tabCustoUnit[],COLUMN(CUSTO_GLOBAL[[#Headers],[ISS]])-2,0)</f>
        <v>0.02</v>
      </c>
      <c r="BU195" s="26">
        <f>VLOOKUP($A195,tabCustoUnit[],COLUMN(CUSTO_GLOBAL[[#Headers],[ISS (Conversão Alíquota s/ fatura)]])-2,0)</f>
        <v>2.2535211267605645E-2</v>
      </c>
      <c r="BV195" s="26">
        <f>VLOOKUP($A195,tabCustoUnit[],COLUMN(CUSTO_GLOBAL[[#Headers],[Resumo de Alíquotas (PIS+CONFINS+ISS)]])-2,0)</f>
        <v>0.1125</v>
      </c>
      <c r="BW195" s="138">
        <f>VLOOKUP($A195,tabCustoUnit[],COLUMN(CUSTO_GLOBAL[[#Headers],[PIS + COFINS + ISS (Total Conversão  Alíquota s/ Fatura)]])-2,0)</f>
        <v>0.12676056338028174</v>
      </c>
      <c r="BX195" s="22">
        <f>VLOOKUP($A195,tabCustoUnit[],COLUMN(CUSTO_GLOBAL[[#Headers],[Valor dos Tributos (ISS, PIS, CONFINS)]])-2,0)*($G195-$H195)</f>
        <v>310.82860071066915</v>
      </c>
      <c r="BY195" s="22">
        <f>VLOOKUP($A195,tabCustoUnit[],COLUMN(CUSTO_GLOBAL[[#Headers],[MÓDULO 6 – CUSTOS INDIRETOS, TRIBUTOS E LUCRO]])-2,0)*($G195-$H195)</f>
        <v>659.7823952911333</v>
      </c>
      <c r="BZ195" s="22">
        <f>VLOOKUP($A195,tabCustoUnit[],COLUMN(CUSTO_GLOBAL[[#Headers],[CUSTO TOTAL MENSAL]])-2,0)*($G195-$H195)</f>
        <v>2762.9208952059471</v>
      </c>
      <c r="CA195" s="22">
        <f>CUSTO_GLOBAL[[#This Row],[CUSTO TOTAL MENSAL]]*12</f>
        <v>33155.050742471365</v>
      </c>
      <c r="CB195" s="24">
        <f>VLOOKUP($A195,tabCustoUnit[],COLUMN(CUSTO_GLOBAL[[#Headers],[ANO DA CCT]])-2,0)</f>
        <v>45658</v>
      </c>
      <c r="CC195" s="25" t="str">
        <f>VLOOKUP($A195,tabCustoUnit[],COLUMN(CUSTO_GLOBAL[[#Headers],[Nº DE PEDIDO DA CCT]])-2,0)</f>
        <v>-</v>
      </c>
      <c r="CD195" s="25" t="str">
        <f>VLOOKUP($A195,tabCustoUnit[],COLUMN(CUSTO_GLOBAL[[#Headers],[TERMO ADITIVO  ALTERAÇÃO DA CCT]])-2,0)</f>
        <v>-</v>
      </c>
      <c r="CF195" s="22"/>
      <c r="CG195" s="22"/>
    </row>
    <row r="196" spans="1:85" x14ac:dyDescent="0.25">
      <c r="A196" s="20" t="s">
        <v>1531</v>
      </c>
      <c r="B196" t="s">
        <v>177</v>
      </c>
      <c r="C196" t="s">
        <v>1244</v>
      </c>
      <c r="D196" t="s">
        <v>81</v>
      </c>
      <c r="E196" s="20" t="s">
        <v>9</v>
      </c>
      <c r="F196" s="20" t="s">
        <v>10</v>
      </c>
      <c r="G196" s="20">
        <v>1</v>
      </c>
      <c r="H196" s="20">
        <v>0</v>
      </c>
      <c r="I196" s="21">
        <f>VLOOKUP($A196,tabCustoUnit[],COLUMN(CUSTO_GLOBAL[[#Headers],[Salário Base]])-2,0)*($G196-$H196)</f>
        <v>798.14</v>
      </c>
      <c r="J196" s="21">
        <f>VLOOKUP($A196,tabCustoUnit[],COLUMN(CUSTO_GLOBAL[[#Headers],[Adicional Periculosidade]])-2,0)*($G196-$H196)</f>
        <v>0</v>
      </c>
      <c r="K196" s="21">
        <f>VLOOKUP($A196,tabCustoUnit[],COLUMN(CUSTO_GLOBAL[[#Headers],[Adicional Insalubridade]])-2,0)*($G196-$H196)</f>
        <v>0</v>
      </c>
      <c r="L196" s="21">
        <f>VLOOKUP($A196,tabCustoUnit[],COLUMN(CUSTO_GLOBAL[[#Headers],[Adicional Noturno]])-2,0)*($G196-$H196)</f>
        <v>0</v>
      </c>
      <c r="M196" s="21">
        <f>VLOOKUP($A196,tabCustoUnit[],COLUMN(CUSTO_GLOBAL[[#Headers],[Adicional Motorista II (Gratificação)]])-2,0)*($G196-$H196)</f>
        <v>0</v>
      </c>
      <c r="N196" s="21">
        <f>VLOOKUP($A196,tabCustoUnit[],COLUMN(CUSTO_GLOBAL[[#Headers],[Adicional de Sobreaviso]])-2,0)*($G196-$H196)</f>
        <v>0</v>
      </c>
      <c r="O196" s="21">
        <f>VLOOKUP($A196,tabCustoUnit[],COLUMN(CUSTO_GLOBAL[[#Headers],[Horas Extras TI]])-2,0)*($G196-$H196)</f>
        <v>0</v>
      </c>
      <c r="P196" s="21">
        <f>VLOOKUP($A196,tabCustoUnit[],COLUMN(CUSTO_GLOBAL[[#Headers],[Adicional de Acúmulo de função]])-2,0)*($G196-$H196)</f>
        <v>26.120899999999999</v>
      </c>
      <c r="Q196" s="21">
        <f>VLOOKUP($A196,tabCustoUnit[],COLUMN(CUSTO_GLOBAL[[#Headers],[MODULO 1 - REMUNERAÇÃO ]])-2,0)*($G196-$H196)</f>
        <v>824.26089999999999</v>
      </c>
      <c r="R196" s="21">
        <f>VLOOKUP($A196,tabCustoUnit[],COLUMN(CUSTO_GLOBAL[[#Headers],[INSS]])-2,0)*($G196-$H196)</f>
        <v>164.85218</v>
      </c>
      <c r="S196" s="21">
        <f>VLOOKUP($A196,tabCustoUnit[],COLUMN(CUSTO_GLOBAL[[#Headers],[SESI OU SESC]])-2,0)*($G196-$H196)</f>
        <v>12.363913499999999</v>
      </c>
      <c r="T196" s="21">
        <f>VLOOKUP($A196,tabCustoUnit[],COLUMN(CUSTO_GLOBAL[[#Headers],[SENAI OU SENAC]])-2,0)*($G196-$H196)</f>
        <v>8.2426089999999999</v>
      </c>
      <c r="U196" s="21">
        <f>VLOOKUP($A196,tabCustoUnit[],COLUMN(CUSTO_GLOBAL[[#Headers],[INCRA]])-2,0)*($G196-$H196)</f>
        <v>1.6485217999999999</v>
      </c>
      <c r="V196" s="21">
        <f>VLOOKUP($A196,tabCustoUnit[],COLUMN(CUSTO_GLOBAL[[#Headers],[Salário Educação]])-2,0)*($G196-$H196)</f>
        <v>20.606522500000001</v>
      </c>
      <c r="W196" s="21">
        <f>VLOOKUP($A196,tabCustoUnit[],COLUMN(CUSTO_GLOBAL[[#Headers],[FGTS]])-2,0)*($G196-$H196)</f>
        <v>65.940871999999999</v>
      </c>
      <c r="X196" s="21">
        <f>VLOOKUP($A196,tabCustoUnit[],COLUMN(CUSTO_GLOBAL[[#Headers],[RAT Ajustado]])-2,0)*($G196-$H196)</f>
        <v>32.970435999999999</v>
      </c>
      <c r="Y196" s="21">
        <f>VLOOKUP($A196,tabCustoUnit[],COLUMN(CUSTO_GLOBAL[[#Headers],[SEBRAE]])-2,0)*($G196-$H196)</f>
        <v>4.9455654000000004</v>
      </c>
      <c r="Z196" s="21">
        <f>VLOOKUP($A196,tabCustoUnit[],COLUMN(CUSTO_GLOBAL[[#Headers],[Submódulo 2.1]])-2,0)*($G196-$H196)</f>
        <v>311.57062020000001</v>
      </c>
      <c r="AA196" s="21">
        <f>VLOOKUP($A196,tabCustoUnit[],COLUMN(CUSTO_GLOBAL[[#Headers],[13º salário (titular)]])-2,0)*($G196-$H196)</f>
        <v>68.688408333333328</v>
      </c>
      <c r="AB196" s="21">
        <f>VLOOKUP($A196,tabCustoUnit[],COLUMN(CUSTO_GLOBAL[[#Headers],[Férias e Adicional de Férias (titular)]])-2,0)*($G196-$H196)</f>
        <v>91.584544444444433</v>
      </c>
      <c r="AC196" s="21">
        <f>VLOOKUP($A196,tabCustoUnit[],COLUMN(CUSTO_GLOBAL[[#Headers],[Incidência do Submódulo 2.1 sobre 13º Salário, Férias e Adicional de Férias]])-2,0)*($G196-$H196)</f>
        <v>60.583176149999993</v>
      </c>
      <c r="AD196" s="21">
        <f>VLOOKUP($A196,tabCustoUnit[],COLUMN(CUSTO_GLOBAL[[#Headers],[Submódulo 2.2]])-2,0)*($G196-$H196)</f>
        <v>220.85612892777775</v>
      </c>
      <c r="AE196" s="22">
        <f>VLOOKUP($A196,tabCustoUnit[],COLUMN(CUSTO_GLOBAL[[#Headers],[Vale - Transporte (Descontada parcela do empregado)]])-2,0)*($G196-$H196)</f>
        <v>208.11160000000001</v>
      </c>
      <c r="AF196" s="22">
        <f>VLOOKUP($A196,tabCustoUnit[],COLUMN(CUSTO_GLOBAL[[#Headers],[Vale - Alimentação (Descontada parcela do empregado)]])-2,0)*($G196-$H196)</f>
        <v>582</v>
      </c>
      <c r="AG196" s="22">
        <f>VLOOKUP($A196,tabCustoUnit[],COLUMN(CUSTO_GLOBAL[[#Headers],[Cesta Básica]])-2,0)*($G196-$H196)</f>
        <v>0</v>
      </c>
      <c r="AH196" s="22">
        <f>VLOOKUP($A196,tabCustoUnit[],COLUMN(CUSTO_GLOBAL[[#Headers],[PAF]])-2,0)*($G196-$H196)</f>
        <v>0</v>
      </c>
      <c r="AI196" s="22">
        <f>VLOOKUP($A196,tabCustoUnit[],COLUMN(CUSTO_GLOBAL[[#Headers],[PQM]])-2,0)*($G196-$H196)</f>
        <v>0</v>
      </c>
      <c r="AJ196" s="22">
        <v>0</v>
      </c>
      <c r="AK196" s="22">
        <f>VLOOKUP($A196,tabCustoUnit[],COLUMN(CUSTO_GLOBAL[[#Headers],[Seguro de Vida]])-2,0)*($G196-$H196)</f>
        <v>3.36</v>
      </c>
      <c r="AL196" s="22">
        <f>VLOOKUP($A196,tabCustoUnit[],COLUMN(CUSTO_GLOBAL[[#Headers],[Despesas de Viagem]])-2,0)*($G196-$H196)</f>
        <v>0</v>
      </c>
      <c r="AM196" s="22">
        <f>VLOOKUP($A196,tabCustoUnit[],COLUMN(CUSTO_GLOBAL[[#Headers],[Submódulo 2.3]])-2,0)*($G196-$H196)</f>
        <v>793.47159999999997</v>
      </c>
      <c r="AN196" s="22">
        <f>VLOOKUP($A196,tabCustoUnit[],COLUMN(CUSTO_GLOBAL[[#Headers],[MÓDULO 2 - Total Encargos e Benefícios mensais e diários]])-2,0)*($G196-$H196)</f>
        <v>1325.8983491277777</v>
      </c>
      <c r="AO196" s="22">
        <f>VLOOKUP($A196,tabCustoUnit[],COLUMN(CUSTO_GLOBAL[[#Headers],[Aviso Prévio Indenizado (API) e Reflexo do Aviso Prévio Indenizado]])-2,0)*($G196-$H196)</f>
        <v>5.7795253576581791</v>
      </c>
      <c r="AP196" s="22">
        <f>VLOOKUP($A196,tabCustoUnit[],COLUMN(CUSTO_GLOBAL[[#Headers],[Incidência do FGTS sobre API e Reflexo do API]])-2,0)*($G196-$H196)</f>
        <v>0.46236202861265435</v>
      </c>
      <c r="AQ196" s="22">
        <f>VLOOKUP($A196,tabCustoUnit[],COLUMN(CUSTO_GLOBAL[[#Headers],[Multa Rescisória do FGTS sobre o Aviso Prévio Indenizado]])-2,0)*($G196-$H196)</f>
        <v>0.18494481144506175</v>
      </c>
      <c r="AR196" s="22">
        <f>VLOOKUP($A196,tabCustoUnit[],COLUMN(CUSTO_GLOBAL[[#Headers],[Aviso Prévio Trabalhado - APT]])-2,0)*($G196-$H196)</f>
        <v>2.8849131500000005</v>
      </c>
      <c r="AS196" s="22">
        <f>VLOOKUP($A196,tabCustoUnit[],COLUMN(CUSTO_GLOBAL[[#Headers],[Incidência dos encargos do submódulo 2.1 sobre Aviso Prévio Trabalhado]])-2,0)*($G196-$H196)</f>
        <v>1.0904971707000004</v>
      </c>
      <c r="AT196" s="22">
        <f>VLOOKUP($A196,tabCustoUnit[],COLUMN(CUSTO_GLOBAL[[#Headers],[Multa Rescisória do FGTS]])-2,0)*($G196-$H196)</f>
        <v>25.204066631111107</v>
      </c>
      <c r="AU196" s="22">
        <f>VLOOKUP($A196,tabCustoUnit[],COLUMN(CUSTO_GLOBAL[[#Headers],[Indenização Adicional (Art. 9º da Lei nº 7.238/84)]])-2,0)*($G196-$H196)</f>
        <v>0.6868840833333334</v>
      </c>
      <c r="AV196" s="22">
        <f>VLOOKUP($A196,tabCustoUnit[],COLUMN(CUSTO_GLOBAL[[#Headers],[MÓDULO 3 – PROVISÃO PARA RESCISÃO]])-2,0)*($G196-$H196)</f>
        <v>36.293193232860339</v>
      </c>
      <c r="AW196" s="22">
        <f>VLOOKUP($A196,tabCustoUnit[],COLUMN(CUSTO_GLOBAL[[#Headers],[Ausência por Doença]])-2,0)*($G196-$H196)</f>
        <v>6.9604253777777769</v>
      </c>
      <c r="AX196" s="22">
        <f>VLOOKUP($A196,tabCustoUnit[],COLUMN(CUSTO_GLOBAL[[#Headers],[Ausências Legais]])-2,0)*($G196-$H196)</f>
        <v>1.671417936111111</v>
      </c>
      <c r="AY196" s="22">
        <f>VLOOKUP($A196,tabCustoUnit[],COLUMN(CUSTO_GLOBAL[[#Headers],[Licença Paternidade]])-2,0)*($G196-$H196)</f>
        <v>0.14081123708333332</v>
      </c>
      <c r="AZ196" s="22">
        <f>VLOOKUP($A196,tabCustoUnit[],COLUMN(CUSTO_GLOBAL[[#Headers],[Ausência por Acidente de Trabalho]])-2,0)*($G196-$H196)</f>
        <v>0.17172102083333335</v>
      </c>
      <c r="BA196" s="22">
        <f>VLOOKUP($A196,tabCustoUnit[],COLUMN(CUSTO_GLOBAL[[#Headers],[Férias, Adicional de Férias e 13º  com empregada em gozo de Licença Maternidade]])-2,0)*($G196-$H196)</f>
        <v>1.0684863518518517</v>
      </c>
      <c r="BB196" s="22">
        <f>VLOOKUP($A196,tabCustoUnit[],COLUMN(CUSTO_GLOBAL[[#Headers],[Incidência do Submódulo 2.1 sobre Ausências Legais]])-2,0)*($G196-$H196)</f>
        <v>3.7848618071425006</v>
      </c>
      <c r="BC196" s="22">
        <f>VLOOKUP($A196,tabCustoUnit[],COLUMN(CUSTO_GLOBAL[[#Headers],[Submódulo 4.1]])-2,0)*($G196-$H196)</f>
        <v>13.797723730799909</v>
      </c>
      <c r="BD196" s="22">
        <f>VLOOKUP($A196,tabCustoUnit[],COLUMN(CUSTO_GLOBAL[[#Headers],[Intervalo para Repouso ou Alimentação]])-2,0)*($G196-$H196)</f>
        <v>0</v>
      </c>
      <c r="BE196" s="22">
        <f>VLOOKUP($A196,tabCustoUnit[],COLUMN(CUSTO_GLOBAL[[#Headers],[Submódulo 4.2]])-2,0)*($G196-$H196)</f>
        <v>0</v>
      </c>
      <c r="BF196" s="22">
        <f>VLOOKUP($A196,tabCustoUnit[],COLUMN(CUSTO_GLOBAL[[#Headers],[Suspensão Temporária do Contrato de Trabalho]])-2,0)*($G196-$H196)</f>
        <v>0</v>
      </c>
      <c r="BG196" s="22">
        <f>VLOOKUP($A196,tabCustoUnit[],COLUMN(CUSTO_GLOBAL[[#Headers],[Submódulo 4.3]])-2,0)*($G196-$H196)</f>
        <v>0</v>
      </c>
      <c r="BH196" s="22">
        <f>VLOOKUP($A196,tabCustoUnit[],COLUMN(CUSTO_GLOBAL[[#Headers],[MÓDULO 4 – CUSTO DE REPOSIÇÃO DO PROFISSIONAL AUSENTE]])-2,0)*($G196-$H196)</f>
        <v>13.797723730799909</v>
      </c>
      <c r="BI196" s="22">
        <f>VLOOKUP($A196,tabCustoUnit[],COLUMN(CUSTO_GLOBAL[[#Headers],[Uniformes e EPIs]])-2,0)*($G196-$H196)</f>
        <v>62.806666666666665</v>
      </c>
      <c r="BJ196" s="22">
        <f>VLOOKUP($A196,tabCustoUnit[],COLUMN(CUSTO_GLOBAL[[#Headers],[Materiais de Consumo]])-2,0)*($G196-$H196)</f>
        <v>17.759106479291944</v>
      </c>
      <c r="BK196" s="22">
        <f>VLOOKUP($A196,tabCustoUnit[],COLUMN(CUSTO_GLOBAL[[#Headers],[Máquinas e Equipamentos (depreciação)]])-2,0)*($G196-$H196)</f>
        <v>32.264696957412788</v>
      </c>
      <c r="BL196" s="22">
        <f>VLOOKUP($A196,tabCustoUnit[],COLUMN(CUSTO_GLOBAL[[#Headers],[Produtos de Limpeza e Materiais de Higiene Pessoal]])-2,0)*($G196-$H196)</f>
        <v>345.13576638965827</v>
      </c>
      <c r="BM196" s="22">
        <f>VLOOKUP($A196,tabCustoUnit[],COLUMN(CUSTO_GLOBAL[[#Headers],[Outros (especificar)]])-2,0)*($G196-$H196)</f>
        <v>0</v>
      </c>
      <c r="BN196" s="22">
        <f>VLOOKUP($A196,tabCustoUnit[],COLUMN(CUSTO_GLOBAL[[#Headers],[MÓDULO 5 – INSUMOS DIVERSOS]])-2,0)*($G196-$H196)</f>
        <v>457.96623649302967</v>
      </c>
      <c r="BO196" s="22">
        <f>VLOOKUP($A196,tabCustoUnit[],COLUMN(CUSTO_GLOBAL[[#Headers],[TOTAL MÓDULOS 1+2+3+4+5]])-2,0)*($G196-$H196)</f>
        <v>2658.2164025844677</v>
      </c>
      <c r="BP196" s="22">
        <f>VLOOKUP($A196,tabCustoUnit[],COLUMN(CUSTO_GLOBAL[[#Headers],[Custos Indiretos]])-2,0)*($G196-$H196)</f>
        <v>189.64880140242613</v>
      </c>
      <c r="BQ196" s="22">
        <f>VLOOKUP($A196,tabCustoUnit[],COLUMN(CUSTO_GLOBAL[[#Headers],[Lucro]])-2,0)*($G196-$H196)</f>
        <v>159.30499317803796</v>
      </c>
      <c r="BR196" s="26">
        <f>VLOOKUP($A196,tabCustoUnit[],COLUMN(CUSTO_GLOBAL[[#Headers],[COFINS]])-2,0)</f>
        <v>8.5633802816901458E-2</v>
      </c>
      <c r="BS196" s="26">
        <f>VLOOKUP($A196,tabCustoUnit[],COLUMN(CUSTO_GLOBAL[[#Headers],[PIS]])-2,0)</f>
        <v>1.8591549295774657E-2</v>
      </c>
      <c r="BT196" s="28">
        <f>VLOOKUP($A196,tabCustoUnit[],COLUMN(CUSTO_GLOBAL[[#Headers],[ISS]])-2,0)</f>
        <v>0.02</v>
      </c>
      <c r="BU196" s="26">
        <f>VLOOKUP($A196,tabCustoUnit[],COLUMN(CUSTO_GLOBAL[[#Headers],[ISS (Conversão Alíquota s/ fatura)]])-2,0)</f>
        <v>2.2535211267605645E-2</v>
      </c>
      <c r="BV196" s="26">
        <f>VLOOKUP($A196,tabCustoUnit[],COLUMN(CUSTO_GLOBAL[[#Headers],[Resumo de Alíquotas (PIS+CONFINS+ISS)]])-2,0)</f>
        <v>0.1125</v>
      </c>
      <c r="BW196" s="138">
        <f>VLOOKUP($A196,tabCustoUnit[],COLUMN(CUSTO_GLOBAL[[#Headers],[PIS + COFINS + ISS (Total Conversão  Alíquota s/ Fatura)]])-2,0)</f>
        <v>0.12676056338028174</v>
      </c>
      <c r="BX196" s="22">
        <f>VLOOKUP($A196,tabCustoUnit[],COLUMN(CUSTO_GLOBAL[[#Headers],[Valor dos Tributos (ISS, PIS, CONFINS)]])-2,0)*($G196-$H196)</f>
        <v>381.19058837301969</v>
      </c>
      <c r="BY196" s="22">
        <f>VLOOKUP($A196,tabCustoUnit[],COLUMN(CUSTO_GLOBAL[[#Headers],[MÓDULO 6 – CUSTOS INDIRETOS, TRIBUTOS E LUCRO]])-2,0)*($G196-$H196)</f>
        <v>730.14438295348373</v>
      </c>
      <c r="BZ196" s="22">
        <f>VLOOKUP($A196,tabCustoUnit[],COLUMN(CUSTO_GLOBAL[[#Headers],[CUSTO TOTAL MENSAL]])-2,0)*($G196-$H196)</f>
        <v>3388.3607855379514</v>
      </c>
      <c r="CA196" s="22">
        <f>CUSTO_GLOBAL[[#This Row],[CUSTO TOTAL MENSAL]]*12</f>
        <v>40660.329426455413</v>
      </c>
      <c r="CB196" s="24">
        <f>VLOOKUP($A196,tabCustoUnit[],COLUMN(CUSTO_GLOBAL[[#Headers],[ANO DA CCT]])-2,0)</f>
        <v>45658</v>
      </c>
      <c r="CC196" s="25" t="str">
        <f>VLOOKUP($A196,tabCustoUnit[],COLUMN(CUSTO_GLOBAL[[#Headers],[Nº DE PEDIDO DA CCT]])-2,0)</f>
        <v>-</v>
      </c>
      <c r="CD196" s="25" t="str">
        <f>VLOOKUP($A196,tabCustoUnit[],COLUMN(CUSTO_GLOBAL[[#Headers],[TERMO ADITIVO  ALTERAÇÃO DA CCT]])-2,0)</f>
        <v>-</v>
      </c>
      <c r="CF196" s="22"/>
      <c r="CG196" s="22"/>
    </row>
    <row r="197" spans="1:85" x14ac:dyDescent="0.25">
      <c r="A197" s="20" t="s">
        <v>1532</v>
      </c>
      <c r="B197" t="s">
        <v>178</v>
      </c>
      <c r="C197" t="s">
        <v>1245</v>
      </c>
      <c r="D197" t="s">
        <v>1020</v>
      </c>
      <c r="E197" s="20" t="s">
        <v>9</v>
      </c>
      <c r="F197" s="20" t="s">
        <v>10</v>
      </c>
      <c r="G197" s="20">
        <v>2</v>
      </c>
      <c r="H197" s="20">
        <v>0</v>
      </c>
      <c r="I197" s="21">
        <f>VLOOKUP($A197,tabCustoUnit[],COLUMN(CUSTO_GLOBAL[[#Headers],[Salário Base]])-2,0)*($G197-$H197)</f>
        <v>3192.56</v>
      </c>
      <c r="J197" s="21">
        <f>VLOOKUP($A197,tabCustoUnit[],COLUMN(CUSTO_GLOBAL[[#Headers],[Adicional Periculosidade]])-2,0)*($G197-$H197)</f>
        <v>0</v>
      </c>
      <c r="K197" s="21">
        <f>VLOOKUP($A197,tabCustoUnit[],COLUMN(CUSTO_GLOBAL[[#Headers],[Adicional Insalubridade]])-2,0)*($G197-$H197)</f>
        <v>0</v>
      </c>
      <c r="L197" s="21">
        <f>VLOOKUP($A197,tabCustoUnit[],COLUMN(CUSTO_GLOBAL[[#Headers],[Adicional Noturno]])-2,0)*($G197-$H197)</f>
        <v>0</v>
      </c>
      <c r="M197" s="21">
        <f>VLOOKUP($A197,tabCustoUnit[],COLUMN(CUSTO_GLOBAL[[#Headers],[Adicional Motorista II (Gratificação)]])-2,0)*($G197-$H197)</f>
        <v>0</v>
      </c>
      <c r="N197" s="21">
        <f>VLOOKUP($A197,tabCustoUnit[],COLUMN(CUSTO_GLOBAL[[#Headers],[Adicional de Sobreaviso]])-2,0)*($G197-$H197)</f>
        <v>0</v>
      </c>
      <c r="O197" s="21">
        <f>VLOOKUP($A197,tabCustoUnit[],COLUMN(CUSTO_GLOBAL[[#Headers],[Horas Extras TI]])-2,0)*($G197-$H197)</f>
        <v>0</v>
      </c>
      <c r="P197" s="21">
        <f>VLOOKUP($A197,tabCustoUnit[],COLUMN(CUSTO_GLOBAL[[#Headers],[Adicional de Acúmulo de função]])-2,0)*($G197-$H197)</f>
        <v>104.4838</v>
      </c>
      <c r="Q197" s="21">
        <f>VLOOKUP($A197,tabCustoUnit[],COLUMN(CUSTO_GLOBAL[[#Headers],[MODULO 1 - REMUNERAÇÃO ]])-2,0)*($G197-$H197)</f>
        <v>3297.0437999999999</v>
      </c>
      <c r="R197" s="21">
        <f>VLOOKUP($A197,tabCustoUnit[],COLUMN(CUSTO_GLOBAL[[#Headers],[INSS]])-2,0)*($G197-$H197)</f>
        <v>659.40876000000003</v>
      </c>
      <c r="S197" s="21">
        <f>VLOOKUP($A197,tabCustoUnit[],COLUMN(CUSTO_GLOBAL[[#Headers],[SESI OU SESC]])-2,0)*($G197-$H197)</f>
        <v>49.455656999999995</v>
      </c>
      <c r="T197" s="21">
        <f>VLOOKUP($A197,tabCustoUnit[],COLUMN(CUSTO_GLOBAL[[#Headers],[SENAI OU SENAC]])-2,0)*($G197-$H197)</f>
        <v>32.970438000000001</v>
      </c>
      <c r="U197" s="21">
        <f>VLOOKUP($A197,tabCustoUnit[],COLUMN(CUSTO_GLOBAL[[#Headers],[INCRA]])-2,0)*($G197-$H197)</f>
        <v>6.5940875999999999</v>
      </c>
      <c r="V197" s="21">
        <f>VLOOKUP($A197,tabCustoUnit[],COLUMN(CUSTO_GLOBAL[[#Headers],[Salário Educação]])-2,0)*($G197-$H197)</f>
        <v>82.426095000000004</v>
      </c>
      <c r="W197" s="21">
        <f>VLOOKUP($A197,tabCustoUnit[],COLUMN(CUSTO_GLOBAL[[#Headers],[FGTS]])-2,0)*($G197-$H197)</f>
        <v>263.76350400000001</v>
      </c>
      <c r="X197" s="21">
        <f>VLOOKUP($A197,tabCustoUnit[],COLUMN(CUSTO_GLOBAL[[#Headers],[RAT Ajustado]])-2,0)*($G197-$H197)</f>
        <v>131.88175200000001</v>
      </c>
      <c r="Y197" s="21">
        <f>VLOOKUP($A197,tabCustoUnit[],COLUMN(CUSTO_GLOBAL[[#Headers],[SEBRAE]])-2,0)*($G197-$H197)</f>
        <v>19.782262800000002</v>
      </c>
      <c r="Z197" s="21">
        <f>VLOOKUP($A197,tabCustoUnit[],COLUMN(CUSTO_GLOBAL[[#Headers],[Submódulo 2.1]])-2,0)*($G197-$H197)</f>
        <v>1246.2825564</v>
      </c>
      <c r="AA197" s="21">
        <f>VLOOKUP($A197,tabCustoUnit[],COLUMN(CUSTO_GLOBAL[[#Headers],[13º salário (titular)]])-2,0)*($G197-$H197)</f>
        <v>274.75364999999999</v>
      </c>
      <c r="AB197" s="21">
        <f>VLOOKUP($A197,tabCustoUnit[],COLUMN(CUSTO_GLOBAL[[#Headers],[Férias e Adicional de Férias (titular)]])-2,0)*($G197-$H197)</f>
        <v>366.33819999999997</v>
      </c>
      <c r="AC197" s="21">
        <f>VLOOKUP($A197,tabCustoUnit[],COLUMN(CUSTO_GLOBAL[[#Headers],[Incidência do Submódulo 2.1 sobre 13º Salário, Férias e Adicional de Férias]])-2,0)*($G197-$H197)</f>
        <v>242.33271930000001</v>
      </c>
      <c r="AD197" s="21">
        <f>VLOOKUP($A197,tabCustoUnit[],COLUMN(CUSTO_GLOBAL[[#Headers],[Submódulo 2.2]])-2,0)*($G197-$H197)</f>
        <v>883.42456930000003</v>
      </c>
      <c r="AE197" s="22">
        <f>VLOOKUP($A197,tabCustoUnit[],COLUMN(CUSTO_GLOBAL[[#Headers],[Vale - Transporte (Descontada parcela do empregado)]])-2,0)*($G197-$H197)</f>
        <v>320.44640000000004</v>
      </c>
      <c r="AF197" s="22">
        <f>VLOOKUP($A197,tabCustoUnit[],COLUMN(CUSTO_GLOBAL[[#Headers],[Vale - Alimentação (Descontada parcela do empregado)]])-2,0)*($G197-$H197)</f>
        <v>1164</v>
      </c>
      <c r="AG197" s="22">
        <f>VLOOKUP($A197,tabCustoUnit[],COLUMN(CUSTO_GLOBAL[[#Headers],[Cesta Básica]])-2,0)*($G197-$H197)</f>
        <v>0</v>
      </c>
      <c r="AH197" s="22">
        <f>VLOOKUP($A197,tabCustoUnit[],COLUMN(CUSTO_GLOBAL[[#Headers],[PAF]])-2,0)*($G197-$H197)</f>
        <v>0</v>
      </c>
      <c r="AI197" s="22">
        <f>VLOOKUP($A197,tabCustoUnit[],COLUMN(CUSTO_GLOBAL[[#Headers],[PQM]])-2,0)*($G197-$H197)</f>
        <v>0</v>
      </c>
      <c r="AJ197" s="22">
        <v>0</v>
      </c>
      <c r="AK197" s="22">
        <f>VLOOKUP($A197,tabCustoUnit[],COLUMN(CUSTO_GLOBAL[[#Headers],[Seguro de Vida]])-2,0)*($G197-$H197)</f>
        <v>6.72</v>
      </c>
      <c r="AL197" s="22">
        <f>VLOOKUP($A197,tabCustoUnit[],COLUMN(CUSTO_GLOBAL[[#Headers],[Despesas de Viagem]])-2,0)*($G197-$H197)</f>
        <v>0</v>
      </c>
      <c r="AM197" s="22">
        <f>VLOOKUP($A197,tabCustoUnit[],COLUMN(CUSTO_GLOBAL[[#Headers],[Submódulo 2.3]])-2,0)*($G197-$H197)</f>
        <v>1491.1664000000001</v>
      </c>
      <c r="AN197" s="22">
        <f>VLOOKUP($A197,tabCustoUnit[],COLUMN(CUSTO_GLOBAL[[#Headers],[MÓDULO 2 - Total Encargos e Benefícios mensais e diários]])-2,0)*($G197-$H197)</f>
        <v>3620.8735256999998</v>
      </c>
      <c r="AO197" s="22">
        <f>VLOOKUP($A197,tabCustoUnit[],COLUMN(CUSTO_GLOBAL[[#Headers],[Aviso Prévio Indenizado (API) e Reflexo do Aviso Prévio Indenizado]])-2,0)*($G197-$H197)</f>
        <v>23.118102832986111</v>
      </c>
      <c r="AP197" s="22">
        <f>VLOOKUP($A197,tabCustoUnit[],COLUMN(CUSTO_GLOBAL[[#Headers],[Incidência do FGTS sobre API e Reflexo do API]])-2,0)*($G197-$H197)</f>
        <v>1.849448226638889</v>
      </c>
      <c r="AQ197" s="22">
        <f>VLOOKUP($A197,tabCustoUnit[],COLUMN(CUSTO_GLOBAL[[#Headers],[Multa Rescisória do FGTS sobre o Aviso Prévio Indenizado]])-2,0)*($G197-$H197)</f>
        <v>0.7397792906555557</v>
      </c>
      <c r="AR197" s="22">
        <f>VLOOKUP($A197,tabCustoUnit[],COLUMN(CUSTO_GLOBAL[[#Headers],[Aviso Prévio Trabalhado - APT]])-2,0)*($G197-$H197)</f>
        <v>11.539653300000001</v>
      </c>
      <c r="AS197" s="22">
        <f>VLOOKUP($A197,tabCustoUnit[],COLUMN(CUSTO_GLOBAL[[#Headers],[Incidência dos encargos do submódulo 2.1 sobre Aviso Prévio Trabalhado]])-2,0)*($G197-$H197)</f>
        <v>4.3619889474000013</v>
      </c>
      <c r="AT197" s="22">
        <f>VLOOKUP($A197,tabCustoUnit[],COLUMN(CUSTO_GLOBAL[[#Headers],[Multa Rescisória do FGTS]])-2,0)*($G197-$H197)</f>
        <v>100.81627263999998</v>
      </c>
      <c r="AU197" s="22">
        <f>VLOOKUP($A197,tabCustoUnit[],COLUMN(CUSTO_GLOBAL[[#Headers],[Indenização Adicional (Art. 9º da Lei nº 7.238/84)]])-2,0)*($G197-$H197)</f>
        <v>2.7475365000000003</v>
      </c>
      <c r="AV197" s="22">
        <f>VLOOKUP($A197,tabCustoUnit[],COLUMN(CUSTO_GLOBAL[[#Headers],[MÓDULO 3 – PROVISÃO PARA RESCISÃO]])-2,0)*($G197-$H197)</f>
        <v>145.17278173768054</v>
      </c>
      <c r="AW197" s="22">
        <f>VLOOKUP($A197,tabCustoUnit[],COLUMN(CUSTO_GLOBAL[[#Headers],[Ausência por Doença]])-2,0)*($G197-$H197)</f>
        <v>27.841703199999998</v>
      </c>
      <c r="AX197" s="22">
        <f>VLOOKUP($A197,tabCustoUnit[],COLUMN(CUSTO_GLOBAL[[#Headers],[Ausências Legais]])-2,0)*($G197-$H197)</f>
        <v>6.6856721499999994</v>
      </c>
      <c r="AY197" s="22">
        <f>VLOOKUP($A197,tabCustoUnit[],COLUMN(CUSTO_GLOBAL[[#Headers],[Licença Paternidade]])-2,0)*($G197-$H197)</f>
        <v>0.56324498249999999</v>
      </c>
      <c r="AZ197" s="22">
        <f>VLOOKUP($A197,tabCustoUnit[],COLUMN(CUSTO_GLOBAL[[#Headers],[Ausência por Acidente de Trabalho]])-2,0)*($G197-$H197)</f>
        <v>0.68688412500000007</v>
      </c>
      <c r="BA197" s="22">
        <f>VLOOKUP($A197,tabCustoUnit[],COLUMN(CUSTO_GLOBAL[[#Headers],[Férias, Adicional de Férias e 13º  com empregada em gozo de Licença Maternidade]])-2,0)*($G197-$H197)</f>
        <v>4.2739456666666662</v>
      </c>
      <c r="BB197" s="22">
        <f>VLOOKUP($A197,tabCustoUnit[],COLUMN(CUSTO_GLOBAL[[#Headers],[Incidência do Submódulo 2.1 sobre Ausências Legais]])-2,0)*($G197-$H197)</f>
        <v>15.139448146935003</v>
      </c>
      <c r="BC197" s="22">
        <f>VLOOKUP($A197,tabCustoUnit[],COLUMN(CUSTO_GLOBAL[[#Headers],[Submódulo 4.1]])-2,0)*($G197-$H197)</f>
        <v>55.190898271101666</v>
      </c>
      <c r="BD197" s="22">
        <f>VLOOKUP($A197,tabCustoUnit[],COLUMN(CUSTO_GLOBAL[[#Headers],[Intervalo para Repouso ou Alimentação]])-2,0)*($G197-$H197)</f>
        <v>0</v>
      </c>
      <c r="BE197" s="22">
        <f>VLOOKUP($A197,tabCustoUnit[],COLUMN(CUSTO_GLOBAL[[#Headers],[Submódulo 4.2]])-2,0)*($G197-$H197)</f>
        <v>0</v>
      </c>
      <c r="BF197" s="22">
        <f>VLOOKUP($A197,tabCustoUnit[],COLUMN(CUSTO_GLOBAL[[#Headers],[Suspensão Temporária do Contrato de Trabalho]])-2,0)*($G197-$H197)</f>
        <v>0</v>
      </c>
      <c r="BG197" s="22">
        <f>VLOOKUP($A197,tabCustoUnit[],COLUMN(CUSTO_GLOBAL[[#Headers],[Submódulo 4.3]])-2,0)*($G197-$H197)</f>
        <v>0</v>
      </c>
      <c r="BH197" s="22">
        <f>VLOOKUP($A197,tabCustoUnit[],COLUMN(CUSTO_GLOBAL[[#Headers],[MÓDULO 4 – CUSTO DE REPOSIÇÃO DO PROFISSIONAL AUSENTE]])-2,0)*($G197-$H197)</f>
        <v>55.190898271101666</v>
      </c>
      <c r="BI197" s="22">
        <f>VLOOKUP($A197,tabCustoUnit[],COLUMN(CUSTO_GLOBAL[[#Headers],[Uniformes e EPIs]])-2,0)*($G197-$H197)</f>
        <v>201.61833333333331</v>
      </c>
      <c r="BJ197" s="22">
        <f>VLOOKUP($A197,tabCustoUnit[],COLUMN(CUSTO_GLOBAL[[#Headers],[Materiais de Consumo]])-2,0)*($G197-$H197)</f>
        <v>71.036425917167776</v>
      </c>
      <c r="BK197" s="22">
        <f>VLOOKUP($A197,tabCustoUnit[],COLUMN(CUSTO_GLOBAL[[#Headers],[Máquinas e Equipamentos (depreciação)]])-2,0)*($G197-$H197)</f>
        <v>129.05878782965115</v>
      </c>
      <c r="BL197" s="22">
        <f>VLOOKUP($A197,tabCustoUnit[],COLUMN(CUSTO_GLOBAL[[#Headers],[Produtos de Limpeza e Materiais de Higiene Pessoal]])-2,0)*($G197-$H197)</f>
        <v>1380.5430655586331</v>
      </c>
      <c r="BM197" s="22">
        <f>VLOOKUP($A197,tabCustoUnit[],COLUMN(CUSTO_GLOBAL[[#Headers],[Outros (especificar)]])-2,0)*($G197-$H197)</f>
        <v>0</v>
      </c>
      <c r="BN197" s="22">
        <f>VLOOKUP($A197,tabCustoUnit[],COLUMN(CUSTO_GLOBAL[[#Headers],[MÓDULO 5 – INSUMOS DIVERSOS]])-2,0)*($G197-$H197)</f>
        <v>1782.2566126387853</v>
      </c>
      <c r="BO197" s="22">
        <f>VLOOKUP($A197,tabCustoUnit[],COLUMN(CUSTO_GLOBAL[[#Headers],[TOTAL MÓDULOS 1+2+3+4+5]])-2,0)*($G197-$H197)</f>
        <v>8900.5376183475673</v>
      </c>
      <c r="BP197" s="22">
        <f>VLOOKUP($A197,tabCustoUnit[],COLUMN(CUSTO_GLOBAL[[#Headers],[Custos Indiretos]])-2,0)*($G197-$H197)</f>
        <v>379.29760280485226</v>
      </c>
      <c r="BQ197" s="22">
        <f>VLOOKUP($A197,tabCustoUnit[],COLUMN(CUSTO_GLOBAL[[#Headers],[Lucro]])-2,0)*($G197-$H197)</f>
        <v>318.60998635607592</v>
      </c>
      <c r="BR197" s="26">
        <f>VLOOKUP($A197,tabCustoUnit[],COLUMN(CUSTO_GLOBAL[[#Headers],[COFINS]])-2,0)</f>
        <v>8.6609686609686695E-2</v>
      </c>
      <c r="BS197" s="26">
        <f>VLOOKUP($A197,tabCustoUnit[],COLUMN(CUSTO_GLOBAL[[#Headers],[PIS]])-2,0)</f>
        <v>1.880341880341882E-2</v>
      </c>
      <c r="BT197" s="28">
        <f>VLOOKUP($A197,tabCustoUnit[],COLUMN(CUSTO_GLOBAL[[#Headers],[ISS]])-2,0)</f>
        <v>0.03</v>
      </c>
      <c r="BU197" s="26">
        <f>VLOOKUP($A197,tabCustoUnit[],COLUMN(CUSTO_GLOBAL[[#Headers],[ISS (Conversão Alíquota s/ fatura)]])-2,0)</f>
        <v>3.4188034188034219E-2</v>
      </c>
      <c r="BV197" s="26">
        <f>VLOOKUP($A197,tabCustoUnit[],COLUMN(CUSTO_GLOBAL[[#Headers],[Resumo de Alíquotas (PIS+CONFINS+ISS)]])-2,0)</f>
        <v>0.1225</v>
      </c>
      <c r="BW197" s="138">
        <f>VLOOKUP($A197,tabCustoUnit[],COLUMN(CUSTO_GLOBAL[[#Headers],[PIS + COFINS + ISS (Total Conversão  Alíquota s/ Fatura)]])-2,0)</f>
        <v>0.13960113960113973</v>
      </c>
      <c r="BX197" s="22">
        <f>VLOOKUP($A197,tabCustoUnit[],COLUMN(CUSTO_GLOBAL[[#Headers],[Valor dos Tributos (ISS, PIS, CONFINS)]])-2,0)*($G197-$H197)</f>
        <v>1339.9538893672841</v>
      </c>
      <c r="BY197" s="22">
        <f>VLOOKUP($A197,tabCustoUnit[],COLUMN(CUSTO_GLOBAL[[#Headers],[MÓDULO 6 – CUSTOS INDIRETOS, TRIBUTOS E LUCRO]])-2,0)*($G197-$H197)</f>
        <v>2037.8614785282123</v>
      </c>
      <c r="BZ197" s="22">
        <f>VLOOKUP($A197,tabCustoUnit[],COLUMN(CUSTO_GLOBAL[[#Headers],[CUSTO TOTAL MENSAL]])-2,0)*($G197-$H197)</f>
        <v>10938.399096875779</v>
      </c>
      <c r="CA197" s="22">
        <f>CUSTO_GLOBAL[[#This Row],[CUSTO TOTAL MENSAL]]*12</f>
        <v>131260.78916250935</v>
      </c>
      <c r="CB197" s="24">
        <f>VLOOKUP($A197,tabCustoUnit[],COLUMN(CUSTO_GLOBAL[[#Headers],[ANO DA CCT]])-2,0)</f>
        <v>45658</v>
      </c>
      <c r="CC197" s="25" t="str">
        <f>VLOOKUP($A197,tabCustoUnit[],COLUMN(CUSTO_GLOBAL[[#Headers],[Nº DE PEDIDO DA CCT]])-2,0)</f>
        <v>-</v>
      </c>
      <c r="CD197" s="25" t="str">
        <f>VLOOKUP($A197,tabCustoUnit[],COLUMN(CUSTO_GLOBAL[[#Headers],[TERMO ADITIVO  ALTERAÇÃO DA CCT]])-2,0)</f>
        <v>-</v>
      </c>
      <c r="CF197" s="22"/>
      <c r="CG197" s="22"/>
    </row>
    <row r="198" spans="1:85" x14ac:dyDescent="0.25">
      <c r="A198" s="20" t="s">
        <v>1533</v>
      </c>
      <c r="B198" t="s">
        <v>179</v>
      </c>
      <c r="C198" t="s">
        <v>1244</v>
      </c>
      <c r="D198" t="s">
        <v>1041</v>
      </c>
      <c r="E198" s="20" t="s">
        <v>9</v>
      </c>
      <c r="F198" s="20" t="s">
        <v>10</v>
      </c>
      <c r="G198" s="20">
        <v>1</v>
      </c>
      <c r="H198" s="20">
        <v>0</v>
      </c>
      <c r="I198" s="21">
        <f>VLOOKUP($A198,tabCustoUnit[],COLUMN(CUSTO_GLOBAL[[#Headers],[Salário Base]])-2,0)*($G198-$H198)</f>
        <v>798.14</v>
      </c>
      <c r="J198" s="21">
        <f>VLOOKUP($A198,tabCustoUnit[],COLUMN(CUSTO_GLOBAL[[#Headers],[Adicional Periculosidade]])-2,0)*($G198-$H198)</f>
        <v>0</v>
      </c>
      <c r="K198" s="21">
        <f>VLOOKUP($A198,tabCustoUnit[],COLUMN(CUSTO_GLOBAL[[#Headers],[Adicional Insalubridade]])-2,0)*($G198-$H198)</f>
        <v>0</v>
      </c>
      <c r="L198" s="21">
        <f>VLOOKUP($A198,tabCustoUnit[],COLUMN(CUSTO_GLOBAL[[#Headers],[Adicional Noturno]])-2,0)*($G198-$H198)</f>
        <v>0</v>
      </c>
      <c r="M198" s="21">
        <f>VLOOKUP($A198,tabCustoUnit[],COLUMN(CUSTO_GLOBAL[[#Headers],[Adicional Motorista II (Gratificação)]])-2,0)*($G198-$H198)</f>
        <v>0</v>
      </c>
      <c r="N198" s="21">
        <f>VLOOKUP($A198,tabCustoUnit[],COLUMN(CUSTO_GLOBAL[[#Headers],[Adicional de Sobreaviso]])-2,0)*($G198-$H198)</f>
        <v>0</v>
      </c>
      <c r="O198" s="21">
        <f>VLOOKUP($A198,tabCustoUnit[],COLUMN(CUSTO_GLOBAL[[#Headers],[Horas Extras TI]])-2,0)*($G198-$H198)</f>
        <v>0</v>
      </c>
      <c r="P198" s="21">
        <f>VLOOKUP($A198,tabCustoUnit[],COLUMN(CUSTO_GLOBAL[[#Headers],[Adicional de Acúmulo de função]])-2,0)*($G198-$H198)</f>
        <v>26.120899999999999</v>
      </c>
      <c r="Q198" s="21">
        <f>VLOOKUP($A198,tabCustoUnit[],COLUMN(CUSTO_GLOBAL[[#Headers],[MODULO 1 - REMUNERAÇÃO ]])-2,0)*($G198-$H198)</f>
        <v>824.26089999999999</v>
      </c>
      <c r="R198" s="21">
        <f>VLOOKUP($A198,tabCustoUnit[],COLUMN(CUSTO_GLOBAL[[#Headers],[INSS]])-2,0)*($G198-$H198)</f>
        <v>164.85218</v>
      </c>
      <c r="S198" s="21">
        <f>VLOOKUP($A198,tabCustoUnit[],COLUMN(CUSTO_GLOBAL[[#Headers],[SESI OU SESC]])-2,0)*($G198-$H198)</f>
        <v>12.363913499999999</v>
      </c>
      <c r="T198" s="21">
        <f>VLOOKUP($A198,tabCustoUnit[],COLUMN(CUSTO_GLOBAL[[#Headers],[SENAI OU SENAC]])-2,0)*($G198-$H198)</f>
        <v>8.2426089999999999</v>
      </c>
      <c r="U198" s="21">
        <f>VLOOKUP($A198,tabCustoUnit[],COLUMN(CUSTO_GLOBAL[[#Headers],[INCRA]])-2,0)*($G198-$H198)</f>
        <v>1.6485217999999999</v>
      </c>
      <c r="V198" s="21">
        <f>VLOOKUP($A198,tabCustoUnit[],COLUMN(CUSTO_GLOBAL[[#Headers],[Salário Educação]])-2,0)*($G198-$H198)</f>
        <v>20.606522500000001</v>
      </c>
      <c r="W198" s="21">
        <f>VLOOKUP($A198,tabCustoUnit[],COLUMN(CUSTO_GLOBAL[[#Headers],[FGTS]])-2,0)*($G198-$H198)</f>
        <v>65.940871999999999</v>
      </c>
      <c r="X198" s="21">
        <f>VLOOKUP($A198,tabCustoUnit[],COLUMN(CUSTO_GLOBAL[[#Headers],[RAT Ajustado]])-2,0)*($G198-$H198)</f>
        <v>32.970435999999999</v>
      </c>
      <c r="Y198" s="21">
        <f>VLOOKUP($A198,tabCustoUnit[],COLUMN(CUSTO_GLOBAL[[#Headers],[SEBRAE]])-2,0)*($G198-$H198)</f>
        <v>4.9455654000000004</v>
      </c>
      <c r="Z198" s="21">
        <f>VLOOKUP($A198,tabCustoUnit[],COLUMN(CUSTO_GLOBAL[[#Headers],[Submódulo 2.1]])-2,0)*($G198-$H198)</f>
        <v>311.57062020000001</v>
      </c>
      <c r="AA198" s="21">
        <f>VLOOKUP($A198,tabCustoUnit[],COLUMN(CUSTO_GLOBAL[[#Headers],[13º salário (titular)]])-2,0)*($G198-$H198)</f>
        <v>68.688408333333328</v>
      </c>
      <c r="AB198" s="21">
        <f>VLOOKUP($A198,tabCustoUnit[],COLUMN(CUSTO_GLOBAL[[#Headers],[Férias e Adicional de Férias (titular)]])-2,0)*($G198-$H198)</f>
        <v>91.584544444444433</v>
      </c>
      <c r="AC198" s="21">
        <f>VLOOKUP($A198,tabCustoUnit[],COLUMN(CUSTO_GLOBAL[[#Headers],[Incidência do Submódulo 2.1 sobre 13º Salário, Férias e Adicional de Férias]])-2,0)*($G198-$H198)</f>
        <v>60.583176149999993</v>
      </c>
      <c r="AD198" s="21">
        <f>VLOOKUP($A198,tabCustoUnit[],COLUMN(CUSTO_GLOBAL[[#Headers],[Submódulo 2.2]])-2,0)*($G198-$H198)</f>
        <v>220.85612892777775</v>
      </c>
      <c r="AE198" s="22">
        <f>VLOOKUP($A198,tabCustoUnit[],COLUMN(CUSTO_GLOBAL[[#Headers],[Vale - Transporte (Descontada parcela do empregado)]])-2,0)*($G198-$H198)</f>
        <v>208.11160000000001</v>
      </c>
      <c r="AF198" s="22">
        <f>VLOOKUP($A198,tabCustoUnit[],COLUMN(CUSTO_GLOBAL[[#Headers],[Vale - Alimentação (Descontada parcela do empregado)]])-2,0)*($G198-$H198)</f>
        <v>582</v>
      </c>
      <c r="AG198" s="22">
        <f>VLOOKUP($A198,tabCustoUnit[],COLUMN(CUSTO_GLOBAL[[#Headers],[Cesta Básica]])-2,0)*($G198-$H198)</f>
        <v>0</v>
      </c>
      <c r="AH198" s="22">
        <f>VLOOKUP($A198,tabCustoUnit[],COLUMN(CUSTO_GLOBAL[[#Headers],[PAF]])-2,0)*($G198-$H198)</f>
        <v>0</v>
      </c>
      <c r="AI198" s="22">
        <f>VLOOKUP($A198,tabCustoUnit[],COLUMN(CUSTO_GLOBAL[[#Headers],[PQM]])-2,0)*($G198-$H198)</f>
        <v>0</v>
      </c>
      <c r="AJ198" s="22">
        <v>0</v>
      </c>
      <c r="AK198" s="22">
        <f>VLOOKUP($A198,tabCustoUnit[],COLUMN(CUSTO_GLOBAL[[#Headers],[Seguro de Vida]])-2,0)*($G198-$H198)</f>
        <v>3.36</v>
      </c>
      <c r="AL198" s="22">
        <f>VLOOKUP($A198,tabCustoUnit[],COLUMN(CUSTO_GLOBAL[[#Headers],[Despesas de Viagem]])-2,0)*($G198-$H198)</f>
        <v>0</v>
      </c>
      <c r="AM198" s="22">
        <f>VLOOKUP($A198,tabCustoUnit[],COLUMN(CUSTO_GLOBAL[[#Headers],[Submódulo 2.3]])-2,0)*($G198-$H198)</f>
        <v>793.47159999999997</v>
      </c>
      <c r="AN198" s="22">
        <f>VLOOKUP($A198,tabCustoUnit[],COLUMN(CUSTO_GLOBAL[[#Headers],[MÓDULO 2 - Total Encargos e Benefícios mensais e diários]])-2,0)*($G198-$H198)</f>
        <v>1325.8983491277777</v>
      </c>
      <c r="AO198" s="22">
        <f>VLOOKUP($A198,tabCustoUnit[],COLUMN(CUSTO_GLOBAL[[#Headers],[Aviso Prévio Indenizado (API) e Reflexo do Aviso Prévio Indenizado]])-2,0)*($G198-$H198)</f>
        <v>5.7795253576581791</v>
      </c>
      <c r="AP198" s="22">
        <f>VLOOKUP($A198,tabCustoUnit[],COLUMN(CUSTO_GLOBAL[[#Headers],[Incidência do FGTS sobre API e Reflexo do API]])-2,0)*($G198-$H198)</f>
        <v>0.46236202861265435</v>
      </c>
      <c r="AQ198" s="22">
        <f>VLOOKUP($A198,tabCustoUnit[],COLUMN(CUSTO_GLOBAL[[#Headers],[Multa Rescisória do FGTS sobre o Aviso Prévio Indenizado]])-2,0)*($G198-$H198)</f>
        <v>0.18494481144506175</v>
      </c>
      <c r="AR198" s="22">
        <f>VLOOKUP($A198,tabCustoUnit[],COLUMN(CUSTO_GLOBAL[[#Headers],[Aviso Prévio Trabalhado - APT]])-2,0)*($G198-$H198)</f>
        <v>2.8849131500000005</v>
      </c>
      <c r="AS198" s="22">
        <f>VLOOKUP($A198,tabCustoUnit[],COLUMN(CUSTO_GLOBAL[[#Headers],[Incidência dos encargos do submódulo 2.1 sobre Aviso Prévio Trabalhado]])-2,0)*($G198-$H198)</f>
        <v>1.0904971707000004</v>
      </c>
      <c r="AT198" s="22">
        <f>VLOOKUP($A198,tabCustoUnit[],COLUMN(CUSTO_GLOBAL[[#Headers],[Multa Rescisória do FGTS]])-2,0)*($G198-$H198)</f>
        <v>25.204066631111107</v>
      </c>
      <c r="AU198" s="22">
        <f>VLOOKUP($A198,tabCustoUnit[],COLUMN(CUSTO_GLOBAL[[#Headers],[Indenização Adicional (Art. 9º da Lei nº 7.238/84)]])-2,0)*($G198-$H198)</f>
        <v>0.6868840833333334</v>
      </c>
      <c r="AV198" s="22">
        <f>VLOOKUP($A198,tabCustoUnit[],COLUMN(CUSTO_GLOBAL[[#Headers],[MÓDULO 3 – PROVISÃO PARA RESCISÃO]])-2,0)*($G198-$H198)</f>
        <v>36.293193232860339</v>
      </c>
      <c r="AW198" s="22">
        <f>VLOOKUP($A198,tabCustoUnit[],COLUMN(CUSTO_GLOBAL[[#Headers],[Ausência por Doença]])-2,0)*($G198-$H198)</f>
        <v>6.9604253777777769</v>
      </c>
      <c r="AX198" s="22">
        <f>VLOOKUP($A198,tabCustoUnit[],COLUMN(CUSTO_GLOBAL[[#Headers],[Ausências Legais]])-2,0)*($G198-$H198)</f>
        <v>1.671417936111111</v>
      </c>
      <c r="AY198" s="22">
        <f>VLOOKUP($A198,tabCustoUnit[],COLUMN(CUSTO_GLOBAL[[#Headers],[Licença Paternidade]])-2,0)*($G198-$H198)</f>
        <v>0.14081123708333332</v>
      </c>
      <c r="AZ198" s="22">
        <f>VLOOKUP($A198,tabCustoUnit[],COLUMN(CUSTO_GLOBAL[[#Headers],[Ausência por Acidente de Trabalho]])-2,0)*($G198-$H198)</f>
        <v>0.17172102083333335</v>
      </c>
      <c r="BA198" s="22">
        <f>VLOOKUP($A198,tabCustoUnit[],COLUMN(CUSTO_GLOBAL[[#Headers],[Férias, Adicional de Férias e 13º  com empregada em gozo de Licença Maternidade]])-2,0)*($G198-$H198)</f>
        <v>1.0684863518518517</v>
      </c>
      <c r="BB198" s="22">
        <f>VLOOKUP($A198,tabCustoUnit[],COLUMN(CUSTO_GLOBAL[[#Headers],[Incidência do Submódulo 2.1 sobre Ausências Legais]])-2,0)*($G198-$H198)</f>
        <v>3.7848618071425006</v>
      </c>
      <c r="BC198" s="22">
        <f>VLOOKUP($A198,tabCustoUnit[],COLUMN(CUSTO_GLOBAL[[#Headers],[Submódulo 4.1]])-2,0)*($G198-$H198)</f>
        <v>13.797723730799909</v>
      </c>
      <c r="BD198" s="22">
        <f>VLOOKUP($A198,tabCustoUnit[],COLUMN(CUSTO_GLOBAL[[#Headers],[Intervalo para Repouso ou Alimentação]])-2,0)*($G198-$H198)</f>
        <v>0</v>
      </c>
      <c r="BE198" s="22">
        <f>VLOOKUP($A198,tabCustoUnit[],COLUMN(CUSTO_GLOBAL[[#Headers],[Submódulo 4.2]])-2,0)*($G198-$H198)</f>
        <v>0</v>
      </c>
      <c r="BF198" s="22">
        <f>VLOOKUP($A198,tabCustoUnit[],COLUMN(CUSTO_GLOBAL[[#Headers],[Suspensão Temporária do Contrato de Trabalho]])-2,0)*($G198-$H198)</f>
        <v>0</v>
      </c>
      <c r="BG198" s="22">
        <f>VLOOKUP($A198,tabCustoUnit[],COLUMN(CUSTO_GLOBAL[[#Headers],[Submódulo 4.3]])-2,0)*($G198-$H198)</f>
        <v>0</v>
      </c>
      <c r="BH198" s="22">
        <f>VLOOKUP($A198,tabCustoUnit[],COLUMN(CUSTO_GLOBAL[[#Headers],[MÓDULO 4 – CUSTO DE REPOSIÇÃO DO PROFISSIONAL AUSENTE]])-2,0)*($G198-$H198)</f>
        <v>13.797723730799909</v>
      </c>
      <c r="BI198" s="22">
        <f>VLOOKUP($A198,tabCustoUnit[],COLUMN(CUSTO_GLOBAL[[#Headers],[Uniformes e EPIs]])-2,0)*($G198-$H198)</f>
        <v>62.806666666666665</v>
      </c>
      <c r="BJ198" s="22">
        <f>VLOOKUP($A198,tabCustoUnit[],COLUMN(CUSTO_GLOBAL[[#Headers],[Materiais de Consumo]])-2,0)*($G198-$H198)</f>
        <v>17.759106479291944</v>
      </c>
      <c r="BK198" s="22">
        <f>VLOOKUP($A198,tabCustoUnit[],COLUMN(CUSTO_GLOBAL[[#Headers],[Máquinas e Equipamentos (depreciação)]])-2,0)*($G198-$H198)</f>
        <v>32.264696957412788</v>
      </c>
      <c r="BL198" s="22">
        <f>VLOOKUP($A198,tabCustoUnit[],COLUMN(CUSTO_GLOBAL[[#Headers],[Produtos de Limpeza e Materiais de Higiene Pessoal]])-2,0)*($G198-$H198)</f>
        <v>345.13576638965827</v>
      </c>
      <c r="BM198" s="22">
        <f>VLOOKUP($A198,tabCustoUnit[],COLUMN(CUSTO_GLOBAL[[#Headers],[Outros (especificar)]])-2,0)*($G198-$H198)</f>
        <v>0</v>
      </c>
      <c r="BN198" s="22">
        <f>VLOOKUP($A198,tabCustoUnit[],COLUMN(CUSTO_GLOBAL[[#Headers],[MÓDULO 5 – INSUMOS DIVERSOS]])-2,0)*($G198-$H198)</f>
        <v>457.96623649302967</v>
      </c>
      <c r="BO198" s="22">
        <f>VLOOKUP($A198,tabCustoUnit[],COLUMN(CUSTO_GLOBAL[[#Headers],[TOTAL MÓDULOS 1+2+3+4+5]])-2,0)*($G198-$H198)</f>
        <v>2658.2164025844677</v>
      </c>
      <c r="BP198" s="22">
        <f>VLOOKUP($A198,tabCustoUnit[],COLUMN(CUSTO_GLOBAL[[#Headers],[Custos Indiretos]])-2,0)*($G198-$H198)</f>
        <v>189.64880140242613</v>
      </c>
      <c r="BQ198" s="22">
        <f>VLOOKUP($A198,tabCustoUnit[],COLUMN(CUSTO_GLOBAL[[#Headers],[Lucro]])-2,0)*($G198-$H198)</f>
        <v>159.30499317803796</v>
      </c>
      <c r="BR198" s="26">
        <f>VLOOKUP($A198,tabCustoUnit[],COLUMN(CUSTO_GLOBAL[[#Headers],[COFINS]])-2,0)</f>
        <v>8.8629737609329504E-2</v>
      </c>
      <c r="BS198" s="26">
        <f>VLOOKUP($A198,tabCustoUnit[],COLUMN(CUSTO_GLOBAL[[#Headers],[PIS]])-2,0)</f>
        <v>1.9241982507288629E-2</v>
      </c>
      <c r="BT198" s="28">
        <f>VLOOKUP($A198,tabCustoUnit[],COLUMN(CUSTO_GLOBAL[[#Headers],[ISS]])-2,0)</f>
        <v>0.05</v>
      </c>
      <c r="BU198" s="26">
        <f>VLOOKUP($A198,tabCustoUnit[],COLUMN(CUSTO_GLOBAL[[#Headers],[ISS (Conversão Alíquota s/ fatura)]])-2,0)</f>
        <v>5.8309037900874633E-2</v>
      </c>
      <c r="BV198" s="26">
        <f>VLOOKUP($A198,tabCustoUnit[],COLUMN(CUSTO_GLOBAL[[#Headers],[Resumo de Alíquotas (PIS+CONFINS+ISS)]])-2,0)</f>
        <v>0.14250000000000002</v>
      </c>
      <c r="BW198" s="138">
        <f>VLOOKUP($A198,tabCustoUnit[],COLUMN(CUSTO_GLOBAL[[#Headers],[PIS + COFINS + ISS (Total Conversão  Alíquota s/ Fatura)]])-2,0)</f>
        <v>0.16618075801749277</v>
      </c>
      <c r="BX198" s="22">
        <f>VLOOKUP($A198,tabCustoUnit[],COLUMN(CUSTO_GLOBAL[[#Headers],[Valor dos Tributos (ISS, PIS, CONFINS)]])-2,0)*($G198-$H198)</f>
        <v>499.73382285248152</v>
      </c>
      <c r="BY198" s="22">
        <f>VLOOKUP($A198,tabCustoUnit[],COLUMN(CUSTO_GLOBAL[[#Headers],[MÓDULO 6 – CUSTOS INDIRETOS, TRIBUTOS E LUCRO]])-2,0)*($G198-$H198)</f>
        <v>848.68761743294567</v>
      </c>
      <c r="BZ198" s="22">
        <f>VLOOKUP($A198,tabCustoUnit[],COLUMN(CUSTO_GLOBAL[[#Headers],[CUSTO TOTAL MENSAL]])-2,0)*($G198-$H198)</f>
        <v>3506.9040200174131</v>
      </c>
      <c r="CA198" s="22">
        <f>CUSTO_GLOBAL[[#This Row],[CUSTO TOTAL MENSAL]]*12</f>
        <v>42082.848240208958</v>
      </c>
      <c r="CB198" s="24">
        <f>VLOOKUP($A198,tabCustoUnit[],COLUMN(CUSTO_GLOBAL[[#Headers],[ANO DA CCT]])-2,0)</f>
        <v>45658</v>
      </c>
      <c r="CC198" s="25" t="str">
        <f>VLOOKUP($A198,tabCustoUnit[],COLUMN(CUSTO_GLOBAL[[#Headers],[Nº DE PEDIDO DA CCT]])-2,0)</f>
        <v>-</v>
      </c>
      <c r="CD198" s="25" t="str">
        <f>VLOOKUP($A198,tabCustoUnit[],COLUMN(CUSTO_GLOBAL[[#Headers],[TERMO ADITIVO  ALTERAÇÃO DA CCT]])-2,0)</f>
        <v>-</v>
      </c>
      <c r="CF198" s="22"/>
      <c r="CG198" s="22"/>
    </row>
    <row r="199" spans="1:85" x14ac:dyDescent="0.25">
      <c r="A199" s="20" t="s">
        <v>1534</v>
      </c>
      <c r="B199" t="s">
        <v>180</v>
      </c>
      <c r="C199" t="s">
        <v>1245</v>
      </c>
      <c r="D199" t="s">
        <v>1023</v>
      </c>
      <c r="E199" s="20" t="s">
        <v>9</v>
      </c>
      <c r="F199" s="20" t="s">
        <v>10</v>
      </c>
      <c r="G199" s="20">
        <v>3</v>
      </c>
      <c r="H199" s="20">
        <v>0</v>
      </c>
      <c r="I199" s="21">
        <f>VLOOKUP($A199,tabCustoUnit[],COLUMN(CUSTO_GLOBAL[[#Headers],[Salário Base]])-2,0)*($G199-$H199)</f>
        <v>4788.84</v>
      </c>
      <c r="J199" s="21">
        <f>VLOOKUP($A199,tabCustoUnit[],COLUMN(CUSTO_GLOBAL[[#Headers],[Adicional Periculosidade]])-2,0)*($G199-$H199)</f>
        <v>0</v>
      </c>
      <c r="K199" s="21">
        <f>VLOOKUP($A199,tabCustoUnit[],COLUMN(CUSTO_GLOBAL[[#Headers],[Adicional Insalubridade]])-2,0)*($G199-$H199)</f>
        <v>0</v>
      </c>
      <c r="L199" s="21">
        <f>VLOOKUP($A199,tabCustoUnit[],COLUMN(CUSTO_GLOBAL[[#Headers],[Adicional Noturno]])-2,0)*($G199-$H199)</f>
        <v>0</v>
      </c>
      <c r="M199" s="21">
        <f>VLOOKUP($A199,tabCustoUnit[],COLUMN(CUSTO_GLOBAL[[#Headers],[Adicional Motorista II (Gratificação)]])-2,0)*($G199-$H199)</f>
        <v>0</v>
      </c>
      <c r="N199" s="21">
        <f>VLOOKUP($A199,tabCustoUnit[],COLUMN(CUSTO_GLOBAL[[#Headers],[Adicional de Sobreaviso]])-2,0)*($G199-$H199)</f>
        <v>0</v>
      </c>
      <c r="O199" s="21">
        <f>VLOOKUP($A199,tabCustoUnit[],COLUMN(CUSTO_GLOBAL[[#Headers],[Horas Extras TI]])-2,0)*($G199-$H199)</f>
        <v>0</v>
      </c>
      <c r="P199" s="21">
        <f>VLOOKUP($A199,tabCustoUnit[],COLUMN(CUSTO_GLOBAL[[#Headers],[Adicional de Acúmulo de função]])-2,0)*($G199-$H199)</f>
        <v>156.72570000000002</v>
      </c>
      <c r="Q199" s="21">
        <f>VLOOKUP($A199,tabCustoUnit[],COLUMN(CUSTO_GLOBAL[[#Headers],[MODULO 1 - REMUNERAÇÃO ]])-2,0)*($G199-$H199)</f>
        <v>4945.5657000000001</v>
      </c>
      <c r="R199" s="21">
        <f>VLOOKUP($A199,tabCustoUnit[],COLUMN(CUSTO_GLOBAL[[#Headers],[INSS]])-2,0)*($G199-$H199)</f>
        <v>989.11314000000004</v>
      </c>
      <c r="S199" s="21">
        <f>VLOOKUP($A199,tabCustoUnit[],COLUMN(CUSTO_GLOBAL[[#Headers],[SESI OU SESC]])-2,0)*($G199-$H199)</f>
        <v>74.183485499999989</v>
      </c>
      <c r="T199" s="21">
        <f>VLOOKUP($A199,tabCustoUnit[],COLUMN(CUSTO_GLOBAL[[#Headers],[SENAI OU SENAC]])-2,0)*($G199-$H199)</f>
        <v>49.455657000000002</v>
      </c>
      <c r="U199" s="21">
        <f>VLOOKUP($A199,tabCustoUnit[],COLUMN(CUSTO_GLOBAL[[#Headers],[INCRA]])-2,0)*($G199-$H199)</f>
        <v>9.891131399999999</v>
      </c>
      <c r="V199" s="21">
        <f>VLOOKUP($A199,tabCustoUnit[],COLUMN(CUSTO_GLOBAL[[#Headers],[Salário Educação]])-2,0)*($G199-$H199)</f>
        <v>123.63914250000001</v>
      </c>
      <c r="W199" s="21">
        <f>VLOOKUP($A199,tabCustoUnit[],COLUMN(CUSTO_GLOBAL[[#Headers],[FGTS]])-2,0)*($G199-$H199)</f>
        <v>395.64525600000002</v>
      </c>
      <c r="X199" s="21">
        <f>VLOOKUP($A199,tabCustoUnit[],COLUMN(CUSTO_GLOBAL[[#Headers],[RAT Ajustado]])-2,0)*($G199-$H199)</f>
        <v>197.82262800000001</v>
      </c>
      <c r="Y199" s="21">
        <f>VLOOKUP($A199,tabCustoUnit[],COLUMN(CUSTO_GLOBAL[[#Headers],[SEBRAE]])-2,0)*($G199-$H199)</f>
        <v>29.673394200000004</v>
      </c>
      <c r="Z199" s="21">
        <f>VLOOKUP($A199,tabCustoUnit[],COLUMN(CUSTO_GLOBAL[[#Headers],[Submódulo 2.1]])-2,0)*($G199-$H199)</f>
        <v>1869.4238346</v>
      </c>
      <c r="AA199" s="21">
        <f>VLOOKUP($A199,tabCustoUnit[],COLUMN(CUSTO_GLOBAL[[#Headers],[13º salário (titular)]])-2,0)*($G199-$H199)</f>
        <v>412.13047499999999</v>
      </c>
      <c r="AB199" s="21">
        <f>VLOOKUP($A199,tabCustoUnit[],COLUMN(CUSTO_GLOBAL[[#Headers],[Férias e Adicional de Férias (titular)]])-2,0)*($G199-$H199)</f>
        <v>549.50729999999999</v>
      </c>
      <c r="AC199" s="21">
        <f>VLOOKUP($A199,tabCustoUnit[],COLUMN(CUSTO_GLOBAL[[#Headers],[Incidência do Submódulo 2.1 sobre 13º Salário, Férias e Adicional de Férias]])-2,0)*($G199-$H199)</f>
        <v>363.49907895000001</v>
      </c>
      <c r="AD199" s="21">
        <f>VLOOKUP($A199,tabCustoUnit[],COLUMN(CUSTO_GLOBAL[[#Headers],[Submódulo 2.2]])-2,0)*($G199-$H199)</f>
        <v>1325.1368539499999</v>
      </c>
      <c r="AE199" s="22">
        <f>VLOOKUP($A199,tabCustoUnit[],COLUMN(CUSTO_GLOBAL[[#Headers],[Vale - Transporte (Descontada parcela do empregado)]])-2,0)*($G199-$H199)</f>
        <v>480.66960000000006</v>
      </c>
      <c r="AF199" s="22">
        <f>VLOOKUP($A199,tabCustoUnit[],COLUMN(CUSTO_GLOBAL[[#Headers],[Vale - Alimentação (Descontada parcela do empregado)]])-2,0)*($G199-$H199)</f>
        <v>1746</v>
      </c>
      <c r="AG199" s="22">
        <f>VLOOKUP($A199,tabCustoUnit[],COLUMN(CUSTO_GLOBAL[[#Headers],[Cesta Básica]])-2,0)*($G199-$H199)</f>
        <v>0</v>
      </c>
      <c r="AH199" s="22">
        <f>VLOOKUP($A199,tabCustoUnit[],COLUMN(CUSTO_GLOBAL[[#Headers],[PAF]])-2,0)*($G199-$H199)</f>
        <v>159.81</v>
      </c>
      <c r="AI199" s="22">
        <f>VLOOKUP($A199,tabCustoUnit[],COLUMN(CUSTO_GLOBAL[[#Headers],[PQM]])-2,0)*($G199-$H199)</f>
        <v>0</v>
      </c>
      <c r="AJ199" s="22">
        <v>0</v>
      </c>
      <c r="AK199" s="22">
        <f>VLOOKUP($A199,tabCustoUnit[],COLUMN(CUSTO_GLOBAL[[#Headers],[Seguro de Vida]])-2,0)*($G199-$H199)</f>
        <v>10.08</v>
      </c>
      <c r="AL199" s="22">
        <f>VLOOKUP($A199,tabCustoUnit[],COLUMN(CUSTO_GLOBAL[[#Headers],[Despesas de Viagem]])-2,0)*($G199-$H199)</f>
        <v>0</v>
      </c>
      <c r="AM199" s="22">
        <f>VLOOKUP($A199,tabCustoUnit[],COLUMN(CUSTO_GLOBAL[[#Headers],[Submódulo 2.3]])-2,0)*($G199-$H199)</f>
        <v>2396.5596</v>
      </c>
      <c r="AN199" s="22">
        <f>VLOOKUP($A199,tabCustoUnit[],COLUMN(CUSTO_GLOBAL[[#Headers],[MÓDULO 2 - Total Encargos e Benefícios mensais e diários]])-2,0)*($G199-$H199)</f>
        <v>5591.1202885499997</v>
      </c>
      <c r="AO199" s="22">
        <f>VLOOKUP($A199,tabCustoUnit[],COLUMN(CUSTO_GLOBAL[[#Headers],[Aviso Prévio Indenizado (API) e Reflexo do Aviso Prévio Indenizado]])-2,0)*($G199-$H199)</f>
        <v>34.677154249479166</v>
      </c>
      <c r="AP199" s="22">
        <f>VLOOKUP($A199,tabCustoUnit[],COLUMN(CUSTO_GLOBAL[[#Headers],[Incidência do FGTS sobre API e Reflexo do API]])-2,0)*($G199-$H199)</f>
        <v>2.7741723399583336</v>
      </c>
      <c r="AQ199" s="22">
        <f>VLOOKUP($A199,tabCustoUnit[],COLUMN(CUSTO_GLOBAL[[#Headers],[Multa Rescisória do FGTS sobre o Aviso Prévio Indenizado]])-2,0)*($G199-$H199)</f>
        <v>1.1096689359833336</v>
      </c>
      <c r="AR199" s="22">
        <f>VLOOKUP($A199,tabCustoUnit[],COLUMN(CUSTO_GLOBAL[[#Headers],[Aviso Prévio Trabalhado - APT]])-2,0)*($G199-$H199)</f>
        <v>17.309479950000004</v>
      </c>
      <c r="AS199" s="22">
        <f>VLOOKUP($A199,tabCustoUnit[],COLUMN(CUSTO_GLOBAL[[#Headers],[Incidência dos encargos do submódulo 2.1 sobre Aviso Prévio Trabalhado]])-2,0)*($G199-$H199)</f>
        <v>6.5429834211000024</v>
      </c>
      <c r="AT199" s="22">
        <f>VLOOKUP($A199,tabCustoUnit[],COLUMN(CUSTO_GLOBAL[[#Headers],[Multa Rescisória do FGTS]])-2,0)*($G199-$H199)</f>
        <v>151.22440895999998</v>
      </c>
      <c r="AU199" s="22">
        <f>VLOOKUP($A199,tabCustoUnit[],COLUMN(CUSTO_GLOBAL[[#Headers],[Indenização Adicional (Art. 9º da Lei nº 7.238/84)]])-2,0)*($G199-$H199)</f>
        <v>4.1213047500000002</v>
      </c>
      <c r="AV199" s="22">
        <f>VLOOKUP($A199,tabCustoUnit[],COLUMN(CUSTO_GLOBAL[[#Headers],[MÓDULO 3 – PROVISÃO PARA RESCISÃO]])-2,0)*($G199-$H199)</f>
        <v>217.75917260652079</v>
      </c>
      <c r="AW199" s="22">
        <f>VLOOKUP($A199,tabCustoUnit[],COLUMN(CUSTO_GLOBAL[[#Headers],[Ausência por Doença]])-2,0)*($G199-$H199)</f>
        <v>41.762554799999997</v>
      </c>
      <c r="AX199" s="22">
        <f>VLOOKUP($A199,tabCustoUnit[],COLUMN(CUSTO_GLOBAL[[#Headers],[Ausências Legais]])-2,0)*($G199-$H199)</f>
        <v>10.028508224999999</v>
      </c>
      <c r="AY199" s="22">
        <f>VLOOKUP($A199,tabCustoUnit[],COLUMN(CUSTO_GLOBAL[[#Headers],[Licença Paternidade]])-2,0)*($G199-$H199)</f>
        <v>0.84486747374999993</v>
      </c>
      <c r="AZ199" s="22">
        <f>VLOOKUP($A199,tabCustoUnit[],COLUMN(CUSTO_GLOBAL[[#Headers],[Ausência por Acidente de Trabalho]])-2,0)*($G199-$H199)</f>
        <v>1.0303261875</v>
      </c>
      <c r="BA199" s="22">
        <f>VLOOKUP($A199,tabCustoUnit[],COLUMN(CUSTO_GLOBAL[[#Headers],[Férias, Adicional de Férias e 13º  com empregada em gozo de Licença Maternidade]])-2,0)*($G199-$H199)</f>
        <v>6.4109184999999993</v>
      </c>
      <c r="BB199" s="22">
        <f>VLOOKUP($A199,tabCustoUnit[],COLUMN(CUSTO_GLOBAL[[#Headers],[Incidência do Submódulo 2.1 sobre Ausências Legais]])-2,0)*($G199-$H199)</f>
        <v>22.709172220402504</v>
      </c>
      <c r="BC199" s="22">
        <f>VLOOKUP($A199,tabCustoUnit[],COLUMN(CUSTO_GLOBAL[[#Headers],[Submódulo 4.1]])-2,0)*($G199-$H199)</f>
        <v>82.786347406652496</v>
      </c>
      <c r="BD199" s="22">
        <f>VLOOKUP($A199,tabCustoUnit[],COLUMN(CUSTO_GLOBAL[[#Headers],[Intervalo para Repouso ou Alimentação]])-2,0)*($G199-$H199)</f>
        <v>0</v>
      </c>
      <c r="BE199" s="22">
        <f>VLOOKUP($A199,tabCustoUnit[],COLUMN(CUSTO_GLOBAL[[#Headers],[Submódulo 4.2]])-2,0)*($G199-$H199)</f>
        <v>0</v>
      </c>
      <c r="BF199" s="22">
        <f>VLOOKUP($A199,tabCustoUnit[],COLUMN(CUSTO_GLOBAL[[#Headers],[Suspensão Temporária do Contrato de Trabalho]])-2,0)*($G199-$H199)</f>
        <v>0</v>
      </c>
      <c r="BG199" s="22">
        <f>VLOOKUP($A199,tabCustoUnit[],COLUMN(CUSTO_GLOBAL[[#Headers],[Submódulo 4.3]])-2,0)*($G199-$H199)</f>
        <v>0</v>
      </c>
      <c r="BH199" s="22">
        <f>VLOOKUP($A199,tabCustoUnit[],COLUMN(CUSTO_GLOBAL[[#Headers],[MÓDULO 4 – CUSTO DE REPOSIÇÃO DO PROFISSIONAL AUSENTE]])-2,0)*($G199-$H199)</f>
        <v>82.786347406652496</v>
      </c>
      <c r="BI199" s="22">
        <f>VLOOKUP($A199,tabCustoUnit[],COLUMN(CUSTO_GLOBAL[[#Headers],[Uniformes e EPIs]])-2,0)*($G199-$H199)</f>
        <v>302.42749999999995</v>
      </c>
      <c r="BJ199" s="22">
        <f>VLOOKUP($A199,tabCustoUnit[],COLUMN(CUSTO_GLOBAL[[#Headers],[Materiais de Consumo]])-2,0)*($G199-$H199)</f>
        <v>106.55463887575166</v>
      </c>
      <c r="BK199" s="22">
        <f>VLOOKUP($A199,tabCustoUnit[],COLUMN(CUSTO_GLOBAL[[#Headers],[Máquinas e Equipamentos (depreciação)]])-2,0)*($G199-$H199)</f>
        <v>193.58818174447674</v>
      </c>
      <c r="BL199" s="22">
        <f>VLOOKUP($A199,tabCustoUnit[],COLUMN(CUSTO_GLOBAL[[#Headers],[Produtos de Limpeza e Materiais de Higiene Pessoal]])-2,0)*($G199-$H199)</f>
        <v>2070.8145983379495</v>
      </c>
      <c r="BM199" s="22">
        <f>VLOOKUP($A199,tabCustoUnit[],COLUMN(CUSTO_GLOBAL[[#Headers],[Outros (especificar)]])-2,0)*($G199-$H199)</f>
        <v>0</v>
      </c>
      <c r="BN199" s="22">
        <f>VLOOKUP($A199,tabCustoUnit[],COLUMN(CUSTO_GLOBAL[[#Headers],[MÓDULO 5 – INSUMOS DIVERSOS]])-2,0)*($G199-$H199)</f>
        <v>2673.3849189581779</v>
      </c>
      <c r="BO199" s="22">
        <f>VLOOKUP($A199,tabCustoUnit[],COLUMN(CUSTO_GLOBAL[[#Headers],[TOTAL MÓDULOS 1+2+3+4+5]])-2,0)*($G199-$H199)</f>
        <v>13510.616427521349</v>
      </c>
      <c r="BP199" s="22">
        <f>VLOOKUP($A199,tabCustoUnit[],COLUMN(CUSTO_GLOBAL[[#Headers],[Custos Indiretos]])-2,0)*($G199-$H199)</f>
        <v>568.94640420727842</v>
      </c>
      <c r="BQ199" s="22">
        <f>VLOOKUP($A199,tabCustoUnit[],COLUMN(CUSTO_GLOBAL[[#Headers],[Lucro]])-2,0)*($G199-$H199)</f>
        <v>477.91497953411385</v>
      </c>
      <c r="BR199" s="26">
        <f>VLOOKUP($A199,tabCustoUnit[],COLUMN(CUSTO_GLOBAL[[#Headers],[COFINS]])-2,0)</f>
        <v>8.5633802816901458E-2</v>
      </c>
      <c r="BS199" s="26">
        <f>VLOOKUP($A199,tabCustoUnit[],COLUMN(CUSTO_GLOBAL[[#Headers],[PIS]])-2,0)</f>
        <v>1.8591549295774657E-2</v>
      </c>
      <c r="BT199" s="28">
        <f>VLOOKUP($A199,tabCustoUnit[],COLUMN(CUSTO_GLOBAL[[#Headers],[ISS]])-2,0)</f>
        <v>0.02</v>
      </c>
      <c r="BU199" s="26">
        <f>VLOOKUP($A199,tabCustoUnit[],COLUMN(CUSTO_GLOBAL[[#Headers],[ISS (Conversão Alíquota s/ fatura)]])-2,0)</f>
        <v>2.2535211267605645E-2</v>
      </c>
      <c r="BV199" s="26">
        <f>VLOOKUP($A199,tabCustoUnit[],COLUMN(CUSTO_GLOBAL[[#Headers],[Resumo de Alíquotas (PIS+CONFINS+ISS)]])-2,0)</f>
        <v>0.1125</v>
      </c>
      <c r="BW199" s="138">
        <f>VLOOKUP($A199,tabCustoUnit[],COLUMN(CUSTO_GLOBAL[[#Headers],[PIS + COFINS + ISS (Total Conversão  Alíquota s/ Fatura)]])-2,0)</f>
        <v>0.12676056338028174</v>
      </c>
      <c r="BX199" s="22">
        <f>VLOOKUP($A199,tabCustoUnit[],COLUMN(CUSTO_GLOBAL[[#Headers],[Valor dos Tributos (ISS, PIS, CONFINS)]])-2,0)*($G199-$H199)</f>
        <v>1845.3140887516158</v>
      </c>
      <c r="BY199" s="22">
        <f>VLOOKUP($A199,tabCustoUnit[],COLUMN(CUSTO_GLOBAL[[#Headers],[MÓDULO 6 – CUSTOS INDIRETOS, TRIBUTOS E LUCRO]])-2,0)*($G199-$H199)</f>
        <v>2892.1754724930079</v>
      </c>
      <c r="BZ199" s="22">
        <f>VLOOKUP($A199,tabCustoUnit[],COLUMN(CUSTO_GLOBAL[[#Headers],[CUSTO TOTAL MENSAL]])-2,0)*($G199-$H199)</f>
        <v>16402.791900014359</v>
      </c>
      <c r="CA199" s="22">
        <f>CUSTO_GLOBAL[[#This Row],[CUSTO TOTAL MENSAL]]*12</f>
        <v>196833.50280017231</v>
      </c>
      <c r="CB199" s="24">
        <f>VLOOKUP($A199,tabCustoUnit[],COLUMN(CUSTO_GLOBAL[[#Headers],[ANO DA CCT]])-2,0)</f>
        <v>45658</v>
      </c>
      <c r="CC199" s="25" t="str">
        <f>VLOOKUP($A199,tabCustoUnit[],COLUMN(CUSTO_GLOBAL[[#Headers],[Nº DE PEDIDO DA CCT]])-2,0)</f>
        <v>-</v>
      </c>
      <c r="CD199" s="25" t="str">
        <f>VLOOKUP($A199,tabCustoUnit[],COLUMN(CUSTO_GLOBAL[[#Headers],[TERMO ADITIVO  ALTERAÇÃO DA CCT]])-2,0)</f>
        <v>-</v>
      </c>
      <c r="CF199" s="22"/>
      <c r="CG199" s="22"/>
    </row>
    <row r="200" spans="1:85" x14ac:dyDescent="0.25">
      <c r="A200" s="20" t="s">
        <v>1535</v>
      </c>
      <c r="B200" t="s">
        <v>181</v>
      </c>
      <c r="C200" t="s">
        <v>1247</v>
      </c>
      <c r="D200" t="s">
        <v>1018</v>
      </c>
      <c r="E200" s="20" t="s">
        <v>9</v>
      </c>
      <c r="F200" s="20" t="s">
        <v>10</v>
      </c>
      <c r="G200" s="20">
        <v>1</v>
      </c>
      <c r="H200" s="20">
        <v>0</v>
      </c>
      <c r="I200" s="21">
        <f>VLOOKUP($A200,tabCustoUnit[],COLUMN(CUSTO_GLOBAL[[#Headers],[Salário Base]])-2,0)*($G200-$H200)</f>
        <v>544.17999999999995</v>
      </c>
      <c r="J200" s="21">
        <f>VLOOKUP($A200,tabCustoUnit[],COLUMN(CUSTO_GLOBAL[[#Headers],[Adicional Periculosidade]])-2,0)*($G200-$H200)</f>
        <v>0</v>
      </c>
      <c r="K200" s="21">
        <f>VLOOKUP($A200,tabCustoUnit[],COLUMN(CUSTO_GLOBAL[[#Headers],[Adicional Insalubridade]])-2,0)*($G200-$H200)</f>
        <v>0</v>
      </c>
      <c r="L200" s="21">
        <f>VLOOKUP($A200,tabCustoUnit[],COLUMN(CUSTO_GLOBAL[[#Headers],[Adicional Noturno]])-2,0)*($G200-$H200)</f>
        <v>0</v>
      </c>
      <c r="M200" s="21">
        <f>VLOOKUP($A200,tabCustoUnit[],COLUMN(CUSTO_GLOBAL[[#Headers],[Adicional Motorista II (Gratificação)]])-2,0)*($G200-$H200)</f>
        <v>0</v>
      </c>
      <c r="N200" s="21">
        <f>VLOOKUP($A200,tabCustoUnit[],COLUMN(CUSTO_GLOBAL[[#Headers],[Adicional de Sobreaviso]])-2,0)*($G200-$H200)</f>
        <v>0</v>
      </c>
      <c r="O200" s="21">
        <f>VLOOKUP($A200,tabCustoUnit[],COLUMN(CUSTO_GLOBAL[[#Headers],[Horas Extras TI]])-2,0)*($G200-$H200)</f>
        <v>0</v>
      </c>
      <c r="P200" s="21">
        <f>VLOOKUP($A200,tabCustoUnit[],COLUMN(CUSTO_GLOBAL[[#Headers],[Adicional de Acúmulo de função]])-2,0)*($G200-$H200)</f>
        <v>19.590499999999999</v>
      </c>
      <c r="Q200" s="21">
        <f>VLOOKUP($A200,tabCustoUnit[],COLUMN(CUSTO_GLOBAL[[#Headers],[MODULO 1 - REMUNERAÇÃO ]])-2,0)*($G200-$H200)</f>
        <v>563.77049999999997</v>
      </c>
      <c r="R200" s="21">
        <f>VLOOKUP($A200,tabCustoUnit[],COLUMN(CUSTO_GLOBAL[[#Headers],[INSS]])-2,0)*($G200-$H200)</f>
        <v>112.75409999999999</v>
      </c>
      <c r="S200" s="21">
        <f>VLOOKUP($A200,tabCustoUnit[],COLUMN(CUSTO_GLOBAL[[#Headers],[SESI OU SESC]])-2,0)*($G200-$H200)</f>
        <v>8.4565574999999988</v>
      </c>
      <c r="T200" s="21">
        <f>VLOOKUP($A200,tabCustoUnit[],COLUMN(CUSTO_GLOBAL[[#Headers],[SENAI OU SENAC]])-2,0)*($G200-$H200)</f>
        <v>5.6377049999999995</v>
      </c>
      <c r="U200" s="21">
        <f>VLOOKUP($A200,tabCustoUnit[],COLUMN(CUSTO_GLOBAL[[#Headers],[INCRA]])-2,0)*($G200-$H200)</f>
        <v>1.1275409999999999</v>
      </c>
      <c r="V200" s="21">
        <f>VLOOKUP($A200,tabCustoUnit[],COLUMN(CUSTO_GLOBAL[[#Headers],[Salário Educação]])-2,0)*($G200-$H200)</f>
        <v>14.094262499999999</v>
      </c>
      <c r="W200" s="21">
        <f>VLOOKUP($A200,tabCustoUnit[],COLUMN(CUSTO_GLOBAL[[#Headers],[FGTS]])-2,0)*($G200-$H200)</f>
        <v>45.101639999999996</v>
      </c>
      <c r="X200" s="21">
        <f>VLOOKUP($A200,tabCustoUnit[],COLUMN(CUSTO_GLOBAL[[#Headers],[RAT Ajustado]])-2,0)*($G200-$H200)</f>
        <v>22.550819999999998</v>
      </c>
      <c r="Y200" s="21">
        <f>VLOOKUP($A200,tabCustoUnit[],COLUMN(CUSTO_GLOBAL[[#Headers],[SEBRAE]])-2,0)*($G200-$H200)</f>
        <v>3.3826229999999997</v>
      </c>
      <c r="Z200" s="21">
        <f>VLOOKUP($A200,tabCustoUnit[],COLUMN(CUSTO_GLOBAL[[#Headers],[Submódulo 2.1]])-2,0)*($G200-$H200)</f>
        <v>213.10524899999996</v>
      </c>
      <c r="AA200" s="21">
        <f>VLOOKUP($A200,tabCustoUnit[],COLUMN(CUSTO_GLOBAL[[#Headers],[13º salário (titular)]])-2,0)*($G200-$H200)</f>
        <v>46.980874999999997</v>
      </c>
      <c r="AB200" s="21">
        <f>VLOOKUP($A200,tabCustoUnit[],COLUMN(CUSTO_GLOBAL[[#Headers],[Férias e Adicional de Férias (titular)]])-2,0)*($G200-$H200)</f>
        <v>62.641166666666663</v>
      </c>
      <c r="AC200" s="21">
        <f>VLOOKUP($A200,tabCustoUnit[],COLUMN(CUSTO_GLOBAL[[#Headers],[Incidência do Submódulo 2.1 sobre 13º Salário, Férias e Adicional de Férias]])-2,0)*($G200-$H200)</f>
        <v>41.437131749999992</v>
      </c>
      <c r="AD200" s="21">
        <f>VLOOKUP($A200,tabCustoUnit[],COLUMN(CUSTO_GLOBAL[[#Headers],[Submódulo 2.2]])-2,0)*($G200-$H200)</f>
        <v>151.05917341666665</v>
      </c>
      <c r="AE200" s="22">
        <f>VLOOKUP($A200,tabCustoUnit[],COLUMN(CUSTO_GLOBAL[[#Headers],[Vale - Transporte (Descontada parcela do empregado)]])-2,0)*($G200-$H200)</f>
        <v>223.3492</v>
      </c>
      <c r="AF200" s="22">
        <f>VLOOKUP($A200,tabCustoUnit[],COLUMN(CUSTO_GLOBAL[[#Headers],[Vale - Alimentação (Descontada parcela do empregado)]])-2,0)*($G200-$H200)</f>
        <v>582</v>
      </c>
      <c r="AG200" s="22">
        <f>VLOOKUP($A200,tabCustoUnit[],COLUMN(CUSTO_GLOBAL[[#Headers],[Cesta Básica]])-2,0)*($G200-$H200)</f>
        <v>0</v>
      </c>
      <c r="AH200" s="22">
        <f>VLOOKUP($A200,tabCustoUnit[],COLUMN(CUSTO_GLOBAL[[#Headers],[PAF]])-2,0)*($G200-$H200)</f>
        <v>51.88</v>
      </c>
      <c r="AI200" s="22">
        <f>VLOOKUP($A200,tabCustoUnit[],COLUMN(CUSTO_GLOBAL[[#Headers],[PQM]])-2,0)*($G200-$H200)</f>
        <v>0</v>
      </c>
      <c r="AJ200" s="22">
        <v>0</v>
      </c>
      <c r="AK200" s="22">
        <f>VLOOKUP($A200,tabCustoUnit[],COLUMN(CUSTO_GLOBAL[[#Headers],[Seguro de Vida]])-2,0)*($G200-$H200)</f>
        <v>3.36</v>
      </c>
      <c r="AL200" s="22">
        <f>VLOOKUP($A200,tabCustoUnit[],COLUMN(CUSTO_GLOBAL[[#Headers],[Despesas de Viagem]])-2,0)*($G200-$H200)</f>
        <v>0</v>
      </c>
      <c r="AM200" s="22">
        <f>VLOOKUP($A200,tabCustoUnit[],COLUMN(CUSTO_GLOBAL[[#Headers],[Submódulo 2.3]])-2,0)*($G200-$H200)</f>
        <v>860.58920000000001</v>
      </c>
      <c r="AN200" s="22">
        <f>VLOOKUP($A200,tabCustoUnit[],COLUMN(CUSTO_GLOBAL[[#Headers],[MÓDULO 2 - Total Encargos e Benefícios mensais e diários]])-2,0)*($G200-$H200)</f>
        <v>1224.7536224166665</v>
      </c>
      <c r="AO200" s="22">
        <f>VLOOKUP($A200,tabCustoUnit[],COLUMN(CUSTO_GLOBAL[[#Headers],[Aviso Prévio Indenizado (API) e Reflexo do Aviso Prévio Indenizado]])-2,0)*($G200-$H200)</f>
        <v>3.9530273735532404</v>
      </c>
      <c r="AP200" s="22">
        <f>VLOOKUP($A200,tabCustoUnit[],COLUMN(CUSTO_GLOBAL[[#Headers],[Incidência do FGTS sobre API e Reflexo do API]])-2,0)*($G200-$H200)</f>
        <v>0.31624218988425928</v>
      </c>
      <c r="AQ200" s="22">
        <f>VLOOKUP($A200,tabCustoUnit[],COLUMN(CUSTO_GLOBAL[[#Headers],[Multa Rescisória do FGTS sobre o Aviso Prévio Indenizado]])-2,0)*($G200-$H200)</f>
        <v>0.12649687595370371</v>
      </c>
      <c r="AR200" s="22">
        <f>VLOOKUP($A200,tabCustoUnit[],COLUMN(CUSTO_GLOBAL[[#Headers],[Aviso Prévio Trabalhado - APT]])-2,0)*($G200-$H200)</f>
        <v>1.9731967500000003</v>
      </c>
      <c r="AS200" s="22">
        <f>VLOOKUP($A200,tabCustoUnit[],COLUMN(CUSTO_GLOBAL[[#Headers],[Incidência dos encargos do submódulo 2.1 sobre Aviso Prévio Trabalhado]])-2,0)*($G200-$H200)</f>
        <v>0.74586837150000018</v>
      </c>
      <c r="AT200" s="22">
        <f>VLOOKUP($A200,tabCustoUnit[],COLUMN(CUSTO_GLOBAL[[#Headers],[Multa Rescisória do FGTS]])-2,0)*($G200-$H200)</f>
        <v>17.238849066666663</v>
      </c>
      <c r="AU200" s="22">
        <f>VLOOKUP($A200,tabCustoUnit[],COLUMN(CUSTO_GLOBAL[[#Headers],[Indenização Adicional (Art. 9º da Lei nº 7.238/84)]])-2,0)*($G200-$H200)</f>
        <v>0.46980875</v>
      </c>
      <c r="AV200" s="22">
        <f>VLOOKUP($A200,tabCustoUnit[],COLUMN(CUSTO_GLOBAL[[#Headers],[MÓDULO 3 – PROVISÃO PARA RESCISÃO]])-2,0)*($G200-$H200)</f>
        <v>24.823489377557866</v>
      </c>
      <c r="AW200" s="22">
        <f>VLOOKUP($A200,tabCustoUnit[],COLUMN(CUSTO_GLOBAL[[#Headers],[Ausência por Doença]])-2,0)*($G200-$H200)</f>
        <v>4.7607286666666662</v>
      </c>
      <c r="AX200" s="22">
        <f>VLOOKUP($A200,tabCustoUnit[],COLUMN(CUSTO_GLOBAL[[#Headers],[Ausências Legais]])-2,0)*($G200-$H200)</f>
        <v>1.1432012916666665</v>
      </c>
      <c r="AY200" s="22">
        <f>VLOOKUP($A200,tabCustoUnit[],COLUMN(CUSTO_GLOBAL[[#Headers],[Licença Paternidade]])-2,0)*($G200-$H200)</f>
        <v>9.6310793749999998E-2</v>
      </c>
      <c r="AZ200" s="22">
        <f>VLOOKUP($A200,tabCustoUnit[],COLUMN(CUSTO_GLOBAL[[#Headers],[Ausência por Acidente de Trabalho]])-2,0)*($G200-$H200)</f>
        <v>0.1174521875</v>
      </c>
      <c r="BA200" s="22">
        <f>VLOOKUP($A200,tabCustoUnit[],COLUMN(CUSTO_GLOBAL[[#Headers],[Férias, Adicional de Férias e 13º  com empregada em gozo de Licença Maternidade]])-2,0)*($G200-$H200)</f>
        <v>0.73081361111111109</v>
      </c>
      <c r="BB200" s="22">
        <f>VLOOKUP($A200,tabCustoUnit[],COLUMN(CUSTO_GLOBAL[[#Headers],[Incidência do Submódulo 2.1 sobre Ausências Legais]])-2,0)*($G200-$H200)</f>
        <v>2.5887354761625003</v>
      </c>
      <c r="BC200" s="22">
        <f>VLOOKUP($A200,tabCustoUnit[],COLUMN(CUSTO_GLOBAL[[#Headers],[Submódulo 4.1]])-2,0)*($G200-$H200)</f>
        <v>9.4372420268569428</v>
      </c>
      <c r="BD200" s="22">
        <f>VLOOKUP($A200,tabCustoUnit[],COLUMN(CUSTO_GLOBAL[[#Headers],[Intervalo para Repouso ou Alimentação]])-2,0)*($G200-$H200)</f>
        <v>0</v>
      </c>
      <c r="BE200" s="22">
        <f>VLOOKUP($A200,tabCustoUnit[],COLUMN(CUSTO_GLOBAL[[#Headers],[Submódulo 4.2]])-2,0)*($G200-$H200)</f>
        <v>0</v>
      </c>
      <c r="BF200" s="22">
        <f>VLOOKUP($A200,tabCustoUnit[],COLUMN(CUSTO_GLOBAL[[#Headers],[Suspensão Temporária do Contrato de Trabalho]])-2,0)*($G200-$H200)</f>
        <v>0</v>
      </c>
      <c r="BG200" s="22">
        <f>VLOOKUP($A200,tabCustoUnit[],COLUMN(CUSTO_GLOBAL[[#Headers],[Submódulo 4.3]])-2,0)*($G200-$H200)</f>
        <v>0</v>
      </c>
      <c r="BH200" s="22">
        <f>VLOOKUP($A200,tabCustoUnit[],COLUMN(CUSTO_GLOBAL[[#Headers],[MÓDULO 4 – CUSTO DE REPOSIÇÃO DO PROFISSIONAL AUSENTE]])-2,0)*($G200-$H200)</f>
        <v>9.4372420268569428</v>
      </c>
      <c r="BI200" s="22">
        <f>VLOOKUP($A200,tabCustoUnit[],COLUMN(CUSTO_GLOBAL[[#Headers],[Uniformes e EPIs]])-2,0)*($G200-$H200)</f>
        <v>62.806666666666665</v>
      </c>
      <c r="BJ200" s="22">
        <f>VLOOKUP($A200,tabCustoUnit[],COLUMN(CUSTO_GLOBAL[[#Headers],[Materiais de Consumo]])-2,0)*($G200-$H200)</f>
        <v>12.108481690426325</v>
      </c>
      <c r="BK200" s="22">
        <f>VLOOKUP($A200,tabCustoUnit[],COLUMN(CUSTO_GLOBAL[[#Headers],[Máquinas e Equipamentos (depreciação)]])-2,0)*($G200-$H200)</f>
        <v>21.998657016417809</v>
      </c>
      <c r="BL200" s="22">
        <f>VLOOKUP($A200,tabCustoUnit[],COLUMN(CUSTO_GLOBAL[[#Headers],[Produtos de Limpeza e Materiais de Higiene Pessoal]])-2,0)*($G200-$H200)</f>
        <v>235.31984072022155</v>
      </c>
      <c r="BM200" s="22">
        <f>VLOOKUP($A200,tabCustoUnit[],COLUMN(CUSTO_GLOBAL[[#Headers],[Outros (especificar)]])-2,0)*($G200-$H200)</f>
        <v>0</v>
      </c>
      <c r="BN200" s="22">
        <f>VLOOKUP($A200,tabCustoUnit[],COLUMN(CUSTO_GLOBAL[[#Headers],[MÓDULO 5 – INSUMOS DIVERSOS]])-2,0)*($G200-$H200)</f>
        <v>332.23364609373232</v>
      </c>
      <c r="BO200" s="22">
        <f>VLOOKUP($A200,tabCustoUnit[],COLUMN(CUSTO_GLOBAL[[#Headers],[TOTAL MÓDULOS 1+2+3+4+5]])-2,0)*($G200-$H200)</f>
        <v>2155.0184999148137</v>
      </c>
      <c r="BP200" s="22">
        <f>VLOOKUP($A200,tabCustoUnit[],COLUMN(CUSTO_GLOBAL[[#Headers],[Custos Indiretos]])-2,0)*($G200-$H200)</f>
        <v>189.64880140242613</v>
      </c>
      <c r="BQ200" s="22">
        <f>VLOOKUP($A200,tabCustoUnit[],COLUMN(CUSTO_GLOBAL[[#Headers],[Lucro]])-2,0)*($G200-$H200)</f>
        <v>159.30499317803796</v>
      </c>
      <c r="BR200" s="26">
        <f>VLOOKUP($A200,tabCustoUnit[],COLUMN(CUSTO_GLOBAL[[#Headers],[COFINS]])-2,0)</f>
        <v>8.7106017191977067E-2</v>
      </c>
      <c r="BS200" s="26">
        <f>VLOOKUP($A200,tabCustoUnit[],COLUMN(CUSTO_GLOBAL[[#Headers],[PIS]])-2,0)</f>
        <v>1.8911174785100283E-2</v>
      </c>
      <c r="BT200" s="28">
        <f>VLOOKUP($A200,tabCustoUnit[],COLUMN(CUSTO_GLOBAL[[#Headers],[ISS]])-2,0)</f>
        <v>3.5000000000000003E-2</v>
      </c>
      <c r="BU200" s="26">
        <f>VLOOKUP($A200,tabCustoUnit[],COLUMN(CUSTO_GLOBAL[[#Headers],[ISS (Conversão Alíquota s/ fatura)]])-2,0)</f>
        <v>4.0114613180515762E-2</v>
      </c>
      <c r="BV200" s="26">
        <f>VLOOKUP($A200,tabCustoUnit[],COLUMN(CUSTO_GLOBAL[[#Headers],[Resumo de Alíquotas (PIS+CONFINS+ISS)]])-2,0)</f>
        <v>0.1275</v>
      </c>
      <c r="BW200" s="138">
        <f>VLOOKUP($A200,tabCustoUnit[],COLUMN(CUSTO_GLOBAL[[#Headers],[PIS + COFINS + ISS (Total Conversão  Alíquota s/ Fatura)]])-2,0)</f>
        <v>0.14613180515759311</v>
      </c>
      <c r="BX200" s="22">
        <f>VLOOKUP($A200,tabCustoUnit[],COLUMN(CUSTO_GLOBAL[[#Headers],[Valor dos Tributos (ISS, PIS, CONFINS)]])-2,0)*($G200-$H200)</f>
        <v>365.90999145919528</v>
      </c>
      <c r="BY200" s="22">
        <f>VLOOKUP($A200,tabCustoUnit[],COLUMN(CUSTO_GLOBAL[[#Headers],[MÓDULO 6 – CUSTOS INDIRETOS, TRIBUTOS E LUCRO]])-2,0)*($G200-$H200)</f>
        <v>714.86378603965932</v>
      </c>
      <c r="BZ200" s="22">
        <f>VLOOKUP($A200,tabCustoUnit[],COLUMN(CUSTO_GLOBAL[[#Headers],[CUSTO TOTAL MENSAL]])-2,0)*($G200-$H200)</f>
        <v>2869.882285954473</v>
      </c>
      <c r="CA200" s="22">
        <f>CUSTO_GLOBAL[[#This Row],[CUSTO TOTAL MENSAL]]*12</f>
        <v>34438.587431453678</v>
      </c>
      <c r="CB200" s="24">
        <f>VLOOKUP($A200,tabCustoUnit[],COLUMN(CUSTO_GLOBAL[[#Headers],[ANO DA CCT]])-2,0)</f>
        <v>45658</v>
      </c>
      <c r="CC200" s="25" t="str">
        <f>VLOOKUP($A200,tabCustoUnit[],COLUMN(CUSTO_GLOBAL[[#Headers],[Nº DE PEDIDO DA CCT]])-2,0)</f>
        <v>-</v>
      </c>
      <c r="CD200" s="25" t="str">
        <f>VLOOKUP($A200,tabCustoUnit[],COLUMN(CUSTO_GLOBAL[[#Headers],[TERMO ADITIVO  ALTERAÇÃO DA CCT]])-2,0)</f>
        <v>-</v>
      </c>
      <c r="CF200" s="22"/>
      <c r="CG200" s="22"/>
    </row>
    <row r="201" spans="1:85" x14ac:dyDescent="0.25">
      <c r="A201" s="20" t="s">
        <v>1536</v>
      </c>
      <c r="B201" t="s">
        <v>182</v>
      </c>
      <c r="C201" t="s">
        <v>1247</v>
      </c>
      <c r="D201" t="s">
        <v>992</v>
      </c>
      <c r="E201" s="20" t="s">
        <v>9</v>
      </c>
      <c r="F201" s="20" t="s">
        <v>10</v>
      </c>
      <c r="G201" s="20">
        <v>1</v>
      </c>
      <c r="H201" s="20">
        <v>0</v>
      </c>
      <c r="I201" s="21">
        <f>VLOOKUP($A201,tabCustoUnit[],COLUMN(CUSTO_GLOBAL[[#Headers],[Salário Base]])-2,0)*($G201-$H201)</f>
        <v>544.17999999999995</v>
      </c>
      <c r="J201" s="21">
        <f>VLOOKUP($A201,tabCustoUnit[],COLUMN(CUSTO_GLOBAL[[#Headers],[Adicional Periculosidade]])-2,0)*($G201-$H201)</f>
        <v>0</v>
      </c>
      <c r="K201" s="21">
        <f>VLOOKUP($A201,tabCustoUnit[],COLUMN(CUSTO_GLOBAL[[#Headers],[Adicional Insalubridade]])-2,0)*($G201-$H201)</f>
        <v>0</v>
      </c>
      <c r="L201" s="21">
        <f>VLOOKUP($A201,tabCustoUnit[],COLUMN(CUSTO_GLOBAL[[#Headers],[Adicional Noturno]])-2,0)*($G201-$H201)</f>
        <v>0</v>
      </c>
      <c r="M201" s="21">
        <f>VLOOKUP($A201,tabCustoUnit[],COLUMN(CUSTO_GLOBAL[[#Headers],[Adicional Motorista II (Gratificação)]])-2,0)*($G201-$H201)</f>
        <v>0</v>
      </c>
      <c r="N201" s="21">
        <f>VLOOKUP($A201,tabCustoUnit[],COLUMN(CUSTO_GLOBAL[[#Headers],[Adicional de Sobreaviso]])-2,0)*($G201-$H201)</f>
        <v>0</v>
      </c>
      <c r="O201" s="21">
        <f>VLOOKUP($A201,tabCustoUnit[],COLUMN(CUSTO_GLOBAL[[#Headers],[Horas Extras TI]])-2,0)*($G201-$H201)</f>
        <v>0</v>
      </c>
      <c r="P201" s="21">
        <f>VLOOKUP($A201,tabCustoUnit[],COLUMN(CUSTO_GLOBAL[[#Headers],[Adicional de Acúmulo de função]])-2,0)*($G201-$H201)</f>
        <v>19.590499999999999</v>
      </c>
      <c r="Q201" s="21">
        <f>VLOOKUP($A201,tabCustoUnit[],COLUMN(CUSTO_GLOBAL[[#Headers],[MODULO 1 - REMUNERAÇÃO ]])-2,0)*($G201-$H201)</f>
        <v>563.77049999999997</v>
      </c>
      <c r="R201" s="21">
        <f>VLOOKUP($A201,tabCustoUnit[],COLUMN(CUSTO_GLOBAL[[#Headers],[INSS]])-2,0)*($G201-$H201)</f>
        <v>112.75409999999999</v>
      </c>
      <c r="S201" s="21">
        <f>VLOOKUP($A201,tabCustoUnit[],COLUMN(CUSTO_GLOBAL[[#Headers],[SESI OU SESC]])-2,0)*($G201-$H201)</f>
        <v>8.4565574999999988</v>
      </c>
      <c r="T201" s="21">
        <f>VLOOKUP($A201,tabCustoUnit[],COLUMN(CUSTO_GLOBAL[[#Headers],[SENAI OU SENAC]])-2,0)*($G201-$H201)</f>
        <v>5.6377049999999995</v>
      </c>
      <c r="U201" s="21">
        <f>VLOOKUP($A201,tabCustoUnit[],COLUMN(CUSTO_GLOBAL[[#Headers],[INCRA]])-2,0)*($G201-$H201)</f>
        <v>1.1275409999999999</v>
      </c>
      <c r="V201" s="21">
        <f>VLOOKUP($A201,tabCustoUnit[],COLUMN(CUSTO_GLOBAL[[#Headers],[Salário Educação]])-2,0)*($G201-$H201)</f>
        <v>14.094262499999999</v>
      </c>
      <c r="W201" s="21">
        <f>VLOOKUP($A201,tabCustoUnit[],COLUMN(CUSTO_GLOBAL[[#Headers],[FGTS]])-2,0)*($G201-$H201)</f>
        <v>45.101639999999996</v>
      </c>
      <c r="X201" s="21">
        <f>VLOOKUP($A201,tabCustoUnit[],COLUMN(CUSTO_GLOBAL[[#Headers],[RAT Ajustado]])-2,0)*($G201-$H201)</f>
        <v>22.550819999999998</v>
      </c>
      <c r="Y201" s="21">
        <f>VLOOKUP($A201,tabCustoUnit[],COLUMN(CUSTO_GLOBAL[[#Headers],[SEBRAE]])-2,0)*($G201-$H201)</f>
        <v>3.3826229999999997</v>
      </c>
      <c r="Z201" s="21">
        <f>VLOOKUP($A201,tabCustoUnit[],COLUMN(CUSTO_GLOBAL[[#Headers],[Submódulo 2.1]])-2,0)*($G201-$H201)</f>
        <v>213.10524899999996</v>
      </c>
      <c r="AA201" s="21">
        <f>VLOOKUP($A201,tabCustoUnit[],COLUMN(CUSTO_GLOBAL[[#Headers],[13º salário (titular)]])-2,0)*($G201-$H201)</f>
        <v>46.980874999999997</v>
      </c>
      <c r="AB201" s="21">
        <f>VLOOKUP($A201,tabCustoUnit[],COLUMN(CUSTO_GLOBAL[[#Headers],[Férias e Adicional de Férias (titular)]])-2,0)*($G201-$H201)</f>
        <v>62.641166666666663</v>
      </c>
      <c r="AC201" s="21">
        <f>VLOOKUP($A201,tabCustoUnit[],COLUMN(CUSTO_GLOBAL[[#Headers],[Incidência do Submódulo 2.1 sobre 13º Salário, Férias e Adicional de Férias]])-2,0)*($G201-$H201)</f>
        <v>41.437131749999992</v>
      </c>
      <c r="AD201" s="21">
        <f>VLOOKUP($A201,tabCustoUnit[],COLUMN(CUSTO_GLOBAL[[#Headers],[Submódulo 2.2]])-2,0)*($G201-$H201)</f>
        <v>151.05917341666665</v>
      </c>
      <c r="AE201" s="22">
        <f>VLOOKUP($A201,tabCustoUnit[],COLUMN(CUSTO_GLOBAL[[#Headers],[Vale - Transporte (Descontada parcela do empregado)]])-2,0)*($G201-$H201)</f>
        <v>223.3492</v>
      </c>
      <c r="AF201" s="22">
        <f>VLOOKUP($A201,tabCustoUnit[],COLUMN(CUSTO_GLOBAL[[#Headers],[Vale - Alimentação (Descontada parcela do empregado)]])-2,0)*($G201-$H201)</f>
        <v>0</v>
      </c>
      <c r="AG201" s="22">
        <f>VLOOKUP($A201,tabCustoUnit[],COLUMN(CUSTO_GLOBAL[[#Headers],[Cesta Básica]])-2,0)*($G201-$H201)</f>
        <v>387.79</v>
      </c>
      <c r="AH201" s="22">
        <f>VLOOKUP($A201,tabCustoUnit[],COLUMN(CUSTO_GLOBAL[[#Headers],[PAF]])-2,0)*($G201-$H201)</f>
        <v>42.97</v>
      </c>
      <c r="AI201" s="22">
        <f>VLOOKUP($A201,tabCustoUnit[],COLUMN(CUSTO_GLOBAL[[#Headers],[PQM]])-2,0)*($G201-$H201)</f>
        <v>0</v>
      </c>
      <c r="AJ201" s="22">
        <v>0</v>
      </c>
      <c r="AK201" s="22">
        <f>VLOOKUP($A201,tabCustoUnit[],COLUMN(CUSTO_GLOBAL[[#Headers],[Seguro de Vida]])-2,0)*($G201-$H201)</f>
        <v>3.36</v>
      </c>
      <c r="AL201" s="22">
        <f>VLOOKUP($A201,tabCustoUnit[],COLUMN(CUSTO_GLOBAL[[#Headers],[Despesas de Viagem]])-2,0)*($G201-$H201)</f>
        <v>0</v>
      </c>
      <c r="AM201" s="22">
        <f>VLOOKUP($A201,tabCustoUnit[],COLUMN(CUSTO_GLOBAL[[#Headers],[Submódulo 2.3]])-2,0)*($G201-$H201)</f>
        <v>657.46920000000011</v>
      </c>
      <c r="AN201" s="22">
        <f>VLOOKUP($A201,tabCustoUnit[],COLUMN(CUSTO_GLOBAL[[#Headers],[MÓDULO 2 - Total Encargos e Benefícios mensais e diários]])-2,0)*($G201-$H201)</f>
        <v>1021.6336224166668</v>
      </c>
      <c r="AO201" s="22">
        <f>VLOOKUP($A201,tabCustoUnit[],COLUMN(CUSTO_GLOBAL[[#Headers],[Aviso Prévio Indenizado (API) e Reflexo do Aviso Prévio Indenizado]])-2,0)*($G201-$H201)</f>
        <v>3.9530273735532404</v>
      </c>
      <c r="AP201" s="22">
        <f>VLOOKUP($A201,tabCustoUnit[],COLUMN(CUSTO_GLOBAL[[#Headers],[Incidência do FGTS sobre API e Reflexo do API]])-2,0)*($G201-$H201)</f>
        <v>0.31624218988425928</v>
      </c>
      <c r="AQ201" s="22">
        <f>VLOOKUP($A201,tabCustoUnit[],COLUMN(CUSTO_GLOBAL[[#Headers],[Multa Rescisória do FGTS sobre o Aviso Prévio Indenizado]])-2,0)*($G201-$H201)</f>
        <v>0.12649687595370371</v>
      </c>
      <c r="AR201" s="22">
        <f>VLOOKUP($A201,tabCustoUnit[],COLUMN(CUSTO_GLOBAL[[#Headers],[Aviso Prévio Trabalhado - APT]])-2,0)*($G201-$H201)</f>
        <v>1.9731967500000003</v>
      </c>
      <c r="AS201" s="22">
        <f>VLOOKUP($A201,tabCustoUnit[],COLUMN(CUSTO_GLOBAL[[#Headers],[Incidência dos encargos do submódulo 2.1 sobre Aviso Prévio Trabalhado]])-2,0)*($G201-$H201)</f>
        <v>0.74586837150000018</v>
      </c>
      <c r="AT201" s="22">
        <f>VLOOKUP($A201,tabCustoUnit[],COLUMN(CUSTO_GLOBAL[[#Headers],[Multa Rescisória do FGTS]])-2,0)*($G201-$H201)</f>
        <v>17.238849066666663</v>
      </c>
      <c r="AU201" s="22">
        <f>VLOOKUP($A201,tabCustoUnit[],COLUMN(CUSTO_GLOBAL[[#Headers],[Indenização Adicional (Art. 9º da Lei nº 7.238/84)]])-2,0)*($G201-$H201)</f>
        <v>0.46980875</v>
      </c>
      <c r="AV201" s="22">
        <f>VLOOKUP($A201,tabCustoUnit[],COLUMN(CUSTO_GLOBAL[[#Headers],[MÓDULO 3 – PROVISÃO PARA RESCISÃO]])-2,0)*($G201-$H201)</f>
        <v>24.823489377557866</v>
      </c>
      <c r="AW201" s="22">
        <f>VLOOKUP($A201,tabCustoUnit[],COLUMN(CUSTO_GLOBAL[[#Headers],[Ausência por Doença]])-2,0)*($G201-$H201)</f>
        <v>4.7607286666666662</v>
      </c>
      <c r="AX201" s="22">
        <f>VLOOKUP($A201,tabCustoUnit[],COLUMN(CUSTO_GLOBAL[[#Headers],[Ausências Legais]])-2,0)*($G201-$H201)</f>
        <v>1.1432012916666665</v>
      </c>
      <c r="AY201" s="22">
        <f>VLOOKUP($A201,tabCustoUnit[],COLUMN(CUSTO_GLOBAL[[#Headers],[Licença Paternidade]])-2,0)*($G201-$H201)</f>
        <v>9.6310793749999998E-2</v>
      </c>
      <c r="AZ201" s="22">
        <f>VLOOKUP($A201,tabCustoUnit[],COLUMN(CUSTO_GLOBAL[[#Headers],[Ausência por Acidente de Trabalho]])-2,0)*($G201-$H201)</f>
        <v>0.1174521875</v>
      </c>
      <c r="BA201" s="22">
        <f>VLOOKUP($A201,tabCustoUnit[],COLUMN(CUSTO_GLOBAL[[#Headers],[Férias, Adicional de Férias e 13º  com empregada em gozo de Licença Maternidade]])-2,0)*($G201-$H201)</f>
        <v>0.73081361111111109</v>
      </c>
      <c r="BB201" s="22">
        <f>VLOOKUP($A201,tabCustoUnit[],COLUMN(CUSTO_GLOBAL[[#Headers],[Incidência do Submódulo 2.1 sobre Ausências Legais]])-2,0)*($G201-$H201)</f>
        <v>2.5887354761625003</v>
      </c>
      <c r="BC201" s="22">
        <f>VLOOKUP($A201,tabCustoUnit[],COLUMN(CUSTO_GLOBAL[[#Headers],[Submódulo 4.1]])-2,0)*($G201-$H201)</f>
        <v>9.4372420268569428</v>
      </c>
      <c r="BD201" s="22">
        <f>VLOOKUP($A201,tabCustoUnit[],COLUMN(CUSTO_GLOBAL[[#Headers],[Intervalo para Repouso ou Alimentação]])-2,0)*($G201-$H201)</f>
        <v>0</v>
      </c>
      <c r="BE201" s="22">
        <f>VLOOKUP($A201,tabCustoUnit[],COLUMN(CUSTO_GLOBAL[[#Headers],[Submódulo 4.2]])-2,0)*($G201-$H201)</f>
        <v>0</v>
      </c>
      <c r="BF201" s="22">
        <f>VLOOKUP($A201,tabCustoUnit[],COLUMN(CUSTO_GLOBAL[[#Headers],[Suspensão Temporária do Contrato de Trabalho]])-2,0)*($G201-$H201)</f>
        <v>0</v>
      </c>
      <c r="BG201" s="22">
        <f>VLOOKUP($A201,tabCustoUnit[],COLUMN(CUSTO_GLOBAL[[#Headers],[Submódulo 4.3]])-2,0)*($G201-$H201)</f>
        <v>0</v>
      </c>
      <c r="BH201" s="22">
        <f>VLOOKUP($A201,tabCustoUnit[],COLUMN(CUSTO_GLOBAL[[#Headers],[MÓDULO 4 – CUSTO DE REPOSIÇÃO DO PROFISSIONAL AUSENTE]])-2,0)*($G201-$H201)</f>
        <v>9.4372420268569428</v>
      </c>
      <c r="BI201" s="22">
        <f>VLOOKUP($A201,tabCustoUnit[],COLUMN(CUSTO_GLOBAL[[#Headers],[Uniformes e EPIs]])-2,0)*($G201-$H201)</f>
        <v>62.806666666666665</v>
      </c>
      <c r="BJ201" s="22">
        <f>VLOOKUP($A201,tabCustoUnit[],COLUMN(CUSTO_GLOBAL[[#Headers],[Materiais de Consumo]])-2,0)*($G201-$H201)</f>
        <v>12.108481690426325</v>
      </c>
      <c r="BK201" s="22">
        <f>VLOOKUP($A201,tabCustoUnit[],COLUMN(CUSTO_GLOBAL[[#Headers],[Máquinas e Equipamentos (depreciação)]])-2,0)*($G201-$H201)</f>
        <v>21.998657016417809</v>
      </c>
      <c r="BL201" s="22">
        <f>VLOOKUP($A201,tabCustoUnit[],COLUMN(CUSTO_GLOBAL[[#Headers],[Produtos de Limpeza e Materiais de Higiene Pessoal]])-2,0)*($G201-$H201)</f>
        <v>235.31984072022155</v>
      </c>
      <c r="BM201" s="22">
        <f>VLOOKUP($A201,tabCustoUnit[],COLUMN(CUSTO_GLOBAL[[#Headers],[Outros (especificar)]])-2,0)*($G201-$H201)</f>
        <v>0</v>
      </c>
      <c r="BN201" s="22">
        <f>VLOOKUP($A201,tabCustoUnit[],COLUMN(CUSTO_GLOBAL[[#Headers],[MÓDULO 5 – INSUMOS DIVERSOS]])-2,0)*($G201-$H201)</f>
        <v>332.23364609373232</v>
      </c>
      <c r="BO201" s="22">
        <f>VLOOKUP($A201,tabCustoUnit[],COLUMN(CUSTO_GLOBAL[[#Headers],[TOTAL MÓDULOS 1+2+3+4+5]])-2,0)*($G201-$H201)</f>
        <v>1951.8984999148138</v>
      </c>
      <c r="BP201" s="22">
        <f>VLOOKUP($A201,tabCustoUnit[],COLUMN(CUSTO_GLOBAL[[#Headers],[Custos Indiretos]])-2,0)*($G201-$H201)</f>
        <v>189.64880140242613</v>
      </c>
      <c r="BQ201" s="22">
        <f>VLOOKUP($A201,tabCustoUnit[],COLUMN(CUSTO_GLOBAL[[#Headers],[Lucro]])-2,0)*($G201-$H201)</f>
        <v>159.30499317803796</v>
      </c>
      <c r="BR201" s="26">
        <f>VLOOKUP($A201,tabCustoUnit[],COLUMN(CUSTO_GLOBAL[[#Headers],[COFINS]])-2,0)</f>
        <v>8.6609686609686695E-2</v>
      </c>
      <c r="BS201" s="26">
        <f>VLOOKUP($A201,tabCustoUnit[],COLUMN(CUSTO_GLOBAL[[#Headers],[PIS]])-2,0)</f>
        <v>1.880341880341882E-2</v>
      </c>
      <c r="BT201" s="28">
        <f>VLOOKUP($A201,tabCustoUnit[],COLUMN(CUSTO_GLOBAL[[#Headers],[ISS]])-2,0)</f>
        <v>0.03</v>
      </c>
      <c r="BU201" s="26">
        <f>VLOOKUP($A201,tabCustoUnit[],COLUMN(CUSTO_GLOBAL[[#Headers],[ISS (Conversão Alíquota s/ fatura)]])-2,0)</f>
        <v>3.4188034188034219E-2</v>
      </c>
      <c r="BV201" s="26">
        <f>VLOOKUP($A201,tabCustoUnit[],COLUMN(CUSTO_GLOBAL[[#Headers],[Resumo de Alíquotas (PIS+CONFINS+ISS)]])-2,0)</f>
        <v>0.1225</v>
      </c>
      <c r="BW201" s="138">
        <f>VLOOKUP($A201,tabCustoUnit[],COLUMN(CUSTO_GLOBAL[[#Headers],[PIS + COFINS + ISS (Total Conversão  Alíquota s/ Fatura)]])-2,0)</f>
        <v>0.13960113960113973</v>
      </c>
      <c r="BX201" s="22">
        <f>VLOOKUP($A201,tabCustoUnit[],COLUMN(CUSTO_GLOBAL[[#Headers],[Valor dos Tributos (ISS, PIS, CONFINS)]])-2,0)*($G201-$H201)</f>
        <v>321.20160236543796</v>
      </c>
      <c r="BY201" s="22">
        <f>VLOOKUP($A201,tabCustoUnit[],COLUMN(CUSTO_GLOBAL[[#Headers],[MÓDULO 6 – CUSTOS INDIRETOS, TRIBUTOS E LUCRO]])-2,0)*($G201-$H201)</f>
        <v>670.15539694590211</v>
      </c>
      <c r="BZ201" s="22">
        <f>VLOOKUP($A201,tabCustoUnit[],COLUMN(CUSTO_GLOBAL[[#Headers],[CUSTO TOTAL MENSAL]])-2,0)*($G201-$H201)</f>
        <v>2622.0538968607161</v>
      </c>
      <c r="CA201" s="22">
        <f>CUSTO_GLOBAL[[#This Row],[CUSTO TOTAL MENSAL]]*12</f>
        <v>31464.646762328593</v>
      </c>
      <c r="CB201" s="24">
        <f>VLOOKUP($A201,tabCustoUnit[],COLUMN(CUSTO_GLOBAL[[#Headers],[ANO DA CCT]])-2,0)</f>
        <v>45658</v>
      </c>
      <c r="CC201" s="25" t="str">
        <f>VLOOKUP($A201,tabCustoUnit[],COLUMN(CUSTO_GLOBAL[[#Headers],[Nº DE PEDIDO DA CCT]])-2,0)</f>
        <v>-</v>
      </c>
      <c r="CD201" s="25" t="str">
        <f>VLOOKUP($A201,tabCustoUnit[],COLUMN(CUSTO_GLOBAL[[#Headers],[TERMO ADITIVO  ALTERAÇÃO DA CCT]])-2,0)</f>
        <v>-</v>
      </c>
      <c r="CF201" s="22"/>
      <c r="CG201" s="22"/>
    </row>
    <row r="202" spans="1:85" x14ac:dyDescent="0.25">
      <c r="A202" s="20" t="s">
        <v>1537</v>
      </c>
      <c r="B202" t="s">
        <v>183</v>
      </c>
      <c r="C202" t="s">
        <v>1247</v>
      </c>
      <c r="D202" t="s">
        <v>1050</v>
      </c>
      <c r="E202" s="20" t="s">
        <v>9</v>
      </c>
      <c r="F202" s="20" t="s">
        <v>10</v>
      </c>
      <c r="G202" s="20">
        <v>1</v>
      </c>
      <c r="H202" s="20">
        <v>0</v>
      </c>
      <c r="I202" s="21">
        <f>VLOOKUP($A202,tabCustoUnit[],COLUMN(CUSTO_GLOBAL[[#Headers],[Salário Base]])-2,0)*($G202-$H202)</f>
        <v>544.17999999999995</v>
      </c>
      <c r="J202" s="21">
        <f>VLOOKUP($A202,tabCustoUnit[],COLUMN(CUSTO_GLOBAL[[#Headers],[Adicional Periculosidade]])-2,0)*($G202-$H202)</f>
        <v>0</v>
      </c>
      <c r="K202" s="21">
        <f>VLOOKUP($A202,tabCustoUnit[],COLUMN(CUSTO_GLOBAL[[#Headers],[Adicional Insalubridade]])-2,0)*($G202-$H202)</f>
        <v>0</v>
      </c>
      <c r="L202" s="21">
        <f>VLOOKUP($A202,tabCustoUnit[],COLUMN(CUSTO_GLOBAL[[#Headers],[Adicional Noturno]])-2,0)*($G202-$H202)</f>
        <v>0</v>
      </c>
      <c r="M202" s="21">
        <f>VLOOKUP($A202,tabCustoUnit[],COLUMN(CUSTO_GLOBAL[[#Headers],[Adicional Motorista II (Gratificação)]])-2,0)*($G202-$H202)</f>
        <v>0</v>
      </c>
      <c r="N202" s="21">
        <f>VLOOKUP($A202,tabCustoUnit[],COLUMN(CUSTO_GLOBAL[[#Headers],[Adicional de Sobreaviso]])-2,0)*($G202-$H202)</f>
        <v>0</v>
      </c>
      <c r="O202" s="21">
        <f>VLOOKUP($A202,tabCustoUnit[],COLUMN(CUSTO_GLOBAL[[#Headers],[Horas Extras TI]])-2,0)*($G202-$H202)</f>
        <v>0</v>
      </c>
      <c r="P202" s="21">
        <f>VLOOKUP($A202,tabCustoUnit[],COLUMN(CUSTO_GLOBAL[[#Headers],[Adicional de Acúmulo de função]])-2,0)*($G202-$H202)</f>
        <v>19.590499999999999</v>
      </c>
      <c r="Q202" s="21">
        <f>VLOOKUP($A202,tabCustoUnit[],COLUMN(CUSTO_GLOBAL[[#Headers],[MODULO 1 - REMUNERAÇÃO ]])-2,0)*($G202-$H202)</f>
        <v>563.77049999999997</v>
      </c>
      <c r="R202" s="21">
        <f>VLOOKUP($A202,tabCustoUnit[],COLUMN(CUSTO_GLOBAL[[#Headers],[INSS]])-2,0)*($G202-$H202)</f>
        <v>112.75409999999999</v>
      </c>
      <c r="S202" s="21">
        <f>VLOOKUP($A202,tabCustoUnit[],COLUMN(CUSTO_GLOBAL[[#Headers],[SESI OU SESC]])-2,0)*($G202-$H202)</f>
        <v>8.4565574999999988</v>
      </c>
      <c r="T202" s="21">
        <f>VLOOKUP($A202,tabCustoUnit[],COLUMN(CUSTO_GLOBAL[[#Headers],[SENAI OU SENAC]])-2,0)*($G202-$H202)</f>
        <v>5.6377049999999995</v>
      </c>
      <c r="U202" s="21">
        <f>VLOOKUP($A202,tabCustoUnit[],COLUMN(CUSTO_GLOBAL[[#Headers],[INCRA]])-2,0)*($G202-$H202)</f>
        <v>1.1275409999999999</v>
      </c>
      <c r="V202" s="21">
        <f>VLOOKUP($A202,tabCustoUnit[],COLUMN(CUSTO_GLOBAL[[#Headers],[Salário Educação]])-2,0)*($G202-$H202)</f>
        <v>14.094262499999999</v>
      </c>
      <c r="W202" s="21">
        <f>VLOOKUP($A202,tabCustoUnit[],COLUMN(CUSTO_GLOBAL[[#Headers],[FGTS]])-2,0)*($G202-$H202)</f>
        <v>45.101639999999996</v>
      </c>
      <c r="X202" s="21">
        <f>VLOOKUP($A202,tabCustoUnit[],COLUMN(CUSTO_GLOBAL[[#Headers],[RAT Ajustado]])-2,0)*($G202-$H202)</f>
        <v>22.550819999999998</v>
      </c>
      <c r="Y202" s="21">
        <f>VLOOKUP($A202,tabCustoUnit[],COLUMN(CUSTO_GLOBAL[[#Headers],[SEBRAE]])-2,0)*($G202-$H202)</f>
        <v>3.3826229999999997</v>
      </c>
      <c r="Z202" s="21">
        <f>VLOOKUP($A202,tabCustoUnit[],COLUMN(CUSTO_GLOBAL[[#Headers],[Submódulo 2.1]])-2,0)*($G202-$H202)</f>
        <v>213.10524899999996</v>
      </c>
      <c r="AA202" s="21">
        <f>VLOOKUP($A202,tabCustoUnit[],COLUMN(CUSTO_GLOBAL[[#Headers],[13º salário (titular)]])-2,0)*($G202-$H202)</f>
        <v>46.980874999999997</v>
      </c>
      <c r="AB202" s="21">
        <f>VLOOKUP($A202,tabCustoUnit[],COLUMN(CUSTO_GLOBAL[[#Headers],[Férias e Adicional de Férias (titular)]])-2,0)*($G202-$H202)</f>
        <v>62.641166666666663</v>
      </c>
      <c r="AC202" s="21">
        <f>VLOOKUP($A202,tabCustoUnit[],COLUMN(CUSTO_GLOBAL[[#Headers],[Incidência do Submódulo 2.1 sobre 13º Salário, Férias e Adicional de Férias]])-2,0)*($G202-$H202)</f>
        <v>41.437131749999992</v>
      </c>
      <c r="AD202" s="21">
        <f>VLOOKUP($A202,tabCustoUnit[],COLUMN(CUSTO_GLOBAL[[#Headers],[Submódulo 2.2]])-2,0)*($G202-$H202)</f>
        <v>151.05917341666665</v>
      </c>
      <c r="AE202" s="22">
        <f>VLOOKUP($A202,tabCustoUnit[],COLUMN(CUSTO_GLOBAL[[#Headers],[Vale - Transporte (Descontada parcela do empregado)]])-2,0)*($G202-$H202)</f>
        <v>223.3492</v>
      </c>
      <c r="AF202" s="22">
        <f>VLOOKUP($A202,tabCustoUnit[],COLUMN(CUSTO_GLOBAL[[#Headers],[Vale - Alimentação (Descontada parcela do empregado)]])-2,0)*($G202-$H202)</f>
        <v>582</v>
      </c>
      <c r="AG202" s="22">
        <f>VLOOKUP($A202,tabCustoUnit[],COLUMN(CUSTO_GLOBAL[[#Headers],[Cesta Básica]])-2,0)*($G202-$H202)</f>
        <v>0</v>
      </c>
      <c r="AH202" s="22">
        <f>VLOOKUP($A202,tabCustoUnit[],COLUMN(CUSTO_GLOBAL[[#Headers],[PAF]])-2,0)*($G202-$H202)</f>
        <v>51.86</v>
      </c>
      <c r="AI202" s="22">
        <f>VLOOKUP($A202,tabCustoUnit[],COLUMN(CUSTO_GLOBAL[[#Headers],[PQM]])-2,0)*($G202-$H202)</f>
        <v>0</v>
      </c>
      <c r="AJ202" s="22">
        <v>0</v>
      </c>
      <c r="AK202" s="22">
        <f>VLOOKUP($A202,tabCustoUnit[],COLUMN(CUSTO_GLOBAL[[#Headers],[Seguro de Vida]])-2,0)*($G202-$H202)</f>
        <v>3.36</v>
      </c>
      <c r="AL202" s="22">
        <f>VLOOKUP($A202,tabCustoUnit[],COLUMN(CUSTO_GLOBAL[[#Headers],[Despesas de Viagem]])-2,0)*($G202-$H202)</f>
        <v>0</v>
      </c>
      <c r="AM202" s="22">
        <f>VLOOKUP($A202,tabCustoUnit[],COLUMN(CUSTO_GLOBAL[[#Headers],[Submódulo 2.3]])-2,0)*($G202-$H202)</f>
        <v>860.56920000000002</v>
      </c>
      <c r="AN202" s="22">
        <f>VLOOKUP($A202,tabCustoUnit[],COLUMN(CUSTO_GLOBAL[[#Headers],[MÓDULO 2 - Total Encargos e Benefícios mensais e diários]])-2,0)*($G202-$H202)</f>
        <v>1224.7336224166665</v>
      </c>
      <c r="AO202" s="22">
        <f>VLOOKUP($A202,tabCustoUnit[],COLUMN(CUSTO_GLOBAL[[#Headers],[Aviso Prévio Indenizado (API) e Reflexo do Aviso Prévio Indenizado]])-2,0)*($G202-$H202)</f>
        <v>3.9530273735532404</v>
      </c>
      <c r="AP202" s="22">
        <f>VLOOKUP($A202,tabCustoUnit[],COLUMN(CUSTO_GLOBAL[[#Headers],[Incidência do FGTS sobre API e Reflexo do API]])-2,0)*($G202-$H202)</f>
        <v>0.31624218988425928</v>
      </c>
      <c r="AQ202" s="22">
        <f>VLOOKUP($A202,tabCustoUnit[],COLUMN(CUSTO_GLOBAL[[#Headers],[Multa Rescisória do FGTS sobre o Aviso Prévio Indenizado]])-2,0)*($G202-$H202)</f>
        <v>0.12649687595370371</v>
      </c>
      <c r="AR202" s="22">
        <f>VLOOKUP($A202,tabCustoUnit[],COLUMN(CUSTO_GLOBAL[[#Headers],[Aviso Prévio Trabalhado - APT]])-2,0)*($G202-$H202)</f>
        <v>1.9731967500000003</v>
      </c>
      <c r="AS202" s="22">
        <f>VLOOKUP($A202,tabCustoUnit[],COLUMN(CUSTO_GLOBAL[[#Headers],[Incidência dos encargos do submódulo 2.1 sobre Aviso Prévio Trabalhado]])-2,0)*($G202-$H202)</f>
        <v>0.74586837150000018</v>
      </c>
      <c r="AT202" s="22">
        <f>VLOOKUP($A202,tabCustoUnit[],COLUMN(CUSTO_GLOBAL[[#Headers],[Multa Rescisória do FGTS]])-2,0)*($G202-$H202)</f>
        <v>17.238849066666663</v>
      </c>
      <c r="AU202" s="22">
        <f>VLOOKUP($A202,tabCustoUnit[],COLUMN(CUSTO_GLOBAL[[#Headers],[Indenização Adicional (Art. 9º da Lei nº 7.238/84)]])-2,0)*($G202-$H202)</f>
        <v>0.46980875</v>
      </c>
      <c r="AV202" s="22">
        <f>VLOOKUP($A202,tabCustoUnit[],COLUMN(CUSTO_GLOBAL[[#Headers],[MÓDULO 3 – PROVISÃO PARA RESCISÃO]])-2,0)*($G202-$H202)</f>
        <v>24.823489377557866</v>
      </c>
      <c r="AW202" s="22">
        <f>VLOOKUP($A202,tabCustoUnit[],COLUMN(CUSTO_GLOBAL[[#Headers],[Ausência por Doença]])-2,0)*($G202-$H202)</f>
        <v>4.7607286666666662</v>
      </c>
      <c r="AX202" s="22">
        <f>VLOOKUP($A202,tabCustoUnit[],COLUMN(CUSTO_GLOBAL[[#Headers],[Ausências Legais]])-2,0)*($G202-$H202)</f>
        <v>1.1432012916666665</v>
      </c>
      <c r="AY202" s="22">
        <f>VLOOKUP($A202,tabCustoUnit[],COLUMN(CUSTO_GLOBAL[[#Headers],[Licença Paternidade]])-2,0)*($G202-$H202)</f>
        <v>9.6310793749999998E-2</v>
      </c>
      <c r="AZ202" s="22">
        <f>VLOOKUP($A202,tabCustoUnit[],COLUMN(CUSTO_GLOBAL[[#Headers],[Ausência por Acidente de Trabalho]])-2,0)*($G202-$H202)</f>
        <v>0.1174521875</v>
      </c>
      <c r="BA202" s="22">
        <f>VLOOKUP($A202,tabCustoUnit[],COLUMN(CUSTO_GLOBAL[[#Headers],[Férias, Adicional de Férias e 13º  com empregada em gozo de Licença Maternidade]])-2,0)*($G202-$H202)</f>
        <v>0.73081361111111109</v>
      </c>
      <c r="BB202" s="22">
        <f>VLOOKUP($A202,tabCustoUnit[],COLUMN(CUSTO_GLOBAL[[#Headers],[Incidência do Submódulo 2.1 sobre Ausências Legais]])-2,0)*($G202-$H202)</f>
        <v>2.5887354761625003</v>
      </c>
      <c r="BC202" s="22">
        <f>VLOOKUP($A202,tabCustoUnit[],COLUMN(CUSTO_GLOBAL[[#Headers],[Submódulo 4.1]])-2,0)*($G202-$H202)</f>
        <v>9.4372420268569428</v>
      </c>
      <c r="BD202" s="22">
        <f>VLOOKUP($A202,tabCustoUnit[],COLUMN(CUSTO_GLOBAL[[#Headers],[Intervalo para Repouso ou Alimentação]])-2,0)*($G202-$H202)</f>
        <v>0</v>
      </c>
      <c r="BE202" s="22">
        <f>VLOOKUP($A202,tabCustoUnit[],COLUMN(CUSTO_GLOBAL[[#Headers],[Submódulo 4.2]])-2,0)*($G202-$H202)</f>
        <v>0</v>
      </c>
      <c r="BF202" s="22">
        <f>VLOOKUP($A202,tabCustoUnit[],COLUMN(CUSTO_GLOBAL[[#Headers],[Suspensão Temporária do Contrato de Trabalho]])-2,0)*($G202-$H202)</f>
        <v>0</v>
      </c>
      <c r="BG202" s="22">
        <f>VLOOKUP($A202,tabCustoUnit[],COLUMN(CUSTO_GLOBAL[[#Headers],[Submódulo 4.3]])-2,0)*($G202-$H202)</f>
        <v>0</v>
      </c>
      <c r="BH202" s="22">
        <f>VLOOKUP($A202,tabCustoUnit[],COLUMN(CUSTO_GLOBAL[[#Headers],[MÓDULO 4 – CUSTO DE REPOSIÇÃO DO PROFISSIONAL AUSENTE]])-2,0)*($G202-$H202)</f>
        <v>9.4372420268569428</v>
      </c>
      <c r="BI202" s="22">
        <f>VLOOKUP($A202,tabCustoUnit[],COLUMN(CUSTO_GLOBAL[[#Headers],[Uniformes e EPIs]])-2,0)*($G202-$H202)</f>
        <v>62.806666666666665</v>
      </c>
      <c r="BJ202" s="22">
        <f>VLOOKUP($A202,tabCustoUnit[],COLUMN(CUSTO_GLOBAL[[#Headers],[Materiais de Consumo]])-2,0)*($G202-$H202)</f>
        <v>12.108481690426325</v>
      </c>
      <c r="BK202" s="22">
        <f>VLOOKUP($A202,tabCustoUnit[],COLUMN(CUSTO_GLOBAL[[#Headers],[Máquinas e Equipamentos (depreciação)]])-2,0)*($G202-$H202)</f>
        <v>21.998657016417809</v>
      </c>
      <c r="BL202" s="22">
        <f>VLOOKUP($A202,tabCustoUnit[],COLUMN(CUSTO_GLOBAL[[#Headers],[Produtos de Limpeza e Materiais de Higiene Pessoal]])-2,0)*($G202-$H202)</f>
        <v>235.31984072022155</v>
      </c>
      <c r="BM202" s="22">
        <f>VLOOKUP($A202,tabCustoUnit[],COLUMN(CUSTO_GLOBAL[[#Headers],[Outros (especificar)]])-2,0)*($G202-$H202)</f>
        <v>0</v>
      </c>
      <c r="BN202" s="22">
        <f>VLOOKUP($A202,tabCustoUnit[],COLUMN(CUSTO_GLOBAL[[#Headers],[MÓDULO 5 – INSUMOS DIVERSOS]])-2,0)*($G202-$H202)</f>
        <v>332.23364609373232</v>
      </c>
      <c r="BO202" s="22">
        <f>VLOOKUP($A202,tabCustoUnit[],COLUMN(CUSTO_GLOBAL[[#Headers],[TOTAL MÓDULOS 1+2+3+4+5]])-2,0)*($G202-$H202)</f>
        <v>2154.9984999148137</v>
      </c>
      <c r="BP202" s="22">
        <f>VLOOKUP($A202,tabCustoUnit[],COLUMN(CUSTO_GLOBAL[[#Headers],[Custos Indiretos]])-2,0)*($G202-$H202)</f>
        <v>189.64880140242613</v>
      </c>
      <c r="BQ202" s="22">
        <f>VLOOKUP($A202,tabCustoUnit[],COLUMN(CUSTO_GLOBAL[[#Headers],[Lucro]])-2,0)*($G202-$H202)</f>
        <v>159.30499317803796</v>
      </c>
      <c r="BR202" s="26">
        <f>VLOOKUP($A202,tabCustoUnit[],COLUMN(CUSTO_GLOBAL[[#Headers],[COFINS]])-2,0)</f>
        <v>8.6609686609686695E-2</v>
      </c>
      <c r="BS202" s="26">
        <f>VLOOKUP($A202,tabCustoUnit[],COLUMN(CUSTO_GLOBAL[[#Headers],[PIS]])-2,0)</f>
        <v>1.880341880341882E-2</v>
      </c>
      <c r="BT202" s="28">
        <f>VLOOKUP($A202,tabCustoUnit[],COLUMN(CUSTO_GLOBAL[[#Headers],[ISS]])-2,0)</f>
        <v>0.03</v>
      </c>
      <c r="BU202" s="26">
        <f>VLOOKUP($A202,tabCustoUnit[],COLUMN(CUSTO_GLOBAL[[#Headers],[ISS (Conversão Alíquota s/ fatura)]])-2,0)</f>
        <v>3.4188034188034219E-2</v>
      </c>
      <c r="BV202" s="26">
        <f>VLOOKUP($A202,tabCustoUnit[],COLUMN(CUSTO_GLOBAL[[#Headers],[Resumo de Alíquotas (PIS+CONFINS+ISS)]])-2,0)</f>
        <v>0.1225</v>
      </c>
      <c r="BW202" s="138">
        <f>VLOOKUP($A202,tabCustoUnit[],COLUMN(CUSTO_GLOBAL[[#Headers],[PIS + COFINS + ISS (Total Conversão  Alíquota s/ Fatura)]])-2,0)</f>
        <v>0.13960113960113973</v>
      </c>
      <c r="BX202" s="22">
        <f>VLOOKUP($A202,tabCustoUnit[],COLUMN(CUSTO_GLOBAL[[#Headers],[Valor dos Tributos (ISS, PIS, CONFINS)]])-2,0)*($G202-$H202)</f>
        <v>349.55459381842945</v>
      </c>
      <c r="BY202" s="22">
        <f>VLOOKUP($A202,tabCustoUnit[],COLUMN(CUSTO_GLOBAL[[#Headers],[MÓDULO 6 – CUSTOS INDIRETOS, TRIBUTOS E LUCRO]])-2,0)*($G202-$H202)</f>
        <v>698.50838839889354</v>
      </c>
      <c r="BZ202" s="22">
        <f>VLOOKUP($A202,tabCustoUnit[],COLUMN(CUSTO_GLOBAL[[#Headers],[CUSTO TOTAL MENSAL]])-2,0)*($G202-$H202)</f>
        <v>2853.5068883137073</v>
      </c>
      <c r="CA202" s="22">
        <f>CUSTO_GLOBAL[[#This Row],[CUSTO TOTAL MENSAL]]*12</f>
        <v>34242.082659764492</v>
      </c>
      <c r="CB202" s="24">
        <f>VLOOKUP($A202,tabCustoUnit[],COLUMN(CUSTO_GLOBAL[[#Headers],[ANO DA CCT]])-2,0)</f>
        <v>45658</v>
      </c>
      <c r="CC202" s="25" t="str">
        <f>VLOOKUP($A202,tabCustoUnit[],COLUMN(CUSTO_GLOBAL[[#Headers],[Nº DE PEDIDO DA CCT]])-2,0)</f>
        <v>-</v>
      </c>
      <c r="CD202" s="25" t="str">
        <f>VLOOKUP($A202,tabCustoUnit[],COLUMN(CUSTO_GLOBAL[[#Headers],[TERMO ADITIVO  ALTERAÇÃO DA CCT]])-2,0)</f>
        <v>-</v>
      </c>
      <c r="CF202" s="22"/>
      <c r="CG202" s="22"/>
    </row>
    <row r="203" spans="1:85" x14ac:dyDescent="0.25">
      <c r="A203" s="20" t="s">
        <v>1538</v>
      </c>
      <c r="B203" t="s">
        <v>184</v>
      </c>
      <c r="C203" t="s">
        <v>1247</v>
      </c>
      <c r="D203" t="s">
        <v>1000</v>
      </c>
      <c r="E203" s="20" t="s">
        <v>9</v>
      </c>
      <c r="F203" s="20" t="s">
        <v>10</v>
      </c>
      <c r="G203" s="20">
        <v>1</v>
      </c>
      <c r="H203" s="20">
        <v>0</v>
      </c>
      <c r="I203" s="21">
        <f>VLOOKUP($A203,tabCustoUnit[],COLUMN(CUSTO_GLOBAL[[#Headers],[Salário Base]])-2,0)*($G203-$H203)</f>
        <v>544.17999999999995</v>
      </c>
      <c r="J203" s="21">
        <f>VLOOKUP($A203,tabCustoUnit[],COLUMN(CUSTO_GLOBAL[[#Headers],[Adicional Periculosidade]])-2,0)*($G203-$H203)</f>
        <v>0</v>
      </c>
      <c r="K203" s="21">
        <f>VLOOKUP($A203,tabCustoUnit[],COLUMN(CUSTO_GLOBAL[[#Headers],[Adicional Insalubridade]])-2,0)*($G203-$H203)</f>
        <v>0</v>
      </c>
      <c r="L203" s="21">
        <f>VLOOKUP($A203,tabCustoUnit[],COLUMN(CUSTO_GLOBAL[[#Headers],[Adicional Noturno]])-2,0)*($G203-$H203)</f>
        <v>0</v>
      </c>
      <c r="M203" s="21">
        <f>VLOOKUP($A203,tabCustoUnit[],COLUMN(CUSTO_GLOBAL[[#Headers],[Adicional Motorista II (Gratificação)]])-2,0)*($G203-$H203)</f>
        <v>0</v>
      </c>
      <c r="N203" s="21">
        <f>VLOOKUP($A203,tabCustoUnit[],COLUMN(CUSTO_GLOBAL[[#Headers],[Adicional de Sobreaviso]])-2,0)*($G203-$H203)</f>
        <v>0</v>
      </c>
      <c r="O203" s="21">
        <f>VLOOKUP($A203,tabCustoUnit[],COLUMN(CUSTO_GLOBAL[[#Headers],[Horas Extras TI]])-2,0)*($G203-$H203)</f>
        <v>0</v>
      </c>
      <c r="P203" s="21">
        <f>VLOOKUP($A203,tabCustoUnit[],COLUMN(CUSTO_GLOBAL[[#Headers],[Adicional de Acúmulo de função]])-2,0)*($G203-$H203)</f>
        <v>19.590499999999999</v>
      </c>
      <c r="Q203" s="21">
        <f>VLOOKUP($A203,tabCustoUnit[],COLUMN(CUSTO_GLOBAL[[#Headers],[MODULO 1 - REMUNERAÇÃO ]])-2,0)*($G203-$H203)</f>
        <v>563.77049999999997</v>
      </c>
      <c r="R203" s="21">
        <f>VLOOKUP($A203,tabCustoUnit[],COLUMN(CUSTO_GLOBAL[[#Headers],[INSS]])-2,0)*($G203-$H203)</f>
        <v>112.75409999999999</v>
      </c>
      <c r="S203" s="21">
        <f>VLOOKUP($A203,tabCustoUnit[],COLUMN(CUSTO_GLOBAL[[#Headers],[SESI OU SESC]])-2,0)*($G203-$H203)</f>
        <v>8.4565574999999988</v>
      </c>
      <c r="T203" s="21">
        <f>VLOOKUP($A203,tabCustoUnit[],COLUMN(CUSTO_GLOBAL[[#Headers],[SENAI OU SENAC]])-2,0)*($G203-$H203)</f>
        <v>5.6377049999999995</v>
      </c>
      <c r="U203" s="21">
        <f>VLOOKUP($A203,tabCustoUnit[],COLUMN(CUSTO_GLOBAL[[#Headers],[INCRA]])-2,0)*($G203-$H203)</f>
        <v>1.1275409999999999</v>
      </c>
      <c r="V203" s="21">
        <f>VLOOKUP($A203,tabCustoUnit[],COLUMN(CUSTO_GLOBAL[[#Headers],[Salário Educação]])-2,0)*($G203-$H203)</f>
        <v>14.094262499999999</v>
      </c>
      <c r="W203" s="21">
        <f>VLOOKUP($A203,tabCustoUnit[],COLUMN(CUSTO_GLOBAL[[#Headers],[FGTS]])-2,0)*($G203-$H203)</f>
        <v>45.101639999999996</v>
      </c>
      <c r="X203" s="21">
        <f>VLOOKUP($A203,tabCustoUnit[],COLUMN(CUSTO_GLOBAL[[#Headers],[RAT Ajustado]])-2,0)*($G203-$H203)</f>
        <v>22.550819999999998</v>
      </c>
      <c r="Y203" s="21">
        <f>VLOOKUP($A203,tabCustoUnit[],COLUMN(CUSTO_GLOBAL[[#Headers],[SEBRAE]])-2,0)*($G203-$H203)</f>
        <v>3.3826229999999997</v>
      </c>
      <c r="Z203" s="21">
        <f>VLOOKUP($A203,tabCustoUnit[],COLUMN(CUSTO_GLOBAL[[#Headers],[Submódulo 2.1]])-2,0)*($G203-$H203)</f>
        <v>213.10524899999996</v>
      </c>
      <c r="AA203" s="21">
        <f>VLOOKUP($A203,tabCustoUnit[],COLUMN(CUSTO_GLOBAL[[#Headers],[13º salário (titular)]])-2,0)*($G203-$H203)</f>
        <v>46.980874999999997</v>
      </c>
      <c r="AB203" s="21">
        <f>VLOOKUP($A203,tabCustoUnit[],COLUMN(CUSTO_GLOBAL[[#Headers],[Férias e Adicional de Férias (titular)]])-2,0)*($G203-$H203)</f>
        <v>62.641166666666663</v>
      </c>
      <c r="AC203" s="21">
        <f>VLOOKUP($A203,tabCustoUnit[],COLUMN(CUSTO_GLOBAL[[#Headers],[Incidência do Submódulo 2.1 sobre 13º Salário, Férias e Adicional de Férias]])-2,0)*($G203-$H203)</f>
        <v>41.437131749999992</v>
      </c>
      <c r="AD203" s="21">
        <f>VLOOKUP($A203,tabCustoUnit[],COLUMN(CUSTO_GLOBAL[[#Headers],[Submódulo 2.2]])-2,0)*($G203-$H203)</f>
        <v>151.05917341666665</v>
      </c>
      <c r="AE203" s="22">
        <f>VLOOKUP($A203,tabCustoUnit[],COLUMN(CUSTO_GLOBAL[[#Headers],[Vale - Transporte (Descontada parcela do empregado)]])-2,0)*($G203-$H203)</f>
        <v>223.3492</v>
      </c>
      <c r="AF203" s="22">
        <f>VLOOKUP($A203,tabCustoUnit[],COLUMN(CUSTO_GLOBAL[[#Headers],[Vale - Alimentação (Descontada parcela do empregado)]])-2,0)*($G203-$H203)</f>
        <v>582</v>
      </c>
      <c r="AG203" s="22">
        <f>VLOOKUP($A203,tabCustoUnit[],COLUMN(CUSTO_GLOBAL[[#Headers],[Cesta Básica]])-2,0)*($G203-$H203)</f>
        <v>0</v>
      </c>
      <c r="AH203" s="22">
        <f>VLOOKUP($A203,tabCustoUnit[],COLUMN(CUSTO_GLOBAL[[#Headers],[PAF]])-2,0)*($G203-$H203)</f>
        <v>0</v>
      </c>
      <c r="AI203" s="22">
        <f>VLOOKUP($A203,tabCustoUnit[],COLUMN(CUSTO_GLOBAL[[#Headers],[PQM]])-2,0)*($G203-$H203)</f>
        <v>15.07</v>
      </c>
      <c r="AJ203" s="22">
        <v>0</v>
      </c>
      <c r="AK203" s="22">
        <f>VLOOKUP($A203,tabCustoUnit[],COLUMN(CUSTO_GLOBAL[[#Headers],[Seguro de Vida]])-2,0)*($G203-$H203)</f>
        <v>3.36</v>
      </c>
      <c r="AL203" s="22">
        <f>VLOOKUP($A203,tabCustoUnit[],COLUMN(CUSTO_GLOBAL[[#Headers],[Despesas de Viagem]])-2,0)*($G203-$H203)</f>
        <v>0</v>
      </c>
      <c r="AM203" s="22">
        <f>VLOOKUP($A203,tabCustoUnit[],COLUMN(CUSTO_GLOBAL[[#Headers],[Submódulo 2.3]])-2,0)*($G203-$H203)</f>
        <v>823.77920000000006</v>
      </c>
      <c r="AN203" s="22">
        <f>VLOOKUP($A203,tabCustoUnit[],COLUMN(CUSTO_GLOBAL[[#Headers],[MÓDULO 2 - Total Encargos e Benefícios mensais e diários]])-2,0)*($G203-$H203)</f>
        <v>1187.9436224166666</v>
      </c>
      <c r="AO203" s="22">
        <f>VLOOKUP($A203,tabCustoUnit[],COLUMN(CUSTO_GLOBAL[[#Headers],[Aviso Prévio Indenizado (API) e Reflexo do Aviso Prévio Indenizado]])-2,0)*($G203-$H203)</f>
        <v>3.9530273735532404</v>
      </c>
      <c r="AP203" s="22">
        <f>VLOOKUP($A203,tabCustoUnit[],COLUMN(CUSTO_GLOBAL[[#Headers],[Incidência do FGTS sobre API e Reflexo do API]])-2,0)*($G203-$H203)</f>
        <v>0.31624218988425928</v>
      </c>
      <c r="AQ203" s="22">
        <f>VLOOKUP($A203,tabCustoUnit[],COLUMN(CUSTO_GLOBAL[[#Headers],[Multa Rescisória do FGTS sobre o Aviso Prévio Indenizado]])-2,0)*($G203-$H203)</f>
        <v>0.12649687595370371</v>
      </c>
      <c r="AR203" s="22">
        <f>VLOOKUP($A203,tabCustoUnit[],COLUMN(CUSTO_GLOBAL[[#Headers],[Aviso Prévio Trabalhado - APT]])-2,0)*($G203-$H203)</f>
        <v>1.9731967500000003</v>
      </c>
      <c r="AS203" s="22">
        <f>VLOOKUP($A203,tabCustoUnit[],COLUMN(CUSTO_GLOBAL[[#Headers],[Incidência dos encargos do submódulo 2.1 sobre Aviso Prévio Trabalhado]])-2,0)*($G203-$H203)</f>
        <v>0.74586837150000018</v>
      </c>
      <c r="AT203" s="22">
        <f>VLOOKUP($A203,tabCustoUnit[],COLUMN(CUSTO_GLOBAL[[#Headers],[Multa Rescisória do FGTS]])-2,0)*($G203-$H203)</f>
        <v>17.238849066666663</v>
      </c>
      <c r="AU203" s="22">
        <f>VLOOKUP($A203,tabCustoUnit[],COLUMN(CUSTO_GLOBAL[[#Headers],[Indenização Adicional (Art. 9º da Lei nº 7.238/84)]])-2,0)*($G203-$H203)</f>
        <v>0.46980875</v>
      </c>
      <c r="AV203" s="22">
        <f>VLOOKUP($A203,tabCustoUnit[],COLUMN(CUSTO_GLOBAL[[#Headers],[MÓDULO 3 – PROVISÃO PARA RESCISÃO]])-2,0)*($G203-$H203)</f>
        <v>24.823489377557866</v>
      </c>
      <c r="AW203" s="22">
        <f>VLOOKUP($A203,tabCustoUnit[],COLUMN(CUSTO_GLOBAL[[#Headers],[Ausência por Doença]])-2,0)*($G203-$H203)</f>
        <v>4.7607286666666662</v>
      </c>
      <c r="AX203" s="22">
        <f>VLOOKUP($A203,tabCustoUnit[],COLUMN(CUSTO_GLOBAL[[#Headers],[Ausências Legais]])-2,0)*($G203-$H203)</f>
        <v>1.1432012916666665</v>
      </c>
      <c r="AY203" s="22">
        <f>VLOOKUP($A203,tabCustoUnit[],COLUMN(CUSTO_GLOBAL[[#Headers],[Licença Paternidade]])-2,0)*($G203-$H203)</f>
        <v>9.6310793749999998E-2</v>
      </c>
      <c r="AZ203" s="22">
        <f>VLOOKUP($A203,tabCustoUnit[],COLUMN(CUSTO_GLOBAL[[#Headers],[Ausência por Acidente de Trabalho]])-2,0)*($G203-$H203)</f>
        <v>0.1174521875</v>
      </c>
      <c r="BA203" s="22">
        <f>VLOOKUP($A203,tabCustoUnit[],COLUMN(CUSTO_GLOBAL[[#Headers],[Férias, Adicional de Férias e 13º  com empregada em gozo de Licença Maternidade]])-2,0)*($G203-$H203)</f>
        <v>0.73081361111111109</v>
      </c>
      <c r="BB203" s="22">
        <f>VLOOKUP($A203,tabCustoUnit[],COLUMN(CUSTO_GLOBAL[[#Headers],[Incidência do Submódulo 2.1 sobre Ausências Legais]])-2,0)*($G203-$H203)</f>
        <v>2.5887354761625003</v>
      </c>
      <c r="BC203" s="22">
        <f>VLOOKUP($A203,tabCustoUnit[],COLUMN(CUSTO_GLOBAL[[#Headers],[Submódulo 4.1]])-2,0)*($G203-$H203)</f>
        <v>9.4372420268569428</v>
      </c>
      <c r="BD203" s="22">
        <f>VLOOKUP($A203,tabCustoUnit[],COLUMN(CUSTO_GLOBAL[[#Headers],[Intervalo para Repouso ou Alimentação]])-2,0)*($G203-$H203)</f>
        <v>0</v>
      </c>
      <c r="BE203" s="22">
        <f>VLOOKUP($A203,tabCustoUnit[],COLUMN(CUSTO_GLOBAL[[#Headers],[Submódulo 4.2]])-2,0)*($G203-$H203)</f>
        <v>0</v>
      </c>
      <c r="BF203" s="22">
        <f>VLOOKUP($A203,tabCustoUnit[],COLUMN(CUSTO_GLOBAL[[#Headers],[Suspensão Temporária do Contrato de Trabalho]])-2,0)*($G203-$H203)</f>
        <v>0</v>
      </c>
      <c r="BG203" s="22">
        <f>VLOOKUP($A203,tabCustoUnit[],COLUMN(CUSTO_GLOBAL[[#Headers],[Submódulo 4.3]])-2,0)*($G203-$H203)</f>
        <v>0</v>
      </c>
      <c r="BH203" s="22">
        <f>VLOOKUP($A203,tabCustoUnit[],COLUMN(CUSTO_GLOBAL[[#Headers],[MÓDULO 4 – CUSTO DE REPOSIÇÃO DO PROFISSIONAL AUSENTE]])-2,0)*($G203-$H203)</f>
        <v>9.4372420268569428</v>
      </c>
      <c r="BI203" s="22">
        <f>VLOOKUP($A203,tabCustoUnit[],COLUMN(CUSTO_GLOBAL[[#Headers],[Uniformes e EPIs]])-2,0)*($G203-$H203)</f>
        <v>62.806666666666665</v>
      </c>
      <c r="BJ203" s="22">
        <f>VLOOKUP($A203,tabCustoUnit[],COLUMN(CUSTO_GLOBAL[[#Headers],[Materiais de Consumo]])-2,0)*($G203-$H203)</f>
        <v>12.108481690426325</v>
      </c>
      <c r="BK203" s="22">
        <f>VLOOKUP($A203,tabCustoUnit[],COLUMN(CUSTO_GLOBAL[[#Headers],[Máquinas e Equipamentos (depreciação)]])-2,0)*($G203-$H203)</f>
        <v>21.998657016417809</v>
      </c>
      <c r="BL203" s="22">
        <f>VLOOKUP($A203,tabCustoUnit[],COLUMN(CUSTO_GLOBAL[[#Headers],[Produtos de Limpeza e Materiais de Higiene Pessoal]])-2,0)*($G203-$H203)</f>
        <v>235.31984072022155</v>
      </c>
      <c r="BM203" s="22">
        <f>VLOOKUP($A203,tabCustoUnit[],COLUMN(CUSTO_GLOBAL[[#Headers],[Outros (especificar)]])-2,0)*($G203-$H203)</f>
        <v>0</v>
      </c>
      <c r="BN203" s="22">
        <f>VLOOKUP($A203,tabCustoUnit[],COLUMN(CUSTO_GLOBAL[[#Headers],[MÓDULO 5 – INSUMOS DIVERSOS]])-2,0)*($G203-$H203)</f>
        <v>332.23364609373232</v>
      </c>
      <c r="BO203" s="22">
        <f>VLOOKUP($A203,tabCustoUnit[],COLUMN(CUSTO_GLOBAL[[#Headers],[TOTAL MÓDULOS 1+2+3+4+5]])-2,0)*($G203-$H203)</f>
        <v>2118.2084999148137</v>
      </c>
      <c r="BP203" s="22">
        <f>VLOOKUP($A203,tabCustoUnit[],COLUMN(CUSTO_GLOBAL[[#Headers],[Custos Indiretos]])-2,0)*($G203-$H203)</f>
        <v>189.64880140242613</v>
      </c>
      <c r="BQ203" s="22">
        <f>VLOOKUP($A203,tabCustoUnit[],COLUMN(CUSTO_GLOBAL[[#Headers],[Lucro]])-2,0)*($G203-$H203)</f>
        <v>159.30499317803796</v>
      </c>
      <c r="BR203" s="26">
        <f>VLOOKUP($A203,tabCustoUnit[],COLUMN(CUSTO_GLOBAL[[#Headers],[COFINS]])-2,0)</f>
        <v>8.8629737609329504E-2</v>
      </c>
      <c r="BS203" s="26">
        <f>VLOOKUP($A203,tabCustoUnit[],COLUMN(CUSTO_GLOBAL[[#Headers],[PIS]])-2,0)</f>
        <v>1.9241982507288629E-2</v>
      </c>
      <c r="BT203" s="28">
        <f>VLOOKUP($A203,tabCustoUnit[],COLUMN(CUSTO_GLOBAL[[#Headers],[ISS]])-2,0)</f>
        <v>0.05</v>
      </c>
      <c r="BU203" s="26">
        <f>VLOOKUP($A203,tabCustoUnit[],COLUMN(CUSTO_GLOBAL[[#Headers],[ISS (Conversão Alíquota s/ fatura)]])-2,0)</f>
        <v>5.8309037900874633E-2</v>
      </c>
      <c r="BV203" s="26">
        <f>VLOOKUP($A203,tabCustoUnit[],COLUMN(CUSTO_GLOBAL[[#Headers],[Resumo de Alíquotas (PIS+CONFINS+ISS)]])-2,0)</f>
        <v>0.14250000000000002</v>
      </c>
      <c r="BW203" s="138">
        <f>VLOOKUP($A203,tabCustoUnit[],COLUMN(CUSTO_GLOBAL[[#Headers],[PIS + COFINS + ISS (Total Conversão  Alíquota s/ Fatura)]])-2,0)</f>
        <v>0.16618075801749277</v>
      </c>
      <c r="BX203" s="22">
        <f>VLOOKUP($A203,tabCustoUnit[],COLUMN(CUSTO_GLOBAL[[#Headers],[Valor dos Tributos (ISS, PIS, CONFINS)]])-2,0)*($G203-$H203)</f>
        <v>409.99490025140199</v>
      </c>
      <c r="BY203" s="22">
        <f>VLOOKUP($A203,tabCustoUnit[],COLUMN(CUSTO_GLOBAL[[#Headers],[MÓDULO 6 – CUSTOS INDIRETOS, TRIBUTOS E LUCRO]])-2,0)*($G203-$H203)</f>
        <v>758.94869483186608</v>
      </c>
      <c r="BZ203" s="22">
        <f>VLOOKUP($A203,tabCustoUnit[],COLUMN(CUSTO_GLOBAL[[#Headers],[CUSTO TOTAL MENSAL]])-2,0)*($G203-$H203)</f>
        <v>2877.15719474668</v>
      </c>
      <c r="CA203" s="22">
        <f>CUSTO_GLOBAL[[#This Row],[CUSTO TOTAL MENSAL]]*12</f>
        <v>34525.88633696016</v>
      </c>
      <c r="CB203" s="24">
        <f>VLOOKUP($A203,tabCustoUnit[],COLUMN(CUSTO_GLOBAL[[#Headers],[ANO DA CCT]])-2,0)</f>
        <v>45658</v>
      </c>
      <c r="CC203" s="25" t="str">
        <f>VLOOKUP($A203,tabCustoUnit[],COLUMN(CUSTO_GLOBAL[[#Headers],[Nº DE PEDIDO DA CCT]])-2,0)</f>
        <v>-</v>
      </c>
      <c r="CD203" s="25" t="str">
        <f>VLOOKUP($A203,tabCustoUnit[],COLUMN(CUSTO_GLOBAL[[#Headers],[TERMO ADITIVO  ALTERAÇÃO DA CCT]])-2,0)</f>
        <v>-</v>
      </c>
      <c r="CF203" s="22"/>
      <c r="CG203" s="22"/>
    </row>
    <row r="204" spans="1:85" x14ac:dyDescent="0.25">
      <c r="A204" s="20" t="s">
        <v>1539</v>
      </c>
      <c r="B204" t="s">
        <v>185</v>
      </c>
      <c r="C204" t="s">
        <v>1244</v>
      </c>
      <c r="D204" t="s">
        <v>1045</v>
      </c>
      <c r="E204" s="20" t="s">
        <v>9</v>
      </c>
      <c r="F204" s="20" t="s">
        <v>10</v>
      </c>
      <c r="G204" s="20">
        <v>1</v>
      </c>
      <c r="H204" s="20">
        <v>0</v>
      </c>
      <c r="I204" s="21">
        <f>VLOOKUP($A204,tabCustoUnit[],COLUMN(CUSTO_GLOBAL[[#Headers],[Salário Base]])-2,0)*($G204-$H204)</f>
        <v>824.56</v>
      </c>
      <c r="J204" s="21">
        <f>VLOOKUP($A204,tabCustoUnit[],COLUMN(CUSTO_GLOBAL[[#Headers],[Adicional Periculosidade]])-2,0)*($G204-$H204)</f>
        <v>0</v>
      </c>
      <c r="K204" s="21">
        <f>VLOOKUP($A204,tabCustoUnit[],COLUMN(CUSTO_GLOBAL[[#Headers],[Adicional Insalubridade]])-2,0)*($G204-$H204)</f>
        <v>0</v>
      </c>
      <c r="L204" s="21">
        <f>VLOOKUP($A204,tabCustoUnit[],COLUMN(CUSTO_GLOBAL[[#Headers],[Adicional Noturno]])-2,0)*($G204-$H204)</f>
        <v>0</v>
      </c>
      <c r="M204" s="21">
        <f>VLOOKUP($A204,tabCustoUnit[],COLUMN(CUSTO_GLOBAL[[#Headers],[Adicional Motorista II (Gratificação)]])-2,0)*($G204-$H204)</f>
        <v>0</v>
      </c>
      <c r="N204" s="21">
        <f>VLOOKUP($A204,tabCustoUnit[],COLUMN(CUSTO_GLOBAL[[#Headers],[Adicional de Sobreaviso]])-2,0)*($G204-$H204)</f>
        <v>0</v>
      </c>
      <c r="O204" s="21">
        <f>VLOOKUP($A204,tabCustoUnit[],COLUMN(CUSTO_GLOBAL[[#Headers],[Horas Extras TI]])-2,0)*($G204-$H204)</f>
        <v>0</v>
      </c>
      <c r="P204" s="21">
        <f>VLOOKUP($A204,tabCustoUnit[],COLUMN(CUSTO_GLOBAL[[#Headers],[Adicional de Acúmulo de função]])-2,0)*($G204-$H204)</f>
        <v>26.985600000000002</v>
      </c>
      <c r="Q204" s="21">
        <f>VLOOKUP($A204,tabCustoUnit[],COLUMN(CUSTO_GLOBAL[[#Headers],[MODULO 1 - REMUNERAÇÃO ]])-2,0)*($G204-$H204)</f>
        <v>851.54559999999992</v>
      </c>
      <c r="R204" s="21">
        <f>VLOOKUP($A204,tabCustoUnit[],COLUMN(CUSTO_GLOBAL[[#Headers],[INSS]])-2,0)*($G204-$H204)</f>
        <v>170.30912000000001</v>
      </c>
      <c r="S204" s="21">
        <f>VLOOKUP($A204,tabCustoUnit[],COLUMN(CUSTO_GLOBAL[[#Headers],[SESI OU SESC]])-2,0)*($G204-$H204)</f>
        <v>12.773183999999999</v>
      </c>
      <c r="T204" s="21">
        <f>VLOOKUP($A204,tabCustoUnit[],COLUMN(CUSTO_GLOBAL[[#Headers],[SENAI OU SENAC]])-2,0)*($G204-$H204)</f>
        <v>8.5154559999999986</v>
      </c>
      <c r="U204" s="21">
        <f>VLOOKUP($A204,tabCustoUnit[],COLUMN(CUSTO_GLOBAL[[#Headers],[INCRA]])-2,0)*($G204-$H204)</f>
        <v>1.7030911999999998</v>
      </c>
      <c r="V204" s="21">
        <f>VLOOKUP($A204,tabCustoUnit[],COLUMN(CUSTO_GLOBAL[[#Headers],[Salário Educação]])-2,0)*($G204-$H204)</f>
        <v>21.288640000000001</v>
      </c>
      <c r="W204" s="21">
        <f>VLOOKUP($A204,tabCustoUnit[],COLUMN(CUSTO_GLOBAL[[#Headers],[FGTS]])-2,0)*($G204-$H204)</f>
        <v>68.123647999999989</v>
      </c>
      <c r="X204" s="21">
        <f>VLOOKUP($A204,tabCustoUnit[],COLUMN(CUSTO_GLOBAL[[#Headers],[RAT Ajustado]])-2,0)*($G204-$H204)</f>
        <v>34.061823999999994</v>
      </c>
      <c r="Y204" s="21">
        <f>VLOOKUP($A204,tabCustoUnit[],COLUMN(CUSTO_GLOBAL[[#Headers],[SEBRAE]])-2,0)*($G204-$H204)</f>
        <v>5.1092735999999999</v>
      </c>
      <c r="Z204" s="21">
        <f>VLOOKUP($A204,tabCustoUnit[],COLUMN(CUSTO_GLOBAL[[#Headers],[Submódulo 2.1]])-2,0)*($G204-$H204)</f>
        <v>321.8842368</v>
      </c>
      <c r="AA204" s="21">
        <f>VLOOKUP($A204,tabCustoUnit[],COLUMN(CUSTO_GLOBAL[[#Headers],[13º salário (titular)]])-2,0)*($G204-$H204)</f>
        <v>70.962133333333327</v>
      </c>
      <c r="AB204" s="21">
        <f>VLOOKUP($A204,tabCustoUnit[],COLUMN(CUSTO_GLOBAL[[#Headers],[Férias e Adicional de Férias (titular)]])-2,0)*($G204-$H204)</f>
        <v>94.616177777777764</v>
      </c>
      <c r="AC204" s="21">
        <f>VLOOKUP($A204,tabCustoUnit[],COLUMN(CUSTO_GLOBAL[[#Headers],[Incidência do Submódulo 2.1 sobre 13º Salário, Férias e Adicional de Férias]])-2,0)*($G204-$H204)</f>
        <v>62.588601599999997</v>
      </c>
      <c r="AD204" s="21">
        <f>VLOOKUP($A204,tabCustoUnit[],COLUMN(CUSTO_GLOBAL[[#Headers],[Submódulo 2.2]])-2,0)*($G204-$H204)</f>
        <v>228.16691271111108</v>
      </c>
      <c r="AE204" s="22">
        <f>VLOOKUP($A204,tabCustoUnit[],COLUMN(CUSTO_GLOBAL[[#Headers],[Vale - Transporte (Descontada parcela do empregado)]])-2,0)*($G204-$H204)</f>
        <v>206.5264</v>
      </c>
      <c r="AF204" s="22">
        <f>VLOOKUP($A204,tabCustoUnit[],COLUMN(CUSTO_GLOBAL[[#Headers],[Vale - Alimentação (Descontada parcela do empregado)]])-2,0)*($G204-$H204)</f>
        <v>582</v>
      </c>
      <c r="AG204" s="22">
        <f>VLOOKUP($A204,tabCustoUnit[],COLUMN(CUSTO_GLOBAL[[#Headers],[Cesta Básica]])-2,0)*($G204-$H204)</f>
        <v>0</v>
      </c>
      <c r="AH204" s="22">
        <f>VLOOKUP($A204,tabCustoUnit[],COLUMN(CUSTO_GLOBAL[[#Headers],[PAF]])-2,0)*($G204-$H204)</f>
        <v>77.25</v>
      </c>
      <c r="AI204" s="22">
        <f>VLOOKUP($A204,tabCustoUnit[],COLUMN(CUSTO_GLOBAL[[#Headers],[PQM]])-2,0)*($G204-$H204)</f>
        <v>0</v>
      </c>
      <c r="AJ204" s="22">
        <v>0</v>
      </c>
      <c r="AK204" s="22">
        <f>VLOOKUP($A204,tabCustoUnit[],COLUMN(CUSTO_GLOBAL[[#Headers],[Seguro de Vida]])-2,0)*($G204-$H204)</f>
        <v>3.36</v>
      </c>
      <c r="AL204" s="22">
        <f>VLOOKUP($A204,tabCustoUnit[],COLUMN(CUSTO_GLOBAL[[#Headers],[Despesas de Viagem]])-2,0)*($G204-$H204)</f>
        <v>0</v>
      </c>
      <c r="AM204" s="22">
        <f>VLOOKUP($A204,tabCustoUnit[],COLUMN(CUSTO_GLOBAL[[#Headers],[Submódulo 2.3]])-2,0)*($G204-$H204)</f>
        <v>869.13639999999998</v>
      </c>
      <c r="AN204" s="22">
        <f>VLOOKUP($A204,tabCustoUnit[],COLUMN(CUSTO_GLOBAL[[#Headers],[MÓDULO 2 - Total Encargos e Benefícios mensais e diários]])-2,0)*($G204-$H204)</f>
        <v>1419.1875495111112</v>
      </c>
      <c r="AO204" s="22">
        <f>VLOOKUP($A204,tabCustoUnit[],COLUMN(CUSTO_GLOBAL[[#Headers],[Aviso Prévio Indenizado (API) e Reflexo do Aviso Prévio Indenizado]])-2,0)*($G204-$H204)</f>
        <v>5.970839316049382</v>
      </c>
      <c r="AP204" s="22">
        <f>VLOOKUP($A204,tabCustoUnit[],COLUMN(CUSTO_GLOBAL[[#Headers],[Incidência do FGTS sobre API e Reflexo do API]])-2,0)*($G204-$H204)</f>
        <v>0.4776671452839506</v>
      </c>
      <c r="AQ204" s="22">
        <f>VLOOKUP($A204,tabCustoUnit[],COLUMN(CUSTO_GLOBAL[[#Headers],[Multa Rescisória do FGTS sobre o Aviso Prévio Indenizado]])-2,0)*($G204-$H204)</f>
        <v>0.19106685811358026</v>
      </c>
      <c r="AR204" s="22">
        <f>VLOOKUP($A204,tabCustoUnit[],COLUMN(CUSTO_GLOBAL[[#Headers],[Aviso Prévio Trabalhado - APT]])-2,0)*($G204-$H204)</f>
        <v>2.9804096000000002</v>
      </c>
      <c r="AS204" s="22">
        <f>VLOOKUP($A204,tabCustoUnit[],COLUMN(CUSTO_GLOBAL[[#Headers],[Incidência dos encargos do submódulo 2.1 sobre Aviso Prévio Trabalhado]])-2,0)*($G204-$H204)</f>
        <v>1.1265948288000003</v>
      </c>
      <c r="AT204" s="22">
        <f>VLOOKUP($A204,tabCustoUnit[],COLUMN(CUSTO_GLOBAL[[#Headers],[Multa Rescisória do FGTS]])-2,0)*($G204-$H204)</f>
        <v>26.038372124444439</v>
      </c>
      <c r="AU204" s="22">
        <f>VLOOKUP($A204,tabCustoUnit[],COLUMN(CUSTO_GLOBAL[[#Headers],[Indenização Adicional (Art. 9º da Lei nº 7.238/84)]])-2,0)*($G204-$H204)</f>
        <v>0.70962133333333333</v>
      </c>
      <c r="AV204" s="22">
        <f>VLOOKUP($A204,tabCustoUnit[],COLUMN(CUSTO_GLOBAL[[#Headers],[MÓDULO 3 – PROVISÃO PARA RESCISÃO]])-2,0)*($G204-$H204)</f>
        <v>37.494571206024688</v>
      </c>
      <c r="AW204" s="22">
        <f>VLOOKUP($A204,tabCustoUnit[],COLUMN(CUSTO_GLOBAL[[#Headers],[Ausência por Doença]])-2,0)*($G204-$H204)</f>
        <v>7.1908295111111098</v>
      </c>
      <c r="AX204" s="22">
        <f>VLOOKUP($A204,tabCustoUnit[],COLUMN(CUSTO_GLOBAL[[#Headers],[Ausências Legais]])-2,0)*($G204-$H204)</f>
        <v>1.7267452444444442</v>
      </c>
      <c r="AY204" s="22">
        <f>VLOOKUP($A204,tabCustoUnit[],COLUMN(CUSTO_GLOBAL[[#Headers],[Licença Paternidade]])-2,0)*($G204-$H204)</f>
        <v>0.14547237333333332</v>
      </c>
      <c r="AZ204" s="22">
        <f>VLOOKUP($A204,tabCustoUnit[],COLUMN(CUSTO_GLOBAL[[#Headers],[Ausência por Acidente de Trabalho]])-2,0)*($G204-$H204)</f>
        <v>0.17740533333333333</v>
      </c>
      <c r="BA204" s="22">
        <f>VLOOKUP($A204,tabCustoUnit[],COLUMN(CUSTO_GLOBAL[[#Headers],[Férias, Adicional de Férias e 13º  com empregada em gozo de Licença Maternidade]])-2,0)*($G204-$H204)</f>
        <v>1.1038554074074072</v>
      </c>
      <c r="BB204" s="22">
        <f>VLOOKUP($A204,tabCustoUnit[],COLUMN(CUSTO_GLOBAL[[#Headers],[Incidência do Submódulo 2.1 sobre Ausências Legais]])-2,0)*($G204-$H204)</f>
        <v>3.9101483747200003</v>
      </c>
      <c r="BC204" s="22">
        <f>VLOOKUP($A204,tabCustoUnit[],COLUMN(CUSTO_GLOBAL[[#Headers],[Submódulo 4.1]])-2,0)*($G204-$H204)</f>
        <v>14.254456244349628</v>
      </c>
      <c r="BD204" s="22">
        <f>VLOOKUP($A204,tabCustoUnit[],COLUMN(CUSTO_GLOBAL[[#Headers],[Intervalo para Repouso ou Alimentação]])-2,0)*($G204-$H204)</f>
        <v>0</v>
      </c>
      <c r="BE204" s="22">
        <f>VLOOKUP($A204,tabCustoUnit[],COLUMN(CUSTO_GLOBAL[[#Headers],[Submódulo 4.2]])-2,0)*($G204-$H204)</f>
        <v>0</v>
      </c>
      <c r="BF204" s="22">
        <f>VLOOKUP($A204,tabCustoUnit[],COLUMN(CUSTO_GLOBAL[[#Headers],[Suspensão Temporária do Contrato de Trabalho]])-2,0)*($G204-$H204)</f>
        <v>0</v>
      </c>
      <c r="BG204" s="22">
        <f>VLOOKUP($A204,tabCustoUnit[],COLUMN(CUSTO_GLOBAL[[#Headers],[Submódulo 4.3]])-2,0)*($G204-$H204)</f>
        <v>0</v>
      </c>
      <c r="BH204" s="22">
        <f>VLOOKUP($A204,tabCustoUnit[],COLUMN(CUSTO_GLOBAL[[#Headers],[MÓDULO 4 – CUSTO DE REPOSIÇÃO DO PROFISSIONAL AUSENTE]])-2,0)*($G204-$H204)</f>
        <v>14.254456244349628</v>
      </c>
      <c r="BI204" s="22">
        <f>VLOOKUP($A204,tabCustoUnit[],COLUMN(CUSTO_GLOBAL[[#Headers],[Uniformes e EPIs]])-2,0)*($G204-$H204)</f>
        <v>62.806666666666665</v>
      </c>
      <c r="BJ204" s="22">
        <f>VLOOKUP($A204,tabCustoUnit[],COLUMN(CUSTO_GLOBAL[[#Headers],[Materiais de Consumo]])-2,0)*($G204-$H204)</f>
        <v>17.759106479291944</v>
      </c>
      <c r="BK204" s="22">
        <f>VLOOKUP($A204,tabCustoUnit[],COLUMN(CUSTO_GLOBAL[[#Headers],[Máquinas e Equipamentos (depreciação)]])-2,0)*($G204-$H204)</f>
        <v>32.264696957412788</v>
      </c>
      <c r="BL204" s="22">
        <f>VLOOKUP($A204,tabCustoUnit[],COLUMN(CUSTO_GLOBAL[[#Headers],[Produtos de Limpeza e Materiais de Higiene Pessoal]])-2,0)*($G204-$H204)</f>
        <v>345.13576638965827</v>
      </c>
      <c r="BM204" s="22">
        <f>VLOOKUP($A204,tabCustoUnit[],COLUMN(CUSTO_GLOBAL[[#Headers],[Outros (especificar)]])-2,0)*($G204-$H204)</f>
        <v>0</v>
      </c>
      <c r="BN204" s="22">
        <f>VLOOKUP($A204,tabCustoUnit[],COLUMN(CUSTO_GLOBAL[[#Headers],[MÓDULO 5 – INSUMOS DIVERSOS]])-2,0)*($G204-$H204)</f>
        <v>457.96623649302967</v>
      </c>
      <c r="BO204" s="22">
        <f>VLOOKUP($A204,tabCustoUnit[],COLUMN(CUSTO_GLOBAL[[#Headers],[TOTAL MÓDULOS 1+2+3+4+5]])-2,0)*($G204-$H204)</f>
        <v>2780.448413454515</v>
      </c>
      <c r="BP204" s="22">
        <f>VLOOKUP($A204,tabCustoUnit[],COLUMN(CUSTO_GLOBAL[[#Headers],[Custos Indiretos]])-2,0)*($G204-$H204)</f>
        <v>189.64880140242613</v>
      </c>
      <c r="BQ204" s="22">
        <f>VLOOKUP($A204,tabCustoUnit[],COLUMN(CUSTO_GLOBAL[[#Headers],[Lucro]])-2,0)*($G204-$H204)</f>
        <v>159.30499317803796</v>
      </c>
      <c r="BR204" s="26">
        <f>VLOOKUP($A204,tabCustoUnit[],COLUMN(CUSTO_GLOBAL[[#Headers],[COFINS]])-2,0)</f>
        <v>8.8629737609329504E-2</v>
      </c>
      <c r="BS204" s="26">
        <f>VLOOKUP($A204,tabCustoUnit[],COLUMN(CUSTO_GLOBAL[[#Headers],[PIS]])-2,0)</f>
        <v>1.9241982507288629E-2</v>
      </c>
      <c r="BT204" s="28">
        <f>VLOOKUP($A204,tabCustoUnit[],COLUMN(CUSTO_GLOBAL[[#Headers],[ISS]])-2,0)</f>
        <v>0.05</v>
      </c>
      <c r="BU204" s="26">
        <f>VLOOKUP($A204,tabCustoUnit[],COLUMN(CUSTO_GLOBAL[[#Headers],[ISS (Conversão Alíquota s/ fatura)]])-2,0)</f>
        <v>5.8309037900874633E-2</v>
      </c>
      <c r="BV204" s="26">
        <f>VLOOKUP($A204,tabCustoUnit[],COLUMN(CUSTO_GLOBAL[[#Headers],[Resumo de Alíquotas (PIS+CONFINS+ISS)]])-2,0)</f>
        <v>0.14250000000000002</v>
      </c>
      <c r="BW204" s="138">
        <f>VLOOKUP($A204,tabCustoUnit[],COLUMN(CUSTO_GLOBAL[[#Headers],[PIS + COFINS + ISS (Total Conversão  Alíquota s/ Fatura)]])-2,0)</f>
        <v>0.16618075801749277</v>
      </c>
      <c r="BX204" s="22">
        <f>VLOOKUP($A204,tabCustoUnit[],COLUMN(CUSTO_GLOBAL[[#Headers],[Valor dos Tributos (ISS, PIS, CONFINS)]])-2,0)*($G204-$H204)</f>
        <v>520.04643107286847</v>
      </c>
      <c r="BY204" s="22">
        <f>VLOOKUP($A204,tabCustoUnit[],COLUMN(CUSTO_GLOBAL[[#Headers],[MÓDULO 6 – CUSTOS INDIRETOS, TRIBUTOS E LUCRO]])-2,0)*($G204-$H204)</f>
        <v>869.00022565333256</v>
      </c>
      <c r="BZ204" s="22">
        <f>VLOOKUP($A204,tabCustoUnit[],COLUMN(CUSTO_GLOBAL[[#Headers],[CUSTO TOTAL MENSAL]])-2,0)*($G204-$H204)</f>
        <v>3649.4486391078476</v>
      </c>
      <c r="CA204" s="22">
        <f>CUSTO_GLOBAL[[#This Row],[CUSTO TOTAL MENSAL]]*12</f>
        <v>43793.38366929417</v>
      </c>
      <c r="CB204" s="24">
        <f>VLOOKUP($A204,tabCustoUnit[],COLUMN(CUSTO_GLOBAL[[#Headers],[ANO DA CCT]])-2,0)</f>
        <v>45658</v>
      </c>
      <c r="CC204" s="25" t="str">
        <f>VLOOKUP($A204,tabCustoUnit[],COLUMN(CUSTO_GLOBAL[[#Headers],[Nº DE PEDIDO DA CCT]])-2,0)</f>
        <v>-</v>
      </c>
      <c r="CD204" s="25" t="str">
        <f>VLOOKUP($A204,tabCustoUnit[],COLUMN(CUSTO_GLOBAL[[#Headers],[TERMO ADITIVO  ALTERAÇÃO DA CCT]])-2,0)</f>
        <v>-</v>
      </c>
      <c r="CF204" s="22"/>
      <c r="CG204" s="22"/>
    </row>
    <row r="205" spans="1:85" x14ac:dyDescent="0.25">
      <c r="A205" s="20" t="s">
        <v>1540</v>
      </c>
      <c r="B205" t="s">
        <v>185</v>
      </c>
      <c r="C205" t="s">
        <v>1245</v>
      </c>
      <c r="D205" t="s">
        <v>1045</v>
      </c>
      <c r="E205" s="20" t="s">
        <v>9</v>
      </c>
      <c r="F205" s="20" t="s">
        <v>10</v>
      </c>
      <c r="G205" s="20">
        <v>3</v>
      </c>
      <c r="H205" s="20">
        <v>0</v>
      </c>
      <c r="I205" s="21">
        <f>VLOOKUP($A205,tabCustoUnit[],COLUMN(CUSTO_GLOBAL[[#Headers],[Salário Base]])-2,0)*($G205-$H205)</f>
        <v>4947.3599999999997</v>
      </c>
      <c r="J205" s="21">
        <f>VLOOKUP($A205,tabCustoUnit[],COLUMN(CUSTO_GLOBAL[[#Headers],[Adicional Periculosidade]])-2,0)*($G205-$H205)</f>
        <v>0</v>
      </c>
      <c r="K205" s="21">
        <f>VLOOKUP($A205,tabCustoUnit[],COLUMN(CUSTO_GLOBAL[[#Headers],[Adicional Insalubridade]])-2,0)*($G205-$H205)</f>
        <v>0</v>
      </c>
      <c r="L205" s="21">
        <f>VLOOKUP($A205,tabCustoUnit[],COLUMN(CUSTO_GLOBAL[[#Headers],[Adicional Noturno]])-2,0)*($G205-$H205)</f>
        <v>0</v>
      </c>
      <c r="M205" s="21">
        <f>VLOOKUP($A205,tabCustoUnit[],COLUMN(CUSTO_GLOBAL[[#Headers],[Adicional Motorista II (Gratificação)]])-2,0)*($G205-$H205)</f>
        <v>0</v>
      </c>
      <c r="N205" s="21">
        <f>VLOOKUP($A205,tabCustoUnit[],COLUMN(CUSTO_GLOBAL[[#Headers],[Adicional de Sobreaviso]])-2,0)*($G205-$H205)</f>
        <v>0</v>
      </c>
      <c r="O205" s="21">
        <f>VLOOKUP($A205,tabCustoUnit[],COLUMN(CUSTO_GLOBAL[[#Headers],[Horas Extras TI]])-2,0)*($G205-$H205)</f>
        <v>0</v>
      </c>
      <c r="P205" s="21">
        <f>VLOOKUP($A205,tabCustoUnit[],COLUMN(CUSTO_GLOBAL[[#Headers],[Adicional de Acúmulo de função]])-2,0)*($G205-$H205)</f>
        <v>161.9136</v>
      </c>
      <c r="Q205" s="21">
        <f>VLOOKUP($A205,tabCustoUnit[],COLUMN(CUSTO_GLOBAL[[#Headers],[MODULO 1 - REMUNERAÇÃO ]])-2,0)*($G205-$H205)</f>
        <v>5109.2735999999995</v>
      </c>
      <c r="R205" s="21">
        <f>VLOOKUP($A205,tabCustoUnit[],COLUMN(CUSTO_GLOBAL[[#Headers],[INSS]])-2,0)*($G205-$H205)</f>
        <v>1021.85472</v>
      </c>
      <c r="S205" s="21">
        <f>VLOOKUP($A205,tabCustoUnit[],COLUMN(CUSTO_GLOBAL[[#Headers],[SESI OU SESC]])-2,0)*($G205-$H205)</f>
        <v>76.639103999999989</v>
      </c>
      <c r="T205" s="21">
        <f>VLOOKUP($A205,tabCustoUnit[],COLUMN(CUSTO_GLOBAL[[#Headers],[SENAI OU SENAC]])-2,0)*($G205-$H205)</f>
        <v>51.092735999999988</v>
      </c>
      <c r="U205" s="21">
        <f>VLOOKUP($A205,tabCustoUnit[],COLUMN(CUSTO_GLOBAL[[#Headers],[INCRA]])-2,0)*($G205-$H205)</f>
        <v>10.2185472</v>
      </c>
      <c r="V205" s="21">
        <f>VLOOKUP($A205,tabCustoUnit[],COLUMN(CUSTO_GLOBAL[[#Headers],[Salário Educação]])-2,0)*($G205-$H205)</f>
        <v>127.73184000000001</v>
      </c>
      <c r="W205" s="21">
        <f>VLOOKUP($A205,tabCustoUnit[],COLUMN(CUSTO_GLOBAL[[#Headers],[FGTS]])-2,0)*($G205-$H205)</f>
        <v>408.7418879999999</v>
      </c>
      <c r="X205" s="21">
        <f>VLOOKUP($A205,tabCustoUnit[],COLUMN(CUSTO_GLOBAL[[#Headers],[RAT Ajustado]])-2,0)*($G205-$H205)</f>
        <v>204.37094399999995</v>
      </c>
      <c r="Y205" s="21">
        <f>VLOOKUP($A205,tabCustoUnit[],COLUMN(CUSTO_GLOBAL[[#Headers],[SEBRAE]])-2,0)*($G205-$H205)</f>
        <v>30.655641599999999</v>
      </c>
      <c r="Z205" s="21">
        <f>VLOOKUP($A205,tabCustoUnit[],COLUMN(CUSTO_GLOBAL[[#Headers],[Submódulo 2.1]])-2,0)*($G205-$H205)</f>
        <v>1931.3054207999999</v>
      </c>
      <c r="AA205" s="21">
        <f>VLOOKUP($A205,tabCustoUnit[],COLUMN(CUSTO_GLOBAL[[#Headers],[13º salário (titular)]])-2,0)*($G205-$H205)</f>
        <v>425.77279999999996</v>
      </c>
      <c r="AB205" s="21">
        <f>VLOOKUP($A205,tabCustoUnit[],COLUMN(CUSTO_GLOBAL[[#Headers],[Férias e Adicional de Férias (titular)]])-2,0)*($G205-$H205)</f>
        <v>567.69706666666661</v>
      </c>
      <c r="AC205" s="21">
        <f>VLOOKUP($A205,tabCustoUnit[],COLUMN(CUSTO_GLOBAL[[#Headers],[Incidência do Submódulo 2.1 sobre 13º Salário, Férias e Adicional de Férias]])-2,0)*($G205-$H205)</f>
        <v>375.53160959999997</v>
      </c>
      <c r="AD205" s="21">
        <f>VLOOKUP($A205,tabCustoUnit[],COLUMN(CUSTO_GLOBAL[[#Headers],[Submódulo 2.2]])-2,0)*($G205-$H205)</f>
        <v>1369.0014762666665</v>
      </c>
      <c r="AE205" s="22">
        <f>VLOOKUP($A205,tabCustoUnit[],COLUMN(CUSTO_GLOBAL[[#Headers],[Vale - Transporte (Descontada parcela do empregado)]])-2,0)*($G205-$H205)</f>
        <v>471.15839999999997</v>
      </c>
      <c r="AF205" s="22">
        <f>VLOOKUP($A205,tabCustoUnit[],COLUMN(CUSTO_GLOBAL[[#Headers],[Vale - Alimentação (Descontada parcela do empregado)]])-2,0)*($G205-$H205)</f>
        <v>1746</v>
      </c>
      <c r="AG205" s="22">
        <f>VLOOKUP($A205,tabCustoUnit[],COLUMN(CUSTO_GLOBAL[[#Headers],[Cesta Básica]])-2,0)*($G205-$H205)</f>
        <v>0</v>
      </c>
      <c r="AH205" s="22">
        <f>VLOOKUP($A205,tabCustoUnit[],COLUMN(CUSTO_GLOBAL[[#Headers],[PAF]])-2,0)*($G205-$H205)</f>
        <v>231.75</v>
      </c>
      <c r="AI205" s="22">
        <f>VLOOKUP($A205,tabCustoUnit[],COLUMN(CUSTO_GLOBAL[[#Headers],[PQM]])-2,0)*($G205-$H205)</f>
        <v>0</v>
      </c>
      <c r="AJ205" s="22">
        <v>0</v>
      </c>
      <c r="AK205" s="22">
        <f>VLOOKUP($A205,tabCustoUnit[],COLUMN(CUSTO_GLOBAL[[#Headers],[Seguro de Vida]])-2,0)*($G205-$H205)</f>
        <v>10.08</v>
      </c>
      <c r="AL205" s="22">
        <f>VLOOKUP($A205,tabCustoUnit[],COLUMN(CUSTO_GLOBAL[[#Headers],[Despesas de Viagem]])-2,0)*($G205-$H205)</f>
        <v>0</v>
      </c>
      <c r="AM205" s="22">
        <f>VLOOKUP($A205,tabCustoUnit[],COLUMN(CUSTO_GLOBAL[[#Headers],[Submódulo 2.3]])-2,0)*($G205-$H205)</f>
        <v>2458.9883999999997</v>
      </c>
      <c r="AN205" s="22">
        <f>VLOOKUP($A205,tabCustoUnit[],COLUMN(CUSTO_GLOBAL[[#Headers],[MÓDULO 2 - Total Encargos e Benefícios mensais e diários]])-2,0)*($G205-$H205)</f>
        <v>5759.2952970666665</v>
      </c>
      <c r="AO205" s="22">
        <f>VLOOKUP($A205,tabCustoUnit[],COLUMN(CUSTO_GLOBAL[[#Headers],[Aviso Prévio Indenizado (API) e Reflexo do Aviso Prévio Indenizado]])-2,0)*($G205-$H205)</f>
        <v>35.825035896296292</v>
      </c>
      <c r="AP205" s="22">
        <f>VLOOKUP($A205,tabCustoUnit[],COLUMN(CUSTO_GLOBAL[[#Headers],[Incidência do FGTS sobre API e Reflexo do API]])-2,0)*($G205-$H205)</f>
        <v>2.8660028717037038</v>
      </c>
      <c r="AQ205" s="22">
        <f>VLOOKUP($A205,tabCustoUnit[],COLUMN(CUSTO_GLOBAL[[#Headers],[Multa Rescisória do FGTS sobre o Aviso Prévio Indenizado]])-2,0)*($G205-$H205)</f>
        <v>1.1464011486814816</v>
      </c>
      <c r="AR205" s="22">
        <f>VLOOKUP($A205,tabCustoUnit[],COLUMN(CUSTO_GLOBAL[[#Headers],[Aviso Prévio Trabalhado - APT]])-2,0)*($G205-$H205)</f>
        <v>17.882457600000002</v>
      </c>
      <c r="AS205" s="22">
        <f>VLOOKUP($A205,tabCustoUnit[],COLUMN(CUSTO_GLOBAL[[#Headers],[Incidência dos encargos do submódulo 2.1 sobre Aviso Prévio Trabalhado]])-2,0)*($G205-$H205)</f>
        <v>6.7595689728000021</v>
      </c>
      <c r="AT205" s="22">
        <f>VLOOKUP($A205,tabCustoUnit[],COLUMN(CUSTO_GLOBAL[[#Headers],[Multa Rescisória do FGTS]])-2,0)*($G205-$H205)</f>
        <v>156.23023274666664</v>
      </c>
      <c r="AU205" s="22">
        <f>VLOOKUP($A205,tabCustoUnit[],COLUMN(CUSTO_GLOBAL[[#Headers],[Indenização Adicional (Art. 9º da Lei nº 7.238/84)]])-2,0)*($G205-$H205)</f>
        <v>4.2577280000000002</v>
      </c>
      <c r="AV205" s="22">
        <f>VLOOKUP($A205,tabCustoUnit[],COLUMN(CUSTO_GLOBAL[[#Headers],[MÓDULO 3 – PROVISÃO PARA RESCISÃO]])-2,0)*($G205-$H205)</f>
        <v>224.96742723614813</v>
      </c>
      <c r="AW205" s="22">
        <f>VLOOKUP($A205,tabCustoUnit[],COLUMN(CUSTO_GLOBAL[[#Headers],[Ausência por Doença]])-2,0)*($G205-$H205)</f>
        <v>43.144977066666655</v>
      </c>
      <c r="AX205" s="22">
        <f>VLOOKUP($A205,tabCustoUnit[],COLUMN(CUSTO_GLOBAL[[#Headers],[Ausências Legais]])-2,0)*($G205-$H205)</f>
        <v>10.360471466666665</v>
      </c>
      <c r="AY205" s="22">
        <f>VLOOKUP($A205,tabCustoUnit[],COLUMN(CUSTO_GLOBAL[[#Headers],[Licença Paternidade]])-2,0)*($G205-$H205)</f>
        <v>0.87283423999999998</v>
      </c>
      <c r="AZ205" s="22">
        <f>VLOOKUP($A205,tabCustoUnit[],COLUMN(CUSTO_GLOBAL[[#Headers],[Ausência por Acidente de Trabalho]])-2,0)*($G205-$H205)</f>
        <v>1.064432</v>
      </c>
      <c r="BA205" s="22">
        <f>VLOOKUP($A205,tabCustoUnit[],COLUMN(CUSTO_GLOBAL[[#Headers],[Férias, Adicional de Férias e 13º  com empregada em gozo de Licença Maternidade]])-2,0)*($G205-$H205)</f>
        <v>6.623132444444443</v>
      </c>
      <c r="BB205" s="22">
        <f>VLOOKUP($A205,tabCustoUnit[],COLUMN(CUSTO_GLOBAL[[#Headers],[Incidência do Submódulo 2.1 sobre Ausências Legais]])-2,0)*($G205-$H205)</f>
        <v>23.460890248320002</v>
      </c>
      <c r="BC205" s="22">
        <f>VLOOKUP($A205,tabCustoUnit[],COLUMN(CUSTO_GLOBAL[[#Headers],[Submódulo 4.1]])-2,0)*($G205-$H205)</f>
        <v>85.526737466097771</v>
      </c>
      <c r="BD205" s="22">
        <f>VLOOKUP($A205,tabCustoUnit[],COLUMN(CUSTO_GLOBAL[[#Headers],[Intervalo para Repouso ou Alimentação]])-2,0)*($G205-$H205)</f>
        <v>0</v>
      </c>
      <c r="BE205" s="22">
        <f>VLOOKUP($A205,tabCustoUnit[],COLUMN(CUSTO_GLOBAL[[#Headers],[Submódulo 4.2]])-2,0)*($G205-$H205)</f>
        <v>0</v>
      </c>
      <c r="BF205" s="22">
        <f>VLOOKUP($A205,tabCustoUnit[],COLUMN(CUSTO_GLOBAL[[#Headers],[Suspensão Temporária do Contrato de Trabalho]])-2,0)*($G205-$H205)</f>
        <v>0</v>
      </c>
      <c r="BG205" s="22">
        <f>VLOOKUP($A205,tabCustoUnit[],COLUMN(CUSTO_GLOBAL[[#Headers],[Submódulo 4.3]])-2,0)*($G205-$H205)</f>
        <v>0</v>
      </c>
      <c r="BH205" s="22">
        <f>VLOOKUP($A205,tabCustoUnit[],COLUMN(CUSTO_GLOBAL[[#Headers],[MÓDULO 4 – CUSTO DE REPOSIÇÃO DO PROFISSIONAL AUSENTE]])-2,0)*($G205-$H205)</f>
        <v>85.526737466097771</v>
      </c>
      <c r="BI205" s="22">
        <f>VLOOKUP($A205,tabCustoUnit[],COLUMN(CUSTO_GLOBAL[[#Headers],[Uniformes e EPIs]])-2,0)*($G205-$H205)</f>
        <v>302.42749999999995</v>
      </c>
      <c r="BJ205" s="22">
        <f>VLOOKUP($A205,tabCustoUnit[],COLUMN(CUSTO_GLOBAL[[#Headers],[Materiais de Consumo]])-2,0)*($G205-$H205)</f>
        <v>106.55463887575166</v>
      </c>
      <c r="BK205" s="22">
        <f>VLOOKUP($A205,tabCustoUnit[],COLUMN(CUSTO_GLOBAL[[#Headers],[Máquinas e Equipamentos (depreciação)]])-2,0)*($G205-$H205)</f>
        <v>193.58818174447674</v>
      </c>
      <c r="BL205" s="22">
        <f>VLOOKUP($A205,tabCustoUnit[],COLUMN(CUSTO_GLOBAL[[#Headers],[Produtos de Limpeza e Materiais de Higiene Pessoal]])-2,0)*($G205-$H205)</f>
        <v>2070.8145983379495</v>
      </c>
      <c r="BM205" s="22">
        <f>VLOOKUP($A205,tabCustoUnit[],COLUMN(CUSTO_GLOBAL[[#Headers],[Outros (especificar)]])-2,0)*($G205-$H205)</f>
        <v>0</v>
      </c>
      <c r="BN205" s="22">
        <f>VLOOKUP($A205,tabCustoUnit[],COLUMN(CUSTO_GLOBAL[[#Headers],[MÓDULO 5 – INSUMOS DIVERSOS]])-2,0)*($G205-$H205)</f>
        <v>2673.3849189581779</v>
      </c>
      <c r="BO205" s="22">
        <f>VLOOKUP($A205,tabCustoUnit[],COLUMN(CUSTO_GLOBAL[[#Headers],[TOTAL MÓDULOS 1+2+3+4+5]])-2,0)*($G205-$H205)</f>
        <v>13852.447980727091</v>
      </c>
      <c r="BP205" s="22">
        <f>VLOOKUP($A205,tabCustoUnit[],COLUMN(CUSTO_GLOBAL[[#Headers],[Custos Indiretos]])-2,0)*($G205-$H205)</f>
        <v>568.94640420727842</v>
      </c>
      <c r="BQ205" s="22">
        <f>VLOOKUP($A205,tabCustoUnit[],COLUMN(CUSTO_GLOBAL[[#Headers],[Lucro]])-2,0)*($G205-$H205)</f>
        <v>477.91497953411385</v>
      </c>
      <c r="BR205" s="26">
        <f>VLOOKUP($A205,tabCustoUnit[],COLUMN(CUSTO_GLOBAL[[#Headers],[COFINS]])-2,0)</f>
        <v>8.8629737609329504E-2</v>
      </c>
      <c r="BS205" s="26">
        <f>VLOOKUP($A205,tabCustoUnit[],COLUMN(CUSTO_GLOBAL[[#Headers],[PIS]])-2,0)</f>
        <v>1.9241982507288629E-2</v>
      </c>
      <c r="BT205" s="28">
        <f>VLOOKUP($A205,tabCustoUnit[],COLUMN(CUSTO_GLOBAL[[#Headers],[ISS]])-2,0)</f>
        <v>0.05</v>
      </c>
      <c r="BU205" s="26">
        <f>VLOOKUP($A205,tabCustoUnit[],COLUMN(CUSTO_GLOBAL[[#Headers],[ISS (Conversão Alíquota s/ fatura)]])-2,0)</f>
        <v>5.8309037900874633E-2</v>
      </c>
      <c r="BV205" s="26">
        <f>VLOOKUP($A205,tabCustoUnit[],COLUMN(CUSTO_GLOBAL[[#Headers],[Resumo de Alíquotas (PIS+CONFINS+ISS)]])-2,0)</f>
        <v>0.14250000000000002</v>
      </c>
      <c r="BW205" s="138">
        <f>VLOOKUP($A205,tabCustoUnit[],COLUMN(CUSTO_GLOBAL[[#Headers],[PIS + COFINS + ISS (Total Conversão  Alíquota s/ Fatura)]])-2,0)</f>
        <v>0.16618075801749277</v>
      </c>
      <c r="BX205" s="22">
        <f>VLOOKUP($A205,tabCustoUnit[],COLUMN(CUSTO_GLOBAL[[#Headers],[Valor dos Tributos (ISS, PIS, CONFINS)]])-2,0)*($G205-$H205)</f>
        <v>2475.9785241245008</v>
      </c>
      <c r="BY205" s="22">
        <f>VLOOKUP($A205,tabCustoUnit[],COLUMN(CUSTO_GLOBAL[[#Headers],[MÓDULO 6 – CUSTOS INDIRETOS, TRIBUTOS E LUCRO]])-2,0)*($G205-$H205)</f>
        <v>3522.8399078658931</v>
      </c>
      <c r="BZ205" s="22">
        <f>VLOOKUP($A205,tabCustoUnit[],COLUMN(CUSTO_GLOBAL[[#Headers],[CUSTO TOTAL MENSAL]])-2,0)*($G205-$H205)</f>
        <v>17375.287888592982</v>
      </c>
      <c r="CA205" s="22">
        <f>CUSTO_GLOBAL[[#This Row],[CUSTO TOTAL MENSAL]]*12</f>
        <v>208503.45466311579</v>
      </c>
      <c r="CB205" s="24">
        <f>VLOOKUP($A205,tabCustoUnit[],COLUMN(CUSTO_GLOBAL[[#Headers],[ANO DA CCT]])-2,0)</f>
        <v>45658</v>
      </c>
      <c r="CC205" s="25" t="str">
        <f>VLOOKUP($A205,tabCustoUnit[],COLUMN(CUSTO_GLOBAL[[#Headers],[Nº DE PEDIDO DA CCT]])-2,0)</f>
        <v>-</v>
      </c>
      <c r="CD205" s="25" t="str">
        <f>VLOOKUP($A205,tabCustoUnit[],COLUMN(CUSTO_GLOBAL[[#Headers],[TERMO ADITIVO  ALTERAÇÃO DA CCT]])-2,0)</f>
        <v>-</v>
      </c>
      <c r="CF205" s="22"/>
      <c r="CG205" s="22"/>
    </row>
    <row r="206" spans="1:85" x14ac:dyDescent="0.25">
      <c r="A206" s="20" t="s">
        <v>1541</v>
      </c>
      <c r="B206" t="s">
        <v>186</v>
      </c>
      <c r="C206" t="s">
        <v>1247</v>
      </c>
      <c r="D206" t="s">
        <v>1020</v>
      </c>
      <c r="E206" s="20" t="s">
        <v>9</v>
      </c>
      <c r="F206" s="20" t="s">
        <v>10</v>
      </c>
      <c r="G206" s="20">
        <v>1</v>
      </c>
      <c r="H206" s="20">
        <v>0</v>
      </c>
      <c r="I206" s="21">
        <f>VLOOKUP($A206,tabCustoUnit[],COLUMN(CUSTO_GLOBAL[[#Headers],[Salário Base]])-2,0)*($G206-$H206)</f>
        <v>544.17999999999995</v>
      </c>
      <c r="J206" s="21">
        <f>VLOOKUP($A206,tabCustoUnit[],COLUMN(CUSTO_GLOBAL[[#Headers],[Adicional Periculosidade]])-2,0)*($G206-$H206)</f>
        <v>0</v>
      </c>
      <c r="K206" s="21">
        <f>VLOOKUP($A206,tabCustoUnit[],COLUMN(CUSTO_GLOBAL[[#Headers],[Adicional Insalubridade]])-2,0)*($G206-$H206)</f>
        <v>0</v>
      </c>
      <c r="L206" s="21">
        <f>VLOOKUP($A206,tabCustoUnit[],COLUMN(CUSTO_GLOBAL[[#Headers],[Adicional Noturno]])-2,0)*($G206-$H206)</f>
        <v>0</v>
      </c>
      <c r="M206" s="21">
        <f>VLOOKUP($A206,tabCustoUnit[],COLUMN(CUSTO_GLOBAL[[#Headers],[Adicional Motorista II (Gratificação)]])-2,0)*($G206-$H206)</f>
        <v>0</v>
      </c>
      <c r="N206" s="21">
        <f>VLOOKUP($A206,tabCustoUnit[],COLUMN(CUSTO_GLOBAL[[#Headers],[Adicional de Sobreaviso]])-2,0)*($G206-$H206)</f>
        <v>0</v>
      </c>
      <c r="O206" s="21">
        <f>VLOOKUP($A206,tabCustoUnit[],COLUMN(CUSTO_GLOBAL[[#Headers],[Horas Extras TI]])-2,0)*($G206-$H206)</f>
        <v>0</v>
      </c>
      <c r="P206" s="21">
        <f>VLOOKUP($A206,tabCustoUnit[],COLUMN(CUSTO_GLOBAL[[#Headers],[Adicional de Acúmulo de função]])-2,0)*($G206-$H206)</f>
        <v>19.590499999999999</v>
      </c>
      <c r="Q206" s="21">
        <f>VLOOKUP($A206,tabCustoUnit[],COLUMN(CUSTO_GLOBAL[[#Headers],[MODULO 1 - REMUNERAÇÃO ]])-2,0)*($G206-$H206)</f>
        <v>563.77049999999997</v>
      </c>
      <c r="R206" s="21">
        <f>VLOOKUP($A206,tabCustoUnit[],COLUMN(CUSTO_GLOBAL[[#Headers],[INSS]])-2,0)*($G206-$H206)</f>
        <v>112.75409999999999</v>
      </c>
      <c r="S206" s="21">
        <f>VLOOKUP($A206,tabCustoUnit[],COLUMN(CUSTO_GLOBAL[[#Headers],[SESI OU SESC]])-2,0)*($G206-$H206)</f>
        <v>8.4565574999999988</v>
      </c>
      <c r="T206" s="21">
        <f>VLOOKUP($A206,tabCustoUnit[],COLUMN(CUSTO_GLOBAL[[#Headers],[SENAI OU SENAC]])-2,0)*($G206-$H206)</f>
        <v>5.6377049999999995</v>
      </c>
      <c r="U206" s="21">
        <f>VLOOKUP($A206,tabCustoUnit[],COLUMN(CUSTO_GLOBAL[[#Headers],[INCRA]])-2,0)*($G206-$H206)</f>
        <v>1.1275409999999999</v>
      </c>
      <c r="V206" s="21">
        <f>VLOOKUP($A206,tabCustoUnit[],COLUMN(CUSTO_GLOBAL[[#Headers],[Salário Educação]])-2,0)*($G206-$H206)</f>
        <v>14.094262499999999</v>
      </c>
      <c r="W206" s="21">
        <f>VLOOKUP($A206,tabCustoUnit[],COLUMN(CUSTO_GLOBAL[[#Headers],[FGTS]])-2,0)*($G206-$H206)</f>
        <v>45.101639999999996</v>
      </c>
      <c r="X206" s="21">
        <f>VLOOKUP($A206,tabCustoUnit[],COLUMN(CUSTO_GLOBAL[[#Headers],[RAT Ajustado]])-2,0)*($G206-$H206)</f>
        <v>22.550819999999998</v>
      </c>
      <c r="Y206" s="21">
        <f>VLOOKUP($A206,tabCustoUnit[],COLUMN(CUSTO_GLOBAL[[#Headers],[SEBRAE]])-2,0)*($G206-$H206)</f>
        <v>3.3826229999999997</v>
      </c>
      <c r="Z206" s="21">
        <f>VLOOKUP($A206,tabCustoUnit[],COLUMN(CUSTO_GLOBAL[[#Headers],[Submódulo 2.1]])-2,0)*($G206-$H206)</f>
        <v>213.10524899999996</v>
      </c>
      <c r="AA206" s="21">
        <f>VLOOKUP($A206,tabCustoUnit[],COLUMN(CUSTO_GLOBAL[[#Headers],[13º salário (titular)]])-2,0)*($G206-$H206)</f>
        <v>46.980874999999997</v>
      </c>
      <c r="AB206" s="21">
        <f>VLOOKUP($A206,tabCustoUnit[],COLUMN(CUSTO_GLOBAL[[#Headers],[Férias e Adicional de Férias (titular)]])-2,0)*($G206-$H206)</f>
        <v>62.641166666666663</v>
      </c>
      <c r="AC206" s="21">
        <f>VLOOKUP($A206,tabCustoUnit[],COLUMN(CUSTO_GLOBAL[[#Headers],[Incidência do Submódulo 2.1 sobre 13º Salário, Férias e Adicional de Férias]])-2,0)*($G206-$H206)</f>
        <v>41.437131749999992</v>
      </c>
      <c r="AD206" s="21">
        <f>VLOOKUP($A206,tabCustoUnit[],COLUMN(CUSTO_GLOBAL[[#Headers],[Submódulo 2.2]])-2,0)*($G206-$H206)</f>
        <v>151.05917341666665</v>
      </c>
      <c r="AE206" s="22">
        <f>VLOOKUP($A206,tabCustoUnit[],COLUMN(CUSTO_GLOBAL[[#Headers],[Vale - Transporte (Descontada parcela do empregado)]])-2,0)*($G206-$H206)</f>
        <v>223.3492</v>
      </c>
      <c r="AF206" s="22">
        <f>VLOOKUP($A206,tabCustoUnit[],COLUMN(CUSTO_GLOBAL[[#Headers],[Vale - Alimentação (Descontada parcela do empregado)]])-2,0)*($G206-$H206)</f>
        <v>582</v>
      </c>
      <c r="AG206" s="22">
        <f>VLOOKUP($A206,tabCustoUnit[],COLUMN(CUSTO_GLOBAL[[#Headers],[Cesta Básica]])-2,0)*($G206-$H206)</f>
        <v>0</v>
      </c>
      <c r="AH206" s="22">
        <f>VLOOKUP($A206,tabCustoUnit[],COLUMN(CUSTO_GLOBAL[[#Headers],[PAF]])-2,0)*($G206-$H206)</f>
        <v>0</v>
      </c>
      <c r="AI206" s="22">
        <f>VLOOKUP($A206,tabCustoUnit[],COLUMN(CUSTO_GLOBAL[[#Headers],[PQM]])-2,0)*($G206-$H206)</f>
        <v>0</v>
      </c>
      <c r="AJ206" s="22">
        <v>0</v>
      </c>
      <c r="AK206" s="22">
        <f>VLOOKUP($A206,tabCustoUnit[],COLUMN(CUSTO_GLOBAL[[#Headers],[Seguro de Vida]])-2,0)*($G206-$H206)</f>
        <v>3.36</v>
      </c>
      <c r="AL206" s="22">
        <f>VLOOKUP($A206,tabCustoUnit[],COLUMN(CUSTO_GLOBAL[[#Headers],[Despesas de Viagem]])-2,0)*($G206-$H206)</f>
        <v>0</v>
      </c>
      <c r="AM206" s="22">
        <f>VLOOKUP($A206,tabCustoUnit[],COLUMN(CUSTO_GLOBAL[[#Headers],[Submódulo 2.3]])-2,0)*($G206-$H206)</f>
        <v>808.70920000000001</v>
      </c>
      <c r="AN206" s="22">
        <f>VLOOKUP($A206,tabCustoUnit[],COLUMN(CUSTO_GLOBAL[[#Headers],[MÓDULO 2 - Total Encargos e Benefícios mensais e diários]])-2,0)*($G206-$H206)</f>
        <v>1172.8736224166666</v>
      </c>
      <c r="AO206" s="22">
        <f>VLOOKUP($A206,tabCustoUnit[],COLUMN(CUSTO_GLOBAL[[#Headers],[Aviso Prévio Indenizado (API) e Reflexo do Aviso Prévio Indenizado]])-2,0)*($G206-$H206)</f>
        <v>3.9530273735532404</v>
      </c>
      <c r="AP206" s="22">
        <f>VLOOKUP($A206,tabCustoUnit[],COLUMN(CUSTO_GLOBAL[[#Headers],[Incidência do FGTS sobre API e Reflexo do API]])-2,0)*($G206-$H206)</f>
        <v>0.31624218988425928</v>
      </c>
      <c r="AQ206" s="22">
        <f>VLOOKUP($A206,tabCustoUnit[],COLUMN(CUSTO_GLOBAL[[#Headers],[Multa Rescisória do FGTS sobre o Aviso Prévio Indenizado]])-2,0)*($G206-$H206)</f>
        <v>0.12649687595370371</v>
      </c>
      <c r="AR206" s="22">
        <f>VLOOKUP($A206,tabCustoUnit[],COLUMN(CUSTO_GLOBAL[[#Headers],[Aviso Prévio Trabalhado - APT]])-2,0)*($G206-$H206)</f>
        <v>1.9731967500000003</v>
      </c>
      <c r="AS206" s="22">
        <f>VLOOKUP($A206,tabCustoUnit[],COLUMN(CUSTO_GLOBAL[[#Headers],[Incidência dos encargos do submódulo 2.1 sobre Aviso Prévio Trabalhado]])-2,0)*($G206-$H206)</f>
        <v>0.74586837150000018</v>
      </c>
      <c r="AT206" s="22">
        <f>VLOOKUP($A206,tabCustoUnit[],COLUMN(CUSTO_GLOBAL[[#Headers],[Multa Rescisória do FGTS]])-2,0)*($G206-$H206)</f>
        <v>17.238849066666663</v>
      </c>
      <c r="AU206" s="22">
        <f>VLOOKUP($A206,tabCustoUnit[],COLUMN(CUSTO_GLOBAL[[#Headers],[Indenização Adicional (Art. 9º da Lei nº 7.238/84)]])-2,0)*($G206-$H206)</f>
        <v>0.46980875</v>
      </c>
      <c r="AV206" s="22">
        <f>VLOOKUP($A206,tabCustoUnit[],COLUMN(CUSTO_GLOBAL[[#Headers],[MÓDULO 3 – PROVISÃO PARA RESCISÃO]])-2,0)*($G206-$H206)</f>
        <v>24.823489377557866</v>
      </c>
      <c r="AW206" s="22">
        <f>VLOOKUP($A206,tabCustoUnit[],COLUMN(CUSTO_GLOBAL[[#Headers],[Ausência por Doença]])-2,0)*($G206-$H206)</f>
        <v>4.7607286666666662</v>
      </c>
      <c r="AX206" s="22">
        <f>VLOOKUP($A206,tabCustoUnit[],COLUMN(CUSTO_GLOBAL[[#Headers],[Ausências Legais]])-2,0)*($G206-$H206)</f>
        <v>1.1432012916666665</v>
      </c>
      <c r="AY206" s="22">
        <f>VLOOKUP($A206,tabCustoUnit[],COLUMN(CUSTO_GLOBAL[[#Headers],[Licença Paternidade]])-2,0)*($G206-$H206)</f>
        <v>9.6310793749999998E-2</v>
      </c>
      <c r="AZ206" s="22">
        <f>VLOOKUP($A206,tabCustoUnit[],COLUMN(CUSTO_GLOBAL[[#Headers],[Ausência por Acidente de Trabalho]])-2,0)*($G206-$H206)</f>
        <v>0.1174521875</v>
      </c>
      <c r="BA206" s="22">
        <f>VLOOKUP($A206,tabCustoUnit[],COLUMN(CUSTO_GLOBAL[[#Headers],[Férias, Adicional de Férias e 13º  com empregada em gozo de Licença Maternidade]])-2,0)*($G206-$H206)</f>
        <v>0.73081361111111109</v>
      </c>
      <c r="BB206" s="22">
        <f>VLOOKUP($A206,tabCustoUnit[],COLUMN(CUSTO_GLOBAL[[#Headers],[Incidência do Submódulo 2.1 sobre Ausências Legais]])-2,0)*($G206-$H206)</f>
        <v>2.5887354761625003</v>
      </c>
      <c r="BC206" s="22">
        <f>VLOOKUP($A206,tabCustoUnit[],COLUMN(CUSTO_GLOBAL[[#Headers],[Submódulo 4.1]])-2,0)*($G206-$H206)</f>
        <v>9.4372420268569428</v>
      </c>
      <c r="BD206" s="22">
        <f>VLOOKUP($A206,tabCustoUnit[],COLUMN(CUSTO_GLOBAL[[#Headers],[Intervalo para Repouso ou Alimentação]])-2,0)*($G206-$H206)</f>
        <v>0</v>
      </c>
      <c r="BE206" s="22">
        <f>VLOOKUP($A206,tabCustoUnit[],COLUMN(CUSTO_GLOBAL[[#Headers],[Submódulo 4.2]])-2,0)*($G206-$H206)</f>
        <v>0</v>
      </c>
      <c r="BF206" s="22">
        <f>VLOOKUP($A206,tabCustoUnit[],COLUMN(CUSTO_GLOBAL[[#Headers],[Suspensão Temporária do Contrato de Trabalho]])-2,0)*($G206-$H206)</f>
        <v>0</v>
      </c>
      <c r="BG206" s="22">
        <f>VLOOKUP($A206,tabCustoUnit[],COLUMN(CUSTO_GLOBAL[[#Headers],[Submódulo 4.3]])-2,0)*($G206-$H206)</f>
        <v>0</v>
      </c>
      <c r="BH206" s="22">
        <f>VLOOKUP($A206,tabCustoUnit[],COLUMN(CUSTO_GLOBAL[[#Headers],[MÓDULO 4 – CUSTO DE REPOSIÇÃO DO PROFISSIONAL AUSENTE]])-2,0)*($G206-$H206)</f>
        <v>9.4372420268569428</v>
      </c>
      <c r="BI206" s="22">
        <f>VLOOKUP($A206,tabCustoUnit[],COLUMN(CUSTO_GLOBAL[[#Headers],[Uniformes e EPIs]])-2,0)*($G206-$H206)</f>
        <v>62.806666666666665</v>
      </c>
      <c r="BJ206" s="22">
        <f>VLOOKUP($A206,tabCustoUnit[],COLUMN(CUSTO_GLOBAL[[#Headers],[Materiais de Consumo]])-2,0)*($G206-$H206)</f>
        <v>12.108481690426325</v>
      </c>
      <c r="BK206" s="22">
        <f>VLOOKUP($A206,tabCustoUnit[],COLUMN(CUSTO_GLOBAL[[#Headers],[Máquinas e Equipamentos (depreciação)]])-2,0)*($G206-$H206)</f>
        <v>21.998657016417809</v>
      </c>
      <c r="BL206" s="22">
        <f>VLOOKUP($A206,tabCustoUnit[],COLUMN(CUSTO_GLOBAL[[#Headers],[Produtos de Limpeza e Materiais de Higiene Pessoal]])-2,0)*($G206-$H206)</f>
        <v>235.31984072022155</v>
      </c>
      <c r="BM206" s="22">
        <f>VLOOKUP($A206,tabCustoUnit[],COLUMN(CUSTO_GLOBAL[[#Headers],[Outros (especificar)]])-2,0)*($G206-$H206)</f>
        <v>0</v>
      </c>
      <c r="BN206" s="22">
        <f>VLOOKUP($A206,tabCustoUnit[],COLUMN(CUSTO_GLOBAL[[#Headers],[MÓDULO 5 – INSUMOS DIVERSOS]])-2,0)*($G206-$H206)</f>
        <v>332.23364609373232</v>
      </c>
      <c r="BO206" s="22">
        <f>VLOOKUP($A206,tabCustoUnit[],COLUMN(CUSTO_GLOBAL[[#Headers],[TOTAL MÓDULOS 1+2+3+4+5]])-2,0)*($G206-$H206)</f>
        <v>2103.1384999148136</v>
      </c>
      <c r="BP206" s="22">
        <f>VLOOKUP($A206,tabCustoUnit[],COLUMN(CUSTO_GLOBAL[[#Headers],[Custos Indiretos]])-2,0)*($G206-$H206)</f>
        <v>189.64880140242613</v>
      </c>
      <c r="BQ206" s="22">
        <f>VLOOKUP($A206,tabCustoUnit[],COLUMN(CUSTO_GLOBAL[[#Headers],[Lucro]])-2,0)*($G206-$H206)</f>
        <v>159.30499317803796</v>
      </c>
      <c r="BR206" s="26">
        <f>VLOOKUP($A206,tabCustoUnit[],COLUMN(CUSTO_GLOBAL[[#Headers],[COFINS]])-2,0)</f>
        <v>8.8629737609329504E-2</v>
      </c>
      <c r="BS206" s="26">
        <f>VLOOKUP($A206,tabCustoUnit[],COLUMN(CUSTO_GLOBAL[[#Headers],[PIS]])-2,0)</f>
        <v>1.9241982507288629E-2</v>
      </c>
      <c r="BT206" s="28">
        <f>VLOOKUP($A206,tabCustoUnit[],COLUMN(CUSTO_GLOBAL[[#Headers],[ISS]])-2,0)</f>
        <v>0.05</v>
      </c>
      <c r="BU206" s="26">
        <f>VLOOKUP($A206,tabCustoUnit[],COLUMN(CUSTO_GLOBAL[[#Headers],[ISS (Conversão Alíquota s/ fatura)]])-2,0)</f>
        <v>5.8309037900874633E-2</v>
      </c>
      <c r="BV206" s="26">
        <f>VLOOKUP($A206,tabCustoUnit[],COLUMN(CUSTO_GLOBAL[[#Headers],[Resumo de Alíquotas (PIS+CONFINS+ISS)]])-2,0)</f>
        <v>0.14250000000000002</v>
      </c>
      <c r="BW206" s="138">
        <f>VLOOKUP($A206,tabCustoUnit[],COLUMN(CUSTO_GLOBAL[[#Headers],[PIS + COFINS + ISS (Total Conversão  Alíquota s/ Fatura)]])-2,0)</f>
        <v>0.16618075801749277</v>
      </c>
      <c r="BX206" s="22">
        <f>VLOOKUP($A206,tabCustoUnit[],COLUMN(CUSTO_GLOBAL[[#Headers],[Valor dos Tributos (ISS, PIS, CONFINS)]])-2,0)*($G206-$H206)</f>
        <v>407.49055622807833</v>
      </c>
      <c r="BY206" s="22">
        <f>VLOOKUP($A206,tabCustoUnit[],COLUMN(CUSTO_GLOBAL[[#Headers],[MÓDULO 6 – CUSTOS INDIRETOS, TRIBUTOS E LUCRO]])-2,0)*($G206-$H206)</f>
        <v>756.44435080854237</v>
      </c>
      <c r="BZ206" s="22">
        <f>VLOOKUP($A206,tabCustoUnit[],COLUMN(CUSTO_GLOBAL[[#Headers],[CUSTO TOTAL MENSAL]])-2,0)*($G206-$H206)</f>
        <v>2859.5828507233559</v>
      </c>
      <c r="CA206" s="22">
        <f>CUSTO_GLOBAL[[#This Row],[CUSTO TOTAL MENSAL]]*12</f>
        <v>34314.994208680269</v>
      </c>
      <c r="CB206" s="24">
        <f>VLOOKUP($A206,tabCustoUnit[],COLUMN(CUSTO_GLOBAL[[#Headers],[ANO DA CCT]])-2,0)</f>
        <v>45658</v>
      </c>
      <c r="CC206" s="25" t="str">
        <f>VLOOKUP($A206,tabCustoUnit[],COLUMN(CUSTO_GLOBAL[[#Headers],[Nº DE PEDIDO DA CCT]])-2,0)</f>
        <v>-</v>
      </c>
      <c r="CD206" s="25" t="str">
        <f>VLOOKUP($A206,tabCustoUnit[],COLUMN(CUSTO_GLOBAL[[#Headers],[TERMO ADITIVO  ALTERAÇÃO DA CCT]])-2,0)</f>
        <v>-</v>
      </c>
      <c r="CF206" s="22"/>
      <c r="CG206" s="22"/>
    </row>
    <row r="207" spans="1:85" x14ac:dyDescent="0.25">
      <c r="A207" s="20" t="s">
        <v>1542</v>
      </c>
      <c r="B207" t="s">
        <v>187</v>
      </c>
      <c r="C207" t="s">
        <v>1244</v>
      </c>
      <c r="D207" t="s">
        <v>992</v>
      </c>
      <c r="E207" s="20" t="s">
        <v>9</v>
      </c>
      <c r="F207" s="20" t="s">
        <v>10</v>
      </c>
      <c r="G207" s="20">
        <v>1</v>
      </c>
      <c r="H207" s="20">
        <v>0</v>
      </c>
      <c r="I207" s="21">
        <f>VLOOKUP($A207,tabCustoUnit[],COLUMN(CUSTO_GLOBAL[[#Headers],[Salário Base]])-2,0)*($G207-$H207)</f>
        <v>798.14</v>
      </c>
      <c r="J207" s="21">
        <f>VLOOKUP($A207,tabCustoUnit[],COLUMN(CUSTO_GLOBAL[[#Headers],[Adicional Periculosidade]])-2,0)*($G207-$H207)</f>
        <v>0</v>
      </c>
      <c r="K207" s="21">
        <f>VLOOKUP($A207,tabCustoUnit[],COLUMN(CUSTO_GLOBAL[[#Headers],[Adicional Insalubridade]])-2,0)*($G207-$H207)</f>
        <v>0</v>
      </c>
      <c r="L207" s="21">
        <f>VLOOKUP($A207,tabCustoUnit[],COLUMN(CUSTO_GLOBAL[[#Headers],[Adicional Noturno]])-2,0)*($G207-$H207)</f>
        <v>0</v>
      </c>
      <c r="M207" s="21">
        <f>VLOOKUP($A207,tabCustoUnit[],COLUMN(CUSTO_GLOBAL[[#Headers],[Adicional Motorista II (Gratificação)]])-2,0)*($G207-$H207)</f>
        <v>0</v>
      </c>
      <c r="N207" s="21">
        <f>VLOOKUP($A207,tabCustoUnit[],COLUMN(CUSTO_GLOBAL[[#Headers],[Adicional de Sobreaviso]])-2,0)*($G207-$H207)</f>
        <v>0</v>
      </c>
      <c r="O207" s="21">
        <f>VLOOKUP($A207,tabCustoUnit[],COLUMN(CUSTO_GLOBAL[[#Headers],[Horas Extras TI]])-2,0)*($G207-$H207)</f>
        <v>0</v>
      </c>
      <c r="P207" s="21">
        <f>VLOOKUP($A207,tabCustoUnit[],COLUMN(CUSTO_GLOBAL[[#Headers],[Adicional de Acúmulo de função]])-2,0)*($G207-$H207)</f>
        <v>26.120899999999999</v>
      </c>
      <c r="Q207" s="21">
        <f>VLOOKUP($A207,tabCustoUnit[],COLUMN(CUSTO_GLOBAL[[#Headers],[MODULO 1 - REMUNERAÇÃO ]])-2,0)*($G207-$H207)</f>
        <v>824.26089999999999</v>
      </c>
      <c r="R207" s="21">
        <f>VLOOKUP($A207,tabCustoUnit[],COLUMN(CUSTO_GLOBAL[[#Headers],[INSS]])-2,0)*($G207-$H207)</f>
        <v>164.85218</v>
      </c>
      <c r="S207" s="21">
        <f>VLOOKUP($A207,tabCustoUnit[],COLUMN(CUSTO_GLOBAL[[#Headers],[SESI OU SESC]])-2,0)*($G207-$H207)</f>
        <v>12.363913499999999</v>
      </c>
      <c r="T207" s="21">
        <f>VLOOKUP($A207,tabCustoUnit[],COLUMN(CUSTO_GLOBAL[[#Headers],[SENAI OU SENAC]])-2,0)*($G207-$H207)</f>
        <v>8.2426089999999999</v>
      </c>
      <c r="U207" s="21">
        <f>VLOOKUP($A207,tabCustoUnit[],COLUMN(CUSTO_GLOBAL[[#Headers],[INCRA]])-2,0)*($G207-$H207)</f>
        <v>1.6485217999999999</v>
      </c>
      <c r="V207" s="21">
        <f>VLOOKUP($A207,tabCustoUnit[],COLUMN(CUSTO_GLOBAL[[#Headers],[Salário Educação]])-2,0)*($G207-$H207)</f>
        <v>20.606522500000001</v>
      </c>
      <c r="W207" s="21">
        <f>VLOOKUP($A207,tabCustoUnit[],COLUMN(CUSTO_GLOBAL[[#Headers],[FGTS]])-2,0)*($G207-$H207)</f>
        <v>65.940871999999999</v>
      </c>
      <c r="X207" s="21">
        <f>VLOOKUP($A207,tabCustoUnit[],COLUMN(CUSTO_GLOBAL[[#Headers],[RAT Ajustado]])-2,0)*($G207-$H207)</f>
        <v>32.970435999999999</v>
      </c>
      <c r="Y207" s="21">
        <f>VLOOKUP($A207,tabCustoUnit[],COLUMN(CUSTO_GLOBAL[[#Headers],[SEBRAE]])-2,0)*($G207-$H207)</f>
        <v>4.9455654000000004</v>
      </c>
      <c r="Z207" s="21">
        <f>VLOOKUP($A207,tabCustoUnit[],COLUMN(CUSTO_GLOBAL[[#Headers],[Submódulo 2.1]])-2,0)*($G207-$H207)</f>
        <v>311.57062020000001</v>
      </c>
      <c r="AA207" s="21">
        <f>VLOOKUP($A207,tabCustoUnit[],COLUMN(CUSTO_GLOBAL[[#Headers],[13º salário (titular)]])-2,0)*($G207-$H207)</f>
        <v>68.688408333333328</v>
      </c>
      <c r="AB207" s="21">
        <f>VLOOKUP($A207,tabCustoUnit[],COLUMN(CUSTO_GLOBAL[[#Headers],[Férias e Adicional de Férias (titular)]])-2,0)*($G207-$H207)</f>
        <v>91.584544444444433</v>
      </c>
      <c r="AC207" s="21">
        <f>VLOOKUP($A207,tabCustoUnit[],COLUMN(CUSTO_GLOBAL[[#Headers],[Incidência do Submódulo 2.1 sobre 13º Salário, Férias e Adicional de Férias]])-2,0)*($G207-$H207)</f>
        <v>60.583176149999993</v>
      </c>
      <c r="AD207" s="21">
        <f>VLOOKUP($A207,tabCustoUnit[],COLUMN(CUSTO_GLOBAL[[#Headers],[Submódulo 2.2]])-2,0)*($G207-$H207)</f>
        <v>220.85612892777775</v>
      </c>
      <c r="AE207" s="22">
        <f>VLOOKUP($A207,tabCustoUnit[],COLUMN(CUSTO_GLOBAL[[#Headers],[Vale - Transporte (Descontada parcela do empregado)]])-2,0)*($G207-$H207)</f>
        <v>208.11160000000001</v>
      </c>
      <c r="AF207" s="22">
        <f>VLOOKUP($A207,tabCustoUnit[],COLUMN(CUSTO_GLOBAL[[#Headers],[Vale - Alimentação (Descontada parcela do empregado)]])-2,0)*($G207-$H207)</f>
        <v>0</v>
      </c>
      <c r="AG207" s="22">
        <f>VLOOKUP($A207,tabCustoUnit[],COLUMN(CUSTO_GLOBAL[[#Headers],[Cesta Básica]])-2,0)*($G207-$H207)</f>
        <v>387.79</v>
      </c>
      <c r="AH207" s="22">
        <f>VLOOKUP($A207,tabCustoUnit[],COLUMN(CUSTO_GLOBAL[[#Headers],[PAF]])-2,0)*($G207-$H207)</f>
        <v>42.97</v>
      </c>
      <c r="AI207" s="22">
        <f>VLOOKUP($A207,tabCustoUnit[],COLUMN(CUSTO_GLOBAL[[#Headers],[PQM]])-2,0)*($G207-$H207)</f>
        <v>0</v>
      </c>
      <c r="AJ207" s="22">
        <v>0</v>
      </c>
      <c r="AK207" s="22">
        <f>VLOOKUP($A207,tabCustoUnit[],COLUMN(CUSTO_GLOBAL[[#Headers],[Seguro de Vida]])-2,0)*($G207-$H207)</f>
        <v>3.36</v>
      </c>
      <c r="AL207" s="22">
        <f>VLOOKUP($A207,tabCustoUnit[],COLUMN(CUSTO_GLOBAL[[#Headers],[Despesas de Viagem]])-2,0)*($G207-$H207)</f>
        <v>0</v>
      </c>
      <c r="AM207" s="22">
        <f>VLOOKUP($A207,tabCustoUnit[],COLUMN(CUSTO_GLOBAL[[#Headers],[Submódulo 2.3]])-2,0)*($G207-$H207)</f>
        <v>642.23160000000007</v>
      </c>
      <c r="AN207" s="22">
        <f>VLOOKUP($A207,tabCustoUnit[],COLUMN(CUSTO_GLOBAL[[#Headers],[MÓDULO 2 - Total Encargos e Benefícios mensais e diários]])-2,0)*($G207-$H207)</f>
        <v>1174.6583491277779</v>
      </c>
      <c r="AO207" s="22">
        <f>VLOOKUP($A207,tabCustoUnit[],COLUMN(CUSTO_GLOBAL[[#Headers],[Aviso Prévio Indenizado (API) e Reflexo do Aviso Prévio Indenizado]])-2,0)*($G207-$H207)</f>
        <v>5.7795253576581791</v>
      </c>
      <c r="AP207" s="22">
        <f>VLOOKUP($A207,tabCustoUnit[],COLUMN(CUSTO_GLOBAL[[#Headers],[Incidência do FGTS sobre API e Reflexo do API]])-2,0)*($G207-$H207)</f>
        <v>0.46236202861265435</v>
      </c>
      <c r="AQ207" s="22">
        <f>VLOOKUP($A207,tabCustoUnit[],COLUMN(CUSTO_GLOBAL[[#Headers],[Multa Rescisória do FGTS sobre o Aviso Prévio Indenizado]])-2,0)*($G207-$H207)</f>
        <v>0.18494481144506175</v>
      </c>
      <c r="AR207" s="22">
        <f>VLOOKUP($A207,tabCustoUnit[],COLUMN(CUSTO_GLOBAL[[#Headers],[Aviso Prévio Trabalhado - APT]])-2,0)*($G207-$H207)</f>
        <v>2.8849131500000005</v>
      </c>
      <c r="AS207" s="22">
        <f>VLOOKUP($A207,tabCustoUnit[],COLUMN(CUSTO_GLOBAL[[#Headers],[Incidência dos encargos do submódulo 2.1 sobre Aviso Prévio Trabalhado]])-2,0)*($G207-$H207)</f>
        <v>1.0904971707000004</v>
      </c>
      <c r="AT207" s="22">
        <f>VLOOKUP($A207,tabCustoUnit[],COLUMN(CUSTO_GLOBAL[[#Headers],[Multa Rescisória do FGTS]])-2,0)*($G207-$H207)</f>
        <v>25.204066631111107</v>
      </c>
      <c r="AU207" s="22">
        <f>VLOOKUP($A207,tabCustoUnit[],COLUMN(CUSTO_GLOBAL[[#Headers],[Indenização Adicional (Art. 9º da Lei nº 7.238/84)]])-2,0)*($G207-$H207)</f>
        <v>0.6868840833333334</v>
      </c>
      <c r="AV207" s="22">
        <f>VLOOKUP($A207,tabCustoUnit[],COLUMN(CUSTO_GLOBAL[[#Headers],[MÓDULO 3 – PROVISÃO PARA RESCISÃO]])-2,0)*($G207-$H207)</f>
        <v>36.293193232860339</v>
      </c>
      <c r="AW207" s="22">
        <f>VLOOKUP($A207,tabCustoUnit[],COLUMN(CUSTO_GLOBAL[[#Headers],[Ausência por Doença]])-2,0)*($G207-$H207)</f>
        <v>6.9604253777777769</v>
      </c>
      <c r="AX207" s="22">
        <f>VLOOKUP($A207,tabCustoUnit[],COLUMN(CUSTO_GLOBAL[[#Headers],[Ausências Legais]])-2,0)*($G207-$H207)</f>
        <v>1.671417936111111</v>
      </c>
      <c r="AY207" s="22">
        <f>VLOOKUP($A207,tabCustoUnit[],COLUMN(CUSTO_GLOBAL[[#Headers],[Licença Paternidade]])-2,0)*($G207-$H207)</f>
        <v>0.14081123708333332</v>
      </c>
      <c r="AZ207" s="22">
        <f>VLOOKUP($A207,tabCustoUnit[],COLUMN(CUSTO_GLOBAL[[#Headers],[Ausência por Acidente de Trabalho]])-2,0)*($G207-$H207)</f>
        <v>0.17172102083333335</v>
      </c>
      <c r="BA207" s="22">
        <f>VLOOKUP($A207,tabCustoUnit[],COLUMN(CUSTO_GLOBAL[[#Headers],[Férias, Adicional de Férias e 13º  com empregada em gozo de Licença Maternidade]])-2,0)*($G207-$H207)</f>
        <v>1.0684863518518517</v>
      </c>
      <c r="BB207" s="22">
        <f>VLOOKUP($A207,tabCustoUnit[],COLUMN(CUSTO_GLOBAL[[#Headers],[Incidência do Submódulo 2.1 sobre Ausências Legais]])-2,0)*($G207-$H207)</f>
        <v>3.7848618071425006</v>
      </c>
      <c r="BC207" s="22">
        <f>VLOOKUP($A207,tabCustoUnit[],COLUMN(CUSTO_GLOBAL[[#Headers],[Submódulo 4.1]])-2,0)*($G207-$H207)</f>
        <v>13.797723730799909</v>
      </c>
      <c r="BD207" s="22">
        <f>VLOOKUP($A207,tabCustoUnit[],COLUMN(CUSTO_GLOBAL[[#Headers],[Intervalo para Repouso ou Alimentação]])-2,0)*($G207-$H207)</f>
        <v>0</v>
      </c>
      <c r="BE207" s="22">
        <f>VLOOKUP($A207,tabCustoUnit[],COLUMN(CUSTO_GLOBAL[[#Headers],[Submódulo 4.2]])-2,0)*($G207-$H207)</f>
        <v>0</v>
      </c>
      <c r="BF207" s="22">
        <f>VLOOKUP($A207,tabCustoUnit[],COLUMN(CUSTO_GLOBAL[[#Headers],[Suspensão Temporária do Contrato de Trabalho]])-2,0)*($G207-$H207)</f>
        <v>0</v>
      </c>
      <c r="BG207" s="22">
        <f>VLOOKUP($A207,tabCustoUnit[],COLUMN(CUSTO_GLOBAL[[#Headers],[Submódulo 4.3]])-2,0)*($G207-$H207)</f>
        <v>0</v>
      </c>
      <c r="BH207" s="22">
        <f>VLOOKUP($A207,tabCustoUnit[],COLUMN(CUSTO_GLOBAL[[#Headers],[MÓDULO 4 – CUSTO DE REPOSIÇÃO DO PROFISSIONAL AUSENTE]])-2,0)*($G207-$H207)</f>
        <v>13.797723730799909</v>
      </c>
      <c r="BI207" s="22">
        <f>VLOOKUP($A207,tabCustoUnit[],COLUMN(CUSTO_GLOBAL[[#Headers],[Uniformes e EPIs]])-2,0)*($G207-$H207)</f>
        <v>62.806666666666665</v>
      </c>
      <c r="BJ207" s="22">
        <f>VLOOKUP($A207,tabCustoUnit[],COLUMN(CUSTO_GLOBAL[[#Headers],[Materiais de Consumo]])-2,0)*($G207-$H207)</f>
        <v>17.759106479291944</v>
      </c>
      <c r="BK207" s="22">
        <f>VLOOKUP($A207,tabCustoUnit[],COLUMN(CUSTO_GLOBAL[[#Headers],[Máquinas e Equipamentos (depreciação)]])-2,0)*($G207-$H207)</f>
        <v>32.264696957412788</v>
      </c>
      <c r="BL207" s="22">
        <f>VLOOKUP($A207,tabCustoUnit[],COLUMN(CUSTO_GLOBAL[[#Headers],[Produtos de Limpeza e Materiais de Higiene Pessoal]])-2,0)*($G207-$H207)</f>
        <v>345.13576638965827</v>
      </c>
      <c r="BM207" s="22">
        <f>VLOOKUP($A207,tabCustoUnit[],COLUMN(CUSTO_GLOBAL[[#Headers],[Outros (especificar)]])-2,0)*($G207-$H207)</f>
        <v>0</v>
      </c>
      <c r="BN207" s="22">
        <f>VLOOKUP($A207,tabCustoUnit[],COLUMN(CUSTO_GLOBAL[[#Headers],[MÓDULO 5 – INSUMOS DIVERSOS]])-2,0)*($G207-$H207)</f>
        <v>457.96623649302967</v>
      </c>
      <c r="BO207" s="22">
        <f>VLOOKUP($A207,tabCustoUnit[],COLUMN(CUSTO_GLOBAL[[#Headers],[TOTAL MÓDULOS 1+2+3+4+5]])-2,0)*($G207-$H207)</f>
        <v>2506.9764025844679</v>
      </c>
      <c r="BP207" s="22">
        <f>VLOOKUP($A207,tabCustoUnit[],COLUMN(CUSTO_GLOBAL[[#Headers],[Custos Indiretos]])-2,0)*($G207-$H207)</f>
        <v>189.64880140242613</v>
      </c>
      <c r="BQ207" s="22">
        <f>VLOOKUP($A207,tabCustoUnit[],COLUMN(CUSTO_GLOBAL[[#Headers],[Lucro]])-2,0)*($G207-$H207)</f>
        <v>159.30499317803796</v>
      </c>
      <c r="BR207" s="26">
        <f>VLOOKUP($A207,tabCustoUnit[],COLUMN(CUSTO_GLOBAL[[#Headers],[COFINS]])-2,0)</f>
        <v>8.6609686609686695E-2</v>
      </c>
      <c r="BS207" s="26">
        <f>VLOOKUP($A207,tabCustoUnit[],COLUMN(CUSTO_GLOBAL[[#Headers],[PIS]])-2,0)</f>
        <v>1.880341880341882E-2</v>
      </c>
      <c r="BT207" s="28">
        <f>VLOOKUP($A207,tabCustoUnit[],COLUMN(CUSTO_GLOBAL[[#Headers],[ISS]])-2,0)</f>
        <v>0.03</v>
      </c>
      <c r="BU207" s="26">
        <f>VLOOKUP($A207,tabCustoUnit[],COLUMN(CUSTO_GLOBAL[[#Headers],[ISS (Conversão Alíquota s/ fatura)]])-2,0)</f>
        <v>3.4188034188034219E-2</v>
      </c>
      <c r="BV207" s="26">
        <f>VLOOKUP($A207,tabCustoUnit[],COLUMN(CUSTO_GLOBAL[[#Headers],[Resumo de Alíquotas (PIS+CONFINS+ISS)]])-2,0)</f>
        <v>0.1225</v>
      </c>
      <c r="BW207" s="138">
        <f>VLOOKUP($A207,tabCustoUnit[],COLUMN(CUSTO_GLOBAL[[#Headers],[PIS + COFINS + ISS (Total Conversão  Alíquota s/ Fatura)]])-2,0)</f>
        <v>0.13960113960113973</v>
      </c>
      <c r="BX207" s="22">
        <f>VLOOKUP($A207,tabCustoUnit[],COLUMN(CUSTO_GLOBAL[[#Headers],[Valor dos Tributos (ISS, PIS, CONFINS)]])-2,0)*($G207-$H207)</f>
        <v>398.69111014553221</v>
      </c>
      <c r="BY207" s="22">
        <f>VLOOKUP($A207,tabCustoUnit[],COLUMN(CUSTO_GLOBAL[[#Headers],[MÓDULO 6 – CUSTOS INDIRETOS, TRIBUTOS E LUCRO]])-2,0)*($G207-$H207)</f>
        <v>747.6449047259963</v>
      </c>
      <c r="BZ207" s="22">
        <f>VLOOKUP($A207,tabCustoUnit[],COLUMN(CUSTO_GLOBAL[[#Headers],[CUSTO TOTAL MENSAL]])-2,0)*($G207-$H207)</f>
        <v>3254.6213073104641</v>
      </c>
      <c r="CA207" s="22">
        <f>CUSTO_GLOBAL[[#This Row],[CUSTO TOTAL MENSAL]]*12</f>
        <v>39055.455687725567</v>
      </c>
      <c r="CB207" s="24">
        <f>VLOOKUP($A207,tabCustoUnit[],COLUMN(CUSTO_GLOBAL[[#Headers],[ANO DA CCT]])-2,0)</f>
        <v>45658</v>
      </c>
      <c r="CC207" s="25" t="str">
        <f>VLOOKUP($A207,tabCustoUnit[],COLUMN(CUSTO_GLOBAL[[#Headers],[Nº DE PEDIDO DA CCT]])-2,0)</f>
        <v>-</v>
      </c>
      <c r="CD207" s="25" t="str">
        <f>VLOOKUP($A207,tabCustoUnit[],COLUMN(CUSTO_GLOBAL[[#Headers],[TERMO ADITIVO  ALTERAÇÃO DA CCT]])-2,0)</f>
        <v>-</v>
      </c>
      <c r="CF207" s="22"/>
      <c r="CG207" s="22"/>
    </row>
    <row r="208" spans="1:85" x14ac:dyDescent="0.25">
      <c r="A208" s="20" t="s">
        <v>1543</v>
      </c>
      <c r="B208" t="s">
        <v>188</v>
      </c>
      <c r="C208" t="s">
        <v>1247</v>
      </c>
      <c r="D208" t="s">
        <v>1018</v>
      </c>
      <c r="E208" s="20" t="s">
        <v>9</v>
      </c>
      <c r="F208" s="20" t="s">
        <v>10</v>
      </c>
      <c r="G208" s="20">
        <v>1</v>
      </c>
      <c r="H208" s="20">
        <v>0</v>
      </c>
      <c r="I208" s="21">
        <f>VLOOKUP($A208,tabCustoUnit[],COLUMN(CUSTO_GLOBAL[[#Headers],[Salário Base]])-2,0)*($G208-$H208)</f>
        <v>544.17999999999995</v>
      </c>
      <c r="J208" s="21">
        <f>VLOOKUP($A208,tabCustoUnit[],COLUMN(CUSTO_GLOBAL[[#Headers],[Adicional Periculosidade]])-2,0)*($G208-$H208)</f>
        <v>0</v>
      </c>
      <c r="K208" s="21">
        <f>VLOOKUP($A208,tabCustoUnit[],COLUMN(CUSTO_GLOBAL[[#Headers],[Adicional Insalubridade]])-2,0)*($G208-$H208)</f>
        <v>0</v>
      </c>
      <c r="L208" s="21">
        <f>VLOOKUP($A208,tabCustoUnit[],COLUMN(CUSTO_GLOBAL[[#Headers],[Adicional Noturno]])-2,0)*($G208-$H208)</f>
        <v>0</v>
      </c>
      <c r="M208" s="21">
        <f>VLOOKUP($A208,tabCustoUnit[],COLUMN(CUSTO_GLOBAL[[#Headers],[Adicional Motorista II (Gratificação)]])-2,0)*($G208-$H208)</f>
        <v>0</v>
      </c>
      <c r="N208" s="21">
        <f>VLOOKUP($A208,tabCustoUnit[],COLUMN(CUSTO_GLOBAL[[#Headers],[Adicional de Sobreaviso]])-2,0)*($G208-$H208)</f>
        <v>0</v>
      </c>
      <c r="O208" s="21">
        <f>VLOOKUP($A208,tabCustoUnit[],COLUMN(CUSTO_GLOBAL[[#Headers],[Horas Extras TI]])-2,0)*($G208-$H208)</f>
        <v>0</v>
      </c>
      <c r="P208" s="21">
        <f>VLOOKUP($A208,tabCustoUnit[],COLUMN(CUSTO_GLOBAL[[#Headers],[Adicional de Acúmulo de função]])-2,0)*($G208-$H208)</f>
        <v>19.590499999999999</v>
      </c>
      <c r="Q208" s="21">
        <f>VLOOKUP($A208,tabCustoUnit[],COLUMN(CUSTO_GLOBAL[[#Headers],[MODULO 1 - REMUNERAÇÃO ]])-2,0)*($G208-$H208)</f>
        <v>563.77049999999997</v>
      </c>
      <c r="R208" s="21">
        <f>VLOOKUP($A208,tabCustoUnit[],COLUMN(CUSTO_GLOBAL[[#Headers],[INSS]])-2,0)*($G208-$H208)</f>
        <v>112.75409999999999</v>
      </c>
      <c r="S208" s="21">
        <f>VLOOKUP($A208,tabCustoUnit[],COLUMN(CUSTO_GLOBAL[[#Headers],[SESI OU SESC]])-2,0)*($G208-$H208)</f>
        <v>8.4565574999999988</v>
      </c>
      <c r="T208" s="21">
        <f>VLOOKUP($A208,tabCustoUnit[],COLUMN(CUSTO_GLOBAL[[#Headers],[SENAI OU SENAC]])-2,0)*($G208-$H208)</f>
        <v>5.6377049999999995</v>
      </c>
      <c r="U208" s="21">
        <f>VLOOKUP($A208,tabCustoUnit[],COLUMN(CUSTO_GLOBAL[[#Headers],[INCRA]])-2,0)*($G208-$H208)</f>
        <v>1.1275409999999999</v>
      </c>
      <c r="V208" s="21">
        <f>VLOOKUP($A208,tabCustoUnit[],COLUMN(CUSTO_GLOBAL[[#Headers],[Salário Educação]])-2,0)*($G208-$H208)</f>
        <v>14.094262499999999</v>
      </c>
      <c r="W208" s="21">
        <f>VLOOKUP($A208,tabCustoUnit[],COLUMN(CUSTO_GLOBAL[[#Headers],[FGTS]])-2,0)*($G208-$H208)</f>
        <v>45.101639999999996</v>
      </c>
      <c r="X208" s="21">
        <f>VLOOKUP($A208,tabCustoUnit[],COLUMN(CUSTO_GLOBAL[[#Headers],[RAT Ajustado]])-2,0)*($G208-$H208)</f>
        <v>22.550819999999998</v>
      </c>
      <c r="Y208" s="21">
        <f>VLOOKUP($A208,tabCustoUnit[],COLUMN(CUSTO_GLOBAL[[#Headers],[SEBRAE]])-2,0)*($G208-$H208)</f>
        <v>3.3826229999999997</v>
      </c>
      <c r="Z208" s="21">
        <f>VLOOKUP($A208,tabCustoUnit[],COLUMN(CUSTO_GLOBAL[[#Headers],[Submódulo 2.1]])-2,0)*($G208-$H208)</f>
        <v>213.10524899999996</v>
      </c>
      <c r="AA208" s="21">
        <f>VLOOKUP($A208,tabCustoUnit[],COLUMN(CUSTO_GLOBAL[[#Headers],[13º salário (titular)]])-2,0)*($G208-$H208)</f>
        <v>46.980874999999997</v>
      </c>
      <c r="AB208" s="21">
        <f>VLOOKUP($A208,tabCustoUnit[],COLUMN(CUSTO_GLOBAL[[#Headers],[Férias e Adicional de Férias (titular)]])-2,0)*($G208-$H208)</f>
        <v>62.641166666666663</v>
      </c>
      <c r="AC208" s="21">
        <f>VLOOKUP($A208,tabCustoUnit[],COLUMN(CUSTO_GLOBAL[[#Headers],[Incidência do Submódulo 2.1 sobre 13º Salário, Férias e Adicional de Férias]])-2,0)*($G208-$H208)</f>
        <v>41.437131749999992</v>
      </c>
      <c r="AD208" s="21">
        <f>VLOOKUP($A208,tabCustoUnit[],COLUMN(CUSTO_GLOBAL[[#Headers],[Submódulo 2.2]])-2,0)*($G208-$H208)</f>
        <v>151.05917341666665</v>
      </c>
      <c r="AE208" s="22">
        <f>VLOOKUP($A208,tabCustoUnit[],COLUMN(CUSTO_GLOBAL[[#Headers],[Vale - Transporte (Descontada parcela do empregado)]])-2,0)*($G208-$H208)</f>
        <v>223.3492</v>
      </c>
      <c r="AF208" s="22">
        <f>VLOOKUP($A208,tabCustoUnit[],COLUMN(CUSTO_GLOBAL[[#Headers],[Vale - Alimentação (Descontada parcela do empregado)]])-2,0)*($G208-$H208)</f>
        <v>582</v>
      </c>
      <c r="AG208" s="22">
        <f>VLOOKUP($A208,tabCustoUnit[],COLUMN(CUSTO_GLOBAL[[#Headers],[Cesta Básica]])-2,0)*($G208-$H208)</f>
        <v>0</v>
      </c>
      <c r="AH208" s="22">
        <f>VLOOKUP($A208,tabCustoUnit[],COLUMN(CUSTO_GLOBAL[[#Headers],[PAF]])-2,0)*($G208-$H208)</f>
        <v>51.88</v>
      </c>
      <c r="AI208" s="22">
        <f>VLOOKUP($A208,tabCustoUnit[],COLUMN(CUSTO_GLOBAL[[#Headers],[PQM]])-2,0)*($G208-$H208)</f>
        <v>0</v>
      </c>
      <c r="AJ208" s="22">
        <v>0</v>
      </c>
      <c r="AK208" s="22">
        <f>VLOOKUP($A208,tabCustoUnit[],COLUMN(CUSTO_GLOBAL[[#Headers],[Seguro de Vida]])-2,0)*($G208-$H208)</f>
        <v>3.36</v>
      </c>
      <c r="AL208" s="22">
        <f>VLOOKUP($A208,tabCustoUnit[],COLUMN(CUSTO_GLOBAL[[#Headers],[Despesas de Viagem]])-2,0)*($G208-$H208)</f>
        <v>0</v>
      </c>
      <c r="AM208" s="22">
        <f>VLOOKUP($A208,tabCustoUnit[],COLUMN(CUSTO_GLOBAL[[#Headers],[Submódulo 2.3]])-2,0)*($G208-$H208)</f>
        <v>860.58920000000001</v>
      </c>
      <c r="AN208" s="22">
        <f>VLOOKUP($A208,tabCustoUnit[],COLUMN(CUSTO_GLOBAL[[#Headers],[MÓDULO 2 - Total Encargos e Benefícios mensais e diários]])-2,0)*($G208-$H208)</f>
        <v>1224.7536224166665</v>
      </c>
      <c r="AO208" s="22">
        <f>VLOOKUP($A208,tabCustoUnit[],COLUMN(CUSTO_GLOBAL[[#Headers],[Aviso Prévio Indenizado (API) e Reflexo do Aviso Prévio Indenizado]])-2,0)*($G208-$H208)</f>
        <v>3.9530273735532404</v>
      </c>
      <c r="AP208" s="22">
        <f>VLOOKUP($A208,tabCustoUnit[],COLUMN(CUSTO_GLOBAL[[#Headers],[Incidência do FGTS sobre API e Reflexo do API]])-2,0)*($G208-$H208)</f>
        <v>0.31624218988425928</v>
      </c>
      <c r="AQ208" s="22">
        <f>VLOOKUP($A208,tabCustoUnit[],COLUMN(CUSTO_GLOBAL[[#Headers],[Multa Rescisória do FGTS sobre o Aviso Prévio Indenizado]])-2,0)*($G208-$H208)</f>
        <v>0.12649687595370371</v>
      </c>
      <c r="AR208" s="22">
        <f>VLOOKUP($A208,tabCustoUnit[],COLUMN(CUSTO_GLOBAL[[#Headers],[Aviso Prévio Trabalhado - APT]])-2,0)*($G208-$H208)</f>
        <v>1.9731967500000003</v>
      </c>
      <c r="AS208" s="22">
        <f>VLOOKUP($A208,tabCustoUnit[],COLUMN(CUSTO_GLOBAL[[#Headers],[Incidência dos encargos do submódulo 2.1 sobre Aviso Prévio Trabalhado]])-2,0)*($G208-$H208)</f>
        <v>0.74586837150000018</v>
      </c>
      <c r="AT208" s="22">
        <f>VLOOKUP($A208,tabCustoUnit[],COLUMN(CUSTO_GLOBAL[[#Headers],[Multa Rescisória do FGTS]])-2,0)*($G208-$H208)</f>
        <v>17.238849066666663</v>
      </c>
      <c r="AU208" s="22">
        <f>VLOOKUP($A208,tabCustoUnit[],COLUMN(CUSTO_GLOBAL[[#Headers],[Indenização Adicional (Art. 9º da Lei nº 7.238/84)]])-2,0)*($G208-$H208)</f>
        <v>0.46980875</v>
      </c>
      <c r="AV208" s="22">
        <f>VLOOKUP($A208,tabCustoUnit[],COLUMN(CUSTO_GLOBAL[[#Headers],[MÓDULO 3 – PROVISÃO PARA RESCISÃO]])-2,0)*($G208-$H208)</f>
        <v>24.823489377557866</v>
      </c>
      <c r="AW208" s="22">
        <f>VLOOKUP($A208,tabCustoUnit[],COLUMN(CUSTO_GLOBAL[[#Headers],[Ausência por Doença]])-2,0)*($G208-$H208)</f>
        <v>4.7607286666666662</v>
      </c>
      <c r="AX208" s="22">
        <f>VLOOKUP($A208,tabCustoUnit[],COLUMN(CUSTO_GLOBAL[[#Headers],[Ausências Legais]])-2,0)*($G208-$H208)</f>
        <v>1.1432012916666665</v>
      </c>
      <c r="AY208" s="22">
        <f>VLOOKUP($A208,tabCustoUnit[],COLUMN(CUSTO_GLOBAL[[#Headers],[Licença Paternidade]])-2,0)*($G208-$H208)</f>
        <v>9.6310793749999998E-2</v>
      </c>
      <c r="AZ208" s="22">
        <f>VLOOKUP($A208,tabCustoUnit[],COLUMN(CUSTO_GLOBAL[[#Headers],[Ausência por Acidente de Trabalho]])-2,0)*($G208-$H208)</f>
        <v>0.1174521875</v>
      </c>
      <c r="BA208" s="22">
        <f>VLOOKUP($A208,tabCustoUnit[],COLUMN(CUSTO_GLOBAL[[#Headers],[Férias, Adicional de Férias e 13º  com empregada em gozo de Licença Maternidade]])-2,0)*($G208-$H208)</f>
        <v>0.73081361111111109</v>
      </c>
      <c r="BB208" s="22">
        <f>VLOOKUP($A208,tabCustoUnit[],COLUMN(CUSTO_GLOBAL[[#Headers],[Incidência do Submódulo 2.1 sobre Ausências Legais]])-2,0)*($G208-$H208)</f>
        <v>2.5887354761625003</v>
      </c>
      <c r="BC208" s="22">
        <f>VLOOKUP($A208,tabCustoUnit[],COLUMN(CUSTO_GLOBAL[[#Headers],[Submódulo 4.1]])-2,0)*($G208-$H208)</f>
        <v>9.4372420268569428</v>
      </c>
      <c r="BD208" s="22">
        <f>VLOOKUP($A208,tabCustoUnit[],COLUMN(CUSTO_GLOBAL[[#Headers],[Intervalo para Repouso ou Alimentação]])-2,0)*($G208-$H208)</f>
        <v>0</v>
      </c>
      <c r="BE208" s="22">
        <f>VLOOKUP($A208,tabCustoUnit[],COLUMN(CUSTO_GLOBAL[[#Headers],[Submódulo 4.2]])-2,0)*($G208-$H208)</f>
        <v>0</v>
      </c>
      <c r="BF208" s="22">
        <f>VLOOKUP($A208,tabCustoUnit[],COLUMN(CUSTO_GLOBAL[[#Headers],[Suspensão Temporária do Contrato de Trabalho]])-2,0)*($G208-$H208)</f>
        <v>0</v>
      </c>
      <c r="BG208" s="22">
        <f>VLOOKUP($A208,tabCustoUnit[],COLUMN(CUSTO_GLOBAL[[#Headers],[Submódulo 4.3]])-2,0)*($G208-$H208)</f>
        <v>0</v>
      </c>
      <c r="BH208" s="22">
        <f>VLOOKUP($A208,tabCustoUnit[],COLUMN(CUSTO_GLOBAL[[#Headers],[MÓDULO 4 – CUSTO DE REPOSIÇÃO DO PROFISSIONAL AUSENTE]])-2,0)*($G208-$H208)</f>
        <v>9.4372420268569428</v>
      </c>
      <c r="BI208" s="22">
        <f>VLOOKUP($A208,tabCustoUnit[],COLUMN(CUSTO_GLOBAL[[#Headers],[Uniformes e EPIs]])-2,0)*($G208-$H208)</f>
        <v>62.806666666666665</v>
      </c>
      <c r="BJ208" s="22">
        <f>VLOOKUP($A208,tabCustoUnit[],COLUMN(CUSTO_GLOBAL[[#Headers],[Materiais de Consumo]])-2,0)*($G208-$H208)</f>
        <v>12.108481690426325</v>
      </c>
      <c r="BK208" s="22">
        <f>VLOOKUP($A208,tabCustoUnit[],COLUMN(CUSTO_GLOBAL[[#Headers],[Máquinas e Equipamentos (depreciação)]])-2,0)*($G208-$H208)</f>
        <v>21.998657016417809</v>
      </c>
      <c r="BL208" s="22">
        <f>VLOOKUP($A208,tabCustoUnit[],COLUMN(CUSTO_GLOBAL[[#Headers],[Produtos de Limpeza e Materiais de Higiene Pessoal]])-2,0)*($G208-$H208)</f>
        <v>235.31984072022155</v>
      </c>
      <c r="BM208" s="22">
        <f>VLOOKUP($A208,tabCustoUnit[],COLUMN(CUSTO_GLOBAL[[#Headers],[Outros (especificar)]])-2,0)*($G208-$H208)</f>
        <v>0</v>
      </c>
      <c r="BN208" s="22">
        <f>VLOOKUP($A208,tabCustoUnit[],COLUMN(CUSTO_GLOBAL[[#Headers],[MÓDULO 5 – INSUMOS DIVERSOS]])-2,0)*($G208-$H208)</f>
        <v>332.23364609373232</v>
      </c>
      <c r="BO208" s="22">
        <f>VLOOKUP($A208,tabCustoUnit[],COLUMN(CUSTO_GLOBAL[[#Headers],[TOTAL MÓDULOS 1+2+3+4+5]])-2,0)*($G208-$H208)</f>
        <v>2155.0184999148137</v>
      </c>
      <c r="BP208" s="22">
        <f>VLOOKUP($A208,tabCustoUnit[],COLUMN(CUSTO_GLOBAL[[#Headers],[Custos Indiretos]])-2,0)*($G208-$H208)</f>
        <v>189.64880140242613</v>
      </c>
      <c r="BQ208" s="22">
        <f>VLOOKUP($A208,tabCustoUnit[],COLUMN(CUSTO_GLOBAL[[#Headers],[Lucro]])-2,0)*($G208-$H208)</f>
        <v>159.30499317803796</v>
      </c>
      <c r="BR208" s="26">
        <f>VLOOKUP($A208,tabCustoUnit[],COLUMN(CUSTO_GLOBAL[[#Headers],[COFINS]])-2,0)</f>
        <v>8.6609686609686695E-2</v>
      </c>
      <c r="BS208" s="26">
        <f>VLOOKUP($A208,tabCustoUnit[],COLUMN(CUSTO_GLOBAL[[#Headers],[PIS]])-2,0)</f>
        <v>1.880341880341882E-2</v>
      </c>
      <c r="BT208" s="28">
        <f>VLOOKUP($A208,tabCustoUnit[],COLUMN(CUSTO_GLOBAL[[#Headers],[ISS]])-2,0)</f>
        <v>0.03</v>
      </c>
      <c r="BU208" s="26">
        <f>VLOOKUP($A208,tabCustoUnit[],COLUMN(CUSTO_GLOBAL[[#Headers],[ISS (Conversão Alíquota s/ fatura)]])-2,0)</f>
        <v>3.4188034188034219E-2</v>
      </c>
      <c r="BV208" s="26">
        <f>VLOOKUP($A208,tabCustoUnit[],COLUMN(CUSTO_GLOBAL[[#Headers],[Resumo de Alíquotas (PIS+CONFINS+ISS)]])-2,0)</f>
        <v>0.1225</v>
      </c>
      <c r="BW208" s="138">
        <f>VLOOKUP($A208,tabCustoUnit[],COLUMN(CUSTO_GLOBAL[[#Headers],[PIS + COFINS + ISS (Total Conversão  Alíquota s/ Fatura)]])-2,0)</f>
        <v>0.13960113960113973</v>
      </c>
      <c r="BX208" s="22">
        <f>VLOOKUP($A208,tabCustoUnit[],COLUMN(CUSTO_GLOBAL[[#Headers],[Valor dos Tributos (ISS, PIS, CONFINS)]])-2,0)*($G208-$H208)</f>
        <v>349.55738584122145</v>
      </c>
      <c r="BY208" s="22">
        <f>VLOOKUP($A208,tabCustoUnit[],COLUMN(CUSTO_GLOBAL[[#Headers],[MÓDULO 6 – CUSTOS INDIRETOS, TRIBUTOS E LUCRO]])-2,0)*($G208-$H208)</f>
        <v>698.51118042168559</v>
      </c>
      <c r="BZ208" s="22">
        <f>VLOOKUP($A208,tabCustoUnit[],COLUMN(CUSTO_GLOBAL[[#Headers],[CUSTO TOTAL MENSAL]])-2,0)*($G208-$H208)</f>
        <v>2853.529680336499</v>
      </c>
      <c r="CA208" s="22">
        <f>CUSTO_GLOBAL[[#This Row],[CUSTO TOTAL MENSAL]]*12</f>
        <v>34242.356164037992</v>
      </c>
      <c r="CB208" s="24">
        <f>VLOOKUP($A208,tabCustoUnit[],COLUMN(CUSTO_GLOBAL[[#Headers],[ANO DA CCT]])-2,0)</f>
        <v>45658</v>
      </c>
      <c r="CC208" s="25" t="str">
        <f>VLOOKUP($A208,tabCustoUnit[],COLUMN(CUSTO_GLOBAL[[#Headers],[Nº DE PEDIDO DA CCT]])-2,0)</f>
        <v>-</v>
      </c>
      <c r="CD208" s="25" t="str">
        <f>VLOOKUP($A208,tabCustoUnit[],COLUMN(CUSTO_GLOBAL[[#Headers],[TERMO ADITIVO  ALTERAÇÃO DA CCT]])-2,0)</f>
        <v>-</v>
      </c>
      <c r="CF208" s="22"/>
      <c r="CG208" s="22"/>
    </row>
    <row r="209" spans="1:85" x14ac:dyDescent="0.25">
      <c r="A209" s="20" t="s">
        <v>1544</v>
      </c>
      <c r="B209" t="s">
        <v>189</v>
      </c>
      <c r="C209" t="s">
        <v>1244</v>
      </c>
      <c r="D209" t="s">
        <v>1000</v>
      </c>
      <c r="E209" s="20" t="s">
        <v>9</v>
      </c>
      <c r="F209" s="20" t="s">
        <v>10</v>
      </c>
      <c r="G209" s="20">
        <v>1</v>
      </c>
      <c r="H209" s="20">
        <v>0</v>
      </c>
      <c r="I209" s="21">
        <f>VLOOKUP($A209,tabCustoUnit[],COLUMN(CUSTO_GLOBAL[[#Headers],[Salário Base]])-2,0)*($G209-$H209)</f>
        <v>798.14</v>
      </c>
      <c r="J209" s="21">
        <f>VLOOKUP($A209,tabCustoUnit[],COLUMN(CUSTO_GLOBAL[[#Headers],[Adicional Periculosidade]])-2,0)*($G209-$H209)</f>
        <v>0</v>
      </c>
      <c r="K209" s="21">
        <f>VLOOKUP($A209,tabCustoUnit[],COLUMN(CUSTO_GLOBAL[[#Headers],[Adicional Insalubridade]])-2,0)*($G209-$H209)</f>
        <v>0</v>
      </c>
      <c r="L209" s="21">
        <f>VLOOKUP($A209,tabCustoUnit[],COLUMN(CUSTO_GLOBAL[[#Headers],[Adicional Noturno]])-2,0)*($G209-$H209)</f>
        <v>0</v>
      </c>
      <c r="M209" s="21">
        <f>VLOOKUP($A209,tabCustoUnit[],COLUMN(CUSTO_GLOBAL[[#Headers],[Adicional Motorista II (Gratificação)]])-2,0)*($G209-$H209)</f>
        <v>0</v>
      </c>
      <c r="N209" s="21">
        <f>VLOOKUP($A209,tabCustoUnit[],COLUMN(CUSTO_GLOBAL[[#Headers],[Adicional de Sobreaviso]])-2,0)*($G209-$H209)</f>
        <v>0</v>
      </c>
      <c r="O209" s="21">
        <f>VLOOKUP($A209,tabCustoUnit[],COLUMN(CUSTO_GLOBAL[[#Headers],[Horas Extras TI]])-2,0)*($G209-$H209)</f>
        <v>0</v>
      </c>
      <c r="P209" s="21">
        <f>VLOOKUP($A209,tabCustoUnit[],COLUMN(CUSTO_GLOBAL[[#Headers],[Adicional de Acúmulo de função]])-2,0)*($G209-$H209)</f>
        <v>26.120899999999999</v>
      </c>
      <c r="Q209" s="21">
        <f>VLOOKUP($A209,tabCustoUnit[],COLUMN(CUSTO_GLOBAL[[#Headers],[MODULO 1 - REMUNERAÇÃO ]])-2,0)*($G209-$H209)</f>
        <v>824.26089999999999</v>
      </c>
      <c r="R209" s="21">
        <f>VLOOKUP($A209,tabCustoUnit[],COLUMN(CUSTO_GLOBAL[[#Headers],[INSS]])-2,0)*($G209-$H209)</f>
        <v>164.85218</v>
      </c>
      <c r="S209" s="21">
        <f>VLOOKUP($A209,tabCustoUnit[],COLUMN(CUSTO_GLOBAL[[#Headers],[SESI OU SESC]])-2,0)*($G209-$H209)</f>
        <v>12.363913499999999</v>
      </c>
      <c r="T209" s="21">
        <f>VLOOKUP($A209,tabCustoUnit[],COLUMN(CUSTO_GLOBAL[[#Headers],[SENAI OU SENAC]])-2,0)*($G209-$H209)</f>
        <v>8.2426089999999999</v>
      </c>
      <c r="U209" s="21">
        <f>VLOOKUP($A209,tabCustoUnit[],COLUMN(CUSTO_GLOBAL[[#Headers],[INCRA]])-2,0)*($G209-$H209)</f>
        <v>1.6485217999999999</v>
      </c>
      <c r="V209" s="21">
        <f>VLOOKUP($A209,tabCustoUnit[],COLUMN(CUSTO_GLOBAL[[#Headers],[Salário Educação]])-2,0)*($G209-$H209)</f>
        <v>20.606522500000001</v>
      </c>
      <c r="W209" s="21">
        <f>VLOOKUP($A209,tabCustoUnit[],COLUMN(CUSTO_GLOBAL[[#Headers],[FGTS]])-2,0)*($G209-$H209)</f>
        <v>65.940871999999999</v>
      </c>
      <c r="X209" s="21">
        <f>VLOOKUP($A209,tabCustoUnit[],COLUMN(CUSTO_GLOBAL[[#Headers],[RAT Ajustado]])-2,0)*($G209-$H209)</f>
        <v>32.970435999999999</v>
      </c>
      <c r="Y209" s="21">
        <f>VLOOKUP($A209,tabCustoUnit[],COLUMN(CUSTO_GLOBAL[[#Headers],[SEBRAE]])-2,0)*($G209-$H209)</f>
        <v>4.9455654000000004</v>
      </c>
      <c r="Z209" s="21">
        <f>VLOOKUP($A209,tabCustoUnit[],COLUMN(CUSTO_GLOBAL[[#Headers],[Submódulo 2.1]])-2,0)*($G209-$H209)</f>
        <v>311.57062020000001</v>
      </c>
      <c r="AA209" s="21">
        <f>VLOOKUP($A209,tabCustoUnit[],COLUMN(CUSTO_GLOBAL[[#Headers],[13º salário (titular)]])-2,0)*($G209-$H209)</f>
        <v>68.688408333333328</v>
      </c>
      <c r="AB209" s="21">
        <f>VLOOKUP($A209,tabCustoUnit[],COLUMN(CUSTO_GLOBAL[[#Headers],[Férias e Adicional de Férias (titular)]])-2,0)*($G209-$H209)</f>
        <v>91.584544444444433</v>
      </c>
      <c r="AC209" s="21">
        <f>VLOOKUP($A209,tabCustoUnit[],COLUMN(CUSTO_GLOBAL[[#Headers],[Incidência do Submódulo 2.1 sobre 13º Salário, Férias e Adicional de Férias]])-2,0)*($G209-$H209)</f>
        <v>60.583176149999993</v>
      </c>
      <c r="AD209" s="21">
        <f>VLOOKUP($A209,tabCustoUnit[],COLUMN(CUSTO_GLOBAL[[#Headers],[Submódulo 2.2]])-2,0)*($G209-$H209)</f>
        <v>220.85612892777775</v>
      </c>
      <c r="AE209" s="22">
        <f>VLOOKUP($A209,tabCustoUnit[],COLUMN(CUSTO_GLOBAL[[#Headers],[Vale - Transporte (Descontada parcela do empregado)]])-2,0)*($G209-$H209)</f>
        <v>208.11160000000001</v>
      </c>
      <c r="AF209" s="22">
        <f>VLOOKUP($A209,tabCustoUnit[],COLUMN(CUSTO_GLOBAL[[#Headers],[Vale - Alimentação (Descontada parcela do empregado)]])-2,0)*($G209-$H209)</f>
        <v>582</v>
      </c>
      <c r="AG209" s="22">
        <f>VLOOKUP($A209,tabCustoUnit[],COLUMN(CUSTO_GLOBAL[[#Headers],[Cesta Básica]])-2,0)*($G209-$H209)</f>
        <v>0</v>
      </c>
      <c r="AH209" s="22">
        <f>VLOOKUP($A209,tabCustoUnit[],COLUMN(CUSTO_GLOBAL[[#Headers],[PAF]])-2,0)*($G209-$H209)</f>
        <v>0</v>
      </c>
      <c r="AI209" s="22">
        <f>VLOOKUP($A209,tabCustoUnit[],COLUMN(CUSTO_GLOBAL[[#Headers],[PQM]])-2,0)*($G209-$H209)</f>
        <v>15.07</v>
      </c>
      <c r="AJ209" s="22">
        <v>0</v>
      </c>
      <c r="AK209" s="22">
        <f>VLOOKUP($A209,tabCustoUnit[],COLUMN(CUSTO_GLOBAL[[#Headers],[Seguro de Vida]])-2,0)*($G209-$H209)</f>
        <v>3.36</v>
      </c>
      <c r="AL209" s="22">
        <f>VLOOKUP($A209,tabCustoUnit[],COLUMN(CUSTO_GLOBAL[[#Headers],[Despesas de Viagem]])-2,0)*($G209-$H209)</f>
        <v>0</v>
      </c>
      <c r="AM209" s="22">
        <f>VLOOKUP($A209,tabCustoUnit[],COLUMN(CUSTO_GLOBAL[[#Headers],[Submódulo 2.3]])-2,0)*($G209-$H209)</f>
        <v>808.54160000000002</v>
      </c>
      <c r="AN209" s="22">
        <f>VLOOKUP($A209,tabCustoUnit[],COLUMN(CUSTO_GLOBAL[[#Headers],[MÓDULO 2 - Total Encargos e Benefícios mensais e diários]])-2,0)*($G209-$H209)</f>
        <v>1340.9683491277779</v>
      </c>
      <c r="AO209" s="22">
        <f>VLOOKUP($A209,tabCustoUnit[],COLUMN(CUSTO_GLOBAL[[#Headers],[Aviso Prévio Indenizado (API) e Reflexo do Aviso Prévio Indenizado]])-2,0)*($G209-$H209)</f>
        <v>5.7795253576581791</v>
      </c>
      <c r="AP209" s="22">
        <f>VLOOKUP($A209,tabCustoUnit[],COLUMN(CUSTO_GLOBAL[[#Headers],[Incidência do FGTS sobre API e Reflexo do API]])-2,0)*($G209-$H209)</f>
        <v>0.46236202861265435</v>
      </c>
      <c r="AQ209" s="22">
        <f>VLOOKUP($A209,tabCustoUnit[],COLUMN(CUSTO_GLOBAL[[#Headers],[Multa Rescisória do FGTS sobre o Aviso Prévio Indenizado]])-2,0)*($G209-$H209)</f>
        <v>0.18494481144506175</v>
      </c>
      <c r="AR209" s="22">
        <f>VLOOKUP($A209,tabCustoUnit[],COLUMN(CUSTO_GLOBAL[[#Headers],[Aviso Prévio Trabalhado - APT]])-2,0)*($G209-$H209)</f>
        <v>2.8849131500000005</v>
      </c>
      <c r="AS209" s="22">
        <f>VLOOKUP($A209,tabCustoUnit[],COLUMN(CUSTO_GLOBAL[[#Headers],[Incidência dos encargos do submódulo 2.1 sobre Aviso Prévio Trabalhado]])-2,0)*($G209-$H209)</f>
        <v>1.0904971707000004</v>
      </c>
      <c r="AT209" s="22">
        <f>VLOOKUP($A209,tabCustoUnit[],COLUMN(CUSTO_GLOBAL[[#Headers],[Multa Rescisória do FGTS]])-2,0)*($G209-$H209)</f>
        <v>25.204066631111107</v>
      </c>
      <c r="AU209" s="22">
        <f>VLOOKUP($A209,tabCustoUnit[],COLUMN(CUSTO_GLOBAL[[#Headers],[Indenização Adicional (Art. 9º da Lei nº 7.238/84)]])-2,0)*($G209-$H209)</f>
        <v>0.6868840833333334</v>
      </c>
      <c r="AV209" s="22">
        <f>VLOOKUP($A209,tabCustoUnit[],COLUMN(CUSTO_GLOBAL[[#Headers],[MÓDULO 3 – PROVISÃO PARA RESCISÃO]])-2,0)*($G209-$H209)</f>
        <v>36.293193232860339</v>
      </c>
      <c r="AW209" s="22">
        <f>VLOOKUP($A209,tabCustoUnit[],COLUMN(CUSTO_GLOBAL[[#Headers],[Ausência por Doença]])-2,0)*($G209-$H209)</f>
        <v>6.9604253777777769</v>
      </c>
      <c r="AX209" s="22">
        <f>VLOOKUP($A209,tabCustoUnit[],COLUMN(CUSTO_GLOBAL[[#Headers],[Ausências Legais]])-2,0)*($G209-$H209)</f>
        <v>1.671417936111111</v>
      </c>
      <c r="AY209" s="22">
        <f>VLOOKUP($A209,tabCustoUnit[],COLUMN(CUSTO_GLOBAL[[#Headers],[Licença Paternidade]])-2,0)*($G209-$H209)</f>
        <v>0.14081123708333332</v>
      </c>
      <c r="AZ209" s="22">
        <f>VLOOKUP($A209,tabCustoUnit[],COLUMN(CUSTO_GLOBAL[[#Headers],[Ausência por Acidente de Trabalho]])-2,0)*($G209-$H209)</f>
        <v>0.17172102083333335</v>
      </c>
      <c r="BA209" s="22">
        <f>VLOOKUP($A209,tabCustoUnit[],COLUMN(CUSTO_GLOBAL[[#Headers],[Férias, Adicional de Férias e 13º  com empregada em gozo de Licença Maternidade]])-2,0)*($G209-$H209)</f>
        <v>1.0684863518518517</v>
      </c>
      <c r="BB209" s="22">
        <f>VLOOKUP($A209,tabCustoUnit[],COLUMN(CUSTO_GLOBAL[[#Headers],[Incidência do Submódulo 2.1 sobre Ausências Legais]])-2,0)*($G209-$H209)</f>
        <v>3.7848618071425006</v>
      </c>
      <c r="BC209" s="22">
        <f>VLOOKUP($A209,tabCustoUnit[],COLUMN(CUSTO_GLOBAL[[#Headers],[Submódulo 4.1]])-2,0)*($G209-$H209)</f>
        <v>13.797723730799909</v>
      </c>
      <c r="BD209" s="22">
        <f>VLOOKUP($A209,tabCustoUnit[],COLUMN(CUSTO_GLOBAL[[#Headers],[Intervalo para Repouso ou Alimentação]])-2,0)*($G209-$H209)</f>
        <v>0</v>
      </c>
      <c r="BE209" s="22">
        <f>VLOOKUP($A209,tabCustoUnit[],COLUMN(CUSTO_GLOBAL[[#Headers],[Submódulo 4.2]])-2,0)*($G209-$H209)</f>
        <v>0</v>
      </c>
      <c r="BF209" s="22">
        <f>VLOOKUP($A209,tabCustoUnit[],COLUMN(CUSTO_GLOBAL[[#Headers],[Suspensão Temporária do Contrato de Trabalho]])-2,0)*($G209-$H209)</f>
        <v>0</v>
      </c>
      <c r="BG209" s="22">
        <f>VLOOKUP($A209,tabCustoUnit[],COLUMN(CUSTO_GLOBAL[[#Headers],[Submódulo 4.3]])-2,0)*($G209-$H209)</f>
        <v>0</v>
      </c>
      <c r="BH209" s="22">
        <f>VLOOKUP($A209,tabCustoUnit[],COLUMN(CUSTO_GLOBAL[[#Headers],[MÓDULO 4 – CUSTO DE REPOSIÇÃO DO PROFISSIONAL AUSENTE]])-2,0)*($G209-$H209)</f>
        <v>13.797723730799909</v>
      </c>
      <c r="BI209" s="22">
        <f>VLOOKUP($A209,tabCustoUnit[],COLUMN(CUSTO_GLOBAL[[#Headers],[Uniformes e EPIs]])-2,0)*($G209-$H209)</f>
        <v>62.806666666666665</v>
      </c>
      <c r="BJ209" s="22">
        <f>VLOOKUP($A209,tabCustoUnit[],COLUMN(CUSTO_GLOBAL[[#Headers],[Materiais de Consumo]])-2,0)*($G209-$H209)</f>
        <v>17.759106479291944</v>
      </c>
      <c r="BK209" s="22">
        <f>VLOOKUP($A209,tabCustoUnit[],COLUMN(CUSTO_GLOBAL[[#Headers],[Máquinas e Equipamentos (depreciação)]])-2,0)*($G209-$H209)</f>
        <v>32.264696957412788</v>
      </c>
      <c r="BL209" s="22">
        <f>VLOOKUP($A209,tabCustoUnit[],COLUMN(CUSTO_GLOBAL[[#Headers],[Produtos de Limpeza e Materiais de Higiene Pessoal]])-2,0)*($G209-$H209)</f>
        <v>345.13576638965827</v>
      </c>
      <c r="BM209" s="22">
        <f>VLOOKUP($A209,tabCustoUnit[],COLUMN(CUSTO_GLOBAL[[#Headers],[Outros (especificar)]])-2,0)*($G209-$H209)</f>
        <v>0</v>
      </c>
      <c r="BN209" s="22">
        <f>VLOOKUP($A209,tabCustoUnit[],COLUMN(CUSTO_GLOBAL[[#Headers],[MÓDULO 5 – INSUMOS DIVERSOS]])-2,0)*($G209-$H209)</f>
        <v>457.96623649302967</v>
      </c>
      <c r="BO209" s="22">
        <f>VLOOKUP($A209,tabCustoUnit[],COLUMN(CUSTO_GLOBAL[[#Headers],[TOTAL MÓDULOS 1+2+3+4+5]])-2,0)*($G209-$H209)</f>
        <v>2673.2864025844674</v>
      </c>
      <c r="BP209" s="22">
        <f>VLOOKUP($A209,tabCustoUnit[],COLUMN(CUSTO_GLOBAL[[#Headers],[Custos Indiretos]])-2,0)*($G209-$H209)</f>
        <v>189.64880140242613</v>
      </c>
      <c r="BQ209" s="22">
        <f>VLOOKUP($A209,tabCustoUnit[],COLUMN(CUSTO_GLOBAL[[#Headers],[Lucro]])-2,0)*($G209-$H209)</f>
        <v>159.30499317803796</v>
      </c>
      <c r="BR209" s="26">
        <f>VLOOKUP($A209,tabCustoUnit[],COLUMN(CUSTO_GLOBAL[[#Headers],[COFINS]])-2,0)</f>
        <v>8.8629737609329504E-2</v>
      </c>
      <c r="BS209" s="26">
        <f>VLOOKUP($A209,tabCustoUnit[],COLUMN(CUSTO_GLOBAL[[#Headers],[PIS]])-2,0)</f>
        <v>1.9241982507288629E-2</v>
      </c>
      <c r="BT209" s="28">
        <f>VLOOKUP($A209,tabCustoUnit[],COLUMN(CUSTO_GLOBAL[[#Headers],[ISS]])-2,0)</f>
        <v>0.05</v>
      </c>
      <c r="BU209" s="26">
        <f>VLOOKUP($A209,tabCustoUnit[],COLUMN(CUSTO_GLOBAL[[#Headers],[ISS (Conversão Alíquota s/ fatura)]])-2,0)</f>
        <v>5.8309037900874633E-2</v>
      </c>
      <c r="BV209" s="26">
        <f>VLOOKUP($A209,tabCustoUnit[],COLUMN(CUSTO_GLOBAL[[#Headers],[Resumo de Alíquotas (PIS+CONFINS+ISS)]])-2,0)</f>
        <v>0.14250000000000002</v>
      </c>
      <c r="BW209" s="138">
        <f>VLOOKUP($A209,tabCustoUnit[],COLUMN(CUSTO_GLOBAL[[#Headers],[PIS + COFINS + ISS (Total Conversão  Alíquota s/ Fatura)]])-2,0)</f>
        <v>0.16618075801749277</v>
      </c>
      <c r="BX209" s="22">
        <f>VLOOKUP($A209,tabCustoUnit[],COLUMN(CUSTO_GLOBAL[[#Headers],[Valor dos Tributos (ISS, PIS, CONFINS)]])-2,0)*($G209-$H209)</f>
        <v>502.23816687580512</v>
      </c>
      <c r="BY209" s="22">
        <f>VLOOKUP($A209,tabCustoUnit[],COLUMN(CUSTO_GLOBAL[[#Headers],[MÓDULO 6 – CUSTOS INDIRETOS, TRIBUTOS E LUCRO]])-2,0)*($G209-$H209)</f>
        <v>851.19196145626915</v>
      </c>
      <c r="BZ209" s="22">
        <f>VLOOKUP($A209,tabCustoUnit[],COLUMN(CUSTO_GLOBAL[[#Headers],[CUSTO TOTAL MENSAL]])-2,0)*($G209-$H209)</f>
        <v>3524.4783640407368</v>
      </c>
      <c r="CA209" s="22">
        <f>CUSTO_GLOBAL[[#This Row],[CUSTO TOTAL MENSAL]]*12</f>
        <v>42293.740368488841</v>
      </c>
      <c r="CB209" s="24">
        <f>VLOOKUP($A209,tabCustoUnit[],COLUMN(CUSTO_GLOBAL[[#Headers],[ANO DA CCT]])-2,0)</f>
        <v>45658</v>
      </c>
      <c r="CC209" s="25" t="str">
        <f>VLOOKUP($A209,tabCustoUnit[],COLUMN(CUSTO_GLOBAL[[#Headers],[Nº DE PEDIDO DA CCT]])-2,0)</f>
        <v>-</v>
      </c>
      <c r="CD209" s="25" t="str">
        <f>VLOOKUP($A209,tabCustoUnit[],COLUMN(CUSTO_GLOBAL[[#Headers],[TERMO ADITIVO  ALTERAÇÃO DA CCT]])-2,0)</f>
        <v>-</v>
      </c>
      <c r="CF209" s="22"/>
      <c r="CG209" s="22"/>
    </row>
    <row r="210" spans="1:85" x14ac:dyDescent="0.25">
      <c r="A210" s="20" t="s">
        <v>1545</v>
      </c>
      <c r="B210" t="s">
        <v>190</v>
      </c>
      <c r="C210" t="s">
        <v>1246</v>
      </c>
      <c r="D210" t="s">
        <v>1045</v>
      </c>
      <c r="E210" s="20" t="s">
        <v>9</v>
      </c>
      <c r="F210" s="20" t="s">
        <v>10</v>
      </c>
      <c r="G210" s="20">
        <v>1</v>
      </c>
      <c r="H210" s="20">
        <v>0</v>
      </c>
      <c r="I210" s="21">
        <f>VLOOKUP($A210,tabCustoUnit[],COLUMN(CUSTO_GLOBAL[[#Headers],[Salário Base]])-2,0)*($G210-$H210)</f>
        <v>1124.3900000000001</v>
      </c>
      <c r="J210" s="21">
        <f>VLOOKUP($A210,tabCustoUnit[],COLUMN(CUSTO_GLOBAL[[#Headers],[Adicional Periculosidade]])-2,0)*($G210-$H210)</f>
        <v>0</v>
      </c>
      <c r="K210" s="21">
        <f>VLOOKUP($A210,tabCustoUnit[],COLUMN(CUSTO_GLOBAL[[#Headers],[Adicional Insalubridade]])-2,0)*($G210-$H210)</f>
        <v>0</v>
      </c>
      <c r="L210" s="21">
        <f>VLOOKUP($A210,tabCustoUnit[],COLUMN(CUSTO_GLOBAL[[#Headers],[Adicional Noturno]])-2,0)*($G210-$H210)</f>
        <v>0</v>
      </c>
      <c r="M210" s="21">
        <f>VLOOKUP($A210,tabCustoUnit[],COLUMN(CUSTO_GLOBAL[[#Headers],[Adicional Motorista II (Gratificação)]])-2,0)*($G210-$H210)</f>
        <v>0</v>
      </c>
      <c r="N210" s="21">
        <f>VLOOKUP($A210,tabCustoUnit[],COLUMN(CUSTO_GLOBAL[[#Headers],[Adicional de Sobreaviso]])-2,0)*($G210-$H210)</f>
        <v>0</v>
      </c>
      <c r="O210" s="21">
        <f>VLOOKUP($A210,tabCustoUnit[],COLUMN(CUSTO_GLOBAL[[#Headers],[Horas Extras TI]])-2,0)*($G210-$H210)</f>
        <v>0</v>
      </c>
      <c r="P210" s="21">
        <f>VLOOKUP($A210,tabCustoUnit[],COLUMN(CUSTO_GLOBAL[[#Headers],[Adicional de Acúmulo de função]])-2,0)*($G210-$H210)</f>
        <v>40.478000000000002</v>
      </c>
      <c r="Q210" s="21">
        <f>VLOOKUP($A210,tabCustoUnit[],COLUMN(CUSTO_GLOBAL[[#Headers],[MODULO 1 - REMUNERAÇÃO ]])-2,0)*($G210-$H210)</f>
        <v>1164.8680000000002</v>
      </c>
      <c r="R210" s="21">
        <f>VLOOKUP($A210,tabCustoUnit[],COLUMN(CUSTO_GLOBAL[[#Headers],[INSS]])-2,0)*($G210-$H210)</f>
        <v>232.97360000000003</v>
      </c>
      <c r="S210" s="21">
        <f>VLOOKUP($A210,tabCustoUnit[],COLUMN(CUSTO_GLOBAL[[#Headers],[SESI OU SESC]])-2,0)*($G210-$H210)</f>
        <v>17.473020000000002</v>
      </c>
      <c r="T210" s="21">
        <f>VLOOKUP($A210,tabCustoUnit[],COLUMN(CUSTO_GLOBAL[[#Headers],[SENAI OU SENAC]])-2,0)*($G210-$H210)</f>
        <v>11.648680000000002</v>
      </c>
      <c r="U210" s="21">
        <f>VLOOKUP($A210,tabCustoUnit[],COLUMN(CUSTO_GLOBAL[[#Headers],[INCRA]])-2,0)*($G210-$H210)</f>
        <v>2.3297360000000005</v>
      </c>
      <c r="V210" s="21">
        <f>VLOOKUP($A210,tabCustoUnit[],COLUMN(CUSTO_GLOBAL[[#Headers],[Salário Educação]])-2,0)*($G210-$H210)</f>
        <v>29.121700000000004</v>
      </c>
      <c r="W210" s="21">
        <f>VLOOKUP($A210,tabCustoUnit[],COLUMN(CUSTO_GLOBAL[[#Headers],[FGTS]])-2,0)*($G210-$H210)</f>
        <v>93.189440000000019</v>
      </c>
      <c r="X210" s="21">
        <f>VLOOKUP($A210,tabCustoUnit[],COLUMN(CUSTO_GLOBAL[[#Headers],[RAT Ajustado]])-2,0)*($G210-$H210)</f>
        <v>46.594720000000009</v>
      </c>
      <c r="Y210" s="21">
        <f>VLOOKUP($A210,tabCustoUnit[],COLUMN(CUSTO_GLOBAL[[#Headers],[SEBRAE]])-2,0)*($G210-$H210)</f>
        <v>6.9892080000000014</v>
      </c>
      <c r="Z210" s="21">
        <f>VLOOKUP($A210,tabCustoUnit[],COLUMN(CUSTO_GLOBAL[[#Headers],[Submódulo 2.1]])-2,0)*($G210-$H210)</f>
        <v>440.32010400000001</v>
      </c>
      <c r="AA210" s="21">
        <f>VLOOKUP($A210,tabCustoUnit[],COLUMN(CUSTO_GLOBAL[[#Headers],[13º salário (titular)]])-2,0)*($G210-$H210)</f>
        <v>97.072333333333347</v>
      </c>
      <c r="AB210" s="21">
        <f>VLOOKUP($A210,tabCustoUnit[],COLUMN(CUSTO_GLOBAL[[#Headers],[Férias e Adicional de Férias (titular)]])-2,0)*($G210-$H210)</f>
        <v>129.42977777777779</v>
      </c>
      <c r="AC210" s="21">
        <f>VLOOKUP($A210,tabCustoUnit[],COLUMN(CUSTO_GLOBAL[[#Headers],[Incidência do Submódulo 2.1 sobre 13º Salário, Férias e Adicional de Férias]])-2,0)*($G210-$H210)</f>
        <v>85.617797999999993</v>
      </c>
      <c r="AD210" s="21">
        <f>VLOOKUP($A210,tabCustoUnit[],COLUMN(CUSTO_GLOBAL[[#Headers],[Submódulo 2.2]])-2,0)*($G210-$H210)</f>
        <v>312.11990911111116</v>
      </c>
      <c r="AE210" s="22">
        <f>VLOOKUP($A210,tabCustoUnit[],COLUMN(CUSTO_GLOBAL[[#Headers],[Vale - Transporte (Descontada parcela do empregado)]])-2,0)*($G210-$H210)</f>
        <v>188.53659999999999</v>
      </c>
      <c r="AF210" s="22">
        <f>VLOOKUP($A210,tabCustoUnit[],COLUMN(CUSTO_GLOBAL[[#Headers],[Vale - Alimentação (Descontada parcela do empregado)]])-2,0)*($G210-$H210)</f>
        <v>582</v>
      </c>
      <c r="AG210" s="22">
        <f>VLOOKUP($A210,tabCustoUnit[],COLUMN(CUSTO_GLOBAL[[#Headers],[Cesta Básica]])-2,0)*($G210-$H210)</f>
        <v>0</v>
      </c>
      <c r="AH210" s="22">
        <f>VLOOKUP($A210,tabCustoUnit[],COLUMN(CUSTO_GLOBAL[[#Headers],[PAF]])-2,0)*($G210-$H210)</f>
        <v>77.25</v>
      </c>
      <c r="AI210" s="22">
        <f>VLOOKUP($A210,tabCustoUnit[],COLUMN(CUSTO_GLOBAL[[#Headers],[PQM]])-2,0)*($G210-$H210)</f>
        <v>0</v>
      </c>
      <c r="AJ210" s="22">
        <v>0</v>
      </c>
      <c r="AK210" s="22">
        <f>VLOOKUP($A210,tabCustoUnit[],COLUMN(CUSTO_GLOBAL[[#Headers],[Seguro de Vida]])-2,0)*($G210-$H210)</f>
        <v>3.36</v>
      </c>
      <c r="AL210" s="22">
        <f>VLOOKUP($A210,tabCustoUnit[],COLUMN(CUSTO_GLOBAL[[#Headers],[Despesas de Viagem]])-2,0)*($G210-$H210)</f>
        <v>0</v>
      </c>
      <c r="AM210" s="22">
        <f>VLOOKUP($A210,tabCustoUnit[],COLUMN(CUSTO_GLOBAL[[#Headers],[Submódulo 2.3]])-2,0)*($G210-$H210)</f>
        <v>851.14660000000003</v>
      </c>
      <c r="AN210" s="22">
        <f>VLOOKUP($A210,tabCustoUnit[],COLUMN(CUSTO_GLOBAL[[#Headers],[MÓDULO 2 - Total Encargos e Benefícios mensais e diários]])-2,0)*($G210-$H210)</f>
        <v>1603.5866131111111</v>
      </c>
      <c r="AO210" s="22">
        <f>VLOOKUP($A210,tabCustoUnit[],COLUMN(CUSTO_GLOBAL[[#Headers],[Aviso Prévio Indenizado (API) e Reflexo do Aviso Prévio Indenizado]])-2,0)*($G210-$H210)</f>
        <v>8.1677829729938285</v>
      </c>
      <c r="AP210" s="22">
        <f>VLOOKUP($A210,tabCustoUnit[],COLUMN(CUSTO_GLOBAL[[#Headers],[Incidência do FGTS sobre API e Reflexo do API]])-2,0)*($G210-$H210)</f>
        <v>0.65342263783950627</v>
      </c>
      <c r="AQ210" s="22">
        <f>VLOOKUP($A210,tabCustoUnit[],COLUMN(CUSTO_GLOBAL[[#Headers],[Multa Rescisória do FGTS sobre o Aviso Prévio Indenizado]])-2,0)*($G210-$H210)</f>
        <v>0.26136905513580255</v>
      </c>
      <c r="AR210" s="22">
        <f>VLOOKUP($A210,tabCustoUnit[],COLUMN(CUSTO_GLOBAL[[#Headers],[Aviso Prévio Trabalhado - APT]])-2,0)*($G210-$H210)</f>
        <v>4.0770380000000008</v>
      </c>
      <c r="AS210" s="22">
        <f>VLOOKUP($A210,tabCustoUnit[],COLUMN(CUSTO_GLOBAL[[#Headers],[Incidência dos encargos do submódulo 2.1 sobre Aviso Prévio Trabalhado]])-2,0)*($G210-$H210)</f>
        <v>1.5411203640000006</v>
      </c>
      <c r="AT210" s="22">
        <f>VLOOKUP($A210,tabCustoUnit[],COLUMN(CUSTO_GLOBAL[[#Headers],[Multa Rescisória do FGTS]])-2,0)*($G210-$H210)</f>
        <v>35.619074844444441</v>
      </c>
      <c r="AU210" s="22">
        <f>VLOOKUP($A210,tabCustoUnit[],COLUMN(CUSTO_GLOBAL[[#Headers],[Indenização Adicional (Art. 9º da Lei nº 7.238/84)]])-2,0)*($G210-$H210)</f>
        <v>0.97072333333333349</v>
      </c>
      <c r="AV210" s="22">
        <f>VLOOKUP($A210,tabCustoUnit[],COLUMN(CUSTO_GLOBAL[[#Headers],[MÓDULO 3 – PROVISÃO PARA RESCISÃO]])-2,0)*($G210-$H210)</f>
        <v>51.290531207746916</v>
      </c>
      <c r="AW210" s="22">
        <f>VLOOKUP($A210,tabCustoUnit[],COLUMN(CUSTO_GLOBAL[[#Headers],[Ausência por Doença]])-2,0)*($G210-$H210)</f>
        <v>9.8366631111111111</v>
      </c>
      <c r="AX210" s="22">
        <f>VLOOKUP($A210,tabCustoUnit[],COLUMN(CUSTO_GLOBAL[[#Headers],[Ausências Legais]])-2,0)*($G210-$H210)</f>
        <v>2.3620934444444446</v>
      </c>
      <c r="AY210" s="22">
        <f>VLOOKUP($A210,tabCustoUnit[],COLUMN(CUSTO_GLOBAL[[#Headers],[Licença Paternidade]])-2,0)*($G210-$H210)</f>
        <v>0.19899828333333336</v>
      </c>
      <c r="AZ210" s="22">
        <f>VLOOKUP($A210,tabCustoUnit[],COLUMN(CUSTO_GLOBAL[[#Headers],[Ausência por Acidente de Trabalho]])-2,0)*($G210-$H210)</f>
        <v>0.24268083333333337</v>
      </c>
      <c r="BA210" s="22">
        <f>VLOOKUP($A210,tabCustoUnit[],COLUMN(CUSTO_GLOBAL[[#Headers],[Férias, Adicional de Férias e 13º  com empregada em gozo de Licença Maternidade]])-2,0)*($G210-$H210)</f>
        <v>1.5100140740740742</v>
      </c>
      <c r="BB210" s="22">
        <f>VLOOKUP($A210,tabCustoUnit[],COLUMN(CUSTO_GLOBAL[[#Headers],[Incidência do Submódulo 2.1 sobre Ausências Legais]])-2,0)*($G210-$H210)</f>
        <v>5.3488700041000019</v>
      </c>
      <c r="BC210" s="22">
        <f>VLOOKUP($A210,tabCustoUnit[],COLUMN(CUSTO_GLOBAL[[#Headers],[Submódulo 4.1]])-2,0)*($G210-$H210)</f>
        <v>19.499319750396296</v>
      </c>
      <c r="BD210" s="22">
        <f>VLOOKUP($A210,tabCustoUnit[],COLUMN(CUSTO_GLOBAL[[#Headers],[Intervalo para Repouso ou Alimentação]])-2,0)*($G210-$H210)</f>
        <v>0</v>
      </c>
      <c r="BE210" s="22">
        <f>VLOOKUP($A210,tabCustoUnit[],COLUMN(CUSTO_GLOBAL[[#Headers],[Submódulo 4.2]])-2,0)*($G210-$H210)</f>
        <v>0</v>
      </c>
      <c r="BF210" s="22">
        <f>VLOOKUP($A210,tabCustoUnit[],COLUMN(CUSTO_GLOBAL[[#Headers],[Suspensão Temporária do Contrato de Trabalho]])-2,0)*($G210-$H210)</f>
        <v>0</v>
      </c>
      <c r="BG210" s="22">
        <f>VLOOKUP($A210,tabCustoUnit[],COLUMN(CUSTO_GLOBAL[[#Headers],[Submódulo 4.3]])-2,0)*($G210-$H210)</f>
        <v>0</v>
      </c>
      <c r="BH210" s="22">
        <f>VLOOKUP($A210,tabCustoUnit[],COLUMN(CUSTO_GLOBAL[[#Headers],[MÓDULO 4 – CUSTO DE REPOSIÇÃO DO PROFISSIONAL AUSENTE]])-2,0)*($G210-$H210)</f>
        <v>19.499319750396296</v>
      </c>
      <c r="BI210" s="22">
        <f>VLOOKUP($A210,tabCustoUnit[],COLUMN(CUSTO_GLOBAL[[#Headers],[Uniformes e EPIs]])-2,0)*($G210-$H210)</f>
        <v>100.80916666666666</v>
      </c>
      <c r="BJ210" s="22">
        <f>VLOOKUP($A210,tabCustoUnit[],COLUMN(CUSTO_GLOBAL[[#Headers],[Materiais de Consumo]])-2,0)*($G210-$H210)</f>
        <v>24.216963380852651</v>
      </c>
      <c r="BK210" s="22">
        <f>VLOOKUP($A210,tabCustoUnit[],COLUMN(CUSTO_GLOBAL[[#Headers],[Máquinas e Equipamentos (depreciação)]])-2,0)*($G210-$H210)</f>
        <v>43.997314032835618</v>
      </c>
      <c r="BL210" s="22">
        <f>VLOOKUP($A210,tabCustoUnit[],COLUMN(CUSTO_GLOBAL[[#Headers],[Produtos de Limpeza e Materiais de Higiene Pessoal]])-2,0)*($G210-$H210)</f>
        <v>470.6396814404431</v>
      </c>
      <c r="BM210" s="22">
        <f>VLOOKUP($A210,tabCustoUnit[],COLUMN(CUSTO_GLOBAL[[#Headers],[Outros (especificar)]])-2,0)*($G210-$H210)</f>
        <v>0</v>
      </c>
      <c r="BN210" s="22">
        <f>VLOOKUP($A210,tabCustoUnit[],COLUMN(CUSTO_GLOBAL[[#Headers],[MÓDULO 5 – INSUMOS DIVERSOS]])-2,0)*($G210-$H210)</f>
        <v>639.66312552079808</v>
      </c>
      <c r="BO210" s="22">
        <f>VLOOKUP($A210,tabCustoUnit[],COLUMN(CUSTO_GLOBAL[[#Headers],[TOTAL MÓDULOS 1+2+3+4+5]])-2,0)*($G210-$H210)</f>
        <v>3478.9075895900523</v>
      </c>
      <c r="BP210" s="22">
        <f>VLOOKUP($A210,tabCustoUnit[],COLUMN(CUSTO_GLOBAL[[#Headers],[Custos Indiretos]])-2,0)*($G210-$H210)</f>
        <v>189.64880140242613</v>
      </c>
      <c r="BQ210" s="22">
        <f>VLOOKUP($A210,tabCustoUnit[],COLUMN(CUSTO_GLOBAL[[#Headers],[Lucro]])-2,0)*($G210-$H210)</f>
        <v>159.30499317803796</v>
      </c>
      <c r="BR210" s="26">
        <f>VLOOKUP($A210,tabCustoUnit[],COLUMN(CUSTO_GLOBAL[[#Headers],[COFINS]])-2,0)</f>
        <v>8.5633802816901458E-2</v>
      </c>
      <c r="BS210" s="26">
        <f>VLOOKUP($A210,tabCustoUnit[],COLUMN(CUSTO_GLOBAL[[#Headers],[PIS]])-2,0)</f>
        <v>1.8591549295774657E-2</v>
      </c>
      <c r="BT210" s="28">
        <f>VLOOKUP($A210,tabCustoUnit[],COLUMN(CUSTO_GLOBAL[[#Headers],[ISS]])-2,0)</f>
        <v>0.02</v>
      </c>
      <c r="BU210" s="26">
        <f>VLOOKUP($A210,tabCustoUnit[],COLUMN(CUSTO_GLOBAL[[#Headers],[ISS (Conversão Alíquota s/ fatura)]])-2,0)</f>
        <v>2.2535211267605645E-2</v>
      </c>
      <c r="BV210" s="26">
        <f>VLOOKUP($A210,tabCustoUnit[],COLUMN(CUSTO_GLOBAL[[#Headers],[Resumo de Alíquotas (PIS+CONFINS+ISS)]])-2,0)</f>
        <v>0.1125</v>
      </c>
      <c r="BW210" s="138">
        <f>VLOOKUP($A210,tabCustoUnit[],COLUMN(CUSTO_GLOBAL[[#Headers],[PIS + COFINS + ISS (Total Conversão  Alíquota s/ Fatura)]])-2,0)</f>
        <v>0.12676056338028174</v>
      </c>
      <c r="BX210" s="22">
        <f>VLOOKUP($A210,tabCustoUnit[],COLUMN(CUSTO_GLOBAL[[#Headers],[Valor dos Tributos (ISS, PIS, CONFINS)]])-2,0)*($G210-$H210)</f>
        <v>485.22186559907976</v>
      </c>
      <c r="BY210" s="22">
        <f>VLOOKUP($A210,tabCustoUnit[],COLUMN(CUSTO_GLOBAL[[#Headers],[MÓDULO 6 – CUSTOS INDIRETOS, TRIBUTOS E LUCRO]])-2,0)*($G210-$H210)</f>
        <v>834.17566017954391</v>
      </c>
      <c r="BZ210" s="22">
        <f>VLOOKUP($A210,tabCustoUnit[],COLUMN(CUSTO_GLOBAL[[#Headers],[CUSTO TOTAL MENSAL]])-2,0)*($G210-$H210)</f>
        <v>4313.0832497695965</v>
      </c>
      <c r="CA210" s="22">
        <f>CUSTO_GLOBAL[[#This Row],[CUSTO TOTAL MENSAL]]*12</f>
        <v>51756.998997235161</v>
      </c>
      <c r="CB210" s="24">
        <f>VLOOKUP($A210,tabCustoUnit[],COLUMN(CUSTO_GLOBAL[[#Headers],[ANO DA CCT]])-2,0)</f>
        <v>45658</v>
      </c>
      <c r="CC210" s="25" t="str">
        <f>VLOOKUP($A210,tabCustoUnit[],COLUMN(CUSTO_GLOBAL[[#Headers],[Nº DE PEDIDO DA CCT]])-2,0)</f>
        <v>-</v>
      </c>
      <c r="CD210" s="25" t="str">
        <f>VLOOKUP($A210,tabCustoUnit[],COLUMN(CUSTO_GLOBAL[[#Headers],[TERMO ADITIVO  ALTERAÇÃO DA CCT]])-2,0)</f>
        <v>-</v>
      </c>
      <c r="CF210" s="22"/>
      <c r="CG210" s="22"/>
    </row>
    <row r="211" spans="1:85" x14ac:dyDescent="0.25">
      <c r="A211" s="20" t="s">
        <v>1546</v>
      </c>
      <c r="B211" t="s">
        <v>191</v>
      </c>
      <c r="C211" t="s">
        <v>1247</v>
      </c>
      <c r="D211" t="s">
        <v>1000</v>
      </c>
      <c r="E211" s="20" t="s">
        <v>9</v>
      </c>
      <c r="F211" s="20" t="s">
        <v>10</v>
      </c>
      <c r="G211" s="20">
        <v>1</v>
      </c>
      <c r="H211" s="20">
        <v>0</v>
      </c>
      <c r="I211" s="21">
        <f>VLOOKUP($A211,tabCustoUnit[],COLUMN(CUSTO_GLOBAL[[#Headers],[Salário Base]])-2,0)*($G211-$H211)</f>
        <v>544.17999999999995</v>
      </c>
      <c r="J211" s="21">
        <f>VLOOKUP($A211,tabCustoUnit[],COLUMN(CUSTO_GLOBAL[[#Headers],[Adicional Periculosidade]])-2,0)*($G211-$H211)</f>
        <v>0</v>
      </c>
      <c r="K211" s="21">
        <f>VLOOKUP($A211,tabCustoUnit[],COLUMN(CUSTO_GLOBAL[[#Headers],[Adicional Insalubridade]])-2,0)*($G211-$H211)</f>
        <v>0</v>
      </c>
      <c r="L211" s="21">
        <f>VLOOKUP($A211,tabCustoUnit[],COLUMN(CUSTO_GLOBAL[[#Headers],[Adicional Noturno]])-2,0)*($G211-$H211)</f>
        <v>0</v>
      </c>
      <c r="M211" s="21">
        <f>VLOOKUP($A211,tabCustoUnit[],COLUMN(CUSTO_GLOBAL[[#Headers],[Adicional Motorista II (Gratificação)]])-2,0)*($G211-$H211)</f>
        <v>0</v>
      </c>
      <c r="N211" s="21">
        <f>VLOOKUP($A211,tabCustoUnit[],COLUMN(CUSTO_GLOBAL[[#Headers],[Adicional de Sobreaviso]])-2,0)*($G211-$H211)</f>
        <v>0</v>
      </c>
      <c r="O211" s="21">
        <f>VLOOKUP($A211,tabCustoUnit[],COLUMN(CUSTO_GLOBAL[[#Headers],[Horas Extras TI]])-2,0)*($G211-$H211)</f>
        <v>0</v>
      </c>
      <c r="P211" s="21">
        <f>VLOOKUP($A211,tabCustoUnit[],COLUMN(CUSTO_GLOBAL[[#Headers],[Adicional de Acúmulo de função]])-2,0)*($G211-$H211)</f>
        <v>19.590499999999999</v>
      </c>
      <c r="Q211" s="21">
        <f>VLOOKUP($A211,tabCustoUnit[],COLUMN(CUSTO_GLOBAL[[#Headers],[MODULO 1 - REMUNERAÇÃO ]])-2,0)*($G211-$H211)</f>
        <v>563.77049999999997</v>
      </c>
      <c r="R211" s="21">
        <f>VLOOKUP($A211,tabCustoUnit[],COLUMN(CUSTO_GLOBAL[[#Headers],[INSS]])-2,0)*($G211-$H211)</f>
        <v>112.75409999999999</v>
      </c>
      <c r="S211" s="21">
        <f>VLOOKUP($A211,tabCustoUnit[],COLUMN(CUSTO_GLOBAL[[#Headers],[SESI OU SESC]])-2,0)*($G211-$H211)</f>
        <v>8.4565574999999988</v>
      </c>
      <c r="T211" s="21">
        <f>VLOOKUP($A211,tabCustoUnit[],COLUMN(CUSTO_GLOBAL[[#Headers],[SENAI OU SENAC]])-2,0)*($G211-$H211)</f>
        <v>5.6377049999999995</v>
      </c>
      <c r="U211" s="21">
        <f>VLOOKUP($A211,tabCustoUnit[],COLUMN(CUSTO_GLOBAL[[#Headers],[INCRA]])-2,0)*($G211-$H211)</f>
        <v>1.1275409999999999</v>
      </c>
      <c r="V211" s="21">
        <f>VLOOKUP($A211,tabCustoUnit[],COLUMN(CUSTO_GLOBAL[[#Headers],[Salário Educação]])-2,0)*($G211-$H211)</f>
        <v>14.094262499999999</v>
      </c>
      <c r="W211" s="21">
        <f>VLOOKUP($A211,tabCustoUnit[],COLUMN(CUSTO_GLOBAL[[#Headers],[FGTS]])-2,0)*($G211-$H211)</f>
        <v>45.101639999999996</v>
      </c>
      <c r="X211" s="21">
        <f>VLOOKUP($A211,tabCustoUnit[],COLUMN(CUSTO_GLOBAL[[#Headers],[RAT Ajustado]])-2,0)*($G211-$H211)</f>
        <v>22.550819999999998</v>
      </c>
      <c r="Y211" s="21">
        <f>VLOOKUP($A211,tabCustoUnit[],COLUMN(CUSTO_GLOBAL[[#Headers],[SEBRAE]])-2,0)*($G211-$H211)</f>
        <v>3.3826229999999997</v>
      </c>
      <c r="Z211" s="21">
        <f>VLOOKUP($A211,tabCustoUnit[],COLUMN(CUSTO_GLOBAL[[#Headers],[Submódulo 2.1]])-2,0)*($G211-$H211)</f>
        <v>213.10524899999996</v>
      </c>
      <c r="AA211" s="21">
        <f>VLOOKUP($A211,tabCustoUnit[],COLUMN(CUSTO_GLOBAL[[#Headers],[13º salário (titular)]])-2,0)*($G211-$H211)</f>
        <v>46.980874999999997</v>
      </c>
      <c r="AB211" s="21">
        <f>VLOOKUP($A211,tabCustoUnit[],COLUMN(CUSTO_GLOBAL[[#Headers],[Férias e Adicional de Férias (titular)]])-2,0)*($G211-$H211)</f>
        <v>62.641166666666663</v>
      </c>
      <c r="AC211" s="21">
        <f>VLOOKUP($A211,tabCustoUnit[],COLUMN(CUSTO_GLOBAL[[#Headers],[Incidência do Submódulo 2.1 sobre 13º Salário, Férias e Adicional de Férias]])-2,0)*($G211-$H211)</f>
        <v>41.437131749999992</v>
      </c>
      <c r="AD211" s="21">
        <f>VLOOKUP($A211,tabCustoUnit[],COLUMN(CUSTO_GLOBAL[[#Headers],[Submódulo 2.2]])-2,0)*($G211-$H211)</f>
        <v>151.05917341666665</v>
      </c>
      <c r="AE211" s="22">
        <f>VLOOKUP($A211,tabCustoUnit[],COLUMN(CUSTO_GLOBAL[[#Headers],[Vale - Transporte (Descontada parcela do empregado)]])-2,0)*($G211-$H211)</f>
        <v>223.3492</v>
      </c>
      <c r="AF211" s="22">
        <f>VLOOKUP($A211,tabCustoUnit[],COLUMN(CUSTO_GLOBAL[[#Headers],[Vale - Alimentação (Descontada parcela do empregado)]])-2,0)*($G211-$H211)</f>
        <v>582</v>
      </c>
      <c r="AG211" s="22">
        <f>VLOOKUP($A211,tabCustoUnit[],COLUMN(CUSTO_GLOBAL[[#Headers],[Cesta Básica]])-2,0)*($G211-$H211)</f>
        <v>0</v>
      </c>
      <c r="AH211" s="22">
        <f>VLOOKUP($A211,tabCustoUnit[],COLUMN(CUSTO_GLOBAL[[#Headers],[PAF]])-2,0)*($G211-$H211)</f>
        <v>0</v>
      </c>
      <c r="AI211" s="22">
        <f>VLOOKUP($A211,tabCustoUnit[],COLUMN(CUSTO_GLOBAL[[#Headers],[PQM]])-2,0)*($G211-$H211)</f>
        <v>15.07</v>
      </c>
      <c r="AJ211" s="22">
        <v>0</v>
      </c>
      <c r="AK211" s="22">
        <f>VLOOKUP($A211,tabCustoUnit[],COLUMN(CUSTO_GLOBAL[[#Headers],[Seguro de Vida]])-2,0)*($G211-$H211)</f>
        <v>3.36</v>
      </c>
      <c r="AL211" s="22">
        <f>VLOOKUP($A211,tabCustoUnit[],COLUMN(CUSTO_GLOBAL[[#Headers],[Despesas de Viagem]])-2,0)*($G211-$H211)</f>
        <v>0</v>
      </c>
      <c r="AM211" s="22">
        <f>VLOOKUP($A211,tabCustoUnit[],COLUMN(CUSTO_GLOBAL[[#Headers],[Submódulo 2.3]])-2,0)*($G211-$H211)</f>
        <v>823.77920000000006</v>
      </c>
      <c r="AN211" s="22">
        <f>VLOOKUP($A211,tabCustoUnit[],COLUMN(CUSTO_GLOBAL[[#Headers],[MÓDULO 2 - Total Encargos e Benefícios mensais e diários]])-2,0)*($G211-$H211)</f>
        <v>1187.9436224166666</v>
      </c>
      <c r="AO211" s="22">
        <f>VLOOKUP($A211,tabCustoUnit[],COLUMN(CUSTO_GLOBAL[[#Headers],[Aviso Prévio Indenizado (API) e Reflexo do Aviso Prévio Indenizado]])-2,0)*($G211-$H211)</f>
        <v>3.9530273735532404</v>
      </c>
      <c r="AP211" s="22">
        <f>VLOOKUP($A211,tabCustoUnit[],COLUMN(CUSTO_GLOBAL[[#Headers],[Incidência do FGTS sobre API e Reflexo do API]])-2,0)*($G211-$H211)</f>
        <v>0.31624218988425928</v>
      </c>
      <c r="AQ211" s="22">
        <f>VLOOKUP($A211,tabCustoUnit[],COLUMN(CUSTO_GLOBAL[[#Headers],[Multa Rescisória do FGTS sobre o Aviso Prévio Indenizado]])-2,0)*($G211-$H211)</f>
        <v>0.12649687595370371</v>
      </c>
      <c r="AR211" s="22">
        <f>VLOOKUP($A211,tabCustoUnit[],COLUMN(CUSTO_GLOBAL[[#Headers],[Aviso Prévio Trabalhado - APT]])-2,0)*($G211-$H211)</f>
        <v>1.9731967500000003</v>
      </c>
      <c r="AS211" s="22">
        <f>VLOOKUP($A211,tabCustoUnit[],COLUMN(CUSTO_GLOBAL[[#Headers],[Incidência dos encargos do submódulo 2.1 sobre Aviso Prévio Trabalhado]])-2,0)*($G211-$H211)</f>
        <v>0.74586837150000018</v>
      </c>
      <c r="AT211" s="22">
        <f>VLOOKUP($A211,tabCustoUnit[],COLUMN(CUSTO_GLOBAL[[#Headers],[Multa Rescisória do FGTS]])-2,0)*($G211-$H211)</f>
        <v>17.238849066666663</v>
      </c>
      <c r="AU211" s="22">
        <f>VLOOKUP($A211,tabCustoUnit[],COLUMN(CUSTO_GLOBAL[[#Headers],[Indenização Adicional (Art. 9º da Lei nº 7.238/84)]])-2,0)*($G211-$H211)</f>
        <v>0.46980875</v>
      </c>
      <c r="AV211" s="22">
        <f>VLOOKUP($A211,tabCustoUnit[],COLUMN(CUSTO_GLOBAL[[#Headers],[MÓDULO 3 – PROVISÃO PARA RESCISÃO]])-2,0)*($G211-$H211)</f>
        <v>24.823489377557866</v>
      </c>
      <c r="AW211" s="22">
        <f>VLOOKUP($A211,tabCustoUnit[],COLUMN(CUSTO_GLOBAL[[#Headers],[Ausência por Doença]])-2,0)*($G211-$H211)</f>
        <v>4.7607286666666662</v>
      </c>
      <c r="AX211" s="22">
        <f>VLOOKUP($A211,tabCustoUnit[],COLUMN(CUSTO_GLOBAL[[#Headers],[Ausências Legais]])-2,0)*($G211-$H211)</f>
        <v>1.1432012916666665</v>
      </c>
      <c r="AY211" s="22">
        <f>VLOOKUP($A211,tabCustoUnit[],COLUMN(CUSTO_GLOBAL[[#Headers],[Licença Paternidade]])-2,0)*($G211-$H211)</f>
        <v>9.6310793749999998E-2</v>
      </c>
      <c r="AZ211" s="22">
        <f>VLOOKUP($A211,tabCustoUnit[],COLUMN(CUSTO_GLOBAL[[#Headers],[Ausência por Acidente de Trabalho]])-2,0)*($G211-$H211)</f>
        <v>0.1174521875</v>
      </c>
      <c r="BA211" s="22">
        <f>VLOOKUP($A211,tabCustoUnit[],COLUMN(CUSTO_GLOBAL[[#Headers],[Férias, Adicional de Férias e 13º  com empregada em gozo de Licença Maternidade]])-2,0)*($G211-$H211)</f>
        <v>0.73081361111111109</v>
      </c>
      <c r="BB211" s="22">
        <f>VLOOKUP($A211,tabCustoUnit[],COLUMN(CUSTO_GLOBAL[[#Headers],[Incidência do Submódulo 2.1 sobre Ausências Legais]])-2,0)*($G211-$H211)</f>
        <v>2.5887354761625003</v>
      </c>
      <c r="BC211" s="22">
        <f>VLOOKUP($A211,tabCustoUnit[],COLUMN(CUSTO_GLOBAL[[#Headers],[Submódulo 4.1]])-2,0)*($G211-$H211)</f>
        <v>9.4372420268569428</v>
      </c>
      <c r="BD211" s="22">
        <f>VLOOKUP($A211,tabCustoUnit[],COLUMN(CUSTO_GLOBAL[[#Headers],[Intervalo para Repouso ou Alimentação]])-2,0)*($G211-$H211)</f>
        <v>0</v>
      </c>
      <c r="BE211" s="22">
        <f>VLOOKUP($A211,tabCustoUnit[],COLUMN(CUSTO_GLOBAL[[#Headers],[Submódulo 4.2]])-2,0)*($G211-$H211)</f>
        <v>0</v>
      </c>
      <c r="BF211" s="22">
        <f>VLOOKUP($A211,tabCustoUnit[],COLUMN(CUSTO_GLOBAL[[#Headers],[Suspensão Temporária do Contrato de Trabalho]])-2,0)*($G211-$H211)</f>
        <v>0</v>
      </c>
      <c r="BG211" s="22">
        <f>VLOOKUP($A211,tabCustoUnit[],COLUMN(CUSTO_GLOBAL[[#Headers],[Submódulo 4.3]])-2,0)*($G211-$H211)</f>
        <v>0</v>
      </c>
      <c r="BH211" s="22">
        <f>VLOOKUP($A211,tabCustoUnit[],COLUMN(CUSTO_GLOBAL[[#Headers],[MÓDULO 4 – CUSTO DE REPOSIÇÃO DO PROFISSIONAL AUSENTE]])-2,0)*($G211-$H211)</f>
        <v>9.4372420268569428</v>
      </c>
      <c r="BI211" s="22">
        <f>VLOOKUP($A211,tabCustoUnit[],COLUMN(CUSTO_GLOBAL[[#Headers],[Uniformes e EPIs]])-2,0)*($G211-$H211)</f>
        <v>62.806666666666665</v>
      </c>
      <c r="BJ211" s="22">
        <f>VLOOKUP($A211,tabCustoUnit[],COLUMN(CUSTO_GLOBAL[[#Headers],[Materiais de Consumo]])-2,0)*($G211-$H211)</f>
        <v>12.108481690426325</v>
      </c>
      <c r="BK211" s="22">
        <f>VLOOKUP($A211,tabCustoUnit[],COLUMN(CUSTO_GLOBAL[[#Headers],[Máquinas e Equipamentos (depreciação)]])-2,0)*($G211-$H211)</f>
        <v>21.998657016417809</v>
      </c>
      <c r="BL211" s="22">
        <f>VLOOKUP($A211,tabCustoUnit[],COLUMN(CUSTO_GLOBAL[[#Headers],[Produtos de Limpeza e Materiais de Higiene Pessoal]])-2,0)*($G211-$H211)</f>
        <v>235.31984072022155</v>
      </c>
      <c r="BM211" s="22">
        <f>VLOOKUP($A211,tabCustoUnit[],COLUMN(CUSTO_GLOBAL[[#Headers],[Outros (especificar)]])-2,0)*($G211-$H211)</f>
        <v>0</v>
      </c>
      <c r="BN211" s="22">
        <f>VLOOKUP($A211,tabCustoUnit[],COLUMN(CUSTO_GLOBAL[[#Headers],[MÓDULO 5 – INSUMOS DIVERSOS]])-2,0)*($G211-$H211)</f>
        <v>332.23364609373232</v>
      </c>
      <c r="BO211" s="22">
        <f>VLOOKUP($A211,tabCustoUnit[],COLUMN(CUSTO_GLOBAL[[#Headers],[TOTAL MÓDULOS 1+2+3+4+5]])-2,0)*($G211-$H211)</f>
        <v>2118.2084999148137</v>
      </c>
      <c r="BP211" s="22">
        <f>VLOOKUP($A211,tabCustoUnit[],COLUMN(CUSTO_GLOBAL[[#Headers],[Custos Indiretos]])-2,0)*($G211-$H211)</f>
        <v>189.64880140242613</v>
      </c>
      <c r="BQ211" s="22">
        <f>VLOOKUP($A211,tabCustoUnit[],COLUMN(CUSTO_GLOBAL[[#Headers],[Lucro]])-2,0)*($G211-$H211)</f>
        <v>159.30499317803796</v>
      </c>
      <c r="BR211" s="26">
        <f>VLOOKUP($A211,tabCustoUnit[],COLUMN(CUSTO_GLOBAL[[#Headers],[COFINS]])-2,0)</f>
        <v>8.8629737609329504E-2</v>
      </c>
      <c r="BS211" s="26">
        <f>VLOOKUP($A211,tabCustoUnit[],COLUMN(CUSTO_GLOBAL[[#Headers],[PIS]])-2,0)</f>
        <v>1.9241982507288629E-2</v>
      </c>
      <c r="BT211" s="28">
        <f>VLOOKUP($A211,tabCustoUnit[],COLUMN(CUSTO_GLOBAL[[#Headers],[ISS]])-2,0)</f>
        <v>0.05</v>
      </c>
      <c r="BU211" s="26">
        <f>VLOOKUP($A211,tabCustoUnit[],COLUMN(CUSTO_GLOBAL[[#Headers],[ISS (Conversão Alíquota s/ fatura)]])-2,0)</f>
        <v>5.8309037900874633E-2</v>
      </c>
      <c r="BV211" s="26">
        <f>VLOOKUP($A211,tabCustoUnit[],COLUMN(CUSTO_GLOBAL[[#Headers],[Resumo de Alíquotas (PIS+CONFINS+ISS)]])-2,0)</f>
        <v>0.14250000000000002</v>
      </c>
      <c r="BW211" s="138">
        <f>VLOOKUP($A211,tabCustoUnit[],COLUMN(CUSTO_GLOBAL[[#Headers],[PIS + COFINS + ISS (Total Conversão  Alíquota s/ Fatura)]])-2,0)</f>
        <v>0.16618075801749277</v>
      </c>
      <c r="BX211" s="22">
        <f>VLOOKUP($A211,tabCustoUnit[],COLUMN(CUSTO_GLOBAL[[#Headers],[Valor dos Tributos (ISS, PIS, CONFINS)]])-2,0)*($G211-$H211)</f>
        <v>409.99490025140199</v>
      </c>
      <c r="BY211" s="22">
        <f>VLOOKUP($A211,tabCustoUnit[],COLUMN(CUSTO_GLOBAL[[#Headers],[MÓDULO 6 – CUSTOS INDIRETOS, TRIBUTOS E LUCRO]])-2,0)*($G211-$H211)</f>
        <v>758.94869483186608</v>
      </c>
      <c r="BZ211" s="22">
        <f>VLOOKUP($A211,tabCustoUnit[],COLUMN(CUSTO_GLOBAL[[#Headers],[CUSTO TOTAL MENSAL]])-2,0)*($G211-$H211)</f>
        <v>2877.15719474668</v>
      </c>
      <c r="CA211" s="22">
        <f>CUSTO_GLOBAL[[#This Row],[CUSTO TOTAL MENSAL]]*12</f>
        <v>34525.88633696016</v>
      </c>
      <c r="CB211" s="24">
        <f>VLOOKUP($A211,tabCustoUnit[],COLUMN(CUSTO_GLOBAL[[#Headers],[ANO DA CCT]])-2,0)</f>
        <v>45658</v>
      </c>
      <c r="CC211" s="25" t="str">
        <f>VLOOKUP($A211,tabCustoUnit[],COLUMN(CUSTO_GLOBAL[[#Headers],[Nº DE PEDIDO DA CCT]])-2,0)</f>
        <v>-</v>
      </c>
      <c r="CD211" s="25" t="str">
        <f>VLOOKUP($A211,tabCustoUnit[],COLUMN(CUSTO_GLOBAL[[#Headers],[TERMO ADITIVO  ALTERAÇÃO DA CCT]])-2,0)</f>
        <v>-</v>
      </c>
      <c r="CF211" s="22"/>
      <c r="CG211" s="22"/>
    </row>
    <row r="212" spans="1:85" x14ac:dyDescent="0.25">
      <c r="A212" s="20" t="s">
        <v>1547</v>
      </c>
      <c r="B212" t="s">
        <v>192</v>
      </c>
      <c r="C212" t="s">
        <v>1244</v>
      </c>
      <c r="D212" t="s">
        <v>1028</v>
      </c>
      <c r="E212" s="20" t="s">
        <v>9</v>
      </c>
      <c r="F212" s="20" t="s">
        <v>10</v>
      </c>
      <c r="G212" s="20">
        <v>1</v>
      </c>
      <c r="H212" s="20">
        <v>0</v>
      </c>
      <c r="I212" s="21">
        <f>VLOOKUP($A212,tabCustoUnit[],COLUMN(CUSTO_GLOBAL[[#Headers],[Salário Base]])-2,0)*($G212-$H212)</f>
        <v>798.14</v>
      </c>
      <c r="J212" s="21">
        <f>VLOOKUP($A212,tabCustoUnit[],COLUMN(CUSTO_GLOBAL[[#Headers],[Adicional Periculosidade]])-2,0)*($G212-$H212)</f>
        <v>0</v>
      </c>
      <c r="K212" s="21">
        <f>VLOOKUP($A212,tabCustoUnit[],COLUMN(CUSTO_GLOBAL[[#Headers],[Adicional Insalubridade]])-2,0)*($G212-$H212)</f>
        <v>0</v>
      </c>
      <c r="L212" s="21">
        <f>VLOOKUP($A212,tabCustoUnit[],COLUMN(CUSTO_GLOBAL[[#Headers],[Adicional Noturno]])-2,0)*($G212-$H212)</f>
        <v>0</v>
      </c>
      <c r="M212" s="21">
        <f>VLOOKUP($A212,tabCustoUnit[],COLUMN(CUSTO_GLOBAL[[#Headers],[Adicional Motorista II (Gratificação)]])-2,0)*($G212-$H212)</f>
        <v>0</v>
      </c>
      <c r="N212" s="21">
        <f>VLOOKUP($A212,tabCustoUnit[],COLUMN(CUSTO_GLOBAL[[#Headers],[Adicional de Sobreaviso]])-2,0)*($G212-$H212)</f>
        <v>0</v>
      </c>
      <c r="O212" s="21">
        <f>VLOOKUP($A212,tabCustoUnit[],COLUMN(CUSTO_GLOBAL[[#Headers],[Horas Extras TI]])-2,0)*($G212-$H212)</f>
        <v>0</v>
      </c>
      <c r="P212" s="21">
        <f>VLOOKUP($A212,tabCustoUnit[],COLUMN(CUSTO_GLOBAL[[#Headers],[Adicional de Acúmulo de função]])-2,0)*($G212-$H212)</f>
        <v>26.120899999999999</v>
      </c>
      <c r="Q212" s="21">
        <f>VLOOKUP($A212,tabCustoUnit[],COLUMN(CUSTO_GLOBAL[[#Headers],[MODULO 1 - REMUNERAÇÃO ]])-2,0)*($G212-$H212)</f>
        <v>824.26089999999999</v>
      </c>
      <c r="R212" s="21">
        <f>VLOOKUP($A212,tabCustoUnit[],COLUMN(CUSTO_GLOBAL[[#Headers],[INSS]])-2,0)*($G212-$H212)</f>
        <v>164.85218</v>
      </c>
      <c r="S212" s="21">
        <f>VLOOKUP($A212,tabCustoUnit[],COLUMN(CUSTO_GLOBAL[[#Headers],[SESI OU SESC]])-2,0)*($G212-$H212)</f>
        <v>12.363913499999999</v>
      </c>
      <c r="T212" s="21">
        <f>VLOOKUP($A212,tabCustoUnit[],COLUMN(CUSTO_GLOBAL[[#Headers],[SENAI OU SENAC]])-2,0)*($G212-$H212)</f>
        <v>8.2426089999999999</v>
      </c>
      <c r="U212" s="21">
        <f>VLOOKUP($A212,tabCustoUnit[],COLUMN(CUSTO_GLOBAL[[#Headers],[INCRA]])-2,0)*($G212-$H212)</f>
        <v>1.6485217999999999</v>
      </c>
      <c r="V212" s="21">
        <f>VLOOKUP($A212,tabCustoUnit[],COLUMN(CUSTO_GLOBAL[[#Headers],[Salário Educação]])-2,0)*($G212-$H212)</f>
        <v>20.606522500000001</v>
      </c>
      <c r="W212" s="21">
        <f>VLOOKUP($A212,tabCustoUnit[],COLUMN(CUSTO_GLOBAL[[#Headers],[FGTS]])-2,0)*($G212-$H212)</f>
        <v>65.940871999999999</v>
      </c>
      <c r="X212" s="21">
        <f>VLOOKUP($A212,tabCustoUnit[],COLUMN(CUSTO_GLOBAL[[#Headers],[RAT Ajustado]])-2,0)*($G212-$H212)</f>
        <v>32.970435999999999</v>
      </c>
      <c r="Y212" s="21">
        <f>VLOOKUP($A212,tabCustoUnit[],COLUMN(CUSTO_GLOBAL[[#Headers],[SEBRAE]])-2,0)*($G212-$H212)</f>
        <v>4.9455654000000004</v>
      </c>
      <c r="Z212" s="21">
        <f>VLOOKUP($A212,tabCustoUnit[],COLUMN(CUSTO_GLOBAL[[#Headers],[Submódulo 2.1]])-2,0)*($G212-$H212)</f>
        <v>311.57062020000001</v>
      </c>
      <c r="AA212" s="21">
        <f>VLOOKUP($A212,tabCustoUnit[],COLUMN(CUSTO_GLOBAL[[#Headers],[13º salário (titular)]])-2,0)*($G212-$H212)</f>
        <v>68.688408333333328</v>
      </c>
      <c r="AB212" s="21">
        <f>VLOOKUP($A212,tabCustoUnit[],COLUMN(CUSTO_GLOBAL[[#Headers],[Férias e Adicional de Férias (titular)]])-2,0)*($G212-$H212)</f>
        <v>91.584544444444433</v>
      </c>
      <c r="AC212" s="21">
        <f>VLOOKUP($A212,tabCustoUnit[],COLUMN(CUSTO_GLOBAL[[#Headers],[Incidência do Submódulo 2.1 sobre 13º Salário, Férias e Adicional de Férias]])-2,0)*($G212-$H212)</f>
        <v>60.583176149999993</v>
      </c>
      <c r="AD212" s="21">
        <f>VLOOKUP($A212,tabCustoUnit[],COLUMN(CUSTO_GLOBAL[[#Headers],[Submódulo 2.2]])-2,0)*($G212-$H212)</f>
        <v>220.85612892777775</v>
      </c>
      <c r="AE212" s="22">
        <f>VLOOKUP($A212,tabCustoUnit[],COLUMN(CUSTO_GLOBAL[[#Headers],[Vale - Transporte (Descontada parcela do empregado)]])-2,0)*($G212-$H212)</f>
        <v>208.11160000000001</v>
      </c>
      <c r="AF212" s="22">
        <f>VLOOKUP($A212,tabCustoUnit[],COLUMN(CUSTO_GLOBAL[[#Headers],[Vale - Alimentação (Descontada parcela do empregado)]])-2,0)*($G212-$H212)</f>
        <v>582</v>
      </c>
      <c r="AG212" s="22">
        <f>VLOOKUP($A212,tabCustoUnit[],COLUMN(CUSTO_GLOBAL[[#Headers],[Cesta Básica]])-2,0)*($G212-$H212)</f>
        <v>0</v>
      </c>
      <c r="AH212" s="22">
        <f>VLOOKUP($A212,tabCustoUnit[],COLUMN(CUSTO_GLOBAL[[#Headers],[PAF]])-2,0)*($G212-$H212)</f>
        <v>0</v>
      </c>
      <c r="AI212" s="22">
        <f>VLOOKUP($A212,tabCustoUnit[],COLUMN(CUSTO_GLOBAL[[#Headers],[PQM]])-2,0)*($G212-$H212)</f>
        <v>0</v>
      </c>
      <c r="AJ212" s="22">
        <v>0</v>
      </c>
      <c r="AK212" s="22">
        <f>VLOOKUP($A212,tabCustoUnit[],COLUMN(CUSTO_GLOBAL[[#Headers],[Seguro de Vida]])-2,0)*($G212-$H212)</f>
        <v>3.36</v>
      </c>
      <c r="AL212" s="22">
        <f>VLOOKUP($A212,tabCustoUnit[],COLUMN(CUSTO_GLOBAL[[#Headers],[Despesas de Viagem]])-2,0)*($G212-$H212)</f>
        <v>0</v>
      </c>
      <c r="AM212" s="22">
        <f>VLOOKUP($A212,tabCustoUnit[],COLUMN(CUSTO_GLOBAL[[#Headers],[Submódulo 2.3]])-2,0)*($G212-$H212)</f>
        <v>793.47159999999997</v>
      </c>
      <c r="AN212" s="22">
        <f>VLOOKUP($A212,tabCustoUnit[],COLUMN(CUSTO_GLOBAL[[#Headers],[MÓDULO 2 - Total Encargos e Benefícios mensais e diários]])-2,0)*($G212-$H212)</f>
        <v>1325.8983491277777</v>
      </c>
      <c r="AO212" s="22">
        <f>VLOOKUP($A212,tabCustoUnit[],COLUMN(CUSTO_GLOBAL[[#Headers],[Aviso Prévio Indenizado (API) e Reflexo do Aviso Prévio Indenizado]])-2,0)*($G212-$H212)</f>
        <v>5.7795253576581791</v>
      </c>
      <c r="AP212" s="22">
        <f>VLOOKUP($A212,tabCustoUnit[],COLUMN(CUSTO_GLOBAL[[#Headers],[Incidência do FGTS sobre API e Reflexo do API]])-2,0)*($G212-$H212)</f>
        <v>0.46236202861265435</v>
      </c>
      <c r="AQ212" s="22">
        <f>VLOOKUP($A212,tabCustoUnit[],COLUMN(CUSTO_GLOBAL[[#Headers],[Multa Rescisória do FGTS sobre o Aviso Prévio Indenizado]])-2,0)*($G212-$H212)</f>
        <v>0.18494481144506175</v>
      </c>
      <c r="AR212" s="22">
        <f>VLOOKUP($A212,tabCustoUnit[],COLUMN(CUSTO_GLOBAL[[#Headers],[Aviso Prévio Trabalhado - APT]])-2,0)*($G212-$H212)</f>
        <v>2.8849131500000005</v>
      </c>
      <c r="AS212" s="22">
        <f>VLOOKUP($A212,tabCustoUnit[],COLUMN(CUSTO_GLOBAL[[#Headers],[Incidência dos encargos do submódulo 2.1 sobre Aviso Prévio Trabalhado]])-2,0)*($G212-$H212)</f>
        <v>1.0904971707000004</v>
      </c>
      <c r="AT212" s="22">
        <f>VLOOKUP($A212,tabCustoUnit[],COLUMN(CUSTO_GLOBAL[[#Headers],[Multa Rescisória do FGTS]])-2,0)*($G212-$H212)</f>
        <v>25.204066631111107</v>
      </c>
      <c r="AU212" s="22">
        <f>VLOOKUP($A212,tabCustoUnit[],COLUMN(CUSTO_GLOBAL[[#Headers],[Indenização Adicional (Art. 9º da Lei nº 7.238/84)]])-2,0)*($G212-$H212)</f>
        <v>0.6868840833333334</v>
      </c>
      <c r="AV212" s="22">
        <f>VLOOKUP($A212,tabCustoUnit[],COLUMN(CUSTO_GLOBAL[[#Headers],[MÓDULO 3 – PROVISÃO PARA RESCISÃO]])-2,0)*($G212-$H212)</f>
        <v>36.293193232860339</v>
      </c>
      <c r="AW212" s="22">
        <f>VLOOKUP($A212,tabCustoUnit[],COLUMN(CUSTO_GLOBAL[[#Headers],[Ausência por Doença]])-2,0)*($G212-$H212)</f>
        <v>6.9604253777777769</v>
      </c>
      <c r="AX212" s="22">
        <f>VLOOKUP($A212,tabCustoUnit[],COLUMN(CUSTO_GLOBAL[[#Headers],[Ausências Legais]])-2,0)*($G212-$H212)</f>
        <v>1.671417936111111</v>
      </c>
      <c r="AY212" s="22">
        <f>VLOOKUP($A212,tabCustoUnit[],COLUMN(CUSTO_GLOBAL[[#Headers],[Licença Paternidade]])-2,0)*($G212-$H212)</f>
        <v>0.14081123708333332</v>
      </c>
      <c r="AZ212" s="22">
        <f>VLOOKUP($A212,tabCustoUnit[],COLUMN(CUSTO_GLOBAL[[#Headers],[Ausência por Acidente de Trabalho]])-2,0)*($G212-$H212)</f>
        <v>0.17172102083333335</v>
      </c>
      <c r="BA212" s="22">
        <f>VLOOKUP($A212,tabCustoUnit[],COLUMN(CUSTO_GLOBAL[[#Headers],[Férias, Adicional de Férias e 13º  com empregada em gozo de Licença Maternidade]])-2,0)*($G212-$H212)</f>
        <v>1.0684863518518517</v>
      </c>
      <c r="BB212" s="22">
        <f>VLOOKUP($A212,tabCustoUnit[],COLUMN(CUSTO_GLOBAL[[#Headers],[Incidência do Submódulo 2.1 sobre Ausências Legais]])-2,0)*($G212-$H212)</f>
        <v>3.7848618071425006</v>
      </c>
      <c r="BC212" s="22">
        <f>VLOOKUP($A212,tabCustoUnit[],COLUMN(CUSTO_GLOBAL[[#Headers],[Submódulo 4.1]])-2,0)*($G212-$H212)</f>
        <v>13.797723730799909</v>
      </c>
      <c r="BD212" s="22">
        <f>VLOOKUP($A212,tabCustoUnit[],COLUMN(CUSTO_GLOBAL[[#Headers],[Intervalo para Repouso ou Alimentação]])-2,0)*($G212-$H212)</f>
        <v>0</v>
      </c>
      <c r="BE212" s="22">
        <f>VLOOKUP($A212,tabCustoUnit[],COLUMN(CUSTO_GLOBAL[[#Headers],[Submódulo 4.2]])-2,0)*($G212-$H212)</f>
        <v>0</v>
      </c>
      <c r="BF212" s="22">
        <f>VLOOKUP($A212,tabCustoUnit[],COLUMN(CUSTO_GLOBAL[[#Headers],[Suspensão Temporária do Contrato de Trabalho]])-2,0)*($G212-$H212)</f>
        <v>0</v>
      </c>
      <c r="BG212" s="22">
        <f>VLOOKUP($A212,tabCustoUnit[],COLUMN(CUSTO_GLOBAL[[#Headers],[Submódulo 4.3]])-2,0)*($G212-$H212)</f>
        <v>0</v>
      </c>
      <c r="BH212" s="22">
        <f>VLOOKUP($A212,tabCustoUnit[],COLUMN(CUSTO_GLOBAL[[#Headers],[MÓDULO 4 – CUSTO DE REPOSIÇÃO DO PROFISSIONAL AUSENTE]])-2,0)*($G212-$H212)</f>
        <v>13.797723730799909</v>
      </c>
      <c r="BI212" s="22">
        <f>VLOOKUP($A212,tabCustoUnit[],COLUMN(CUSTO_GLOBAL[[#Headers],[Uniformes e EPIs]])-2,0)*($G212-$H212)</f>
        <v>62.806666666666665</v>
      </c>
      <c r="BJ212" s="22">
        <f>VLOOKUP($A212,tabCustoUnit[],COLUMN(CUSTO_GLOBAL[[#Headers],[Materiais de Consumo]])-2,0)*($G212-$H212)</f>
        <v>17.759106479291944</v>
      </c>
      <c r="BK212" s="22">
        <f>VLOOKUP($A212,tabCustoUnit[],COLUMN(CUSTO_GLOBAL[[#Headers],[Máquinas e Equipamentos (depreciação)]])-2,0)*($G212-$H212)</f>
        <v>32.264696957412788</v>
      </c>
      <c r="BL212" s="22">
        <f>VLOOKUP($A212,tabCustoUnit[],COLUMN(CUSTO_GLOBAL[[#Headers],[Produtos de Limpeza e Materiais de Higiene Pessoal]])-2,0)*($G212-$H212)</f>
        <v>345.13576638965827</v>
      </c>
      <c r="BM212" s="22">
        <f>VLOOKUP($A212,tabCustoUnit[],COLUMN(CUSTO_GLOBAL[[#Headers],[Outros (especificar)]])-2,0)*($G212-$H212)</f>
        <v>0</v>
      </c>
      <c r="BN212" s="22">
        <f>VLOOKUP($A212,tabCustoUnit[],COLUMN(CUSTO_GLOBAL[[#Headers],[MÓDULO 5 – INSUMOS DIVERSOS]])-2,0)*($G212-$H212)</f>
        <v>457.96623649302967</v>
      </c>
      <c r="BO212" s="22">
        <f>VLOOKUP($A212,tabCustoUnit[],COLUMN(CUSTO_GLOBAL[[#Headers],[TOTAL MÓDULOS 1+2+3+4+5]])-2,0)*($G212-$H212)</f>
        <v>2658.2164025844677</v>
      </c>
      <c r="BP212" s="22">
        <f>VLOOKUP($A212,tabCustoUnit[],COLUMN(CUSTO_GLOBAL[[#Headers],[Custos Indiretos]])-2,0)*($G212-$H212)</f>
        <v>189.64880140242613</v>
      </c>
      <c r="BQ212" s="22">
        <f>VLOOKUP($A212,tabCustoUnit[],COLUMN(CUSTO_GLOBAL[[#Headers],[Lucro]])-2,0)*($G212-$H212)</f>
        <v>159.30499317803796</v>
      </c>
      <c r="BR212" s="26">
        <f>VLOOKUP($A212,tabCustoUnit[],COLUMN(CUSTO_GLOBAL[[#Headers],[COFINS]])-2,0)</f>
        <v>8.6609686609686695E-2</v>
      </c>
      <c r="BS212" s="26">
        <f>VLOOKUP($A212,tabCustoUnit[],COLUMN(CUSTO_GLOBAL[[#Headers],[PIS]])-2,0)</f>
        <v>1.880341880341882E-2</v>
      </c>
      <c r="BT212" s="28">
        <f>VLOOKUP($A212,tabCustoUnit[],COLUMN(CUSTO_GLOBAL[[#Headers],[ISS]])-2,0)</f>
        <v>0.03</v>
      </c>
      <c r="BU212" s="26">
        <f>VLOOKUP($A212,tabCustoUnit[],COLUMN(CUSTO_GLOBAL[[#Headers],[ISS (Conversão Alíquota s/ fatura)]])-2,0)</f>
        <v>3.4188034188034219E-2</v>
      </c>
      <c r="BV212" s="26">
        <f>VLOOKUP($A212,tabCustoUnit[],COLUMN(CUSTO_GLOBAL[[#Headers],[Resumo de Alíquotas (PIS+CONFINS+ISS)]])-2,0)</f>
        <v>0.1225</v>
      </c>
      <c r="BW212" s="138">
        <f>VLOOKUP($A212,tabCustoUnit[],COLUMN(CUSTO_GLOBAL[[#Headers],[PIS + COFINS + ISS (Total Conversão  Alíquota s/ Fatura)]])-2,0)</f>
        <v>0.13960113960113973</v>
      </c>
      <c r="BX212" s="22">
        <f>VLOOKUP($A212,tabCustoUnit[],COLUMN(CUSTO_GLOBAL[[#Headers],[Valor dos Tributos (ISS, PIS, CONFINS)]])-2,0)*($G212-$H212)</f>
        <v>419.80438649880853</v>
      </c>
      <c r="BY212" s="22">
        <f>VLOOKUP($A212,tabCustoUnit[],COLUMN(CUSTO_GLOBAL[[#Headers],[MÓDULO 6 – CUSTOS INDIRETOS, TRIBUTOS E LUCRO]])-2,0)*($G212-$H212)</f>
        <v>768.75818107927262</v>
      </c>
      <c r="BZ212" s="22">
        <f>VLOOKUP($A212,tabCustoUnit[],COLUMN(CUSTO_GLOBAL[[#Headers],[CUSTO TOTAL MENSAL]])-2,0)*($G212-$H212)</f>
        <v>3426.9745836637403</v>
      </c>
      <c r="CA212" s="22">
        <f>CUSTO_GLOBAL[[#This Row],[CUSTO TOTAL MENSAL]]*12</f>
        <v>41123.69500396488</v>
      </c>
      <c r="CB212" s="24">
        <f>VLOOKUP($A212,tabCustoUnit[],COLUMN(CUSTO_GLOBAL[[#Headers],[ANO DA CCT]])-2,0)</f>
        <v>45658</v>
      </c>
      <c r="CC212" s="25" t="str">
        <f>VLOOKUP($A212,tabCustoUnit[],COLUMN(CUSTO_GLOBAL[[#Headers],[Nº DE PEDIDO DA CCT]])-2,0)</f>
        <v>-</v>
      </c>
      <c r="CD212" s="25" t="str">
        <f>VLOOKUP($A212,tabCustoUnit[],COLUMN(CUSTO_GLOBAL[[#Headers],[TERMO ADITIVO  ALTERAÇÃO DA CCT]])-2,0)</f>
        <v>-</v>
      </c>
      <c r="CF212" s="22"/>
      <c r="CG212" s="22"/>
    </row>
    <row r="213" spans="1:85" x14ac:dyDescent="0.25">
      <c r="A213" s="20" t="s">
        <v>1548</v>
      </c>
      <c r="B213" t="s">
        <v>193</v>
      </c>
      <c r="C213" t="s">
        <v>1247</v>
      </c>
      <c r="D213" t="s">
        <v>1041</v>
      </c>
      <c r="E213" s="20" t="s">
        <v>9</v>
      </c>
      <c r="F213" s="20" t="s">
        <v>10</v>
      </c>
      <c r="G213" s="20">
        <v>1</v>
      </c>
      <c r="H213" s="20">
        <v>0</v>
      </c>
      <c r="I213" s="21">
        <f>VLOOKUP($A213,tabCustoUnit[],COLUMN(CUSTO_GLOBAL[[#Headers],[Salário Base]])-2,0)*($G213-$H213)</f>
        <v>544.17999999999995</v>
      </c>
      <c r="J213" s="21">
        <f>VLOOKUP($A213,tabCustoUnit[],COLUMN(CUSTO_GLOBAL[[#Headers],[Adicional Periculosidade]])-2,0)*($G213-$H213)</f>
        <v>0</v>
      </c>
      <c r="K213" s="21">
        <f>VLOOKUP($A213,tabCustoUnit[],COLUMN(CUSTO_GLOBAL[[#Headers],[Adicional Insalubridade]])-2,0)*($G213-$H213)</f>
        <v>0</v>
      </c>
      <c r="L213" s="21">
        <f>VLOOKUP($A213,tabCustoUnit[],COLUMN(CUSTO_GLOBAL[[#Headers],[Adicional Noturno]])-2,0)*($G213-$H213)</f>
        <v>0</v>
      </c>
      <c r="M213" s="21">
        <f>VLOOKUP($A213,tabCustoUnit[],COLUMN(CUSTO_GLOBAL[[#Headers],[Adicional Motorista II (Gratificação)]])-2,0)*($G213-$H213)</f>
        <v>0</v>
      </c>
      <c r="N213" s="21">
        <f>VLOOKUP($A213,tabCustoUnit[],COLUMN(CUSTO_GLOBAL[[#Headers],[Adicional de Sobreaviso]])-2,0)*($G213-$H213)</f>
        <v>0</v>
      </c>
      <c r="O213" s="21">
        <f>VLOOKUP($A213,tabCustoUnit[],COLUMN(CUSTO_GLOBAL[[#Headers],[Horas Extras TI]])-2,0)*($G213-$H213)</f>
        <v>0</v>
      </c>
      <c r="P213" s="21">
        <f>VLOOKUP($A213,tabCustoUnit[],COLUMN(CUSTO_GLOBAL[[#Headers],[Adicional de Acúmulo de função]])-2,0)*($G213-$H213)</f>
        <v>19.590499999999999</v>
      </c>
      <c r="Q213" s="21">
        <f>VLOOKUP($A213,tabCustoUnit[],COLUMN(CUSTO_GLOBAL[[#Headers],[MODULO 1 - REMUNERAÇÃO ]])-2,0)*($G213-$H213)</f>
        <v>563.77049999999997</v>
      </c>
      <c r="R213" s="21">
        <f>VLOOKUP($A213,tabCustoUnit[],COLUMN(CUSTO_GLOBAL[[#Headers],[INSS]])-2,0)*($G213-$H213)</f>
        <v>112.75409999999999</v>
      </c>
      <c r="S213" s="21">
        <f>VLOOKUP($A213,tabCustoUnit[],COLUMN(CUSTO_GLOBAL[[#Headers],[SESI OU SESC]])-2,0)*($G213-$H213)</f>
        <v>8.4565574999999988</v>
      </c>
      <c r="T213" s="21">
        <f>VLOOKUP($A213,tabCustoUnit[],COLUMN(CUSTO_GLOBAL[[#Headers],[SENAI OU SENAC]])-2,0)*($G213-$H213)</f>
        <v>5.6377049999999995</v>
      </c>
      <c r="U213" s="21">
        <f>VLOOKUP($A213,tabCustoUnit[],COLUMN(CUSTO_GLOBAL[[#Headers],[INCRA]])-2,0)*($G213-$H213)</f>
        <v>1.1275409999999999</v>
      </c>
      <c r="V213" s="21">
        <f>VLOOKUP($A213,tabCustoUnit[],COLUMN(CUSTO_GLOBAL[[#Headers],[Salário Educação]])-2,0)*($G213-$H213)</f>
        <v>14.094262499999999</v>
      </c>
      <c r="W213" s="21">
        <f>VLOOKUP($A213,tabCustoUnit[],COLUMN(CUSTO_GLOBAL[[#Headers],[FGTS]])-2,0)*($G213-$H213)</f>
        <v>45.101639999999996</v>
      </c>
      <c r="X213" s="21">
        <f>VLOOKUP($A213,tabCustoUnit[],COLUMN(CUSTO_GLOBAL[[#Headers],[RAT Ajustado]])-2,0)*($G213-$H213)</f>
        <v>22.550819999999998</v>
      </c>
      <c r="Y213" s="21">
        <f>VLOOKUP($A213,tabCustoUnit[],COLUMN(CUSTO_GLOBAL[[#Headers],[SEBRAE]])-2,0)*($G213-$H213)</f>
        <v>3.3826229999999997</v>
      </c>
      <c r="Z213" s="21">
        <f>VLOOKUP($A213,tabCustoUnit[],COLUMN(CUSTO_GLOBAL[[#Headers],[Submódulo 2.1]])-2,0)*($G213-$H213)</f>
        <v>213.10524899999996</v>
      </c>
      <c r="AA213" s="21">
        <f>VLOOKUP($A213,tabCustoUnit[],COLUMN(CUSTO_GLOBAL[[#Headers],[13º salário (titular)]])-2,0)*($G213-$H213)</f>
        <v>46.980874999999997</v>
      </c>
      <c r="AB213" s="21">
        <f>VLOOKUP($A213,tabCustoUnit[],COLUMN(CUSTO_GLOBAL[[#Headers],[Férias e Adicional de Férias (titular)]])-2,0)*($G213-$H213)</f>
        <v>62.641166666666663</v>
      </c>
      <c r="AC213" s="21">
        <f>VLOOKUP($A213,tabCustoUnit[],COLUMN(CUSTO_GLOBAL[[#Headers],[Incidência do Submódulo 2.1 sobre 13º Salário, Férias e Adicional de Férias]])-2,0)*($G213-$H213)</f>
        <v>41.437131749999992</v>
      </c>
      <c r="AD213" s="21">
        <f>VLOOKUP($A213,tabCustoUnit[],COLUMN(CUSTO_GLOBAL[[#Headers],[Submódulo 2.2]])-2,0)*($G213-$H213)</f>
        <v>151.05917341666665</v>
      </c>
      <c r="AE213" s="22">
        <f>VLOOKUP($A213,tabCustoUnit[],COLUMN(CUSTO_GLOBAL[[#Headers],[Vale - Transporte (Descontada parcela do empregado)]])-2,0)*($G213-$H213)</f>
        <v>223.3492</v>
      </c>
      <c r="AF213" s="22">
        <f>VLOOKUP($A213,tabCustoUnit[],COLUMN(CUSTO_GLOBAL[[#Headers],[Vale - Alimentação (Descontada parcela do empregado)]])-2,0)*($G213-$H213)</f>
        <v>582</v>
      </c>
      <c r="AG213" s="22">
        <f>VLOOKUP($A213,tabCustoUnit[],COLUMN(CUSTO_GLOBAL[[#Headers],[Cesta Básica]])-2,0)*($G213-$H213)</f>
        <v>0</v>
      </c>
      <c r="AH213" s="22">
        <f>VLOOKUP($A213,tabCustoUnit[],COLUMN(CUSTO_GLOBAL[[#Headers],[PAF]])-2,0)*($G213-$H213)</f>
        <v>51.86</v>
      </c>
      <c r="AI213" s="22">
        <f>VLOOKUP($A213,tabCustoUnit[],COLUMN(CUSTO_GLOBAL[[#Headers],[PQM]])-2,0)*($G213-$H213)</f>
        <v>0</v>
      </c>
      <c r="AJ213" s="22">
        <v>0</v>
      </c>
      <c r="AK213" s="22">
        <f>VLOOKUP($A213,tabCustoUnit[],COLUMN(CUSTO_GLOBAL[[#Headers],[Seguro de Vida]])-2,0)*($G213-$H213)</f>
        <v>3.36</v>
      </c>
      <c r="AL213" s="22">
        <f>VLOOKUP($A213,tabCustoUnit[],COLUMN(CUSTO_GLOBAL[[#Headers],[Despesas de Viagem]])-2,0)*($G213-$H213)</f>
        <v>0</v>
      </c>
      <c r="AM213" s="22">
        <f>VLOOKUP($A213,tabCustoUnit[],COLUMN(CUSTO_GLOBAL[[#Headers],[Submódulo 2.3]])-2,0)*($G213-$H213)</f>
        <v>860.56920000000002</v>
      </c>
      <c r="AN213" s="22">
        <f>VLOOKUP($A213,tabCustoUnit[],COLUMN(CUSTO_GLOBAL[[#Headers],[MÓDULO 2 - Total Encargos e Benefícios mensais e diários]])-2,0)*($G213-$H213)</f>
        <v>1224.7336224166665</v>
      </c>
      <c r="AO213" s="22">
        <f>VLOOKUP($A213,tabCustoUnit[],COLUMN(CUSTO_GLOBAL[[#Headers],[Aviso Prévio Indenizado (API) e Reflexo do Aviso Prévio Indenizado]])-2,0)*($G213-$H213)</f>
        <v>3.9530273735532404</v>
      </c>
      <c r="AP213" s="22">
        <f>VLOOKUP($A213,tabCustoUnit[],COLUMN(CUSTO_GLOBAL[[#Headers],[Incidência do FGTS sobre API e Reflexo do API]])-2,0)*($G213-$H213)</f>
        <v>0.31624218988425928</v>
      </c>
      <c r="AQ213" s="22">
        <f>VLOOKUP($A213,tabCustoUnit[],COLUMN(CUSTO_GLOBAL[[#Headers],[Multa Rescisória do FGTS sobre o Aviso Prévio Indenizado]])-2,0)*($G213-$H213)</f>
        <v>0.12649687595370371</v>
      </c>
      <c r="AR213" s="22">
        <f>VLOOKUP($A213,tabCustoUnit[],COLUMN(CUSTO_GLOBAL[[#Headers],[Aviso Prévio Trabalhado - APT]])-2,0)*($G213-$H213)</f>
        <v>1.9731967500000003</v>
      </c>
      <c r="AS213" s="22">
        <f>VLOOKUP($A213,tabCustoUnit[],COLUMN(CUSTO_GLOBAL[[#Headers],[Incidência dos encargos do submódulo 2.1 sobre Aviso Prévio Trabalhado]])-2,0)*($G213-$H213)</f>
        <v>0.74586837150000018</v>
      </c>
      <c r="AT213" s="22">
        <f>VLOOKUP($A213,tabCustoUnit[],COLUMN(CUSTO_GLOBAL[[#Headers],[Multa Rescisória do FGTS]])-2,0)*($G213-$H213)</f>
        <v>17.238849066666663</v>
      </c>
      <c r="AU213" s="22">
        <f>VLOOKUP($A213,tabCustoUnit[],COLUMN(CUSTO_GLOBAL[[#Headers],[Indenização Adicional (Art. 9º da Lei nº 7.238/84)]])-2,0)*($G213-$H213)</f>
        <v>0.46980875</v>
      </c>
      <c r="AV213" s="22">
        <f>VLOOKUP($A213,tabCustoUnit[],COLUMN(CUSTO_GLOBAL[[#Headers],[MÓDULO 3 – PROVISÃO PARA RESCISÃO]])-2,0)*($G213-$H213)</f>
        <v>24.823489377557866</v>
      </c>
      <c r="AW213" s="22">
        <f>VLOOKUP($A213,tabCustoUnit[],COLUMN(CUSTO_GLOBAL[[#Headers],[Ausência por Doença]])-2,0)*($G213-$H213)</f>
        <v>4.7607286666666662</v>
      </c>
      <c r="AX213" s="22">
        <f>VLOOKUP($A213,tabCustoUnit[],COLUMN(CUSTO_GLOBAL[[#Headers],[Ausências Legais]])-2,0)*($G213-$H213)</f>
        <v>1.1432012916666665</v>
      </c>
      <c r="AY213" s="22">
        <f>VLOOKUP($A213,tabCustoUnit[],COLUMN(CUSTO_GLOBAL[[#Headers],[Licença Paternidade]])-2,0)*($G213-$H213)</f>
        <v>9.6310793749999998E-2</v>
      </c>
      <c r="AZ213" s="22">
        <f>VLOOKUP($A213,tabCustoUnit[],COLUMN(CUSTO_GLOBAL[[#Headers],[Ausência por Acidente de Trabalho]])-2,0)*($G213-$H213)</f>
        <v>0.1174521875</v>
      </c>
      <c r="BA213" s="22">
        <f>VLOOKUP($A213,tabCustoUnit[],COLUMN(CUSTO_GLOBAL[[#Headers],[Férias, Adicional de Férias e 13º  com empregada em gozo de Licença Maternidade]])-2,0)*($G213-$H213)</f>
        <v>0.73081361111111109</v>
      </c>
      <c r="BB213" s="22">
        <f>VLOOKUP($A213,tabCustoUnit[],COLUMN(CUSTO_GLOBAL[[#Headers],[Incidência do Submódulo 2.1 sobre Ausências Legais]])-2,0)*($G213-$H213)</f>
        <v>2.5887354761625003</v>
      </c>
      <c r="BC213" s="22">
        <f>VLOOKUP($A213,tabCustoUnit[],COLUMN(CUSTO_GLOBAL[[#Headers],[Submódulo 4.1]])-2,0)*($G213-$H213)</f>
        <v>9.4372420268569428</v>
      </c>
      <c r="BD213" s="22">
        <f>VLOOKUP($A213,tabCustoUnit[],COLUMN(CUSTO_GLOBAL[[#Headers],[Intervalo para Repouso ou Alimentação]])-2,0)*($G213-$H213)</f>
        <v>0</v>
      </c>
      <c r="BE213" s="22">
        <f>VLOOKUP($A213,tabCustoUnit[],COLUMN(CUSTO_GLOBAL[[#Headers],[Submódulo 4.2]])-2,0)*($G213-$H213)</f>
        <v>0</v>
      </c>
      <c r="BF213" s="22">
        <f>VLOOKUP($A213,tabCustoUnit[],COLUMN(CUSTO_GLOBAL[[#Headers],[Suspensão Temporária do Contrato de Trabalho]])-2,0)*($G213-$H213)</f>
        <v>0</v>
      </c>
      <c r="BG213" s="22">
        <f>VLOOKUP($A213,tabCustoUnit[],COLUMN(CUSTO_GLOBAL[[#Headers],[Submódulo 4.3]])-2,0)*($G213-$H213)</f>
        <v>0</v>
      </c>
      <c r="BH213" s="22">
        <f>VLOOKUP($A213,tabCustoUnit[],COLUMN(CUSTO_GLOBAL[[#Headers],[MÓDULO 4 – CUSTO DE REPOSIÇÃO DO PROFISSIONAL AUSENTE]])-2,0)*($G213-$H213)</f>
        <v>9.4372420268569428</v>
      </c>
      <c r="BI213" s="22">
        <f>VLOOKUP($A213,tabCustoUnit[],COLUMN(CUSTO_GLOBAL[[#Headers],[Uniformes e EPIs]])-2,0)*($G213-$H213)</f>
        <v>62.806666666666665</v>
      </c>
      <c r="BJ213" s="22">
        <f>VLOOKUP($A213,tabCustoUnit[],COLUMN(CUSTO_GLOBAL[[#Headers],[Materiais de Consumo]])-2,0)*($G213-$H213)</f>
        <v>12.108481690426325</v>
      </c>
      <c r="BK213" s="22">
        <f>VLOOKUP($A213,tabCustoUnit[],COLUMN(CUSTO_GLOBAL[[#Headers],[Máquinas e Equipamentos (depreciação)]])-2,0)*($G213-$H213)</f>
        <v>21.998657016417809</v>
      </c>
      <c r="BL213" s="22">
        <f>VLOOKUP($A213,tabCustoUnit[],COLUMN(CUSTO_GLOBAL[[#Headers],[Produtos de Limpeza e Materiais de Higiene Pessoal]])-2,0)*($G213-$H213)</f>
        <v>235.31984072022155</v>
      </c>
      <c r="BM213" s="22">
        <f>VLOOKUP($A213,tabCustoUnit[],COLUMN(CUSTO_GLOBAL[[#Headers],[Outros (especificar)]])-2,0)*($G213-$H213)</f>
        <v>0</v>
      </c>
      <c r="BN213" s="22">
        <f>VLOOKUP($A213,tabCustoUnit[],COLUMN(CUSTO_GLOBAL[[#Headers],[MÓDULO 5 – INSUMOS DIVERSOS]])-2,0)*($G213-$H213)</f>
        <v>332.23364609373232</v>
      </c>
      <c r="BO213" s="22">
        <f>VLOOKUP($A213,tabCustoUnit[],COLUMN(CUSTO_GLOBAL[[#Headers],[TOTAL MÓDULOS 1+2+3+4+5]])-2,0)*($G213-$H213)</f>
        <v>2154.9984999148137</v>
      </c>
      <c r="BP213" s="22">
        <f>VLOOKUP($A213,tabCustoUnit[],COLUMN(CUSTO_GLOBAL[[#Headers],[Custos Indiretos]])-2,0)*($G213-$H213)</f>
        <v>189.64880140242613</v>
      </c>
      <c r="BQ213" s="22">
        <f>VLOOKUP($A213,tabCustoUnit[],COLUMN(CUSTO_GLOBAL[[#Headers],[Lucro]])-2,0)*($G213-$H213)</f>
        <v>159.30499317803796</v>
      </c>
      <c r="BR213" s="26">
        <f>VLOOKUP($A213,tabCustoUnit[],COLUMN(CUSTO_GLOBAL[[#Headers],[COFINS]])-2,0)</f>
        <v>8.6609686609686695E-2</v>
      </c>
      <c r="BS213" s="26">
        <f>VLOOKUP($A213,tabCustoUnit[],COLUMN(CUSTO_GLOBAL[[#Headers],[PIS]])-2,0)</f>
        <v>1.880341880341882E-2</v>
      </c>
      <c r="BT213" s="28">
        <f>VLOOKUP($A213,tabCustoUnit[],COLUMN(CUSTO_GLOBAL[[#Headers],[ISS]])-2,0)</f>
        <v>0.03</v>
      </c>
      <c r="BU213" s="26">
        <f>VLOOKUP($A213,tabCustoUnit[],COLUMN(CUSTO_GLOBAL[[#Headers],[ISS (Conversão Alíquota s/ fatura)]])-2,0)</f>
        <v>3.4188034188034219E-2</v>
      </c>
      <c r="BV213" s="26">
        <f>VLOOKUP($A213,tabCustoUnit[],COLUMN(CUSTO_GLOBAL[[#Headers],[Resumo de Alíquotas (PIS+CONFINS+ISS)]])-2,0)</f>
        <v>0.1225</v>
      </c>
      <c r="BW213" s="138">
        <f>VLOOKUP($A213,tabCustoUnit[],COLUMN(CUSTO_GLOBAL[[#Headers],[PIS + COFINS + ISS (Total Conversão  Alíquota s/ Fatura)]])-2,0)</f>
        <v>0.13960113960113973</v>
      </c>
      <c r="BX213" s="22">
        <f>VLOOKUP($A213,tabCustoUnit[],COLUMN(CUSTO_GLOBAL[[#Headers],[Valor dos Tributos (ISS, PIS, CONFINS)]])-2,0)*($G213-$H213)</f>
        <v>349.55459381842945</v>
      </c>
      <c r="BY213" s="22">
        <f>VLOOKUP($A213,tabCustoUnit[],COLUMN(CUSTO_GLOBAL[[#Headers],[MÓDULO 6 – CUSTOS INDIRETOS, TRIBUTOS E LUCRO]])-2,0)*($G213-$H213)</f>
        <v>698.50838839889354</v>
      </c>
      <c r="BZ213" s="22">
        <f>VLOOKUP($A213,tabCustoUnit[],COLUMN(CUSTO_GLOBAL[[#Headers],[CUSTO TOTAL MENSAL]])-2,0)*($G213-$H213)</f>
        <v>2853.5068883137073</v>
      </c>
      <c r="CA213" s="22">
        <f>CUSTO_GLOBAL[[#This Row],[CUSTO TOTAL MENSAL]]*12</f>
        <v>34242.082659764492</v>
      </c>
      <c r="CB213" s="24">
        <f>VLOOKUP($A213,tabCustoUnit[],COLUMN(CUSTO_GLOBAL[[#Headers],[ANO DA CCT]])-2,0)</f>
        <v>45658</v>
      </c>
      <c r="CC213" s="25" t="str">
        <f>VLOOKUP($A213,tabCustoUnit[],COLUMN(CUSTO_GLOBAL[[#Headers],[Nº DE PEDIDO DA CCT]])-2,0)</f>
        <v>-</v>
      </c>
      <c r="CD213" s="25" t="str">
        <f>VLOOKUP($A213,tabCustoUnit[],COLUMN(CUSTO_GLOBAL[[#Headers],[TERMO ADITIVO  ALTERAÇÃO DA CCT]])-2,0)</f>
        <v>-</v>
      </c>
      <c r="CF213" s="22"/>
      <c r="CG213" s="22"/>
    </row>
    <row r="214" spans="1:85" x14ac:dyDescent="0.25">
      <c r="A214" s="20" t="s">
        <v>1549</v>
      </c>
      <c r="B214" t="s">
        <v>194</v>
      </c>
      <c r="C214" t="s">
        <v>1244</v>
      </c>
      <c r="D214" t="s">
        <v>1015</v>
      </c>
      <c r="E214" s="20" t="s">
        <v>9</v>
      </c>
      <c r="F214" s="20" t="s">
        <v>10</v>
      </c>
      <c r="G214" s="20">
        <v>1</v>
      </c>
      <c r="H214" s="20">
        <v>0</v>
      </c>
      <c r="I214" s="21">
        <f>VLOOKUP($A214,tabCustoUnit[],COLUMN(CUSTO_GLOBAL[[#Headers],[Salário Base]])-2,0)*($G214-$H214)</f>
        <v>798.14</v>
      </c>
      <c r="J214" s="21">
        <f>VLOOKUP($A214,tabCustoUnit[],COLUMN(CUSTO_GLOBAL[[#Headers],[Adicional Periculosidade]])-2,0)*($G214-$H214)</f>
        <v>0</v>
      </c>
      <c r="K214" s="21">
        <f>VLOOKUP($A214,tabCustoUnit[],COLUMN(CUSTO_GLOBAL[[#Headers],[Adicional Insalubridade]])-2,0)*($G214-$H214)</f>
        <v>0</v>
      </c>
      <c r="L214" s="21">
        <f>VLOOKUP($A214,tabCustoUnit[],COLUMN(CUSTO_GLOBAL[[#Headers],[Adicional Noturno]])-2,0)*($G214-$H214)</f>
        <v>0</v>
      </c>
      <c r="M214" s="21">
        <f>VLOOKUP($A214,tabCustoUnit[],COLUMN(CUSTO_GLOBAL[[#Headers],[Adicional Motorista II (Gratificação)]])-2,0)*($G214-$H214)</f>
        <v>0</v>
      </c>
      <c r="N214" s="21">
        <f>VLOOKUP($A214,tabCustoUnit[],COLUMN(CUSTO_GLOBAL[[#Headers],[Adicional de Sobreaviso]])-2,0)*($G214-$H214)</f>
        <v>0</v>
      </c>
      <c r="O214" s="21">
        <f>VLOOKUP($A214,tabCustoUnit[],COLUMN(CUSTO_GLOBAL[[#Headers],[Horas Extras TI]])-2,0)*($G214-$H214)</f>
        <v>0</v>
      </c>
      <c r="P214" s="21">
        <f>VLOOKUP($A214,tabCustoUnit[],COLUMN(CUSTO_GLOBAL[[#Headers],[Adicional de Acúmulo de função]])-2,0)*($G214-$H214)</f>
        <v>26.120899999999999</v>
      </c>
      <c r="Q214" s="21">
        <f>VLOOKUP($A214,tabCustoUnit[],COLUMN(CUSTO_GLOBAL[[#Headers],[MODULO 1 - REMUNERAÇÃO ]])-2,0)*($G214-$H214)</f>
        <v>824.26089999999999</v>
      </c>
      <c r="R214" s="21">
        <f>VLOOKUP($A214,tabCustoUnit[],COLUMN(CUSTO_GLOBAL[[#Headers],[INSS]])-2,0)*($G214-$H214)</f>
        <v>164.85218</v>
      </c>
      <c r="S214" s="21">
        <f>VLOOKUP($A214,tabCustoUnit[],COLUMN(CUSTO_GLOBAL[[#Headers],[SESI OU SESC]])-2,0)*($G214-$H214)</f>
        <v>12.363913499999999</v>
      </c>
      <c r="T214" s="21">
        <f>VLOOKUP($A214,tabCustoUnit[],COLUMN(CUSTO_GLOBAL[[#Headers],[SENAI OU SENAC]])-2,0)*($G214-$H214)</f>
        <v>8.2426089999999999</v>
      </c>
      <c r="U214" s="21">
        <f>VLOOKUP($A214,tabCustoUnit[],COLUMN(CUSTO_GLOBAL[[#Headers],[INCRA]])-2,0)*($G214-$H214)</f>
        <v>1.6485217999999999</v>
      </c>
      <c r="V214" s="21">
        <f>VLOOKUP($A214,tabCustoUnit[],COLUMN(CUSTO_GLOBAL[[#Headers],[Salário Educação]])-2,0)*($G214-$H214)</f>
        <v>20.606522500000001</v>
      </c>
      <c r="W214" s="21">
        <f>VLOOKUP($A214,tabCustoUnit[],COLUMN(CUSTO_GLOBAL[[#Headers],[FGTS]])-2,0)*($G214-$H214)</f>
        <v>65.940871999999999</v>
      </c>
      <c r="X214" s="21">
        <f>VLOOKUP($A214,tabCustoUnit[],COLUMN(CUSTO_GLOBAL[[#Headers],[RAT Ajustado]])-2,0)*($G214-$H214)</f>
        <v>32.970435999999999</v>
      </c>
      <c r="Y214" s="21">
        <f>VLOOKUP($A214,tabCustoUnit[],COLUMN(CUSTO_GLOBAL[[#Headers],[SEBRAE]])-2,0)*($G214-$H214)</f>
        <v>4.9455654000000004</v>
      </c>
      <c r="Z214" s="21">
        <f>VLOOKUP($A214,tabCustoUnit[],COLUMN(CUSTO_GLOBAL[[#Headers],[Submódulo 2.1]])-2,0)*($G214-$H214)</f>
        <v>311.57062020000001</v>
      </c>
      <c r="AA214" s="21">
        <f>VLOOKUP($A214,tabCustoUnit[],COLUMN(CUSTO_GLOBAL[[#Headers],[13º salário (titular)]])-2,0)*($G214-$H214)</f>
        <v>68.688408333333328</v>
      </c>
      <c r="AB214" s="21">
        <f>VLOOKUP($A214,tabCustoUnit[],COLUMN(CUSTO_GLOBAL[[#Headers],[Férias e Adicional de Férias (titular)]])-2,0)*($G214-$H214)</f>
        <v>91.584544444444433</v>
      </c>
      <c r="AC214" s="21">
        <f>VLOOKUP($A214,tabCustoUnit[],COLUMN(CUSTO_GLOBAL[[#Headers],[Incidência do Submódulo 2.1 sobre 13º Salário, Férias e Adicional de Férias]])-2,0)*($G214-$H214)</f>
        <v>60.583176149999993</v>
      </c>
      <c r="AD214" s="21">
        <f>VLOOKUP($A214,tabCustoUnit[],COLUMN(CUSTO_GLOBAL[[#Headers],[Submódulo 2.2]])-2,0)*($G214-$H214)</f>
        <v>220.85612892777775</v>
      </c>
      <c r="AE214" s="22">
        <f>VLOOKUP($A214,tabCustoUnit[],COLUMN(CUSTO_GLOBAL[[#Headers],[Vale - Transporte (Descontada parcela do empregado)]])-2,0)*($G214-$H214)</f>
        <v>208.11160000000001</v>
      </c>
      <c r="AF214" s="22">
        <f>VLOOKUP($A214,tabCustoUnit[],COLUMN(CUSTO_GLOBAL[[#Headers],[Vale - Alimentação (Descontada parcela do empregado)]])-2,0)*($G214-$H214)</f>
        <v>582</v>
      </c>
      <c r="AG214" s="22">
        <f>VLOOKUP($A214,tabCustoUnit[],COLUMN(CUSTO_GLOBAL[[#Headers],[Cesta Básica]])-2,0)*($G214-$H214)</f>
        <v>0</v>
      </c>
      <c r="AH214" s="22">
        <f>VLOOKUP($A214,tabCustoUnit[],COLUMN(CUSTO_GLOBAL[[#Headers],[PAF]])-2,0)*($G214-$H214)</f>
        <v>50.74</v>
      </c>
      <c r="AI214" s="22">
        <f>VLOOKUP($A214,tabCustoUnit[],COLUMN(CUSTO_GLOBAL[[#Headers],[PQM]])-2,0)*($G214-$H214)</f>
        <v>0</v>
      </c>
      <c r="AJ214" s="22">
        <v>0</v>
      </c>
      <c r="AK214" s="22">
        <f>VLOOKUP($A214,tabCustoUnit[],COLUMN(CUSTO_GLOBAL[[#Headers],[Seguro de Vida]])-2,0)*($G214-$H214)</f>
        <v>3.36</v>
      </c>
      <c r="AL214" s="22">
        <f>VLOOKUP($A214,tabCustoUnit[],COLUMN(CUSTO_GLOBAL[[#Headers],[Despesas de Viagem]])-2,0)*($G214-$H214)</f>
        <v>0</v>
      </c>
      <c r="AM214" s="22">
        <f>VLOOKUP($A214,tabCustoUnit[],COLUMN(CUSTO_GLOBAL[[#Headers],[Submódulo 2.3]])-2,0)*($G214-$H214)</f>
        <v>844.21159999999998</v>
      </c>
      <c r="AN214" s="22">
        <f>VLOOKUP($A214,tabCustoUnit[],COLUMN(CUSTO_GLOBAL[[#Headers],[MÓDULO 2 - Total Encargos e Benefícios mensais e diários]])-2,0)*($G214-$H214)</f>
        <v>1376.6383491277777</v>
      </c>
      <c r="AO214" s="22">
        <f>VLOOKUP($A214,tabCustoUnit[],COLUMN(CUSTO_GLOBAL[[#Headers],[Aviso Prévio Indenizado (API) e Reflexo do Aviso Prévio Indenizado]])-2,0)*($G214-$H214)</f>
        <v>5.7795253576581791</v>
      </c>
      <c r="AP214" s="22">
        <f>VLOOKUP($A214,tabCustoUnit[],COLUMN(CUSTO_GLOBAL[[#Headers],[Incidência do FGTS sobre API e Reflexo do API]])-2,0)*($G214-$H214)</f>
        <v>0.46236202861265435</v>
      </c>
      <c r="AQ214" s="22">
        <f>VLOOKUP($A214,tabCustoUnit[],COLUMN(CUSTO_GLOBAL[[#Headers],[Multa Rescisória do FGTS sobre o Aviso Prévio Indenizado]])-2,0)*($G214-$H214)</f>
        <v>0.18494481144506175</v>
      </c>
      <c r="AR214" s="22">
        <f>VLOOKUP($A214,tabCustoUnit[],COLUMN(CUSTO_GLOBAL[[#Headers],[Aviso Prévio Trabalhado - APT]])-2,0)*($G214-$H214)</f>
        <v>2.8849131500000005</v>
      </c>
      <c r="AS214" s="22">
        <f>VLOOKUP($A214,tabCustoUnit[],COLUMN(CUSTO_GLOBAL[[#Headers],[Incidência dos encargos do submódulo 2.1 sobre Aviso Prévio Trabalhado]])-2,0)*($G214-$H214)</f>
        <v>1.0904971707000004</v>
      </c>
      <c r="AT214" s="22">
        <f>VLOOKUP($A214,tabCustoUnit[],COLUMN(CUSTO_GLOBAL[[#Headers],[Multa Rescisória do FGTS]])-2,0)*($G214-$H214)</f>
        <v>25.204066631111107</v>
      </c>
      <c r="AU214" s="22">
        <f>VLOOKUP($A214,tabCustoUnit[],COLUMN(CUSTO_GLOBAL[[#Headers],[Indenização Adicional (Art. 9º da Lei nº 7.238/84)]])-2,0)*($G214-$H214)</f>
        <v>0.6868840833333334</v>
      </c>
      <c r="AV214" s="22">
        <f>VLOOKUP($A214,tabCustoUnit[],COLUMN(CUSTO_GLOBAL[[#Headers],[MÓDULO 3 – PROVISÃO PARA RESCISÃO]])-2,0)*($G214-$H214)</f>
        <v>36.293193232860339</v>
      </c>
      <c r="AW214" s="22">
        <f>VLOOKUP($A214,tabCustoUnit[],COLUMN(CUSTO_GLOBAL[[#Headers],[Ausência por Doença]])-2,0)*($G214-$H214)</f>
        <v>6.9604253777777769</v>
      </c>
      <c r="AX214" s="22">
        <f>VLOOKUP($A214,tabCustoUnit[],COLUMN(CUSTO_GLOBAL[[#Headers],[Ausências Legais]])-2,0)*($G214-$H214)</f>
        <v>1.671417936111111</v>
      </c>
      <c r="AY214" s="22">
        <f>VLOOKUP($A214,tabCustoUnit[],COLUMN(CUSTO_GLOBAL[[#Headers],[Licença Paternidade]])-2,0)*($G214-$H214)</f>
        <v>0.14081123708333332</v>
      </c>
      <c r="AZ214" s="22">
        <f>VLOOKUP($A214,tabCustoUnit[],COLUMN(CUSTO_GLOBAL[[#Headers],[Ausência por Acidente de Trabalho]])-2,0)*($G214-$H214)</f>
        <v>0.17172102083333335</v>
      </c>
      <c r="BA214" s="22">
        <f>VLOOKUP($A214,tabCustoUnit[],COLUMN(CUSTO_GLOBAL[[#Headers],[Férias, Adicional de Férias e 13º  com empregada em gozo de Licença Maternidade]])-2,0)*($G214-$H214)</f>
        <v>1.0684863518518517</v>
      </c>
      <c r="BB214" s="22">
        <f>VLOOKUP($A214,tabCustoUnit[],COLUMN(CUSTO_GLOBAL[[#Headers],[Incidência do Submódulo 2.1 sobre Ausências Legais]])-2,0)*($G214-$H214)</f>
        <v>3.7848618071425006</v>
      </c>
      <c r="BC214" s="22">
        <f>VLOOKUP($A214,tabCustoUnit[],COLUMN(CUSTO_GLOBAL[[#Headers],[Submódulo 4.1]])-2,0)*($G214-$H214)</f>
        <v>13.797723730799909</v>
      </c>
      <c r="BD214" s="22">
        <f>VLOOKUP($A214,tabCustoUnit[],COLUMN(CUSTO_GLOBAL[[#Headers],[Intervalo para Repouso ou Alimentação]])-2,0)*($G214-$H214)</f>
        <v>0</v>
      </c>
      <c r="BE214" s="22">
        <f>VLOOKUP($A214,tabCustoUnit[],COLUMN(CUSTO_GLOBAL[[#Headers],[Submódulo 4.2]])-2,0)*($G214-$H214)</f>
        <v>0</v>
      </c>
      <c r="BF214" s="22">
        <f>VLOOKUP($A214,tabCustoUnit[],COLUMN(CUSTO_GLOBAL[[#Headers],[Suspensão Temporária do Contrato de Trabalho]])-2,0)*($G214-$H214)</f>
        <v>0</v>
      </c>
      <c r="BG214" s="22">
        <f>VLOOKUP($A214,tabCustoUnit[],COLUMN(CUSTO_GLOBAL[[#Headers],[Submódulo 4.3]])-2,0)*($G214-$H214)</f>
        <v>0</v>
      </c>
      <c r="BH214" s="22">
        <f>VLOOKUP($A214,tabCustoUnit[],COLUMN(CUSTO_GLOBAL[[#Headers],[MÓDULO 4 – CUSTO DE REPOSIÇÃO DO PROFISSIONAL AUSENTE]])-2,0)*($G214-$H214)</f>
        <v>13.797723730799909</v>
      </c>
      <c r="BI214" s="22">
        <f>VLOOKUP($A214,tabCustoUnit[],COLUMN(CUSTO_GLOBAL[[#Headers],[Uniformes e EPIs]])-2,0)*($G214-$H214)</f>
        <v>62.806666666666665</v>
      </c>
      <c r="BJ214" s="22">
        <f>VLOOKUP($A214,tabCustoUnit[],COLUMN(CUSTO_GLOBAL[[#Headers],[Materiais de Consumo]])-2,0)*($G214-$H214)</f>
        <v>17.759106479291944</v>
      </c>
      <c r="BK214" s="22">
        <f>VLOOKUP($A214,tabCustoUnit[],COLUMN(CUSTO_GLOBAL[[#Headers],[Máquinas e Equipamentos (depreciação)]])-2,0)*($G214-$H214)</f>
        <v>32.264696957412788</v>
      </c>
      <c r="BL214" s="22">
        <f>VLOOKUP($A214,tabCustoUnit[],COLUMN(CUSTO_GLOBAL[[#Headers],[Produtos de Limpeza e Materiais de Higiene Pessoal]])-2,0)*($G214-$H214)</f>
        <v>345.13576638965827</v>
      </c>
      <c r="BM214" s="22">
        <f>VLOOKUP($A214,tabCustoUnit[],COLUMN(CUSTO_GLOBAL[[#Headers],[Outros (especificar)]])-2,0)*($G214-$H214)</f>
        <v>0</v>
      </c>
      <c r="BN214" s="22">
        <f>VLOOKUP($A214,tabCustoUnit[],COLUMN(CUSTO_GLOBAL[[#Headers],[MÓDULO 5 – INSUMOS DIVERSOS]])-2,0)*($G214-$H214)</f>
        <v>457.96623649302967</v>
      </c>
      <c r="BO214" s="22">
        <f>VLOOKUP($A214,tabCustoUnit[],COLUMN(CUSTO_GLOBAL[[#Headers],[TOTAL MÓDULOS 1+2+3+4+5]])-2,0)*($G214-$H214)</f>
        <v>2708.9564025844675</v>
      </c>
      <c r="BP214" s="22">
        <f>VLOOKUP($A214,tabCustoUnit[],COLUMN(CUSTO_GLOBAL[[#Headers],[Custos Indiretos]])-2,0)*($G214-$H214)</f>
        <v>189.64880140242613</v>
      </c>
      <c r="BQ214" s="22">
        <f>VLOOKUP($A214,tabCustoUnit[],COLUMN(CUSTO_GLOBAL[[#Headers],[Lucro]])-2,0)*($G214-$H214)</f>
        <v>159.30499317803796</v>
      </c>
      <c r="BR214" s="26">
        <f>VLOOKUP($A214,tabCustoUnit[],COLUMN(CUSTO_GLOBAL[[#Headers],[COFINS]])-2,0)</f>
        <v>8.6609686609686695E-2</v>
      </c>
      <c r="BS214" s="26">
        <f>VLOOKUP($A214,tabCustoUnit[],COLUMN(CUSTO_GLOBAL[[#Headers],[PIS]])-2,0)</f>
        <v>1.880341880341882E-2</v>
      </c>
      <c r="BT214" s="28">
        <f>VLOOKUP($A214,tabCustoUnit[],COLUMN(CUSTO_GLOBAL[[#Headers],[ISS]])-2,0)</f>
        <v>0.03</v>
      </c>
      <c r="BU214" s="26">
        <f>VLOOKUP($A214,tabCustoUnit[],COLUMN(CUSTO_GLOBAL[[#Headers],[ISS (Conversão Alíquota s/ fatura)]])-2,0)</f>
        <v>3.4188034188034219E-2</v>
      </c>
      <c r="BV214" s="26">
        <f>VLOOKUP($A214,tabCustoUnit[],COLUMN(CUSTO_GLOBAL[[#Headers],[Resumo de Alíquotas (PIS+CONFINS+ISS)]])-2,0)</f>
        <v>0.1225</v>
      </c>
      <c r="BW214" s="138">
        <f>VLOOKUP($A214,tabCustoUnit[],COLUMN(CUSTO_GLOBAL[[#Headers],[PIS + COFINS + ISS (Total Conversão  Alíquota s/ Fatura)]])-2,0)</f>
        <v>0.13960113960113973</v>
      </c>
      <c r="BX214" s="22">
        <f>VLOOKUP($A214,tabCustoUnit[],COLUMN(CUSTO_GLOBAL[[#Headers],[Valor dos Tributos (ISS, PIS, CONFINS)]])-2,0)*($G214-$H214)</f>
        <v>426.88774832217035</v>
      </c>
      <c r="BY214" s="22">
        <f>VLOOKUP($A214,tabCustoUnit[],COLUMN(CUSTO_GLOBAL[[#Headers],[MÓDULO 6 – CUSTOS INDIRETOS, TRIBUTOS E LUCRO]])-2,0)*($G214-$H214)</f>
        <v>775.8415429026345</v>
      </c>
      <c r="BZ214" s="22">
        <f>VLOOKUP($A214,tabCustoUnit[],COLUMN(CUSTO_GLOBAL[[#Headers],[CUSTO TOTAL MENSAL]])-2,0)*($G214-$H214)</f>
        <v>3484.797945487102</v>
      </c>
      <c r="CA214" s="22">
        <f>CUSTO_GLOBAL[[#This Row],[CUSTO TOTAL MENSAL]]*12</f>
        <v>41817.575345845224</v>
      </c>
      <c r="CB214" s="24">
        <f>VLOOKUP($A214,tabCustoUnit[],COLUMN(CUSTO_GLOBAL[[#Headers],[ANO DA CCT]])-2,0)</f>
        <v>45658</v>
      </c>
      <c r="CC214" s="25" t="str">
        <f>VLOOKUP($A214,tabCustoUnit[],COLUMN(CUSTO_GLOBAL[[#Headers],[Nº DE PEDIDO DA CCT]])-2,0)</f>
        <v>-</v>
      </c>
      <c r="CD214" s="25" t="str">
        <f>VLOOKUP($A214,tabCustoUnit[],COLUMN(CUSTO_GLOBAL[[#Headers],[TERMO ADITIVO  ALTERAÇÃO DA CCT]])-2,0)</f>
        <v>-</v>
      </c>
      <c r="CF214" s="22"/>
      <c r="CG214" s="22"/>
    </row>
    <row r="215" spans="1:85" x14ac:dyDescent="0.25">
      <c r="A215" s="20" t="s">
        <v>1550</v>
      </c>
      <c r="B215" t="s">
        <v>195</v>
      </c>
      <c r="C215" t="s">
        <v>1245</v>
      </c>
      <c r="D215" t="s">
        <v>1045</v>
      </c>
      <c r="E215" s="20" t="s">
        <v>9</v>
      </c>
      <c r="F215" s="20" t="s">
        <v>10</v>
      </c>
      <c r="G215" s="20">
        <v>2</v>
      </c>
      <c r="H215" s="20">
        <v>0</v>
      </c>
      <c r="I215" s="21">
        <f>VLOOKUP($A215,tabCustoUnit[],COLUMN(CUSTO_GLOBAL[[#Headers],[Salário Base]])-2,0)*($G215-$H215)</f>
        <v>3298.24</v>
      </c>
      <c r="J215" s="21">
        <f>VLOOKUP($A215,tabCustoUnit[],COLUMN(CUSTO_GLOBAL[[#Headers],[Adicional Periculosidade]])-2,0)*($G215-$H215)</f>
        <v>0</v>
      </c>
      <c r="K215" s="21">
        <f>VLOOKUP($A215,tabCustoUnit[],COLUMN(CUSTO_GLOBAL[[#Headers],[Adicional Insalubridade]])-2,0)*($G215-$H215)</f>
        <v>0</v>
      </c>
      <c r="L215" s="21">
        <f>VLOOKUP($A215,tabCustoUnit[],COLUMN(CUSTO_GLOBAL[[#Headers],[Adicional Noturno]])-2,0)*($G215-$H215)</f>
        <v>0</v>
      </c>
      <c r="M215" s="21">
        <f>VLOOKUP($A215,tabCustoUnit[],COLUMN(CUSTO_GLOBAL[[#Headers],[Adicional Motorista II (Gratificação)]])-2,0)*($G215-$H215)</f>
        <v>0</v>
      </c>
      <c r="N215" s="21">
        <f>VLOOKUP($A215,tabCustoUnit[],COLUMN(CUSTO_GLOBAL[[#Headers],[Adicional de Sobreaviso]])-2,0)*($G215-$H215)</f>
        <v>0</v>
      </c>
      <c r="O215" s="21">
        <f>VLOOKUP($A215,tabCustoUnit[],COLUMN(CUSTO_GLOBAL[[#Headers],[Horas Extras TI]])-2,0)*($G215-$H215)</f>
        <v>0</v>
      </c>
      <c r="P215" s="21">
        <f>VLOOKUP($A215,tabCustoUnit[],COLUMN(CUSTO_GLOBAL[[#Headers],[Adicional de Acúmulo de função]])-2,0)*($G215-$H215)</f>
        <v>107.94240000000001</v>
      </c>
      <c r="Q215" s="21">
        <f>VLOOKUP($A215,tabCustoUnit[],COLUMN(CUSTO_GLOBAL[[#Headers],[MODULO 1 - REMUNERAÇÃO ]])-2,0)*($G215-$H215)</f>
        <v>3406.1823999999997</v>
      </c>
      <c r="R215" s="21">
        <f>VLOOKUP($A215,tabCustoUnit[],COLUMN(CUSTO_GLOBAL[[#Headers],[INSS]])-2,0)*($G215-$H215)</f>
        <v>681.23648000000003</v>
      </c>
      <c r="S215" s="21">
        <f>VLOOKUP($A215,tabCustoUnit[],COLUMN(CUSTO_GLOBAL[[#Headers],[SESI OU SESC]])-2,0)*($G215-$H215)</f>
        <v>51.092735999999995</v>
      </c>
      <c r="T215" s="21">
        <f>VLOOKUP($A215,tabCustoUnit[],COLUMN(CUSTO_GLOBAL[[#Headers],[SENAI OU SENAC]])-2,0)*($G215-$H215)</f>
        <v>34.061823999999994</v>
      </c>
      <c r="U215" s="21">
        <f>VLOOKUP($A215,tabCustoUnit[],COLUMN(CUSTO_GLOBAL[[#Headers],[INCRA]])-2,0)*($G215-$H215)</f>
        <v>6.8123647999999992</v>
      </c>
      <c r="V215" s="21">
        <f>VLOOKUP($A215,tabCustoUnit[],COLUMN(CUSTO_GLOBAL[[#Headers],[Salário Educação]])-2,0)*($G215-$H215)</f>
        <v>85.154560000000004</v>
      </c>
      <c r="W215" s="21">
        <f>VLOOKUP($A215,tabCustoUnit[],COLUMN(CUSTO_GLOBAL[[#Headers],[FGTS]])-2,0)*($G215-$H215)</f>
        <v>272.49459199999995</v>
      </c>
      <c r="X215" s="21">
        <f>VLOOKUP($A215,tabCustoUnit[],COLUMN(CUSTO_GLOBAL[[#Headers],[RAT Ajustado]])-2,0)*($G215-$H215)</f>
        <v>136.24729599999998</v>
      </c>
      <c r="Y215" s="21">
        <f>VLOOKUP($A215,tabCustoUnit[],COLUMN(CUSTO_GLOBAL[[#Headers],[SEBRAE]])-2,0)*($G215-$H215)</f>
        <v>20.437094399999999</v>
      </c>
      <c r="Z215" s="21">
        <f>VLOOKUP($A215,tabCustoUnit[],COLUMN(CUSTO_GLOBAL[[#Headers],[Submódulo 2.1]])-2,0)*($G215-$H215)</f>
        <v>1287.5369472</v>
      </c>
      <c r="AA215" s="21">
        <f>VLOOKUP($A215,tabCustoUnit[],COLUMN(CUSTO_GLOBAL[[#Headers],[13º salário (titular)]])-2,0)*($G215-$H215)</f>
        <v>283.84853333333331</v>
      </c>
      <c r="AB215" s="21">
        <f>VLOOKUP($A215,tabCustoUnit[],COLUMN(CUSTO_GLOBAL[[#Headers],[Férias e Adicional de Férias (titular)]])-2,0)*($G215-$H215)</f>
        <v>378.46471111111106</v>
      </c>
      <c r="AC215" s="21">
        <f>VLOOKUP($A215,tabCustoUnit[],COLUMN(CUSTO_GLOBAL[[#Headers],[Incidência do Submódulo 2.1 sobre 13º Salário, Férias e Adicional de Férias]])-2,0)*($G215-$H215)</f>
        <v>250.35440639999999</v>
      </c>
      <c r="AD215" s="21">
        <f>VLOOKUP($A215,tabCustoUnit[],COLUMN(CUSTO_GLOBAL[[#Headers],[Submódulo 2.2]])-2,0)*($G215-$H215)</f>
        <v>912.66765084444432</v>
      </c>
      <c r="AE215" s="22">
        <f>VLOOKUP($A215,tabCustoUnit[],COLUMN(CUSTO_GLOBAL[[#Headers],[Vale - Transporte (Descontada parcela do empregado)]])-2,0)*($G215-$H215)</f>
        <v>314.10559999999998</v>
      </c>
      <c r="AF215" s="22">
        <f>VLOOKUP($A215,tabCustoUnit[],COLUMN(CUSTO_GLOBAL[[#Headers],[Vale - Alimentação (Descontada parcela do empregado)]])-2,0)*($G215-$H215)</f>
        <v>1164</v>
      </c>
      <c r="AG215" s="22">
        <f>VLOOKUP($A215,tabCustoUnit[],COLUMN(CUSTO_GLOBAL[[#Headers],[Cesta Básica]])-2,0)*($G215-$H215)</f>
        <v>0</v>
      </c>
      <c r="AH215" s="22">
        <f>VLOOKUP($A215,tabCustoUnit[],COLUMN(CUSTO_GLOBAL[[#Headers],[PAF]])-2,0)*($G215-$H215)</f>
        <v>154.5</v>
      </c>
      <c r="AI215" s="22">
        <f>VLOOKUP($A215,tabCustoUnit[],COLUMN(CUSTO_GLOBAL[[#Headers],[PQM]])-2,0)*($G215-$H215)</f>
        <v>0</v>
      </c>
      <c r="AJ215" s="22">
        <v>0</v>
      </c>
      <c r="AK215" s="22">
        <f>VLOOKUP($A215,tabCustoUnit[],COLUMN(CUSTO_GLOBAL[[#Headers],[Seguro de Vida]])-2,0)*($G215-$H215)</f>
        <v>6.72</v>
      </c>
      <c r="AL215" s="22">
        <f>VLOOKUP($A215,tabCustoUnit[],COLUMN(CUSTO_GLOBAL[[#Headers],[Despesas de Viagem]])-2,0)*($G215-$H215)</f>
        <v>0</v>
      </c>
      <c r="AM215" s="22">
        <f>VLOOKUP($A215,tabCustoUnit[],COLUMN(CUSTO_GLOBAL[[#Headers],[Submódulo 2.3]])-2,0)*($G215-$H215)</f>
        <v>1639.3255999999999</v>
      </c>
      <c r="AN215" s="22">
        <f>VLOOKUP($A215,tabCustoUnit[],COLUMN(CUSTO_GLOBAL[[#Headers],[MÓDULO 2 - Total Encargos e Benefícios mensais e diários]])-2,0)*($G215-$H215)</f>
        <v>3839.5301980444447</v>
      </c>
      <c r="AO215" s="22">
        <f>VLOOKUP($A215,tabCustoUnit[],COLUMN(CUSTO_GLOBAL[[#Headers],[Aviso Prévio Indenizado (API) e Reflexo do Aviso Prévio Indenizado]])-2,0)*($G215-$H215)</f>
        <v>23.883357264197528</v>
      </c>
      <c r="AP215" s="22">
        <f>VLOOKUP($A215,tabCustoUnit[],COLUMN(CUSTO_GLOBAL[[#Headers],[Incidência do FGTS sobre API e Reflexo do API]])-2,0)*($G215-$H215)</f>
        <v>1.9106685811358024</v>
      </c>
      <c r="AQ215" s="22">
        <f>VLOOKUP($A215,tabCustoUnit[],COLUMN(CUSTO_GLOBAL[[#Headers],[Multa Rescisória do FGTS sobre o Aviso Prévio Indenizado]])-2,0)*($G215-$H215)</f>
        <v>0.76426743245432105</v>
      </c>
      <c r="AR215" s="22">
        <f>VLOOKUP($A215,tabCustoUnit[],COLUMN(CUSTO_GLOBAL[[#Headers],[Aviso Prévio Trabalhado - APT]])-2,0)*($G215-$H215)</f>
        <v>11.921638400000001</v>
      </c>
      <c r="AS215" s="22">
        <f>VLOOKUP($A215,tabCustoUnit[],COLUMN(CUSTO_GLOBAL[[#Headers],[Incidência dos encargos do submódulo 2.1 sobre Aviso Prévio Trabalhado]])-2,0)*($G215-$H215)</f>
        <v>4.5063793152000011</v>
      </c>
      <c r="AT215" s="22">
        <f>VLOOKUP($A215,tabCustoUnit[],COLUMN(CUSTO_GLOBAL[[#Headers],[Multa Rescisória do FGTS]])-2,0)*($G215-$H215)</f>
        <v>104.15348849777776</v>
      </c>
      <c r="AU215" s="22">
        <f>VLOOKUP($A215,tabCustoUnit[],COLUMN(CUSTO_GLOBAL[[#Headers],[Indenização Adicional (Art. 9º da Lei nº 7.238/84)]])-2,0)*($G215-$H215)</f>
        <v>2.8384853333333333</v>
      </c>
      <c r="AV215" s="22">
        <f>VLOOKUP($A215,tabCustoUnit[],COLUMN(CUSTO_GLOBAL[[#Headers],[MÓDULO 3 – PROVISÃO PARA RESCISÃO]])-2,0)*($G215-$H215)</f>
        <v>149.97828482409875</v>
      </c>
      <c r="AW215" s="22">
        <f>VLOOKUP($A215,tabCustoUnit[],COLUMN(CUSTO_GLOBAL[[#Headers],[Ausência por Doença]])-2,0)*($G215-$H215)</f>
        <v>28.763318044444439</v>
      </c>
      <c r="AX215" s="22">
        <f>VLOOKUP($A215,tabCustoUnit[],COLUMN(CUSTO_GLOBAL[[#Headers],[Ausências Legais]])-2,0)*($G215-$H215)</f>
        <v>6.9069809777777769</v>
      </c>
      <c r="AY215" s="22">
        <f>VLOOKUP($A215,tabCustoUnit[],COLUMN(CUSTO_GLOBAL[[#Headers],[Licença Paternidade]])-2,0)*($G215-$H215)</f>
        <v>0.58188949333333329</v>
      </c>
      <c r="AZ215" s="22">
        <f>VLOOKUP($A215,tabCustoUnit[],COLUMN(CUSTO_GLOBAL[[#Headers],[Ausência por Acidente de Trabalho]])-2,0)*($G215-$H215)</f>
        <v>0.70962133333333333</v>
      </c>
      <c r="BA215" s="22">
        <f>VLOOKUP($A215,tabCustoUnit[],COLUMN(CUSTO_GLOBAL[[#Headers],[Férias, Adicional de Férias e 13º  com empregada em gozo de Licença Maternidade]])-2,0)*($G215-$H215)</f>
        <v>4.4154216296296287</v>
      </c>
      <c r="BB215" s="22">
        <f>VLOOKUP($A215,tabCustoUnit[],COLUMN(CUSTO_GLOBAL[[#Headers],[Incidência do Submódulo 2.1 sobre Ausências Legais]])-2,0)*($G215-$H215)</f>
        <v>15.640593498880001</v>
      </c>
      <c r="BC215" s="22">
        <f>VLOOKUP($A215,tabCustoUnit[],COLUMN(CUSTO_GLOBAL[[#Headers],[Submódulo 4.1]])-2,0)*($G215-$H215)</f>
        <v>57.017824977398512</v>
      </c>
      <c r="BD215" s="22">
        <f>VLOOKUP($A215,tabCustoUnit[],COLUMN(CUSTO_GLOBAL[[#Headers],[Intervalo para Repouso ou Alimentação]])-2,0)*($G215-$H215)</f>
        <v>0</v>
      </c>
      <c r="BE215" s="22">
        <f>VLOOKUP($A215,tabCustoUnit[],COLUMN(CUSTO_GLOBAL[[#Headers],[Submódulo 4.2]])-2,0)*($G215-$H215)</f>
        <v>0</v>
      </c>
      <c r="BF215" s="22">
        <f>VLOOKUP($A215,tabCustoUnit[],COLUMN(CUSTO_GLOBAL[[#Headers],[Suspensão Temporária do Contrato de Trabalho]])-2,0)*($G215-$H215)</f>
        <v>0</v>
      </c>
      <c r="BG215" s="22">
        <f>VLOOKUP($A215,tabCustoUnit[],COLUMN(CUSTO_GLOBAL[[#Headers],[Submódulo 4.3]])-2,0)*($G215-$H215)</f>
        <v>0</v>
      </c>
      <c r="BH215" s="22">
        <f>VLOOKUP($A215,tabCustoUnit[],COLUMN(CUSTO_GLOBAL[[#Headers],[MÓDULO 4 – CUSTO DE REPOSIÇÃO DO PROFISSIONAL AUSENTE]])-2,0)*($G215-$H215)</f>
        <v>57.017824977398512</v>
      </c>
      <c r="BI215" s="22">
        <f>VLOOKUP($A215,tabCustoUnit[],COLUMN(CUSTO_GLOBAL[[#Headers],[Uniformes e EPIs]])-2,0)*($G215-$H215)</f>
        <v>201.61833333333331</v>
      </c>
      <c r="BJ215" s="22">
        <f>VLOOKUP($A215,tabCustoUnit[],COLUMN(CUSTO_GLOBAL[[#Headers],[Materiais de Consumo]])-2,0)*($G215-$H215)</f>
        <v>71.036425917167776</v>
      </c>
      <c r="BK215" s="22">
        <f>VLOOKUP($A215,tabCustoUnit[],COLUMN(CUSTO_GLOBAL[[#Headers],[Máquinas e Equipamentos (depreciação)]])-2,0)*($G215-$H215)</f>
        <v>129.05878782965115</v>
      </c>
      <c r="BL215" s="22">
        <f>VLOOKUP($A215,tabCustoUnit[],COLUMN(CUSTO_GLOBAL[[#Headers],[Produtos de Limpeza e Materiais de Higiene Pessoal]])-2,0)*($G215-$H215)</f>
        <v>1380.5430655586331</v>
      </c>
      <c r="BM215" s="22">
        <f>VLOOKUP($A215,tabCustoUnit[],COLUMN(CUSTO_GLOBAL[[#Headers],[Outros (especificar)]])-2,0)*($G215-$H215)</f>
        <v>0</v>
      </c>
      <c r="BN215" s="22">
        <f>VLOOKUP($A215,tabCustoUnit[],COLUMN(CUSTO_GLOBAL[[#Headers],[MÓDULO 5 – INSUMOS DIVERSOS]])-2,0)*($G215-$H215)</f>
        <v>1782.2566126387853</v>
      </c>
      <c r="BO215" s="22">
        <f>VLOOKUP($A215,tabCustoUnit[],COLUMN(CUSTO_GLOBAL[[#Headers],[TOTAL MÓDULOS 1+2+3+4+5]])-2,0)*($G215-$H215)</f>
        <v>9234.9653204847273</v>
      </c>
      <c r="BP215" s="22">
        <f>VLOOKUP($A215,tabCustoUnit[],COLUMN(CUSTO_GLOBAL[[#Headers],[Custos Indiretos]])-2,0)*($G215-$H215)</f>
        <v>379.29760280485226</v>
      </c>
      <c r="BQ215" s="22">
        <f>VLOOKUP($A215,tabCustoUnit[],COLUMN(CUSTO_GLOBAL[[#Headers],[Lucro]])-2,0)*($G215-$H215)</f>
        <v>318.60998635607592</v>
      </c>
      <c r="BR215" s="26">
        <f>VLOOKUP($A215,tabCustoUnit[],COLUMN(CUSTO_GLOBAL[[#Headers],[COFINS]])-2,0)</f>
        <v>8.8629737609329504E-2</v>
      </c>
      <c r="BS215" s="26">
        <f>VLOOKUP($A215,tabCustoUnit[],COLUMN(CUSTO_GLOBAL[[#Headers],[PIS]])-2,0)</f>
        <v>1.9241982507288629E-2</v>
      </c>
      <c r="BT215" s="28">
        <f>VLOOKUP($A215,tabCustoUnit[],COLUMN(CUSTO_GLOBAL[[#Headers],[ISS]])-2,0)</f>
        <v>0.05</v>
      </c>
      <c r="BU215" s="26">
        <f>VLOOKUP($A215,tabCustoUnit[],COLUMN(CUSTO_GLOBAL[[#Headers],[ISS (Conversão Alíquota s/ fatura)]])-2,0)</f>
        <v>5.8309037900874633E-2</v>
      </c>
      <c r="BV215" s="26">
        <f>VLOOKUP($A215,tabCustoUnit[],COLUMN(CUSTO_GLOBAL[[#Headers],[Resumo de Alíquotas (PIS+CONFINS+ISS)]])-2,0)</f>
        <v>0.14250000000000002</v>
      </c>
      <c r="BW215" s="138">
        <f>VLOOKUP($A215,tabCustoUnit[],COLUMN(CUSTO_GLOBAL[[#Headers],[PIS + COFINS + ISS (Total Conversão  Alíquota s/ Fatura)]])-2,0)</f>
        <v>0.16618075801749277</v>
      </c>
      <c r="BX215" s="22">
        <f>VLOOKUP($A215,tabCustoUnit[],COLUMN(CUSTO_GLOBAL[[#Headers],[Valor dos Tributos (ISS, PIS, CONFINS)]])-2,0)*($G215-$H215)</f>
        <v>1650.6523494163339</v>
      </c>
      <c r="BY215" s="22">
        <f>VLOOKUP($A215,tabCustoUnit[],COLUMN(CUSTO_GLOBAL[[#Headers],[MÓDULO 6 – CUSTOS INDIRETOS, TRIBUTOS E LUCRO]])-2,0)*($G215-$H215)</f>
        <v>2348.5599385772621</v>
      </c>
      <c r="BZ215" s="22">
        <f>VLOOKUP($A215,tabCustoUnit[],COLUMN(CUSTO_GLOBAL[[#Headers],[CUSTO TOTAL MENSAL]])-2,0)*($G215-$H215)</f>
        <v>11583.525259061989</v>
      </c>
      <c r="CA215" s="22">
        <f>CUSTO_GLOBAL[[#This Row],[CUSTO TOTAL MENSAL]]*12</f>
        <v>139002.30310874386</v>
      </c>
      <c r="CB215" s="24">
        <f>VLOOKUP($A215,tabCustoUnit[],COLUMN(CUSTO_GLOBAL[[#Headers],[ANO DA CCT]])-2,0)</f>
        <v>45658</v>
      </c>
      <c r="CC215" s="25" t="str">
        <f>VLOOKUP($A215,tabCustoUnit[],COLUMN(CUSTO_GLOBAL[[#Headers],[Nº DE PEDIDO DA CCT]])-2,0)</f>
        <v>-</v>
      </c>
      <c r="CD215" s="25" t="str">
        <f>VLOOKUP($A215,tabCustoUnit[],COLUMN(CUSTO_GLOBAL[[#Headers],[TERMO ADITIVO  ALTERAÇÃO DA CCT]])-2,0)</f>
        <v>-</v>
      </c>
      <c r="CF215" s="22"/>
      <c r="CG215" s="22"/>
    </row>
    <row r="216" spans="1:85" x14ac:dyDescent="0.25">
      <c r="A216" s="20" t="s">
        <v>1551</v>
      </c>
      <c r="B216" t="s">
        <v>196</v>
      </c>
      <c r="C216" t="s">
        <v>1244</v>
      </c>
      <c r="D216" t="s">
        <v>1000</v>
      </c>
      <c r="E216" s="20" t="s">
        <v>9</v>
      </c>
      <c r="F216" s="20" t="s">
        <v>10</v>
      </c>
      <c r="G216" s="20">
        <v>1</v>
      </c>
      <c r="H216" s="20">
        <v>0</v>
      </c>
      <c r="I216" s="21">
        <f>VLOOKUP($A216,tabCustoUnit[],COLUMN(CUSTO_GLOBAL[[#Headers],[Salário Base]])-2,0)*($G216-$H216)</f>
        <v>798.14</v>
      </c>
      <c r="J216" s="21">
        <f>VLOOKUP($A216,tabCustoUnit[],COLUMN(CUSTO_GLOBAL[[#Headers],[Adicional Periculosidade]])-2,0)*($G216-$H216)</f>
        <v>0</v>
      </c>
      <c r="K216" s="21">
        <f>VLOOKUP($A216,tabCustoUnit[],COLUMN(CUSTO_GLOBAL[[#Headers],[Adicional Insalubridade]])-2,0)*($G216-$H216)</f>
        <v>0</v>
      </c>
      <c r="L216" s="21">
        <f>VLOOKUP($A216,tabCustoUnit[],COLUMN(CUSTO_GLOBAL[[#Headers],[Adicional Noturno]])-2,0)*($G216-$H216)</f>
        <v>0</v>
      </c>
      <c r="M216" s="21">
        <f>VLOOKUP($A216,tabCustoUnit[],COLUMN(CUSTO_GLOBAL[[#Headers],[Adicional Motorista II (Gratificação)]])-2,0)*($G216-$H216)</f>
        <v>0</v>
      </c>
      <c r="N216" s="21">
        <f>VLOOKUP($A216,tabCustoUnit[],COLUMN(CUSTO_GLOBAL[[#Headers],[Adicional de Sobreaviso]])-2,0)*($G216-$H216)</f>
        <v>0</v>
      </c>
      <c r="O216" s="21">
        <f>VLOOKUP($A216,tabCustoUnit[],COLUMN(CUSTO_GLOBAL[[#Headers],[Horas Extras TI]])-2,0)*($G216-$H216)</f>
        <v>0</v>
      </c>
      <c r="P216" s="21">
        <f>VLOOKUP($A216,tabCustoUnit[],COLUMN(CUSTO_GLOBAL[[#Headers],[Adicional de Acúmulo de função]])-2,0)*($G216-$H216)</f>
        <v>26.120899999999999</v>
      </c>
      <c r="Q216" s="21">
        <f>VLOOKUP($A216,tabCustoUnit[],COLUMN(CUSTO_GLOBAL[[#Headers],[MODULO 1 - REMUNERAÇÃO ]])-2,0)*($G216-$H216)</f>
        <v>824.26089999999999</v>
      </c>
      <c r="R216" s="21">
        <f>VLOOKUP($A216,tabCustoUnit[],COLUMN(CUSTO_GLOBAL[[#Headers],[INSS]])-2,0)*($G216-$H216)</f>
        <v>164.85218</v>
      </c>
      <c r="S216" s="21">
        <f>VLOOKUP($A216,tabCustoUnit[],COLUMN(CUSTO_GLOBAL[[#Headers],[SESI OU SESC]])-2,0)*($G216-$H216)</f>
        <v>12.363913499999999</v>
      </c>
      <c r="T216" s="21">
        <f>VLOOKUP($A216,tabCustoUnit[],COLUMN(CUSTO_GLOBAL[[#Headers],[SENAI OU SENAC]])-2,0)*($G216-$H216)</f>
        <v>8.2426089999999999</v>
      </c>
      <c r="U216" s="21">
        <f>VLOOKUP($A216,tabCustoUnit[],COLUMN(CUSTO_GLOBAL[[#Headers],[INCRA]])-2,0)*($G216-$H216)</f>
        <v>1.6485217999999999</v>
      </c>
      <c r="V216" s="21">
        <f>VLOOKUP($A216,tabCustoUnit[],COLUMN(CUSTO_GLOBAL[[#Headers],[Salário Educação]])-2,0)*($G216-$H216)</f>
        <v>20.606522500000001</v>
      </c>
      <c r="W216" s="21">
        <f>VLOOKUP($A216,tabCustoUnit[],COLUMN(CUSTO_GLOBAL[[#Headers],[FGTS]])-2,0)*($G216-$H216)</f>
        <v>65.940871999999999</v>
      </c>
      <c r="X216" s="21">
        <f>VLOOKUP($A216,tabCustoUnit[],COLUMN(CUSTO_GLOBAL[[#Headers],[RAT Ajustado]])-2,0)*($G216-$H216)</f>
        <v>32.970435999999999</v>
      </c>
      <c r="Y216" s="21">
        <f>VLOOKUP($A216,tabCustoUnit[],COLUMN(CUSTO_GLOBAL[[#Headers],[SEBRAE]])-2,0)*($G216-$H216)</f>
        <v>4.9455654000000004</v>
      </c>
      <c r="Z216" s="21">
        <f>VLOOKUP($A216,tabCustoUnit[],COLUMN(CUSTO_GLOBAL[[#Headers],[Submódulo 2.1]])-2,0)*($G216-$H216)</f>
        <v>311.57062020000001</v>
      </c>
      <c r="AA216" s="21">
        <f>VLOOKUP($A216,tabCustoUnit[],COLUMN(CUSTO_GLOBAL[[#Headers],[13º salário (titular)]])-2,0)*($G216-$H216)</f>
        <v>68.688408333333328</v>
      </c>
      <c r="AB216" s="21">
        <f>VLOOKUP($A216,tabCustoUnit[],COLUMN(CUSTO_GLOBAL[[#Headers],[Férias e Adicional de Férias (titular)]])-2,0)*($G216-$H216)</f>
        <v>91.584544444444433</v>
      </c>
      <c r="AC216" s="21">
        <f>VLOOKUP($A216,tabCustoUnit[],COLUMN(CUSTO_GLOBAL[[#Headers],[Incidência do Submódulo 2.1 sobre 13º Salário, Férias e Adicional de Férias]])-2,0)*($G216-$H216)</f>
        <v>60.583176149999993</v>
      </c>
      <c r="AD216" s="21">
        <f>VLOOKUP($A216,tabCustoUnit[],COLUMN(CUSTO_GLOBAL[[#Headers],[Submódulo 2.2]])-2,0)*($G216-$H216)</f>
        <v>220.85612892777775</v>
      </c>
      <c r="AE216" s="22">
        <f>VLOOKUP($A216,tabCustoUnit[],COLUMN(CUSTO_GLOBAL[[#Headers],[Vale - Transporte (Descontada parcela do empregado)]])-2,0)*($G216-$H216)</f>
        <v>208.11160000000001</v>
      </c>
      <c r="AF216" s="22">
        <f>VLOOKUP($A216,tabCustoUnit[],COLUMN(CUSTO_GLOBAL[[#Headers],[Vale - Alimentação (Descontada parcela do empregado)]])-2,0)*($G216-$H216)</f>
        <v>582</v>
      </c>
      <c r="AG216" s="22">
        <f>VLOOKUP($A216,tabCustoUnit[],COLUMN(CUSTO_GLOBAL[[#Headers],[Cesta Básica]])-2,0)*($G216-$H216)</f>
        <v>0</v>
      </c>
      <c r="AH216" s="22">
        <f>VLOOKUP($A216,tabCustoUnit[],COLUMN(CUSTO_GLOBAL[[#Headers],[PAF]])-2,0)*($G216-$H216)</f>
        <v>0</v>
      </c>
      <c r="AI216" s="22">
        <f>VLOOKUP($A216,tabCustoUnit[],COLUMN(CUSTO_GLOBAL[[#Headers],[PQM]])-2,0)*($G216-$H216)</f>
        <v>15.07</v>
      </c>
      <c r="AJ216" s="22">
        <v>0</v>
      </c>
      <c r="AK216" s="22">
        <f>VLOOKUP($A216,tabCustoUnit[],COLUMN(CUSTO_GLOBAL[[#Headers],[Seguro de Vida]])-2,0)*($G216-$H216)</f>
        <v>3.36</v>
      </c>
      <c r="AL216" s="22">
        <f>VLOOKUP($A216,tabCustoUnit[],COLUMN(CUSTO_GLOBAL[[#Headers],[Despesas de Viagem]])-2,0)*($G216-$H216)</f>
        <v>0</v>
      </c>
      <c r="AM216" s="22">
        <f>VLOOKUP($A216,tabCustoUnit[],COLUMN(CUSTO_GLOBAL[[#Headers],[Submódulo 2.3]])-2,0)*($G216-$H216)</f>
        <v>808.54160000000002</v>
      </c>
      <c r="AN216" s="22">
        <f>VLOOKUP($A216,tabCustoUnit[],COLUMN(CUSTO_GLOBAL[[#Headers],[MÓDULO 2 - Total Encargos e Benefícios mensais e diários]])-2,0)*($G216-$H216)</f>
        <v>1340.9683491277779</v>
      </c>
      <c r="AO216" s="22">
        <f>VLOOKUP($A216,tabCustoUnit[],COLUMN(CUSTO_GLOBAL[[#Headers],[Aviso Prévio Indenizado (API) e Reflexo do Aviso Prévio Indenizado]])-2,0)*($G216-$H216)</f>
        <v>5.7795253576581791</v>
      </c>
      <c r="AP216" s="22">
        <f>VLOOKUP($A216,tabCustoUnit[],COLUMN(CUSTO_GLOBAL[[#Headers],[Incidência do FGTS sobre API e Reflexo do API]])-2,0)*($G216-$H216)</f>
        <v>0.46236202861265435</v>
      </c>
      <c r="AQ216" s="22">
        <f>VLOOKUP($A216,tabCustoUnit[],COLUMN(CUSTO_GLOBAL[[#Headers],[Multa Rescisória do FGTS sobre o Aviso Prévio Indenizado]])-2,0)*($G216-$H216)</f>
        <v>0.18494481144506175</v>
      </c>
      <c r="AR216" s="22">
        <f>VLOOKUP($A216,tabCustoUnit[],COLUMN(CUSTO_GLOBAL[[#Headers],[Aviso Prévio Trabalhado - APT]])-2,0)*($G216-$H216)</f>
        <v>2.8849131500000005</v>
      </c>
      <c r="AS216" s="22">
        <f>VLOOKUP($A216,tabCustoUnit[],COLUMN(CUSTO_GLOBAL[[#Headers],[Incidência dos encargos do submódulo 2.1 sobre Aviso Prévio Trabalhado]])-2,0)*($G216-$H216)</f>
        <v>1.0904971707000004</v>
      </c>
      <c r="AT216" s="22">
        <f>VLOOKUP($A216,tabCustoUnit[],COLUMN(CUSTO_GLOBAL[[#Headers],[Multa Rescisória do FGTS]])-2,0)*($G216-$H216)</f>
        <v>25.204066631111107</v>
      </c>
      <c r="AU216" s="22">
        <f>VLOOKUP($A216,tabCustoUnit[],COLUMN(CUSTO_GLOBAL[[#Headers],[Indenização Adicional (Art. 9º da Lei nº 7.238/84)]])-2,0)*($G216-$H216)</f>
        <v>0.6868840833333334</v>
      </c>
      <c r="AV216" s="22">
        <f>VLOOKUP($A216,tabCustoUnit[],COLUMN(CUSTO_GLOBAL[[#Headers],[MÓDULO 3 – PROVISÃO PARA RESCISÃO]])-2,0)*($G216-$H216)</f>
        <v>36.293193232860339</v>
      </c>
      <c r="AW216" s="22">
        <f>VLOOKUP($A216,tabCustoUnit[],COLUMN(CUSTO_GLOBAL[[#Headers],[Ausência por Doença]])-2,0)*($G216-$H216)</f>
        <v>6.9604253777777769</v>
      </c>
      <c r="AX216" s="22">
        <f>VLOOKUP($A216,tabCustoUnit[],COLUMN(CUSTO_GLOBAL[[#Headers],[Ausências Legais]])-2,0)*($G216-$H216)</f>
        <v>1.671417936111111</v>
      </c>
      <c r="AY216" s="22">
        <f>VLOOKUP($A216,tabCustoUnit[],COLUMN(CUSTO_GLOBAL[[#Headers],[Licença Paternidade]])-2,0)*($G216-$H216)</f>
        <v>0.14081123708333332</v>
      </c>
      <c r="AZ216" s="22">
        <f>VLOOKUP($A216,tabCustoUnit[],COLUMN(CUSTO_GLOBAL[[#Headers],[Ausência por Acidente de Trabalho]])-2,0)*($G216-$H216)</f>
        <v>0.17172102083333335</v>
      </c>
      <c r="BA216" s="22">
        <f>VLOOKUP($A216,tabCustoUnit[],COLUMN(CUSTO_GLOBAL[[#Headers],[Férias, Adicional de Férias e 13º  com empregada em gozo de Licença Maternidade]])-2,0)*($G216-$H216)</f>
        <v>1.0684863518518517</v>
      </c>
      <c r="BB216" s="22">
        <f>VLOOKUP($A216,tabCustoUnit[],COLUMN(CUSTO_GLOBAL[[#Headers],[Incidência do Submódulo 2.1 sobre Ausências Legais]])-2,0)*($G216-$H216)</f>
        <v>3.7848618071425006</v>
      </c>
      <c r="BC216" s="22">
        <f>VLOOKUP($A216,tabCustoUnit[],COLUMN(CUSTO_GLOBAL[[#Headers],[Submódulo 4.1]])-2,0)*($G216-$H216)</f>
        <v>13.797723730799909</v>
      </c>
      <c r="BD216" s="22">
        <f>VLOOKUP($A216,tabCustoUnit[],COLUMN(CUSTO_GLOBAL[[#Headers],[Intervalo para Repouso ou Alimentação]])-2,0)*($G216-$H216)</f>
        <v>0</v>
      </c>
      <c r="BE216" s="22">
        <f>VLOOKUP($A216,tabCustoUnit[],COLUMN(CUSTO_GLOBAL[[#Headers],[Submódulo 4.2]])-2,0)*($G216-$H216)</f>
        <v>0</v>
      </c>
      <c r="BF216" s="22">
        <f>VLOOKUP($A216,tabCustoUnit[],COLUMN(CUSTO_GLOBAL[[#Headers],[Suspensão Temporária do Contrato de Trabalho]])-2,0)*($G216-$H216)</f>
        <v>0</v>
      </c>
      <c r="BG216" s="22">
        <f>VLOOKUP($A216,tabCustoUnit[],COLUMN(CUSTO_GLOBAL[[#Headers],[Submódulo 4.3]])-2,0)*($G216-$H216)</f>
        <v>0</v>
      </c>
      <c r="BH216" s="22">
        <f>VLOOKUP($A216,tabCustoUnit[],COLUMN(CUSTO_GLOBAL[[#Headers],[MÓDULO 4 – CUSTO DE REPOSIÇÃO DO PROFISSIONAL AUSENTE]])-2,0)*($G216-$H216)</f>
        <v>13.797723730799909</v>
      </c>
      <c r="BI216" s="22">
        <f>VLOOKUP($A216,tabCustoUnit[],COLUMN(CUSTO_GLOBAL[[#Headers],[Uniformes e EPIs]])-2,0)*($G216-$H216)</f>
        <v>62.806666666666665</v>
      </c>
      <c r="BJ216" s="22">
        <f>VLOOKUP($A216,tabCustoUnit[],COLUMN(CUSTO_GLOBAL[[#Headers],[Materiais de Consumo]])-2,0)*($G216-$H216)</f>
        <v>17.759106479291944</v>
      </c>
      <c r="BK216" s="22">
        <f>VLOOKUP($A216,tabCustoUnit[],COLUMN(CUSTO_GLOBAL[[#Headers],[Máquinas e Equipamentos (depreciação)]])-2,0)*($G216-$H216)</f>
        <v>32.264696957412788</v>
      </c>
      <c r="BL216" s="22">
        <f>VLOOKUP($A216,tabCustoUnit[],COLUMN(CUSTO_GLOBAL[[#Headers],[Produtos de Limpeza e Materiais de Higiene Pessoal]])-2,0)*($G216-$H216)</f>
        <v>345.13576638965827</v>
      </c>
      <c r="BM216" s="22">
        <f>VLOOKUP($A216,tabCustoUnit[],COLUMN(CUSTO_GLOBAL[[#Headers],[Outros (especificar)]])-2,0)*($G216-$H216)</f>
        <v>0</v>
      </c>
      <c r="BN216" s="22">
        <f>VLOOKUP($A216,tabCustoUnit[],COLUMN(CUSTO_GLOBAL[[#Headers],[MÓDULO 5 – INSUMOS DIVERSOS]])-2,0)*($G216-$H216)</f>
        <v>457.96623649302967</v>
      </c>
      <c r="BO216" s="22">
        <f>VLOOKUP($A216,tabCustoUnit[],COLUMN(CUSTO_GLOBAL[[#Headers],[TOTAL MÓDULOS 1+2+3+4+5]])-2,0)*($G216-$H216)</f>
        <v>2673.2864025844674</v>
      </c>
      <c r="BP216" s="22">
        <f>VLOOKUP($A216,tabCustoUnit[],COLUMN(CUSTO_GLOBAL[[#Headers],[Custos Indiretos]])-2,0)*($G216-$H216)</f>
        <v>189.64880140242613</v>
      </c>
      <c r="BQ216" s="22">
        <f>VLOOKUP($A216,tabCustoUnit[],COLUMN(CUSTO_GLOBAL[[#Headers],[Lucro]])-2,0)*($G216-$H216)</f>
        <v>159.30499317803796</v>
      </c>
      <c r="BR216" s="26">
        <f>VLOOKUP($A216,tabCustoUnit[],COLUMN(CUSTO_GLOBAL[[#Headers],[COFINS]])-2,0)</f>
        <v>8.8629737609329504E-2</v>
      </c>
      <c r="BS216" s="26">
        <f>VLOOKUP($A216,tabCustoUnit[],COLUMN(CUSTO_GLOBAL[[#Headers],[PIS]])-2,0)</f>
        <v>1.9241982507288629E-2</v>
      </c>
      <c r="BT216" s="28">
        <f>VLOOKUP($A216,tabCustoUnit[],COLUMN(CUSTO_GLOBAL[[#Headers],[ISS]])-2,0)</f>
        <v>0.05</v>
      </c>
      <c r="BU216" s="26">
        <f>VLOOKUP($A216,tabCustoUnit[],COLUMN(CUSTO_GLOBAL[[#Headers],[ISS (Conversão Alíquota s/ fatura)]])-2,0)</f>
        <v>5.8309037900874633E-2</v>
      </c>
      <c r="BV216" s="26">
        <f>VLOOKUP($A216,tabCustoUnit[],COLUMN(CUSTO_GLOBAL[[#Headers],[Resumo de Alíquotas (PIS+CONFINS+ISS)]])-2,0)</f>
        <v>0.14250000000000002</v>
      </c>
      <c r="BW216" s="138">
        <f>VLOOKUP($A216,tabCustoUnit[],COLUMN(CUSTO_GLOBAL[[#Headers],[PIS + COFINS + ISS (Total Conversão  Alíquota s/ Fatura)]])-2,0)</f>
        <v>0.16618075801749277</v>
      </c>
      <c r="BX216" s="22">
        <f>VLOOKUP($A216,tabCustoUnit[],COLUMN(CUSTO_GLOBAL[[#Headers],[Valor dos Tributos (ISS, PIS, CONFINS)]])-2,0)*($G216-$H216)</f>
        <v>502.23816687580512</v>
      </c>
      <c r="BY216" s="22">
        <f>VLOOKUP($A216,tabCustoUnit[],COLUMN(CUSTO_GLOBAL[[#Headers],[MÓDULO 6 – CUSTOS INDIRETOS, TRIBUTOS E LUCRO]])-2,0)*($G216-$H216)</f>
        <v>851.19196145626915</v>
      </c>
      <c r="BZ216" s="22">
        <f>VLOOKUP($A216,tabCustoUnit[],COLUMN(CUSTO_GLOBAL[[#Headers],[CUSTO TOTAL MENSAL]])-2,0)*($G216-$H216)</f>
        <v>3524.4783640407368</v>
      </c>
      <c r="CA216" s="22">
        <f>CUSTO_GLOBAL[[#This Row],[CUSTO TOTAL MENSAL]]*12</f>
        <v>42293.740368488841</v>
      </c>
      <c r="CB216" s="24">
        <f>VLOOKUP($A216,tabCustoUnit[],COLUMN(CUSTO_GLOBAL[[#Headers],[ANO DA CCT]])-2,0)</f>
        <v>45658</v>
      </c>
      <c r="CC216" s="25" t="str">
        <f>VLOOKUP($A216,tabCustoUnit[],COLUMN(CUSTO_GLOBAL[[#Headers],[Nº DE PEDIDO DA CCT]])-2,0)</f>
        <v>-</v>
      </c>
      <c r="CD216" s="25" t="str">
        <f>VLOOKUP($A216,tabCustoUnit[],COLUMN(CUSTO_GLOBAL[[#Headers],[TERMO ADITIVO  ALTERAÇÃO DA CCT]])-2,0)</f>
        <v>-</v>
      </c>
      <c r="CF216" s="22"/>
      <c r="CG216" s="22"/>
    </row>
    <row r="217" spans="1:85" x14ac:dyDescent="0.25">
      <c r="A217" s="20" t="s">
        <v>1552</v>
      </c>
      <c r="B217" t="s">
        <v>197</v>
      </c>
      <c r="C217" t="s">
        <v>1246</v>
      </c>
      <c r="D217" t="s">
        <v>1023</v>
      </c>
      <c r="E217" s="20" t="s">
        <v>9</v>
      </c>
      <c r="F217" s="20" t="s">
        <v>10</v>
      </c>
      <c r="G217" s="20">
        <v>1</v>
      </c>
      <c r="H217" s="20">
        <v>0</v>
      </c>
      <c r="I217" s="21">
        <f>VLOOKUP($A217,tabCustoUnit[],COLUMN(CUSTO_GLOBAL[[#Headers],[Salário Base]])-2,0)*($G217-$H217)</f>
        <v>1088.3699999999999</v>
      </c>
      <c r="J217" s="21">
        <f>VLOOKUP($A217,tabCustoUnit[],COLUMN(CUSTO_GLOBAL[[#Headers],[Adicional Periculosidade]])-2,0)*($G217-$H217)</f>
        <v>0</v>
      </c>
      <c r="K217" s="21">
        <f>VLOOKUP($A217,tabCustoUnit[],COLUMN(CUSTO_GLOBAL[[#Headers],[Adicional Insalubridade]])-2,0)*($G217-$H217)</f>
        <v>0</v>
      </c>
      <c r="L217" s="21">
        <f>VLOOKUP($A217,tabCustoUnit[],COLUMN(CUSTO_GLOBAL[[#Headers],[Adicional Noturno]])-2,0)*($G217-$H217)</f>
        <v>0</v>
      </c>
      <c r="M217" s="21">
        <f>VLOOKUP($A217,tabCustoUnit[],COLUMN(CUSTO_GLOBAL[[#Headers],[Adicional Motorista II (Gratificação)]])-2,0)*($G217-$H217)</f>
        <v>0</v>
      </c>
      <c r="N217" s="21">
        <f>VLOOKUP($A217,tabCustoUnit[],COLUMN(CUSTO_GLOBAL[[#Headers],[Adicional de Sobreaviso]])-2,0)*($G217-$H217)</f>
        <v>0</v>
      </c>
      <c r="O217" s="21">
        <f>VLOOKUP($A217,tabCustoUnit[],COLUMN(CUSTO_GLOBAL[[#Headers],[Horas Extras TI]])-2,0)*($G217-$H217)</f>
        <v>0</v>
      </c>
      <c r="P217" s="21">
        <f>VLOOKUP($A217,tabCustoUnit[],COLUMN(CUSTO_GLOBAL[[#Headers],[Adicional de Acúmulo de função]])-2,0)*($G217-$H217)</f>
        <v>39.1813</v>
      </c>
      <c r="Q217" s="21">
        <f>VLOOKUP($A217,tabCustoUnit[],COLUMN(CUSTO_GLOBAL[[#Headers],[MODULO 1 - REMUNERAÇÃO ]])-2,0)*($G217-$H217)</f>
        <v>1127.5512999999999</v>
      </c>
      <c r="R217" s="21">
        <f>VLOOKUP($A217,tabCustoUnit[],COLUMN(CUSTO_GLOBAL[[#Headers],[INSS]])-2,0)*($G217-$H217)</f>
        <v>225.51025999999999</v>
      </c>
      <c r="S217" s="21">
        <f>VLOOKUP($A217,tabCustoUnit[],COLUMN(CUSTO_GLOBAL[[#Headers],[SESI OU SESC]])-2,0)*($G217-$H217)</f>
        <v>16.913269499999998</v>
      </c>
      <c r="T217" s="21">
        <f>VLOOKUP($A217,tabCustoUnit[],COLUMN(CUSTO_GLOBAL[[#Headers],[SENAI OU SENAC]])-2,0)*($G217-$H217)</f>
        <v>11.275512999999998</v>
      </c>
      <c r="U217" s="21">
        <f>VLOOKUP($A217,tabCustoUnit[],COLUMN(CUSTO_GLOBAL[[#Headers],[INCRA]])-2,0)*($G217-$H217)</f>
        <v>2.2551025999999998</v>
      </c>
      <c r="V217" s="21">
        <f>VLOOKUP($A217,tabCustoUnit[],COLUMN(CUSTO_GLOBAL[[#Headers],[Salário Educação]])-2,0)*($G217-$H217)</f>
        <v>28.188782499999999</v>
      </c>
      <c r="W217" s="21">
        <f>VLOOKUP($A217,tabCustoUnit[],COLUMN(CUSTO_GLOBAL[[#Headers],[FGTS]])-2,0)*($G217-$H217)</f>
        <v>90.204103999999987</v>
      </c>
      <c r="X217" s="21">
        <f>VLOOKUP($A217,tabCustoUnit[],COLUMN(CUSTO_GLOBAL[[#Headers],[RAT Ajustado]])-2,0)*($G217-$H217)</f>
        <v>45.102051999999993</v>
      </c>
      <c r="Y217" s="21">
        <f>VLOOKUP($A217,tabCustoUnit[],COLUMN(CUSTO_GLOBAL[[#Headers],[SEBRAE]])-2,0)*($G217-$H217)</f>
        <v>6.7653077999999995</v>
      </c>
      <c r="Z217" s="21">
        <f>VLOOKUP($A217,tabCustoUnit[],COLUMN(CUSTO_GLOBAL[[#Headers],[Submódulo 2.1]])-2,0)*($G217-$H217)</f>
        <v>426.21439139999995</v>
      </c>
      <c r="AA217" s="21">
        <f>VLOOKUP($A217,tabCustoUnit[],COLUMN(CUSTO_GLOBAL[[#Headers],[13º salário (titular)]])-2,0)*($G217-$H217)</f>
        <v>93.962608333333321</v>
      </c>
      <c r="AB217" s="21">
        <f>VLOOKUP($A217,tabCustoUnit[],COLUMN(CUSTO_GLOBAL[[#Headers],[Férias e Adicional de Férias (titular)]])-2,0)*($G217-$H217)</f>
        <v>125.28347777777776</v>
      </c>
      <c r="AC217" s="21">
        <f>VLOOKUP($A217,tabCustoUnit[],COLUMN(CUSTO_GLOBAL[[#Headers],[Incidência do Submódulo 2.1 sobre 13º Salário, Férias e Adicional de Férias]])-2,0)*($G217-$H217)</f>
        <v>82.875020549999988</v>
      </c>
      <c r="AD217" s="21">
        <f>VLOOKUP($A217,tabCustoUnit[],COLUMN(CUSTO_GLOBAL[[#Headers],[Submódulo 2.2]])-2,0)*($G217-$H217)</f>
        <v>302.12110666111107</v>
      </c>
      <c r="AE217" s="22">
        <f>VLOOKUP($A217,tabCustoUnit[],COLUMN(CUSTO_GLOBAL[[#Headers],[Vale - Transporte (Descontada parcela do empregado)]])-2,0)*($G217-$H217)</f>
        <v>190.69780000000003</v>
      </c>
      <c r="AF217" s="22">
        <f>VLOOKUP($A217,tabCustoUnit[],COLUMN(CUSTO_GLOBAL[[#Headers],[Vale - Alimentação (Descontada parcela do empregado)]])-2,0)*($G217-$H217)</f>
        <v>582</v>
      </c>
      <c r="AG217" s="22">
        <f>VLOOKUP($A217,tabCustoUnit[],COLUMN(CUSTO_GLOBAL[[#Headers],[Cesta Básica]])-2,0)*($G217-$H217)</f>
        <v>0</v>
      </c>
      <c r="AH217" s="22">
        <f>VLOOKUP($A217,tabCustoUnit[],COLUMN(CUSTO_GLOBAL[[#Headers],[PAF]])-2,0)*($G217-$H217)</f>
        <v>0</v>
      </c>
      <c r="AI217" s="22">
        <f>VLOOKUP($A217,tabCustoUnit[],COLUMN(CUSTO_GLOBAL[[#Headers],[PQM]])-2,0)*($G217-$H217)</f>
        <v>0</v>
      </c>
      <c r="AJ217" s="22">
        <v>0</v>
      </c>
      <c r="AK217" s="22">
        <f>VLOOKUP($A217,tabCustoUnit[],COLUMN(CUSTO_GLOBAL[[#Headers],[Seguro de Vida]])-2,0)*($G217-$H217)</f>
        <v>3.36</v>
      </c>
      <c r="AL217" s="22">
        <f>VLOOKUP($A217,tabCustoUnit[],COLUMN(CUSTO_GLOBAL[[#Headers],[Despesas de Viagem]])-2,0)*($G217-$H217)</f>
        <v>0</v>
      </c>
      <c r="AM217" s="22">
        <f>VLOOKUP($A217,tabCustoUnit[],COLUMN(CUSTO_GLOBAL[[#Headers],[Submódulo 2.3]])-2,0)*($G217-$H217)</f>
        <v>776.05780000000004</v>
      </c>
      <c r="AN217" s="22">
        <f>VLOOKUP($A217,tabCustoUnit[],COLUMN(CUSTO_GLOBAL[[#Headers],[MÓDULO 2 - Total Encargos e Benefícios mensais e diários]])-2,0)*($G217-$H217)</f>
        <v>1504.3932980611112</v>
      </c>
      <c r="AO217" s="22">
        <f>VLOOKUP($A217,tabCustoUnit[],COLUMN(CUSTO_GLOBAL[[#Headers],[Aviso Prévio Indenizado (API) e Reflexo do Aviso Prévio Indenizado]])-2,0)*($G217-$H217)</f>
        <v>7.9061269683063262</v>
      </c>
      <c r="AP217" s="22">
        <f>VLOOKUP($A217,tabCustoUnit[],COLUMN(CUSTO_GLOBAL[[#Headers],[Incidência do FGTS sobre API e Reflexo do API]])-2,0)*($G217-$H217)</f>
        <v>0.6324901574645061</v>
      </c>
      <c r="AQ217" s="22">
        <f>VLOOKUP($A217,tabCustoUnit[],COLUMN(CUSTO_GLOBAL[[#Headers],[Multa Rescisória do FGTS sobre o Aviso Prévio Indenizado]])-2,0)*($G217-$H217)</f>
        <v>0.25299606298580246</v>
      </c>
      <c r="AR217" s="22">
        <f>VLOOKUP($A217,tabCustoUnit[],COLUMN(CUSTO_GLOBAL[[#Headers],[Aviso Prévio Trabalhado - APT]])-2,0)*($G217-$H217)</f>
        <v>3.94642955</v>
      </c>
      <c r="AS217" s="22">
        <f>VLOOKUP($A217,tabCustoUnit[],COLUMN(CUSTO_GLOBAL[[#Headers],[Incidência dos encargos do submódulo 2.1 sobre Aviso Prévio Trabalhado]])-2,0)*($G217-$H217)</f>
        <v>1.4917503699000003</v>
      </c>
      <c r="AT217" s="22">
        <f>VLOOKUP($A217,tabCustoUnit[],COLUMN(CUSTO_GLOBAL[[#Headers],[Multa Rescisória do FGTS]])-2,0)*($G217-$H217)</f>
        <v>34.478013084444434</v>
      </c>
      <c r="AU217" s="22">
        <f>VLOOKUP($A217,tabCustoUnit[],COLUMN(CUSTO_GLOBAL[[#Headers],[Indenização Adicional (Art. 9º da Lei nº 7.238/84)]])-2,0)*($G217-$H217)</f>
        <v>0.93962608333333331</v>
      </c>
      <c r="AV217" s="22">
        <f>VLOOKUP($A217,tabCustoUnit[],COLUMN(CUSTO_GLOBAL[[#Headers],[MÓDULO 3 – PROVISÃO PARA RESCISÃO]])-2,0)*($G217-$H217)</f>
        <v>49.647432276434401</v>
      </c>
      <c r="AW217" s="22">
        <f>VLOOKUP($A217,tabCustoUnit[],COLUMN(CUSTO_GLOBAL[[#Headers],[Ausência por Doença]])-2,0)*($G217-$H217)</f>
        <v>9.5215443111111089</v>
      </c>
      <c r="AX217" s="22">
        <f>VLOOKUP($A217,tabCustoUnit[],COLUMN(CUSTO_GLOBAL[[#Headers],[Ausências Legais]])-2,0)*($G217-$H217)</f>
        <v>2.2864234694444439</v>
      </c>
      <c r="AY217" s="22">
        <f>VLOOKUP($A217,tabCustoUnit[],COLUMN(CUSTO_GLOBAL[[#Headers],[Licença Paternidade]])-2,0)*($G217-$H217)</f>
        <v>0.19262334708333331</v>
      </c>
      <c r="AZ217" s="22">
        <f>VLOOKUP($A217,tabCustoUnit[],COLUMN(CUSTO_GLOBAL[[#Headers],[Ausência por Acidente de Trabalho]])-2,0)*($G217-$H217)</f>
        <v>0.23490652083333333</v>
      </c>
      <c r="BA217" s="22">
        <f>VLOOKUP($A217,tabCustoUnit[],COLUMN(CUSTO_GLOBAL[[#Headers],[Férias, Adicional de Férias e 13º  com empregada em gozo de Licença Maternidade]])-2,0)*($G217-$H217)</f>
        <v>1.4616405740740739</v>
      </c>
      <c r="BB217" s="22">
        <f>VLOOKUP($A217,tabCustoUnit[],COLUMN(CUSTO_GLOBAL[[#Headers],[Incidência do Submódulo 2.1 sobre Ausências Legais]])-2,0)*($G217-$H217)</f>
        <v>5.1775182481225004</v>
      </c>
      <c r="BC217" s="22">
        <f>VLOOKUP($A217,tabCustoUnit[],COLUMN(CUSTO_GLOBAL[[#Headers],[Submódulo 4.1]])-2,0)*($G217-$H217)</f>
        <v>18.874656470668793</v>
      </c>
      <c r="BD217" s="22">
        <f>VLOOKUP($A217,tabCustoUnit[],COLUMN(CUSTO_GLOBAL[[#Headers],[Intervalo para Repouso ou Alimentação]])-2,0)*($G217-$H217)</f>
        <v>0</v>
      </c>
      <c r="BE217" s="22">
        <f>VLOOKUP($A217,tabCustoUnit[],COLUMN(CUSTO_GLOBAL[[#Headers],[Submódulo 4.2]])-2,0)*($G217-$H217)</f>
        <v>0</v>
      </c>
      <c r="BF217" s="22">
        <f>VLOOKUP($A217,tabCustoUnit[],COLUMN(CUSTO_GLOBAL[[#Headers],[Suspensão Temporária do Contrato de Trabalho]])-2,0)*($G217-$H217)</f>
        <v>0</v>
      </c>
      <c r="BG217" s="22">
        <f>VLOOKUP($A217,tabCustoUnit[],COLUMN(CUSTO_GLOBAL[[#Headers],[Submódulo 4.3]])-2,0)*($G217-$H217)</f>
        <v>0</v>
      </c>
      <c r="BH217" s="22">
        <f>VLOOKUP($A217,tabCustoUnit[],COLUMN(CUSTO_GLOBAL[[#Headers],[MÓDULO 4 – CUSTO DE REPOSIÇÃO DO PROFISSIONAL AUSENTE]])-2,0)*($G217-$H217)</f>
        <v>18.874656470668793</v>
      </c>
      <c r="BI217" s="22">
        <f>VLOOKUP($A217,tabCustoUnit[],COLUMN(CUSTO_GLOBAL[[#Headers],[Uniformes e EPIs]])-2,0)*($G217-$H217)</f>
        <v>100.80916666666666</v>
      </c>
      <c r="BJ217" s="22">
        <f>VLOOKUP($A217,tabCustoUnit[],COLUMN(CUSTO_GLOBAL[[#Headers],[Materiais de Consumo]])-2,0)*($G217-$H217)</f>
        <v>24.216963380852651</v>
      </c>
      <c r="BK217" s="22">
        <f>VLOOKUP($A217,tabCustoUnit[],COLUMN(CUSTO_GLOBAL[[#Headers],[Máquinas e Equipamentos (depreciação)]])-2,0)*($G217-$H217)</f>
        <v>43.997314032835618</v>
      </c>
      <c r="BL217" s="22">
        <f>VLOOKUP($A217,tabCustoUnit[],COLUMN(CUSTO_GLOBAL[[#Headers],[Produtos de Limpeza e Materiais de Higiene Pessoal]])-2,0)*($G217-$H217)</f>
        <v>470.6396814404431</v>
      </c>
      <c r="BM217" s="22">
        <f>VLOOKUP($A217,tabCustoUnit[],COLUMN(CUSTO_GLOBAL[[#Headers],[Outros (especificar)]])-2,0)*($G217-$H217)</f>
        <v>0</v>
      </c>
      <c r="BN217" s="22">
        <f>VLOOKUP($A217,tabCustoUnit[],COLUMN(CUSTO_GLOBAL[[#Headers],[MÓDULO 5 – INSUMOS DIVERSOS]])-2,0)*($G217-$H217)</f>
        <v>639.66312552079808</v>
      </c>
      <c r="BO217" s="22">
        <f>VLOOKUP($A217,tabCustoUnit[],COLUMN(CUSTO_GLOBAL[[#Headers],[TOTAL MÓDULOS 1+2+3+4+5]])-2,0)*($G217-$H217)</f>
        <v>3340.1298123290121</v>
      </c>
      <c r="BP217" s="22">
        <f>VLOOKUP($A217,tabCustoUnit[],COLUMN(CUSTO_GLOBAL[[#Headers],[Custos Indiretos]])-2,0)*($G217-$H217)</f>
        <v>189.64880140242613</v>
      </c>
      <c r="BQ217" s="22">
        <f>VLOOKUP($A217,tabCustoUnit[],COLUMN(CUSTO_GLOBAL[[#Headers],[Lucro]])-2,0)*($G217-$H217)</f>
        <v>159.30499317803796</v>
      </c>
      <c r="BR217" s="26">
        <f>VLOOKUP($A217,tabCustoUnit[],COLUMN(CUSTO_GLOBAL[[#Headers],[COFINS]])-2,0)</f>
        <v>8.6609686609686695E-2</v>
      </c>
      <c r="BS217" s="26">
        <f>VLOOKUP($A217,tabCustoUnit[],COLUMN(CUSTO_GLOBAL[[#Headers],[PIS]])-2,0)</f>
        <v>1.880341880341882E-2</v>
      </c>
      <c r="BT217" s="28">
        <f>VLOOKUP($A217,tabCustoUnit[],COLUMN(CUSTO_GLOBAL[[#Headers],[ISS]])-2,0)</f>
        <v>0.03</v>
      </c>
      <c r="BU217" s="26">
        <f>VLOOKUP($A217,tabCustoUnit[],COLUMN(CUSTO_GLOBAL[[#Headers],[ISS (Conversão Alíquota s/ fatura)]])-2,0)</f>
        <v>3.4188034188034219E-2</v>
      </c>
      <c r="BV217" s="26">
        <f>VLOOKUP($A217,tabCustoUnit[],COLUMN(CUSTO_GLOBAL[[#Headers],[Resumo de Alíquotas (PIS+CONFINS+ISS)]])-2,0)</f>
        <v>0.1225</v>
      </c>
      <c r="BW217" s="138">
        <f>VLOOKUP($A217,tabCustoUnit[],COLUMN(CUSTO_GLOBAL[[#Headers],[PIS + COFINS + ISS (Total Conversão  Alíquota s/ Fatura)]])-2,0)</f>
        <v>0.13960113960113973</v>
      </c>
      <c r="BX217" s="22">
        <f>VLOOKUP($A217,tabCustoUnit[],COLUMN(CUSTO_GLOBAL[[#Headers],[Valor dos Tributos (ISS, PIS, CONFINS)]])-2,0)*($G217-$H217)</f>
        <v>515.00027560844592</v>
      </c>
      <c r="BY217" s="22">
        <f>VLOOKUP($A217,tabCustoUnit[],COLUMN(CUSTO_GLOBAL[[#Headers],[MÓDULO 6 – CUSTOS INDIRETOS, TRIBUTOS E LUCRO]])-2,0)*($G217-$H217)</f>
        <v>863.95407018891001</v>
      </c>
      <c r="BZ217" s="22">
        <f>VLOOKUP($A217,tabCustoUnit[],COLUMN(CUSTO_GLOBAL[[#Headers],[CUSTO TOTAL MENSAL]])-2,0)*($G217-$H217)</f>
        <v>4204.0838825179217</v>
      </c>
      <c r="CA217" s="22">
        <f>CUSTO_GLOBAL[[#This Row],[CUSTO TOTAL MENSAL]]*12</f>
        <v>50449.00659021506</v>
      </c>
      <c r="CB217" s="24">
        <f>VLOOKUP($A217,tabCustoUnit[],COLUMN(CUSTO_GLOBAL[[#Headers],[ANO DA CCT]])-2,0)</f>
        <v>45658</v>
      </c>
      <c r="CC217" s="25" t="str">
        <f>VLOOKUP($A217,tabCustoUnit[],COLUMN(CUSTO_GLOBAL[[#Headers],[Nº DE PEDIDO DA CCT]])-2,0)</f>
        <v>-</v>
      </c>
      <c r="CD217" s="25" t="str">
        <f>VLOOKUP($A217,tabCustoUnit[],COLUMN(CUSTO_GLOBAL[[#Headers],[TERMO ADITIVO  ALTERAÇÃO DA CCT]])-2,0)</f>
        <v>-</v>
      </c>
      <c r="CF217" s="22"/>
      <c r="CG217" s="22"/>
    </row>
    <row r="218" spans="1:85" x14ac:dyDescent="0.25">
      <c r="A218" s="20" t="s">
        <v>1553</v>
      </c>
      <c r="B218" t="s">
        <v>198</v>
      </c>
      <c r="C218" t="s">
        <v>1244</v>
      </c>
      <c r="D218" t="s">
        <v>1023</v>
      </c>
      <c r="E218" s="20" t="s">
        <v>9</v>
      </c>
      <c r="F218" s="20" t="s">
        <v>10</v>
      </c>
      <c r="G218" s="20">
        <v>1</v>
      </c>
      <c r="H218" s="20">
        <v>0</v>
      </c>
      <c r="I218" s="21">
        <f>VLOOKUP($A218,tabCustoUnit[],COLUMN(CUSTO_GLOBAL[[#Headers],[Salário Base]])-2,0)*($G218-$H218)</f>
        <v>824.56</v>
      </c>
      <c r="J218" s="21">
        <f>VLOOKUP($A218,tabCustoUnit[],COLUMN(CUSTO_GLOBAL[[#Headers],[Adicional Periculosidade]])-2,0)*($G218-$H218)</f>
        <v>0</v>
      </c>
      <c r="K218" s="21">
        <f>VLOOKUP($A218,tabCustoUnit[],COLUMN(CUSTO_GLOBAL[[#Headers],[Adicional Insalubridade]])-2,0)*($G218-$H218)</f>
        <v>0</v>
      </c>
      <c r="L218" s="21">
        <f>VLOOKUP($A218,tabCustoUnit[],COLUMN(CUSTO_GLOBAL[[#Headers],[Adicional Noturno]])-2,0)*($G218-$H218)</f>
        <v>0</v>
      </c>
      <c r="M218" s="21">
        <f>VLOOKUP($A218,tabCustoUnit[],COLUMN(CUSTO_GLOBAL[[#Headers],[Adicional Motorista II (Gratificação)]])-2,0)*($G218-$H218)</f>
        <v>0</v>
      </c>
      <c r="N218" s="21">
        <f>VLOOKUP($A218,tabCustoUnit[],COLUMN(CUSTO_GLOBAL[[#Headers],[Adicional de Sobreaviso]])-2,0)*($G218-$H218)</f>
        <v>0</v>
      </c>
      <c r="O218" s="21">
        <f>VLOOKUP($A218,tabCustoUnit[],COLUMN(CUSTO_GLOBAL[[#Headers],[Horas Extras TI]])-2,0)*($G218-$H218)</f>
        <v>0</v>
      </c>
      <c r="P218" s="21">
        <f>VLOOKUP($A218,tabCustoUnit[],COLUMN(CUSTO_GLOBAL[[#Headers],[Adicional de Acúmulo de função]])-2,0)*($G218-$H218)</f>
        <v>26.985600000000002</v>
      </c>
      <c r="Q218" s="21">
        <f>VLOOKUP($A218,tabCustoUnit[],COLUMN(CUSTO_GLOBAL[[#Headers],[MODULO 1 - REMUNERAÇÃO ]])-2,0)*($G218-$H218)</f>
        <v>851.54559999999992</v>
      </c>
      <c r="R218" s="21">
        <f>VLOOKUP($A218,tabCustoUnit[],COLUMN(CUSTO_GLOBAL[[#Headers],[INSS]])-2,0)*($G218-$H218)</f>
        <v>170.30912000000001</v>
      </c>
      <c r="S218" s="21">
        <f>VLOOKUP($A218,tabCustoUnit[],COLUMN(CUSTO_GLOBAL[[#Headers],[SESI OU SESC]])-2,0)*($G218-$H218)</f>
        <v>12.773183999999999</v>
      </c>
      <c r="T218" s="21">
        <f>VLOOKUP($A218,tabCustoUnit[],COLUMN(CUSTO_GLOBAL[[#Headers],[SENAI OU SENAC]])-2,0)*($G218-$H218)</f>
        <v>8.5154559999999986</v>
      </c>
      <c r="U218" s="21">
        <f>VLOOKUP($A218,tabCustoUnit[],COLUMN(CUSTO_GLOBAL[[#Headers],[INCRA]])-2,0)*($G218-$H218)</f>
        <v>1.7030911999999998</v>
      </c>
      <c r="V218" s="21">
        <f>VLOOKUP($A218,tabCustoUnit[],COLUMN(CUSTO_GLOBAL[[#Headers],[Salário Educação]])-2,0)*($G218-$H218)</f>
        <v>21.288640000000001</v>
      </c>
      <c r="W218" s="21">
        <f>VLOOKUP($A218,tabCustoUnit[],COLUMN(CUSTO_GLOBAL[[#Headers],[FGTS]])-2,0)*($G218-$H218)</f>
        <v>68.123647999999989</v>
      </c>
      <c r="X218" s="21">
        <f>VLOOKUP($A218,tabCustoUnit[],COLUMN(CUSTO_GLOBAL[[#Headers],[RAT Ajustado]])-2,0)*($G218-$H218)</f>
        <v>34.061823999999994</v>
      </c>
      <c r="Y218" s="21">
        <f>VLOOKUP($A218,tabCustoUnit[],COLUMN(CUSTO_GLOBAL[[#Headers],[SEBRAE]])-2,0)*($G218-$H218)</f>
        <v>5.1092735999999999</v>
      </c>
      <c r="Z218" s="21">
        <f>VLOOKUP($A218,tabCustoUnit[],COLUMN(CUSTO_GLOBAL[[#Headers],[Submódulo 2.1]])-2,0)*($G218-$H218)</f>
        <v>321.8842368</v>
      </c>
      <c r="AA218" s="21">
        <f>VLOOKUP($A218,tabCustoUnit[],COLUMN(CUSTO_GLOBAL[[#Headers],[13º salário (titular)]])-2,0)*($G218-$H218)</f>
        <v>70.962133333333327</v>
      </c>
      <c r="AB218" s="21">
        <f>VLOOKUP($A218,tabCustoUnit[],COLUMN(CUSTO_GLOBAL[[#Headers],[Férias e Adicional de Férias (titular)]])-2,0)*($G218-$H218)</f>
        <v>94.616177777777764</v>
      </c>
      <c r="AC218" s="21">
        <f>VLOOKUP($A218,tabCustoUnit[],COLUMN(CUSTO_GLOBAL[[#Headers],[Incidência do Submódulo 2.1 sobre 13º Salário, Férias e Adicional de Férias]])-2,0)*($G218-$H218)</f>
        <v>62.588601599999997</v>
      </c>
      <c r="AD218" s="21">
        <f>VLOOKUP($A218,tabCustoUnit[],COLUMN(CUSTO_GLOBAL[[#Headers],[Submódulo 2.2]])-2,0)*($G218-$H218)</f>
        <v>228.16691271111108</v>
      </c>
      <c r="AE218" s="22">
        <f>VLOOKUP($A218,tabCustoUnit[],COLUMN(CUSTO_GLOBAL[[#Headers],[Vale - Transporte (Descontada parcela do empregado)]])-2,0)*($G218-$H218)</f>
        <v>206.5264</v>
      </c>
      <c r="AF218" s="22">
        <f>VLOOKUP($A218,tabCustoUnit[],COLUMN(CUSTO_GLOBAL[[#Headers],[Vale - Alimentação (Descontada parcela do empregado)]])-2,0)*($G218-$H218)</f>
        <v>582</v>
      </c>
      <c r="AG218" s="22">
        <f>VLOOKUP($A218,tabCustoUnit[],COLUMN(CUSTO_GLOBAL[[#Headers],[Cesta Básica]])-2,0)*($G218-$H218)</f>
        <v>0</v>
      </c>
      <c r="AH218" s="22">
        <f>VLOOKUP($A218,tabCustoUnit[],COLUMN(CUSTO_GLOBAL[[#Headers],[PAF]])-2,0)*($G218-$H218)</f>
        <v>0</v>
      </c>
      <c r="AI218" s="22">
        <f>VLOOKUP($A218,tabCustoUnit[],COLUMN(CUSTO_GLOBAL[[#Headers],[PQM]])-2,0)*($G218-$H218)</f>
        <v>0</v>
      </c>
      <c r="AJ218" s="22">
        <v>0</v>
      </c>
      <c r="AK218" s="22">
        <f>VLOOKUP($A218,tabCustoUnit[],COLUMN(CUSTO_GLOBAL[[#Headers],[Seguro de Vida]])-2,0)*($G218-$H218)</f>
        <v>3.36</v>
      </c>
      <c r="AL218" s="22">
        <f>VLOOKUP($A218,tabCustoUnit[],COLUMN(CUSTO_GLOBAL[[#Headers],[Despesas de Viagem]])-2,0)*($G218-$H218)</f>
        <v>0</v>
      </c>
      <c r="AM218" s="22">
        <f>VLOOKUP($A218,tabCustoUnit[],COLUMN(CUSTO_GLOBAL[[#Headers],[Submódulo 2.3]])-2,0)*($G218-$H218)</f>
        <v>791.88639999999998</v>
      </c>
      <c r="AN218" s="22">
        <f>VLOOKUP($A218,tabCustoUnit[],COLUMN(CUSTO_GLOBAL[[#Headers],[MÓDULO 2 - Total Encargos e Benefícios mensais e diários]])-2,0)*($G218-$H218)</f>
        <v>1341.9375495111112</v>
      </c>
      <c r="AO218" s="22">
        <f>VLOOKUP($A218,tabCustoUnit[],COLUMN(CUSTO_GLOBAL[[#Headers],[Aviso Prévio Indenizado (API) e Reflexo do Aviso Prévio Indenizado]])-2,0)*($G218-$H218)</f>
        <v>5.970839316049382</v>
      </c>
      <c r="AP218" s="22">
        <f>VLOOKUP($A218,tabCustoUnit[],COLUMN(CUSTO_GLOBAL[[#Headers],[Incidência do FGTS sobre API e Reflexo do API]])-2,0)*($G218-$H218)</f>
        <v>0.4776671452839506</v>
      </c>
      <c r="AQ218" s="22">
        <f>VLOOKUP($A218,tabCustoUnit[],COLUMN(CUSTO_GLOBAL[[#Headers],[Multa Rescisória do FGTS sobre o Aviso Prévio Indenizado]])-2,0)*($G218-$H218)</f>
        <v>0.19106685811358026</v>
      </c>
      <c r="AR218" s="22">
        <f>VLOOKUP($A218,tabCustoUnit[],COLUMN(CUSTO_GLOBAL[[#Headers],[Aviso Prévio Trabalhado - APT]])-2,0)*($G218-$H218)</f>
        <v>2.9804096000000002</v>
      </c>
      <c r="AS218" s="22">
        <f>VLOOKUP($A218,tabCustoUnit[],COLUMN(CUSTO_GLOBAL[[#Headers],[Incidência dos encargos do submódulo 2.1 sobre Aviso Prévio Trabalhado]])-2,0)*($G218-$H218)</f>
        <v>1.1265948288000003</v>
      </c>
      <c r="AT218" s="22">
        <f>VLOOKUP($A218,tabCustoUnit[],COLUMN(CUSTO_GLOBAL[[#Headers],[Multa Rescisória do FGTS]])-2,0)*($G218-$H218)</f>
        <v>26.038372124444439</v>
      </c>
      <c r="AU218" s="22">
        <f>VLOOKUP($A218,tabCustoUnit[],COLUMN(CUSTO_GLOBAL[[#Headers],[Indenização Adicional (Art. 9º da Lei nº 7.238/84)]])-2,0)*($G218-$H218)</f>
        <v>0.70962133333333333</v>
      </c>
      <c r="AV218" s="22">
        <f>VLOOKUP($A218,tabCustoUnit[],COLUMN(CUSTO_GLOBAL[[#Headers],[MÓDULO 3 – PROVISÃO PARA RESCISÃO]])-2,0)*($G218-$H218)</f>
        <v>37.494571206024688</v>
      </c>
      <c r="AW218" s="22">
        <f>VLOOKUP($A218,tabCustoUnit[],COLUMN(CUSTO_GLOBAL[[#Headers],[Ausência por Doença]])-2,0)*($G218-$H218)</f>
        <v>7.1908295111111098</v>
      </c>
      <c r="AX218" s="22">
        <f>VLOOKUP($A218,tabCustoUnit[],COLUMN(CUSTO_GLOBAL[[#Headers],[Ausências Legais]])-2,0)*($G218-$H218)</f>
        <v>1.7267452444444442</v>
      </c>
      <c r="AY218" s="22">
        <f>VLOOKUP($A218,tabCustoUnit[],COLUMN(CUSTO_GLOBAL[[#Headers],[Licença Paternidade]])-2,0)*($G218-$H218)</f>
        <v>0.14547237333333332</v>
      </c>
      <c r="AZ218" s="22">
        <f>VLOOKUP($A218,tabCustoUnit[],COLUMN(CUSTO_GLOBAL[[#Headers],[Ausência por Acidente de Trabalho]])-2,0)*($G218-$H218)</f>
        <v>0.17740533333333333</v>
      </c>
      <c r="BA218" s="22">
        <f>VLOOKUP($A218,tabCustoUnit[],COLUMN(CUSTO_GLOBAL[[#Headers],[Férias, Adicional de Férias e 13º  com empregada em gozo de Licença Maternidade]])-2,0)*($G218-$H218)</f>
        <v>1.1038554074074072</v>
      </c>
      <c r="BB218" s="22">
        <f>VLOOKUP($A218,tabCustoUnit[],COLUMN(CUSTO_GLOBAL[[#Headers],[Incidência do Submódulo 2.1 sobre Ausências Legais]])-2,0)*($G218-$H218)</f>
        <v>3.9101483747200003</v>
      </c>
      <c r="BC218" s="22">
        <f>VLOOKUP($A218,tabCustoUnit[],COLUMN(CUSTO_GLOBAL[[#Headers],[Submódulo 4.1]])-2,0)*($G218-$H218)</f>
        <v>14.254456244349628</v>
      </c>
      <c r="BD218" s="22">
        <f>VLOOKUP($A218,tabCustoUnit[],COLUMN(CUSTO_GLOBAL[[#Headers],[Intervalo para Repouso ou Alimentação]])-2,0)*($G218-$H218)</f>
        <v>0</v>
      </c>
      <c r="BE218" s="22">
        <f>VLOOKUP($A218,tabCustoUnit[],COLUMN(CUSTO_GLOBAL[[#Headers],[Submódulo 4.2]])-2,0)*($G218-$H218)</f>
        <v>0</v>
      </c>
      <c r="BF218" s="22">
        <f>VLOOKUP($A218,tabCustoUnit[],COLUMN(CUSTO_GLOBAL[[#Headers],[Suspensão Temporária do Contrato de Trabalho]])-2,0)*($G218-$H218)</f>
        <v>0</v>
      </c>
      <c r="BG218" s="22">
        <f>VLOOKUP($A218,tabCustoUnit[],COLUMN(CUSTO_GLOBAL[[#Headers],[Submódulo 4.3]])-2,0)*($G218-$H218)</f>
        <v>0</v>
      </c>
      <c r="BH218" s="22">
        <f>VLOOKUP($A218,tabCustoUnit[],COLUMN(CUSTO_GLOBAL[[#Headers],[MÓDULO 4 – CUSTO DE REPOSIÇÃO DO PROFISSIONAL AUSENTE]])-2,0)*($G218-$H218)</f>
        <v>14.254456244349628</v>
      </c>
      <c r="BI218" s="22">
        <f>VLOOKUP($A218,tabCustoUnit[],COLUMN(CUSTO_GLOBAL[[#Headers],[Uniformes e EPIs]])-2,0)*($G218-$H218)</f>
        <v>62.806666666666665</v>
      </c>
      <c r="BJ218" s="22">
        <f>VLOOKUP($A218,tabCustoUnit[],COLUMN(CUSTO_GLOBAL[[#Headers],[Materiais de Consumo]])-2,0)*($G218-$H218)</f>
        <v>17.759106479291944</v>
      </c>
      <c r="BK218" s="22">
        <f>VLOOKUP($A218,tabCustoUnit[],COLUMN(CUSTO_GLOBAL[[#Headers],[Máquinas e Equipamentos (depreciação)]])-2,0)*($G218-$H218)</f>
        <v>32.264696957412788</v>
      </c>
      <c r="BL218" s="22">
        <f>VLOOKUP($A218,tabCustoUnit[],COLUMN(CUSTO_GLOBAL[[#Headers],[Produtos de Limpeza e Materiais de Higiene Pessoal]])-2,0)*($G218-$H218)</f>
        <v>345.13576638965827</v>
      </c>
      <c r="BM218" s="22">
        <f>VLOOKUP($A218,tabCustoUnit[],COLUMN(CUSTO_GLOBAL[[#Headers],[Outros (especificar)]])-2,0)*($G218-$H218)</f>
        <v>0</v>
      </c>
      <c r="BN218" s="22">
        <f>VLOOKUP($A218,tabCustoUnit[],COLUMN(CUSTO_GLOBAL[[#Headers],[MÓDULO 5 – INSUMOS DIVERSOS]])-2,0)*($G218-$H218)</f>
        <v>457.96623649302967</v>
      </c>
      <c r="BO218" s="22">
        <f>VLOOKUP($A218,tabCustoUnit[],COLUMN(CUSTO_GLOBAL[[#Headers],[TOTAL MÓDULOS 1+2+3+4+5]])-2,0)*($G218-$H218)</f>
        <v>2703.198413454515</v>
      </c>
      <c r="BP218" s="22">
        <f>VLOOKUP($A218,tabCustoUnit[],COLUMN(CUSTO_GLOBAL[[#Headers],[Custos Indiretos]])-2,0)*($G218-$H218)</f>
        <v>189.64880140242613</v>
      </c>
      <c r="BQ218" s="22">
        <f>VLOOKUP($A218,tabCustoUnit[],COLUMN(CUSTO_GLOBAL[[#Headers],[Lucro]])-2,0)*($G218-$H218)</f>
        <v>159.30499317803796</v>
      </c>
      <c r="BR218" s="26">
        <f>VLOOKUP($A218,tabCustoUnit[],COLUMN(CUSTO_GLOBAL[[#Headers],[COFINS]])-2,0)</f>
        <v>8.6609686609686695E-2</v>
      </c>
      <c r="BS218" s="26">
        <f>VLOOKUP($A218,tabCustoUnit[],COLUMN(CUSTO_GLOBAL[[#Headers],[PIS]])-2,0)</f>
        <v>1.880341880341882E-2</v>
      </c>
      <c r="BT218" s="28">
        <f>VLOOKUP($A218,tabCustoUnit[],COLUMN(CUSTO_GLOBAL[[#Headers],[ISS]])-2,0)</f>
        <v>0.03</v>
      </c>
      <c r="BU218" s="26">
        <f>VLOOKUP($A218,tabCustoUnit[],COLUMN(CUSTO_GLOBAL[[#Headers],[ISS (Conversão Alíquota s/ fatura)]])-2,0)</f>
        <v>3.4188034188034219E-2</v>
      </c>
      <c r="BV218" s="26">
        <f>VLOOKUP($A218,tabCustoUnit[],COLUMN(CUSTO_GLOBAL[[#Headers],[Resumo de Alíquotas (PIS+CONFINS+ISS)]])-2,0)</f>
        <v>0.1225</v>
      </c>
      <c r="BW218" s="138">
        <f>VLOOKUP($A218,tabCustoUnit[],COLUMN(CUSTO_GLOBAL[[#Headers],[PIS + COFINS + ISS (Total Conversão  Alíquota s/ Fatura)]])-2,0)</f>
        <v>0.13960113960113973</v>
      </c>
      <c r="BX218" s="22">
        <f>VLOOKUP($A218,tabCustoUnit[],COLUMN(CUSTO_GLOBAL[[#Headers],[Valor dos Tributos (ISS, PIS, CONFINS)]])-2,0)*($G218-$H218)</f>
        <v>426.08392647781801</v>
      </c>
      <c r="BY218" s="22">
        <f>VLOOKUP($A218,tabCustoUnit[],COLUMN(CUSTO_GLOBAL[[#Headers],[MÓDULO 6 – CUSTOS INDIRETOS, TRIBUTOS E LUCRO]])-2,0)*($G218-$H218)</f>
        <v>775.03772105828216</v>
      </c>
      <c r="BZ218" s="22">
        <f>VLOOKUP($A218,tabCustoUnit[],COLUMN(CUSTO_GLOBAL[[#Headers],[CUSTO TOTAL MENSAL]])-2,0)*($G218-$H218)</f>
        <v>3478.2361345127974</v>
      </c>
      <c r="CA218" s="22">
        <f>CUSTO_GLOBAL[[#This Row],[CUSTO TOTAL MENSAL]]*12</f>
        <v>41738.833614153569</v>
      </c>
      <c r="CB218" s="24">
        <f>VLOOKUP($A218,tabCustoUnit[],COLUMN(CUSTO_GLOBAL[[#Headers],[ANO DA CCT]])-2,0)</f>
        <v>45658</v>
      </c>
      <c r="CC218" s="25" t="str">
        <f>VLOOKUP($A218,tabCustoUnit[],COLUMN(CUSTO_GLOBAL[[#Headers],[Nº DE PEDIDO DA CCT]])-2,0)</f>
        <v>-</v>
      </c>
      <c r="CD218" s="25" t="str">
        <f>VLOOKUP($A218,tabCustoUnit[],COLUMN(CUSTO_GLOBAL[[#Headers],[TERMO ADITIVO  ALTERAÇÃO DA CCT]])-2,0)</f>
        <v>-</v>
      </c>
      <c r="CF218" s="22"/>
      <c r="CG218" s="22"/>
    </row>
    <row r="219" spans="1:85" x14ac:dyDescent="0.25">
      <c r="A219" s="20" t="s">
        <v>1554</v>
      </c>
      <c r="B219" t="s">
        <v>199</v>
      </c>
      <c r="C219" t="s">
        <v>1247</v>
      </c>
      <c r="D219" t="s">
        <v>992</v>
      </c>
      <c r="E219" s="20" t="s">
        <v>9</v>
      </c>
      <c r="F219" s="20" t="s">
        <v>10</v>
      </c>
      <c r="G219" s="20">
        <v>1</v>
      </c>
      <c r="H219" s="20">
        <v>0</v>
      </c>
      <c r="I219" s="21">
        <f>VLOOKUP($A219,tabCustoUnit[],COLUMN(CUSTO_GLOBAL[[#Headers],[Salário Base]])-2,0)*($G219-$H219)</f>
        <v>544.17999999999995</v>
      </c>
      <c r="J219" s="21">
        <f>VLOOKUP($A219,tabCustoUnit[],COLUMN(CUSTO_GLOBAL[[#Headers],[Adicional Periculosidade]])-2,0)*($G219-$H219)</f>
        <v>0</v>
      </c>
      <c r="K219" s="21">
        <f>VLOOKUP($A219,tabCustoUnit[],COLUMN(CUSTO_GLOBAL[[#Headers],[Adicional Insalubridade]])-2,0)*($G219-$H219)</f>
        <v>0</v>
      </c>
      <c r="L219" s="21">
        <f>VLOOKUP($A219,tabCustoUnit[],COLUMN(CUSTO_GLOBAL[[#Headers],[Adicional Noturno]])-2,0)*($G219-$H219)</f>
        <v>0</v>
      </c>
      <c r="M219" s="21">
        <f>VLOOKUP($A219,tabCustoUnit[],COLUMN(CUSTO_GLOBAL[[#Headers],[Adicional Motorista II (Gratificação)]])-2,0)*($G219-$H219)</f>
        <v>0</v>
      </c>
      <c r="N219" s="21">
        <f>VLOOKUP($A219,tabCustoUnit[],COLUMN(CUSTO_GLOBAL[[#Headers],[Adicional de Sobreaviso]])-2,0)*($G219-$H219)</f>
        <v>0</v>
      </c>
      <c r="O219" s="21">
        <f>VLOOKUP($A219,tabCustoUnit[],COLUMN(CUSTO_GLOBAL[[#Headers],[Horas Extras TI]])-2,0)*($G219-$H219)</f>
        <v>0</v>
      </c>
      <c r="P219" s="21">
        <f>VLOOKUP($A219,tabCustoUnit[],COLUMN(CUSTO_GLOBAL[[#Headers],[Adicional de Acúmulo de função]])-2,0)*($G219-$H219)</f>
        <v>19.590499999999999</v>
      </c>
      <c r="Q219" s="21">
        <f>VLOOKUP($A219,tabCustoUnit[],COLUMN(CUSTO_GLOBAL[[#Headers],[MODULO 1 - REMUNERAÇÃO ]])-2,0)*($G219-$H219)</f>
        <v>563.77049999999997</v>
      </c>
      <c r="R219" s="21">
        <f>VLOOKUP($A219,tabCustoUnit[],COLUMN(CUSTO_GLOBAL[[#Headers],[INSS]])-2,0)*($G219-$H219)</f>
        <v>112.75409999999999</v>
      </c>
      <c r="S219" s="21">
        <f>VLOOKUP($A219,tabCustoUnit[],COLUMN(CUSTO_GLOBAL[[#Headers],[SESI OU SESC]])-2,0)*($G219-$H219)</f>
        <v>8.4565574999999988</v>
      </c>
      <c r="T219" s="21">
        <f>VLOOKUP($A219,tabCustoUnit[],COLUMN(CUSTO_GLOBAL[[#Headers],[SENAI OU SENAC]])-2,0)*($G219-$H219)</f>
        <v>5.6377049999999995</v>
      </c>
      <c r="U219" s="21">
        <f>VLOOKUP($A219,tabCustoUnit[],COLUMN(CUSTO_GLOBAL[[#Headers],[INCRA]])-2,0)*($G219-$H219)</f>
        <v>1.1275409999999999</v>
      </c>
      <c r="V219" s="21">
        <f>VLOOKUP($A219,tabCustoUnit[],COLUMN(CUSTO_GLOBAL[[#Headers],[Salário Educação]])-2,0)*($G219-$H219)</f>
        <v>14.094262499999999</v>
      </c>
      <c r="W219" s="21">
        <f>VLOOKUP($A219,tabCustoUnit[],COLUMN(CUSTO_GLOBAL[[#Headers],[FGTS]])-2,0)*($G219-$H219)</f>
        <v>45.101639999999996</v>
      </c>
      <c r="X219" s="21">
        <f>VLOOKUP($A219,tabCustoUnit[],COLUMN(CUSTO_GLOBAL[[#Headers],[RAT Ajustado]])-2,0)*($G219-$H219)</f>
        <v>22.550819999999998</v>
      </c>
      <c r="Y219" s="21">
        <f>VLOOKUP($A219,tabCustoUnit[],COLUMN(CUSTO_GLOBAL[[#Headers],[SEBRAE]])-2,0)*($G219-$H219)</f>
        <v>3.3826229999999997</v>
      </c>
      <c r="Z219" s="21">
        <f>VLOOKUP($A219,tabCustoUnit[],COLUMN(CUSTO_GLOBAL[[#Headers],[Submódulo 2.1]])-2,0)*($G219-$H219)</f>
        <v>213.10524899999996</v>
      </c>
      <c r="AA219" s="21">
        <f>VLOOKUP($A219,tabCustoUnit[],COLUMN(CUSTO_GLOBAL[[#Headers],[13º salário (titular)]])-2,0)*($G219-$H219)</f>
        <v>46.980874999999997</v>
      </c>
      <c r="AB219" s="21">
        <f>VLOOKUP($A219,tabCustoUnit[],COLUMN(CUSTO_GLOBAL[[#Headers],[Férias e Adicional de Férias (titular)]])-2,0)*($G219-$H219)</f>
        <v>62.641166666666663</v>
      </c>
      <c r="AC219" s="21">
        <f>VLOOKUP($A219,tabCustoUnit[],COLUMN(CUSTO_GLOBAL[[#Headers],[Incidência do Submódulo 2.1 sobre 13º Salário, Férias e Adicional de Férias]])-2,0)*($G219-$H219)</f>
        <v>41.437131749999992</v>
      </c>
      <c r="AD219" s="21">
        <f>VLOOKUP($A219,tabCustoUnit[],COLUMN(CUSTO_GLOBAL[[#Headers],[Submódulo 2.2]])-2,0)*($G219-$H219)</f>
        <v>151.05917341666665</v>
      </c>
      <c r="AE219" s="22">
        <f>VLOOKUP($A219,tabCustoUnit[],COLUMN(CUSTO_GLOBAL[[#Headers],[Vale - Transporte (Descontada parcela do empregado)]])-2,0)*($G219-$H219)</f>
        <v>223.3492</v>
      </c>
      <c r="AF219" s="22">
        <f>VLOOKUP($A219,tabCustoUnit[],COLUMN(CUSTO_GLOBAL[[#Headers],[Vale - Alimentação (Descontada parcela do empregado)]])-2,0)*($G219-$H219)</f>
        <v>0</v>
      </c>
      <c r="AG219" s="22">
        <f>VLOOKUP($A219,tabCustoUnit[],COLUMN(CUSTO_GLOBAL[[#Headers],[Cesta Básica]])-2,0)*($G219-$H219)</f>
        <v>387.79</v>
      </c>
      <c r="AH219" s="22">
        <f>VLOOKUP($A219,tabCustoUnit[],COLUMN(CUSTO_GLOBAL[[#Headers],[PAF]])-2,0)*($G219-$H219)</f>
        <v>42.97</v>
      </c>
      <c r="AI219" s="22">
        <f>VLOOKUP($A219,tabCustoUnit[],COLUMN(CUSTO_GLOBAL[[#Headers],[PQM]])-2,0)*($G219-$H219)</f>
        <v>0</v>
      </c>
      <c r="AJ219" s="22">
        <v>0</v>
      </c>
      <c r="AK219" s="22">
        <f>VLOOKUP($A219,tabCustoUnit[],COLUMN(CUSTO_GLOBAL[[#Headers],[Seguro de Vida]])-2,0)*($G219-$H219)</f>
        <v>3.36</v>
      </c>
      <c r="AL219" s="22">
        <f>VLOOKUP($A219,tabCustoUnit[],COLUMN(CUSTO_GLOBAL[[#Headers],[Despesas de Viagem]])-2,0)*($G219-$H219)</f>
        <v>0</v>
      </c>
      <c r="AM219" s="22">
        <f>VLOOKUP($A219,tabCustoUnit[],COLUMN(CUSTO_GLOBAL[[#Headers],[Submódulo 2.3]])-2,0)*($G219-$H219)</f>
        <v>657.46920000000011</v>
      </c>
      <c r="AN219" s="22">
        <f>VLOOKUP($A219,tabCustoUnit[],COLUMN(CUSTO_GLOBAL[[#Headers],[MÓDULO 2 - Total Encargos e Benefícios mensais e diários]])-2,0)*($G219-$H219)</f>
        <v>1021.6336224166668</v>
      </c>
      <c r="AO219" s="22">
        <f>VLOOKUP($A219,tabCustoUnit[],COLUMN(CUSTO_GLOBAL[[#Headers],[Aviso Prévio Indenizado (API) e Reflexo do Aviso Prévio Indenizado]])-2,0)*($G219-$H219)</f>
        <v>3.9530273735532404</v>
      </c>
      <c r="AP219" s="22">
        <f>VLOOKUP($A219,tabCustoUnit[],COLUMN(CUSTO_GLOBAL[[#Headers],[Incidência do FGTS sobre API e Reflexo do API]])-2,0)*($G219-$H219)</f>
        <v>0.31624218988425928</v>
      </c>
      <c r="AQ219" s="22">
        <f>VLOOKUP($A219,tabCustoUnit[],COLUMN(CUSTO_GLOBAL[[#Headers],[Multa Rescisória do FGTS sobre o Aviso Prévio Indenizado]])-2,0)*($G219-$H219)</f>
        <v>0.12649687595370371</v>
      </c>
      <c r="AR219" s="22">
        <f>VLOOKUP($A219,tabCustoUnit[],COLUMN(CUSTO_GLOBAL[[#Headers],[Aviso Prévio Trabalhado - APT]])-2,0)*($G219-$H219)</f>
        <v>1.9731967500000003</v>
      </c>
      <c r="AS219" s="22">
        <f>VLOOKUP($A219,tabCustoUnit[],COLUMN(CUSTO_GLOBAL[[#Headers],[Incidência dos encargos do submódulo 2.1 sobre Aviso Prévio Trabalhado]])-2,0)*($G219-$H219)</f>
        <v>0.74586837150000018</v>
      </c>
      <c r="AT219" s="22">
        <f>VLOOKUP($A219,tabCustoUnit[],COLUMN(CUSTO_GLOBAL[[#Headers],[Multa Rescisória do FGTS]])-2,0)*($G219-$H219)</f>
        <v>17.238849066666663</v>
      </c>
      <c r="AU219" s="22">
        <f>VLOOKUP($A219,tabCustoUnit[],COLUMN(CUSTO_GLOBAL[[#Headers],[Indenização Adicional (Art. 9º da Lei nº 7.238/84)]])-2,0)*($G219-$H219)</f>
        <v>0.46980875</v>
      </c>
      <c r="AV219" s="22">
        <f>VLOOKUP($A219,tabCustoUnit[],COLUMN(CUSTO_GLOBAL[[#Headers],[MÓDULO 3 – PROVISÃO PARA RESCISÃO]])-2,0)*($G219-$H219)</f>
        <v>24.823489377557866</v>
      </c>
      <c r="AW219" s="22">
        <f>VLOOKUP($A219,tabCustoUnit[],COLUMN(CUSTO_GLOBAL[[#Headers],[Ausência por Doença]])-2,0)*($G219-$H219)</f>
        <v>4.7607286666666662</v>
      </c>
      <c r="AX219" s="22">
        <f>VLOOKUP($A219,tabCustoUnit[],COLUMN(CUSTO_GLOBAL[[#Headers],[Ausências Legais]])-2,0)*($G219-$H219)</f>
        <v>1.1432012916666665</v>
      </c>
      <c r="AY219" s="22">
        <f>VLOOKUP($A219,tabCustoUnit[],COLUMN(CUSTO_GLOBAL[[#Headers],[Licença Paternidade]])-2,0)*($G219-$H219)</f>
        <v>9.6310793749999998E-2</v>
      </c>
      <c r="AZ219" s="22">
        <f>VLOOKUP($A219,tabCustoUnit[],COLUMN(CUSTO_GLOBAL[[#Headers],[Ausência por Acidente de Trabalho]])-2,0)*($G219-$H219)</f>
        <v>0.1174521875</v>
      </c>
      <c r="BA219" s="22">
        <f>VLOOKUP($A219,tabCustoUnit[],COLUMN(CUSTO_GLOBAL[[#Headers],[Férias, Adicional de Férias e 13º  com empregada em gozo de Licença Maternidade]])-2,0)*($G219-$H219)</f>
        <v>0.73081361111111109</v>
      </c>
      <c r="BB219" s="22">
        <f>VLOOKUP($A219,tabCustoUnit[],COLUMN(CUSTO_GLOBAL[[#Headers],[Incidência do Submódulo 2.1 sobre Ausências Legais]])-2,0)*($G219-$H219)</f>
        <v>2.5887354761625003</v>
      </c>
      <c r="BC219" s="22">
        <f>VLOOKUP($A219,tabCustoUnit[],COLUMN(CUSTO_GLOBAL[[#Headers],[Submódulo 4.1]])-2,0)*($G219-$H219)</f>
        <v>9.4372420268569428</v>
      </c>
      <c r="BD219" s="22">
        <f>VLOOKUP($A219,tabCustoUnit[],COLUMN(CUSTO_GLOBAL[[#Headers],[Intervalo para Repouso ou Alimentação]])-2,0)*($G219-$H219)</f>
        <v>0</v>
      </c>
      <c r="BE219" s="22">
        <f>VLOOKUP($A219,tabCustoUnit[],COLUMN(CUSTO_GLOBAL[[#Headers],[Submódulo 4.2]])-2,0)*($G219-$H219)</f>
        <v>0</v>
      </c>
      <c r="BF219" s="22">
        <f>VLOOKUP($A219,tabCustoUnit[],COLUMN(CUSTO_GLOBAL[[#Headers],[Suspensão Temporária do Contrato de Trabalho]])-2,0)*($G219-$H219)</f>
        <v>0</v>
      </c>
      <c r="BG219" s="22">
        <f>VLOOKUP($A219,tabCustoUnit[],COLUMN(CUSTO_GLOBAL[[#Headers],[Submódulo 4.3]])-2,0)*($G219-$H219)</f>
        <v>0</v>
      </c>
      <c r="BH219" s="22">
        <f>VLOOKUP($A219,tabCustoUnit[],COLUMN(CUSTO_GLOBAL[[#Headers],[MÓDULO 4 – CUSTO DE REPOSIÇÃO DO PROFISSIONAL AUSENTE]])-2,0)*($G219-$H219)</f>
        <v>9.4372420268569428</v>
      </c>
      <c r="BI219" s="22">
        <f>VLOOKUP($A219,tabCustoUnit[],COLUMN(CUSTO_GLOBAL[[#Headers],[Uniformes e EPIs]])-2,0)*($G219-$H219)</f>
        <v>62.806666666666665</v>
      </c>
      <c r="BJ219" s="22">
        <f>VLOOKUP($A219,tabCustoUnit[],COLUMN(CUSTO_GLOBAL[[#Headers],[Materiais de Consumo]])-2,0)*($G219-$H219)</f>
        <v>12.108481690426325</v>
      </c>
      <c r="BK219" s="22">
        <f>VLOOKUP($A219,tabCustoUnit[],COLUMN(CUSTO_GLOBAL[[#Headers],[Máquinas e Equipamentos (depreciação)]])-2,0)*($G219-$H219)</f>
        <v>21.998657016417809</v>
      </c>
      <c r="BL219" s="22">
        <f>VLOOKUP($A219,tabCustoUnit[],COLUMN(CUSTO_GLOBAL[[#Headers],[Produtos de Limpeza e Materiais de Higiene Pessoal]])-2,0)*($G219-$H219)</f>
        <v>235.31984072022155</v>
      </c>
      <c r="BM219" s="22">
        <f>VLOOKUP($A219,tabCustoUnit[],COLUMN(CUSTO_GLOBAL[[#Headers],[Outros (especificar)]])-2,0)*($G219-$H219)</f>
        <v>0</v>
      </c>
      <c r="BN219" s="22">
        <f>VLOOKUP($A219,tabCustoUnit[],COLUMN(CUSTO_GLOBAL[[#Headers],[MÓDULO 5 – INSUMOS DIVERSOS]])-2,0)*($G219-$H219)</f>
        <v>332.23364609373232</v>
      </c>
      <c r="BO219" s="22">
        <f>VLOOKUP($A219,tabCustoUnit[],COLUMN(CUSTO_GLOBAL[[#Headers],[TOTAL MÓDULOS 1+2+3+4+5]])-2,0)*($G219-$H219)</f>
        <v>1951.8984999148138</v>
      </c>
      <c r="BP219" s="22">
        <f>VLOOKUP($A219,tabCustoUnit[],COLUMN(CUSTO_GLOBAL[[#Headers],[Custos Indiretos]])-2,0)*($G219-$H219)</f>
        <v>189.64880140242613</v>
      </c>
      <c r="BQ219" s="22">
        <f>VLOOKUP($A219,tabCustoUnit[],COLUMN(CUSTO_GLOBAL[[#Headers],[Lucro]])-2,0)*($G219-$H219)</f>
        <v>159.30499317803796</v>
      </c>
      <c r="BR219" s="26">
        <f>VLOOKUP($A219,tabCustoUnit[],COLUMN(CUSTO_GLOBAL[[#Headers],[COFINS]])-2,0)</f>
        <v>8.6609686609686695E-2</v>
      </c>
      <c r="BS219" s="26">
        <f>VLOOKUP($A219,tabCustoUnit[],COLUMN(CUSTO_GLOBAL[[#Headers],[PIS]])-2,0)</f>
        <v>1.880341880341882E-2</v>
      </c>
      <c r="BT219" s="28">
        <f>VLOOKUP($A219,tabCustoUnit[],COLUMN(CUSTO_GLOBAL[[#Headers],[ISS]])-2,0)</f>
        <v>0.03</v>
      </c>
      <c r="BU219" s="26">
        <f>VLOOKUP($A219,tabCustoUnit[],COLUMN(CUSTO_GLOBAL[[#Headers],[ISS (Conversão Alíquota s/ fatura)]])-2,0)</f>
        <v>3.4188034188034219E-2</v>
      </c>
      <c r="BV219" s="26">
        <f>VLOOKUP($A219,tabCustoUnit[],COLUMN(CUSTO_GLOBAL[[#Headers],[Resumo de Alíquotas (PIS+CONFINS+ISS)]])-2,0)</f>
        <v>0.1225</v>
      </c>
      <c r="BW219" s="138">
        <f>VLOOKUP($A219,tabCustoUnit[],COLUMN(CUSTO_GLOBAL[[#Headers],[PIS + COFINS + ISS (Total Conversão  Alíquota s/ Fatura)]])-2,0)</f>
        <v>0.13960113960113973</v>
      </c>
      <c r="BX219" s="22">
        <f>VLOOKUP($A219,tabCustoUnit[],COLUMN(CUSTO_GLOBAL[[#Headers],[Valor dos Tributos (ISS, PIS, CONFINS)]])-2,0)*($G219-$H219)</f>
        <v>321.20160236543796</v>
      </c>
      <c r="BY219" s="22">
        <f>VLOOKUP($A219,tabCustoUnit[],COLUMN(CUSTO_GLOBAL[[#Headers],[MÓDULO 6 – CUSTOS INDIRETOS, TRIBUTOS E LUCRO]])-2,0)*($G219-$H219)</f>
        <v>670.15539694590211</v>
      </c>
      <c r="BZ219" s="22">
        <f>VLOOKUP($A219,tabCustoUnit[],COLUMN(CUSTO_GLOBAL[[#Headers],[CUSTO TOTAL MENSAL]])-2,0)*($G219-$H219)</f>
        <v>2622.0538968607161</v>
      </c>
      <c r="CA219" s="22">
        <f>CUSTO_GLOBAL[[#This Row],[CUSTO TOTAL MENSAL]]*12</f>
        <v>31464.646762328593</v>
      </c>
      <c r="CB219" s="24">
        <f>VLOOKUP($A219,tabCustoUnit[],COLUMN(CUSTO_GLOBAL[[#Headers],[ANO DA CCT]])-2,0)</f>
        <v>45658</v>
      </c>
      <c r="CC219" s="25" t="str">
        <f>VLOOKUP($A219,tabCustoUnit[],COLUMN(CUSTO_GLOBAL[[#Headers],[Nº DE PEDIDO DA CCT]])-2,0)</f>
        <v>-</v>
      </c>
      <c r="CD219" s="25" t="str">
        <f>VLOOKUP($A219,tabCustoUnit[],COLUMN(CUSTO_GLOBAL[[#Headers],[TERMO ADITIVO  ALTERAÇÃO DA CCT]])-2,0)</f>
        <v>-</v>
      </c>
      <c r="CF219" s="22"/>
      <c r="CG219" s="22"/>
    </row>
    <row r="220" spans="1:85" x14ac:dyDescent="0.25">
      <c r="A220" s="20" t="s">
        <v>1555</v>
      </c>
      <c r="B220" t="s">
        <v>200</v>
      </c>
      <c r="C220" t="s">
        <v>1245</v>
      </c>
      <c r="D220" t="s">
        <v>1010</v>
      </c>
      <c r="E220" s="20" t="s">
        <v>9</v>
      </c>
      <c r="F220" s="20" t="s">
        <v>10</v>
      </c>
      <c r="G220" s="20">
        <v>1</v>
      </c>
      <c r="H220" s="20">
        <v>0</v>
      </c>
      <c r="I220" s="21">
        <f>VLOOKUP($A220,tabCustoUnit[],COLUMN(CUSTO_GLOBAL[[#Headers],[Salário Base]])-2,0)*($G220-$H220)</f>
        <v>1596.28</v>
      </c>
      <c r="J220" s="21">
        <f>VLOOKUP($A220,tabCustoUnit[],COLUMN(CUSTO_GLOBAL[[#Headers],[Adicional Periculosidade]])-2,0)*($G220-$H220)</f>
        <v>0</v>
      </c>
      <c r="K220" s="21">
        <f>VLOOKUP($A220,tabCustoUnit[],COLUMN(CUSTO_GLOBAL[[#Headers],[Adicional Insalubridade]])-2,0)*($G220-$H220)</f>
        <v>0</v>
      </c>
      <c r="L220" s="21">
        <f>VLOOKUP($A220,tabCustoUnit[],COLUMN(CUSTO_GLOBAL[[#Headers],[Adicional Noturno]])-2,0)*($G220-$H220)</f>
        <v>0</v>
      </c>
      <c r="M220" s="21">
        <f>VLOOKUP($A220,tabCustoUnit[],COLUMN(CUSTO_GLOBAL[[#Headers],[Adicional Motorista II (Gratificação)]])-2,0)*($G220-$H220)</f>
        <v>0</v>
      </c>
      <c r="N220" s="21">
        <f>VLOOKUP($A220,tabCustoUnit[],COLUMN(CUSTO_GLOBAL[[#Headers],[Adicional de Sobreaviso]])-2,0)*($G220-$H220)</f>
        <v>0</v>
      </c>
      <c r="O220" s="21">
        <f>VLOOKUP($A220,tabCustoUnit[],COLUMN(CUSTO_GLOBAL[[#Headers],[Horas Extras TI]])-2,0)*($G220-$H220)</f>
        <v>0</v>
      </c>
      <c r="P220" s="21">
        <f>VLOOKUP($A220,tabCustoUnit[],COLUMN(CUSTO_GLOBAL[[#Headers],[Adicional de Acúmulo de função]])-2,0)*($G220-$H220)</f>
        <v>52.241900000000001</v>
      </c>
      <c r="Q220" s="21">
        <f>VLOOKUP($A220,tabCustoUnit[],COLUMN(CUSTO_GLOBAL[[#Headers],[MODULO 1 - REMUNERAÇÃO ]])-2,0)*($G220-$H220)</f>
        <v>1648.5219</v>
      </c>
      <c r="R220" s="21">
        <f>VLOOKUP($A220,tabCustoUnit[],COLUMN(CUSTO_GLOBAL[[#Headers],[INSS]])-2,0)*($G220-$H220)</f>
        <v>329.70438000000001</v>
      </c>
      <c r="S220" s="21">
        <f>VLOOKUP($A220,tabCustoUnit[],COLUMN(CUSTO_GLOBAL[[#Headers],[SESI OU SESC]])-2,0)*($G220-$H220)</f>
        <v>24.727828499999998</v>
      </c>
      <c r="T220" s="21">
        <f>VLOOKUP($A220,tabCustoUnit[],COLUMN(CUSTO_GLOBAL[[#Headers],[SENAI OU SENAC]])-2,0)*($G220-$H220)</f>
        <v>16.485219000000001</v>
      </c>
      <c r="U220" s="21">
        <f>VLOOKUP($A220,tabCustoUnit[],COLUMN(CUSTO_GLOBAL[[#Headers],[INCRA]])-2,0)*($G220-$H220)</f>
        <v>3.2970438</v>
      </c>
      <c r="V220" s="21">
        <f>VLOOKUP($A220,tabCustoUnit[],COLUMN(CUSTO_GLOBAL[[#Headers],[Salário Educação]])-2,0)*($G220-$H220)</f>
        <v>41.213047500000002</v>
      </c>
      <c r="W220" s="21">
        <f>VLOOKUP($A220,tabCustoUnit[],COLUMN(CUSTO_GLOBAL[[#Headers],[FGTS]])-2,0)*($G220-$H220)</f>
        <v>131.88175200000001</v>
      </c>
      <c r="X220" s="21">
        <f>VLOOKUP($A220,tabCustoUnit[],COLUMN(CUSTO_GLOBAL[[#Headers],[RAT Ajustado]])-2,0)*($G220-$H220)</f>
        <v>65.940876000000003</v>
      </c>
      <c r="Y220" s="21">
        <f>VLOOKUP($A220,tabCustoUnit[],COLUMN(CUSTO_GLOBAL[[#Headers],[SEBRAE]])-2,0)*($G220-$H220)</f>
        <v>9.8911314000000008</v>
      </c>
      <c r="Z220" s="21">
        <f>VLOOKUP($A220,tabCustoUnit[],COLUMN(CUSTO_GLOBAL[[#Headers],[Submódulo 2.1]])-2,0)*($G220-$H220)</f>
        <v>623.14127819999999</v>
      </c>
      <c r="AA220" s="21">
        <f>VLOOKUP($A220,tabCustoUnit[],COLUMN(CUSTO_GLOBAL[[#Headers],[13º salário (titular)]])-2,0)*($G220-$H220)</f>
        <v>137.376825</v>
      </c>
      <c r="AB220" s="21">
        <f>VLOOKUP($A220,tabCustoUnit[],COLUMN(CUSTO_GLOBAL[[#Headers],[Férias e Adicional de Férias (titular)]])-2,0)*($G220-$H220)</f>
        <v>183.16909999999999</v>
      </c>
      <c r="AC220" s="21">
        <f>VLOOKUP($A220,tabCustoUnit[],COLUMN(CUSTO_GLOBAL[[#Headers],[Incidência do Submódulo 2.1 sobre 13º Salário, Férias e Adicional de Férias]])-2,0)*($G220-$H220)</f>
        <v>121.16635965</v>
      </c>
      <c r="AD220" s="21">
        <f>VLOOKUP($A220,tabCustoUnit[],COLUMN(CUSTO_GLOBAL[[#Headers],[Submódulo 2.2]])-2,0)*($G220-$H220)</f>
        <v>441.71228465000002</v>
      </c>
      <c r="AE220" s="22">
        <f>VLOOKUP($A220,tabCustoUnit[],COLUMN(CUSTO_GLOBAL[[#Headers],[Vale - Transporte (Descontada parcela do empregado)]])-2,0)*($G220-$H220)</f>
        <v>160.22320000000002</v>
      </c>
      <c r="AF220" s="22">
        <f>VLOOKUP($A220,tabCustoUnit[],COLUMN(CUSTO_GLOBAL[[#Headers],[Vale - Alimentação (Descontada parcela do empregado)]])-2,0)*($G220-$H220)</f>
        <v>582</v>
      </c>
      <c r="AG220" s="22">
        <f>VLOOKUP($A220,tabCustoUnit[],COLUMN(CUSTO_GLOBAL[[#Headers],[Cesta Básica]])-2,0)*($G220-$H220)</f>
        <v>0</v>
      </c>
      <c r="AH220" s="22">
        <f>VLOOKUP($A220,tabCustoUnit[],COLUMN(CUSTO_GLOBAL[[#Headers],[PAF]])-2,0)*($G220-$H220)</f>
        <v>51.88</v>
      </c>
      <c r="AI220" s="22">
        <f>VLOOKUP($A220,tabCustoUnit[],COLUMN(CUSTO_GLOBAL[[#Headers],[PQM]])-2,0)*($G220-$H220)</f>
        <v>0</v>
      </c>
      <c r="AJ220" s="22">
        <v>0</v>
      </c>
      <c r="AK220" s="22">
        <f>VLOOKUP($A220,tabCustoUnit[],COLUMN(CUSTO_GLOBAL[[#Headers],[Seguro de Vida]])-2,0)*($G220-$H220)</f>
        <v>3.36</v>
      </c>
      <c r="AL220" s="22">
        <f>VLOOKUP($A220,tabCustoUnit[],COLUMN(CUSTO_GLOBAL[[#Headers],[Despesas de Viagem]])-2,0)*($G220-$H220)</f>
        <v>0</v>
      </c>
      <c r="AM220" s="22">
        <f>VLOOKUP($A220,tabCustoUnit[],COLUMN(CUSTO_GLOBAL[[#Headers],[Submódulo 2.3]])-2,0)*($G220-$H220)</f>
        <v>797.46320000000003</v>
      </c>
      <c r="AN220" s="22">
        <f>VLOOKUP($A220,tabCustoUnit[],COLUMN(CUSTO_GLOBAL[[#Headers],[MÓDULO 2 - Total Encargos e Benefícios mensais e diários]])-2,0)*($G220-$H220)</f>
        <v>1862.31676285</v>
      </c>
      <c r="AO220" s="22">
        <f>VLOOKUP($A220,tabCustoUnit[],COLUMN(CUSTO_GLOBAL[[#Headers],[Aviso Prévio Indenizado (API) e Reflexo do Aviso Prévio Indenizado]])-2,0)*($G220-$H220)</f>
        <v>11.559051416493055</v>
      </c>
      <c r="AP220" s="22">
        <f>VLOOKUP($A220,tabCustoUnit[],COLUMN(CUSTO_GLOBAL[[#Headers],[Incidência do FGTS sobre API e Reflexo do API]])-2,0)*($G220-$H220)</f>
        <v>0.92472411331944449</v>
      </c>
      <c r="AQ220" s="22">
        <f>VLOOKUP($A220,tabCustoUnit[],COLUMN(CUSTO_GLOBAL[[#Headers],[Multa Rescisória do FGTS sobre o Aviso Prévio Indenizado]])-2,0)*($G220-$H220)</f>
        <v>0.36988964532777785</v>
      </c>
      <c r="AR220" s="22">
        <f>VLOOKUP($A220,tabCustoUnit[],COLUMN(CUSTO_GLOBAL[[#Headers],[Aviso Prévio Trabalhado - APT]])-2,0)*($G220-$H220)</f>
        <v>5.7698266500000006</v>
      </c>
      <c r="AS220" s="22">
        <f>VLOOKUP($A220,tabCustoUnit[],COLUMN(CUSTO_GLOBAL[[#Headers],[Incidência dos encargos do submódulo 2.1 sobre Aviso Prévio Trabalhado]])-2,0)*($G220-$H220)</f>
        <v>2.1809944737000007</v>
      </c>
      <c r="AT220" s="22">
        <f>VLOOKUP($A220,tabCustoUnit[],COLUMN(CUSTO_GLOBAL[[#Headers],[Multa Rescisória do FGTS]])-2,0)*($G220-$H220)</f>
        <v>50.40813631999999</v>
      </c>
      <c r="AU220" s="22">
        <f>VLOOKUP($A220,tabCustoUnit[],COLUMN(CUSTO_GLOBAL[[#Headers],[Indenização Adicional (Art. 9º da Lei nº 7.238/84)]])-2,0)*($G220-$H220)</f>
        <v>1.3737682500000001</v>
      </c>
      <c r="AV220" s="22">
        <f>VLOOKUP($A220,tabCustoUnit[],COLUMN(CUSTO_GLOBAL[[#Headers],[MÓDULO 3 – PROVISÃO PARA RESCISÃO]])-2,0)*($G220-$H220)</f>
        <v>72.586390868840269</v>
      </c>
      <c r="AW220" s="22">
        <f>VLOOKUP($A220,tabCustoUnit[],COLUMN(CUSTO_GLOBAL[[#Headers],[Ausência por Doença]])-2,0)*($G220-$H220)</f>
        <v>13.920851599999999</v>
      </c>
      <c r="AX220" s="22">
        <f>VLOOKUP($A220,tabCustoUnit[],COLUMN(CUSTO_GLOBAL[[#Headers],[Ausências Legais]])-2,0)*($G220-$H220)</f>
        <v>3.3428360749999997</v>
      </c>
      <c r="AY220" s="22">
        <f>VLOOKUP($A220,tabCustoUnit[],COLUMN(CUSTO_GLOBAL[[#Headers],[Licença Paternidade]])-2,0)*($G220-$H220)</f>
        <v>0.28162249125</v>
      </c>
      <c r="AZ220" s="22">
        <f>VLOOKUP($A220,tabCustoUnit[],COLUMN(CUSTO_GLOBAL[[#Headers],[Ausência por Acidente de Trabalho]])-2,0)*($G220-$H220)</f>
        <v>0.34344206250000003</v>
      </c>
      <c r="BA220" s="22">
        <f>VLOOKUP($A220,tabCustoUnit[],COLUMN(CUSTO_GLOBAL[[#Headers],[Férias, Adicional de Férias e 13º  com empregada em gozo de Licença Maternidade]])-2,0)*($G220-$H220)</f>
        <v>2.1369728333333331</v>
      </c>
      <c r="BB220" s="22">
        <f>VLOOKUP($A220,tabCustoUnit[],COLUMN(CUSTO_GLOBAL[[#Headers],[Incidência do Submódulo 2.1 sobre Ausências Legais]])-2,0)*($G220-$H220)</f>
        <v>7.5697240734675013</v>
      </c>
      <c r="BC220" s="22">
        <f>VLOOKUP($A220,tabCustoUnit[],COLUMN(CUSTO_GLOBAL[[#Headers],[Submódulo 4.1]])-2,0)*($G220-$H220)</f>
        <v>27.595449135550833</v>
      </c>
      <c r="BD220" s="22">
        <f>VLOOKUP($A220,tabCustoUnit[],COLUMN(CUSTO_GLOBAL[[#Headers],[Intervalo para Repouso ou Alimentação]])-2,0)*($G220-$H220)</f>
        <v>0</v>
      </c>
      <c r="BE220" s="22">
        <f>VLOOKUP($A220,tabCustoUnit[],COLUMN(CUSTO_GLOBAL[[#Headers],[Submódulo 4.2]])-2,0)*($G220-$H220)</f>
        <v>0</v>
      </c>
      <c r="BF220" s="22">
        <f>VLOOKUP($A220,tabCustoUnit[],COLUMN(CUSTO_GLOBAL[[#Headers],[Suspensão Temporária do Contrato de Trabalho]])-2,0)*($G220-$H220)</f>
        <v>0</v>
      </c>
      <c r="BG220" s="22">
        <f>VLOOKUP($A220,tabCustoUnit[],COLUMN(CUSTO_GLOBAL[[#Headers],[Submódulo 4.3]])-2,0)*($G220-$H220)</f>
        <v>0</v>
      </c>
      <c r="BH220" s="22">
        <f>VLOOKUP($A220,tabCustoUnit[],COLUMN(CUSTO_GLOBAL[[#Headers],[MÓDULO 4 – CUSTO DE REPOSIÇÃO DO PROFISSIONAL AUSENTE]])-2,0)*($G220-$H220)</f>
        <v>27.595449135550833</v>
      </c>
      <c r="BI220" s="22">
        <f>VLOOKUP($A220,tabCustoUnit[],COLUMN(CUSTO_GLOBAL[[#Headers],[Uniformes e EPIs]])-2,0)*($G220-$H220)</f>
        <v>100.80916666666666</v>
      </c>
      <c r="BJ220" s="22">
        <f>VLOOKUP($A220,tabCustoUnit[],COLUMN(CUSTO_GLOBAL[[#Headers],[Materiais de Consumo]])-2,0)*($G220-$H220)</f>
        <v>35.518212958583888</v>
      </c>
      <c r="BK220" s="22">
        <f>VLOOKUP($A220,tabCustoUnit[],COLUMN(CUSTO_GLOBAL[[#Headers],[Máquinas e Equipamentos (depreciação)]])-2,0)*($G220-$H220)</f>
        <v>64.529393914825576</v>
      </c>
      <c r="BL220" s="22">
        <f>VLOOKUP($A220,tabCustoUnit[],COLUMN(CUSTO_GLOBAL[[#Headers],[Produtos de Limpeza e Materiais de Higiene Pessoal]])-2,0)*($G220-$H220)</f>
        <v>690.27153277931654</v>
      </c>
      <c r="BM220" s="22">
        <f>VLOOKUP($A220,tabCustoUnit[],COLUMN(CUSTO_GLOBAL[[#Headers],[Outros (especificar)]])-2,0)*($G220-$H220)</f>
        <v>0</v>
      </c>
      <c r="BN220" s="22">
        <f>VLOOKUP($A220,tabCustoUnit[],COLUMN(CUSTO_GLOBAL[[#Headers],[MÓDULO 5 – INSUMOS DIVERSOS]])-2,0)*($G220-$H220)</f>
        <v>891.12830631939266</v>
      </c>
      <c r="BO220" s="22">
        <f>VLOOKUP($A220,tabCustoUnit[],COLUMN(CUSTO_GLOBAL[[#Headers],[TOTAL MÓDULOS 1+2+3+4+5]])-2,0)*($G220-$H220)</f>
        <v>4502.1488091737838</v>
      </c>
      <c r="BP220" s="22">
        <f>VLOOKUP($A220,tabCustoUnit[],COLUMN(CUSTO_GLOBAL[[#Headers],[Custos Indiretos]])-2,0)*($G220-$H220)</f>
        <v>189.64880140242613</v>
      </c>
      <c r="BQ220" s="22">
        <f>VLOOKUP($A220,tabCustoUnit[],COLUMN(CUSTO_GLOBAL[[#Headers],[Lucro]])-2,0)*($G220-$H220)</f>
        <v>159.30499317803796</v>
      </c>
      <c r="BR220" s="26">
        <f>VLOOKUP($A220,tabCustoUnit[],COLUMN(CUSTO_GLOBAL[[#Headers],[COFINS]])-2,0)</f>
        <v>8.6609686609686695E-2</v>
      </c>
      <c r="BS220" s="26">
        <f>VLOOKUP($A220,tabCustoUnit[],COLUMN(CUSTO_GLOBAL[[#Headers],[PIS]])-2,0)</f>
        <v>1.880341880341882E-2</v>
      </c>
      <c r="BT220" s="28">
        <f>VLOOKUP($A220,tabCustoUnit[],COLUMN(CUSTO_GLOBAL[[#Headers],[ISS]])-2,0)</f>
        <v>0.03</v>
      </c>
      <c r="BU220" s="26">
        <f>VLOOKUP($A220,tabCustoUnit[],COLUMN(CUSTO_GLOBAL[[#Headers],[ISS (Conversão Alíquota s/ fatura)]])-2,0)</f>
        <v>3.4188034188034219E-2</v>
      </c>
      <c r="BV220" s="26">
        <f>VLOOKUP($A220,tabCustoUnit[],COLUMN(CUSTO_GLOBAL[[#Headers],[Resumo de Alíquotas (PIS+CONFINS+ISS)]])-2,0)</f>
        <v>0.1225</v>
      </c>
      <c r="BW220" s="138">
        <f>VLOOKUP($A220,tabCustoUnit[],COLUMN(CUSTO_GLOBAL[[#Headers],[PIS + COFINS + ISS (Total Conversão  Alíquota s/ Fatura)]])-2,0)</f>
        <v>0.13960113960113973</v>
      </c>
      <c r="BX220" s="22">
        <f>VLOOKUP($A220,tabCustoUnit[],COLUMN(CUSTO_GLOBAL[[#Headers],[Valor dos Tributos (ISS, PIS, CONFINS)]])-2,0)*($G220-$H220)</f>
        <v>677.21945180614921</v>
      </c>
      <c r="BY220" s="22">
        <f>VLOOKUP($A220,tabCustoUnit[],COLUMN(CUSTO_GLOBAL[[#Headers],[MÓDULO 6 – CUSTOS INDIRETOS, TRIBUTOS E LUCRO]])-2,0)*($G220-$H220)</f>
        <v>1026.1732463866133</v>
      </c>
      <c r="BZ220" s="22">
        <f>VLOOKUP($A220,tabCustoUnit[],COLUMN(CUSTO_GLOBAL[[#Headers],[CUSTO TOTAL MENSAL]])-2,0)*($G220-$H220)</f>
        <v>5528.3220555603966</v>
      </c>
      <c r="CA220" s="22">
        <f>CUSTO_GLOBAL[[#This Row],[CUSTO TOTAL MENSAL]]*12</f>
        <v>66339.864666724752</v>
      </c>
      <c r="CB220" s="24">
        <f>VLOOKUP($A220,tabCustoUnit[],COLUMN(CUSTO_GLOBAL[[#Headers],[ANO DA CCT]])-2,0)</f>
        <v>45658</v>
      </c>
      <c r="CC220" s="25" t="str">
        <f>VLOOKUP($A220,tabCustoUnit[],COLUMN(CUSTO_GLOBAL[[#Headers],[Nº DE PEDIDO DA CCT]])-2,0)</f>
        <v>-</v>
      </c>
      <c r="CD220" s="25" t="str">
        <f>VLOOKUP($A220,tabCustoUnit[],COLUMN(CUSTO_GLOBAL[[#Headers],[TERMO ADITIVO  ALTERAÇÃO DA CCT]])-2,0)</f>
        <v>-</v>
      </c>
      <c r="CF220" s="22"/>
      <c r="CG220" s="22"/>
    </row>
    <row r="221" spans="1:85" x14ac:dyDescent="0.25">
      <c r="A221" s="20" t="s">
        <v>1556</v>
      </c>
      <c r="B221" t="s">
        <v>201</v>
      </c>
      <c r="C221" t="s">
        <v>1245</v>
      </c>
      <c r="D221" t="s">
        <v>1041</v>
      </c>
      <c r="E221" s="20" t="s">
        <v>9</v>
      </c>
      <c r="F221" s="20" t="s">
        <v>10</v>
      </c>
      <c r="G221" s="20">
        <v>1</v>
      </c>
      <c r="H221" s="20">
        <v>0</v>
      </c>
      <c r="I221" s="21">
        <f>VLOOKUP($A221,tabCustoUnit[],COLUMN(CUSTO_GLOBAL[[#Headers],[Salário Base]])-2,0)*($G221-$H221)</f>
        <v>1596.28</v>
      </c>
      <c r="J221" s="21">
        <f>VLOOKUP($A221,tabCustoUnit[],COLUMN(CUSTO_GLOBAL[[#Headers],[Adicional Periculosidade]])-2,0)*($G221-$H221)</f>
        <v>0</v>
      </c>
      <c r="K221" s="21">
        <f>VLOOKUP($A221,tabCustoUnit[],COLUMN(CUSTO_GLOBAL[[#Headers],[Adicional Insalubridade]])-2,0)*($G221-$H221)</f>
        <v>0</v>
      </c>
      <c r="L221" s="21">
        <f>VLOOKUP($A221,tabCustoUnit[],COLUMN(CUSTO_GLOBAL[[#Headers],[Adicional Noturno]])-2,0)*($G221-$H221)</f>
        <v>0</v>
      </c>
      <c r="M221" s="21">
        <f>VLOOKUP($A221,tabCustoUnit[],COLUMN(CUSTO_GLOBAL[[#Headers],[Adicional Motorista II (Gratificação)]])-2,0)*($G221-$H221)</f>
        <v>0</v>
      </c>
      <c r="N221" s="21">
        <f>VLOOKUP($A221,tabCustoUnit[],COLUMN(CUSTO_GLOBAL[[#Headers],[Adicional de Sobreaviso]])-2,0)*($G221-$H221)</f>
        <v>0</v>
      </c>
      <c r="O221" s="21">
        <f>VLOOKUP($A221,tabCustoUnit[],COLUMN(CUSTO_GLOBAL[[#Headers],[Horas Extras TI]])-2,0)*($G221-$H221)</f>
        <v>0</v>
      </c>
      <c r="P221" s="21">
        <f>VLOOKUP($A221,tabCustoUnit[],COLUMN(CUSTO_GLOBAL[[#Headers],[Adicional de Acúmulo de função]])-2,0)*($G221-$H221)</f>
        <v>52.241900000000001</v>
      </c>
      <c r="Q221" s="21">
        <f>VLOOKUP($A221,tabCustoUnit[],COLUMN(CUSTO_GLOBAL[[#Headers],[MODULO 1 - REMUNERAÇÃO ]])-2,0)*($G221-$H221)</f>
        <v>1648.5219</v>
      </c>
      <c r="R221" s="21">
        <f>VLOOKUP($A221,tabCustoUnit[],COLUMN(CUSTO_GLOBAL[[#Headers],[INSS]])-2,0)*($G221-$H221)</f>
        <v>329.70438000000001</v>
      </c>
      <c r="S221" s="21">
        <f>VLOOKUP($A221,tabCustoUnit[],COLUMN(CUSTO_GLOBAL[[#Headers],[SESI OU SESC]])-2,0)*($G221-$H221)</f>
        <v>24.727828499999998</v>
      </c>
      <c r="T221" s="21">
        <f>VLOOKUP($A221,tabCustoUnit[],COLUMN(CUSTO_GLOBAL[[#Headers],[SENAI OU SENAC]])-2,0)*($G221-$H221)</f>
        <v>16.485219000000001</v>
      </c>
      <c r="U221" s="21">
        <f>VLOOKUP($A221,tabCustoUnit[],COLUMN(CUSTO_GLOBAL[[#Headers],[INCRA]])-2,0)*($G221-$H221)</f>
        <v>3.2970438</v>
      </c>
      <c r="V221" s="21">
        <f>VLOOKUP($A221,tabCustoUnit[],COLUMN(CUSTO_GLOBAL[[#Headers],[Salário Educação]])-2,0)*($G221-$H221)</f>
        <v>41.213047500000002</v>
      </c>
      <c r="W221" s="21">
        <f>VLOOKUP($A221,tabCustoUnit[],COLUMN(CUSTO_GLOBAL[[#Headers],[FGTS]])-2,0)*($G221-$H221)</f>
        <v>131.88175200000001</v>
      </c>
      <c r="X221" s="21">
        <f>VLOOKUP($A221,tabCustoUnit[],COLUMN(CUSTO_GLOBAL[[#Headers],[RAT Ajustado]])-2,0)*($G221-$H221)</f>
        <v>65.940876000000003</v>
      </c>
      <c r="Y221" s="21">
        <f>VLOOKUP($A221,tabCustoUnit[],COLUMN(CUSTO_GLOBAL[[#Headers],[SEBRAE]])-2,0)*($G221-$H221)</f>
        <v>9.8911314000000008</v>
      </c>
      <c r="Z221" s="21">
        <f>VLOOKUP($A221,tabCustoUnit[],COLUMN(CUSTO_GLOBAL[[#Headers],[Submódulo 2.1]])-2,0)*($G221-$H221)</f>
        <v>623.14127819999999</v>
      </c>
      <c r="AA221" s="21">
        <f>VLOOKUP($A221,tabCustoUnit[],COLUMN(CUSTO_GLOBAL[[#Headers],[13º salário (titular)]])-2,0)*($G221-$H221)</f>
        <v>137.376825</v>
      </c>
      <c r="AB221" s="21">
        <f>VLOOKUP($A221,tabCustoUnit[],COLUMN(CUSTO_GLOBAL[[#Headers],[Férias e Adicional de Férias (titular)]])-2,0)*($G221-$H221)</f>
        <v>183.16909999999999</v>
      </c>
      <c r="AC221" s="21">
        <f>VLOOKUP($A221,tabCustoUnit[],COLUMN(CUSTO_GLOBAL[[#Headers],[Incidência do Submódulo 2.1 sobre 13º Salário, Férias e Adicional de Férias]])-2,0)*($G221-$H221)</f>
        <v>121.16635965</v>
      </c>
      <c r="AD221" s="21">
        <f>VLOOKUP($A221,tabCustoUnit[],COLUMN(CUSTO_GLOBAL[[#Headers],[Submódulo 2.2]])-2,0)*($G221-$H221)</f>
        <v>441.71228465000002</v>
      </c>
      <c r="AE221" s="22">
        <f>VLOOKUP($A221,tabCustoUnit[],COLUMN(CUSTO_GLOBAL[[#Headers],[Vale - Transporte (Descontada parcela do empregado)]])-2,0)*($G221-$H221)</f>
        <v>160.22320000000002</v>
      </c>
      <c r="AF221" s="22">
        <f>VLOOKUP($A221,tabCustoUnit[],COLUMN(CUSTO_GLOBAL[[#Headers],[Vale - Alimentação (Descontada parcela do empregado)]])-2,0)*($G221-$H221)</f>
        <v>582</v>
      </c>
      <c r="AG221" s="22">
        <f>VLOOKUP($A221,tabCustoUnit[],COLUMN(CUSTO_GLOBAL[[#Headers],[Cesta Básica]])-2,0)*($G221-$H221)</f>
        <v>0</v>
      </c>
      <c r="AH221" s="22">
        <f>VLOOKUP($A221,tabCustoUnit[],COLUMN(CUSTO_GLOBAL[[#Headers],[PAF]])-2,0)*($G221-$H221)</f>
        <v>0</v>
      </c>
      <c r="AI221" s="22">
        <f>VLOOKUP($A221,tabCustoUnit[],COLUMN(CUSTO_GLOBAL[[#Headers],[PQM]])-2,0)*($G221-$H221)</f>
        <v>0</v>
      </c>
      <c r="AJ221" s="22">
        <v>0</v>
      </c>
      <c r="AK221" s="22">
        <f>VLOOKUP($A221,tabCustoUnit[],COLUMN(CUSTO_GLOBAL[[#Headers],[Seguro de Vida]])-2,0)*($G221-$H221)</f>
        <v>3.36</v>
      </c>
      <c r="AL221" s="22">
        <f>VLOOKUP($A221,tabCustoUnit[],COLUMN(CUSTO_GLOBAL[[#Headers],[Despesas de Viagem]])-2,0)*($G221-$H221)</f>
        <v>0</v>
      </c>
      <c r="AM221" s="22">
        <f>VLOOKUP($A221,tabCustoUnit[],COLUMN(CUSTO_GLOBAL[[#Headers],[Submódulo 2.3]])-2,0)*($G221-$H221)</f>
        <v>745.58320000000003</v>
      </c>
      <c r="AN221" s="22">
        <f>VLOOKUP($A221,tabCustoUnit[],COLUMN(CUSTO_GLOBAL[[#Headers],[MÓDULO 2 - Total Encargos e Benefícios mensais e diários]])-2,0)*($G221-$H221)</f>
        <v>1810.4367628499999</v>
      </c>
      <c r="AO221" s="22">
        <f>VLOOKUP($A221,tabCustoUnit[],COLUMN(CUSTO_GLOBAL[[#Headers],[Aviso Prévio Indenizado (API) e Reflexo do Aviso Prévio Indenizado]])-2,0)*($G221-$H221)</f>
        <v>11.559051416493055</v>
      </c>
      <c r="AP221" s="22">
        <f>VLOOKUP($A221,tabCustoUnit[],COLUMN(CUSTO_GLOBAL[[#Headers],[Incidência do FGTS sobre API e Reflexo do API]])-2,0)*($G221-$H221)</f>
        <v>0.92472411331944449</v>
      </c>
      <c r="AQ221" s="22">
        <f>VLOOKUP($A221,tabCustoUnit[],COLUMN(CUSTO_GLOBAL[[#Headers],[Multa Rescisória do FGTS sobre o Aviso Prévio Indenizado]])-2,0)*($G221-$H221)</f>
        <v>0.36988964532777785</v>
      </c>
      <c r="AR221" s="22">
        <f>VLOOKUP($A221,tabCustoUnit[],COLUMN(CUSTO_GLOBAL[[#Headers],[Aviso Prévio Trabalhado - APT]])-2,0)*($G221-$H221)</f>
        <v>5.7698266500000006</v>
      </c>
      <c r="AS221" s="22">
        <f>VLOOKUP($A221,tabCustoUnit[],COLUMN(CUSTO_GLOBAL[[#Headers],[Incidência dos encargos do submódulo 2.1 sobre Aviso Prévio Trabalhado]])-2,0)*($G221-$H221)</f>
        <v>2.1809944737000007</v>
      </c>
      <c r="AT221" s="22">
        <f>VLOOKUP($A221,tabCustoUnit[],COLUMN(CUSTO_GLOBAL[[#Headers],[Multa Rescisória do FGTS]])-2,0)*($G221-$H221)</f>
        <v>50.40813631999999</v>
      </c>
      <c r="AU221" s="22">
        <f>VLOOKUP($A221,tabCustoUnit[],COLUMN(CUSTO_GLOBAL[[#Headers],[Indenização Adicional (Art. 9º da Lei nº 7.238/84)]])-2,0)*($G221-$H221)</f>
        <v>1.3737682500000001</v>
      </c>
      <c r="AV221" s="22">
        <f>VLOOKUP($A221,tabCustoUnit[],COLUMN(CUSTO_GLOBAL[[#Headers],[MÓDULO 3 – PROVISÃO PARA RESCISÃO]])-2,0)*($G221-$H221)</f>
        <v>72.586390868840269</v>
      </c>
      <c r="AW221" s="22">
        <f>VLOOKUP($A221,tabCustoUnit[],COLUMN(CUSTO_GLOBAL[[#Headers],[Ausência por Doença]])-2,0)*($G221-$H221)</f>
        <v>13.920851599999999</v>
      </c>
      <c r="AX221" s="22">
        <f>VLOOKUP($A221,tabCustoUnit[],COLUMN(CUSTO_GLOBAL[[#Headers],[Ausências Legais]])-2,0)*($G221-$H221)</f>
        <v>3.3428360749999997</v>
      </c>
      <c r="AY221" s="22">
        <f>VLOOKUP($A221,tabCustoUnit[],COLUMN(CUSTO_GLOBAL[[#Headers],[Licença Paternidade]])-2,0)*($G221-$H221)</f>
        <v>0.28162249125</v>
      </c>
      <c r="AZ221" s="22">
        <f>VLOOKUP($A221,tabCustoUnit[],COLUMN(CUSTO_GLOBAL[[#Headers],[Ausência por Acidente de Trabalho]])-2,0)*($G221-$H221)</f>
        <v>0.34344206250000003</v>
      </c>
      <c r="BA221" s="22">
        <f>VLOOKUP($A221,tabCustoUnit[],COLUMN(CUSTO_GLOBAL[[#Headers],[Férias, Adicional de Férias e 13º  com empregada em gozo de Licença Maternidade]])-2,0)*($G221-$H221)</f>
        <v>2.1369728333333331</v>
      </c>
      <c r="BB221" s="22">
        <f>VLOOKUP($A221,tabCustoUnit[],COLUMN(CUSTO_GLOBAL[[#Headers],[Incidência do Submódulo 2.1 sobre Ausências Legais]])-2,0)*($G221-$H221)</f>
        <v>7.5697240734675013</v>
      </c>
      <c r="BC221" s="22">
        <f>VLOOKUP($A221,tabCustoUnit[],COLUMN(CUSTO_GLOBAL[[#Headers],[Submódulo 4.1]])-2,0)*($G221-$H221)</f>
        <v>27.595449135550833</v>
      </c>
      <c r="BD221" s="22">
        <f>VLOOKUP($A221,tabCustoUnit[],COLUMN(CUSTO_GLOBAL[[#Headers],[Intervalo para Repouso ou Alimentação]])-2,0)*($G221-$H221)</f>
        <v>0</v>
      </c>
      <c r="BE221" s="22">
        <f>VLOOKUP($A221,tabCustoUnit[],COLUMN(CUSTO_GLOBAL[[#Headers],[Submódulo 4.2]])-2,0)*($G221-$H221)</f>
        <v>0</v>
      </c>
      <c r="BF221" s="22">
        <f>VLOOKUP($A221,tabCustoUnit[],COLUMN(CUSTO_GLOBAL[[#Headers],[Suspensão Temporária do Contrato de Trabalho]])-2,0)*($G221-$H221)</f>
        <v>0</v>
      </c>
      <c r="BG221" s="22">
        <f>VLOOKUP($A221,tabCustoUnit[],COLUMN(CUSTO_GLOBAL[[#Headers],[Submódulo 4.3]])-2,0)*($G221-$H221)</f>
        <v>0</v>
      </c>
      <c r="BH221" s="22">
        <f>VLOOKUP($A221,tabCustoUnit[],COLUMN(CUSTO_GLOBAL[[#Headers],[MÓDULO 4 – CUSTO DE REPOSIÇÃO DO PROFISSIONAL AUSENTE]])-2,0)*($G221-$H221)</f>
        <v>27.595449135550833</v>
      </c>
      <c r="BI221" s="22">
        <f>VLOOKUP($A221,tabCustoUnit[],COLUMN(CUSTO_GLOBAL[[#Headers],[Uniformes e EPIs]])-2,0)*($G221-$H221)</f>
        <v>100.80916666666666</v>
      </c>
      <c r="BJ221" s="22">
        <f>VLOOKUP($A221,tabCustoUnit[],COLUMN(CUSTO_GLOBAL[[#Headers],[Materiais de Consumo]])-2,0)*($G221-$H221)</f>
        <v>35.518212958583888</v>
      </c>
      <c r="BK221" s="22">
        <f>VLOOKUP($A221,tabCustoUnit[],COLUMN(CUSTO_GLOBAL[[#Headers],[Máquinas e Equipamentos (depreciação)]])-2,0)*($G221-$H221)</f>
        <v>64.529393914825576</v>
      </c>
      <c r="BL221" s="22">
        <f>VLOOKUP($A221,tabCustoUnit[],COLUMN(CUSTO_GLOBAL[[#Headers],[Produtos de Limpeza e Materiais de Higiene Pessoal]])-2,0)*($G221-$H221)</f>
        <v>690.27153277931654</v>
      </c>
      <c r="BM221" s="22">
        <f>VLOOKUP($A221,tabCustoUnit[],COLUMN(CUSTO_GLOBAL[[#Headers],[Outros (especificar)]])-2,0)*($G221-$H221)</f>
        <v>0</v>
      </c>
      <c r="BN221" s="22">
        <f>VLOOKUP($A221,tabCustoUnit[],COLUMN(CUSTO_GLOBAL[[#Headers],[MÓDULO 5 – INSUMOS DIVERSOS]])-2,0)*($G221-$H221)</f>
        <v>891.12830631939266</v>
      </c>
      <c r="BO221" s="22">
        <f>VLOOKUP($A221,tabCustoUnit[],COLUMN(CUSTO_GLOBAL[[#Headers],[TOTAL MÓDULOS 1+2+3+4+5]])-2,0)*($G221-$H221)</f>
        <v>4450.2688091737837</v>
      </c>
      <c r="BP221" s="22">
        <f>VLOOKUP($A221,tabCustoUnit[],COLUMN(CUSTO_GLOBAL[[#Headers],[Custos Indiretos]])-2,0)*($G221-$H221)</f>
        <v>189.64880140242613</v>
      </c>
      <c r="BQ221" s="22">
        <f>VLOOKUP($A221,tabCustoUnit[],COLUMN(CUSTO_GLOBAL[[#Headers],[Lucro]])-2,0)*($G221-$H221)</f>
        <v>159.30499317803796</v>
      </c>
      <c r="BR221" s="26">
        <f>VLOOKUP($A221,tabCustoUnit[],COLUMN(CUSTO_GLOBAL[[#Headers],[COFINS]])-2,0)</f>
        <v>8.5633802816901458E-2</v>
      </c>
      <c r="BS221" s="26">
        <f>VLOOKUP($A221,tabCustoUnit[],COLUMN(CUSTO_GLOBAL[[#Headers],[PIS]])-2,0)</f>
        <v>1.8591549295774657E-2</v>
      </c>
      <c r="BT221" s="28">
        <f>VLOOKUP($A221,tabCustoUnit[],COLUMN(CUSTO_GLOBAL[[#Headers],[ISS]])-2,0)</f>
        <v>0.02</v>
      </c>
      <c r="BU221" s="26">
        <f>VLOOKUP($A221,tabCustoUnit[],COLUMN(CUSTO_GLOBAL[[#Headers],[ISS (Conversão Alíquota s/ fatura)]])-2,0)</f>
        <v>2.2535211267605645E-2</v>
      </c>
      <c r="BV221" s="26">
        <f>VLOOKUP($A221,tabCustoUnit[],COLUMN(CUSTO_GLOBAL[[#Headers],[Resumo de Alíquotas (PIS+CONFINS+ISS)]])-2,0)</f>
        <v>0.1125</v>
      </c>
      <c r="BW221" s="138">
        <f>VLOOKUP($A221,tabCustoUnit[],COLUMN(CUSTO_GLOBAL[[#Headers],[PIS + COFINS + ISS (Total Conversão  Alíquota s/ Fatura)]])-2,0)</f>
        <v>0.12676056338028174</v>
      </c>
      <c r="BX221" s="22">
        <f>VLOOKUP($A221,tabCustoUnit[],COLUMN(CUSTO_GLOBAL[[#Headers],[Valor dos Tributos (ISS, PIS, CONFINS)]])-2,0)*($G221-$H221)</f>
        <v>608.3521610392711</v>
      </c>
      <c r="BY221" s="22">
        <f>VLOOKUP($A221,tabCustoUnit[],COLUMN(CUSTO_GLOBAL[[#Headers],[MÓDULO 6 – CUSTOS INDIRETOS, TRIBUTOS E LUCRO]])-2,0)*($G221-$H221)</f>
        <v>957.30595561973519</v>
      </c>
      <c r="BZ221" s="22">
        <f>VLOOKUP($A221,tabCustoUnit[],COLUMN(CUSTO_GLOBAL[[#Headers],[CUSTO TOTAL MENSAL]])-2,0)*($G221-$H221)</f>
        <v>5407.5747647935186</v>
      </c>
      <c r="CA221" s="22">
        <f>CUSTO_GLOBAL[[#This Row],[CUSTO TOTAL MENSAL]]*12</f>
        <v>64890.897177522224</v>
      </c>
      <c r="CB221" s="24">
        <f>VLOOKUP($A221,tabCustoUnit[],COLUMN(CUSTO_GLOBAL[[#Headers],[ANO DA CCT]])-2,0)</f>
        <v>45658</v>
      </c>
      <c r="CC221" s="25" t="str">
        <f>VLOOKUP($A221,tabCustoUnit[],COLUMN(CUSTO_GLOBAL[[#Headers],[Nº DE PEDIDO DA CCT]])-2,0)</f>
        <v>-</v>
      </c>
      <c r="CD221" s="25" t="str">
        <f>VLOOKUP($A221,tabCustoUnit[],COLUMN(CUSTO_GLOBAL[[#Headers],[TERMO ADITIVO  ALTERAÇÃO DA CCT]])-2,0)</f>
        <v>-</v>
      </c>
      <c r="CF221" s="22"/>
      <c r="CG221" s="22"/>
    </row>
    <row r="222" spans="1:85" x14ac:dyDescent="0.25">
      <c r="A222" s="20" t="s">
        <v>1557</v>
      </c>
      <c r="B222" t="s">
        <v>202</v>
      </c>
      <c r="C222" t="s">
        <v>1247</v>
      </c>
      <c r="D222" t="s">
        <v>1023</v>
      </c>
      <c r="E222" s="20" t="s">
        <v>9</v>
      </c>
      <c r="F222" s="20" t="s">
        <v>10</v>
      </c>
      <c r="G222" s="20">
        <v>1</v>
      </c>
      <c r="H222" s="20">
        <v>0</v>
      </c>
      <c r="I222" s="21">
        <f>VLOOKUP($A222,tabCustoUnit[],COLUMN(CUSTO_GLOBAL[[#Headers],[Salário Base]])-2,0)*($G222-$H222)</f>
        <v>544.17999999999995</v>
      </c>
      <c r="J222" s="21">
        <f>VLOOKUP($A222,tabCustoUnit[],COLUMN(CUSTO_GLOBAL[[#Headers],[Adicional Periculosidade]])-2,0)*($G222-$H222)</f>
        <v>0</v>
      </c>
      <c r="K222" s="21">
        <f>VLOOKUP($A222,tabCustoUnit[],COLUMN(CUSTO_GLOBAL[[#Headers],[Adicional Insalubridade]])-2,0)*($G222-$H222)</f>
        <v>0</v>
      </c>
      <c r="L222" s="21">
        <f>VLOOKUP($A222,tabCustoUnit[],COLUMN(CUSTO_GLOBAL[[#Headers],[Adicional Noturno]])-2,0)*($G222-$H222)</f>
        <v>0</v>
      </c>
      <c r="M222" s="21">
        <f>VLOOKUP($A222,tabCustoUnit[],COLUMN(CUSTO_GLOBAL[[#Headers],[Adicional Motorista II (Gratificação)]])-2,0)*($G222-$H222)</f>
        <v>0</v>
      </c>
      <c r="N222" s="21">
        <f>VLOOKUP($A222,tabCustoUnit[],COLUMN(CUSTO_GLOBAL[[#Headers],[Adicional de Sobreaviso]])-2,0)*($G222-$H222)</f>
        <v>0</v>
      </c>
      <c r="O222" s="21">
        <f>VLOOKUP($A222,tabCustoUnit[],COLUMN(CUSTO_GLOBAL[[#Headers],[Horas Extras TI]])-2,0)*($G222-$H222)</f>
        <v>0</v>
      </c>
      <c r="P222" s="21">
        <f>VLOOKUP($A222,tabCustoUnit[],COLUMN(CUSTO_GLOBAL[[#Headers],[Adicional de Acúmulo de função]])-2,0)*($G222-$H222)</f>
        <v>19.590499999999999</v>
      </c>
      <c r="Q222" s="21">
        <f>VLOOKUP($A222,tabCustoUnit[],COLUMN(CUSTO_GLOBAL[[#Headers],[MODULO 1 - REMUNERAÇÃO ]])-2,0)*($G222-$H222)</f>
        <v>563.77049999999997</v>
      </c>
      <c r="R222" s="21">
        <f>VLOOKUP($A222,tabCustoUnit[],COLUMN(CUSTO_GLOBAL[[#Headers],[INSS]])-2,0)*($G222-$H222)</f>
        <v>112.75409999999999</v>
      </c>
      <c r="S222" s="21">
        <f>VLOOKUP($A222,tabCustoUnit[],COLUMN(CUSTO_GLOBAL[[#Headers],[SESI OU SESC]])-2,0)*($G222-$H222)</f>
        <v>8.4565574999999988</v>
      </c>
      <c r="T222" s="21">
        <f>VLOOKUP($A222,tabCustoUnit[],COLUMN(CUSTO_GLOBAL[[#Headers],[SENAI OU SENAC]])-2,0)*($G222-$H222)</f>
        <v>5.6377049999999995</v>
      </c>
      <c r="U222" s="21">
        <f>VLOOKUP($A222,tabCustoUnit[],COLUMN(CUSTO_GLOBAL[[#Headers],[INCRA]])-2,0)*($G222-$H222)</f>
        <v>1.1275409999999999</v>
      </c>
      <c r="V222" s="21">
        <f>VLOOKUP($A222,tabCustoUnit[],COLUMN(CUSTO_GLOBAL[[#Headers],[Salário Educação]])-2,0)*($G222-$H222)</f>
        <v>14.094262499999999</v>
      </c>
      <c r="W222" s="21">
        <f>VLOOKUP($A222,tabCustoUnit[],COLUMN(CUSTO_GLOBAL[[#Headers],[FGTS]])-2,0)*($G222-$H222)</f>
        <v>45.101639999999996</v>
      </c>
      <c r="X222" s="21">
        <f>VLOOKUP($A222,tabCustoUnit[],COLUMN(CUSTO_GLOBAL[[#Headers],[RAT Ajustado]])-2,0)*($G222-$H222)</f>
        <v>22.550819999999998</v>
      </c>
      <c r="Y222" s="21">
        <f>VLOOKUP($A222,tabCustoUnit[],COLUMN(CUSTO_GLOBAL[[#Headers],[SEBRAE]])-2,0)*($G222-$H222)</f>
        <v>3.3826229999999997</v>
      </c>
      <c r="Z222" s="21">
        <f>VLOOKUP($A222,tabCustoUnit[],COLUMN(CUSTO_GLOBAL[[#Headers],[Submódulo 2.1]])-2,0)*($G222-$H222)</f>
        <v>213.10524899999996</v>
      </c>
      <c r="AA222" s="21">
        <f>VLOOKUP($A222,tabCustoUnit[],COLUMN(CUSTO_GLOBAL[[#Headers],[13º salário (titular)]])-2,0)*($G222-$H222)</f>
        <v>46.980874999999997</v>
      </c>
      <c r="AB222" s="21">
        <f>VLOOKUP($A222,tabCustoUnit[],COLUMN(CUSTO_GLOBAL[[#Headers],[Férias e Adicional de Férias (titular)]])-2,0)*($G222-$H222)</f>
        <v>62.641166666666663</v>
      </c>
      <c r="AC222" s="21">
        <f>VLOOKUP($A222,tabCustoUnit[],COLUMN(CUSTO_GLOBAL[[#Headers],[Incidência do Submódulo 2.1 sobre 13º Salário, Férias e Adicional de Férias]])-2,0)*($G222-$H222)</f>
        <v>41.437131749999992</v>
      </c>
      <c r="AD222" s="21">
        <f>VLOOKUP($A222,tabCustoUnit[],COLUMN(CUSTO_GLOBAL[[#Headers],[Submódulo 2.2]])-2,0)*($G222-$H222)</f>
        <v>151.05917341666665</v>
      </c>
      <c r="AE222" s="22">
        <f>VLOOKUP($A222,tabCustoUnit[],COLUMN(CUSTO_GLOBAL[[#Headers],[Vale - Transporte (Descontada parcela do empregado)]])-2,0)*($G222-$H222)</f>
        <v>223.3492</v>
      </c>
      <c r="AF222" s="22">
        <f>VLOOKUP($A222,tabCustoUnit[],COLUMN(CUSTO_GLOBAL[[#Headers],[Vale - Alimentação (Descontada parcela do empregado)]])-2,0)*($G222-$H222)</f>
        <v>582</v>
      </c>
      <c r="AG222" s="22">
        <f>VLOOKUP($A222,tabCustoUnit[],COLUMN(CUSTO_GLOBAL[[#Headers],[Cesta Básica]])-2,0)*($G222-$H222)</f>
        <v>0</v>
      </c>
      <c r="AH222" s="22">
        <f>VLOOKUP($A222,tabCustoUnit[],COLUMN(CUSTO_GLOBAL[[#Headers],[PAF]])-2,0)*($G222-$H222)</f>
        <v>0</v>
      </c>
      <c r="AI222" s="22">
        <f>VLOOKUP($A222,tabCustoUnit[],COLUMN(CUSTO_GLOBAL[[#Headers],[PQM]])-2,0)*($G222-$H222)</f>
        <v>0</v>
      </c>
      <c r="AJ222" s="22">
        <v>0</v>
      </c>
      <c r="AK222" s="22">
        <f>VLOOKUP($A222,tabCustoUnit[],COLUMN(CUSTO_GLOBAL[[#Headers],[Seguro de Vida]])-2,0)*($G222-$H222)</f>
        <v>3.36</v>
      </c>
      <c r="AL222" s="22">
        <f>VLOOKUP($A222,tabCustoUnit[],COLUMN(CUSTO_GLOBAL[[#Headers],[Despesas de Viagem]])-2,0)*($G222-$H222)</f>
        <v>0</v>
      </c>
      <c r="AM222" s="22">
        <f>VLOOKUP($A222,tabCustoUnit[],COLUMN(CUSTO_GLOBAL[[#Headers],[Submódulo 2.3]])-2,0)*($G222-$H222)</f>
        <v>808.70920000000001</v>
      </c>
      <c r="AN222" s="22">
        <f>VLOOKUP($A222,tabCustoUnit[],COLUMN(CUSTO_GLOBAL[[#Headers],[MÓDULO 2 - Total Encargos e Benefícios mensais e diários]])-2,0)*($G222-$H222)</f>
        <v>1172.8736224166666</v>
      </c>
      <c r="AO222" s="22">
        <f>VLOOKUP($A222,tabCustoUnit[],COLUMN(CUSTO_GLOBAL[[#Headers],[Aviso Prévio Indenizado (API) e Reflexo do Aviso Prévio Indenizado]])-2,0)*($G222-$H222)</f>
        <v>3.9530273735532404</v>
      </c>
      <c r="AP222" s="22">
        <f>VLOOKUP($A222,tabCustoUnit[],COLUMN(CUSTO_GLOBAL[[#Headers],[Incidência do FGTS sobre API e Reflexo do API]])-2,0)*($G222-$H222)</f>
        <v>0.31624218988425928</v>
      </c>
      <c r="AQ222" s="22">
        <f>VLOOKUP($A222,tabCustoUnit[],COLUMN(CUSTO_GLOBAL[[#Headers],[Multa Rescisória do FGTS sobre o Aviso Prévio Indenizado]])-2,0)*($G222-$H222)</f>
        <v>0.12649687595370371</v>
      </c>
      <c r="AR222" s="22">
        <f>VLOOKUP($A222,tabCustoUnit[],COLUMN(CUSTO_GLOBAL[[#Headers],[Aviso Prévio Trabalhado - APT]])-2,0)*($G222-$H222)</f>
        <v>1.9731967500000003</v>
      </c>
      <c r="AS222" s="22">
        <f>VLOOKUP($A222,tabCustoUnit[],COLUMN(CUSTO_GLOBAL[[#Headers],[Incidência dos encargos do submódulo 2.1 sobre Aviso Prévio Trabalhado]])-2,0)*($G222-$H222)</f>
        <v>0.74586837150000018</v>
      </c>
      <c r="AT222" s="22">
        <f>VLOOKUP($A222,tabCustoUnit[],COLUMN(CUSTO_GLOBAL[[#Headers],[Multa Rescisória do FGTS]])-2,0)*($G222-$H222)</f>
        <v>17.238849066666663</v>
      </c>
      <c r="AU222" s="22">
        <f>VLOOKUP($A222,tabCustoUnit[],COLUMN(CUSTO_GLOBAL[[#Headers],[Indenização Adicional (Art. 9º da Lei nº 7.238/84)]])-2,0)*($G222-$H222)</f>
        <v>0.46980875</v>
      </c>
      <c r="AV222" s="22">
        <f>VLOOKUP($A222,tabCustoUnit[],COLUMN(CUSTO_GLOBAL[[#Headers],[MÓDULO 3 – PROVISÃO PARA RESCISÃO]])-2,0)*($G222-$H222)</f>
        <v>24.823489377557866</v>
      </c>
      <c r="AW222" s="22">
        <f>VLOOKUP($A222,tabCustoUnit[],COLUMN(CUSTO_GLOBAL[[#Headers],[Ausência por Doença]])-2,0)*($G222-$H222)</f>
        <v>4.7607286666666662</v>
      </c>
      <c r="AX222" s="22">
        <f>VLOOKUP($A222,tabCustoUnit[],COLUMN(CUSTO_GLOBAL[[#Headers],[Ausências Legais]])-2,0)*($G222-$H222)</f>
        <v>1.1432012916666665</v>
      </c>
      <c r="AY222" s="22">
        <f>VLOOKUP($A222,tabCustoUnit[],COLUMN(CUSTO_GLOBAL[[#Headers],[Licença Paternidade]])-2,0)*($G222-$H222)</f>
        <v>9.6310793749999998E-2</v>
      </c>
      <c r="AZ222" s="22">
        <f>VLOOKUP($A222,tabCustoUnit[],COLUMN(CUSTO_GLOBAL[[#Headers],[Ausência por Acidente de Trabalho]])-2,0)*($G222-$H222)</f>
        <v>0.1174521875</v>
      </c>
      <c r="BA222" s="22">
        <f>VLOOKUP($A222,tabCustoUnit[],COLUMN(CUSTO_GLOBAL[[#Headers],[Férias, Adicional de Férias e 13º  com empregada em gozo de Licença Maternidade]])-2,0)*($G222-$H222)</f>
        <v>0.73081361111111109</v>
      </c>
      <c r="BB222" s="22">
        <f>VLOOKUP($A222,tabCustoUnit[],COLUMN(CUSTO_GLOBAL[[#Headers],[Incidência do Submódulo 2.1 sobre Ausências Legais]])-2,0)*($G222-$H222)</f>
        <v>2.5887354761625003</v>
      </c>
      <c r="BC222" s="22">
        <f>VLOOKUP($A222,tabCustoUnit[],COLUMN(CUSTO_GLOBAL[[#Headers],[Submódulo 4.1]])-2,0)*($G222-$H222)</f>
        <v>9.4372420268569428</v>
      </c>
      <c r="BD222" s="22">
        <f>VLOOKUP($A222,tabCustoUnit[],COLUMN(CUSTO_GLOBAL[[#Headers],[Intervalo para Repouso ou Alimentação]])-2,0)*($G222-$H222)</f>
        <v>0</v>
      </c>
      <c r="BE222" s="22">
        <f>VLOOKUP($A222,tabCustoUnit[],COLUMN(CUSTO_GLOBAL[[#Headers],[Submódulo 4.2]])-2,0)*($G222-$H222)</f>
        <v>0</v>
      </c>
      <c r="BF222" s="22">
        <f>VLOOKUP($A222,tabCustoUnit[],COLUMN(CUSTO_GLOBAL[[#Headers],[Suspensão Temporária do Contrato de Trabalho]])-2,0)*($G222-$H222)</f>
        <v>0</v>
      </c>
      <c r="BG222" s="22">
        <f>VLOOKUP($A222,tabCustoUnit[],COLUMN(CUSTO_GLOBAL[[#Headers],[Submódulo 4.3]])-2,0)*($G222-$H222)</f>
        <v>0</v>
      </c>
      <c r="BH222" s="22">
        <f>VLOOKUP($A222,tabCustoUnit[],COLUMN(CUSTO_GLOBAL[[#Headers],[MÓDULO 4 – CUSTO DE REPOSIÇÃO DO PROFISSIONAL AUSENTE]])-2,0)*($G222-$H222)</f>
        <v>9.4372420268569428</v>
      </c>
      <c r="BI222" s="22">
        <f>VLOOKUP($A222,tabCustoUnit[],COLUMN(CUSTO_GLOBAL[[#Headers],[Uniformes e EPIs]])-2,0)*($G222-$H222)</f>
        <v>62.806666666666665</v>
      </c>
      <c r="BJ222" s="22">
        <f>VLOOKUP($A222,tabCustoUnit[],COLUMN(CUSTO_GLOBAL[[#Headers],[Materiais de Consumo]])-2,0)*($G222-$H222)</f>
        <v>12.108481690426325</v>
      </c>
      <c r="BK222" s="22">
        <f>VLOOKUP($A222,tabCustoUnit[],COLUMN(CUSTO_GLOBAL[[#Headers],[Máquinas e Equipamentos (depreciação)]])-2,0)*($G222-$H222)</f>
        <v>21.998657016417809</v>
      </c>
      <c r="BL222" s="22">
        <f>VLOOKUP($A222,tabCustoUnit[],COLUMN(CUSTO_GLOBAL[[#Headers],[Produtos de Limpeza e Materiais de Higiene Pessoal]])-2,0)*($G222-$H222)</f>
        <v>235.31984072022155</v>
      </c>
      <c r="BM222" s="22">
        <f>VLOOKUP($A222,tabCustoUnit[],COLUMN(CUSTO_GLOBAL[[#Headers],[Outros (especificar)]])-2,0)*($G222-$H222)</f>
        <v>0</v>
      </c>
      <c r="BN222" s="22">
        <f>VLOOKUP($A222,tabCustoUnit[],COLUMN(CUSTO_GLOBAL[[#Headers],[MÓDULO 5 – INSUMOS DIVERSOS]])-2,0)*($G222-$H222)</f>
        <v>332.23364609373232</v>
      </c>
      <c r="BO222" s="22">
        <f>VLOOKUP($A222,tabCustoUnit[],COLUMN(CUSTO_GLOBAL[[#Headers],[TOTAL MÓDULOS 1+2+3+4+5]])-2,0)*($G222-$H222)</f>
        <v>2103.1384999148136</v>
      </c>
      <c r="BP222" s="22">
        <f>VLOOKUP($A222,tabCustoUnit[],COLUMN(CUSTO_GLOBAL[[#Headers],[Custos Indiretos]])-2,0)*($G222-$H222)</f>
        <v>189.64880140242613</v>
      </c>
      <c r="BQ222" s="22">
        <f>VLOOKUP($A222,tabCustoUnit[],COLUMN(CUSTO_GLOBAL[[#Headers],[Lucro]])-2,0)*($G222-$H222)</f>
        <v>159.30499317803796</v>
      </c>
      <c r="BR222" s="26">
        <f>VLOOKUP($A222,tabCustoUnit[],COLUMN(CUSTO_GLOBAL[[#Headers],[COFINS]])-2,0)</f>
        <v>8.5633802816901458E-2</v>
      </c>
      <c r="BS222" s="26">
        <f>VLOOKUP($A222,tabCustoUnit[],COLUMN(CUSTO_GLOBAL[[#Headers],[PIS]])-2,0)</f>
        <v>1.8591549295774657E-2</v>
      </c>
      <c r="BT222" s="28">
        <f>VLOOKUP($A222,tabCustoUnit[],COLUMN(CUSTO_GLOBAL[[#Headers],[ISS]])-2,0)</f>
        <v>0.02</v>
      </c>
      <c r="BU222" s="26">
        <f>VLOOKUP($A222,tabCustoUnit[],COLUMN(CUSTO_GLOBAL[[#Headers],[ISS (Conversão Alíquota s/ fatura)]])-2,0)</f>
        <v>2.2535211267605645E-2</v>
      </c>
      <c r="BV222" s="26">
        <f>VLOOKUP($A222,tabCustoUnit[],COLUMN(CUSTO_GLOBAL[[#Headers],[Resumo de Alíquotas (PIS+CONFINS+ISS)]])-2,0)</f>
        <v>0.1125</v>
      </c>
      <c r="BW222" s="138">
        <f>VLOOKUP($A222,tabCustoUnit[],COLUMN(CUSTO_GLOBAL[[#Headers],[PIS + COFINS + ISS (Total Conversão  Alíquota s/ Fatura)]])-2,0)</f>
        <v>0.12676056338028174</v>
      </c>
      <c r="BX222" s="22">
        <f>VLOOKUP($A222,tabCustoUnit[],COLUMN(CUSTO_GLOBAL[[#Headers],[Valor dos Tributos (ISS, PIS, CONFINS)]])-2,0)*($G222-$H222)</f>
        <v>310.82860071066915</v>
      </c>
      <c r="BY222" s="22">
        <f>VLOOKUP($A222,tabCustoUnit[],COLUMN(CUSTO_GLOBAL[[#Headers],[MÓDULO 6 – CUSTOS INDIRETOS, TRIBUTOS E LUCRO]])-2,0)*($G222-$H222)</f>
        <v>659.7823952911333</v>
      </c>
      <c r="BZ222" s="22">
        <f>VLOOKUP($A222,tabCustoUnit[],COLUMN(CUSTO_GLOBAL[[#Headers],[CUSTO TOTAL MENSAL]])-2,0)*($G222-$H222)</f>
        <v>2762.9208952059471</v>
      </c>
      <c r="CA222" s="22">
        <f>CUSTO_GLOBAL[[#This Row],[CUSTO TOTAL MENSAL]]*12</f>
        <v>33155.050742471365</v>
      </c>
      <c r="CB222" s="24">
        <f>VLOOKUP($A222,tabCustoUnit[],COLUMN(CUSTO_GLOBAL[[#Headers],[ANO DA CCT]])-2,0)</f>
        <v>45658</v>
      </c>
      <c r="CC222" s="25" t="str">
        <f>VLOOKUP($A222,tabCustoUnit[],COLUMN(CUSTO_GLOBAL[[#Headers],[Nº DE PEDIDO DA CCT]])-2,0)</f>
        <v>-</v>
      </c>
      <c r="CD222" s="25" t="str">
        <f>VLOOKUP($A222,tabCustoUnit[],COLUMN(CUSTO_GLOBAL[[#Headers],[TERMO ADITIVO  ALTERAÇÃO DA CCT]])-2,0)</f>
        <v>-</v>
      </c>
      <c r="CF222" s="22"/>
      <c r="CG222" s="22"/>
    </row>
    <row r="223" spans="1:85" x14ac:dyDescent="0.25">
      <c r="A223" s="20" t="s">
        <v>1558</v>
      </c>
      <c r="B223" t="s">
        <v>203</v>
      </c>
      <c r="C223" t="s">
        <v>1246</v>
      </c>
      <c r="D223" t="s">
        <v>992</v>
      </c>
      <c r="E223" s="20" t="s">
        <v>9</v>
      </c>
      <c r="F223" s="20" t="s">
        <v>10</v>
      </c>
      <c r="G223" s="20">
        <v>1</v>
      </c>
      <c r="H223" s="20">
        <v>0</v>
      </c>
      <c r="I223" s="21">
        <f>VLOOKUP($A223,tabCustoUnit[],COLUMN(CUSTO_GLOBAL[[#Headers],[Salário Base]])-2,0)*($G223-$H223)</f>
        <v>1088.3699999999999</v>
      </c>
      <c r="J223" s="21">
        <f>VLOOKUP($A223,tabCustoUnit[],COLUMN(CUSTO_GLOBAL[[#Headers],[Adicional Periculosidade]])-2,0)*($G223-$H223)</f>
        <v>0</v>
      </c>
      <c r="K223" s="21">
        <f>VLOOKUP($A223,tabCustoUnit[],COLUMN(CUSTO_GLOBAL[[#Headers],[Adicional Insalubridade]])-2,0)*($G223-$H223)</f>
        <v>0</v>
      </c>
      <c r="L223" s="21">
        <f>VLOOKUP($A223,tabCustoUnit[],COLUMN(CUSTO_GLOBAL[[#Headers],[Adicional Noturno]])-2,0)*($G223-$H223)</f>
        <v>0</v>
      </c>
      <c r="M223" s="21">
        <f>VLOOKUP($A223,tabCustoUnit[],COLUMN(CUSTO_GLOBAL[[#Headers],[Adicional Motorista II (Gratificação)]])-2,0)*($G223-$H223)</f>
        <v>0</v>
      </c>
      <c r="N223" s="21">
        <f>VLOOKUP($A223,tabCustoUnit[],COLUMN(CUSTO_GLOBAL[[#Headers],[Adicional de Sobreaviso]])-2,0)*($G223-$H223)</f>
        <v>0</v>
      </c>
      <c r="O223" s="21">
        <f>VLOOKUP($A223,tabCustoUnit[],COLUMN(CUSTO_GLOBAL[[#Headers],[Horas Extras TI]])-2,0)*($G223-$H223)</f>
        <v>0</v>
      </c>
      <c r="P223" s="21">
        <f>VLOOKUP($A223,tabCustoUnit[],COLUMN(CUSTO_GLOBAL[[#Headers],[Adicional de Acúmulo de função]])-2,0)*($G223-$H223)</f>
        <v>39.1813</v>
      </c>
      <c r="Q223" s="21">
        <f>VLOOKUP($A223,tabCustoUnit[],COLUMN(CUSTO_GLOBAL[[#Headers],[MODULO 1 - REMUNERAÇÃO ]])-2,0)*($G223-$H223)</f>
        <v>1127.5512999999999</v>
      </c>
      <c r="R223" s="21">
        <f>VLOOKUP($A223,tabCustoUnit[],COLUMN(CUSTO_GLOBAL[[#Headers],[INSS]])-2,0)*($G223-$H223)</f>
        <v>225.51025999999999</v>
      </c>
      <c r="S223" s="21">
        <f>VLOOKUP($A223,tabCustoUnit[],COLUMN(CUSTO_GLOBAL[[#Headers],[SESI OU SESC]])-2,0)*($G223-$H223)</f>
        <v>16.913269499999998</v>
      </c>
      <c r="T223" s="21">
        <f>VLOOKUP($A223,tabCustoUnit[],COLUMN(CUSTO_GLOBAL[[#Headers],[SENAI OU SENAC]])-2,0)*($G223-$H223)</f>
        <v>11.275512999999998</v>
      </c>
      <c r="U223" s="21">
        <f>VLOOKUP($A223,tabCustoUnit[],COLUMN(CUSTO_GLOBAL[[#Headers],[INCRA]])-2,0)*($G223-$H223)</f>
        <v>2.2551025999999998</v>
      </c>
      <c r="V223" s="21">
        <f>VLOOKUP($A223,tabCustoUnit[],COLUMN(CUSTO_GLOBAL[[#Headers],[Salário Educação]])-2,0)*($G223-$H223)</f>
        <v>28.188782499999999</v>
      </c>
      <c r="W223" s="21">
        <f>VLOOKUP($A223,tabCustoUnit[],COLUMN(CUSTO_GLOBAL[[#Headers],[FGTS]])-2,0)*($G223-$H223)</f>
        <v>90.204103999999987</v>
      </c>
      <c r="X223" s="21">
        <f>VLOOKUP($A223,tabCustoUnit[],COLUMN(CUSTO_GLOBAL[[#Headers],[RAT Ajustado]])-2,0)*($G223-$H223)</f>
        <v>45.102051999999993</v>
      </c>
      <c r="Y223" s="21">
        <f>VLOOKUP($A223,tabCustoUnit[],COLUMN(CUSTO_GLOBAL[[#Headers],[SEBRAE]])-2,0)*($G223-$H223)</f>
        <v>6.7653077999999995</v>
      </c>
      <c r="Z223" s="21">
        <f>VLOOKUP($A223,tabCustoUnit[],COLUMN(CUSTO_GLOBAL[[#Headers],[Submódulo 2.1]])-2,0)*($G223-$H223)</f>
        <v>426.21439139999995</v>
      </c>
      <c r="AA223" s="21">
        <f>VLOOKUP($A223,tabCustoUnit[],COLUMN(CUSTO_GLOBAL[[#Headers],[13º salário (titular)]])-2,0)*($G223-$H223)</f>
        <v>93.962608333333321</v>
      </c>
      <c r="AB223" s="21">
        <f>VLOOKUP($A223,tabCustoUnit[],COLUMN(CUSTO_GLOBAL[[#Headers],[Férias e Adicional de Férias (titular)]])-2,0)*($G223-$H223)</f>
        <v>125.28347777777776</v>
      </c>
      <c r="AC223" s="21">
        <f>VLOOKUP($A223,tabCustoUnit[],COLUMN(CUSTO_GLOBAL[[#Headers],[Incidência do Submódulo 2.1 sobre 13º Salário, Férias e Adicional de Férias]])-2,0)*($G223-$H223)</f>
        <v>82.875020549999988</v>
      </c>
      <c r="AD223" s="21">
        <f>VLOOKUP($A223,tabCustoUnit[],COLUMN(CUSTO_GLOBAL[[#Headers],[Submódulo 2.2]])-2,0)*($G223-$H223)</f>
        <v>302.12110666111107</v>
      </c>
      <c r="AE223" s="22">
        <f>VLOOKUP($A223,tabCustoUnit[],COLUMN(CUSTO_GLOBAL[[#Headers],[Vale - Transporte (Descontada parcela do empregado)]])-2,0)*($G223-$H223)</f>
        <v>190.69780000000003</v>
      </c>
      <c r="AF223" s="22">
        <f>VLOOKUP($A223,tabCustoUnit[],COLUMN(CUSTO_GLOBAL[[#Headers],[Vale - Alimentação (Descontada parcela do empregado)]])-2,0)*($G223-$H223)</f>
        <v>0</v>
      </c>
      <c r="AG223" s="22">
        <f>VLOOKUP($A223,tabCustoUnit[],COLUMN(CUSTO_GLOBAL[[#Headers],[Cesta Básica]])-2,0)*($G223-$H223)</f>
        <v>387.79</v>
      </c>
      <c r="AH223" s="22">
        <f>VLOOKUP($A223,tabCustoUnit[],COLUMN(CUSTO_GLOBAL[[#Headers],[PAF]])-2,0)*($G223-$H223)</f>
        <v>42.97</v>
      </c>
      <c r="AI223" s="22">
        <f>VLOOKUP($A223,tabCustoUnit[],COLUMN(CUSTO_GLOBAL[[#Headers],[PQM]])-2,0)*($G223-$H223)</f>
        <v>0</v>
      </c>
      <c r="AJ223" s="22">
        <v>0</v>
      </c>
      <c r="AK223" s="22">
        <f>VLOOKUP($A223,tabCustoUnit[],COLUMN(CUSTO_GLOBAL[[#Headers],[Seguro de Vida]])-2,0)*($G223-$H223)</f>
        <v>3.36</v>
      </c>
      <c r="AL223" s="22">
        <f>VLOOKUP($A223,tabCustoUnit[],COLUMN(CUSTO_GLOBAL[[#Headers],[Despesas de Viagem]])-2,0)*($G223-$H223)</f>
        <v>0</v>
      </c>
      <c r="AM223" s="22">
        <f>VLOOKUP($A223,tabCustoUnit[],COLUMN(CUSTO_GLOBAL[[#Headers],[Submódulo 2.3]])-2,0)*($G223-$H223)</f>
        <v>624.81780000000015</v>
      </c>
      <c r="AN223" s="22">
        <f>VLOOKUP($A223,tabCustoUnit[],COLUMN(CUSTO_GLOBAL[[#Headers],[MÓDULO 2 - Total Encargos e Benefícios mensais e diários]])-2,0)*($G223-$H223)</f>
        <v>1353.1532980611112</v>
      </c>
      <c r="AO223" s="22">
        <f>VLOOKUP($A223,tabCustoUnit[],COLUMN(CUSTO_GLOBAL[[#Headers],[Aviso Prévio Indenizado (API) e Reflexo do Aviso Prévio Indenizado]])-2,0)*($G223-$H223)</f>
        <v>7.9061269683063262</v>
      </c>
      <c r="AP223" s="22">
        <f>VLOOKUP($A223,tabCustoUnit[],COLUMN(CUSTO_GLOBAL[[#Headers],[Incidência do FGTS sobre API e Reflexo do API]])-2,0)*($G223-$H223)</f>
        <v>0.6324901574645061</v>
      </c>
      <c r="AQ223" s="22">
        <f>VLOOKUP($A223,tabCustoUnit[],COLUMN(CUSTO_GLOBAL[[#Headers],[Multa Rescisória do FGTS sobre o Aviso Prévio Indenizado]])-2,0)*($G223-$H223)</f>
        <v>0.25299606298580246</v>
      </c>
      <c r="AR223" s="22">
        <f>VLOOKUP($A223,tabCustoUnit[],COLUMN(CUSTO_GLOBAL[[#Headers],[Aviso Prévio Trabalhado - APT]])-2,0)*($G223-$H223)</f>
        <v>3.94642955</v>
      </c>
      <c r="AS223" s="22">
        <f>VLOOKUP($A223,tabCustoUnit[],COLUMN(CUSTO_GLOBAL[[#Headers],[Incidência dos encargos do submódulo 2.1 sobre Aviso Prévio Trabalhado]])-2,0)*($G223-$H223)</f>
        <v>1.4917503699000003</v>
      </c>
      <c r="AT223" s="22">
        <f>VLOOKUP($A223,tabCustoUnit[],COLUMN(CUSTO_GLOBAL[[#Headers],[Multa Rescisória do FGTS]])-2,0)*($G223-$H223)</f>
        <v>34.478013084444434</v>
      </c>
      <c r="AU223" s="22">
        <f>VLOOKUP($A223,tabCustoUnit[],COLUMN(CUSTO_GLOBAL[[#Headers],[Indenização Adicional (Art. 9º da Lei nº 7.238/84)]])-2,0)*($G223-$H223)</f>
        <v>0.93962608333333331</v>
      </c>
      <c r="AV223" s="22">
        <f>VLOOKUP($A223,tabCustoUnit[],COLUMN(CUSTO_GLOBAL[[#Headers],[MÓDULO 3 – PROVISÃO PARA RESCISÃO]])-2,0)*($G223-$H223)</f>
        <v>49.647432276434401</v>
      </c>
      <c r="AW223" s="22">
        <f>VLOOKUP($A223,tabCustoUnit[],COLUMN(CUSTO_GLOBAL[[#Headers],[Ausência por Doença]])-2,0)*($G223-$H223)</f>
        <v>9.5215443111111089</v>
      </c>
      <c r="AX223" s="22">
        <f>VLOOKUP($A223,tabCustoUnit[],COLUMN(CUSTO_GLOBAL[[#Headers],[Ausências Legais]])-2,0)*($G223-$H223)</f>
        <v>2.2864234694444439</v>
      </c>
      <c r="AY223" s="22">
        <f>VLOOKUP($A223,tabCustoUnit[],COLUMN(CUSTO_GLOBAL[[#Headers],[Licença Paternidade]])-2,0)*($G223-$H223)</f>
        <v>0.19262334708333331</v>
      </c>
      <c r="AZ223" s="22">
        <f>VLOOKUP($A223,tabCustoUnit[],COLUMN(CUSTO_GLOBAL[[#Headers],[Ausência por Acidente de Trabalho]])-2,0)*($G223-$H223)</f>
        <v>0.23490652083333333</v>
      </c>
      <c r="BA223" s="22">
        <f>VLOOKUP($A223,tabCustoUnit[],COLUMN(CUSTO_GLOBAL[[#Headers],[Férias, Adicional de Férias e 13º  com empregada em gozo de Licença Maternidade]])-2,0)*($G223-$H223)</f>
        <v>1.4616405740740739</v>
      </c>
      <c r="BB223" s="22">
        <f>VLOOKUP($A223,tabCustoUnit[],COLUMN(CUSTO_GLOBAL[[#Headers],[Incidência do Submódulo 2.1 sobre Ausências Legais]])-2,0)*($G223-$H223)</f>
        <v>5.1775182481225004</v>
      </c>
      <c r="BC223" s="22">
        <f>VLOOKUP($A223,tabCustoUnit[],COLUMN(CUSTO_GLOBAL[[#Headers],[Submódulo 4.1]])-2,0)*($G223-$H223)</f>
        <v>18.874656470668793</v>
      </c>
      <c r="BD223" s="22">
        <f>VLOOKUP($A223,tabCustoUnit[],COLUMN(CUSTO_GLOBAL[[#Headers],[Intervalo para Repouso ou Alimentação]])-2,0)*($G223-$H223)</f>
        <v>0</v>
      </c>
      <c r="BE223" s="22">
        <f>VLOOKUP($A223,tabCustoUnit[],COLUMN(CUSTO_GLOBAL[[#Headers],[Submódulo 4.2]])-2,0)*($G223-$H223)</f>
        <v>0</v>
      </c>
      <c r="BF223" s="22">
        <f>VLOOKUP($A223,tabCustoUnit[],COLUMN(CUSTO_GLOBAL[[#Headers],[Suspensão Temporária do Contrato de Trabalho]])-2,0)*($G223-$H223)</f>
        <v>0</v>
      </c>
      <c r="BG223" s="22">
        <f>VLOOKUP($A223,tabCustoUnit[],COLUMN(CUSTO_GLOBAL[[#Headers],[Submódulo 4.3]])-2,0)*($G223-$H223)</f>
        <v>0</v>
      </c>
      <c r="BH223" s="22">
        <f>VLOOKUP($A223,tabCustoUnit[],COLUMN(CUSTO_GLOBAL[[#Headers],[MÓDULO 4 – CUSTO DE REPOSIÇÃO DO PROFISSIONAL AUSENTE]])-2,0)*($G223-$H223)</f>
        <v>18.874656470668793</v>
      </c>
      <c r="BI223" s="22">
        <f>VLOOKUP($A223,tabCustoUnit[],COLUMN(CUSTO_GLOBAL[[#Headers],[Uniformes e EPIs]])-2,0)*($G223-$H223)</f>
        <v>100.80916666666666</v>
      </c>
      <c r="BJ223" s="22">
        <f>VLOOKUP($A223,tabCustoUnit[],COLUMN(CUSTO_GLOBAL[[#Headers],[Materiais de Consumo]])-2,0)*($G223-$H223)</f>
        <v>24.216963380852651</v>
      </c>
      <c r="BK223" s="22">
        <f>VLOOKUP($A223,tabCustoUnit[],COLUMN(CUSTO_GLOBAL[[#Headers],[Máquinas e Equipamentos (depreciação)]])-2,0)*($G223-$H223)</f>
        <v>43.997314032835618</v>
      </c>
      <c r="BL223" s="22">
        <f>VLOOKUP($A223,tabCustoUnit[],COLUMN(CUSTO_GLOBAL[[#Headers],[Produtos de Limpeza e Materiais de Higiene Pessoal]])-2,0)*($G223-$H223)</f>
        <v>470.6396814404431</v>
      </c>
      <c r="BM223" s="22">
        <f>VLOOKUP($A223,tabCustoUnit[],COLUMN(CUSTO_GLOBAL[[#Headers],[Outros (especificar)]])-2,0)*($G223-$H223)</f>
        <v>0</v>
      </c>
      <c r="BN223" s="22">
        <f>VLOOKUP($A223,tabCustoUnit[],COLUMN(CUSTO_GLOBAL[[#Headers],[MÓDULO 5 – INSUMOS DIVERSOS]])-2,0)*($G223-$H223)</f>
        <v>639.66312552079808</v>
      </c>
      <c r="BO223" s="22">
        <f>VLOOKUP($A223,tabCustoUnit[],COLUMN(CUSTO_GLOBAL[[#Headers],[TOTAL MÓDULOS 1+2+3+4+5]])-2,0)*($G223-$H223)</f>
        <v>3188.8898123290123</v>
      </c>
      <c r="BP223" s="22">
        <f>VLOOKUP($A223,tabCustoUnit[],COLUMN(CUSTO_GLOBAL[[#Headers],[Custos Indiretos]])-2,0)*($G223-$H223)</f>
        <v>189.64880140242613</v>
      </c>
      <c r="BQ223" s="22">
        <f>VLOOKUP($A223,tabCustoUnit[],COLUMN(CUSTO_GLOBAL[[#Headers],[Lucro]])-2,0)*($G223-$H223)</f>
        <v>159.30499317803796</v>
      </c>
      <c r="BR223" s="26">
        <f>VLOOKUP($A223,tabCustoUnit[],COLUMN(CUSTO_GLOBAL[[#Headers],[COFINS]])-2,0)</f>
        <v>8.5633802816901458E-2</v>
      </c>
      <c r="BS223" s="26">
        <f>VLOOKUP($A223,tabCustoUnit[],COLUMN(CUSTO_GLOBAL[[#Headers],[PIS]])-2,0)</f>
        <v>1.8591549295774657E-2</v>
      </c>
      <c r="BT223" s="28">
        <f>VLOOKUP($A223,tabCustoUnit[],COLUMN(CUSTO_GLOBAL[[#Headers],[ISS]])-2,0)</f>
        <v>0.02</v>
      </c>
      <c r="BU223" s="26">
        <f>VLOOKUP($A223,tabCustoUnit[],COLUMN(CUSTO_GLOBAL[[#Headers],[ISS (Conversão Alíquota s/ fatura)]])-2,0)</f>
        <v>2.2535211267605645E-2</v>
      </c>
      <c r="BV223" s="26">
        <f>VLOOKUP($A223,tabCustoUnit[],COLUMN(CUSTO_GLOBAL[[#Headers],[Resumo de Alíquotas (PIS+CONFINS+ISS)]])-2,0)</f>
        <v>0.1125</v>
      </c>
      <c r="BW223" s="138">
        <f>VLOOKUP($A223,tabCustoUnit[],COLUMN(CUSTO_GLOBAL[[#Headers],[PIS + COFINS + ISS (Total Conversão  Alíquota s/ Fatura)]])-2,0)</f>
        <v>0.12676056338028174</v>
      </c>
      <c r="BX223" s="22">
        <f>VLOOKUP($A223,tabCustoUnit[],COLUMN(CUSTO_GLOBAL[[#Headers],[Valor dos Tributos (ISS, PIS, CONFINS)]])-2,0)*($G223-$H223)</f>
        <v>448.45904876317326</v>
      </c>
      <c r="BY223" s="22">
        <f>VLOOKUP($A223,tabCustoUnit[],COLUMN(CUSTO_GLOBAL[[#Headers],[MÓDULO 6 – CUSTOS INDIRETOS, TRIBUTOS E LUCRO]])-2,0)*($G223-$H223)</f>
        <v>797.41284334363741</v>
      </c>
      <c r="BZ223" s="22">
        <f>VLOOKUP($A223,tabCustoUnit[],COLUMN(CUSTO_GLOBAL[[#Headers],[CUSTO TOTAL MENSAL]])-2,0)*($G223-$H223)</f>
        <v>3986.30265567265</v>
      </c>
      <c r="CA223" s="22">
        <f>CUSTO_GLOBAL[[#This Row],[CUSTO TOTAL MENSAL]]*12</f>
        <v>47835.631868071796</v>
      </c>
      <c r="CB223" s="24">
        <f>VLOOKUP($A223,tabCustoUnit[],COLUMN(CUSTO_GLOBAL[[#Headers],[ANO DA CCT]])-2,0)</f>
        <v>45658</v>
      </c>
      <c r="CC223" s="25" t="str">
        <f>VLOOKUP($A223,tabCustoUnit[],COLUMN(CUSTO_GLOBAL[[#Headers],[Nº DE PEDIDO DA CCT]])-2,0)</f>
        <v>-</v>
      </c>
      <c r="CD223" s="25" t="str">
        <f>VLOOKUP($A223,tabCustoUnit[],COLUMN(CUSTO_GLOBAL[[#Headers],[TERMO ADITIVO  ALTERAÇÃO DA CCT]])-2,0)</f>
        <v>-</v>
      </c>
      <c r="CF223" s="22"/>
      <c r="CG223" s="22"/>
    </row>
    <row r="224" spans="1:85" x14ac:dyDescent="0.25">
      <c r="A224" s="20" t="s">
        <v>1559</v>
      </c>
      <c r="B224" t="s">
        <v>204</v>
      </c>
      <c r="C224" t="s">
        <v>1247</v>
      </c>
      <c r="D224" t="s">
        <v>1041</v>
      </c>
      <c r="E224" s="20" t="s">
        <v>9</v>
      </c>
      <c r="F224" s="20" t="s">
        <v>10</v>
      </c>
      <c r="G224" s="20">
        <v>1</v>
      </c>
      <c r="H224" s="20">
        <v>0</v>
      </c>
      <c r="I224" s="21">
        <f>VLOOKUP($A224,tabCustoUnit[],COLUMN(CUSTO_GLOBAL[[#Headers],[Salário Base]])-2,0)*($G224-$H224)</f>
        <v>544.17999999999995</v>
      </c>
      <c r="J224" s="21">
        <f>VLOOKUP($A224,tabCustoUnit[],COLUMN(CUSTO_GLOBAL[[#Headers],[Adicional Periculosidade]])-2,0)*($G224-$H224)</f>
        <v>0</v>
      </c>
      <c r="K224" s="21">
        <f>VLOOKUP($A224,tabCustoUnit[],COLUMN(CUSTO_GLOBAL[[#Headers],[Adicional Insalubridade]])-2,0)*($G224-$H224)</f>
        <v>0</v>
      </c>
      <c r="L224" s="21">
        <f>VLOOKUP($A224,tabCustoUnit[],COLUMN(CUSTO_GLOBAL[[#Headers],[Adicional Noturno]])-2,0)*($G224-$H224)</f>
        <v>0</v>
      </c>
      <c r="M224" s="21">
        <f>VLOOKUP($A224,tabCustoUnit[],COLUMN(CUSTO_GLOBAL[[#Headers],[Adicional Motorista II (Gratificação)]])-2,0)*($G224-$H224)</f>
        <v>0</v>
      </c>
      <c r="N224" s="21">
        <f>VLOOKUP($A224,tabCustoUnit[],COLUMN(CUSTO_GLOBAL[[#Headers],[Adicional de Sobreaviso]])-2,0)*($G224-$H224)</f>
        <v>0</v>
      </c>
      <c r="O224" s="21">
        <f>VLOOKUP($A224,tabCustoUnit[],COLUMN(CUSTO_GLOBAL[[#Headers],[Horas Extras TI]])-2,0)*($G224-$H224)</f>
        <v>0</v>
      </c>
      <c r="P224" s="21">
        <f>VLOOKUP($A224,tabCustoUnit[],COLUMN(CUSTO_GLOBAL[[#Headers],[Adicional de Acúmulo de função]])-2,0)*($G224-$H224)</f>
        <v>19.590499999999999</v>
      </c>
      <c r="Q224" s="21">
        <f>VLOOKUP($A224,tabCustoUnit[],COLUMN(CUSTO_GLOBAL[[#Headers],[MODULO 1 - REMUNERAÇÃO ]])-2,0)*($G224-$H224)</f>
        <v>563.77049999999997</v>
      </c>
      <c r="R224" s="21">
        <f>VLOOKUP($A224,tabCustoUnit[],COLUMN(CUSTO_GLOBAL[[#Headers],[INSS]])-2,0)*($G224-$H224)</f>
        <v>112.75409999999999</v>
      </c>
      <c r="S224" s="21">
        <f>VLOOKUP($A224,tabCustoUnit[],COLUMN(CUSTO_GLOBAL[[#Headers],[SESI OU SESC]])-2,0)*($G224-$H224)</f>
        <v>8.4565574999999988</v>
      </c>
      <c r="T224" s="21">
        <f>VLOOKUP($A224,tabCustoUnit[],COLUMN(CUSTO_GLOBAL[[#Headers],[SENAI OU SENAC]])-2,0)*($G224-$H224)</f>
        <v>5.6377049999999995</v>
      </c>
      <c r="U224" s="21">
        <f>VLOOKUP($A224,tabCustoUnit[],COLUMN(CUSTO_GLOBAL[[#Headers],[INCRA]])-2,0)*($G224-$H224)</f>
        <v>1.1275409999999999</v>
      </c>
      <c r="V224" s="21">
        <f>VLOOKUP($A224,tabCustoUnit[],COLUMN(CUSTO_GLOBAL[[#Headers],[Salário Educação]])-2,0)*($G224-$H224)</f>
        <v>14.094262499999999</v>
      </c>
      <c r="W224" s="21">
        <f>VLOOKUP($A224,tabCustoUnit[],COLUMN(CUSTO_GLOBAL[[#Headers],[FGTS]])-2,0)*($G224-$H224)</f>
        <v>45.101639999999996</v>
      </c>
      <c r="X224" s="21">
        <f>VLOOKUP($A224,tabCustoUnit[],COLUMN(CUSTO_GLOBAL[[#Headers],[RAT Ajustado]])-2,0)*($G224-$H224)</f>
        <v>22.550819999999998</v>
      </c>
      <c r="Y224" s="21">
        <f>VLOOKUP($A224,tabCustoUnit[],COLUMN(CUSTO_GLOBAL[[#Headers],[SEBRAE]])-2,0)*($G224-$H224)</f>
        <v>3.3826229999999997</v>
      </c>
      <c r="Z224" s="21">
        <f>VLOOKUP($A224,tabCustoUnit[],COLUMN(CUSTO_GLOBAL[[#Headers],[Submódulo 2.1]])-2,0)*($G224-$H224)</f>
        <v>213.10524899999996</v>
      </c>
      <c r="AA224" s="21">
        <f>VLOOKUP($A224,tabCustoUnit[],COLUMN(CUSTO_GLOBAL[[#Headers],[13º salário (titular)]])-2,0)*($G224-$H224)</f>
        <v>46.980874999999997</v>
      </c>
      <c r="AB224" s="21">
        <f>VLOOKUP($A224,tabCustoUnit[],COLUMN(CUSTO_GLOBAL[[#Headers],[Férias e Adicional de Férias (titular)]])-2,0)*($G224-$H224)</f>
        <v>62.641166666666663</v>
      </c>
      <c r="AC224" s="21">
        <f>VLOOKUP($A224,tabCustoUnit[],COLUMN(CUSTO_GLOBAL[[#Headers],[Incidência do Submódulo 2.1 sobre 13º Salário, Férias e Adicional de Férias]])-2,0)*($G224-$H224)</f>
        <v>41.437131749999992</v>
      </c>
      <c r="AD224" s="21">
        <f>VLOOKUP($A224,tabCustoUnit[],COLUMN(CUSTO_GLOBAL[[#Headers],[Submódulo 2.2]])-2,0)*($G224-$H224)</f>
        <v>151.05917341666665</v>
      </c>
      <c r="AE224" s="22">
        <f>VLOOKUP($A224,tabCustoUnit[],COLUMN(CUSTO_GLOBAL[[#Headers],[Vale - Transporte (Descontada parcela do empregado)]])-2,0)*($G224-$H224)</f>
        <v>223.3492</v>
      </c>
      <c r="AF224" s="22">
        <f>VLOOKUP($A224,tabCustoUnit[],COLUMN(CUSTO_GLOBAL[[#Headers],[Vale - Alimentação (Descontada parcela do empregado)]])-2,0)*($G224-$H224)</f>
        <v>582</v>
      </c>
      <c r="AG224" s="22">
        <f>VLOOKUP($A224,tabCustoUnit[],COLUMN(CUSTO_GLOBAL[[#Headers],[Cesta Básica]])-2,0)*($G224-$H224)</f>
        <v>0</v>
      </c>
      <c r="AH224" s="22">
        <f>VLOOKUP($A224,tabCustoUnit[],COLUMN(CUSTO_GLOBAL[[#Headers],[PAF]])-2,0)*($G224-$H224)</f>
        <v>0</v>
      </c>
      <c r="AI224" s="22">
        <f>VLOOKUP($A224,tabCustoUnit[],COLUMN(CUSTO_GLOBAL[[#Headers],[PQM]])-2,0)*($G224-$H224)</f>
        <v>0</v>
      </c>
      <c r="AJ224" s="22">
        <v>0</v>
      </c>
      <c r="AK224" s="22">
        <f>VLOOKUP($A224,tabCustoUnit[],COLUMN(CUSTO_GLOBAL[[#Headers],[Seguro de Vida]])-2,0)*($G224-$H224)</f>
        <v>3.36</v>
      </c>
      <c r="AL224" s="22">
        <f>VLOOKUP($A224,tabCustoUnit[],COLUMN(CUSTO_GLOBAL[[#Headers],[Despesas de Viagem]])-2,0)*($G224-$H224)</f>
        <v>0</v>
      </c>
      <c r="AM224" s="22">
        <f>VLOOKUP($A224,tabCustoUnit[],COLUMN(CUSTO_GLOBAL[[#Headers],[Submódulo 2.3]])-2,0)*($G224-$H224)</f>
        <v>808.70920000000001</v>
      </c>
      <c r="AN224" s="22">
        <f>VLOOKUP($A224,tabCustoUnit[],COLUMN(CUSTO_GLOBAL[[#Headers],[MÓDULO 2 - Total Encargos e Benefícios mensais e diários]])-2,0)*($G224-$H224)</f>
        <v>1172.8736224166666</v>
      </c>
      <c r="AO224" s="22">
        <f>VLOOKUP($A224,tabCustoUnit[],COLUMN(CUSTO_GLOBAL[[#Headers],[Aviso Prévio Indenizado (API) e Reflexo do Aviso Prévio Indenizado]])-2,0)*($G224-$H224)</f>
        <v>3.9530273735532404</v>
      </c>
      <c r="AP224" s="22">
        <f>VLOOKUP($A224,tabCustoUnit[],COLUMN(CUSTO_GLOBAL[[#Headers],[Incidência do FGTS sobre API e Reflexo do API]])-2,0)*($G224-$H224)</f>
        <v>0.31624218988425928</v>
      </c>
      <c r="AQ224" s="22">
        <f>VLOOKUP($A224,tabCustoUnit[],COLUMN(CUSTO_GLOBAL[[#Headers],[Multa Rescisória do FGTS sobre o Aviso Prévio Indenizado]])-2,0)*($G224-$H224)</f>
        <v>0.12649687595370371</v>
      </c>
      <c r="AR224" s="22">
        <f>VLOOKUP($A224,tabCustoUnit[],COLUMN(CUSTO_GLOBAL[[#Headers],[Aviso Prévio Trabalhado - APT]])-2,0)*($G224-$H224)</f>
        <v>1.9731967500000003</v>
      </c>
      <c r="AS224" s="22">
        <f>VLOOKUP($A224,tabCustoUnit[],COLUMN(CUSTO_GLOBAL[[#Headers],[Incidência dos encargos do submódulo 2.1 sobre Aviso Prévio Trabalhado]])-2,0)*($G224-$H224)</f>
        <v>0.74586837150000018</v>
      </c>
      <c r="AT224" s="22">
        <f>VLOOKUP($A224,tabCustoUnit[],COLUMN(CUSTO_GLOBAL[[#Headers],[Multa Rescisória do FGTS]])-2,0)*($G224-$H224)</f>
        <v>17.238849066666663</v>
      </c>
      <c r="AU224" s="22">
        <f>VLOOKUP($A224,tabCustoUnit[],COLUMN(CUSTO_GLOBAL[[#Headers],[Indenização Adicional (Art. 9º da Lei nº 7.238/84)]])-2,0)*($G224-$H224)</f>
        <v>0.46980875</v>
      </c>
      <c r="AV224" s="22">
        <f>VLOOKUP($A224,tabCustoUnit[],COLUMN(CUSTO_GLOBAL[[#Headers],[MÓDULO 3 – PROVISÃO PARA RESCISÃO]])-2,0)*($G224-$H224)</f>
        <v>24.823489377557866</v>
      </c>
      <c r="AW224" s="22">
        <f>VLOOKUP($A224,tabCustoUnit[],COLUMN(CUSTO_GLOBAL[[#Headers],[Ausência por Doença]])-2,0)*($G224-$H224)</f>
        <v>4.7607286666666662</v>
      </c>
      <c r="AX224" s="22">
        <f>VLOOKUP($A224,tabCustoUnit[],COLUMN(CUSTO_GLOBAL[[#Headers],[Ausências Legais]])-2,0)*($G224-$H224)</f>
        <v>1.1432012916666665</v>
      </c>
      <c r="AY224" s="22">
        <f>VLOOKUP($A224,tabCustoUnit[],COLUMN(CUSTO_GLOBAL[[#Headers],[Licença Paternidade]])-2,0)*($G224-$H224)</f>
        <v>9.6310793749999998E-2</v>
      </c>
      <c r="AZ224" s="22">
        <f>VLOOKUP($A224,tabCustoUnit[],COLUMN(CUSTO_GLOBAL[[#Headers],[Ausência por Acidente de Trabalho]])-2,0)*($G224-$H224)</f>
        <v>0.1174521875</v>
      </c>
      <c r="BA224" s="22">
        <f>VLOOKUP($A224,tabCustoUnit[],COLUMN(CUSTO_GLOBAL[[#Headers],[Férias, Adicional de Férias e 13º  com empregada em gozo de Licença Maternidade]])-2,0)*($G224-$H224)</f>
        <v>0.73081361111111109</v>
      </c>
      <c r="BB224" s="22">
        <f>VLOOKUP($A224,tabCustoUnit[],COLUMN(CUSTO_GLOBAL[[#Headers],[Incidência do Submódulo 2.1 sobre Ausências Legais]])-2,0)*($G224-$H224)</f>
        <v>2.5887354761625003</v>
      </c>
      <c r="BC224" s="22">
        <f>VLOOKUP($A224,tabCustoUnit[],COLUMN(CUSTO_GLOBAL[[#Headers],[Submódulo 4.1]])-2,0)*($G224-$H224)</f>
        <v>9.4372420268569428</v>
      </c>
      <c r="BD224" s="22">
        <f>VLOOKUP($A224,tabCustoUnit[],COLUMN(CUSTO_GLOBAL[[#Headers],[Intervalo para Repouso ou Alimentação]])-2,0)*($G224-$H224)</f>
        <v>0</v>
      </c>
      <c r="BE224" s="22">
        <f>VLOOKUP($A224,tabCustoUnit[],COLUMN(CUSTO_GLOBAL[[#Headers],[Submódulo 4.2]])-2,0)*($G224-$H224)</f>
        <v>0</v>
      </c>
      <c r="BF224" s="22">
        <f>VLOOKUP($A224,tabCustoUnit[],COLUMN(CUSTO_GLOBAL[[#Headers],[Suspensão Temporária do Contrato de Trabalho]])-2,0)*($G224-$H224)</f>
        <v>0</v>
      </c>
      <c r="BG224" s="22">
        <f>VLOOKUP($A224,tabCustoUnit[],COLUMN(CUSTO_GLOBAL[[#Headers],[Submódulo 4.3]])-2,0)*($G224-$H224)</f>
        <v>0</v>
      </c>
      <c r="BH224" s="22">
        <f>VLOOKUP($A224,tabCustoUnit[],COLUMN(CUSTO_GLOBAL[[#Headers],[MÓDULO 4 – CUSTO DE REPOSIÇÃO DO PROFISSIONAL AUSENTE]])-2,0)*($G224-$H224)</f>
        <v>9.4372420268569428</v>
      </c>
      <c r="BI224" s="22">
        <f>VLOOKUP($A224,tabCustoUnit[],COLUMN(CUSTO_GLOBAL[[#Headers],[Uniformes e EPIs]])-2,0)*($G224-$H224)</f>
        <v>62.806666666666665</v>
      </c>
      <c r="BJ224" s="22">
        <f>VLOOKUP($A224,tabCustoUnit[],COLUMN(CUSTO_GLOBAL[[#Headers],[Materiais de Consumo]])-2,0)*($G224-$H224)</f>
        <v>12.108481690426325</v>
      </c>
      <c r="BK224" s="22">
        <f>VLOOKUP($A224,tabCustoUnit[],COLUMN(CUSTO_GLOBAL[[#Headers],[Máquinas e Equipamentos (depreciação)]])-2,0)*($G224-$H224)</f>
        <v>21.998657016417809</v>
      </c>
      <c r="BL224" s="22">
        <f>VLOOKUP($A224,tabCustoUnit[],COLUMN(CUSTO_GLOBAL[[#Headers],[Produtos de Limpeza e Materiais de Higiene Pessoal]])-2,0)*($G224-$H224)</f>
        <v>235.31984072022155</v>
      </c>
      <c r="BM224" s="22">
        <f>VLOOKUP($A224,tabCustoUnit[],COLUMN(CUSTO_GLOBAL[[#Headers],[Outros (especificar)]])-2,0)*($G224-$H224)</f>
        <v>0</v>
      </c>
      <c r="BN224" s="22">
        <f>VLOOKUP($A224,tabCustoUnit[],COLUMN(CUSTO_GLOBAL[[#Headers],[MÓDULO 5 – INSUMOS DIVERSOS]])-2,0)*($G224-$H224)</f>
        <v>332.23364609373232</v>
      </c>
      <c r="BO224" s="22">
        <f>VLOOKUP($A224,tabCustoUnit[],COLUMN(CUSTO_GLOBAL[[#Headers],[TOTAL MÓDULOS 1+2+3+4+5]])-2,0)*($G224-$H224)</f>
        <v>2103.1384999148136</v>
      </c>
      <c r="BP224" s="22">
        <f>VLOOKUP($A224,tabCustoUnit[],COLUMN(CUSTO_GLOBAL[[#Headers],[Custos Indiretos]])-2,0)*($G224-$H224)</f>
        <v>189.64880140242613</v>
      </c>
      <c r="BQ224" s="22">
        <f>VLOOKUP($A224,tabCustoUnit[],COLUMN(CUSTO_GLOBAL[[#Headers],[Lucro]])-2,0)*($G224-$H224)</f>
        <v>159.30499317803796</v>
      </c>
      <c r="BR224" s="26">
        <f>VLOOKUP($A224,tabCustoUnit[],COLUMN(CUSTO_GLOBAL[[#Headers],[COFINS]])-2,0)</f>
        <v>8.8629737609329504E-2</v>
      </c>
      <c r="BS224" s="26">
        <f>VLOOKUP($A224,tabCustoUnit[],COLUMN(CUSTO_GLOBAL[[#Headers],[PIS]])-2,0)</f>
        <v>1.9241982507288629E-2</v>
      </c>
      <c r="BT224" s="28">
        <f>VLOOKUP($A224,tabCustoUnit[],COLUMN(CUSTO_GLOBAL[[#Headers],[ISS]])-2,0)</f>
        <v>0.05</v>
      </c>
      <c r="BU224" s="26">
        <f>VLOOKUP($A224,tabCustoUnit[],COLUMN(CUSTO_GLOBAL[[#Headers],[ISS (Conversão Alíquota s/ fatura)]])-2,0)</f>
        <v>5.8309037900874633E-2</v>
      </c>
      <c r="BV224" s="26">
        <f>VLOOKUP($A224,tabCustoUnit[],COLUMN(CUSTO_GLOBAL[[#Headers],[Resumo de Alíquotas (PIS+CONFINS+ISS)]])-2,0)</f>
        <v>0.14250000000000002</v>
      </c>
      <c r="BW224" s="138">
        <f>VLOOKUP($A224,tabCustoUnit[],COLUMN(CUSTO_GLOBAL[[#Headers],[PIS + COFINS + ISS (Total Conversão  Alíquota s/ Fatura)]])-2,0)</f>
        <v>0.16618075801749277</v>
      </c>
      <c r="BX224" s="22">
        <f>VLOOKUP($A224,tabCustoUnit[],COLUMN(CUSTO_GLOBAL[[#Headers],[Valor dos Tributos (ISS, PIS, CONFINS)]])-2,0)*($G224-$H224)</f>
        <v>407.49055622807833</v>
      </c>
      <c r="BY224" s="22">
        <f>VLOOKUP($A224,tabCustoUnit[],COLUMN(CUSTO_GLOBAL[[#Headers],[MÓDULO 6 – CUSTOS INDIRETOS, TRIBUTOS E LUCRO]])-2,0)*($G224-$H224)</f>
        <v>756.44435080854237</v>
      </c>
      <c r="BZ224" s="22">
        <f>VLOOKUP($A224,tabCustoUnit[],COLUMN(CUSTO_GLOBAL[[#Headers],[CUSTO TOTAL MENSAL]])-2,0)*($G224-$H224)</f>
        <v>2859.5828507233559</v>
      </c>
      <c r="CA224" s="22">
        <f>CUSTO_GLOBAL[[#This Row],[CUSTO TOTAL MENSAL]]*12</f>
        <v>34314.994208680269</v>
      </c>
      <c r="CB224" s="24">
        <f>VLOOKUP($A224,tabCustoUnit[],COLUMN(CUSTO_GLOBAL[[#Headers],[ANO DA CCT]])-2,0)</f>
        <v>45658</v>
      </c>
      <c r="CC224" s="25" t="str">
        <f>VLOOKUP($A224,tabCustoUnit[],COLUMN(CUSTO_GLOBAL[[#Headers],[Nº DE PEDIDO DA CCT]])-2,0)</f>
        <v>-</v>
      </c>
      <c r="CD224" s="25" t="str">
        <f>VLOOKUP($A224,tabCustoUnit[],COLUMN(CUSTO_GLOBAL[[#Headers],[TERMO ADITIVO  ALTERAÇÃO DA CCT]])-2,0)</f>
        <v>-</v>
      </c>
      <c r="CF224" s="22"/>
      <c r="CG224" s="22"/>
    </row>
    <row r="225" spans="1:85" x14ac:dyDescent="0.25">
      <c r="A225" s="20" t="s">
        <v>1560</v>
      </c>
      <c r="B225" t="s">
        <v>205</v>
      </c>
      <c r="C225" t="s">
        <v>1245</v>
      </c>
      <c r="D225" t="s">
        <v>1018</v>
      </c>
      <c r="E225" s="20" t="s">
        <v>9</v>
      </c>
      <c r="F225" s="20" t="s">
        <v>10</v>
      </c>
      <c r="G225" s="20">
        <v>2</v>
      </c>
      <c r="H225" s="20">
        <v>0</v>
      </c>
      <c r="I225" s="21">
        <f>VLOOKUP($A225,tabCustoUnit[],COLUMN(CUSTO_GLOBAL[[#Headers],[Salário Base]])-2,0)*($G225-$H225)</f>
        <v>3192.56</v>
      </c>
      <c r="J225" s="21">
        <f>VLOOKUP($A225,tabCustoUnit[],COLUMN(CUSTO_GLOBAL[[#Headers],[Adicional Periculosidade]])-2,0)*($G225-$H225)</f>
        <v>0</v>
      </c>
      <c r="K225" s="21">
        <f>VLOOKUP($A225,tabCustoUnit[],COLUMN(CUSTO_GLOBAL[[#Headers],[Adicional Insalubridade]])-2,0)*($G225-$H225)</f>
        <v>0</v>
      </c>
      <c r="L225" s="21">
        <f>VLOOKUP($A225,tabCustoUnit[],COLUMN(CUSTO_GLOBAL[[#Headers],[Adicional Noturno]])-2,0)*($G225-$H225)</f>
        <v>0</v>
      </c>
      <c r="M225" s="21">
        <f>VLOOKUP($A225,tabCustoUnit[],COLUMN(CUSTO_GLOBAL[[#Headers],[Adicional Motorista II (Gratificação)]])-2,0)*($G225-$H225)</f>
        <v>0</v>
      </c>
      <c r="N225" s="21">
        <f>VLOOKUP($A225,tabCustoUnit[],COLUMN(CUSTO_GLOBAL[[#Headers],[Adicional de Sobreaviso]])-2,0)*($G225-$H225)</f>
        <v>0</v>
      </c>
      <c r="O225" s="21">
        <f>VLOOKUP($A225,tabCustoUnit[],COLUMN(CUSTO_GLOBAL[[#Headers],[Horas Extras TI]])-2,0)*($G225-$H225)</f>
        <v>0</v>
      </c>
      <c r="P225" s="21">
        <f>VLOOKUP($A225,tabCustoUnit[],COLUMN(CUSTO_GLOBAL[[#Headers],[Adicional de Acúmulo de função]])-2,0)*($G225-$H225)</f>
        <v>104.4838</v>
      </c>
      <c r="Q225" s="21">
        <f>VLOOKUP($A225,tabCustoUnit[],COLUMN(CUSTO_GLOBAL[[#Headers],[MODULO 1 - REMUNERAÇÃO ]])-2,0)*($G225-$H225)</f>
        <v>3297.0437999999999</v>
      </c>
      <c r="R225" s="21">
        <f>VLOOKUP($A225,tabCustoUnit[],COLUMN(CUSTO_GLOBAL[[#Headers],[INSS]])-2,0)*($G225-$H225)</f>
        <v>659.40876000000003</v>
      </c>
      <c r="S225" s="21">
        <f>VLOOKUP($A225,tabCustoUnit[],COLUMN(CUSTO_GLOBAL[[#Headers],[SESI OU SESC]])-2,0)*($G225-$H225)</f>
        <v>49.455656999999995</v>
      </c>
      <c r="T225" s="21">
        <f>VLOOKUP($A225,tabCustoUnit[],COLUMN(CUSTO_GLOBAL[[#Headers],[SENAI OU SENAC]])-2,0)*($G225-$H225)</f>
        <v>32.970438000000001</v>
      </c>
      <c r="U225" s="21">
        <f>VLOOKUP($A225,tabCustoUnit[],COLUMN(CUSTO_GLOBAL[[#Headers],[INCRA]])-2,0)*($G225-$H225)</f>
        <v>6.5940875999999999</v>
      </c>
      <c r="V225" s="21">
        <f>VLOOKUP($A225,tabCustoUnit[],COLUMN(CUSTO_GLOBAL[[#Headers],[Salário Educação]])-2,0)*($G225-$H225)</f>
        <v>82.426095000000004</v>
      </c>
      <c r="W225" s="21">
        <f>VLOOKUP($A225,tabCustoUnit[],COLUMN(CUSTO_GLOBAL[[#Headers],[FGTS]])-2,0)*($G225-$H225)</f>
        <v>263.76350400000001</v>
      </c>
      <c r="X225" s="21">
        <f>VLOOKUP($A225,tabCustoUnit[],COLUMN(CUSTO_GLOBAL[[#Headers],[RAT Ajustado]])-2,0)*($G225-$H225)</f>
        <v>131.88175200000001</v>
      </c>
      <c r="Y225" s="21">
        <f>VLOOKUP($A225,tabCustoUnit[],COLUMN(CUSTO_GLOBAL[[#Headers],[SEBRAE]])-2,0)*($G225-$H225)</f>
        <v>19.782262800000002</v>
      </c>
      <c r="Z225" s="21">
        <f>VLOOKUP($A225,tabCustoUnit[],COLUMN(CUSTO_GLOBAL[[#Headers],[Submódulo 2.1]])-2,0)*($G225-$H225)</f>
        <v>1246.2825564</v>
      </c>
      <c r="AA225" s="21">
        <f>VLOOKUP($A225,tabCustoUnit[],COLUMN(CUSTO_GLOBAL[[#Headers],[13º salário (titular)]])-2,0)*($G225-$H225)</f>
        <v>274.75364999999999</v>
      </c>
      <c r="AB225" s="21">
        <f>VLOOKUP($A225,tabCustoUnit[],COLUMN(CUSTO_GLOBAL[[#Headers],[Férias e Adicional de Férias (titular)]])-2,0)*($G225-$H225)</f>
        <v>366.33819999999997</v>
      </c>
      <c r="AC225" s="21">
        <f>VLOOKUP($A225,tabCustoUnit[],COLUMN(CUSTO_GLOBAL[[#Headers],[Incidência do Submódulo 2.1 sobre 13º Salário, Férias e Adicional de Férias]])-2,0)*($G225-$H225)</f>
        <v>242.33271930000001</v>
      </c>
      <c r="AD225" s="21">
        <f>VLOOKUP($A225,tabCustoUnit[],COLUMN(CUSTO_GLOBAL[[#Headers],[Submódulo 2.2]])-2,0)*($G225-$H225)</f>
        <v>883.42456930000003</v>
      </c>
      <c r="AE225" s="22">
        <f>VLOOKUP($A225,tabCustoUnit[],COLUMN(CUSTO_GLOBAL[[#Headers],[Vale - Transporte (Descontada parcela do empregado)]])-2,0)*($G225-$H225)</f>
        <v>320.44640000000004</v>
      </c>
      <c r="AF225" s="22">
        <f>VLOOKUP($A225,tabCustoUnit[],COLUMN(CUSTO_GLOBAL[[#Headers],[Vale - Alimentação (Descontada parcela do empregado)]])-2,0)*($G225-$H225)</f>
        <v>1164</v>
      </c>
      <c r="AG225" s="22">
        <f>VLOOKUP($A225,tabCustoUnit[],COLUMN(CUSTO_GLOBAL[[#Headers],[Cesta Básica]])-2,0)*($G225-$H225)</f>
        <v>0</v>
      </c>
      <c r="AH225" s="22">
        <f>VLOOKUP($A225,tabCustoUnit[],COLUMN(CUSTO_GLOBAL[[#Headers],[PAF]])-2,0)*($G225-$H225)</f>
        <v>103.76</v>
      </c>
      <c r="AI225" s="22">
        <f>VLOOKUP($A225,tabCustoUnit[],COLUMN(CUSTO_GLOBAL[[#Headers],[PQM]])-2,0)*($G225-$H225)</f>
        <v>0</v>
      </c>
      <c r="AJ225" s="22">
        <v>0</v>
      </c>
      <c r="AK225" s="22">
        <f>VLOOKUP($A225,tabCustoUnit[],COLUMN(CUSTO_GLOBAL[[#Headers],[Seguro de Vida]])-2,0)*($G225-$H225)</f>
        <v>6.72</v>
      </c>
      <c r="AL225" s="22">
        <f>VLOOKUP($A225,tabCustoUnit[],COLUMN(CUSTO_GLOBAL[[#Headers],[Despesas de Viagem]])-2,0)*($G225-$H225)</f>
        <v>0</v>
      </c>
      <c r="AM225" s="22">
        <f>VLOOKUP($A225,tabCustoUnit[],COLUMN(CUSTO_GLOBAL[[#Headers],[Submódulo 2.3]])-2,0)*($G225-$H225)</f>
        <v>1594.9264000000001</v>
      </c>
      <c r="AN225" s="22">
        <f>VLOOKUP($A225,tabCustoUnit[],COLUMN(CUSTO_GLOBAL[[#Headers],[MÓDULO 2 - Total Encargos e Benefícios mensais e diários]])-2,0)*($G225-$H225)</f>
        <v>3724.6335257000001</v>
      </c>
      <c r="AO225" s="22">
        <f>VLOOKUP($A225,tabCustoUnit[],COLUMN(CUSTO_GLOBAL[[#Headers],[Aviso Prévio Indenizado (API) e Reflexo do Aviso Prévio Indenizado]])-2,0)*($G225-$H225)</f>
        <v>23.118102832986111</v>
      </c>
      <c r="AP225" s="22">
        <f>VLOOKUP($A225,tabCustoUnit[],COLUMN(CUSTO_GLOBAL[[#Headers],[Incidência do FGTS sobre API e Reflexo do API]])-2,0)*($G225-$H225)</f>
        <v>1.849448226638889</v>
      </c>
      <c r="AQ225" s="22">
        <f>VLOOKUP($A225,tabCustoUnit[],COLUMN(CUSTO_GLOBAL[[#Headers],[Multa Rescisória do FGTS sobre o Aviso Prévio Indenizado]])-2,0)*($G225-$H225)</f>
        <v>0.7397792906555557</v>
      </c>
      <c r="AR225" s="22">
        <f>VLOOKUP($A225,tabCustoUnit[],COLUMN(CUSTO_GLOBAL[[#Headers],[Aviso Prévio Trabalhado - APT]])-2,0)*($G225-$H225)</f>
        <v>11.539653300000001</v>
      </c>
      <c r="AS225" s="22">
        <f>VLOOKUP($A225,tabCustoUnit[],COLUMN(CUSTO_GLOBAL[[#Headers],[Incidência dos encargos do submódulo 2.1 sobre Aviso Prévio Trabalhado]])-2,0)*($G225-$H225)</f>
        <v>4.3619889474000013</v>
      </c>
      <c r="AT225" s="22">
        <f>VLOOKUP($A225,tabCustoUnit[],COLUMN(CUSTO_GLOBAL[[#Headers],[Multa Rescisória do FGTS]])-2,0)*($G225-$H225)</f>
        <v>100.81627263999998</v>
      </c>
      <c r="AU225" s="22">
        <f>VLOOKUP($A225,tabCustoUnit[],COLUMN(CUSTO_GLOBAL[[#Headers],[Indenização Adicional (Art. 9º da Lei nº 7.238/84)]])-2,0)*($G225-$H225)</f>
        <v>2.7475365000000003</v>
      </c>
      <c r="AV225" s="22">
        <f>VLOOKUP($A225,tabCustoUnit[],COLUMN(CUSTO_GLOBAL[[#Headers],[MÓDULO 3 – PROVISÃO PARA RESCISÃO]])-2,0)*($G225-$H225)</f>
        <v>145.17278173768054</v>
      </c>
      <c r="AW225" s="22">
        <f>VLOOKUP($A225,tabCustoUnit[],COLUMN(CUSTO_GLOBAL[[#Headers],[Ausência por Doença]])-2,0)*($G225-$H225)</f>
        <v>27.841703199999998</v>
      </c>
      <c r="AX225" s="22">
        <f>VLOOKUP($A225,tabCustoUnit[],COLUMN(CUSTO_GLOBAL[[#Headers],[Ausências Legais]])-2,0)*($G225-$H225)</f>
        <v>6.6856721499999994</v>
      </c>
      <c r="AY225" s="22">
        <f>VLOOKUP($A225,tabCustoUnit[],COLUMN(CUSTO_GLOBAL[[#Headers],[Licença Paternidade]])-2,0)*($G225-$H225)</f>
        <v>0.56324498249999999</v>
      </c>
      <c r="AZ225" s="22">
        <f>VLOOKUP($A225,tabCustoUnit[],COLUMN(CUSTO_GLOBAL[[#Headers],[Ausência por Acidente de Trabalho]])-2,0)*($G225-$H225)</f>
        <v>0.68688412500000007</v>
      </c>
      <c r="BA225" s="22">
        <f>VLOOKUP($A225,tabCustoUnit[],COLUMN(CUSTO_GLOBAL[[#Headers],[Férias, Adicional de Férias e 13º  com empregada em gozo de Licença Maternidade]])-2,0)*($G225-$H225)</f>
        <v>4.2739456666666662</v>
      </c>
      <c r="BB225" s="22">
        <f>VLOOKUP($A225,tabCustoUnit[],COLUMN(CUSTO_GLOBAL[[#Headers],[Incidência do Submódulo 2.1 sobre Ausências Legais]])-2,0)*($G225-$H225)</f>
        <v>15.139448146935003</v>
      </c>
      <c r="BC225" s="22">
        <f>VLOOKUP($A225,tabCustoUnit[],COLUMN(CUSTO_GLOBAL[[#Headers],[Submódulo 4.1]])-2,0)*($G225-$H225)</f>
        <v>55.190898271101666</v>
      </c>
      <c r="BD225" s="22">
        <f>VLOOKUP($A225,tabCustoUnit[],COLUMN(CUSTO_GLOBAL[[#Headers],[Intervalo para Repouso ou Alimentação]])-2,0)*($G225-$H225)</f>
        <v>0</v>
      </c>
      <c r="BE225" s="22">
        <f>VLOOKUP($A225,tabCustoUnit[],COLUMN(CUSTO_GLOBAL[[#Headers],[Submódulo 4.2]])-2,0)*($G225-$H225)</f>
        <v>0</v>
      </c>
      <c r="BF225" s="22">
        <f>VLOOKUP($A225,tabCustoUnit[],COLUMN(CUSTO_GLOBAL[[#Headers],[Suspensão Temporária do Contrato de Trabalho]])-2,0)*($G225-$H225)</f>
        <v>0</v>
      </c>
      <c r="BG225" s="22">
        <f>VLOOKUP($A225,tabCustoUnit[],COLUMN(CUSTO_GLOBAL[[#Headers],[Submódulo 4.3]])-2,0)*($G225-$H225)</f>
        <v>0</v>
      </c>
      <c r="BH225" s="22">
        <f>VLOOKUP($A225,tabCustoUnit[],COLUMN(CUSTO_GLOBAL[[#Headers],[MÓDULO 4 – CUSTO DE REPOSIÇÃO DO PROFISSIONAL AUSENTE]])-2,0)*($G225-$H225)</f>
        <v>55.190898271101666</v>
      </c>
      <c r="BI225" s="22">
        <f>VLOOKUP($A225,tabCustoUnit[],COLUMN(CUSTO_GLOBAL[[#Headers],[Uniformes e EPIs]])-2,0)*($G225-$H225)</f>
        <v>201.61833333333331</v>
      </c>
      <c r="BJ225" s="22">
        <f>VLOOKUP($A225,tabCustoUnit[],COLUMN(CUSTO_GLOBAL[[#Headers],[Materiais de Consumo]])-2,0)*($G225-$H225)</f>
        <v>71.036425917167776</v>
      </c>
      <c r="BK225" s="22">
        <f>VLOOKUP($A225,tabCustoUnit[],COLUMN(CUSTO_GLOBAL[[#Headers],[Máquinas e Equipamentos (depreciação)]])-2,0)*($G225-$H225)</f>
        <v>129.05878782965115</v>
      </c>
      <c r="BL225" s="22">
        <f>VLOOKUP($A225,tabCustoUnit[],COLUMN(CUSTO_GLOBAL[[#Headers],[Produtos de Limpeza e Materiais de Higiene Pessoal]])-2,0)*($G225-$H225)</f>
        <v>1380.5430655586331</v>
      </c>
      <c r="BM225" s="22">
        <f>VLOOKUP($A225,tabCustoUnit[],COLUMN(CUSTO_GLOBAL[[#Headers],[Outros (especificar)]])-2,0)*($G225-$H225)</f>
        <v>0</v>
      </c>
      <c r="BN225" s="22">
        <f>VLOOKUP($A225,tabCustoUnit[],COLUMN(CUSTO_GLOBAL[[#Headers],[MÓDULO 5 – INSUMOS DIVERSOS]])-2,0)*($G225-$H225)</f>
        <v>1782.2566126387853</v>
      </c>
      <c r="BO225" s="22">
        <f>VLOOKUP($A225,tabCustoUnit[],COLUMN(CUSTO_GLOBAL[[#Headers],[TOTAL MÓDULOS 1+2+3+4+5]])-2,0)*($G225-$H225)</f>
        <v>9004.2976183475675</v>
      </c>
      <c r="BP225" s="22">
        <f>VLOOKUP($A225,tabCustoUnit[],COLUMN(CUSTO_GLOBAL[[#Headers],[Custos Indiretos]])-2,0)*($G225-$H225)</f>
        <v>379.29760280485226</v>
      </c>
      <c r="BQ225" s="22">
        <f>VLOOKUP($A225,tabCustoUnit[],COLUMN(CUSTO_GLOBAL[[#Headers],[Lucro]])-2,0)*($G225-$H225)</f>
        <v>318.60998635607592</v>
      </c>
      <c r="BR225" s="26">
        <f>VLOOKUP($A225,tabCustoUnit[],COLUMN(CUSTO_GLOBAL[[#Headers],[COFINS]])-2,0)</f>
        <v>8.8629737609329504E-2</v>
      </c>
      <c r="BS225" s="26">
        <f>VLOOKUP($A225,tabCustoUnit[],COLUMN(CUSTO_GLOBAL[[#Headers],[PIS]])-2,0)</f>
        <v>1.9241982507288629E-2</v>
      </c>
      <c r="BT225" s="28">
        <f>VLOOKUP($A225,tabCustoUnit[],COLUMN(CUSTO_GLOBAL[[#Headers],[ISS]])-2,0)</f>
        <v>0.05</v>
      </c>
      <c r="BU225" s="26">
        <f>VLOOKUP($A225,tabCustoUnit[],COLUMN(CUSTO_GLOBAL[[#Headers],[ISS (Conversão Alíquota s/ fatura)]])-2,0)</f>
        <v>5.8309037900874633E-2</v>
      </c>
      <c r="BV225" s="26">
        <f>VLOOKUP($A225,tabCustoUnit[],COLUMN(CUSTO_GLOBAL[[#Headers],[Resumo de Alíquotas (PIS+CONFINS+ISS)]])-2,0)</f>
        <v>0.14250000000000002</v>
      </c>
      <c r="BW225" s="138">
        <f>VLOOKUP($A225,tabCustoUnit[],COLUMN(CUSTO_GLOBAL[[#Headers],[PIS + COFINS + ISS (Total Conversão  Alíquota s/ Fatura)]])-2,0)</f>
        <v>0.16618075801749277</v>
      </c>
      <c r="BX225" s="22">
        <f>VLOOKUP($A225,tabCustoUnit[],COLUMN(CUSTO_GLOBAL[[#Headers],[Valor dos Tributos (ISS, PIS, CONFINS)]])-2,0)*($G225-$H225)</f>
        <v>1612.3198158250275</v>
      </c>
      <c r="BY225" s="22">
        <f>VLOOKUP($A225,tabCustoUnit[],COLUMN(CUSTO_GLOBAL[[#Headers],[MÓDULO 6 – CUSTOS INDIRETOS, TRIBUTOS E LUCRO]])-2,0)*($G225-$H225)</f>
        <v>2310.2274049859557</v>
      </c>
      <c r="BZ225" s="22">
        <f>VLOOKUP($A225,tabCustoUnit[],COLUMN(CUSTO_GLOBAL[[#Headers],[CUSTO TOTAL MENSAL]])-2,0)*($G225-$H225)</f>
        <v>11314.525023333523</v>
      </c>
      <c r="CA225" s="22">
        <f>CUSTO_GLOBAL[[#This Row],[CUSTO TOTAL MENSAL]]*12</f>
        <v>135774.30028000227</v>
      </c>
      <c r="CB225" s="24">
        <f>VLOOKUP($A225,tabCustoUnit[],COLUMN(CUSTO_GLOBAL[[#Headers],[ANO DA CCT]])-2,0)</f>
        <v>45658</v>
      </c>
      <c r="CC225" s="25" t="str">
        <f>VLOOKUP($A225,tabCustoUnit[],COLUMN(CUSTO_GLOBAL[[#Headers],[Nº DE PEDIDO DA CCT]])-2,0)</f>
        <v>-</v>
      </c>
      <c r="CD225" s="25" t="str">
        <f>VLOOKUP($A225,tabCustoUnit[],COLUMN(CUSTO_GLOBAL[[#Headers],[TERMO ADITIVO  ALTERAÇÃO DA CCT]])-2,0)</f>
        <v>-</v>
      </c>
      <c r="CF225" s="22"/>
      <c r="CG225" s="22"/>
    </row>
    <row r="226" spans="1:85" x14ac:dyDescent="0.25">
      <c r="A226" s="20" t="s">
        <v>1561</v>
      </c>
      <c r="B226" t="s">
        <v>206</v>
      </c>
      <c r="C226" t="s">
        <v>1247</v>
      </c>
      <c r="D226" t="s">
        <v>1018</v>
      </c>
      <c r="E226" s="20" t="s">
        <v>9</v>
      </c>
      <c r="F226" s="20" t="s">
        <v>10</v>
      </c>
      <c r="G226" s="20">
        <v>1</v>
      </c>
      <c r="H226" s="20">
        <v>0</v>
      </c>
      <c r="I226" s="21">
        <f>VLOOKUP($A226,tabCustoUnit[],COLUMN(CUSTO_GLOBAL[[#Headers],[Salário Base]])-2,0)*($G226-$H226)</f>
        <v>544.17999999999995</v>
      </c>
      <c r="J226" s="21">
        <f>VLOOKUP($A226,tabCustoUnit[],COLUMN(CUSTO_GLOBAL[[#Headers],[Adicional Periculosidade]])-2,0)*($G226-$H226)</f>
        <v>0</v>
      </c>
      <c r="K226" s="21">
        <f>VLOOKUP($A226,tabCustoUnit[],COLUMN(CUSTO_GLOBAL[[#Headers],[Adicional Insalubridade]])-2,0)*($G226-$H226)</f>
        <v>0</v>
      </c>
      <c r="L226" s="21">
        <f>VLOOKUP($A226,tabCustoUnit[],COLUMN(CUSTO_GLOBAL[[#Headers],[Adicional Noturno]])-2,0)*($G226-$H226)</f>
        <v>0</v>
      </c>
      <c r="M226" s="21">
        <f>VLOOKUP($A226,tabCustoUnit[],COLUMN(CUSTO_GLOBAL[[#Headers],[Adicional Motorista II (Gratificação)]])-2,0)*($G226-$H226)</f>
        <v>0</v>
      </c>
      <c r="N226" s="21">
        <f>VLOOKUP($A226,tabCustoUnit[],COLUMN(CUSTO_GLOBAL[[#Headers],[Adicional de Sobreaviso]])-2,0)*($G226-$H226)</f>
        <v>0</v>
      </c>
      <c r="O226" s="21">
        <f>VLOOKUP($A226,tabCustoUnit[],COLUMN(CUSTO_GLOBAL[[#Headers],[Horas Extras TI]])-2,0)*($G226-$H226)</f>
        <v>0</v>
      </c>
      <c r="P226" s="21">
        <f>VLOOKUP($A226,tabCustoUnit[],COLUMN(CUSTO_GLOBAL[[#Headers],[Adicional de Acúmulo de função]])-2,0)*($G226-$H226)</f>
        <v>19.590499999999999</v>
      </c>
      <c r="Q226" s="21">
        <f>VLOOKUP($A226,tabCustoUnit[],COLUMN(CUSTO_GLOBAL[[#Headers],[MODULO 1 - REMUNERAÇÃO ]])-2,0)*($G226-$H226)</f>
        <v>563.77049999999997</v>
      </c>
      <c r="R226" s="21">
        <f>VLOOKUP($A226,tabCustoUnit[],COLUMN(CUSTO_GLOBAL[[#Headers],[INSS]])-2,0)*($G226-$H226)</f>
        <v>112.75409999999999</v>
      </c>
      <c r="S226" s="21">
        <f>VLOOKUP($A226,tabCustoUnit[],COLUMN(CUSTO_GLOBAL[[#Headers],[SESI OU SESC]])-2,0)*($G226-$H226)</f>
        <v>8.4565574999999988</v>
      </c>
      <c r="T226" s="21">
        <f>VLOOKUP($A226,tabCustoUnit[],COLUMN(CUSTO_GLOBAL[[#Headers],[SENAI OU SENAC]])-2,0)*($G226-$H226)</f>
        <v>5.6377049999999995</v>
      </c>
      <c r="U226" s="21">
        <f>VLOOKUP($A226,tabCustoUnit[],COLUMN(CUSTO_GLOBAL[[#Headers],[INCRA]])-2,0)*($G226-$H226)</f>
        <v>1.1275409999999999</v>
      </c>
      <c r="V226" s="21">
        <f>VLOOKUP($A226,tabCustoUnit[],COLUMN(CUSTO_GLOBAL[[#Headers],[Salário Educação]])-2,0)*($G226-$H226)</f>
        <v>14.094262499999999</v>
      </c>
      <c r="W226" s="21">
        <f>VLOOKUP($A226,tabCustoUnit[],COLUMN(CUSTO_GLOBAL[[#Headers],[FGTS]])-2,0)*($G226-$H226)</f>
        <v>45.101639999999996</v>
      </c>
      <c r="X226" s="21">
        <f>VLOOKUP($A226,tabCustoUnit[],COLUMN(CUSTO_GLOBAL[[#Headers],[RAT Ajustado]])-2,0)*($G226-$H226)</f>
        <v>22.550819999999998</v>
      </c>
      <c r="Y226" s="21">
        <f>VLOOKUP($A226,tabCustoUnit[],COLUMN(CUSTO_GLOBAL[[#Headers],[SEBRAE]])-2,0)*($G226-$H226)</f>
        <v>3.3826229999999997</v>
      </c>
      <c r="Z226" s="21">
        <f>VLOOKUP($A226,tabCustoUnit[],COLUMN(CUSTO_GLOBAL[[#Headers],[Submódulo 2.1]])-2,0)*($G226-$H226)</f>
        <v>213.10524899999996</v>
      </c>
      <c r="AA226" s="21">
        <f>VLOOKUP($A226,tabCustoUnit[],COLUMN(CUSTO_GLOBAL[[#Headers],[13º salário (titular)]])-2,0)*($G226-$H226)</f>
        <v>46.980874999999997</v>
      </c>
      <c r="AB226" s="21">
        <f>VLOOKUP($A226,tabCustoUnit[],COLUMN(CUSTO_GLOBAL[[#Headers],[Férias e Adicional de Férias (titular)]])-2,0)*($G226-$H226)</f>
        <v>62.641166666666663</v>
      </c>
      <c r="AC226" s="21">
        <f>VLOOKUP($A226,tabCustoUnit[],COLUMN(CUSTO_GLOBAL[[#Headers],[Incidência do Submódulo 2.1 sobre 13º Salário, Férias e Adicional de Férias]])-2,0)*($G226-$H226)</f>
        <v>41.437131749999992</v>
      </c>
      <c r="AD226" s="21">
        <f>VLOOKUP($A226,tabCustoUnit[],COLUMN(CUSTO_GLOBAL[[#Headers],[Submódulo 2.2]])-2,0)*($G226-$H226)</f>
        <v>151.05917341666665</v>
      </c>
      <c r="AE226" s="22">
        <f>VLOOKUP($A226,tabCustoUnit[],COLUMN(CUSTO_GLOBAL[[#Headers],[Vale - Transporte (Descontada parcela do empregado)]])-2,0)*($G226-$H226)</f>
        <v>223.3492</v>
      </c>
      <c r="AF226" s="22">
        <f>VLOOKUP($A226,tabCustoUnit[],COLUMN(CUSTO_GLOBAL[[#Headers],[Vale - Alimentação (Descontada parcela do empregado)]])-2,0)*($G226-$H226)</f>
        <v>582</v>
      </c>
      <c r="AG226" s="22">
        <f>VLOOKUP($A226,tabCustoUnit[],COLUMN(CUSTO_GLOBAL[[#Headers],[Cesta Básica]])-2,0)*($G226-$H226)</f>
        <v>0</v>
      </c>
      <c r="AH226" s="22">
        <f>VLOOKUP($A226,tabCustoUnit[],COLUMN(CUSTO_GLOBAL[[#Headers],[PAF]])-2,0)*($G226-$H226)</f>
        <v>51.88</v>
      </c>
      <c r="AI226" s="22">
        <f>VLOOKUP($A226,tabCustoUnit[],COLUMN(CUSTO_GLOBAL[[#Headers],[PQM]])-2,0)*($G226-$H226)</f>
        <v>0</v>
      </c>
      <c r="AJ226" s="22">
        <v>0</v>
      </c>
      <c r="AK226" s="22">
        <f>VLOOKUP($A226,tabCustoUnit[],COLUMN(CUSTO_GLOBAL[[#Headers],[Seguro de Vida]])-2,0)*($G226-$H226)</f>
        <v>3.36</v>
      </c>
      <c r="AL226" s="22">
        <f>VLOOKUP($A226,tabCustoUnit[],COLUMN(CUSTO_GLOBAL[[#Headers],[Despesas de Viagem]])-2,0)*($G226-$H226)</f>
        <v>0</v>
      </c>
      <c r="AM226" s="22">
        <f>VLOOKUP($A226,tabCustoUnit[],COLUMN(CUSTO_GLOBAL[[#Headers],[Submódulo 2.3]])-2,0)*($G226-$H226)</f>
        <v>860.58920000000001</v>
      </c>
      <c r="AN226" s="22">
        <f>VLOOKUP($A226,tabCustoUnit[],COLUMN(CUSTO_GLOBAL[[#Headers],[MÓDULO 2 - Total Encargos e Benefícios mensais e diários]])-2,0)*($G226-$H226)</f>
        <v>1224.7536224166665</v>
      </c>
      <c r="AO226" s="22">
        <f>VLOOKUP($A226,tabCustoUnit[],COLUMN(CUSTO_GLOBAL[[#Headers],[Aviso Prévio Indenizado (API) e Reflexo do Aviso Prévio Indenizado]])-2,0)*($G226-$H226)</f>
        <v>3.9530273735532404</v>
      </c>
      <c r="AP226" s="22">
        <f>VLOOKUP($A226,tabCustoUnit[],COLUMN(CUSTO_GLOBAL[[#Headers],[Incidência do FGTS sobre API e Reflexo do API]])-2,0)*($G226-$H226)</f>
        <v>0.31624218988425928</v>
      </c>
      <c r="AQ226" s="22">
        <f>VLOOKUP($A226,tabCustoUnit[],COLUMN(CUSTO_GLOBAL[[#Headers],[Multa Rescisória do FGTS sobre o Aviso Prévio Indenizado]])-2,0)*($G226-$H226)</f>
        <v>0.12649687595370371</v>
      </c>
      <c r="AR226" s="22">
        <f>VLOOKUP($A226,tabCustoUnit[],COLUMN(CUSTO_GLOBAL[[#Headers],[Aviso Prévio Trabalhado - APT]])-2,0)*($G226-$H226)</f>
        <v>1.9731967500000003</v>
      </c>
      <c r="AS226" s="22">
        <f>VLOOKUP($A226,tabCustoUnit[],COLUMN(CUSTO_GLOBAL[[#Headers],[Incidência dos encargos do submódulo 2.1 sobre Aviso Prévio Trabalhado]])-2,0)*($G226-$H226)</f>
        <v>0.74586837150000018</v>
      </c>
      <c r="AT226" s="22">
        <f>VLOOKUP($A226,tabCustoUnit[],COLUMN(CUSTO_GLOBAL[[#Headers],[Multa Rescisória do FGTS]])-2,0)*($G226-$H226)</f>
        <v>17.238849066666663</v>
      </c>
      <c r="AU226" s="22">
        <f>VLOOKUP($A226,tabCustoUnit[],COLUMN(CUSTO_GLOBAL[[#Headers],[Indenização Adicional (Art. 9º da Lei nº 7.238/84)]])-2,0)*($G226-$H226)</f>
        <v>0.46980875</v>
      </c>
      <c r="AV226" s="22">
        <f>VLOOKUP($A226,tabCustoUnit[],COLUMN(CUSTO_GLOBAL[[#Headers],[MÓDULO 3 – PROVISÃO PARA RESCISÃO]])-2,0)*($G226-$H226)</f>
        <v>24.823489377557866</v>
      </c>
      <c r="AW226" s="22">
        <f>VLOOKUP($A226,tabCustoUnit[],COLUMN(CUSTO_GLOBAL[[#Headers],[Ausência por Doença]])-2,0)*($G226-$H226)</f>
        <v>4.7607286666666662</v>
      </c>
      <c r="AX226" s="22">
        <f>VLOOKUP($A226,tabCustoUnit[],COLUMN(CUSTO_GLOBAL[[#Headers],[Ausências Legais]])-2,0)*($G226-$H226)</f>
        <v>1.1432012916666665</v>
      </c>
      <c r="AY226" s="22">
        <f>VLOOKUP($A226,tabCustoUnit[],COLUMN(CUSTO_GLOBAL[[#Headers],[Licença Paternidade]])-2,0)*($G226-$H226)</f>
        <v>9.6310793749999998E-2</v>
      </c>
      <c r="AZ226" s="22">
        <f>VLOOKUP($A226,tabCustoUnit[],COLUMN(CUSTO_GLOBAL[[#Headers],[Ausência por Acidente de Trabalho]])-2,0)*($G226-$H226)</f>
        <v>0.1174521875</v>
      </c>
      <c r="BA226" s="22">
        <f>VLOOKUP($A226,tabCustoUnit[],COLUMN(CUSTO_GLOBAL[[#Headers],[Férias, Adicional de Férias e 13º  com empregada em gozo de Licença Maternidade]])-2,0)*($G226-$H226)</f>
        <v>0.73081361111111109</v>
      </c>
      <c r="BB226" s="22">
        <f>VLOOKUP($A226,tabCustoUnit[],COLUMN(CUSTO_GLOBAL[[#Headers],[Incidência do Submódulo 2.1 sobre Ausências Legais]])-2,0)*($G226-$H226)</f>
        <v>2.5887354761625003</v>
      </c>
      <c r="BC226" s="22">
        <f>VLOOKUP($A226,tabCustoUnit[],COLUMN(CUSTO_GLOBAL[[#Headers],[Submódulo 4.1]])-2,0)*($G226-$H226)</f>
        <v>9.4372420268569428</v>
      </c>
      <c r="BD226" s="22">
        <f>VLOOKUP($A226,tabCustoUnit[],COLUMN(CUSTO_GLOBAL[[#Headers],[Intervalo para Repouso ou Alimentação]])-2,0)*($G226-$H226)</f>
        <v>0</v>
      </c>
      <c r="BE226" s="22">
        <f>VLOOKUP($A226,tabCustoUnit[],COLUMN(CUSTO_GLOBAL[[#Headers],[Submódulo 4.2]])-2,0)*($G226-$H226)</f>
        <v>0</v>
      </c>
      <c r="BF226" s="22">
        <f>VLOOKUP($A226,tabCustoUnit[],COLUMN(CUSTO_GLOBAL[[#Headers],[Suspensão Temporária do Contrato de Trabalho]])-2,0)*($G226-$H226)</f>
        <v>0</v>
      </c>
      <c r="BG226" s="22">
        <f>VLOOKUP($A226,tabCustoUnit[],COLUMN(CUSTO_GLOBAL[[#Headers],[Submódulo 4.3]])-2,0)*($G226-$H226)</f>
        <v>0</v>
      </c>
      <c r="BH226" s="22">
        <f>VLOOKUP($A226,tabCustoUnit[],COLUMN(CUSTO_GLOBAL[[#Headers],[MÓDULO 4 – CUSTO DE REPOSIÇÃO DO PROFISSIONAL AUSENTE]])-2,0)*($G226-$H226)</f>
        <v>9.4372420268569428</v>
      </c>
      <c r="BI226" s="22">
        <f>VLOOKUP($A226,tabCustoUnit[],COLUMN(CUSTO_GLOBAL[[#Headers],[Uniformes e EPIs]])-2,0)*($G226-$H226)</f>
        <v>62.806666666666665</v>
      </c>
      <c r="BJ226" s="22">
        <f>VLOOKUP($A226,tabCustoUnit[],COLUMN(CUSTO_GLOBAL[[#Headers],[Materiais de Consumo]])-2,0)*($G226-$H226)</f>
        <v>12.108481690426325</v>
      </c>
      <c r="BK226" s="22">
        <f>VLOOKUP($A226,tabCustoUnit[],COLUMN(CUSTO_GLOBAL[[#Headers],[Máquinas e Equipamentos (depreciação)]])-2,0)*($G226-$H226)</f>
        <v>21.998657016417809</v>
      </c>
      <c r="BL226" s="22">
        <f>VLOOKUP($A226,tabCustoUnit[],COLUMN(CUSTO_GLOBAL[[#Headers],[Produtos de Limpeza e Materiais de Higiene Pessoal]])-2,0)*($G226-$H226)</f>
        <v>235.31984072022155</v>
      </c>
      <c r="BM226" s="22">
        <f>VLOOKUP($A226,tabCustoUnit[],COLUMN(CUSTO_GLOBAL[[#Headers],[Outros (especificar)]])-2,0)*($G226-$H226)</f>
        <v>0</v>
      </c>
      <c r="BN226" s="22">
        <f>VLOOKUP($A226,tabCustoUnit[],COLUMN(CUSTO_GLOBAL[[#Headers],[MÓDULO 5 – INSUMOS DIVERSOS]])-2,0)*($G226-$H226)</f>
        <v>332.23364609373232</v>
      </c>
      <c r="BO226" s="22">
        <f>VLOOKUP($A226,tabCustoUnit[],COLUMN(CUSTO_GLOBAL[[#Headers],[TOTAL MÓDULOS 1+2+3+4+5]])-2,0)*($G226-$H226)</f>
        <v>2155.0184999148137</v>
      </c>
      <c r="BP226" s="22">
        <f>VLOOKUP($A226,tabCustoUnit[],COLUMN(CUSTO_GLOBAL[[#Headers],[Custos Indiretos]])-2,0)*($G226-$H226)</f>
        <v>189.64880140242613</v>
      </c>
      <c r="BQ226" s="22">
        <f>VLOOKUP($A226,tabCustoUnit[],COLUMN(CUSTO_GLOBAL[[#Headers],[Lucro]])-2,0)*($G226-$H226)</f>
        <v>159.30499317803796</v>
      </c>
      <c r="BR226" s="26">
        <f>VLOOKUP($A226,tabCustoUnit[],COLUMN(CUSTO_GLOBAL[[#Headers],[COFINS]])-2,0)</f>
        <v>8.6609686609686695E-2</v>
      </c>
      <c r="BS226" s="26">
        <f>VLOOKUP($A226,tabCustoUnit[],COLUMN(CUSTO_GLOBAL[[#Headers],[PIS]])-2,0)</f>
        <v>1.880341880341882E-2</v>
      </c>
      <c r="BT226" s="28">
        <f>VLOOKUP($A226,tabCustoUnit[],COLUMN(CUSTO_GLOBAL[[#Headers],[ISS]])-2,0)</f>
        <v>0.03</v>
      </c>
      <c r="BU226" s="26">
        <f>VLOOKUP($A226,tabCustoUnit[],COLUMN(CUSTO_GLOBAL[[#Headers],[ISS (Conversão Alíquota s/ fatura)]])-2,0)</f>
        <v>3.4188034188034219E-2</v>
      </c>
      <c r="BV226" s="26">
        <f>VLOOKUP($A226,tabCustoUnit[],COLUMN(CUSTO_GLOBAL[[#Headers],[Resumo de Alíquotas (PIS+CONFINS+ISS)]])-2,0)</f>
        <v>0.1225</v>
      </c>
      <c r="BW226" s="138">
        <f>VLOOKUP($A226,tabCustoUnit[],COLUMN(CUSTO_GLOBAL[[#Headers],[PIS + COFINS + ISS (Total Conversão  Alíquota s/ Fatura)]])-2,0)</f>
        <v>0.13960113960113973</v>
      </c>
      <c r="BX226" s="22">
        <f>VLOOKUP($A226,tabCustoUnit[],COLUMN(CUSTO_GLOBAL[[#Headers],[Valor dos Tributos (ISS, PIS, CONFINS)]])-2,0)*($G226-$H226)</f>
        <v>349.55738584122145</v>
      </c>
      <c r="BY226" s="22">
        <f>VLOOKUP($A226,tabCustoUnit[],COLUMN(CUSTO_GLOBAL[[#Headers],[MÓDULO 6 – CUSTOS INDIRETOS, TRIBUTOS E LUCRO]])-2,0)*($G226-$H226)</f>
        <v>698.51118042168559</v>
      </c>
      <c r="BZ226" s="22">
        <f>VLOOKUP($A226,tabCustoUnit[],COLUMN(CUSTO_GLOBAL[[#Headers],[CUSTO TOTAL MENSAL]])-2,0)*($G226-$H226)</f>
        <v>2853.529680336499</v>
      </c>
      <c r="CA226" s="22">
        <f>CUSTO_GLOBAL[[#This Row],[CUSTO TOTAL MENSAL]]*12</f>
        <v>34242.356164037992</v>
      </c>
      <c r="CB226" s="24">
        <f>VLOOKUP($A226,tabCustoUnit[],COLUMN(CUSTO_GLOBAL[[#Headers],[ANO DA CCT]])-2,0)</f>
        <v>45658</v>
      </c>
      <c r="CC226" s="25" t="str">
        <f>VLOOKUP($A226,tabCustoUnit[],COLUMN(CUSTO_GLOBAL[[#Headers],[Nº DE PEDIDO DA CCT]])-2,0)</f>
        <v>-</v>
      </c>
      <c r="CD226" s="25" t="str">
        <f>VLOOKUP($A226,tabCustoUnit[],COLUMN(CUSTO_GLOBAL[[#Headers],[TERMO ADITIVO  ALTERAÇÃO DA CCT]])-2,0)</f>
        <v>-</v>
      </c>
      <c r="CF226" s="22"/>
      <c r="CG226" s="22"/>
    </row>
    <row r="227" spans="1:85" x14ac:dyDescent="0.25">
      <c r="A227" s="20" t="s">
        <v>1562</v>
      </c>
      <c r="B227" t="s">
        <v>207</v>
      </c>
      <c r="C227" t="s">
        <v>1245</v>
      </c>
      <c r="D227" t="s">
        <v>207</v>
      </c>
      <c r="E227" s="20" t="s">
        <v>9</v>
      </c>
      <c r="F227" s="20" t="s">
        <v>10</v>
      </c>
      <c r="G227" s="20">
        <v>2</v>
      </c>
      <c r="H227" s="20">
        <v>0</v>
      </c>
      <c r="I227" s="21">
        <f>VLOOKUP($A227,tabCustoUnit[],COLUMN(CUSTO_GLOBAL[[#Headers],[Salário Base]])-2,0)*($G227-$H227)</f>
        <v>3298.24</v>
      </c>
      <c r="J227" s="21">
        <f>VLOOKUP($A227,tabCustoUnit[],COLUMN(CUSTO_GLOBAL[[#Headers],[Adicional Periculosidade]])-2,0)*($G227-$H227)</f>
        <v>0</v>
      </c>
      <c r="K227" s="21">
        <f>VLOOKUP($A227,tabCustoUnit[],COLUMN(CUSTO_GLOBAL[[#Headers],[Adicional Insalubridade]])-2,0)*($G227-$H227)</f>
        <v>0</v>
      </c>
      <c r="L227" s="21">
        <f>VLOOKUP($A227,tabCustoUnit[],COLUMN(CUSTO_GLOBAL[[#Headers],[Adicional Noturno]])-2,0)*($G227-$H227)</f>
        <v>0</v>
      </c>
      <c r="M227" s="21">
        <f>VLOOKUP($A227,tabCustoUnit[],COLUMN(CUSTO_GLOBAL[[#Headers],[Adicional Motorista II (Gratificação)]])-2,0)*($G227-$H227)</f>
        <v>0</v>
      </c>
      <c r="N227" s="21">
        <f>VLOOKUP($A227,tabCustoUnit[],COLUMN(CUSTO_GLOBAL[[#Headers],[Adicional de Sobreaviso]])-2,0)*($G227-$H227)</f>
        <v>0</v>
      </c>
      <c r="O227" s="21">
        <f>VLOOKUP($A227,tabCustoUnit[],COLUMN(CUSTO_GLOBAL[[#Headers],[Horas Extras TI]])-2,0)*($G227-$H227)</f>
        <v>0</v>
      </c>
      <c r="P227" s="21">
        <f>VLOOKUP($A227,tabCustoUnit[],COLUMN(CUSTO_GLOBAL[[#Headers],[Adicional de Acúmulo de função]])-2,0)*($G227-$H227)</f>
        <v>107.94240000000001</v>
      </c>
      <c r="Q227" s="21">
        <f>VLOOKUP($A227,tabCustoUnit[],COLUMN(CUSTO_GLOBAL[[#Headers],[MODULO 1 - REMUNERAÇÃO ]])-2,0)*($G227-$H227)</f>
        <v>3406.1823999999997</v>
      </c>
      <c r="R227" s="21">
        <f>VLOOKUP($A227,tabCustoUnit[],COLUMN(CUSTO_GLOBAL[[#Headers],[INSS]])-2,0)*($G227-$H227)</f>
        <v>681.23648000000003</v>
      </c>
      <c r="S227" s="21">
        <f>VLOOKUP($A227,tabCustoUnit[],COLUMN(CUSTO_GLOBAL[[#Headers],[SESI OU SESC]])-2,0)*($G227-$H227)</f>
        <v>51.092735999999995</v>
      </c>
      <c r="T227" s="21">
        <f>VLOOKUP($A227,tabCustoUnit[],COLUMN(CUSTO_GLOBAL[[#Headers],[SENAI OU SENAC]])-2,0)*($G227-$H227)</f>
        <v>34.061823999999994</v>
      </c>
      <c r="U227" s="21">
        <f>VLOOKUP($A227,tabCustoUnit[],COLUMN(CUSTO_GLOBAL[[#Headers],[INCRA]])-2,0)*($G227-$H227)</f>
        <v>6.8123647999999992</v>
      </c>
      <c r="V227" s="21">
        <f>VLOOKUP($A227,tabCustoUnit[],COLUMN(CUSTO_GLOBAL[[#Headers],[Salário Educação]])-2,0)*($G227-$H227)</f>
        <v>85.154560000000004</v>
      </c>
      <c r="W227" s="21">
        <f>VLOOKUP($A227,tabCustoUnit[],COLUMN(CUSTO_GLOBAL[[#Headers],[FGTS]])-2,0)*($G227-$H227)</f>
        <v>272.49459199999995</v>
      </c>
      <c r="X227" s="21">
        <f>VLOOKUP($A227,tabCustoUnit[],COLUMN(CUSTO_GLOBAL[[#Headers],[RAT Ajustado]])-2,0)*($G227-$H227)</f>
        <v>136.24729599999998</v>
      </c>
      <c r="Y227" s="21">
        <f>VLOOKUP($A227,tabCustoUnit[],COLUMN(CUSTO_GLOBAL[[#Headers],[SEBRAE]])-2,0)*($G227-$H227)</f>
        <v>20.437094399999999</v>
      </c>
      <c r="Z227" s="21">
        <f>VLOOKUP($A227,tabCustoUnit[],COLUMN(CUSTO_GLOBAL[[#Headers],[Submódulo 2.1]])-2,0)*($G227-$H227)</f>
        <v>1287.5369472</v>
      </c>
      <c r="AA227" s="21">
        <f>VLOOKUP($A227,tabCustoUnit[],COLUMN(CUSTO_GLOBAL[[#Headers],[13º salário (titular)]])-2,0)*($G227-$H227)</f>
        <v>283.84853333333331</v>
      </c>
      <c r="AB227" s="21">
        <f>VLOOKUP($A227,tabCustoUnit[],COLUMN(CUSTO_GLOBAL[[#Headers],[Férias e Adicional de Férias (titular)]])-2,0)*($G227-$H227)</f>
        <v>378.46471111111106</v>
      </c>
      <c r="AC227" s="21">
        <f>VLOOKUP($A227,tabCustoUnit[],COLUMN(CUSTO_GLOBAL[[#Headers],[Incidência do Submódulo 2.1 sobre 13º Salário, Férias e Adicional de Férias]])-2,0)*($G227-$H227)</f>
        <v>250.35440639999999</v>
      </c>
      <c r="AD227" s="21">
        <f>VLOOKUP($A227,tabCustoUnit[],COLUMN(CUSTO_GLOBAL[[#Headers],[Submódulo 2.2]])-2,0)*($G227-$H227)</f>
        <v>912.66765084444432</v>
      </c>
      <c r="AE227" s="22">
        <f>VLOOKUP($A227,tabCustoUnit[],COLUMN(CUSTO_GLOBAL[[#Headers],[Vale - Transporte (Descontada parcela do empregado)]])-2,0)*($G227-$H227)</f>
        <v>314.10559999999998</v>
      </c>
      <c r="AF227" s="22">
        <f>VLOOKUP($A227,tabCustoUnit[],COLUMN(CUSTO_GLOBAL[[#Headers],[Vale - Alimentação (Descontada parcela do empregado)]])-2,0)*($G227-$H227)</f>
        <v>1164</v>
      </c>
      <c r="AG227" s="22">
        <f>VLOOKUP($A227,tabCustoUnit[],COLUMN(CUSTO_GLOBAL[[#Headers],[Cesta Básica]])-2,0)*($G227-$H227)</f>
        <v>0</v>
      </c>
      <c r="AH227" s="22">
        <f>VLOOKUP($A227,tabCustoUnit[],COLUMN(CUSTO_GLOBAL[[#Headers],[PAF]])-2,0)*($G227-$H227)</f>
        <v>106.54</v>
      </c>
      <c r="AI227" s="22">
        <f>VLOOKUP($A227,tabCustoUnit[],COLUMN(CUSTO_GLOBAL[[#Headers],[PQM]])-2,0)*($G227-$H227)</f>
        <v>0</v>
      </c>
      <c r="AJ227" s="22">
        <v>0</v>
      </c>
      <c r="AK227" s="22">
        <f>VLOOKUP($A227,tabCustoUnit[],COLUMN(CUSTO_GLOBAL[[#Headers],[Seguro de Vida]])-2,0)*($G227-$H227)</f>
        <v>6.72</v>
      </c>
      <c r="AL227" s="22">
        <f>VLOOKUP($A227,tabCustoUnit[],COLUMN(CUSTO_GLOBAL[[#Headers],[Despesas de Viagem]])-2,0)*($G227-$H227)</f>
        <v>0</v>
      </c>
      <c r="AM227" s="22">
        <f>VLOOKUP($A227,tabCustoUnit[],COLUMN(CUSTO_GLOBAL[[#Headers],[Submódulo 2.3]])-2,0)*($G227-$H227)</f>
        <v>1591.3655999999999</v>
      </c>
      <c r="AN227" s="22">
        <f>VLOOKUP($A227,tabCustoUnit[],COLUMN(CUSTO_GLOBAL[[#Headers],[MÓDULO 2 - Total Encargos e Benefícios mensais e diários]])-2,0)*($G227-$H227)</f>
        <v>3791.5701980444446</v>
      </c>
      <c r="AO227" s="22">
        <f>VLOOKUP($A227,tabCustoUnit[],COLUMN(CUSTO_GLOBAL[[#Headers],[Aviso Prévio Indenizado (API) e Reflexo do Aviso Prévio Indenizado]])-2,0)*($G227-$H227)</f>
        <v>23.883357264197528</v>
      </c>
      <c r="AP227" s="22">
        <f>VLOOKUP($A227,tabCustoUnit[],COLUMN(CUSTO_GLOBAL[[#Headers],[Incidência do FGTS sobre API e Reflexo do API]])-2,0)*($G227-$H227)</f>
        <v>1.9106685811358024</v>
      </c>
      <c r="AQ227" s="22">
        <f>VLOOKUP($A227,tabCustoUnit[],COLUMN(CUSTO_GLOBAL[[#Headers],[Multa Rescisória do FGTS sobre o Aviso Prévio Indenizado]])-2,0)*($G227-$H227)</f>
        <v>0.76426743245432105</v>
      </c>
      <c r="AR227" s="22">
        <f>VLOOKUP($A227,tabCustoUnit[],COLUMN(CUSTO_GLOBAL[[#Headers],[Aviso Prévio Trabalhado - APT]])-2,0)*($G227-$H227)</f>
        <v>11.921638400000001</v>
      </c>
      <c r="AS227" s="22">
        <f>VLOOKUP($A227,tabCustoUnit[],COLUMN(CUSTO_GLOBAL[[#Headers],[Incidência dos encargos do submódulo 2.1 sobre Aviso Prévio Trabalhado]])-2,0)*($G227-$H227)</f>
        <v>4.5063793152000011</v>
      </c>
      <c r="AT227" s="22">
        <f>VLOOKUP($A227,tabCustoUnit[],COLUMN(CUSTO_GLOBAL[[#Headers],[Multa Rescisória do FGTS]])-2,0)*($G227-$H227)</f>
        <v>104.15348849777776</v>
      </c>
      <c r="AU227" s="22">
        <f>VLOOKUP($A227,tabCustoUnit[],COLUMN(CUSTO_GLOBAL[[#Headers],[Indenização Adicional (Art. 9º da Lei nº 7.238/84)]])-2,0)*($G227-$H227)</f>
        <v>2.8384853333333333</v>
      </c>
      <c r="AV227" s="22">
        <f>VLOOKUP($A227,tabCustoUnit[],COLUMN(CUSTO_GLOBAL[[#Headers],[MÓDULO 3 – PROVISÃO PARA RESCISÃO]])-2,0)*($G227-$H227)</f>
        <v>149.97828482409875</v>
      </c>
      <c r="AW227" s="22">
        <f>VLOOKUP($A227,tabCustoUnit[],COLUMN(CUSTO_GLOBAL[[#Headers],[Ausência por Doença]])-2,0)*($G227-$H227)</f>
        <v>28.763318044444439</v>
      </c>
      <c r="AX227" s="22">
        <f>VLOOKUP($A227,tabCustoUnit[],COLUMN(CUSTO_GLOBAL[[#Headers],[Ausências Legais]])-2,0)*($G227-$H227)</f>
        <v>6.9069809777777769</v>
      </c>
      <c r="AY227" s="22">
        <f>VLOOKUP($A227,tabCustoUnit[],COLUMN(CUSTO_GLOBAL[[#Headers],[Licença Paternidade]])-2,0)*($G227-$H227)</f>
        <v>0.58188949333333329</v>
      </c>
      <c r="AZ227" s="22">
        <f>VLOOKUP($A227,tabCustoUnit[],COLUMN(CUSTO_GLOBAL[[#Headers],[Ausência por Acidente de Trabalho]])-2,0)*($G227-$H227)</f>
        <v>0.70962133333333333</v>
      </c>
      <c r="BA227" s="22">
        <f>VLOOKUP($A227,tabCustoUnit[],COLUMN(CUSTO_GLOBAL[[#Headers],[Férias, Adicional de Férias e 13º  com empregada em gozo de Licença Maternidade]])-2,0)*($G227-$H227)</f>
        <v>4.4154216296296287</v>
      </c>
      <c r="BB227" s="22">
        <f>VLOOKUP($A227,tabCustoUnit[],COLUMN(CUSTO_GLOBAL[[#Headers],[Incidência do Submódulo 2.1 sobre Ausências Legais]])-2,0)*($G227-$H227)</f>
        <v>15.640593498880001</v>
      </c>
      <c r="BC227" s="22">
        <f>VLOOKUP($A227,tabCustoUnit[],COLUMN(CUSTO_GLOBAL[[#Headers],[Submódulo 4.1]])-2,0)*($G227-$H227)</f>
        <v>57.017824977398512</v>
      </c>
      <c r="BD227" s="22">
        <f>VLOOKUP($A227,tabCustoUnit[],COLUMN(CUSTO_GLOBAL[[#Headers],[Intervalo para Repouso ou Alimentação]])-2,0)*($G227-$H227)</f>
        <v>0</v>
      </c>
      <c r="BE227" s="22">
        <f>VLOOKUP($A227,tabCustoUnit[],COLUMN(CUSTO_GLOBAL[[#Headers],[Submódulo 4.2]])-2,0)*($G227-$H227)</f>
        <v>0</v>
      </c>
      <c r="BF227" s="22">
        <f>VLOOKUP($A227,tabCustoUnit[],COLUMN(CUSTO_GLOBAL[[#Headers],[Suspensão Temporária do Contrato de Trabalho]])-2,0)*($G227-$H227)</f>
        <v>0</v>
      </c>
      <c r="BG227" s="22">
        <f>VLOOKUP($A227,tabCustoUnit[],COLUMN(CUSTO_GLOBAL[[#Headers],[Submódulo 4.3]])-2,0)*($G227-$H227)</f>
        <v>0</v>
      </c>
      <c r="BH227" s="22">
        <f>VLOOKUP($A227,tabCustoUnit[],COLUMN(CUSTO_GLOBAL[[#Headers],[MÓDULO 4 – CUSTO DE REPOSIÇÃO DO PROFISSIONAL AUSENTE]])-2,0)*($G227-$H227)</f>
        <v>57.017824977398512</v>
      </c>
      <c r="BI227" s="22">
        <f>VLOOKUP($A227,tabCustoUnit[],COLUMN(CUSTO_GLOBAL[[#Headers],[Uniformes e EPIs]])-2,0)*($G227-$H227)</f>
        <v>201.61833333333331</v>
      </c>
      <c r="BJ227" s="22">
        <f>VLOOKUP($A227,tabCustoUnit[],COLUMN(CUSTO_GLOBAL[[#Headers],[Materiais de Consumo]])-2,0)*($G227-$H227)</f>
        <v>71.036425917167776</v>
      </c>
      <c r="BK227" s="22">
        <f>VLOOKUP($A227,tabCustoUnit[],COLUMN(CUSTO_GLOBAL[[#Headers],[Máquinas e Equipamentos (depreciação)]])-2,0)*($G227-$H227)</f>
        <v>129.05878782965115</v>
      </c>
      <c r="BL227" s="22">
        <f>VLOOKUP($A227,tabCustoUnit[],COLUMN(CUSTO_GLOBAL[[#Headers],[Produtos de Limpeza e Materiais de Higiene Pessoal]])-2,0)*($G227-$H227)</f>
        <v>1380.5430655586331</v>
      </c>
      <c r="BM227" s="22">
        <f>VLOOKUP($A227,tabCustoUnit[],COLUMN(CUSTO_GLOBAL[[#Headers],[Outros (especificar)]])-2,0)*($G227-$H227)</f>
        <v>0</v>
      </c>
      <c r="BN227" s="22">
        <f>VLOOKUP($A227,tabCustoUnit[],COLUMN(CUSTO_GLOBAL[[#Headers],[MÓDULO 5 – INSUMOS DIVERSOS]])-2,0)*($G227-$H227)</f>
        <v>1782.2566126387853</v>
      </c>
      <c r="BO227" s="22">
        <f>VLOOKUP($A227,tabCustoUnit[],COLUMN(CUSTO_GLOBAL[[#Headers],[TOTAL MÓDULOS 1+2+3+4+5]])-2,0)*($G227-$H227)</f>
        <v>9187.0053204847263</v>
      </c>
      <c r="BP227" s="22">
        <f>VLOOKUP($A227,tabCustoUnit[],COLUMN(CUSTO_GLOBAL[[#Headers],[Custos Indiretos]])-2,0)*($G227-$H227)</f>
        <v>379.29760280485226</v>
      </c>
      <c r="BQ227" s="22">
        <f>VLOOKUP($A227,tabCustoUnit[],COLUMN(CUSTO_GLOBAL[[#Headers],[Lucro]])-2,0)*($G227-$H227)</f>
        <v>318.60998635607592</v>
      </c>
      <c r="BR227" s="26">
        <f>VLOOKUP($A227,tabCustoUnit[],COLUMN(CUSTO_GLOBAL[[#Headers],[COFINS]])-2,0)</f>
        <v>8.6609686609686695E-2</v>
      </c>
      <c r="BS227" s="26">
        <f>VLOOKUP($A227,tabCustoUnit[],COLUMN(CUSTO_GLOBAL[[#Headers],[PIS]])-2,0)</f>
        <v>1.880341880341882E-2</v>
      </c>
      <c r="BT227" s="28">
        <f>VLOOKUP($A227,tabCustoUnit[],COLUMN(CUSTO_GLOBAL[[#Headers],[ISS]])-2,0)</f>
        <v>0.03</v>
      </c>
      <c r="BU227" s="26">
        <f>VLOOKUP($A227,tabCustoUnit[],COLUMN(CUSTO_GLOBAL[[#Headers],[ISS (Conversão Alíquota s/ fatura)]])-2,0)</f>
        <v>3.4188034188034219E-2</v>
      </c>
      <c r="BV227" s="26">
        <f>VLOOKUP($A227,tabCustoUnit[],COLUMN(CUSTO_GLOBAL[[#Headers],[Resumo de Alíquotas (PIS+CONFINS+ISS)]])-2,0)</f>
        <v>0.1225</v>
      </c>
      <c r="BW227" s="138">
        <f>VLOOKUP($A227,tabCustoUnit[],COLUMN(CUSTO_GLOBAL[[#Headers],[PIS + COFINS + ISS (Total Conversão  Alíquota s/ Fatura)]])-2,0)</f>
        <v>0.13960113960113973</v>
      </c>
      <c r="BX227" s="22">
        <f>VLOOKUP($A227,tabCustoUnit[],COLUMN(CUSTO_GLOBAL[[#Headers],[Valor dos Tributos (ISS, PIS, CONFINS)]])-2,0)*($G227-$H227)</f>
        <v>1379.9451070445514</v>
      </c>
      <c r="BY227" s="22">
        <f>VLOOKUP($A227,tabCustoUnit[],COLUMN(CUSTO_GLOBAL[[#Headers],[MÓDULO 6 – CUSTOS INDIRETOS, TRIBUTOS E LUCRO]])-2,0)*($G227-$H227)</f>
        <v>2077.8526962054793</v>
      </c>
      <c r="BZ227" s="22">
        <f>VLOOKUP($A227,tabCustoUnit[],COLUMN(CUSTO_GLOBAL[[#Headers],[CUSTO TOTAL MENSAL]])-2,0)*($G227-$H227)</f>
        <v>11264.858016690207</v>
      </c>
      <c r="CA227" s="22">
        <f>CUSTO_GLOBAL[[#This Row],[CUSTO TOTAL MENSAL]]*12</f>
        <v>135178.29620028246</v>
      </c>
      <c r="CB227" s="24">
        <f>VLOOKUP($A227,tabCustoUnit[],COLUMN(CUSTO_GLOBAL[[#Headers],[ANO DA CCT]])-2,0)</f>
        <v>45658</v>
      </c>
      <c r="CC227" s="25" t="str">
        <f>VLOOKUP($A227,tabCustoUnit[],COLUMN(CUSTO_GLOBAL[[#Headers],[Nº DE PEDIDO DA CCT]])-2,0)</f>
        <v>-</v>
      </c>
      <c r="CD227" s="25" t="str">
        <f>VLOOKUP($A227,tabCustoUnit[],COLUMN(CUSTO_GLOBAL[[#Headers],[TERMO ADITIVO  ALTERAÇÃO DA CCT]])-2,0)</f>
        <v>-</v>
      </c>
      <c r="CF227" s="22"/>
      <c r="CG227" s="22"/>
    </row>
    <row r="228" spans="1:85" x14ac:dyDescent="0.25">
      <c r="A228" s="20" t="s">
        <v>1563</v>
      </c>
      <c r="B228" t="s">
        <v>208</v>
      </c>
      <c r="C228" t="s">
        <v>1244</v>
      </c>
      <c r="D228" t="s">
        <v>1041</v>
      </c>
      <c r="E228" s="20" t="s">
        <v>9</v>
      </c>
      <c r="F228" s="20" t="s">
        <v>10</v>
      </c>
      <c r="G228" s="20">
        <v>1</v>
      </c>
      <c r="H228" s="20">
        <v>0</v>
      </c>
      <c r="I228" s="21">
        <f>VLOOKUP($A228,tabCustoUnit[],COLUMN(CUSTO_GLOBAL[[#Headers],[Salário Base]])-2,0)*($G228-$H228)</f>
        <v>798.14</v>
      </c>
      <c r="J228" s="21">
        <f>VLOOKUP($A228,tabCustoUnit[],COLUMN(CUSTO_GLOBAL[[#Headers],[Adicional Periculosidade]])-2,0)*($G228-$H228)</f>
        <v>0</v>
      </c>
      <c r="K228" s="21">
        <f>VLOOKUP($A228,tabCustoUnit[],COLUMN(CUSTO_GLOBAL[[#Headers],[Adicional Insalubridade]])-2,0)*($G228-$H228)</f>
        <v>0</v>
      </c>
      <c r="L228" s="21">
        <f>VLOOKUP($A228,tabCustoUnit[],COLUMN(CUSTO_GLOBAL[[#Headers],[Adicional Noturno]])-2,0)*($G228-$H228)</f>
        <v>0</v>
      </c>
      <c r="M228" s="21">
        <f>VLOOKUP($A228,tabCustoUnit[],COLUMN(CUSTO_GLOBAL[[#Headers],[Adicional Motorista II (Gratificação)]])-2,0)*($G228-$H228)</f>
        <v>0</v>
      </c>
      <c r="N228" s="21">
        <f>VLOOKUP($A228,tabCustoUnit[],COLUMN(CUSTO_GLOBAL[[#Headers],[Adicional de Sobreaviso]])-2,0)*($G228-$H228)</f>
        <v>0</v>
      </c>
      <c r="O228" s="21">
        <f>VLOOKUP($A228,tabCustoUnit[],COLUMN(CUSTO_GLOBAL[[#Headers],[Horas Extras TI]])-2,0)*($G228-$H228)</f>
        <v>0</v>
      </c>
      <c r="P228" s="21">
        <f>VLOOKUP($A228,tabCustoUnit[],COLUMN(CUSTO_GLOBAL[[#Headers],[Adicional de Acúmulo de função]])-2,0)*($G228-$H228)</f>
        <v>26.120899999999999</v>
      </c>
      <c r="Q228" s="21">
        <f>VLOOKUP($A228,tabCustoUnit[],COLUMN(CUSTO_GLOBAL[[#Headers],[MODULO 1 - REMUNERAÇÃO ]])-2,0)*($G228-$H228)</f>
        <v>824.26089999999999</v>
      </c>
      <c r="R228" s="21">
        <f>VLOOKUP($A228,tabCustoUnit[],COLUMN(CUSTO_GLOBAL[[#Headers],[INSS]])-2,0)*($G228-$H228)</f>
        <v>164.85218</v>
      </c>
      <c r="S228" s="21">
        <f>VLOOKUP($A228,tabCustoUnit[],COLUMN(CUSTO_GLOBAL[[#Headers],[SESI OU SESC]])-2,0)*($G228-$H228)</f>
        <v>12.363913499999999</v>
      </c>
      <c r="T228" s="21">
        <f>VLOOKUP($A228,tabCustoUnit[],COLUMN(CUSTO_GLOBAL[[#Headers],[SENAI OU SENAC]])-2,0)*($G228-$H228)</f>
        <v>8.2426089999999999</v>
      </c>
      <c r="U228" s="21">
        <f>VLOOKUP($A228,tabCustoUnit[],COLUMN(CUSTO_GLOBAL[[#Headers],[INCRA]])-2,0)*($G228-$H228)</f>
        <v>1.6485217999999999</v>
      </c>
      <c r="V228" s="21">
        <f>VLOOKUP($A228,tabCustoUnit[],COLUMN(CUSTO_GLOBAL[[#Headers],[Salário Educação]])-2,0)*($G228-$H228)</f>
        <v>20.606522500000001</v>
      </c>
      <c r="W228" s="21">
        <f>VLOOKUP($A228,tabCustoUnit[],COLUMN(CUSTO_GLOBAL[[#Headers],[FGTS]])-2,0)*($G228-$H228)</f>
        <v>65.940871999999999</v>
      </c>
      <c r="X228" s="21">
        <f>VLOOKUP($A228,tabCustoUnit[],COLUMN(CUSTO_GLOBAL[[#Headers],[RAT Ajustado]])-2,0)*($G228-$H228)</f>
        <v>32.970435999999999</v>
      </c>
      <c r="Y228" s="21">
        <f>VLOOKUP($A228,tabCustoUnit[],COLUMN(CUSTO_GLOBAL[[#Headers],[SEBRAE]])-2,0)*($G228-$H228)</f>
        <v>4.9455654000000004</v>
      </c>
      <c r="Z228" s="21">
        <f>VLOOKUP($A228,tabCustoUnit[],COLUMN(CUSTO_GLOBAL[[#Headers],[Submódulo 2.1]])-2,0)*($G228-$H228)</f>
        <v>311.57062020000001</v>
      </c>
      <c r="AA228" s="21">
        <f>VLOOKUP($A228,tabCustoUnit[],COLUMN(CUSTO_GLOBAL[[#Headers],[13º salário (titular)]])-2,0)*($G228-$H228)</f>
        <v>68.688408333333328</v>
      </c>
      <c r="AB228" s="21">
        <f>VLOOKUP($A228,tabCustoUnit[],COLUMN(CUSTO_GLOBAL[[#Headers],[Férias e Adicional de Férias (titular)]])-2,0)*($G228-$H228)</f>
        <v>91.584544444444433</v>
      </c>
      <c r="AC228" s="21">
        <f>VLOOKUP($A228,tabCustoUnit[],COLUMN(CUSTO_GLOBAL[[#Headers],[Incidência do Submódulo 2.1 sobre 13º Salário, Férias e Adicional de Férias]])-2,0)*($G228-$H228)</f>
        <v>60.583176149999993</v>
      </c>
      <c r="AD228" s="21">
        <f>VLOOKUP($A228,tabCustoUnit[],COLUMN(CUSTO_GLOBAL[[#Headers],[Submódulo 2.2]])-2,0)*($G228-$H228)</f>
        <v>220.85612892777775</v>
      </c>
      <c r="AE228" s="22">
        <f>VLOOKUP($A228,tabCustoUnit[],COLUMN(CUSTO_GLOBAL[[#Headers],[Vale - Transporte (Descontada parcela do empregado)]])-2,0)*($G228-$H228)</f>
        <v>208.11160000000001</v>
      </c>
      <c r="AF228" s="22">
        <f>VLOOKUP($A228,tabCustoUnit[],COLUMN(CUSTO_GLOBAL[[#Headers],[Vale - Alimentação (Descontada parcela do empregado)]])-2,0)*($G228-$H228)</f>
        <v>582</v>
      </c>
      <c r="AG228" s="22">
        <f>VLOOKUP($A228,tabCustoUnit[],COLUMN(CUSTO_GLOBAL[[#Headers],[Cesta Básica]])-2,0)*($G228-$H228)</f>
        <v>0</v>
      </c>
      <c r="AH228" s="22">
        <f>VLOOKUP($A228,tabCustoUnit[],COLUMN(CUSTO_GLOBAL[[#Headers],[PAF]])-2,0)*($G228-$H228)</f>
        <v>0</v>
      </c>
      <c r="AI228" s="22">
        <f>VLOOKUP($A228,tabCustoUnit[],COLUMN(CUSTO_GLOBAL[[#Headers],[PQM]])-2,0)*($G228-$H228)</f>
        <v>0</v>
      </c>
      <c r="AJ228" s="22">
        <v>0</v>
      </c>
      <c r="AK228" s="22">
        <f>VLOOKUP($A228,tabCustoUnit[],COLUMN(CUSTO_GLOBAL[[#Headers],[Seguro de Vida]])-2,0)*($G228-$H228)</f>
        <v>3.36</v>
      </c>
      <c r="AL228" s="22">
        <f>VLOOKUP($A228,tabCustoUnit[],COLUMN(CUSTO_GLOBAL[[#Headers],[Despesas de Viagem]])-2,0)*($G228-$H228)</f>
        <v>0</v>
      </c>
      <c r="AM228" s="22">
        <f>VLOOKUP($A228,tabCustoUnit[],COLUMN(CUSTO_GLOBAL[[#Headers],[Submódulo 2.3]])-2,0)*($G228-$H228)</f>
        <v>793.47159999999997</v>
      </c>
      <c r="AN228" s="22">
        <f>VLOOKUP($A228,tabCustoUnit[],COLUMN(CUSTO_GLOBAL[[#Headers],[MÓDULO 2 - Total Encargos e Benefícios mensais e diários]])-2,0)*($G228-$H228)</f>
        <v>1325.8983491277777</v>
      </c>
      <c r="AO228" s="22">
        <f>VLOOKUP($A228,tabCustoUnit[],COLUMN(CUSTO_GLOBAL[[#Headers],[Aviso Prévio Indenizado (API) e Reflexo do Aviso Prévio Indenizado]])-2,0)*($G228-$H228)</f>
        <v>5.7795253576581791</v>
      </c>
      <c r="AP228" s="22">
        <f>VLOOKUP($A228,tabCustoUnit[],COLUMN(CUSTO_GLOBAL[[#Headers],[Incidência do FGTS sobre API e Reflexo do API]])-2,0)*($G228-$H228)</f>
        <v>0.46236202861265435</v>
      </c>
      <c r="AQ228" s="22">
        <f>VLOOKUP($A228,tabCustoUnit[],COLUMN(CUSTO_GLOBAL[[#Headers],[Multa Rescisória do FGTS sobre o Aviso Prévio Indenizado]])-2,0)*($G228-$H228)</f>
        <v>0.18494481144506175</v>
      </c>
      <c r="AR228" s="22">
        <f>VLOOKUP($A228,tabCustoUnit[],COLUMN(CUSTO_GLOBAL[[#Headers],[Aviso Prévio Trabalhado - APT]])-2,0)*($G228-$H228)</f>
        <v>2.8849131500000005</v>
      </c>
      <c r="AS228" s="22">
        <f>VLOOKUP($A228,tabCustoUnit[],COLUMN(CUSTO_GLOBAL[[#Headers],[Incidência dos encargos do submódulo 2.1 sobre Aviso Prévio Trabalhado]])-2,0)*($G228-$H228)</f>
        <v>1.0904971707000004</v>
      </c>
      <c r="AT228" s="22">
        <f>VLOOKUP($A228,tabCustoUnit[],COLUMN(CUSTO_GLOBAL[[#Headers],[Multa Rescisória do FGTS]])-2,0)*($G228-$H228)</f>
        <v>25.204066631111107</v>
      </c>
      <c r="AU228" s="22">
        <f>VLOOKUP($A228,tabCustoUnit[],COLUMN(CUSTO_GLOBAL[[#Headers],[Indenização Adicional (Art. 9º da Lei nº 7.238/84)]])-2,0)*($G228-$H228)</f>
        <v>0.6868840833333334</v>
      </c>
      <c r="AV228" s="22">
        <f>VLOOKUP($A228,tabCustoUnit[],COLUMN(CUSTO_GLOBAL[[#Headers],[MÓDULO 3 – PROVISÃO PARA RESCISÃO]])-2,0)*($G228-$H228)</f>
        <v>36.293193232860339</v>
      </c>
      <c r="AW228" s="22">
        <f>VLOOKUP($A228,tabCustoUnit[],COLUMN(CUSTO_GLOBAL[[#Headers],[Ausência por Doença]])-2,0)*($G228-$H228)</f>
        <v>6.9604253777777769</v>
      </c>
      <c r="AX228" s="22">
        <f>VLOOKUP($A228,tabCustoUnit[],COLUMN(CUSTO_GLOBAL[[#Headers],[Ausências Legais]])-2,0)*($G228-$H228)</f>
        <v>1.671417936111111</v>
      </c>
      <c r="AY228" s="22">
        <f>VLOOKUP($A228,tabCustoUnit[],COLUMN(CUSTO_GLOBAL[[#Headers],[Licença Paternidade]])-2,0)*($G228-$H228)</f>
        <v>0.14081123708333332</v>
      </c>
      <c r="AZ228" s="22">
        <f>VLOOKUP($A228,tabCustoUnit[],COLUMN(CUSTO_GLOBAL[[#Headers],[Ausência por Acidente de Trabalho]])-2,0)*($G228-$H228)</f>
        <v>0.17172102083333335</v>
      </c>
      <c r="BA228" s="22">
        <f>VLOOKUP($A228,tabCustoUnit[],COLUMN(CUSTO_GLOBAL[[#Headers],[Férias, Adicional de Férias e 13º  com empregada em gozo de Licença Maternidade]])-2,0)*($G228-$H228)</f>
        <v>1.0684863518518517</v>
      </c>
      <c r="BB228" s="22">
        <f>VLOOKUP($A228,tabCustoUnit[],COLUMN(CUSTO_GLOBAL[[#Headers],[Incidência do Submódulo 2.1 sobre Ausências Legais]])-2,0)*($G228-$H228)</f>
        <v>3.7848618071425006</v>
      </c>
      <c r="BC228" s="22">
        <f>VLOOKUP($A228,tabCustoUnit[],COLUMN(CUSTO_GLOBAL[[#Headers],[Submódulo 4.1]])-2,0)*($G228-$H228)</f>
        <v>13.797723730799909</v>
      </c>
      <c r="BD228" s="22">
        <f>VLOOKUP($A228,tabCustoUnit[],COLUMN(CUSTO_GLOBAL[[#Headers],[Intervalo para Repouso ou Alimentação]])-2,0)*($G228-$H228)</f>
        <v>0</v>
      </c>
      <c r="BE228" s="22">
        <f>VLOOKUP($A228,tabCustoUnit[],COLUMN(CUSTO_GLOBAL[[#Headers],[Submódulo 4.2]])-2,0)*($G228-$H228)</f>
        <v>0</v>
      </c>
      <c r="BF228" s="22">
        <f>VLOOKUP($A228,tabCustoUnit[],COLUMN(CUSTO_GLOBAL[[#Headers],[Suspensão Temporária do Contrato de Trabalho]])-2,0)*($G228-$H228)</f>
        <v>0</v>
      </c>
      <c r="BG228" s="22">
        <f>VLOOKUP($A228,tabCustoUnit[],COLUMN(CUSTO_GLOBAL[[#Headers],[Submódulo 4.3]])-2,0)*($G228-$H228)</f>
        <v>0</v>
      </c>
      <c r="BH228" s="22">
        <f>VLOOKUP($A228,tabCustoUnit[],COLUMN(CUSTO_GLOBAL[[#Headers],[MÓDULO 4 – CUSTO DE REPOSIÇÃO DO PROFISSIONAL AUSENTE]])-2,0)*($G228-$H228)</f>
        <v>13.797723730799909</v>
      </c>
      <c r="BI228" s="22">
        <f>VLOOKUP($A228,tabCustoUnit[],COLUMN(CUSTO_GLOBAL[[#Headers],[Uniformes e EPIs]])-2,0)*($G228-$H228)</f>
        <v>62.806666666666665</v>
      </c>
      <c r="BJ228" s="22">
        <f>VLOOKUP($A228,tabCustoUnit[],COLUMN(CUSTO_GLOBAL[[#Headers],[Materiais de Consumo]])-2,0)*($G228-$H228)</f>
        <v>17.759106479291944</v>
      </c>
      <c r="BK228" s="22">
        <f>VLOOKUP($A228,tabCustoUnit[],COLUMN(CUSTO_GLOBAL[[#Headers],[Máquinas e Equipamentos (depreciação)]])-2,0)*($G228-$H228)</f>
        <v>32.264696957412788</v>
      </c>
      <c r="BL228" s="22">
        <f>VLOOKUP($A228,tabCustoUnit[],COLUMN(CUSTO_GLOBAL[[#Headers],[Produtos de Limpeza e Materiais de Higiene Pessoal]])-2,0)*($G228-$H228)</f>
        <v>345.13576638965827</v>
      </c>
      <c r="BM228" s="22">
        <f>VLOOKUP($A228,tabCustoUnit[],COLUMN(CUSTO_GLOBAL[[#Headers],[Outros (especificar)]])-2,0)*($G228-$H228)</f>
        <v>0</v>
      </c>
      <c r="BN228" s="22">
        <f>VLOOKUP($A228,tabCustoUnit[],COLUMN(CUSTO_GLOBAL[[#Headers],[MÓDULO 5 – INSUMOS DIVERSOS]])-2,0)*($G228-$H228)</f>
        <v>457.96623649302967</v>
      </c>
      <c r="BO228" s="22">
        <f>VLOOKUP($A228,tabCustoUnit[],COLUMN(CUSTO_GLOBAL[[#Headers],[TOTAL MÓDULOS 1+2+3+4+5]])-2,0)*($G228-$H228)</f>
        <v>2658.2164025844677</v>
      </c>
      <c r="BP228" s="22">
        <f>VLOOKUP($A228,tabCustoUnit[],COLUMN(CUSTO_GLOBAL[[#Headers],[Custos Indiretos]])-2,0)*($G228-$H228)</f>
        <v>189.64880140242613</v>
      </c>
      <c r="BQ228" s="22">
        <f>VLOOKUP($A228,tabCustoUnit[],COLUMN(CUSTO_GLOBAL[[#Headers],[Lucro]])-2,0)*($G228-$H228)</f>
        <v>159.30499317803796</v>
      </c>
      <c r="BR228" s="26">
        <f>VLOOKUP($A228,tabCustoUnit[],COLUMN(CUSTO_GLOBAL[[#Headers],[COFINS]])-2,0)</f>
        <v>8.6609686609686695E-2</v>
      </c>
      <c r="BS228" s="26">
        <f>VLOOKUP($A228,tabCustoUnit[],COLUMN(CUSTO_GLOBAL[[#Headers],[PIS]])-2,0)</f>
        <v>1.880341880341882E-2</v>
      </c>
      <c r="BT228" s="28">
        <f>VLOOKUP($A228,tabCustoUnit[],COLUMN(CUSTO_GLOBAL[[#Headers],[ISS]])-2,0)</f>
        <v>0.03</v>
      </c>
      <c r="BU228" s="26">
        <f>VLOOKUP($A228,tabCustoUnit[],COLUMN(CUSTO_GLOBAL[[#Headers],[ISS (Conversão Alíquota s/ fatura)]])-2,0)</f>
        <v>3.4188034188034219E-2</v>
      </c>
      <c r="BV228" s="26">
        <f>VLOOKUP($A228,tabCustoUnit[],COLUMN(CUSTO_GLOBAL[[#Headers],[Resumo de Alíquotas (PIS+CONFINS+ISS)]])-2,0)</f>
        <v>0.1225</v>
      </c>
      <c r="BW228" s="138">
        <f>VLOOKUP($A228,tabCustoUnit[],COLUMN(CUSTO_GLOBAL[[#Headers],[PIS + COFINS + ISS (Total Conversão  Alíquota s/ Fatura)]])-2,0)</f>
        <v>0.13960113960113973</v>
      </c>
      <c r="BX228" s="22">
        <f>VLOOKUP($A228,tabCustoUnit[],COLUMN(CUSTO_GLOBAL[[#Headers],[Valor dos Tributos (ISS, PIS, CONFINS)]])-2,0)*($G228-$H228)</f>
        <v>419.80438649880853</v>
      </c>
      <c r="BY228" s="22">
        <f>VLOOKUP($A228,tabCustoUnit[],COLUMN(CUSTO_GLOBAL[[#Headers],[MÓDULO 6 – CUSTOS INDIRETOS, TRIBUTOS E LUCRO]])-2,0)*($G228-$H228)</f>
        <v>768.75818107927262</v>
      </c>
      <c r="BZ228" s="22">
        <f>VLOOKUP($A228,tabCustoUnit[],COLUMN(CUSTO_GLOBAL[[#Headers],[CUSTO TOTAL MENSAL]])-2,0)*($G228-$H228)</f>
        <v>3426.9745836637403</v>
      </c>
      <c r="CA228" s="22">
        <f>CUSTO_GLOBAL[[#This Row],[CUSTO TOTAL MENSAL]]*12</f>
        <v>41123.69500396488</v>
      </c>
      <c r="CB228" s="24">
        <f>VLOOKUP($A228,tabCustoUnit[],COLUMN(CUSTO_GLOBAL[[#Headers],[ANO DA CCT]])-2,0)</f>
        <v>45658</v>
      </c>
      <c r="CC228" s="25" t="str">
        <f>VLOOKUP($A228,tabCustoUnit[],COLUMN(CUSTO_GLOBAL[[#Headers],[Nº DE PEDIDO DA CCT]])-2,0)</f>
        <v>-</v>
      </c>
      <c r="CD228" s="25" t="str">
        <f>VLOOKUP($A228,tabCustoUnit[],COLUMN(CUSTO_GLOBAL[[#Headers],[TERMO ADITIVO  ALTERAÇÃO DA CCT]])-2,0)</f>
        <v>-</v>
      </c>
      <c r="CF228" s="22"/>
      <c r="CG228" s="22"/>
    </row>
    <row r="229" spans="1:85" x14ac:dyDescent="0.25">
      <c r="A229" s="20" t="s">
        <v>1564</v>
      </c>
      <c r="B229" t="s">
        <v>208</v>
      </c>
      <c r="C229" t="s">
        <v>1245</v>
      </c>
      <c r="D229" t="s">
        <v>1041</v>
      </c>
      <c r="E229" s="20" t="s">
        <v>9</v>
      </c>
      <c r="F229" s="20" t="s">
        <v>10</v>
      </c>
      <c r="G229" s="20">
        <v>1</v>
      </c>
      <c r="H229" s="20">
        <v>0</v>
      </c>
      <c r="I229" s="21">
        <f>VLOOKUP($A229,tabCustoUnit[],COLUMN(CUSTO_GLOBAL[[#Headers],[Salário Base]])-2,0)*($G229-$H229)</f>
        <v>1596.28</v>
      </c>
      <c r="J229" s="21">
        <f>VLOOKUP($A229,tabCustoUnit[],COLUMN(CUSTO_GLOBAL[[#Headers],[Adicional Periculosidade]])-2,0)*($G229-$H229)</f>
        <v>0</v>
      </c>
      <c r="K229" s="21">
        <f>VLOOKUP($A229,tabCustoUnit[],COLUMN(CUSTO_GLOBAL[[#Headers],[Adicional Insalubridade]])-2,0)*($G229-$H229)</f>
        <v>0</v>
      </c>
      <c r="L229" s="21">
        <f>VLOOKUP($A229,tabCustoUnit[],COLUMN(CUSTO_GLOBAL[[#Headers],[Adicional Noturno]])-2,0)*($G229-$H229)</f>
        <v>0</v>
      </c>
      <c r="M229" s="21">
        <f>VLOOKUP($A229,tabCustoUnit[],COLUMN(CUSTO_GLOBAL[[#Headers],[Adicional Motorista II (Gratificação)]])-2,0)*($G229-$H229)</f>
        <v>0</v>
      </c>
      <c r="N229" s="21">
        <f>VLOOKUP($A229,tabCustoUnit[],COLUMN(CUSTO_GLOBAL[[#Headers],[Adicional de Sobreaviso]])-2,0)*($G229-$H229)</f>
        <v>0</v>
      </c>
      <c r="O229" s="21">
        <f>VLOOKUP($A229,tabCustoUnit[],COLUMN(CUSTO_GLOBAL[[#Headers],[Horas Extras TI]])-2,0)*($G229-$H229)</f>
        <v>0</v>
      </c>
      <c r="P229" s="21">
        <f>VLOOKUP($A229,tabCustoUnit[],COLUMN(CUSTO_GLOBAL[[#Headers],[Adicional de Acúmulo de função]])-2,0)*($G229-$H229)</f>
        <v>52.241900000000001</v>
      </c>
      <c r="Q229" s="21">
        <f>VLOOKUP($A229,tabCustoUnit[],COLUMN(CUSTO_GLOBAL[[#Headers],[MODULO 1 - REMUNERAÇÃO ]])-2,0)*($G229-$H229)</f>
        <v>1648.5219</v>
      </c>
      <c r="R229" s="21">
        <f>VLOOKUP($A229,tabCustoUnit[],COLUMN(CUSTO_GLOBAL[[#Headers],[INSS]])-2,0)*($G229-$H229)</f>
        <v>329.70438000000001</v>
      </c>
      <c r="S229" s="21">
        <f>VLOOKUP($A229,tabCustoUnit[],COLUMN(CUSTO_GLOBAL[[#Headers],[SESI OU SESC]])-2,0)*($G229-$H229)</f>
        <v>24.727828499999998</v>
      </c>
      <c r="T229" s="21">
        <f>VLOOKUP($A229,tabCustoUnit[],COLUMN(CUSTO_GLOBAL[[#Headers],[SENAI OU SENAC]])-2,0)*($G229-$H229)</f>
        <v>16.485219000000001</v>
      </c>
      <c r="U229" s="21">
        <f>VLOOKUP($A229,tabCustoUnit[],COLUMN(CUSTO_GLOBAL[[#Headers],[INCRA]])-2,0)*($G229-$H229)</f>
        <v>3.2970438</v>
      </c>
      <c r="V229" s="21">
        <f>VLOOKUP($A229,tabCustoUnit[],COLUMN(CUSTO_GLOBAL[[#Headers],[Salário Educação]])-2,0)*($G229-$H229)</f>
        <v>41.213047500000002</v>
      </c>
      <c r="W229" s="21">
        <f>VLOOKUP($A229,tabCustoUnit[],COLUMN(CUSTO_GLOBAL[[#Headers],[FGTS]])-2,0)*($G229-$H229)</f>
        <v>131.88175200000001</v>
      </c>
      <c r="X229" s="21">
        <f>VLOOKUP($A229,tabCustoUnit[],COLUMN(CUSTO_GLOBAL[[#Headers],[RAT Ajustado]])-2,0)*($G229-$H229)</f>
        <v>65.940876000000003</v>
      </c>
      <c r="Y229" s="21">
        <f>VLOOKUP($A229,tabCustoUnit[],COLUMN(CUSTO_GLOBAL[[#Headers],[SEBRAE]])-2,0)*($G229-$H229)</f>
        <v>9.8911314000000008</v>
      </c>
      <c r="Z229" s="21">
        <f>VLOOKUP($A229,tabCustoUnit[],COLUMN(CUSTO_GLOBAL[[#Headers],[Submódulo 2.1]])-2,0)*($G229-$H229)</f>
        <v>623.14127819999999</v>
      </c>
      <c r="AA229" s="21">
        <f>VLOOKUP($A229,tabCustoUnit[],COLUMN(CUSTO_GLOBAL[[#Headers],[13º salário (titular)]])-2,0)*($G229-$H229)</f>
        <v>137.376825</v>
      </c>
      <c r="AB229" s="21">
        <f>VLOOKUP($A229,tabCustoUnit[],COLUMN(CUSTO_GLOBAL[[#Headers],[Férias e Adicional de Férias (titular)]])-2,0)*($G229-$H229)</f>
        <v>183.16909999999999</v>
      </c>
      <c r="AC229" s="21">
        <f>VLOOKUP($A229,tabCustoUnit[],COLUMN(CUSTO_GLOBAL[[#Headers],[Incidência do Submódulo 2.1 sobre 13º Salário, Férias e Adicional de Férias]])-2,0)*($G229-$H229)</f>
        <v>121.16635965</v>
      </c>
      <c r="AD229" s="21">
        <f>VLOOKUP($A229,tabCustoUnit[],COLUMN(CUSTO_GLOBAL[[#Headers],[Submódulo 2.2]])-2,0)*($G229-$H229)</f>
        <v>441.71228465000002</v>
      </c>
      <c r="AE229" s="22">
        <f>VLOOKUP($A229,tabCustoUnit[],COLUMN(CUSTO_GLOBAL[[#Headers],[Vale - Transporte (Descontada parcela do empregado)]])-2,0)*($G229-$H229)</f>
        <v>160.22320000000002</v>
      </c>
      <c r="AF229" s="22">
        <f>VLOOKUP($A229,tabCustoUnit[],COLUMN(CUSTO_GLOBAL[[#Headers],[Vale - Alimentação (Descontada parcela do empregado)]])-2,0)*($G229-$H229)</f>
        <v>582</v>
      </c>
      <c r="AG229" s="22">
        <f>VLOOKUP($A229,tabCustoUnit[],COLUMN(CUSTO_GLOBAL[[#Headers],[Cesta Básica]])-2,0)*($G229-$H229)</f>
        <v>0</v>
      </c>
      <c r="AH229" s="22">
        <f>VLOOKUP($A229,tabCustoUnit[],COLUMN(CUSTO_GLOBAL[[#Headers],[PAF]])-2,0)*($G229-$H229)</f>
        <v>0</v>
      </c>
      <c r="AI229" s="22">
        <f>VLOOKUP($A229,tabCustoUnit[],COLUMN(CUSTO_GLOBAL[[#Headers],[PQM]])-2,0)*($G229-$H229)</f>
        <v>0</v>
      </c>
      <c r="AJ229" s="22">
        <v>0</v>
      </c>
      <c r="AK229" s="22">
        <f>VLOOKUP($A229,tabCustoUnit[],COLUMN(CUSTO_GLOBAL[[#Headers],[Seguro de Vida]])-2,0)*($G229-$H229)</f>
        <v>3.36</v>
      </c>
      <c r="AL229" s="22">
        <f>VLOOKUP($A229,tabCustoUnit[],COLUMN(CUSTO_GLOBAL[[#Headers],[Despesas de Viagem]])-2,0)*($G229-$H229)</f>
        <v>0</v>
      </c>
      <c r="AM229" s="22">
        <f>VLOOKUP($A229,tabCustoUnit[],COLUMN(CUSTO_GLOBAL[[#Headers],[Submódulo 2.3]])-2,0)*($G229-$H229)</f>
        <v>745.58320000000003</v>
      </c>
      <c r="AN229" s="22">
        <f>VLOOKUP($A229,tabCustoUnit[],COLUMN(CUSTO_GLOBAL[[#Headers],[MÓDULO 2 - Total Encargos e Benefícios mensais e diários]])-2,0)*($G229-$H229)</f>
        <v>1810.4367628499999</v>
      </c>
      <c r="AO229" s="22">
        <f>VLOOKUP($A229,tabCustoUnit[],COLUMN(CUSTO_GLOBAL[[#Headers],[Aviso Prévio Indenizado (API) e Reflexo do Aviso Prévio Indenizado]])-2,0)*($G229-$H229)</f>
        <v>11.559051416493055</v>
      </c>
      <c r="AP229" s="22">
        <f>VLOOKUP($A229,tabCustoUnit[],COLUMN(CUSTO_GLOBAL[[#Headers],[Incidência do FGTS sobre API e Reflexo do API]])-2,0)*($G229-$H229)</f>
        <v>0.92472411331944449</v>
      </c>
      <c r="AQ229" s="22">
        <f>VLOOKUP($A229,tabCustoUnit[],COLUMN(CUSTO_GLOBAL[[#Headers],[Multa Rescisória do FGTS sobre o Aviso Prévio Indenizado]])-2,0)*($G229-$H229)</f>
        <v>0.36988964532777785</v>
      </c>
      <c r="AR229" s="22">
        <f>VLOOKUP($A229,tabCustoUnit[],COLUMN(CUSTO_GLOBAL[[#Headers],[Aviso Prévio Trabalhado - APT]])-2,0)*($G229-$H229)</f>
        <v>5.7698266500000006</v>
      </c>
      <c r="AS229" s="22">
        <f>VLOOKUP($A229,tabCustoUnit[],COLUMN(CUSTO_GLOBAL[[#Headers],[Incidência dos encargos do submódulo 2.1 sobre Aviso Prévio Trabalhado]])-2,0)*($G229-$H229)</f>
        <v>2.1809944737000007</v>
      </c>
      <c r="AT229" s="22">
        <f>VLOOKUP($A229,tabCustoUnit[],COLUMN(CUSTO_GLOBAL[[#Headers],[Multa Rescisória do FGTS]])-2,0)*($G229-$H229)</f>
        <v>50.40813631999999</v>
      </c>
      <c r="AU229" s="22">
        <f>VLOOKUP($A229,tabCustoUnit[],COLUMN(CUSTO_GLOBAL[[#Headers],[Indenização Adicional (Art. 9º da Lei nº 7.238/84)]])-2,0)*($G229-$H229)</f>
        <v>1.3737682500000001</v>
      </c>
      <c r="AV229" s="22">
        <f>VLOOKUP($A229,tabCustoUnit[],COLUMN(CUSTO_GLOBAL[[#Headers],[MÓDULO 3 – PROVISÃO PARA RESCISÃO]])-2,0)*($G229-$H229)</f>
        <v>72.586390868840269</v>
      </c>
      <c r="AW229" s="22">
        <f>VLOOKUP($A229,tabCustoUnit[],COLUMN(CUSTO_GLOBAL[[#Headers],[Ausência por Doença]])-2,0)*($G229-$H229)</f>
        <v>13.920851599999999</v>
      </c>
      <c r="AX229" s="22">
        <f>VLOOKUP($A229,tabCustoUnit[],COLUMN(CUSTO_GLOBAL[[#Headers],[Ausências Legais]])-2,0)*($G229-$H229)</f>
        <v>3.3428360749999997</v>
      </c>
      <c r="AY229" s="22">
        <f>VLOOKUP($A229,tabCustoUnit[],COLUMN(CUSTO_GLOBAL[[#Headers],[Licença Paternidade]])-2,0)*($G229-$H229)</f>
        <v>0.28162249125</v>
      </c>
      <c r="AZ229" s="22">
        <f>VLOOKUP($A229,tabCustoUnit[],COLUMN(CUSTO_GLOBAL[[#Headers],[Ausência por Acidente de Trabalho]])-2,0)*($G229-$H229)</f>
        <v>0.34344206250000003</v>
      </c>
      <c r="BA229" s="22">
        <f>VLOOKUP($A229,tabCustoUnit[],COLUMN(CUSTO_GLOBAL[[#Headers],[Férias, Adicional de Férias e 13º  com empregada em gozo de Licença Maternidade]])-2,0)*($G229-$H229)</f>
        <v>2.1369728333333331</v>
      </c>
      <c r="BB229" s="22">
        <f>VLOOKUP($A229,tabCustoUnit[],COLUMN(CUSTO_GLOBAL[[#Headers],[Incidência do Submódulo 2.1 sobre Ausências Legais]])-2,0)*($G229-$H229)</f>
        <v>7.5697240734675013</v>
      </c>
      <c r="BC229" s="22">
        <f>VLOOKUP($A229,tabCustoUnit[],COLUMN(CUSTO_GLOBAL[[#Headers],[Submódulo 4.1]])-2,0)*($G229-$H229)</f>
        <v>27.595449135550833</v>
      </c>
      <c r="BD229" s="22">
        <f>VLOOKUP($A229,tabCustoUnit[],COLUMN(CUSTO_GLOBAL[[#Headers],[Intervalo para Repouso ou Alimentação]])-2,0)*($G229-$H229)</f>
        <v>0</v>
      </c>
      <c r="BE229" s="22">
        <f>VLOOKUP($A229,tabCustoUnit[],COLUMN(CUSTO_GLOBAL[[#Headers],[Submódulo 4.2]])-2,0)*($G229-$H229)</f>
        <v>0</v>
      </c>
      <c r="BF229" s="22">
        <f>VLOOKUP($A229,tabCustoUnit[],COLUMN(CUSTO_GLOBAL[[#Headers],[Suspensão Temporária do Contrato de Trabalho]])-2,0)*($G229-$H229)</f>
        <v>0</v>
      </c>
      <c r="BG229" s="22">
        <f>VLOOKUP($A229,tabCustoUnit[],COLUMN(CUSTO_GLOBAL[[#Headers],[Submódulo 4.3]])-2,0)*($G229-$H229)</f>
        <v>0</v>
      </c>
      <c r="BH229" s="22">
        <f>VLOOKUP($A229,tabCustoUnit[],COLUMN(CUSTO_GLOBAL[[#Headers],[MÓDULO 4 – CUSTO DE REPOSIÇÃO DO PROFISSIONAL AUSENTE]])-2,0)*($G229-$H229)</f>
        <v>27.595449135550833</v>
      </c>
      <c r="BI229" s="22">
        <f>VLOOKUP($A229,tabCustoUnit[],COLUMN(CUSTO_GLOBAL[[#Headers],[Uniformes e EPIs]])-2,0)*($G229-$H229)</f>
        <v>100.80916666666666</v>
      </c>
      <c r="BJ229" s="22">
        <f>VLOOKUP($A229,tabCustoUnit[],COLUMN(CUSTO_GLOBAL[[#Headers],[Materiais de Consumo]])-2,0)*($G229-$H229)</f>
        <v>35.518212958583888</v>
      </c>
      <c r="BK229" s="22">
        <f>VLOOKUP($A229,tabCustoUnit[],COLUMN(CUSTO_GLOBAL[[#Headers],[Máquinas e Equipamentos (depreciação)]])-2,0)*($G229-$H229)</f>
        <v>64.529393914825576</v>
      </c>
      <c r="BL229" s="22">
        <f>VLOOKUP($A229,tabCustoUnit[],COLUMN(CUSTO_GLOBAL[[#Headers],[Produtos de Limpeza e Materiais de Higiene Pessoal]])-2,0)*($G229-$H229)</f>
        <v>690.27153277931654</v>
      </c>
      <c r="BM229" s="22">
        <f>VLOOKUP($A229,tabCustoUnit[],COLUMN(CUSTO_GLOBAL[[#Headers],[Outros (especificar)]])-2,0)*($G229-$H229)</f>
        <v>0</v>
      </c>
      <c r="BN229" s="22">
        <f>VLOOKUP($A229,tabCustoUnit[],COLUMN(CUSTO_GLOBAL[[#Headers],[MÓDULO 5 – INSUMOS DIVERSOS]])-2,0)*($G229-$H229)</f>
        <v>891.12830631939266</v>
      </c>
      <c r="BO229" s="22">
        <f>VLOOKUP($A229,tabCustoUnit[],COLUMN(CUSTO_GLOBAL[[#Headers],[TOTAL MÓDULOS 1+2+3+4+5]])-2,0)*($G229-$H229)</f>
        <v>4450.2688091737837</v>
      </c>
      <c r="BP229" s="22">
        <f>VLOOKUP($A229,tabCustoUnit[],COLUMN(CUSTO_GLOBAL[[#Headers],[Custos Indiretos]])-2,0)*($G229-$H229)</f>
        <v>189.64880140242613</v>
      </c>
      <c r="BQ229" s="22">
        <f>VLOOKUP($A229,tabCustoUnit[],COLUMN(CUSTO_GLOBAL[[#Headers],[Lucro]])-2,0)*($G229-$H229)</f>
        <v>159.30499317803796</v>
      </c>
      <c r="BR229" s="26">
        <f>VLOOKUP($A229,tabCustoUnit[],COLUMN(CUSTO_GLOBAL[[#Headers],[COFINS]])-2,0)</f>
        <v>8.6609686609686695E-2</v>
      </c>
      <c r="BS229" s="26">
        <f>VLOOKUP($A229,tabCustoUnit[],COLUMN(CUSTO_GLOBAL[[#Headers],[PIS]])-2,0)</f>
        <v>1.880341880341882E-2</v>
      </c>
      <c r="BT229" s="28">
        <f>VLOOKUP($A229,tabCustoUnit[],COLUMN(CUSTO_GLOBAL[[#Headers],[ISS]])-2,0)</f>
        <v>0.03</v>
      </c>
      <c r="BU229" s="26">
        <f>VLOOKUP($A229,tabCustoUnit[],COLUMN(CUSTO_GLOBAL[[#Headers],[ISS (Conversão Alíquota s/ fatura)]])-2,0)</f>
        <v>3.4188034188034219E-2</v>
      </c>
      <c r="BV229" s="26">
        <f>VLOOKUP($A229,tabCustoUnit[],COLUMN(CUSTO_GLOBAL[[#Headers],[Resumo de Alíquotas (PIS+CONFINS+ISS)]])-2,0)</f>
        <v>0.1225</v>
      </c>
      <c r="BW229" s="138">
        <f>VLOOKUP($A229,tabCustoUnit[],COLUMN(CUSTO_GLOBAL[[#Headers],[PIS + COFINS + ISS (Total Conversão  Alíquota s/ Fatura)]])-2,0)</f>
        <v>0.13960113960113973</v>
      </c>
      <c r="BX229" s="22">
        <f>VLOOKUP($A229,tabCustoUnit[],COLUMN(CUSTO_GLOBAL[[#Headers],[Valor dos Tributos (ISS, PIS, CONFINS)]])-2,0)*($G229-$H229)</f>
        <v>669.97694468364205</v>
      </c>
      <c r="BY229" s="22">
        <f>VLOOKUP($A229,tabCustoUnit[],COLUMN(CUSTO_GLOBAL[[#Headers],[MÓDULO 6 – CUSTOS INDIRETOS, TRIBUTOS E LUCRO]])-2,0)*($G229-$H229)</f>
        <v>1018.9307392641061</v>
      </c>
      <c r="BZ229" s="22">
        <f>VLOOKUP($A229,tabCustoUnit[],COLUMN(CUSTO_GLOBAL[[#Headers],[CUSTO TOTAL MENSAL]])-2,0)*($G229-$H229)</f>
        <v>5469.1995484378895</v>
      </c>
      <c r="CA229" s="22">
        <f>CUSTO_GLOBAL[[#This Row],[CUSTO TOTAL MENSAL]]*12</f>
        <v>65630.394581254674</v>
      </c>
      <c r="CB229" s="24">
        <f>VLOOKUP($A229,tabCustoUnit[],COLUMN(CUSTO_GLOBAL[[#Headers],[ANO DA CCT]])-2,0)</f>
        <v>45658</v>
      </c>
      <c r="CC229" s="25" t="str">
        <f>VLOOKUP($A229,tabCustoUnit[],COLUMN(CUSTO_GLOBAL[[#Headers],[Nº DE PEDIDO DA CCT]])-2,0)</f>
        <v>-</v>
      </c>
      <c r="CD229" s="25" t="str">
        <f>VLOOKUP($A229,tabCustoUnit[],COLUMN(CUSTO_GLOBAL[[#Headers],[TERMO ADITIVO  ALTERAÇÃO DA CCT]])-2,0)</f>
        <v>-</v>
      </c>
      <c r="CF229" s="22"/>
      <c r="CG229" s="22"/>
    </row>
    <row r="230" spans="1:85" x14ac:dyDescent="0.25">
      <c r="A230" s="20" t="s">
        <v>1565</v>
      </c>
      <c r="B230" t="s">
        <v>209</v>
      </c>
      <c r="C230" t="s">
        <v>1245</v>
      </c>
      <c r="D230" t="s">
        <v>1023</v>
      </c>
      <c r="E230" s="20" t="s">
        <v>9</v>
      </c>
      <c r="F230" s="20" t="s">
        <v>10</v>
      </c>
      <c r="G230" s="20">
        <v>3</v>
      </c>
      <c r="H230" s="20">
        <v>0</v>
      </c>
      <c r="I230" s="21">
        <f>VLOOKUP($A230,tabCustoUnit[],COLUMN(CUSTO_GLOBAL[[#Headers],[Salário Base]])-2,0)*($G230-$H230)</f>
        <v>4788.84</v>
      </c>
      <c r="J230" s="21">
        <f>VLOOKUP($A230,tabCustoUnit[],COLUMN(CUSTO_GLOBAL[[#Headers],[Adicional Periculosidade]])-2,0)*($G230-$H230)</f>
        <v>0</v>
      </c>
      <c r="K230" s="21">
        <f>VLOOKUP($A230,tabCustoUnit[],COLUMN(CUSTO_GLOBAL[[#Headers],[Adicional Insalubridade]])-2,0)*($G230-$H230)</f>
        <v>0</v>
      </c>
      <c r="L230" s="21">
        <f>VLOOKUP($A230,tabCustoUnit[],COLUMN(CUSTO_GLOBAL[[#Headers],[Adicional Noturno]])-2,0)*($G230-$H230)</f>
        <v>0</v>
      </c>
      <c r="M230" s="21">
        <f>VLOOKUP($A230,tabCustoUnit[],COLUMN(CUSTO_GLOBAL[[#Headers],[Adicional Motorista II (Gratificação)]])-2,0)*($G230-$H230)</f>
        <v>0</v>
      </c>
      <c r="N230" s="21">
        <f>VLOOKUP($A230,tabCustoUnit[],COLUMN(CUSTO_GLOBAL[[#Headers],[Adicional de Sobreaviso]])-2,0)*($G230-$H230)</f>
        <v>0</v>
      </c>
      <c r="O230" s="21">
        <f>VLOOKUP($A230,tabCustoUnit[],COLUMN(CUSTO_GLOBAL[[#Headers],[Horas Extras TI]])-2,0)*($G230-$H230)</f>
        <v>0</v>
      </c>
      <c r="P230" s="21">
        <f>VLOOKUP($A230,tabCustoUnit[],COLUMN(CUSTO_GLOBAL[[#Headers],[Adicional de Acúmulo de função]])-2,0)*($G230-$H230)</f>
        <v>156.72570000000002</v>
      </c>
      <c r="Q230" s="21">
        <f>VLOOKUP($A230,tabCustoUnit[],COLUMN(CUSTO_GLOBAL[[#Headers],[MODULO 1 - REMUNERAÇÃO ]])-2,0)*($G230-$H230)</f>
        <v>4945.5657000000001</v>
      </c>
      <c r="R230" s="21">
        <f>VLOOKUP($A230,tabCustoUnit[],COLUMN(CUSTO_GLOBAL[[#Headers],[INSS]])-2,0)*($G230-$H230)</f>
        <v>989.11314000000004</v>
      </c>
      <c r="S230" s="21">
        <f>VLOOKUP($A230,tabCustoUnit[],COLUMN(CUSTO_GLOBAL[[#Headers],[SESI OU SESC]])-2,0)*($G230-$H230)</f>
        <v>74.183485499999989</v>
      </c>
      <c r="T230" s="21">
        <f>VLOOKUP($A230,tabCustoUnit[],COLUMN(CUSTO_GLOBAL[[#Headers],[SENAI OU SENAC]])-2,0)*($G230-$H230)</f>
        <v>49.455657000000002</v>
      </c>
      <c r="U230" s="21">
        <f>VLOOKUP($A230,tabCustoUnit[],COLUMN(CUSTO_GLOBAL[[#Headers],[INCRA]])-2,0)*($G230-$H230)</f>
        <v>9.891131399999999</v>
      </c>
      <c r="V230" s="21">
        <f>VLOOKUP($A230,tabCustoUnit[],COLUMN(CUSTO_GLOBAL[[#Headers],[Salário Educação]])-2,0)*($G230-$H230)</f>
        <v>123.63914250000001</v>
      </c>
      <c r="W230" s="21">
        <f>VLOOKUP($A230,tabCustoUnit[],COLUMN(CUSTO_GLOBAL[[#Headers],[FGTS]])-2,0)*($G230-$H230)</f>
        <v>395.64525600000002</v>
      </c>
      <c r="X230" s="21">
        <f>VLOOKUP($A230,tabCustoUnit[],COLUMN(CUSTO_GLOBAL[[#Headers],[RAT Ajustado]])-2,0)*($G230-$H230)</f>
        <v>197.82262800000001</v>
      </c>
      <c r="Y230" s="21">
        <f>VLOOKUP($A230,tabCustoUnit[],COLUMN(CUSTO_GLOBAL[[#Headers],[SEBRAE]])-2,0)*($G230-$H230)</f>
        <v>29.673394200000004</v>
      </c>
      <c r="Z230" s="21">
        <f>VLOOKUP($A230,tabCustoUnit[],COLUMN(CUSTO_GLOBAL[[#Headers],[Submódulo 2.1]])-2,0)*($G230-$H230)</f>
        <v>1869.4238346</v>
      </c>
      <c r="AA230" s="21">
        <f>VLOOKUP($A230,tabCustoUnit[],COLUMN(CUSTO_GLOBAL[[#Headers],[13º salário (titular)]])-2,0)*($G230-$H230)</f>
        <v>412.13047499999999</v>
      </c>
      <c r="AB230" s="21">
        <f>VLOOKUP($A230,tabCustoUnit[],COLUMN(CUSTO_GLOBAL[[#Headers],[Férias e Adicional de Férias (titular)]])-2,0)*($G230-$H230)</f>
        <v>549.50729999999999</v>
      </c>
      <c r="AC230" s="21">
        <f>VLOOKUP($A230,tabCustoUnit[],COLUMN(CUSTO_GLOBAL[[#Headers],[Incidência do Submódulo 2.1 sobre 13º Salário, Férias e Adicional de Férias]])-2,0)*($G230-$H230)</f>
        <v>363.49907895000001</v>
      </c>
      <c r="AD230" s="21">
        <f>VLOOKUP($A230,tabCustoUnit[],COLUMN(CUSTO_GLOBAL[[#Headers],[Submódulo 2.2]])-2,0)*($G230-$H230)</f>
        <v>1325.1368539499999</v>
      </c>
      <c r="AE230" s="22">
        <f>VLOOKUP($A230,tabCustoUnit[],COLUMN(CUSTO_GLOBAL[[#Headers],[Vale - Transporte (Descontada parcela do empregado)]])-2,0)*($G230-$H230)</f>
        <v>480.66960000000006</v>
      </c>
      <c r="AF230" s="22">
        <f>VLOOKUP($A230,tabCustoUnit[],COLUMN(CUSTO_GLOBAL[[#Headers],[Vale - Alimentação (Descontada parcela do empregado)]])-2,0)*($G230-$H230)</f>
        <v>1746</v>
      </c>
      <c r="AG230" s="22">
        <f>VLOOKUP($A230,tabCustoUnit[],COLUMN(CUSTO_GLOBAL[[#Headers],[Cesta Básica]])-2,0)*($G230-$H230)</f>
        <v>0</v>
      </c>
      <c r="AH230" s="22">
        <f>VLOOKUP($A230,tabCustoUnit[],COLUMN(CUSTO_GLOBAL[[#Headers],[PAF]])-2,0)*($G230-$H230)</f>
        <v>0</v>
      </c>
      <c r="AI230" s="22">
        <f>VLOOKUP($A230,tabCustoUnit[],COLUMN(CUSTO_GLOBAL[[#Headers],[PQM]])-2,0)*($G230-$H230)</f>
        <v>0</v>
      </c>
      <c r="AJ230" s="22">
        <v>0</v>
      </c>
      <c r="AK230" s="22">
        <f>VLOOKUP($A230,tabCustoUnit[],COLUMN(CUSTO_GLOBAL[[#Headers],[Seguro de Vida]])-2,0)*($G230-$H230)</f>
        <v>10.08</v>
      </c>
      <c r="AL230" s="22">
        <f>VLOOKUP($A230,tabCustoUnit[],COLUMN(CUSTO_GLOBAL[[#Headers],[Despesas de Viagem]])-2,0)*($G230-$H230)</f>
        <v>0</v>
      </c>
      <c r="AM230" s="22">
        <f>VLOOKUP($A230,tabCustoUnit[],COLUMN(CUSTO_GLOBAL[[#Headers],[Submódulo 2.3]])-2,0)*($G230-$H230)</f>
        <v>2236.7496000000001</v>
      </c>
      <c r="AN230" s="22">
        <f>VLOOKUP($A230,tabCustoUnit[],COLUMN(CUSTO_GLOBAL[[#Headers],[MÓDULO 2 - Total Encargos e Benefícios mensais e diários]])-2,0)*($G230-$H230)</f>
        <v>5431.3102885499993</v>
      </c>
      <c r="AO230" s="22">
        <f>VLOOKUP($A230,tabCustoUnit[],COLUMN(CUSTO_GLOBAL[[#Headers],[Aviso Prévio Indenizado (API) e Reflexo do Aviso Prévio Indenizado]])-2,0)*($G230-$H230)</f>
        <v>34.677154249479166</v>
      </c>
      <c r="AP230" s="22">
        <f>VLOOKUP($A230,tabCustoUnit[],COLUMN(CUSTO_GLOBAL[[#Headers],[Incidência do FGTS sobre API e Reflexo do API]])-2,0)*($G230-$H230)</f>
        <v>2.7741723399583336</v>
      </c>
      <c r="AQ230" s="22">
        <f>VLOOKUP($A230,tabCustoUnit[],COLUMN(CUSTO_GLOBAL[[#Headers],[Multa Rescisória do FGTS sobre o Aviso Prévio Indenizado]])-2,0)*($G230-$H230)</f>
        <v>1.1096689359833336</v>
      </c>
      <c r="AR230" s="22">
        <f>VLOOKUP($A230,tabCustoUnit[],COLUMN(CUSTO_GLOBAL[[#Headers],[Aviso Prévio Trabalhado - APT]])-2,0)*($G230-$H230)</f>
        <v>17.309479950000004</v>
      </c>
      <c r="AS230" s="22">
        <f>VLOOKUP($A230,tabCustoUnit[],COLUMN(CUSTO_GLOBAL[[#Headers],[Incidência dos encargos do submódulo 2.1 sobre Aviso Prévio Trabalhado]])-2,0)*($G230-$H230)</f>
        <v>6.5429834211000024</v>
      </c>
      <c r="AT230" s="22">
        <f>VLOOKUP($A230,tabCustoUnit[],COLUMN(CUSTO_GLOBAL[[#Headers],[Multa Rescisória do FGTS]])-2,0)*($G230-$H230)</f>
        <v>151.22440895999998</v>
      </c>
      <c r="AU230" s="22">
        <f>VLOOKUP($A230,tabCustoUnit[],COLUMN(CUSTO_GLOBAL[[#Headers],[Indenização Adicional (Art. 9º da Lei nº 7.238/84)]])-2,0)*($G230-$H230)</f>
        <v>4.1213047500000002</v>
      </c>
      <c r="AV230" s="22">
        <f>VLOOKUP($A230,tabCustoUnit[],COLUMN(CUSTO_GLOBAL[[#Headers],[MÓDULO 3 – PROVISÃO PARA RESCISÃO]])-2,0)*($G230-$H230)</f>
        <v>217.75917260652079</v>
      </c>
      <c r="AW230" s="22">
        <f>VLOOKUP($A230,tabCustoUnit[],COLUMN(CUSTO_GLOBAL[[#Headers],[Ausência por Doença]])-2,0)*($G230-$H230)</f>
        <v>41.762554799999997</v>
      </c>
      <c r="AX230" s="22">
        <f>VLOOKUP($A230,tabCustoUnit[],COLUMN(CUSTO_GLOBAL[[#Headers],[Ausências Legais]])-2,0)*($G230-$H230)</f>
        <v>10.028508224999999</v>
      </c>
      <c r="AY230" s="22">
        <f>VLOOKUP($A230,tabCustoUnit[],COLUMN(CUSTO_GLOBAL[[#Headers],[Licença Paternidade]])-2,0)*($G230-$H230)</f>
        <v>0.84486747374999993</v>
      </c>
      <c r="AZ230" s="22">
        <f>VLOOKUP($A230,tabCustoUnit[],COLUMN(CUSTO_GLOBAL[[#Headers],[Ausência por Acidente de Trabalho]])-2,0)*($G230-$H230)</f>
        <v>1.0303261875</v>
      </c>
      <c r="BA230" s="22">
        <f>VLOOKUP($A230,tabCustoUnit[],COLUMN(CUSTO_GLOBAL[[#Headers],[Férias, Adicional de Férias e 13º  com empregada em gozo de Licença Maternidade]])-2,0)*($G230-$H230)</f>
        <v>6.4109184999999993</v>
      </c>
      <c r="BB230" s="22">
        <f>VLOOKUP($A230,tabCustoUnit[],COLUMN(CUSTO_GLOBAL[[#Headers],[Incidência do Submódulo 2.1 sobre Ausências Legais]])-2,0)*($G230-$H230)</f>
        <v>22.709172220402504</v>
      </c>
      <c r="BC230" s="22">
        <f>VLOOKUP($A230,tabCustoUnit[],COLUMN(CUSTO_GLOBAL[[#Headers],[Submódulo 4.1]])-2,0)*($G230-$H230)</f>
        <v>82.786347406652496</v>
      </c>
      <c r="BD230" s="22">
        <f>VLOOKUP($A230,tabCustoUnit[],COLUMN(CUSTO_GLOBAL[[#Headers],[Intervalo para Repouso ou Alimentação]])-2,0)*($G230-$H230)</f>
        <v>0</v>
      </c>
      <c r="BE230" s="22">
        <f>VLOOKUP($A230,tabCustoUnit[],COLUMN(CUSTO_GLOBAL[[#Headers],[Submódulo 4.2]])-2,0)*($G230-$H230)</f>
        <v>0</v>
      </c>
      <c r="BF230" s="22">
        <f>VLOOKUP($A230,tabCustoUnit[],COLUMN(CUSTO_GLOBAL[[#Headers],[Suspensão Temporária do Contrato de Trabalho]])-2,0)*($G230-$H230)</f>
        <v>0</v>
      </c>
      <c r="BG230" s="22">
        <f>VLOOKUP($A230,tabCustoUnit[],COLUMN(CUSTO_GLOBAL[[#Headers],[Submódulo 4.3]])-2,0)*($G230-$H230)</f>
        <v>0</v>
      </c>
      <c r="BH230" s="22">
        <f>VLOOKUP($A230,tabCustoUnit[],COLUMN(CUSTO_GLOBAL[[#Headers],[MÓDULO 4 – CUSTO DE REPOSIÇÃO DO PROFISSIONAL AUSENTE]])-2,0)*($G230-$H230)</f>
        <v>82.786347406652496</v>
      </c>
      <c r="BI230" s="22">
        <f>VLOOKUP($A230,tabCustoUnit[],COLUMN(CUSTO_GLOBAL[[#Headers],[Uniformes e EPIs]])-2,0)*($G230-$H230)</f>
        <v>302.42749999999995</v>
      </c>
      <c r="BJ230" s="22">
        <f>VLOOKUP($A230,tabCustoUnit[],COLUMN(CUSTO_GLOBAL[[#Headers],[Materiais de Consumo]])-2,0)*($G230-$H230)</f>
        <v>106.55463887575166</v>
      </c>
      <c r="BK230" s="22">
        <f>VLOOKUP($A230,tabCustoUnit[],COLUMN(CUSTO_GLOBAL[[#Headers],[Máquinas e Equipamentos (depreciação)]])-2,0)*($G230-$H230)</f>
        <v>193.58818174447674</v>
      </c>
      <c r="BL230" s="22">
        <f>VLOOKUP($A230,tabCustoUnit[],COLUMN(CUSTO_GLOBAL[[#Headers],[Produtos de Limpeza e Materiais de Higiene Pessoal]])-2,0)*($G230-$H230)</f>
        <v>2070.8145983379495</v>
      </c>
      <c r="BM230" s="22">
        <f>VLOOKUP($A230,tabCustoUnit[],COLUMN(CUSTO_GLOBAL[[#Headers],[Outros (especificar)]])-2,0)*($G230-$H230)</f>
        <v>0</v>
      </c>
      <c r="BN230" s="22">
        <f>VLOOKUP($A230,tabCustoUnit[],COLUMN(CUSTO_GLOBAL[[#Headers],[MÓDULO 5 – INSUMOS DIVERSOS]])-2,0)*($G230-$H230)</f>
        <v>2673.3849189581779</v>
      </c>
      <c r="BO230" s="22">
        <f>VLOOKUP($A230,tabCustoUnit[],COLUMN(CUSTO_GLOBAL[[#Headers],[TOTAL MÓDULOS 1+2+3+4+5]])-2,0)*($G230-$H230)</f>
        <v>13350.806427521351</v>
      </c>
      <c r="BP230" s="22">
        <f>VLOOKUP($A230,tabCustoUnit[],COLUMN(CUSTO_GLOBAL[[#Headers],[Custos Indiretos]])-2,0)*($G230-$H230)</f>
        <v>568.94640420727842</v>
      </c>
      <c r="BQ230" s="22">
        <f>VLOOKUP($A230,tabCustoUnit[],COLUMN(CUSTO_GLOBAL[[#Headers],[Lucro]])-2,0)*($G230-$H230)</f>
        <v>477.91497953411385</v>
      </c>
      <c r="BR230" s="26">
        <f>VLOOKUP($A230,tabCustoUnit[],COLUMN(CUSTO_GLOBAL[[#Headers],[COFINS]])-2,0)</f>
        <v>8.6609686609686695E-2</v>
      </c>
      <c r="BS230" s="26">
        <f>VLOOKUP($A230,tabCustoUnit[],COLUMN(CUSTO_GLOBAL[[#Headers],[PIS]])-2,0)</f>
        <v>1.880341880341882E-2</v>
      </c>
      <c r="BT230" s="28">
        <f>VLOOKUP($A230,tabCustoUnit[],COLUMN(CUSTO_GLOBAL[[#Headers],[ISS]])-2,0)</f>
        <v>0.03</v>
      </c>
      <c r="BU230" s="26">
        <f>VLOOKUP($A230,tabCustoUnit[],COLUMN(CUSTO_GLOBAL[[#Headers],[ISS (Conversão Alíquota s/ fatura)]])-2,0)</f>
        <v>3.4188034188034219E-2</v>
      </c>
      <c r="BV230" s="26">
        <f>VLOOKUP($A230,tabCustoUnit[],COLUMN(CUSTO_GLOBAL[[#Headers],[Resumo de Alíquotas (PIS+CONFINS+ISS)]])-2,0)</f>
        <v>0.1225</v>
      </c>
      <c r="BW230" s="138">
        <f>VLOOKUP($A230,tabCustoUnit[],COLUMN(CUSTO_GLOBAL[[#Headers],[PIS + COFINS + ISS (Total Conversão  Alíquota s/ Fatura)]])-2,0)</f>
        <v>0.13960113960113973</v>
      </c>
      <c r="BX230" s="22">
        <f>VLOOKUP($A230,tabCustoUnit[],COLUMN(CUSTO_GLOBAL[[#Headers],[Valor dos Tributos (ISS, PIS, CONFINS)]])-2,0)*($G230-$H230)</f>
        <v>2009.930834050926</v>
      </c>
      <c r="BY230" s="22">
        <f>VLOOKUP($A230,tabCustoUnit[],COLUMN(CUSTO_GLOBAL[[#Headers],[MÓDULO 6 – CUSTOS INDIRETOS, TRIBUTOS E LUCRO]])-2,0)*($G230-$H230)</f>
        <v>3056.7922177923183</v>
      </c>
      <c r="BZ230" s="22">
        <f>VLOOKUP($A230,tabCustoUnit[],COLUMN(CUSTO_GLOBAL[[#Headers],[CUSTO TOTAL MENSAL]])-2,0)*($G230-$H230)</f>
        <v>16407.598645313668</v>
      </c>
      <c r="CA230" s="22">
        <f>CUSTO_GLOBAL[[#This Row],[CUSTO TOTAL MENSAL]]*12</f>
        <v>196891.18374376401</v>
      </c>
      <c r="CB230" s="24">
        <f>VLOOKUP($A230,tabCustoUnit[],COLUMN(CUSTO_GLOBAL[[#Headers],[ANO DA CCT]])-2,0)</f>
        <v>45658</v>
      </c>
      <c r="CC230" s="25" t="str">
        <f>VLOOKUP($A230,tabCustoUnit[],COLUMN(CUSTO_GLOBAL[[#Headers],[Nº DE PEDIDO DA CCT]])-2,0)</f>
        <v>-</v>
      </c>
      <c r="CD230" s="25" t="str">
        <f>VLOOKUP($A230,tabCustoUnit[],COLUMN(CUSTO_GLOBAL[[#Headers],[TERMO ADITIVO  ALTERAÇÃO DA CCT]])-2,0)</f>
        <v>-</v>
      </c>
      <c r="CF230" s="22"/>
      <c r="CG230" s="22"/>
    </row>
    <row r="231" spans="1:85" x14ac:dyDescent="0.25">
      <c r="A231" s="20" t="s">
        <v>1566</v>
      </c>
      <c r="B231" t="s">
        <v>210</v>
      </c>
      <c r="C231" t="s">
        <v>1244</v>
      </c>
      <c r="D231" t="s">
        <v>81</v>
      </c>
      <c r="E231" s="20" t="s">
        <v>9</v>
      </c>
      <c r="F231" s="20" t="s">
        <v>10</v>
      </c>
      <c r="G231" s="20">
        <v>1</v>
      </c>
      <c r="H231" s="20">
        <v>0</v>
      </c>
      <c r="I231" s="21">
        <f>VLOOKUP($A231,tabCustoUnit[],COLUMN(CUSTO_GLOBAL[[#Headers],[Salário Base]])-2,0)*($G231-$H231)</f>
        <v>798.14</v>
      </c>
      <c r="J231" s="21">
        <f>VLOOKUP($A231,tabCustoUnit[],COLUMN(CUSTO_GLOBAL[[#Headers],[Adicional Periculosidade]])-2,0)*($G231-$H231)</f>
        <v>0</v>
      </c>
      <c r="K231" s="21">
        <f>VLOOKUP($A231,tabCustoUnit[],COLUMN(CUSTO_GLOBAL[[#Headers],[Adicional Insalubridade]])-2,0)*($G231-$H231)</f>
        <v>0</v>
      </c>
      <c r="L231" s="21">
        <f>VLOOKUP($A231,tabCustoUnit[],COLUMN(CUSTO_GLOBAL[[#Headers],[Adicional Noturno]])-2,0)*($G231-$H231)</f>
        <v>0</v>
      </c>
      <c r="M231" s="21">
        <f>VLOOKUP($A231,tabCustoUnit[],COLUMN(CUSTO_GLOBAL[[#Headers],[Adicional Motorista II (Gratificação)]])-2,0)*($G231-$H231)</f>
        <v>0</v>
      </c>
      <c r="N231" s="21">
        <f>VLOOKUP($A231,tabCustoUnit[],COLUMN(CUSTO_GLOBAL[[#Headers],[Adicional de Sobreaviso]])-2,0)*($G231-$H231)</f>
        <v>0</v>
      </c>
      <c r="O231" s="21">
        <f>VLOOKUP($A231,tabCustoUnit[],COLUMN(CUSTO_GLOBAL[[#Headers],[Horas Extras TI]])-2,0)*($G231-$H231)</f>
        <v>0</v>
      </c>
      <c r="P231" s="21">
        <f>VLOOKUP($A231,tabCustoUnit[],COLUMN(CUSTO_GLOBAL[[#Headers],[Adicional de Acúmulo de função]])-2,0)*($G231-$H231)</f>
        <v>26.120899999999999</v>
      </c>
      <c r="Q231" s="21">
        <f>VLOOKUP($A231,tabCustoUnit[],COLUMN(CUSTO_GLOBAL[[#Headers],[MODULO 1 - REMUNERAÇÃO ]])-2,0)*($G231-$H231)</f>
        <v>824.26089999999999</v>
      </c>
      <c r="R231" s="21">
        <f>VLOOKUP($A231,tabCustoUnit[],COLUMN(CUSTO_GLOBAL[[#Headers],[INSS]])-2,0)*($G231-$H231)</f>
        <v>164.85218</v>
      </c>
      <c r="S231" s="21">
        <f>VLOOKUP($A231,tabCustoUnit[],COLUMN(CUSTO_GLOBAL[[#Headers],[SESI OU SESC]])-2,0)*($G231-$H231)</f>
        <v>12.363913499999999</v>
      </c>
      <c r="T231" s="21">
        <f>VLOOKUP($A231,tabCustoUnit[],COLUMN(CUSTO_GLOBAL[[#Headers],[SENAI OU SENAC]])-2,0)*($G231-$H231)</f>
        <v>8.2426089999999999</v>
      </c>
      <c r="U231" s="21">
        <f>VLOOKUP($A231,tabCustoUnit[],COLUMN(CUSTO_GLOBAL[[#Headers],[INCRA]])-2,0)*($G231-$H231)</f>
        <v>1.6485217999999999</v>
      </c>
      <c r="V231" s="21">
        <f>VLOOKUP($A231,tabCustoUnit[],COLUMN(CUSTO_GLOBAL[[#Headers],[Salário Educação]])-2,0)*($G231-$H231)</f>
        <v>20.606522500000001</v>
      </c>
      <c r="W231" s="21">
        <f>VLOOKUP($A231,tabCustoUnit[],COLUMN(CUSTO_GLOBAL[[#Headers],[FGTS]])-2,0)*($G231-$H231)</f>
        <v>65.940871999999999</v>
      </c>
      <c r="X231" s="21">
        <f>VLOOKUP($A231,tabCustoUnit[],COLUMN(CUSTO_GLOBAL[[#Headers],[RAT Ajustado]])-2,0)*($G231-$H231)</f>
        <v>32.970435999999999</v>
      </c>
      <c r="Y231" s="21">
        <f>VLOOKUP($A231,tabCustoUnit[],COLUMN(CUSTO_GLOBAL[[#Headers],[SEBRAE]])-2,0)*($G231-$H231)</f>
        <v>4.9455654000000004</v>
      </c>
      <c r="Z231" s="21">
        <f>VLOOKUP($A231,tabCustoUnit[],COLUMN(CUSTO_GLOBAL[[#Headers],[Submódulo 2.1]])-2,0)*($G231-$H231)</f>
        <v>311.57062020000001</v>
      </c>
      <c r="AA231" s="21">
        <f>VLOOKUP($A231,tabCustoUnit[],COLUMN(CUSTO_GLOBAL[[#Headers],[13º salário (titular)]])-2,0)*($G231-$H231)</f>
        <v>68.688408333333328</v>
      </c>
      <c r="AB231" s="21">
        <f>VLOOKUP($A231,tabCustoUnit[],COLUMN(CUSTO_GLOBAL[[#Headers],[Férias e Adicional de Férias (titular)]])-2,0)*($G231-$H231)</f>
        <v>91.584544444444433</v>
      </c>
      <c r="AC231" s="21">
        <f>VLOOKUP($A231,tabCustoUnit[],COLUMN(CUSTO_GLOBAL[[#Headers],[Incidência do Submódulo 2.1 sobre 13º Salário, Férias e Adicional de Férias]])-2,0)*($G231-$H231)</f>
        <v>60.583176149999993</v>
      </c>
      <c r="AD231" s="21">
        <f>VLOOKUP($A231,tabCustoUnit[],COLUMN(CUSTO_GLOBAL[[#Headers],[Submódulo 2.2]])-2,0)*($G231-$H231)</f>
        <v>220.85612892777775</v>
      </c>
      <c r="AE231" s="22">
        <f>VLOOKUP($A231,tabCustoUnit[],COLUMN(CUSTO_GLOBAL[[#Headers],[Vale - Transporte (Descontada parcela do empregado)]])-2,0)*($G231-$H231)</f>
        <v>208.11160000000001</v>
      </c>
      <c r="AF231" s="22">
        <f>VLOOKUP($A231,tabCustoUnit[],COLUMN(CUSTO_GLOBAL[[#Headers],[Vale - Alimentação (Descontada parcela do empregado)]])-2,0)*($G231-$H231)</f>
        <v>582</v>
      </c>
      <c r="AG231" s="22">
        <f>VLOOKUP($A231,tabCustoUnit[],COLUMN(CUSTO_GLOBAL[[#Headers],[Cesta Básica]])-2,0)*($G231-$H231)</f>
        <v>0</v>
      </c>
      <c r="AH231" s="22">
        <f>VLOOKUP($A231,tabCustoUnit[],COLUMN(CUSTO_GLOBAL[[#Headers],[PAF]])-2,0)*($G231-$H231)</f>
        <v>51.74</v>
      </c>
      <c r="AI231" s="22">
        <f>VLOOKUP($A231,tabCustoUnit[],COLUMN(CUSTO_GLOBAL[[#Headers],[PQM]])-2,0)*($G231-$H231)</f>
        <v>0</v>
      </c>
      <c r="AJ231" s="22">
        <v>0</v>
      </c>
      <c r="AK231" s="22">
        <f>VLOOKUP($A231,tabCustoUnit[],COLUMN(CUSTO_GLOBAL[[#Headers],[Seguro de Vida]])-2,0)*($G231-$H231)</f>
        <v>3.36</v>
      </c>
      <c r="AL231" s="22">
        <f>VLOOKUP($A231,tabCustoUnit[],COLUMN(CUSTO_GLOBAL[[#Headers],[Despesas de Viagem]])-2,0)*($G231-$H231)</f>
        <v>0</v>
      </c>
      <c r="AM231" s="22">
        <f>VLOOKUP($A231,tabCustoUnit[],COLUMN(CUSTO_GLOBAL[[#Headers],[Submódulo 2.3]])-2,0)*($G231-$H231)</f>
        <v>845.21159999999998</v>
      </c>
      <c r="AN231" s="22">
        <f>VLOOKUP($A231,tabCustoUnit[],COLUMN(CUSTO_GLOBAL[[#Headers],[MÓDULO 2 - Total Encargos e Benefícios mensais e diários]])-2,0)*($G231-$H231)</f>
        <v>1377.6383491277777</v>
      </c>
      <c r="AO231" s="22">
        <f>VLOOKUP($A231,tabCustoUnit[],COLUMN(CUSTO_GLOBAL[[#Headers],[Aviso Prévio Indenizado (API) e Reflexo do Aviso Prévio Indenizado]])-2,0)*($G231-$H231)</f>
        <v>5.7795253576581791</v>
      </c>
      <c r="AP231" s="22">
        <f>VLOOKUP($A231,tabCustoUnit[],COLUMN(CUSTO_GLOBAL[[#Headers],[Incidência do FGTS sobre API e Reflexo do API]])-2,0)*($G231-$H231)</f>
        <v>0.46236202861265435</v>
      </c>
      <c r="AQ231" s="22">
        <f>VLOOKUP($A231,tabCustoUnit[],COLUMN(CUSTO_GLOBAL[[#Headers],[Multa Rescisória do FGTS sobre o Aviso Prévio Indenizado]])-2,0)*($G231-$H231)</f>
        <v>0.18494481144506175</v>
      </c>
      <c r="AR231" s="22">
        <f>VLOOKUP($A231,tabCustoUnit[],COLUMN(CUSTO_GLOBAL[[#Headers],[Aviso Prévio Trabalhado - APT]])-2,0)*($G231-$H231)</f>
        <v>2.8849131500000005</v>
      </c>
      <c r="AS231" s="22">
        <f>VLOOKUP($A231,tabCustoUnit[],COLUMN(CUSTO_GLOBAL[[#Headers],[Incidência dos encargos do submódulo 2.1 sobre Aviso Prévio Trabalhado]])-2,0)*($G231-$H231)</f>
        <v>1.0904971707000004</v>
      </c>
      <c r="AT231" s="22">
        <f>VLOOKUP($A231,tabCustoUnit[],COLUMN(CUSTO_GLOBAL[[#Headers],[Multa Rescisória do FGTS]])-2,0)*($G231-$H231)</f>
        <v>25.204066631111107</v>
      </c>
      <c r="AU231" s="22">
        <f>VLOOKUP($A231,tabCustoUnit[],COLUMN(CUSTO_GLOBAL[[#Headers],[Indenização Adicional (Art. 9º da Lei nº 7.238/84)]])-2,0)*($G231-$H231)</f>
        <v>0.6868840833333334</v>
      </c>
      <c r="AV231" s="22">
        <f>VLOOKUP($A231,tabCustoUnit[],COLUMN(CUSTO_GLOBAL[[#Headers],[MÓDULO 3 – PROVISÃO PARA RESCISÃO]])-2,0)*($G231-$H231)</f>
        <v>36.293193232860339</v>
      </c>
      <c r="AW231" s="22">
        <f>VLOOKUP($A231,tabCustoUnit[],COLUMN(CUSTO_GLOBAL[[#Headers],[Ausência por Doença]])-2,0)*($G231-$H231)</f>
        <v>6.9604253777777769</v>
      </c>
      <c r="AX231" s="22">
        <f>VLOOKUP($A231,tabCustoUnit[],COLUMN(CUSTO_GLOBAL[[#Headers],[Ausências Legais]])-2,0)*($G231-$H231)</f>
        <v>1.671417936111111</v>
      </c>
      <c r="AY231" s="22">
        <f>VLOOKUP($A231,tabCustoUnit[],COLUMN(CUSTO_GLOBAL[[#Headers],[Licença Paternidade]])-2,0)*($G231-$H231)</f>
        <v>0.14081123708333332</v>
      </c>
      <c r="AZ231" s="22">
        <f>VLOOKUP($A231,tabCustoUnit[],COLUMN(CUSTO_GLOBAL[[#Headers],[Ausência por Acidente de Trabalho]])-2,0)*($G231-$H231)</f>
        <v>0.17172102083333335</v>
      </c>
      <c r="BA231" s="22">
        <f>VLOOKUP($A231,tabCustoUnit[],COLUMN(CUSTO_GLOBAL[[#Headers],[Férias, Adicional de Férias e 13º  com empregada em gozo de Licença Maternidade]])-2,0)*($G231-$H231)</f>
        <v>1.0684863518518517</v>
      </c>
      <c r="BB231" s="22">
        <f>VLOOKUP($A231,tabCustoUnit[],COLUMN(CUSTO_GLOBAL[[#Headers],[Incidência do Submódulo 2.1 sobre Ausências Legais]])-2,0)*($G231-$H231)</f>
        <v>3.7848618071425006</v>
      </c>
      <c r="BC231" s="22">
        <f>VLOOKUP($A231,tabCustoUnit[],COLUMN(CUSTO_GLOBAL[[#Headers],[Submódulo 4.1]])-2,0)*($G231-$H231)</f>
        <v>13.797723730799909</v>
      </c>
      <c r="BD231" s="22">
        <f>VLOOKUP($A231,tabCustoUnit[],COLUMN(CUSTO_GLOBAL[[#Headers],[Intervalo para Repouso ou Alimentação]])-2,0)*($G231-$H231)</f>
        <v>0</v>
      </c>
      <c r="BE231" s="22">
        <f>VLOOKUP($A231,tabCustoUnit[],COLUMN(CUSTO_GLOBAL[[#Headers],[Submódulo 4.2]])-2,0)*($G231-$H231)</f>
        <v>0</v>
      </c>
      <c r="BF231" s="22">
        <f>VLOOKUP($A231,tabCustoUnit[],COLUMN(CUSTO_GLOBAL[[#Headers],[Suspensão Temporária do Contrato de Trabalho]])-2,0)*($G231-$H231)</f>
        <v>0</v>
      </c>
      <c r="BG231" s="22">
        <f>VLOOKUP($A231,tabCustoUnit[],COLUMN(CUSTO_GLOBAL[[#Headers],[Submódulo 4.3]])-2,0)*($G231-$H231)</f>
        <v>0</v>
      </c>
      <c r="BH231" s="22">
        <f>VLOOKUP($A231,tabCustoUnit[],COLUMN(CUSTO_GLOBAL[[#Headers],[MÓDULO 4 – CUSTO DE REPOSIÇÃO DO PROFISSIONAL AUSENTE]])-2,0)*($G231-$H231)</f>
        <v>13.797723730799909</v>
      </c>
      <c r="BI231" s="22">
        <f>VLOOKUP($A231,tabCustoUnit[],COLUMN(CUSTO_GLOBAL[[#Headers],[Uniformes e EPIs]])-2,0)*($G231-$H231)</f>
        <v>62.806666666666665</v>
      </c>
      <c r="BJ231" s="22">
        <f>VLOOKUP($A231,tabCustoUnit[],COLUMN(CUSTO_GLOBAL[[#Headers],[Materiais de Consumo]])-2,0)*($G231-$H231)</f>
        <v>17.759106479291944</v>
      </c>
      <c r="BK231" s="22">
        <f>VLOOKUP($A231,tabCustoUnit[],COLUMN(CUSTO_GLOBAL[[#Headers],[Máquinas e Equipamentos (depreciação)]])-2,0)*($G231-$H231)</f>
        <v>32.264696957412788</v>
      </c>
      <c r="BL231" s="22">
        <f>VLOOKUP($A231,tabCustoUnit[],COLUMN(CUSTO_GLOBAL[[#Headers],[Produtos de Limpeza e Materiais de Higiene Pessoal]])-2,0)*($G231-$H231)</f>
        <v>345.13576638965827</v>
      </c>
      <c r="BM231" s="22">
        <f>VLOOKUP($A231,tabCustoUnit[],COLUMN(CUSTO_GLOBAL[[#Headers],[Outros (especificar)]])-2,0)*($G231-$H231)</f>
        <v>0</v>
      </c>
      <c r="BN231" s="22">
        <f>VLOOKUP($A231,tabCustoUnit[],COLUMN(CUSTO_GLOBAL[[#Headers],[MÓDULO 5 – INSUMOS DIVERSOS]])-2,0)*($G231-$H231)</f>
        <v>457.96623649302967</v>
      </c>
      <c r="BO231" s="22">
        <f>VLOOKUP($A231,tabCustoUnit[],COLUMN(CUSTO_GLOBAL[[#Headers],[TOTAL MÓDULOS 1+2+3+4+5]])-2,0)*($G231-$H231)</f>
        <v>2709.9564025844675</v>
      </c>
      <c r="BP231" s="22">
        <f>VLOOKUP($A231,tabCustoUnit[],COLUMN(CUSTO_GLOBAL[[#Headers],[Custos Indiretos]])-2,0)*($G231-$H231)</f>
        <v>189.64880140242613</v>
      </c>
      <c r="BQ231" s="22">
        <f>VLOOKUP($A231,tabCustoUnit[],COLUMN(CUSTO_GLOBAL[[#Headers],[Lucro]])-2,0)*($G231-$H231)</f>
        <v>159.30499317803796</v>
      </c>
      <c r="BR231" s="26">
        <f>VLOOKUP($A231,tabCustoUnit[],COLUMN(CUSTO_GLOBAL[[#Headers],[COFINS]])-2,0)</f>
        <v>8.6609686609686695E-2</v>
      </c>
      <c r="BS231" s="26">
        <f>VLOOKUP($A231,tabCustoUnit[],COLUMN(CUSTO_GLOBAL[[#Headers],[PIS]])-2,0)</f>
        <v>1.880341880341882E-2</v>
      </c>
      <c r="BT231" s="28">
        <f>VLOOKUP($A231,tabCustoUnit[],COLUMN(CUSTO_GLOBAL[[#Headers],[ISS]])-2,0)</f>
        <v>0.03</v>
      </c>
      <c r="BU231" s="26">
        <f>VLOOKUP($A231,tabCustoUnit[],COLUMN(CUSTO_GLOBAL[[#Headers],[ISS (Conversão Alíquota s/ fatura)]])-2,0)</f>
        <v>3.4188034188034219E-2</v>
      </c>
      <c r="BV231" s="26">
        <f>VLOOKUP($A231,tabCustoUnit[],COLUMN(CUSTO_GLOBAL[[#Headers],[Resumo de Alíquotas (PIS+CONFINS+ISS)]])-2,0)</f>
        <v>0.1225</v>
      </c>
      <c r="BW231" s="138">
        <f>VLOOKUP($A231,tabCustoUnit[],COLUMN(CUSTO_GLOBAL[[#Headers],[PIS + COFINS + ISS (Total Conversão  Alíquota s/ Fatura)]])-2,0)</f>
        <v>0.13960113960113973</v>
      </c>
      <c r="BX231" s="22">
        <f>VLOOKUP($A231,tabCustoUnit[],COLUMN(CUSTO_GLOBAL[[#Headers],[Valor dos Tributos (ISS, PIS, CONFINS)]])-2,0)*($G231-$H231)</f>
        <v>427.02734946177151</v>
      </c>
      <c r="BY231" s="22">
        <f>VLOOKUP($A231,tabCustoUnit[],COLUMN(CUSTO_GLOBAL[[#Headers],[MÓDULO 6 – CUSTOS INDIRETOS, TRIBUTOS E LUCRO]])-2,0)*($G231-$H231)</f>
        <v>775.98114404223566</v>
      </c>
      <c r="BZ231" s="22">
        <f>VLOOKUP($A231,tabCustoUnit[],COLUMN(CUSTO_GLOBAL[[#Headers],[CUSTO TOTAL MENSAL]])-2,0)*($G231-$H231)</f>
        <v>3485.9375466267029</v>
      </c>
      <c r="CA231" s="22">
        <f>CUSTO_GLOBAL[[#This Row],[CUSTO TOTAL MENSAL]]*12</f>
        <v>41831.250559520435</v>
      </c>
      <c r="CB231" s="24">
        <f>VLOOKUP($A231,tabCustoUnit[],COLUMN(CUSTO_GLOBAL[[#Headers],[ANO DA CCT]])-2,0)</f>
        <v>45658</v>
      </c>
      <c r="CC231" s="25" t="str">
        <f>VLOOKUP($A231,tabCustoUnit[],COLUMN(CUSTO_GLOBAL[[#Headers],[Nº DE PEDIDO DA CCT]])-2,0)</f>
        <v>-</v>
      </c>
      <c r="CD231" s="25" t="str">
        <f>VLOOKUP($A231,tabCustoUnit[],COLUMN(CUSTO_GLOBAL[[#Headers],[TERMO ADITIVO  ALTERAÇÃO DA CCT]])-2,0)</f>
        <v>-</v>
      </c>
      <c r="CF231" s="22"/>
      <c r="CG231" s="22"/>
    </row>
    <row r="232" spans="1:85" x14ac:dyDescent="0.25">
      <c r="A232" s="20" t="s">
        <v>1567</v>
      </c>
      <c r="B232" t="s">
        <v>211</v>
      </c>
      <c r="C232" t="s">
        <v>1245</v>
      </c>
      <c r="D232" t="s">
        <v>211</v>
      </c>
      <c r="E232" s="20" t="s">
        <v>9</v>
      </c>
      <c r="F232" s="20" t="s">
        <v>10</v>
      </c>
      <c r="G232" s="20">
        <v>2</v>
      </c>
      <c r="H232" s="20">
        <v>0</v>
      </c>
      <c r="I232" s="21">
        <f>VLOOKUP($A232,tabCustoUnit[],COLUMN(CUSTO_GLOBAL[[#Headers],[Salário Base]])-2,0)*($G232-$H232)</f>
        <v>3298.24</v>
      </c>
      <c r="J232" s="21">
        <f>VLOOKUP($A232,tabCustoUnit[],COLUMN(CUSTO_GLOBAL[[#Headers],[Adicional Periculosidade]])-2,0)*($G232-$H232)</f>
        <v>0</v>
      </c>
      <c r="K232" s="21">
        <f>VLOOKUP($A232,tabCustoUnit[],COLUMN(CUSTO_GLOBAL[[#Headers],[Adicional Insalubridade]])-2,0)*($G232-$H232)</f>
        <v>0</v>
      </c>
      <c r="L232" s="21">
        <f>VLOOKUP($A232,tabCustoUnit[],COLUMN(CUSTO_GLOBAL[[#Headers],[Adicional Noturno]])-2,0)*($G232-$H232)</f>
        <v>0</v>
      </c>
      <c r="M232" s="21">
        <f>VLOOKUP($A232,tabCustoUnit[],COLUMN(CUSTO_GLOBAL[[#Headers],[Adicional Motorista II (Gratificação)]])-2,0)*($G232-$H232)</f>
        <v>0</v>
      </c>
      <c r="N232" s="21">
        <f>VLOOKUP($A232,tabCustoUnit[],COLUMN(CUSTO_GLOBAL[[#Headers],[Adicional de Sobreaviso]])-2,0)*($G232-$H232)</f>
        <v>0</v>
      </c>
      <c r="O232" s="21">
        <f>VLOOKUP($A232,tabCustoUnit[],COLUMN(CUSTO_GLOBAL[[#Headers],[Horas Extras TI]])-2,0)*($G232-$H232)</f>
        <v>0</v>
      </c>
      <c r="P232" s="21">
        <f>VLOOKUP($A232,tabCustoUnit[],COLUMN(CUSTO_GLOBAL[[#Headers],[Adicional de Acúmulo de função]])-2,0)*($G232-$H232)</f>
        <v>107.94240000000001</v>
      </c>
      <c r="Q232" s="21">
        <f>VLOOKUP($A232,tabCustoUnit[],COLUMN(CUSTO_GLOBAL[[#Headers],[MODULO 1 - REMUNERAÇÃO ]])-2,0)*($G232-$H232)</f>
        <v>3406.1823999999997</v>
      </c>
      <c r="R232" s="21">
        <f>VLOOKUP($A232,tabCustoUnit[],COLUMN(CUSTO_GLOBAL[[#Headers],[INSS]])-2,0)*($G232-$H232)</f>
        <v>681.23648000000003</v>
      </c>
      <c r="S232" s="21">
        <f>VLOOKUP($A232,tabCustoUnit[],COLUMN(CUSTO_GLOBAL[[#Headers],[SESI OU SESC]])-2,0)*($G232-$H232)</f>
        <v>51.092735999999995</v>
      </c>
      <c r="T232" s="21">
        <f>VLOOKUP($A232,tabCustoUnit[],COLUMN(CUSTO_GLOBAL[[#Headers],[SENAI OU SENAC]])-2,0)*($G232-$H232)</f>
        <v>34.061823999999994</v>
      </c>
      <c r="U232" s="21">
        <f>VLOOKUP($A232,tabCustoUnit[],COLUMN(CUSTO_GLOBAL[[#Headers],[INCRA]])-2,0)*($G232-$H232)</f>
        <v>6.8123647999999992</v>
      </c>
      <c r="V232" s="21">
        <f>VLOOKUP($A232,tabCustoUnit[],COLUMN(CUSTO_GLOBAL[[#Headers],[Salário Educação]])-2,0)*($G232-$H232)</f>
        <v>85.154560000000004</v>
      </c>
      <c r="W232" s="21">
        <f>VLOOKUP($A232,tabCustoUnit[],COLUMN(CUSTO_GLOBAL[[#Headers],[FGTS]])-2,0)*($G232-$H232)</f>
        <v>272.49459199999995</v>
      </c>
      <c r="X232" s="21">
        <f>VLOOKUP($A232,tabCustoUnit[],COLUMN(CUSTO_GLOBAL[[#Headers],[RAT Ajustado]])-2,0)*($G232-$H232)</f>
        <v>136.24729599999998</v>
      </c>
      <c r="Y232" s="21">
        <f>VLOOKUP($A232,tabCustoUnit[],COLUMN(CUSTO_GLOBAL[[#Headers],[SEBRAE]])-2,0)*($G232-$H232)</f>
        <v>20.437094399999999</v>
      </c>
      <c r="Z232" s="21">
        <f>VLOOKUP($A232,tabCustoUnit[],COLUMN(CUSTO_GLOBAL[[#Headers],[Submódulo 2.1]])-2,0)*($G232-$H232)</f>
        <v>1287.5369472</v>
      </c>
      <c r="AA232" s="21">
        <f>VLOOKUP($A232,tabCustoUnit[],COLUMN(CUSTO_GLOBAL[[#Headers],[13º salário (titular)]])-2,0)*($G232-$H232)</f>
        <v>283.84853333333331</v>
      </c>
      <c r="AB232" s="21">
        <f>VLOOKUP($A232,tabCustoUnit[],COLUMN(CUSTO_GLOBAL[[#Headers],[Férias e Adicional de Férias (titular)]])-2,0)*($G232-$H232)</f>
        <v>378.46471111111106</v>
      </c>
      <c r="AC232" s="21">
        <f>VLOOKUP($A232,tabCustoUnit[],COLUMN(CUSTO_GLOBAL[[#Headers],[Incidência do Submódulo 2.1 sobre 13º Salário, Férias e Adicional de Férias]])-2,0)*($G232-$H232)</f>
        <v>250.35440639999999</v>
      </c>
      <c r="AD232" s="21">
        <f>VLOOKUP($A232,tabCustoUnit[],COLUMN(CUSTO_GLOBAL[[#Headers],[Submódulo 2.2]])-2,0)*($G232-$H232)</f>
        <v>912.66765084444432</v>
      </c>
      <c r="AE232" s="22">
        <f>VLOOKUP($A232,tabCustoUnit[],COLUMN(CUSTO_GLOBAL[[#Headers],[Vale - Transporte (Descontada parcela do empregado)]])-2,0)*($G232-$H232)</f>
        <v>314.10559999999998</v>
      </c>
      <c r="AF232" s="22">
        <f>VLOOKUP($A232,tabCustoUnit[],COLUMN(CUSTO_GLOBAL[[#Headers],[Vale - Alimentação (Descontada parcela do empregado)]])-2,0)*($G232-$H232)</f>
        <v>1164</v>
      </c>
      <c r="AG232" s="22">
        <f>VLOOKUP($A232,tabCustoUnit[],COLUMN(CUSTO_GLOBAL[[#Headers],[Cesta Básica]])-2,0)*($G232-$H232)</f>
        <v>0</v>
      </c>
      <c r="AH232" s="22">
        <f>VLOOKUP($A232,tabCustoUnit[],COLUMN(CUSTO_GLOBAL[[#Headers],[PAF]])-2,0)*($G232-$H232)</f>
        <v>103.72</v>
      </c>
      <c r="AI232" s="22">
        <f>VLOOKUP($A232,tabCustoUnit[],COLUMN(CUSTO_GLOBAL[[#Headers],[PQM]])-2,0)*($G232-$H232)</f>
        <v>0</v>
      </c>
      <c r="AJ232" s="22">
        <v>0</v>
      </c>
      <c r="AK232" s="22">
        <f>VLOOKUP($A232,tabCustoUnit[],COLUMN(CUSTO_GLOBAL[[#Headers],[Seguro de Vida]])-2,0)*($G232-$H232)</f>
        <v>6.72</v>
      </c>
      <c r="AL232" s="22">
        <f>VLOOKUP($A232,tabCustoUnit[],COLUMN(CUSTO_GLOBAL[[#Headers],[Despesas de Viagem]])-2,0)*($G232-$H232)</f>
        <v>0</v>
      </c>
      <c r="AM232" s="22">
        <f>VLOOKUP($A232,tabCustoUnit[],COLUMN(CUSTO_GLOBAL[[#Headers],[Submódulo 2.3]])-2,0)*($G232-$H232)</f>
        <v>1588.5455999999999</v>
      </c>
      <c r="AN232" s="22">
        <f>VLOOKUP($A232,tabCustoUnit[],COLUMN(CUSTO_GLOBAL[[#Headers],[MÓDULO 2 - Total Encargos e Benefícios mensais e diários]])-2,0)*($G232-$H232)</f>
        <v>3788.7501980444445</v>
      </c>
      <c r="AO232" s="22">
        <f>VLOOKUP($A232,tabCustoUnit[],COLUMN(CUSTO_GLOBAL[[#Headers],[Aviso Prévio Indenizado (API) e Reflexo do Aviso Prévio Indenizado]])-2,0)*($G232-$H232)</f>
        <v>23.883357264197528</v>
      </c>
      <c r="AP232" s="22">
        <f>VLOOKUP($A232,tabCustoUnit[],COLUMN(CUSTO_GLOBAL[[#Headers],[Incidência do FGTS sobre API e Reflexo do API]])-2,0)*($G232-$H232)</f>
        <v>1.9106685811358024</v>
      </c>
      <c r="AQ232" s="22">
        <f>VLOOKUP($A232,tabCustoUnit[],COLUMN(CUSTO_GLOBAL[[#Headers],[Multa Rescisória do FGTS sobre o Aviso Prévio Indenizado]])-2,0)*($G232-$H232)</f>
        <v>0.76426743245432105</v>
      </c>
      <c r="AR232" s="22">
        <f>VLOOKUP($A232,tabCustoUnit[],COLUMN(CUSTO_GLOBAL[[#Headers],[Aviso Prévio Trabalhado - APT]])-2,0)*($G232-$H232)</f>
        <v>11.921638400000001</v>
      </c>
      <c r="AS232" s="22">
        <f>VLOOKUP($A232,tabCustoUnit[],COLUMN(CUSTO_GLOBAL[[#Headers],[Incidência dos encargos do submódulo 2.1 sobre Aviso Prévio Trabalhado]])-2,0)*($G232-$H232)</f>
        <v>4.5063793152000011</v>
      </c>
      <c r="AT232" s="22">
        <f>VLOOKUP($A232,tabCustoUnit[],COLUMN(CUSTO_GLOBAL[[#Headers],[Multa Rescisória do FGTS]])-2,0)*($G232-$H232)</f>
        <v>104.15348849777776</v>
      </c>
      <c r="AU232" s="22">
        <f>VLOOKUP($A232,tabCustoUnit[],COLUMN(CUSTO_GLOBAL[[#Headers],[Indenização Adicional (Art. 9º da Lei nº 7.238/84)]])-2,0)*($G232-$H232)</f>
        <v>2.8384853333333333</v>
      </c>
      <c r="AV232" s="22">
        <f>VLOOKUP($A232,tabCustoUnit[],COLUMN(CUSTO_GLOBAL[[#Headers],[MÓDULO 3 – PROVISÃO PARA RESCISÃO]])-2,0)*($G232-$H232)</f>
        <v>149.97828482409875</v>
      </c>
      <c r="AW232" s="22">
        <f>VLOOKUP($A232,tabCustoUnit[],COLUMN(CUSTO_GLOBAL[[#Headers],[Ausência por Doença]])-2,0)*($G232-$H232)</f>
        <v>28.763318044444439</v>
      </c>
      <c r="AX232" s="22">
        <f>VLOOKUP($A232,tabCustoUnit[],COLUMN(CUSTO_GLOBAL[[#Headers],[Ausências Legais]])-2,0)*($G232-$H232)</f>
        <v>6.9069809777777769</v>
      </c>
      <c r="AY232" s="22">
        <f>VLOOKUP($A232,tabCustoUnit[],COLUMN(CUSTO_GLOBAL[[#Headers],[Licença Paternidade]])-2,0)*($G232-$H232)</f>
        <v>0.58188949333333329</v>
      </c>
      <c r="AZ232" s="22">
        <f>VLOOKUP($A232,tabCustoUnit[],COLUMN(CUSTO_GLOBAL[[#Headers],[Ausência por Acidente de Trabalho]])-2,0)*($G232-$H232)</f>
        <v>0.70962133333333333</v>
      </c>
      <c r="BA232" s="22">
        <f>VLOOKUP($A232,tabCustoUnit[],COLUMN(CUSTO_GLOBAL[[#Headers],[Férias, Adicional de Férias e 13º  com empregada em gozo de Licença Maternidade]])-2,0)*($G232-$H232)</f>
        <v>4.4154216296296287</v>
      </c>
      <c r="BB232" s="22">
        <f>VLOOKUP($A232,tabCustoUnit[],COLUMN(CUSTO_GLOBAL[[#Headers],[Incidência do Submódulo 2.1 sobre Ausências Legais]])-2,0)*($G232-$H232)</f>
        <v>15.640593498880001</v>
      </c>
      <c r="BC232" s="22">
        <f>VLOOKUP($A232,tabCustoUnit[],COLUMN(CUSTO_GLOBAL[[#Headers],[Submódulo 4.1]])-2,0)*($G232-$H232)</f>
        <v>57.017824977398512</v>
      </c>
      <c r="BD232" s="22">
        <f>VLOOKUP($A232,tabCustoUnit[],COLUMN(CUSTO_GLOBAL[[#Headers],[Intervalo para Repouso ou Alimentação]])-2,0)*($G232-$H232)</f>
        <v>0</v>
      </c>
      <c r="BE232" s="22">
        <f>VLOOKUP($A232,tabCustoUnit[],COLUMN(CUSTO_GLOBAL[[#Headers],[Submódulo 4.2]])-2,0)*($G232-$H232)</f>
        <v>0</v>
      </c>
      <c r="BF232" s="22">
        <f>VLOOKUP($A232,tabCustoUnit[],COLUMN(CUSTO_GLOBAL[[#Headers],[Suspensão Temporária do Contrato de Trabalho]])-2,0)*($G232-$H232)</f>
        <v>0</v>
      </c>
      <c r="BG232" s="22">
        <f>VLOOKUP($A232,tabCustoUnit[],COLUMN(CUSTO_GLOBAL[[#Headers],[Submódulo 4.3]])-2,0)*($G232-$H232)</f>
        <v>0</v>
      </c>
      <c r="BH232" s="22">
        <f>VLOOKUP($A232,tabCustoUnit[],COLUMN(CUSTO_GLOBAL[[#Headers],[MÓDULO 4 – CUSTO DE REPOSIÇÃO DO PROFISSIONAL AUSENTE]])-2,0)*($G232-$H232)</f>
        <v>57.017824977398512</v>
      </c>
      <c r="BI232" s="22">
        <f>VLOOKUP($A232,tabCustoUnit[],COLUMN(CUSTO_GLOBAL[[#Headers],[Uniformes e EPIs]])-2,0)*($G232-$H232)</f>
        <v>201.61833333333331</v>
      </c>
      <c r="BJ232" s="22">
        <f>VLOOKUP($A232,tabCustoUnit[],COLUMN(CUSTO_GLOBAL[[#Headers],[Materiais de Consumo]])-2,0)*($G232-$H232)</f>
        <v>71.036425917167776</v>
      </c>
      <c r="BK232" s="22">
        <f>VLOOKUP($A232,tabCustoUnit[],COLUMN(CUSTO_GLOBAL[[#Headers],[Máquinas e Equipamentos (depreciação)]])-2,0)*($G232-$H232)</f>
        <v>129.05878782965115</v>
      </c>
      <c r="BL232" s="22">
        <f>VLOOKUP($A232,tabCustoUnit[],COLUMN(CUSTO_GLOBAL[[#Headers],[Produtos de Limpeza e Materiais de Higiene Pessoal]])-2,0)*($G232-$H232)</f>
        <v>1380.5430655586331</v>
      </c>
      <c r="BM232" s="22">
        <f>VLOOKUP($A232,tabCustoUnit[],COLUMN(CUSTO_GLOBAL[[#Headers],[Outros (especificar)]])-2,0)*($G232-$H232)</f>
        <v>0</v>
      </c>
      <c r="BN232" s="22">
        <f>VLOOKUP($A232,tabCustoUnit[],COLUMN(CUSTO_GLOBAL[[#Headers],[MÓDULO 5 – INSUMOS DIVERSOS]])-2,0)*($G232-$H232)</f>
        <v>1782.2566126387853</v>
      </c>
      <c r="BO232" s="22">
        <f>VLOOKUP($A232,tabCustoUnit[],COLUMN(CUSTO_GLOBAL[[#Headers],[TOTAL MÓDULOS 1+2+3+4+5]])-2,0)*($G232-$H232)</f>
        <v>9184.1853204847266</v>
      </c>
      <c r="BP232" s="22">
        <f>VLOOKUP($A232,tabCustoUnit[],COLUMN(CUSTO_GLOBAL[[#Headers],[Custos Indiretos]])-2,0)*($G232-$H232)</f>
        <v>379.29760280485226</v>
      </c>
      <c r="BQ232" s="22">
        <f>VLOOKUP($A232,tabCustoUnit[],COLUMN(CUSTO_GLOBAL[[#Headers],[Lucro]])-2,0)*($G232-$H232)</f>
        <v>318.60998635607592</v>
      </c>
      <c r="BR232" s="26">
        <f>VLOOKUP($A232,tabCustoUnit[],COLUMN(CUSTO_GLOBAL[[#Headers],[COFINS]])-2,0)</f>
        <v>8.6609686609686695E-2</v>
      </c>
      <c r="BS232" s="26">
        <f>VLOOKUP($A232,tabCustoUnit[],COLUMN(CUSTO_GLOBAL[[#Headers],[PIS]])-2,0)</f>
        <v>1.880341880341882E-2</v>
      </c>
      <c r="BT232" s="28">
        <f>VLOOKUP($A232,tabCustoUnit[],COLUMN(CUSTO_GLOBAL[[#Headers],[ISS]])-2,0)</f>
        <v>0.03</v>
      </c>
      <c r="BU232" s="26">
        <f>VLOOKUP($A232,tabCustoUnit[],COLUMN(CUSTO_GLOBAL[[#Headers],[ISS (Conversão Alíquota s/ fatura)]])-2,0)</f>
        <v>3.4188034188034219E-2</v>
      </c>
      <c r="BV232" s="26">
        <f>VLOOKUP($A232,tabCustoUnit[],COLUMN(CUSTO_GLOBAL[[#Headers],[Resumo de Alíquotas (PIS+CONFINS+ISS)]])-2,0)</f>
        <v>0.1225</v>
      </c>
      <c r="BW232" s="138">
        <f>VLOOKUP($A232,tabCustoUnit[],COLUMN(CUSTO_GLOBAL[[#Headers],[PIS + COFINS + ISS (Total Conversão  Alíquota s/ Fatura)]])-2,0)</f>
        <v>0.13960113960113973</v>
      </c>
      <c r="BX232" s="22">
        <f>VLOOKUP($A232,tabCustoUnit[],COLUMN(CUSTO_GLOBAL[[#Headers],[Valor dos Tributos (ISS, PIS, CONFINS)]])-2,0)*($G232-$H232)</f>
        <v>1379.5514318308763</v>
      </c>
      <c r="BY232" s="22">
        <f>VLOOKUP($A232,tabCustoUnit[],COLUMN(CUSTO_GLOBAL[[#Headers],[MÓDULO 6 – CUSTOS INDIRETOS, TRIBUTOS E LUCRO]])-2,0)*($G232-$H232)</f>
        <v>2077.4590209918042</v>
      </c>
      <c r="BZ232" s="22">
        <f>VLOOKUP($A232,tabCustoUnit[],COLUMN(CUSTO_GLOBAL[[#Headers],[CUSTO TOTAL MENSAL]])-2,0)*($G232-$H232)</f>
        <v>11261.644341476531</v>
      </c>
      <c r="CA232" s="22">
        <f>CUSTO_GLOBAL[[#This Row],[CUSTO TOTAL MENSAL]]*12</f>
        <v>135139.73209771837</v>
      </c>
      <c r="CB232" s="24">
        <f>VLOOKUP($A232,tabCustoUnit[],COLUMN(CUSTO_GLOBAL[[#Headers],[ANO DA CCT]])-2,0)</f>
        <v>45658</v>
      </c>
      <c r="CC232" s="25" t="str">
        <f>VLOOKUP($A232,tabCustoUnit[],COLUMN(CUSTO_GLOBAL[[#Headers],[Nº DE PEDIDO DA CCT]])-2,0)</f>
        <v>-</v>
      </c>
      <c r="CD232" s="25" t="str">
        <f>VLOOKUP($A232,tabCustoUnit[],COLUMN(CUSTO_GLOBAL[[#Headers],[TERMO ADITIVO  ALTERAÇÃO DA CCT]])-2,0)</f>
        <v>-</v>
      </c>
      <c r="CF232" s="22"/>
      <c r="CG232" s="22"/>
    </row>
    <row r="233" spans="1:85" x14ac:dyDescent="0.25">
      <c r="A233" s="20" t="s">
        <v>1568</v>
      </c>
      <c r="B233" t="s">
        <v>212</v>
      </c>
      <c r="C233" t="s">
        <v>1244</v>
      </c>
      <c r="D233" t="s">
        <v>1041</v>
      </c>
      <c r="E233" s="20" t="s">
        <v>9</v>
      </c>
      <c r="F233" s="20" t="s">
        <v>10</v>
      </c>
      <c r="G233" s="20">
        <v>1</v>
      </c>
      <c r="H233" s="20">
        <v>0</v>
      </c>
      <c r="I233" s="21">
        <f>VLOOKUP($A233,tabCustoUnit[],COLUMN(CUSTO_GLOBAL[[#Headers],[Salário Base]])-2,0)*($G233-$H233)</f>
        <v>798.14</v>
      </c>
      <c r="J233" s="21">
        <f>VLOOKUP($A233,tabCustoUnit[],COLUMN(CUSTO_GLOBAL[[#Headers],[Adicional Periculosidade]])-2,0)*($G233-$H233)</f>
        <v>0</v>
      </c>
      <c r="K233" s="21">
        <f>VLOOKUP($A233,tabCustoUnit[],COLUMN(CUSTO_GLOBAL[[#Headers],[Adicional Insalubridade]])-2,0)*($G233-$H233)</f>
        <v>0</v>
      </c>
      <c r="L233" s="21">
        <f>VLOOKUP($A233,tabCustoUnit[],COLUMN(CUSTO_GLOBAL[[#Headers],[Adicional Noturno]])-2,0)*($G233-$H233)</f>
        <v>0</v>
      </c>
      <c r="M233" s="21">
        <f>VLOOKUP($A233,tabCustoUnit[],COLUMN(CUSTO_GLOBAL[[#Headers],[Adicional Motorista II (Gratificação)]])-2,0)*($G233-$H233)</f>
        <v>0</v>
      </c>
      <c r="N233" s="21">
        <f>VLOOKUP($A233,tabCustoUnit[],COLUMN(CUSTO_GLOBAL[[#Headers],[Adicional de Sobreaviso]])-2,0)*($G233-$H233)</f>
        <v>0</v>
      </c>
      <c r="O233" s="21">
        <f>VLOOKUP($A233,tabCustoUnit[],COLUMN(CUSTO_GLOBAL[[#Headers],[Horas Extras TI]])-2,0)*($G233-$H233)</f>
        <v>0</v>
      </c>
      <c r="P233" s="21">
        <f>VLOOKUP($A233,tabCustoUnit[],COLUMN(CUSTO_GLOBAL[[#Headers],[Adicional de Acúmulo de função]])-2,0)*($G233-$H233)</f>
        <v>26.120899999999999</v>
      </c>
      <c r="Q233" s="21">
        <f>VLOOKUP($A233,tabCustoUnit[],COLUMN(CUSTO_GLOBAL[[#Headers],[MODULO 1 - REMUNERAÇÃO ]])-2,0)*($G233-$H233)</f>
        <v>824.26089999999999</v>
      </c>
      <c r="R233" s="21">
        <f>VLOOKUP($A233,tabCustoUnit[],COLUMN(CUSTO_GLOBAL[[#Headers],[INSS]])-2,0)*($G233-$H233)</f>
        <v>164.85218</v>
      </c>
      <c r="S233" s="21">
        <f>VLOOKUP($A233,tabCustoUnit[],COLUMN(CUSTO_GLOBAL[[#Headers],[SESI OU SESC]])-2,0)*($G233-$H233)</f>
        <v>12.363913499999999</v>
      </c>
      <c r="T233" s="21">
        <f>VLOOKUP($A233,tabCustoUnit[],COLUMN(CUSTO_GLOBAL[[#Headers],[SENAI OU SENAC]])-2,0)*($G233-$H233)</f>
        <v>8.2426089999999999</v>
      </c>
      <c r="U233" s="21">
        <f>VLOOKUP($A233,tabCustoUnit[],COLUMN(CUSTO_GLOBAL[[#Headers],[INCRA]])-2,0)*($G233-$H233)</f>
        <v>1.6485217999999999</v>
      </c>
      <c r="V233" s="21">
        <f>VLOOKUP($A233,tabCustoUnit[],COLUMN(CUSTO_GLOBAL[[#Headers],[Salário Educação]])-2,0)*($G233-$H233)</f>
        <v>20.606522500000001</v>
      </c>
      <c r="W233" s="21">
        <f>VLOOKUP($A233,tabCustoUnit[],COLUMN(CUSTO_GLOBAL[[#Headers],[FGTS]])-2,0)*($G233-$H233)</f>
        <v>65.940871999999999</v>
      </c>
      <c r="X233" s="21">
        <f>VLOOKUP($A233,tabCustoUnit[],COLUMN(CUSTO_GLOBAL[[#Headers],[RAT Ajustado]])-2,0)*($G233-$H233)</f>
        <v>32.970435999999999</v>
      </c>
      <c r="Y233" s="21">
        <f>VLOOKUP($A233,tabCustoUnit[],COLUMN(CUSTO_GLOBAL[[#Headers],[SEBRAE]])-2,0)*($G233-$H233)</f>
        <v>4.9455654000000004</v>
      </c>
      <c r="Z233" s="21">
        <f>VLOOKUP($A233,tabCustoUnit[],COLUMN(CUSTO_GLOBAL[[#Headers],[Submódulo 2.1]])-2,0)*($G233-$H233)</f>
        <v>311.57062020000001</v>
      </c>
      <c r="AA233" s="21">
        <f>VLOOKUP($A233,tabCustoUnit[],COLUMN(CUSTO_GLOBAL[[#Headers],[13º salário (titular)]])-2,0)*($G233-$H233)</f>
        <v>68.688408333333328</v>
      </c>
      <c r="AB233" s="21">
        <f>VLOOKUP($A233,tabCustoUnit[],COLUMN(CUSTO_GLOBAL[[#Headers],[Férias e Adicional de Férias (titular)]])-2,0)*($G233-$H233)</f>
        <v>91.584544444444433</v>
      </c>
      <c r="AC233" s="21">
        <f>VLOOKUP($A233,tabCustoUnit[],COLUMN(CUSTO_GLOBAL[[#Headers],[Incidência do Submódulo 2.1 sobre 13º Salário, Férias e Adicional de Férias]])-2,0)*($G233-$H233)</f>
        <v>60.583176149999993</v>
      </c>
      <c r="AD233" s="21">
        <f>VLOOKUP($A233,tabCustoUnit[],COLUMN(CUSTO_GLOBAL[[#Headers],[Submódulo 2.2]])-2,0)*($G233-$H233)</f>
        <v>220.85612892777775</v>
      </c>
      <c r="AE233" s="22">
        <f>VLOOKUP($A233,tabCustoUnit[],COLUMN(CUSTO_GLOBAL[[#Headers],[Vale - Transporte (Descontada parcela do empregado)]])-2,0)*($G233-$H233)</f>
        <v>208.11160000000001</v>
      </c>
      <c r="AF233" s="22">
        <f>VLOOKUP($A233,tabCustoUnit[],COLUMN(CUSTO_GLOBAL[[#Headers],[Vale - Alimentação (Descontada parcela do empregado)]])-2,0)*($G233-$H233)</f>
        <v>582</v>
      </c>
      <c r="AG233" s="22">
        <f>VLOOKUP($A233,tabCustoUnit[],COLUMN(CUSTO_GLOBAL[[#Headers],[Cesta Básica]])-2,0)*($G233-$H233)</f>
        <v>0</v>
      </c>
      <c r="AH233" s="22">
        <f>VLOOKUP($A233,tabCustoUnit[],COLUMN(CUSTO_GLOBAL[[#Headers],[PAF]])-2,0)*($G233-$H233)</f>
        <v>0</v>
      </c>
      <c r="AI233" s="22">
        <f>VLOOKUP($A233,tabCustoUnit[],COLUMN(CUSTO_GLOBAL[[#Headers],[PQM]])-2,0)*($G233-$H233)</f>
        <v>0</v>
      </c>
      <c r="AJ233" s="22">
        <v>0</v>
      </c>
      <c r="AK233" s="22">
        <f>VLOOKUP($A233,tabCustoUnit[],COLUMN(CUSTO_GLOBAL[[#Headers],[Seguro de Vida]])-2,0)*($G233-$H233)</f>
        <v>3.36</v>
      </c>
      <c r="AL233" s="22">
        <f>VLOOKUP($A233,tabCustoUnit[],COLUMN(CUSTO_GLOBAL[[#Headers],[Despesas de Viagem]])-2,0)*($G233-$H233)</f>
        <v>0</v>
      </c>
      <c r="AM233" s="22">
        <f>VLOOKUP($A233,tabCustoUnit[],COLUMN(CUSTO_GLOBAL[[#Headers],[Submódulo 2.3]])-2,0)*($G233-$H233)</f>
        <v>793.47159999999997</v>
      </c>
      <c r="AN233" s="22">
        <f>VLOOKUP($A233,tabCustoUnit[],COLUMN(CUSTO_GLOBAL[[#Headers],[MÓDULO 2 - Total Encargos e Benefícios mensais e diários]])-2,0)*($G233-$H233)</f>
        <v>1325.8983491277777</v>
      </c>
      <c r="AO233" s="22">
        <f>VLOOKUP($A233,tabCustoUnit[],COLUMN(CUSTO_GLOBAL[[#Headers],[Aviso Prévio Indenizado (API) e Reflexo do Aviso Prévio Indenizado]])-2,0)*($G233-$H233)</f>
        <v>5.7795253576581791</v>
      </c>
      <c r="AP233" s="22">
        <f>VLOOKUP($A233,tabCustoUnit[],COLUMN(CUSTO_GLOBAL[[#Headers],[Incidência do FGTS sobre API e Reflexo do API]])-2,0)*($G233-$H233)</f>
        <v>0.46236202861265435</v>
      </c>
      <c r="AQ233" s="22">
        <f>VLOOKUP($A233,tabCustoUnit[],COLUMN(CUSTO_GLOBAL[[#Headers],[Multa Rescisória do FGTS sobre o Aviso Prévio Indenizado]])-2,0)*($G233-$H233)</f>
        <v>0.18494481144506175</v>
      </c>
      <c r="AR233" s="22">
        <f>VLOOKUP($A233,tabCustoUnit[],COLUMN(CUSTO_GLOBAL[[#Headers],[Aviso Prévio Trabalhado - APT]])-2,0)*($G233-$H233)</f>
        <v>2.8849131500000005</v>
      </c>
      <c r="AS233" s="22">
        <f>VLOOKUP($A233,tabCustoUnit[],COLUMN(CUSTO_GLOBAL[[#Headers],[Incidência dos encargos do submódulo 2.1 sobre Aviso Prévio Trabalhado]])-2,0)*($G233-$H233)</f>
        <v>1.0904971707000004</v>
      </c>
      <c r="AT233" s="22">
        <f>VLOOKUP($A233,tabCustoUnit[],COLUMN(CUSTO_GLOBAL[[#Headers],[Multa Rescisória do FGTS]])-2,0)*($G233-$H233)</f>
        <v>25.204066631111107</v>
      </c>
      <c r="AU233" s="22">
        <f>VLOOKUP($A233,tabCustoUnit[],COLUMN(CUSTO_GLOBAL[[#Headers],[Indenização Adicional (Art. 9º da Lei nº 7.238/84)]])-2,0)*($G233-$H233)</f>
        <v>0.6868840833333334</v>
      </c>
      <c r="AV233" s="22">
        <f>VLOOKUP($A233,tabCustoUnit[],COLUMN(CUSTO_GLOBAL[[#Headers],[MÓDULO 3 – PROVISÃO PARA RESCISÃO]])-2,0)*($G233-$H233)</f>
        <v>36.293193232860339</v>
      </c>
      <c r="AW233" s="22">
        <f>VLOOKUP($A233,tabCustoUnit[],COLUMN(CUSTO_GLOBAL[[#Headers],[Ausência por Doença]])-2,0)*($G233-$H233)</f>
        <v>6.9604253777777769</v>
      </c>
      <c r="AX233" s="22">
        <f>VLOOKUP($A233,tabCustoUnit[],COLUMN(CUSTO_GLOBAL[[#Headers],[Ausências Legais]])-2,0)*($G233-$H233)</f>
        <v>1.671417936111111</v>
      </c>
      <c r="AY233" s="22">
        <f>VLOOKUP($A233,tabCustoUnit[],COLUMN(CUSTO_GLOBAL[[#Headers],[Licença Paternidade]])-2,0)*($G233-$H233)</f>
        <v>0.14081123708333332</v>
      </c>
      <c r="AZ233" s="22">
        <f>VLOOKUP($A233,tabCustoUnit[],COLUMN(CUSTO_GLOBAL[[#Headers],[Ausência por Acidente de Trabalho]])-2,0)*($G233-$H233)</f>
        <v>0.17172102083333335</v>
      </c>
      <c r="BA233" s="22">
        <f>VLOOKUP($A233,tabCustoUnit[],COLUMN(CUSTO_GLOBAL[[#Headers],[Férias, Adicional de Férias e 13º  com empregada em gozo de Licença Maternidade]])-2,0)*($G233-$H233)</f>
        <v>1.0684863518518517</v>
      </c>
      <c r="BB233" s="22">
        <f>VLOOKUP($A233,tabCustoUnit[],COLUMN(CUSTO_GLOBAL[[#Headers],[Incidência do Submódulo 2.1 sobre Ausências Legais]])-2,0)*($G233-$H233)</f>
        <v>3.7848618071425006</v>
      </c>
      <c r="BC233" s="22">
        <f>VLOOKUP($A233,tabCustoUnit[],COLUMN(CUSTO_GLOBAL[[#Headers],[Submódulo 4.1]])-2,0)*($G233-$H233)</f>
        <v>13.797723730799909</v>
      </c>
      <c r="BD233" s="22">
        <f>VLOOKUP($A233,tabCustoUnit[],COLUMN(CUSTO_GLOBAL[[#Headers],[Intervalo para Repouso ou Alimentação]])-2,0)*($G233-$H233)</f>
        <v>0</v>
      </c>
      <c r="BE233" s="22">
        <f>VLOOKUP($A233,tabCustoUnit[],COLUMN(CUSTO_GLOBAL[[#Headers],[Submódulo 4.2]])-2,0)*($G233-$H233)</f>
        <v>0</v>
      </c>
      <c r="BF233" s="22">
        <f>VLOOKUP($A233,tabCustoUnit[],COLUMN(CUSTO_GLOBAL[[#Headers],[Suspensão Temporária do Contrato de Trabalho]])-2,0)*($G233-$H233)</f>
        <v>0</v>
      </c>
      <c r="BG233" s="22">
        <f>VLOOKUP($A233,tabCustoUnit[],COLUMN(CUSTO_GLOBAL[[#Headers],[Submódulo 4.3]])-2,0)*($G233-$H233)</f>
        <v>0</v>
      </c>
      <c r="BH233" s="22">
        <f>VLOOKUP($A233,tabCustoUnit[],COLUMN(CUSTO_GLOBAL[[#Headers],[MÓDULO 4 – CUSTO DE REPOSIÇÃO DO PROFISSIONAL AUSENTE]])-2,0)*($G233-$H233)</f>
        <v>13.797723730799909</v>
      </c>
      <c r="BI233" s="22">
        <f>VLOOKUP($A233,tabCustoUnit[],COLUMN(CUSTO_GLOBAL[[#Headers],[Uniformes e EPIs]])-2,0)*($G233-$H233)</f>
        <v>62.806666666666665</v>
      </c>
      <c r="BJ233" s="22">
        <f>VLOOKUP($A233,tabCustoUnit[],COLUMN(CUSTO_GLOBAL[[#Headers],[Materiais de Consumo]])-2,0)*($G233-$H233)</f>
        <v>17.759106479291944</v>
      </c>
      <c r="BK233" s="22">
        <f>VLOOKUP($A233,tabCustoUnit[],COLUMN(CUSTO_GLOBAL[[#Headers],[Máquinas e Equipamentos (depreciação)]])-2,0)*($G233-$H233)</f>
        <v>32.264696957412788</v>
      </c>
      <c r="BL233" s="22">
        <f>VLOOKUP($A233,tabCustoUnit[],COLUMN(CUSTO_GLOBAL[[#Headers],[Produtos de Limpeza e Materiais de Higiene Pessoal]])-2,0)*($G233-$H233)</f>
        <v>345.13576638965827</v>
      </c>
      <c r="BM233" s="22">
        <f>VLOOKUP($A233,tabCustoUnit[],COLUMN(CUSTO_GLOBAL[[#Headers],[Outros (especificar)]])-2,0)*($G233-$H233)</f>
        <v>0</v>
      </c>
      <c r="BN233" s="22">
        <f>VLOOKUP($A233,tabCustoUnit[],COLUMN(CUSTO_GLOBAL[[#Headers],[MÓDULO 5 – INSUMOS DIVERSOS]])-2,0)*($G233-$H233)</f>
        <v>457.96623649302967</v>
      </c>
      <c r="BO233" s="22">
        <f>VLOOKUP($A233,tabCustoUnit[],COLUMN(CUSTO_GLOBAL[[#Headers],[TOTAL MÓDULOS 1+2+3+4+5]])-2,0)*($G233-$H233)</f>
        <v>2658.2164025844677</v>
      </c>
      <c r="BP233" s="22">
        <f>VLOOKUP($A233,tabCustoUnit[],COLUMN(CUSTO_GLOBAL[[#Headers],[Custos Indiretos]])-2,0)*($G233-$H233)</f>
        <v>189.64880140242613</v>
      </c>
      <c r="BQ233" s="22">
        <f>VLOOKUP($A233,tabCustoUnit[],COLUMN(CUSTO_GLOBAL[[#Headers],[Lucro]])-2,0)*($G233-$H233)</f>
        <v>159.30499317803796</v>
      </c>
      <c r="BR233" s="26">
        <f>VLOOKUP($A233,tabCustoUnit[],COLUMN(CUSTO_GLOBAL[[#Headers],[COFINS]])-2,0)</f>
        <v>8.6609686609686695E-2</v>
      </c>
      <c r="BS233" s="26">
        <f>VLOOKUP($A233,tabCustoUnit[],COLUMN(CUSTO_GLOBAL[[#Headers],[PIS]])-2,0)</f>
        <v>1.880341880341882E-2</v>
      </c>
      <c r="BT233" s="28">
        <f>VLOOKUP($A233,tabCustoUnit[],COLUMN(CUSTO_GLOBAL[[#Headers],[ISS]])-2,0)</f>
        <v>0.03</v>
      </c>
      <c r="BU233" s="26">
        <f>VLOOKUP($A233,tabCustoUnit[],COLUMN(CUSTO_GLOBAL[[#Headers],[ISS (Conversão Alíquota s/ fatura)]])-2,0)</f>
        <v>3.4188034188034219E-2</v>
      </c>
      <c r="BV233" s="26">
        <f>VLOOKUP($A233,tabCustoUnit[],COLUMN(CUSTO_GLOBAL[[#Headers],[Resumo de Alíquotas (PIS+CONFINS+ISS)]])-2,0)</f>
        <v>0.1225</v>
      </c>
      <c r="BW233" s="138">
        <f>VLOOKUP($A233,tabCustoUnit[],COLUMN(CUSTO_GLOBAL[[#Headers],[PIS + COFINS + ISS (Total Conversão  Alíquota s/ Fatura)]])-2,0)</f>
        <v>0.13960113960113973</v>
      </c>
      <c r="BX233" s="22">
        <f>VLOOKUP($A233,tabCustoUnit[],COLUMN(CUSTO_GLOBAL[[#Headers],[Valor dos Tributos (ISS, PIS, CONFINS)]])-2,0)*($G233-$H233)</f>
        <v>419.80438649880853</v>
      </c>
      <c r="BY233" s="22">
        <f>VLOOKUP($A233,tabCustoUnit[],COLUMN(CUSTO_GLOBAL[[#Headers],[MÓDULO 6 – CUSTOS INDIRETOS, TRIBUTOS E LUCRO]])-2,0)*($G233-$H233)</f>
        <v>768.75818107927262</v>
      </c>
      <c r="BZ233" s="22">
        <f>VLOOKUP($A233,tabCustoUnit[],COLUMN(CUSTO_GLOBAL[[#Headers],[CUSTO TOTAL MENSAL]])-2,0)*($G233-$H233)</f>
        <v>3426.9745836637403</v>
      </c>
      <c r="CA233" s="22">
        <f>CUSTO_GLOBAL[[#This Row],[CUSTO TOTAL MENSAL]]*12</f>
        <v>41123.69500396488</v>
      </c>
      <c r="CB233" s="24">
        <f>VLOOKUP($A233,tabCustoUnit[],COLUMN(CUSTO_GLOBAL[[#Headers],[ANO DA CCT]])-2,0)</f>
        <v>45658</v>
      </c>
      <c r="CC233" s="25" t="str">
        <f>VLOOKUP($A233,tabCustoUnit[],COLUMN(CUSTO_GLOBAL[[#Headers],[Nº DE PEDIDO DA CCT]])-2,0)</f>
        <v>-</v>
      </c>
      <c r="CD233" s="25" t="str">
        <f>VLOOKUP($A233,tabCustoUnit[],COLUMN(CUSTO_GLOBAL[[#Headers],[TERMO ADITIVO  ALTERAÇÃO DA CCT]])-2,0)</f>
        <v>-</v>
      </c>
      <c r="CF233" s="22"/>
      <c r="CG233" s="22"/>
    </row>
    <row r="234" spans="1:85" x14ac:dyDescent="0.25">
      <c r="A234" s="20" t="s">
        <v>1569</v>
      </c>
      <c r="B234" t="s">
        <v>213</v>
      </c>
      <c r="C234" t="s">
        <v>1245</v>
      </c>
      <c r="D234" t="s">
        <v>213</v>
      </c>
      <c r="E234" s="20" t="s">
        <v>9</v>
      </c>
      <c r="F234" s="20" t="s">
        <v>10</v>
      </c>
      <c r="G234" s="20">
        <v>3</v>
      </c>
      <c r="H234" s="20">
        <v>0</v>
      </c>
      <c r="I234" s="21">
        <f>VLOOKUP($A234,tabCustoUnit[],COLUMN(CUSTO_GLOBAL[[#Headers],[Salário Base]])-2,0)*($G234-$H234)</f>
        <v>4947.3599999999997</v>
      </c>
      <c r="J234" s="21">
        <f>VLOOKUP($A234,tabCustoUnit[],COLUMN(CUSTO_GLOBAL[[#Headers],[Adicional Periculosidade]])-2,0)*($G234-$H234)</f>
        <v>0</v>
      </c>
      <c r="K234" s="21">
        <f>VLOOKUP($A234,tabCustoUnit[],COLUMN(CUSTO_GLOBAL[[#Headers],[Adicional Insalubridade]])-2,0)*($G234-$H234)</f>
        <v>0</v>
      </c>
      <c r="L234" s="21">
        <f>VLOOKUP($A234,tabCustoUnit[],COLUMN(CUSTO_GLOBAL[[#Headers],[Adicional Noturno]])-2,0)*($G234-$H234)</f>
        <v>0</v>
      </c>
      <c r="M234" s="21">
        <f>VLOOKUP($A234,tabCustoUnit[],COLUMN(CUSTO_GLOBAL[[#Headers],[Adicional Motorista II (Gratificação)]])-2,0)*($G234-$H234)</f>
        <v>0</v>
      </c>
      <c r="N234" s="21">
        <f>VLOOKUP($A234,tabCustoUnit[],COLUMN(CUSTO_GLOBAL[[#Headers],[Adicional de Sobreaviso]])-2,0)*($G234-$H234)</f>
        <v>0</v>
      </c>
      <c r="O234" s="21">
        <f>VLOOKUP($A234,tabCustoUnit[],COLUMN(CUSTO_GLOBAL[[#Headers],[Horas Extras TI]])-2,0)*($G234-$H234)</f>
        <v>0</v>
      </c>
      <c r="P234" s="21">
        <f>VLOOKUP($A234,tabCustoUnit[],COLUMN(CUSTO_GLOBAL[[#Headers],[Adicional de Acúmulo de função]])-2,0)*($G234-$H234)</f>
        <v>161.9136</v>
      </c>
      <c r="Q234" s="21">
        <f>VLOOKUP($A234,tabCustoUnit[],COLUMN(CUSTO_GLOBAL[[#Headers],[MODULO 1 - REMUNERAÇÃO ]])-2,0)*($G234-$H234)</f>
        <v>5109.2735999999995</v>
      </c>
      <c r="R234" s="21">
        <f>VLOOKUP($A234,tabCustoUnit[],COLUMN(CUSTO_GLOBAL[[#Headers],[INSS]])-2,0)*($G234-$H234)</f>
        <v>1021.85472</v>
      </c>
      <c r="S234" s="21">
        <f>VLOOKUP($A234,tabCustoUnit[],COLUMN(CUSTO_GLOBAL[[#Headers],[SESI OU SESC]])-2,0)*($G234-$H234)</f>
        <v>76.639103999999989</v>
      </c>
      <c r="T234" s="21">
        <f>VLOOKUP($A234,tabCustoUnit[],COLUMN(CUSTO_GLOBAL[[#Headers],[SENAI OU SENAC]])-2,0)*($G234-$H234)</f>
        <v>51.092735999999988</v>
      </c>
      <c r="U234" s="21">
        <f>VLOOKUP($A234,tabCustoUnit[],COLUMN(CUSTO_GLOBAL[[#Headers],[INCRA]])-2,0)*($G234-$H234)</f>
        <v>10.2185472</v>
      </c>
      <c r="V234" s="21">
        <f>VLOOKUP($A234,tabCustoUnit[],COLUMN(CUSTO_GLOBAL[[#Headers],[Salário Educação]])-2,0)*($G234-$H234)</f>
        <v>127.73184000000001</v>
      </c>
      <c r="W234" s="21">
        <f>VLOOKUP($A234,tabCustoUnit[],COLUMN(CUSTO_GLOBAL[[#Headers],[FGTS]])-2,0)*($G234-$H234)</f>
        <v>408.7418879999999</v>
      </c>
      <c r="X234" s="21">
        <f>VLOOKUP($A234,tabCustoUnit[],COLUMN(CUSTO_GLOBAL[[#Headers],[RAT Ajustado]])-2,0)*($G234-$H234)</f>
        <v>204.37094399999995</v>
      </c>
      <c r="Y234" s="21">
        <f>VLOOKUP($A234,tabCustoUnit[],COLUMN(CUSTO_GLOBAL[[#Headers],[SEBRAE]])-2,0)*($G234-$H234)</f>
        <v>30.655641599999999</v>
      </c>
      <c r="Z234" s="21">
        <f>VLOOKUP($A234,tabCustoUnit[],COLUMN(CUSTO_GLOBAL[[#Headers],[Submódulo 2.1]])-2,0)*($G234-$H234)</f>
        <v>1931.3054207999999</v>
      </c>
      <c r="AA234" s="21">
        <f>VLOOKUP($A234,tabCustoUnit[],COLUMN(CUSTO_GLOBAL[[#Headers],[13º salário (titular)]])-2,0)*($G234-$H234)</f>
        <v>425.77279999999996</v>
      </c>
      <c r="AB234" s="21">
        <f>VLOOKUP($A234,tabCustoUnit[],COLUMN(CUSTO_GLOBAL[[#Headers],[Férias e Adicional de Férias (titular)]])-2,0)*($G234-$H234)</f>
        <v>567.69706666666661</v>
      </c>
      <c r="AC234" s="21">
        <f>VLOOKUP($A234,tabCustoUnit[],COLUMN(CUSTO_GLOBAL[[#Headers],[Incidência do Submódulo 2.1 sobre 13º Salário, Férias e Adicional de Férias]])-2,0)*($G234-$H234)</f>
        <v>375.53160959999997</v>
      </c>
      <c r="AD234" s="21">
        <f>VLOOKUP($A234,tabCustoUnit[],COLUMN(CUSTO_GLOBAL[[#Headers],[Submódulo 2.2]])-2,0)*($G234-$H234)</f>
        <v>1369.0014762666665</v>
      </c>
      <c r="AE234" s="22">
        <f>VLOOKUP($A234,tabCustoUnit[],COLUMN(CUSTO_GLOBAL[[#Headers],[Vale - Transporte (Descontada parcela do empregado)]])-2,0)*($G234-$H234)</f>
        <v>471.15839999999997</v>
      </c>
      <c r="AF234" s="22">
        <f>VLOOKUP($A234,tabCustoUnit[],COLUMN(CUSTO_GLOBAL[[#Headers],[Vale - Alimentação (Descontada parcela do empregado)]])-2,0)*($G234-$H234)</f>
        <v>1746</v>
      </c>
      <c r="AG234" s="22">
        <f>VLOOKUP($A234,tabCustoUnit[],COLUMN(CUSTO_GLOBAL[[#Headers],[Cesta Básica]])-2,0)*($G234-$H234)</f>
        <v>0</v>
      </c>
      <c r="AH234" s="22">
        <f>VLOOKUP($A234,tabCustoUnit[],COLUMN(CUSTO_GLOBAL[[#Headers],[PAF]])-2,0)*($G234-$H234)</f>
        <v>0</v>
      </c>
      <c r="AI234" s="22">
        <f>VLOOKUP($A234,tabCustoUnit[],COLUMN(CUSTO_GLOBAL[[#Headers],[PQM]])-2,0)*($G234-$H234)</f>
        <v>45.21</v>
      </c>
      <c r="AJ234" s="22">
        <v>0</v>
      </c>
      <c r="AK234" s="22">
        <f>VLOOKUP($A234,tabCustoUnit[],COLUMN(CUSTO_GLOBAL[[#Headers],[Seguro de Vida]])-2,0)*($G234-$H234)</f>
        <v>10.08</v>
      </c>
      <c r="AL234" s="22">
        <f>VLOOKUP($A234,tabCustoUnit[],COLUMN(CUSTO_GLOBAL[[#Headers],[Despesas de Viagem]])-2,0)*($G234-$H234)</f>
        <v>0</v>
      </c>
      <c r="AM234" s="22">
        <f>VLOOKUP($A234,tabCustoUnit[],COLUMN(CUSTO_GLOBAL[[#Headers],[Submódulo 2.3]])-2,0)*($G234-$H234)</f>
        <v>2272.4484000000002</v>
      </c>
      <c r="AN234" s="22">
        <f>VLOOKUP($A234,tabCustoUnit[],COLUMN(CUSTO_GLOBAL[[#Headers],[MÓDULO 2 - Total Encargos e Benefícios mensais e diários]])-2,0)*($G234-$H234)</f>
        <v>5572.7552970666666</v>
      </c>
      <c r="AO234" s="22">
        <f>VLOOKUP($A234,tabCustoUnit[],COLUMN(CUSTO_GLOBAL[[#Headers],[Aviso Prévio Indenizado (API) e Reflexo do Aviso Prévio Indenizado]])-2,0)*($G234-$H234)</f>
        <v>35.825035896296292</v>
      </c>
      <c r="AP234" s="22">
        <f>VLOOKUP($A234,tabCustoUnit[],COLUMN(CUSTO_GLOBAL[[#Headers],[Incidência do FGTS sobre API e Reflexo do API]])-2,0)*($G234-$H234)</f>
        <v>2.8660028717037038</v>
      </c>
      <c r="AQ234" s="22">
        <f>VLOOKUP($A234,tabCustoUnit[],COLUMN(CUSTO_GLOBAL[[#Headers],[Multa Rescisória do FGTS sobre o Aviso Prévio Indenizado]])-2,0)*($G234-$H234)</f>
        <v>1.1464011486814816</v>
      </c>
      <c r="AR234" s="22">
        <f>VLOOKUP($A234,tabCustoUnit[],COLUMN(CUSTO_GLOBAL[[#Headers],[Aviso Prévio Trabalhado - APT]])-2,0)*($G234-$H234)</f>
        <v>17.882457600000002</v>
      </c>
      <c r="AS234" s="22">
        <f>VLOOKUP($A234,tabCustoUnit[],COLUMN(CUSTO_GLOBAL[[#Headers],[Incidência dos encargos do submódulo 2.1 sobre Aviso Prévio Trabalhado]])-2,0)*($G234-$H234)</f>
        <v>6.7595689728000021</v>
      </c>
      <c r="AT234" s="22">
        <f>VLOOKUP($A234,tabCustoUnit[],COLUMN(CUSTO_GLOBAL[[#Headers],[Multa Rescisória do FGTS]])-2,0)*($G234-$H234)</f>
        <v>156.23023274666664</v>
      </c>
      <c r="AU234" s="22">
        <f>VLOOKUP($A234,tabCustoUnit[],COLUMN(CUSTO_GLOBAL[[#Headers],[Indenização Adicional (Art. 9º da Lei nº 7.238/84)]])-2,0)*($G234-$H234)</f>
        <v>4.2577280000000002</v>
      </c>
      <c r="AV234" s="22">
        <f>VLOOKUP($A234,tabCustoUnit[],COLUMN(CUSTO_GLOBAL[[#Headers],[MÓDULO 3 – PROVISÃO PARA RESCISÃO]])-2,0)*($G234-$H234)</f>
        <v>224.96742723614813</v>
      </c>
      <c r="AW234" s="22">
        <f>VLOOKUP($A234,tabCustoUnit[],COLUMN(CUSTO_GLOBAL[[#Headers],[Ausência por Doença]])-2,0)*($G234-$H234)</f>
        <v>43.144977066666655</v>
      </c>
      <c r="AX234" s="22">
        <f>VLOOKUP($A234,tabCustoUnit[],COLUMN(CUSTO_GLOBAL[[#Headers],[Ausências Legais]])-2,0)*($G234-$H234)</f>
        <v>10.360471466666665</v>
      </c>
      <c r="AY234" s="22">
        <f>VLOOKUP($A234,tabCustoUnit[],COLUMN(CUSTO_GLOBAL[[#Headers],[Licença Paternidade]])-2,0)*($G234-$H234)</f>
        <v>0.87283423999999998</v>
      </c>
      <c r="AZ234" s="22">
        <f>VLOOKUP($A234,tabCustoUnit[],COLUMN(CUSTO_GLOBAL[[#Headers],[Ausência por Acidente de Trabalho]])-2,0)*($G234-$H234)</f>
        <v>1.064432</v>
      </c>
      <c r="BA234" s="22">
        <f>VLOOKUP($A234,tabCustoUnit[],COLUMN(CUSTO_GLOBAL[[#Headers],[Férias, Adicional de Férias e 13º  com empregada em gozo de Licença Maternidade]])-2,0)*($G234-$H234)</f>
        <v>6.623132444444443</v>
      </c>
      <c r="BB234" s="22">
        <f>VLOOKUP($A234,tabCustoUnit[],COLUMN(CUSTO_GLOBAL[[#Headers],[Incidência do Submódulo 2.1 sobre Ausências Legais]])-2,0)*($G234-$H234)</f>
        <v>23.460890248320002</v>
      </c>
      <c r="BC234" s="22">
        <f>VLOOKUP($A234,tabCustoUnit[],COLUMN(CUSTO_GLOBAL[[#Headers],[Submódulo 4.1]])-2,0)*($G234-$H234)</f>
        <v>85.526737466097771</v>
      </c>
      <c r="BD234" s="22">
        <f>VLOOKUP($A234,tabCustoUnit[],COLUMN(CUSTO_GLOBAL[[#Headers],[Intervalo para Repouso ou Alimentação]])-2,0)*($G234-$H234)</f>
        <v>0</v>
      </c>
      <c r="BE234" s="22">
        <f>VLOOKUP($A234,tabCustoUnit[],COLUMN(CUSTO_GLOBAL[[#Headers],[Submódulo 4.2]])-2,0)*($G234-$H234)</f>
        <v>0</v>
      </c>
      <c r="BF234" s="22">
        <f>VLOOKUP($A234,tabCustoUnit[],COLUMN(CUSTO_GLOBAL[[#Headers],[Suspensão Temporária do Contrato de Trabalho]])-2,0)*($G234-$H234)</f>
        <v>0</v>
      </c>
      <c r="BG234" s="22">
        <f>VLOOKUP($A234,tabCustoUnit[],COLUMN(CUSTO_GLOBAL[[#Headers],[Submódulo 4.3]])-2,0)*($G234-$H234)</f>
        <v>0</v>
      </c>
      <c r="BH234" s="22">
        <f>VLOOKUP($A234,tabCustoUnit[],COLUMN(CUSTO_GLOBAL[[#Headers],[MÓDULO 4 – CUSTO DE REPOSIÇÃO DO PROFISSIONAL AUSENTE]])-2,0)*($G234-$H234)</f>
        <v>85.526737466097771</v>
      </c>
      <c r="BI234" s="22">
        <f>VLOOKUP($A234,tabCustoUnit[],COLUMN(CUSTO_GLOBAL[[#Headers],[Uniformes e EPIs]])-2,0)*($G234-$H234)</f>
        <v>302.42749999999995</v>
      </c>
      <c r="BJ234" s="22">
        <f>VLOOKUP($A234,tabCustoUnit[],COLUMN(CUSTO_GLOBAL[[#Headers],[Materiais de Consumo]])-2,0)*($G234-$H234)</f>
        <v>106.55463887575166</v>
      </c>
      <c r="BK234" s="22">
        <f>VLOOKUP($A234,tabCustoUnit[],COLUMN(CUSTO_GLOBAL[[#Headers],[Máquinas e Equipamentos (depreciação)]])-2,0)*($G234-$H234)</f>
        <v>193.58818174447674</v>
      </c>
      <c r="BL234" s="22">
        <f>VLOOKUP($A234,tabCustoUnit[],COLUMN(CUSTO_GLOBAL[[#Headers],[Produtos de Limpeza e Materiais de Higiene Pessoal]])-2,0)*($G234-$H234)</f>
        <v>2070.8145983379495</v>
      </c>
      <c r="BM234" s="22">
        <f>VLOOKUP($A234,tabCustoUnit[],COLUMN(CUSTO_GLOBAL[[#Headers],[Outros (especificar)]])-2,0)*($G234-$H234)</f>
        <v>0</v>
      </c>
      <c r="BN234" s="22">
        <f>VLOOKUP($A234,tabCustoUnit[],COLUMN(CUSTO_GLOBAL[[#Headers],[MÓDULO 5 – INSUMOS DIVERSOS]])-2,0)*($G234-$H234)</f>
        <v>2673.3849189581779</v>
      </c>
      <c r="BO234" s="22">
        <f>VLOOKUP($A234,tabCustoUnit[],COLUMN(CUSTO_GLOBAL[[#Headers],[TOTAL MÓDULOS 1+2+3+4+5]])-2,0)*($G234-$H234)</f>
        <v>13665.90798072709</v>
      </c>
      <c r="BP234" s="22">
        <f>VLOOKUP($A234,tabCustoUnit[],COLUMN(CUSTO_GLOBAL[[#Headers],[Custos Indiretos]])-2,0)*($G234-$H234)</f>
        <v>568.94640420727842</v>
      </c>
      <c r="BQ234" s="22">
        <f>VLOOKUP($A234,tabCustoUnit[],COLUMN(CUSTO_GLOBAL[[#Headers],[Lucro]])-2,0)*($G234-$H234)</f>
        <v>477.91497953411385</v>
      </c>
      <c r="BR234" s="26">
        <f>VLOOKUP($A234,tabCustoUnit[],COLUMN(CUSTO_GLOBAL[[#Headers],[COFINS]])-2,0)</f>
        <v>8.6609686609686695E-2</v>
      </c>
      <c r="BS234" s="26">
        <f>VLOOKUP($A234,tabCustoUnit[],COLUMN(CUSTO_GLOBAL[[#Headers],[PIS]])-2,0)</f>
        <v>1.880341880341882E-2</v>
      </c>
      <c r="BT234" s="28">
        <f>VLOOKUP($A234,tabCustoUnit[],COLUMN(CUSTO_GLOBAL[[#Headers],[ISS]])-2,0)</f>
        <v>0.03</v>
      </c>
      <c r="BU234" s="26">
        <f>VLOOKUP($A234,tabCustoUnit[],COLUMN(CUSTO_GLOBAL[[#Headers],[ISS (Conversão Alíquota s/ fatura)]])-2,0)</f>
        <v>3.4188034188034219E-2</v>
      </c>
      <c r="BV234" s="26">
        <f>VLOOKUP($A234,tabCustoUnit[],COLUMN(CUSTO_GLOBAL[[#Headers],[Resumo de Alíquotas (PIS+CONFINS+ISS)]])-2,0)</f>
        <v>0.1225</v>
      </c>
      <c r="BW234" s="138">
        <f>VLOOKUP($A234,tabCustoUnit[],COLUMN(CUSTO_GLOBAL[[#Headers],[PIS + COFINS + ISS (Total Conversão  Alíquota s/ Fatura)]])-2,0)</f>
        <v>0.13960113960113973</v>
      </c>
      <c r="BX234" s="22">
        <f>VLOOKUP($A234,tabCustoUnit[],COLUMN(CUSTO_GLOBAL[[#Headers],[Valor dos Tributos (ISS, PIS, CONFINS)]])-2,0)*($G234-$H234)</f>
        <v>2053.9193699685366</v>
      </c>
      <c r="BY234" s="22">
        <f>VLOOKUP($A234,tabCustoUnit[],COLUMN(CUSTO_GLOBAL[[#Headers],[MÓDULO 6 – CUSTOS INDIRETOS, TRIBUTOS E LUCRO]])-2,0)*($G234-$H234)</f>
        <v>3100.7807537099293</v>
      </c>
      <c r="BZ234" s="22">
        <f>VLOOKUP($A234,tabCustoUnit[],COLUMN(CUSTO_GLOBAL[[#Headers],[CUSTO TOTAL MENSAL]])-2,0)*($G234-$H234)</f>
        <v>16766.688734437019</v>
      </c>
      <c r="CA234" s="22">
        <f>CUSTO_GLOBAL[[#This Row],[CUSTO TOTAL MENSAL]]*12</f>
        <v>201200.26481324423</v>
      </c>
      <c r="CB234" s="24">
        <f>VLOOKUP($A234,tabCustoUnit[],COLUMN(CUSTO_GLOBAL[[#Headers],[ANO DA CCT]])-2,0)</f>
        <v>45658</v>
      </c>
      <c r="CC234" s="25" t="str">
        <f>VLOOKUP($A234,tabCustoUnit[],COLUMN(CUSTO_GLOBAL[[#Headers],[Nº DE PEDIDO DA CCT]])-2,0)</f>
        <v>-</v>
      </c>
      <c r="CD234" s="25" t="str">
        <f>VLOOKUP($A234,tabCustoUnit[],COLUMN(CUSTO_GLOBAL[[#Headers],[TERMO ADITIVO  ALTERAÇÃO DA CCT]])-2,0)</f>
        <v>-</v>
      </c>
      <c r="CF234" s="22"/>
      <c r="CG234" s="22"/>
    </row>
    <row r="235" spans="1:85" x14ac:dyDescent="0.25">
      <c r="A235" s="20" t="s">
        <v>1570</v>
      </c>
      <c r="B235" t="s">
        <v>214</v>
      </c>
      <c r="C235" t="s">
        <v>1245</v>
      </c>
      <c r="D235" t="s">
        <v>1037</v>
      </c>
      <c r="E235" s="20" t="s">
        <v>9</v>
      </c>
      <c r="F235" s="20" t="s">
        <v>10</v>
      </c>
      <c r="G235" s="20">
        <v>2</v>
      </c>
      <c r="H235" s="20">
        <v>0</v>
      </c>
      <c r="I235" s="21">
        <f>VLOOKUP($A235,tabCustoUnit[],COLUMN(CUSTO_GLOBAL[[#Headers],[Salário Base]])-2,0)*($G235-$H235)</f>
        <v>3192.56</v>
      </c>
      <c r="J235" s="21">
        <f>VLOOKUP($A235,tabCustoUnit[],COLUMN(CUSTO_GLOBAL[[#Headers],[Adicional Periculosidade]])-2,0)*($G235-$H235)</f>
        <v>0</v>
      </c>
      <c r="K235" s="21">
        <f>VLOOKUP($A235,tabCustoUnit[],COLUMN(CUSTO_GLOBAL[[#Headers],[Adicional Insalubridade]])-2,0)*($G235-$H235)</f>
        <v>0</v>
      </c>
      <c r="L235" s="21">
        <f>VLOOKUP($A235,tabCustoUnit[],COLUMN(CUSTO_GLOBAL[[#Headers],[Adicional Noturno]])-2,0)*($G235-$H235)</f>
        <v>0</v>
      </c>
      <c r="M235" s="21">
        <f>VLOOKUP($A235,tabCustoUnit[],COLUMN(CUSTO_GLOBAL[[#Headers],[Adicional Motorista II (Gratificação)]])-2,0)*($G235-$H235)</f>
        <v>0</v>
      </c>
      <c r="N235" s="21">
        <f>VLOOKUP($A235,tabCustoUnit[],COLUMN(CUSTO_GLOBAL[[#Headers],[Adicional de Sobreaviso]])-2,0)*($G235-$H235)</f>
        <v>0</v>
      </c>
      <c r="O235" s="21">
        <f>VLOOKUP($A235,tabCustoUnit[],COLUMN(CUSTO_GLOBAL[[#Headers],[Horas Extras TI]])-2,0)*($G235-$H235)</f>
        <v>0</v>
      </c>
      <c r="P235" s="21">
        <f>VLOOKUP($A235,tabCustoUnit[],COLUMN(CUSTO_GLOBAL[[#Headers],[Adicional de Acúmulo de função]])-2,0)*($G235-$H235)</f>
        <v>104.4838</v>
      </c>
      <c r="Q235" s="21">
        <f>VLOOKUP($A235,tabCustoUnit[],COLUMN(CUSTO_GLOBAL[[#Headers],[MODULO 1 - REMUNERAÇÃO ]])-2,0)*($G235-$H235)</f>
        <v>3297.0437999999999</v>
      </c>
      <c r="R235" s="21">
        <f>VLOOKUP($A235,tabCustoUnit[],COLUMN(CUSTO_GLOBAL[[#Headers],[INSS]])-2,0)*($G235-$H235)</f>
        <v>659.40876000000003</v>
      </c>
      <c r="S235" s="21">
        <f>VLOOKUP($A235,tabCustoUnit[],COLUMN(CUSTO_GLOBAL[[#Headers],[SESI OU SESC]])-2,0)*($G235-$H235)</f>
        <v>49.455656999999995</v>
      </c>
      <c r="T235" s="21">
        <f>VLOOKUP($A235,tabCustoUnit[],COLUMN(CUSTO_GLOBAL[[#Headers],[SENAI OU SENAC]])-2,0)*($G235-$H235)</f>
        <v>32.970438000000001</v>
      </c>
      <c r="U235" s="21">
        <f>VLOOKUP($A235,tabCustoUnit[],COLUMN(CUSTO_GLOBAL[[#Headers],[INCRA]])-2,0)*($G235-$H235)</f>
        <v>6.5940875999999999</v>
      </c>
      <c r="V235" s="21">
        <f>VLOOKUP($A235,tabCustoUnit[],COLUMN(CUSTO_GLOBAL[[#Headers],[Salário Educação]])-2,0)*($G235-$H235)</f>
        <v>82.426095000000004</v>
      </c>
      <c r="W235" s="21">
        <f>VLOOKUP($A235,tabCustoUnit[],COLUMN(CUSTO_GLOBAL[[#Headers],[FGTS]])-2,0)*($G235-$H235)</f>
        <v>263.76350400000001</v>
      </c>
      <c r="X235" s="21">
        <f>VLOOKUP($A235,tabCustoUnit[],COLUMN(CUSTO_GLOBAL[[#Headers],[RAT Ajustado]])-2,0)*($G235-$H235)</f>
        <v>131.88175200000001</v>
      </c>
      <c r="Y235" s="21">
        <f>VLOOKUP($A235,tabCustoUnit[],COLUMN(CUSTO_GLOBAL[[#Headers],[SEBRAE]])-2,0)*($G235-$H235)</f>
        <v>19.782262800000002</v>
      </c>
      <c r="Z235" s="21">
        <f>VLOOKUP($A235,tabCustoUnit[],COLUMN(CUSTO_GLOBAL[[#Headers],[Submódulo 2.1]])-2,0)*($G235-$H235)</f>
        <v>1246.2825564</v>
      </c>
      <c r="AA235" s="21">
        <f>VLOOKUP($A235,tabCustoUnit[],COLUMN(CUSTO_GLOBAL[[#Headers],[13º salário (titular)]])-2,0)*($G235-$H235)</f>
        <v>274.75364999999999</v>
      </c>
      <c r="AB235" s="21">
        <f>VLOOKUP($A235,tabCustoUnit[],COLUMN(CUSTO_GLOBAL[[#Headers],[Férias e Adicional de Férias (titular)]])-2,0)*($G235-$H235)</f>
        <v>366.33819999999997</v>
      </c>
      <c r="AC235" s="21">
        <f>VLOOKUP($A235,tabCustoUnit[],COLUMN(CUSTO_GLOBAL[[#Headers],[Incidência do Submódulo 2.1 sobre 13º Salário, Férias e Adicional de Férias]])-2,0)*($G235-$H235)</f>
        <v>242.33271930000001</v>
      </c>
      <c r="AD235" s="21">
        <f>VLOOKUP($A235,tabCustoUnit[],COLUMN(CUSTO_GLOBAL[[#Headers],[Submódulo 2.2]])-2,0)*($G235-$H235)</f>
        <v>883.42456930000003</v>
      </c>
      <c r="AE235" s="22">
        <f>VLOOKUP($A235,tabCustoUnit[],COLUMN(CUSTO_GLOBAL[[#Headers],[Vale - Transporte (Descontada parcela do empregado)]])-2,0)*($G235-$H235)</f>
        <v>320.44640000000004</v>
      </c>
      <c r="AF235" s="22">
        <f>VLOOKUP($A235,tabCustoUnit[],COLUMN(CUSTO_GLOBAL[[#Headers],[Vale - Alimentação (Descontada parcela do empregado)]])-2,0)*($G235-$H235)</f>
        <v>1164</v>
      </c>
      <c r="AG235" s="22">
        <f>VLOOKUP($A235,tabCustoUnit[],COLUMN(CUSTO_GLOBAL[[#Headers],[Cesta Básica]])-2,0)*($G235-$H235)</f>
        <v>0</v>
      </c>
      <c r="AH235" s="22">
        <f>VLOOKUP($A235,tabCustoUnit[],COLUMN(CUSTO_GLOBAL[[#Headers],[PAF]])-2,0)*($G235-$H235)</f>
        <v>103.72</v>
      </c>
      <c r="AI235" s="22">
        <f>VLOOKUP($A235,tabCustoUnit[],COLUMN(CUSTO_GLOBAL[[#Headers],[PQM]])-2,0)*($G235-$H235)</f>
        <v>0</v>
      </c>
      <c r="AJ235" s="22">
        <v>0</v>
      </c>
      <c r="AK235" s="22">
        <f>VLOOKUP($A235,tabCustoUnit[],COLUMN(CUSTO_GLOBAL[[#Headers],[Seguro de Vida]])-2,0)*($G235-$H235)</f>
        <v>6.72</v>
      </c>
      <c r="AL235" s="22">
        <f>VLOOKUP($A235,tabCustoUnit[],COLUMN(CUSTO_GLOBAL[[#Headers],[Despesas de Viagem]])-2,0)*($G235-$H235)</f>
        <v>0</v>
      </c>
      <c r="AM235" s="22">
        <f>VLOOKUP($A235,tabCustoUnit[],COLUMN(CUSTO_GLOBAL[[#Headers],[Submódulo 2.3]])-2,0)*($G235-$H235)</f>
        <v>1594.8864000000001</v>
      </c>
      <c r="AN235" s="22">
        <f>VLOOKUP($A235,tabCustoUnit[],COLUMN(CUSTO_GLOBAL[[#Headers],[MÓDULO 2 - Total Encargos e Benefícios mensais e diários]])-2,0)*($G235-$H235)</f>
        <v>3724.5935257000001</v>
      </c>
      <c r="AO235" s="22">
        <f>VLOOKUP($A235,tabCustoUnit[],COLUMN(CUSTO_GLOBAL[[#Headers],[Aviso Prévio Indenizado (API) e Reflexo do Aviso Prévio Indenizado]])-2,0)*($G235-$H235)</f>
        <v>23.118102832986111</v>
      </c>
      <c r="AP235" s="22">
        <f>VLOOKUP($A235,tabCustoUnit[],COLUMN(CUSTO_GLOBAL[[#Headers],[Incidência do FGTS sobre API e Reflexo do API]])-2,0)*($G235-$H235)</f>
        <v>1.849448226638889</v>
      </c>
      <c r="AQ235" s="22">
        <f>VLOOKUP($A235,tabCustoUnit[],COLUMN(CUSTO_GLOBAL[[#Headers],[Multa Rescisória do FGTS sobre o Aviso Prévio Indenizado]])-2,0)*($G235-$H235)</f>
        <v>0.7397792906555557</v>
      </c>
      <c r="AR235" s="22">
        <f>VLOOKUP($A235,tabCustoUnit[],COLUMN(CUSTO_GLOBAL[[#Headers],[Aviso Prévio Trabalhado - APT]])-2,0)*($G235-$H235)</f>
        <v>11.539653300000001</v>
      </c>
      <c r="AS235" s="22">
        <f>VLOOKUP($A235,tabCustoUnit[],COLUMN(CUSTO_GLOBAL[[#Headers],[Incidência dos encargos do submódulo 2.1 sobre Aviso Prévio Trabalhado]])-2,0)*($G235-$H235)</f>
        <v>4.3619889474000013</v>
      </c>
      <c r="AT235" s="22">
        <f>VLOOKUP($A235,tabCustoUnit[],COLUMN(CUSTO_GLOBAL[[#Headers],[Multa Rescisória do FGTS]])-2,0)*($G235-$H235)</f>
        <v>100.81627263999998</v>
      </c>
      <c r="AU235" s="22">
        <f>VLOOKUP($A235,tabCustoUnit[],COLUMN(CUSTO_GLOBAL[[#Headers],[Indenização Adicional (Art. 9º da Lei nº 7.238/84)]])-2,0)*($G235-$H235)</f>
        <v>2.7475365000000003</v>
      </c>
      <c r="AV235" s="22">
        <f>VLOOKUP($A235,tabCustoUnit[],COLUMN(CUSTO_GLOBAL[[#Headers],[MÓDULO 3 – PROVISÃO PARA RESCISÃO]])-2,0)*($G235-$H235)</f>
        <v>145.17278173768054</v>
      </c>
      <c r="AW235" s="22">
        <f>VLOOKUP($A235,tabCustoUnit[],COLUMN(CUSTO_GLOBAL[[#Headers],[Ausência por Doença]])-2,0)*($G235-$H235)</f>
        <v>27.841703199999998</v>
      </c>
      <c r="AX235" s="22">
        <f>VLOOKUP($A235,tabCustoUnit[],COLUMN(CUSTO_GLOBAL[[#Headers],[Ausências Legais]])-2,0)*($G235-$H235)</f>
        <v>6.6856721499999994</v>
      </c>
      <c r="AY235" s="22">
        <f>VLOOKUP($A235,tabCustoUnit[],COLUMN(CUSTO_GLOBAL[[#Headers],[Licença Paternidade]])-2,0)*($G235-$H235)</f>
        <v>0.56324498249999999</v>
      </c>
      <c r="AZ235" s="22">
        <f>VLOOKUP($A235,tabCustoUnit[],COLUMN(CUSTO_GLOBAL[[#Headers],[Ausência por Acidente de Trabalho]])-2,0)*($G235-$H235)</f>
        <v>0.68688412500000007</v>
      </c>
      <c r="BA235" s="22">
        <f>VLOOKUP($A235,tabCustoUnit[],COLUMN(CUSTO_GLOBAL[[#Headers],[Férias, Adicional de Férias e 13º  com empregada em gozo de Licença Maternidade]])-2,0)*($G235-$H235)</f>
        <v>4.2739456666666662</v>
      </c>
      <c r="BB235" s="22">
        <f>VLOOKUP($A235,tabCustoUnit[],COLUMN(CUSTO_GLOBAL[[#Headers],[Incidência do Submódulo 2.1 sobre Ausências Legais]])-2,0)*($G235-$H235)</f>
        <v>15.139448146935003</v>
      </c>
      <c r="BC235" s="22">
        <f>VLOOKUP($A235,tabCustoUnit[],COLUMN(CUSTO_GLOBAL[[#Headers],[Submódulo 4.1]])-2,0)*($G235-$H235)</f>
        <v>55.190898271101666</v>
      </c>
      <c r="BD235" s="22">
        <f>VLOOKUP($A235,tabCustoUnit[],COLUMN(CUSTO_GLOBAL[[#Headers],[Intervalo para Repouso ou Alimentação]])-2,0)*($G235-$H235)</f>
        <v>0</v>
      </c>
      <c r="BE235" s="22">
        <f>VLOOKUP($A235,tabCustoUnit[],COLUMN(CUSTO_GLOBAL[[#Headers],[Submódulo 4.2]])-2,0)*($G235-$H235)</f>
        <v>0</v>
      </c>
      <c r="BF235" s="22">
        <f>VLOOKUP($A235,tabCustoUnit[],COLUMN(CUSTO_GLOBAL[[#Headers],[Suspensão Temporária do Contrato de Trabalho]])-2,0)*($G235-$H235)</f>
        <v>0</v>
      </c>
      <c r="BG235" s="22">
        <f>VLOOKUP($A235,tabCustoUnit[],COLUMN(CUSTO_GLOBAL[[#Headers],[Submódulo 4.3]])-2,0)*($G235-$H235)</f>
        <v>0</v>
      </c>
      <c r="BH235" s="22">
        <f>VLOOKUP($A235,tabCustoUnit[],COLUMN(CUSTO_GLOBAL[[#Headers],[MÓDULO 4 – CUSTO DE REPOSIÇÃO DO PROFISSIONAL AUSENTE]])-2,0)*($G235-$H235)</f>
        <v>55.190898271101666</v>
      </c>
      <c r="BI235" s="22">
        <f>VLOOKUP($A235,tabCustoUnit[],COLUMN(CUSTO_GLOBAL[[#Headers],[Uniformes e EPIs]])-2,0)*($G235-$H235)</f>
        <v>201.61833333333331</v>
      </c>
      <c r="BJ235" s="22">
        <f>VLOOKUP($A235,tabCustoUnit[],COLUMN(CUSTO_GLOBAL[[#Headers],[Materiais de Consumo]])-2,0)*($G235-$H235)</f>
        <v>71.036425917167776</v>
      </c>
      <c r="BK235" s="22">
        <f>VLOOKUP($A235,tabCustoUnit[],COLUMN(CUSTO_GLOBAL[[#Headers],[Máquinas e Equipamentos (depreciação)]])-2,0)*($G235-$H235)</f>
        <v>129.05878782965115</v>
      </c>
      <c r="BL235" s="22">
        <f>VLOOKUP($A235,tabCustoUnit[],COLUMN(CUSTO_GLOBAL[[#Headers],[Produtos de Limpeza e Materiais de Higiene Pessoal]])-2,0)*($G235-$H235)</f>
        <v>1380.5430655586331</v>
      </c>
      <c r="BM235" s="22">
        <f>VLOOKUP($A235,tabCustoUnit[],COLUMN(CUSTO_GLOBAL[[#Headers],[Outros (especificar)]])-2,0)*($G235-$H235)</f>
        <v>0</v>
      </c>
      <c r="BN235" s="22">
        <f>VLOOKUP($A235,tabCustoUnit[],COLUMN(CUSTO_GLOBAL[[#Headers],[MÓDULO 5 – INSUMOS DIVERSOS]])-2,0)*($G235-$H235)</f>
        <v>1782.2566126387853</v>
      </c>
      <c r="BO235" s="22">
        <f>VLOOKUP($A235,tabCustoUnit[],COLUMN(CUSTO_GLOBAL[[#Headers],[TOTAL MÓDULOS 1+2+3+4+5]])-2,0)*($G235-$H235)</f>
        <v>9004.2576183475667</v>
      </c>
      <c r="BP235" s="22">
        <f>VLOOKUP($A235,tabCustoUnit[],COLUMN(CUSTO_GLOBAL[[#Headers],[Custos Indiretos]])-2,0)*($G235-$H235)</f>
        <v>379.29760280485226</v>
      </c>
      <c r="BQ235" s="22">
        <f>VLOOKUP($A235,tabCustoUnit[],COLUMN(CUSTO_GLOBAL[[#Headers],[Lucro]])-2,0)*($G235-$H235)</f>
        <v>318.60998635607592</v>
      </c>
      <c r="BR235" s="26">
        <f>VLOOKUP($A235,tabCustoUnit[],COLUMN(CUSTO_GLOBAL[[#Headers],[COFINS]])-2,0)</f>
        <v>8.6609686609686695E-2</v>
      </c>
      <c r="BS235" s="26">
        <f>VLOOKUP($A235,tabCustoUnit[],COLUMN(CUSTO_GLOBAL[[#Headers],[PIS]])-2,0)</f>
        <v>1.880341880341882E-2</v>
      </c>
      <c r="BT235" s="28">
        <f>VLOOKUP($A235,tabCustoUnit[],COLUMN(CUSTO_GLOBAL[[#Headers],[ISS]])-2,0)</f>
        <v>0.03</v>
      </c>
      <c r="BU235" s="26">
        <f>VLOOKUP($A235,tabCustoUnit[],COLUMN(CUSTO_GLOBAL[[#Headers],[ISS (Conversão Alíquota s/ fatura)]])-2,0)</f>
        <v>3.4188034188034219E-2</v>
      </c>
      <c r="BV235" s="26">
        <f>VLOOKUP($A235,tabCustoUnit[],COLUMN(CUSTO_GLOBAL[[#Headers],[Resumo de Alíquotas (PIS+CONFINS+ISS)]])-2,0)</f>
        <v>0.1225</v>
      </c>
      <c r="BW235" s="138">
        <f>VLOOKUP($A235,tabCustoUnit[],COLUMN(CUSTO_GLOBAL[[#Headers],[PIS + COFINS + ISS (Total Conversão  Alíquota s/ Fatura)]])-2,0)</f>
        <v>0.13960113960113973</v>
      </c>
      <c r="BX235" s="22">
        <f>VLOOKUP($A235,tabCustoUnit[],COLUMN(CUSTO_GLOBAL[[#Headers],[Valor dos Tributos (ISS, PIS, CONFINS)]])-2,0)*($G235-$H235)</f>
        <v>1354.4333195667143</v>
      </c>
      <c r="BY235" s="22">
        <f>VLOOKUP($A235,tabCustoUnit[],COLUMN(CUSTO_GLOBAL[[#Headers],[MÓDULO 6 – CUSTOS INDIRETOS, TRIBUTOS E LUCRO]])-2,0)*($G235-$H235)</f>
        <v>2052.3409087276423</v>
      </c>
      <c r="BZ235" s="22">
        <f>VLOOKUP($A235,tabCustoUnit[],COLUMN(CUSTO_GLOBAL[[#Headers],[CUSTO TOTAL MENSAL]])-2,0)*($G235-$H235)</f>
        <v>11056.59852707521</v>
      </c>
      <c r="CA235" s="22">
        <f>CUSTO_GLOBAL[[#This Row],[CUSTO TOTAL MENSAL]]*12</f>
        <v>132679.1823249025</v>
      </c>
      <c r="CB235" s="24">
        <f>VLOOKUP($A235,tabCustoUnit[],COLUMN(CUSTO_GLOBAL[[#Headers],[ANO DA CCT]])-2,0)</f>
        <v>45658</v>
      </c>
      <c r="CC235" s="25" t="str">
        <f>VLOOKUP($A235,tabCustoUnit[],COLUMN(CUSTO_GLOBAL[[#Headers],[Nº DE PEDIDO DA CCT]])-2,0)</f>
        <v>-</v>
      </c>
      <c r="CD235" s="25" t="str">
        <f>VLOOKUP($A235,tabCustoUnit[],COLUMN(CUSTO_GLOBAL[[#Headers],[TERMO ADITIVO  ALTERAÇÃO DA CCT]])-2,0)</f>
        <v>-</v>
      </c>
      <c r="CF235" s="22"/>
      <c r="CG235" s="22"/>
    </row>
    <row r="236" spans="1:85" x14ac:dyDescent="0.25">
      <c r="A236" s="20" t="s">
        <v>1571</v>
      </c>
      <c r="B236" t="s">
        <v>215</v>
      </c>
      <c r="C236" t="s">
        <v>1247</v>
      </c>
      <c r="D236" t="s">
        <v>1018</v>
      </c>
      <c r="E236" s="20" t="s">
        <v>9</v>
      </c>
      <c r="F236" s="20" t="s">
        <v>10</v>
      </c>
      <c r="G236" s="20">
        <v>1</v>
      </c>
      <c r="H236" s="20">
        <v>0</v>
      </c>
      <c r="I236" s="21">
        <f>VLOOKUP($A236,tabCustoUnit[],COLUMN(CUSTO_GLOBAL[[#Headers],[Salário Base]])-2,0)*($G236-$H236)</f>
        <v>544.17999999999995</v>
      </c>
      <c r="J236" s="21">
        <f>VLOOKUP($A236,tabCustoUnit[],COLUMN(CUSTO_GLOBAL[[#Headers],[Adicional Periculosidade]])-2,0)*($G236-$H236)</f>
        <v>0</v>
      </c>
      <c r="K236" s="21">
        <f>VLOOKUP($A236,tabCustoUnit[],COLUMN(CUSTO_GLOBAL[[#Headers],[Adicional Insalubridade]])-2,0)*($G236-$H236)</f>
        <v>0</v>
      </c>
      <c r="L236" s="21">
        <f>VLOOKUP($A236,tabCustoUnit[],COLUMN(CUSTO_GLOBAL[[#Headers],[Adicional Noturno]])-2,0)*($G236-$H236)</f>
        <v>0</v>
      </c>
      <c r="M236" s="21">
        <f>VLOOKUP($A236,tabCustoUnit[],COLUMN(CUSTO_GLOBAL[[#Headers],[Adicional Motorista II (Gratificação)]])-2,0)*($G236-$H236)</f>
        <v>0</v>
      </c>
      <c r="N236" s="21">
        <f>VLOOKUP($A236,tabCustoUnit[],COLUMN(CUSTO_GLOBAL[[#Headers],[Adicional de Sobreaviso]])-2,0)*($G236-$H236)</f>
        <v>0</v>
      </c>
      <c r="O236" s="21">
        <f>VLOOKUP($A236,tabCustoUnit[],COLUMN(CUSTO_GLOBAL[[#Headers],[Horas Extras TI]])-2,0)*($G236-$H236)</f>
        <v>0</v>
      </c>
      <c r="P236" s="21">
        <f>VLOOKUP($A236,tabCustoUnit[],COLUMN(CUSTO_GLOBAL[[#Headers],[Adicional de Acúmulo de função]])-2,0)*($G236-$H236)</f>
        <v>19.590499999999999</v>
      </c>
      <c r="Q236" s="21">
        <f>VLOOKUP($A236,tabCustoUnit[],COLUMN(CUSTO_GLOBAL[[#Headers],[MODULO 1 - REMUNERAÇÃO ]])-2,0)*($G236-$H236)</f>
        <v>563.77049999999997</v>
      </c>
      <c r="R236" s="21">
        <f>VLOOKUP($A236,tabCustoUnit[],COLUMN(CUSTO_GLOBAL[[#Headers],[INSS]])-2,0)*($G236-$H236)</f>
        <v>112.75409999999999</v>
      </c>
      <c r="S236" s="21">
        <f>VLOOKUP($A236,tabCustoUnit[],COLUMN(CUSTO_GLOBAL[[#Headers],[SESI OU SESC]])-2,0)*($G236-$H236)</f>
        <v>8.4565574999999988</v>
      </c>
      <c r="T236" s="21">
        <f>VLOOKUP($A236,tabCustoUnit[],COLUMN(CUSTO_GLOBAL[[#Headers],[SENAI OU SENAC]])-2,0)*($G236-$H236)</f>
        <v>5.6377049999999995</v>
      </c>
      <c r="U236" s="21">
        <f>VLOOKUP($A236,tabCustoUnit[],COLUMN(CUSTO_GLOBAL[[#Headers],[INCRA]])-2,0)*($G236-$H236)</f>
        <v>1.1275409999999999</v>
      </c>
      <c r="V236" s="21">
        <f>VLOOKUP($A236,tabCustoUnit[],COLUMN(CUSTO_GLOBAL[[#Headers],[Salário Educação]])-2,0)*($G236-$H236)</f>
        <v>14.094262499999999</v>
      </c>
      <c r="W236" s="21">
        <f>VLOOKUP($A236,tabCustoUnit[],COLUMN(CUSTO_GLOBAL[[#Headers],[FGTS]])-2,0)*($G236-$H236)</f>
        <v>45.101639999999996</v>
      </c>
      <c r="X236" s="21">
        <f>VLOOKUP($A236,tabCustoUnit[],COLUMN(CUSTO_GLOBAL[[#Headers],[RAT Ajustado]])-2,0)*($G236-$H236)</f>
        <v>22.550819999999998</v>
      </c>
      <c r="Y236" s="21">
        <f>VLOOKUP($A236,tabCustoUnit[],COLUMN(CUSTO_GLOBAL[[#Headers],[SEBRAE]])-2,0)*($G236-$H236)</f>
        <v>3.3826229999999997</v>
      </c>
      <c r="Z236" s="21">
        <f>VLOOKUP($A236,tabCustoUnit[],COLUMN(CUSTO_GLOBAL[[#Headers],[Submódulo 2.1]])-2,0)*($G236-$H236)</f>
        <v>213.10524899999996</v>
      </c>
      <c r="AA236" s="21">
        <f>VLOOKUP($A236,tabCustoUnit[],COLUMN(CUSTO_GLOBAL[[#Headers],[13º salário (titular)]])-2,0)*($G236-$H236)</f>
        <v>46.980874999999997</v>
      </c>
      <c r="AB236" s="21">
        <f>VLOOKUP($A236,tabCustoUnit[],COLUMN(CUSTO_GLOBAL[[#Headers],[Férias e Adicional de Férias (titular)]])-2,0)*($G236-$H236)</f>
        <v>62.641166666666663</v>
      </c>
      <c r="AC236" s="21">
        <f>VLOOKUP($A236,tabCustoUnit[],COLUMN(CUSTO_GLOBAL[[#Headers],[Incidência do Submódulo 2.1 sobre 13º Salário, Férias e Adicional de Férias]])-2,0)*($G236-$H236)</f>
        <v>41.437131749999992</v>
      </c>
      <c r="AD236" s="21">
        <f>VLOOKUP($A236,tabCustoUnit[],COLUMN(CUSTO_GLOBAL[[#Headers],[Submódulo 2.2]])-2,0)*($G236-$H236)</f>
        <v>151.05917341666665</v>
      </c>
      <c r="AE236" s="22">
        <f>VLOOKUP($A236,tabCustoUnit[],COLUMN(CUSTO_GLOBAL[[#Headers],[Vale - Transporte (Descontada parcela do empregado)]])-2,0)*($G236-$H236)</f>
        <v>223.3492</v>
      </c>
      <c r="AF236" s="22">
        <f>VLOOKUP($A236,tabCustoUnit[],COLUMN(CUSTO_GLOBAL[[#Headers],[Vale - Alimentação (Descontada parcela do empregado)]])-2,0)*($G236-$H236)</f>
        <v>582</v>
      </c>
      <c r="AG236" s="22">
        <f>VLOOKUP($A236,tabCustoUnit[],COLUMN(CUSTO_GLOBAL[[#Headers],[Cesta Básica]])-2,0)*($G236-$H236)</f>
        <v>0</v>
      </c>
      <c r="AH236" s="22">
        <f>VLOOKUP($A236,tabCustoUnit[],COLUMN(CUSTO_GLOBAL[[#Headers],[PAF]])-2,0)*($G236-$H236)</f>
        <v>51.88</v>
      </c>
      <c r="AI236" s="22">
        <f>VLOOKUP($A236,tabCustoUnit[],COLUMN(CUSTO_GLOBAL[[#Headers],[PQM]])-2,0)*($G236-$H236)</f>
        <v>0</v>
      </c>
      <c r="AJ236" s="22">
        <v>0</v>
      </c>
      <c r="AK236" s="22">
        <f>VLOOKUP($A236,tabCustoUnit[],COLUMN(CUSTO_GLOBAL[[#Headers],[Seguro de Vida]])-2,0)*($G236-$H236)</f>
        <v>3.36</v>
      </c>
      <c r="AL236" s="22">
        <f>VLOOKUP($A236,tabCustoUnit[],COLUMN(CUSTO_GLOBAL[[#Headers],[Despesas de Viagem]])-2,0)*($G236-$H236)</f>
        <v>0</v>
      </c>
      <c r="AM236" s="22">
        <f>VLOOKUP($A236,tabCustoUnit[],COLUMN(CUSTO_GLOBAL[[#Headers],[Submódulo 2.3]])-2,0)*($G236-$H236)</f>
        <v>860.58920000000001</v>
      </c>
      <c r="AN236" s="22">
        <f>VLOOKUP($A236,tabCustoUnit[],COLUMN(CUSTO_GLOBAL[[#Headers],[MÓDULO 2 - Total Encargos e Benefícios mensais e diários]])-2,0)*($G236-$H236)</f>
        <v>1224.7536224166665</v>
      </c>
      <c r="AO236" s="22">
        <f>VLOOKUP($A236,tabCustoUnit[],COLUMN(CUSTO_GLOBAL[[#Headers],[Aviso Prévio Indenizado (API) e Reflexo do Aviso Prévio Indenizado]])-2,0)*($G236-$H236)</f>
        <v>3.9530273735532404</v>
      </c>
      <c r="AP236" s="22">
        <f>VLOOKUP($A236,tabCustoUnit[],COLUMN(CUSTO_GLOBAL[[#Headers],[Incidência do FGTS sobre API e Reflexo do API]])-2,0)*($G236-$H236)</f>
        <v>0.31624218988425928</v>
      </c>
      <c r="AQ236" s="22">
        <f>VLOOKUP($A236,tabCustoUnit[],COLUMN(CUSTO_GLOBAL[[#Headers],[Multa Rescisória do FGTS sobre o Aviso Prévio Indenizado]])-2,0)*($G236-$H236)</f>
        <v>0.12649687595370371</v>
      </c>
      <c r="AR236" s="22">
        <f>VLOOKUP($A236,tabCustoUnit[],COLUMN(CUSTO_GLOBAL[[#Headers],[Aviso Prévio Trabalhado - APT]])-2,0)*($G236-$H236)</f>
        <v>1.9731967500000003</v>
      </c>
      <c r="AS236" s="22">
        <f>VLOOKUP($A236,tabCustoUnit[],COLUMN(CUSTO_GLOBAL[[#Headers],[Incidência dos encargos do submódulo 2.1 sobre Aviso Prévio Trabalhado]])-2,0)*($G236-$H236)</f>
        <v>0.74586837150000018</v>
      </c>
      <c r="AT236" s="22">
        <f>VLOOKUP($A236,tabCustoUnit[],COLUMN(CUSTO_GLOBAL[[#Headers],[Multa Rescisória do FGTS]])-2,0)*($G236-$H236)</f>
        <v>17.238849066666663</v>
      </c>
      <c r="AU236" s="22">
        <f>VLOOKUP($A236,tabCustoUnit[],COLUMN(CUSTO_GLOBAL[[#Headers],[Indenização Adicional (Art. 9º da Lei nº 7.238/84)]])-2,0)*($G236-$H236)</f>
        <v>0.46980875</v>
      </c>
      <c r="AV236" s="22">
        <f>VLOOKUP($A236,tabCustoUnit[],COLUMN(CUSTO_GLOBAL[[#Headers],[MÓDULO 3 – PROVISÃO PARA RESCISÃO]])-2,0)*($G236-$H236)</f>
        <v>24.823489377557866</v>
      </c>
      <c r="AW236" s="22">
        <f>VLOOKUP($A236,tabCustoUnit[],COLUMN(CUSTO_GLOBAL[[#Headers],[Ausência por Doença]])-2,0)*($G236-$H236)</f>
        <v>4.7607286666666662</v>
      </c>
      <c r="AX236" s="22">
        <f>VLOOKUP($A236,tabCustoUnit[],COLUMN(CUSTO_GLOBAL[[#Headers],[Ausências Legais]])-2,0)*($G236-$H236)</f>
        <v>1.1432012916666665</v>
      </c>
      <c r="AY236" s="22">
        <f>VLOOKUP($A236,tabCustoUnit[],COLUMN(CUSTO_GLOBAL[[#Headers],[Licença Paternidade]])-2,0)*($G236-$H236)</f>
        <v>9.6310793749999998E-2</v>
      </c>
      <c r="AZ236" s="22">
        <f>VLOOKUP($A236,tabCustoUnit[],COLUMN(CUSTO_GLOBAL[[#Headers],[Ausência por Acidente de Trabalho]])-2,0)*($G236-$H236)</f>
        <v>0.1174521875</v>
      </c>
      <c r="BA236" s="22">
        <f>VLOOKUP($A236,tabCustoUnit[],COLUMN(CUSTO_GLOBAL[[#Headers],[Férias, Adicional de Férias e 13º  com empregada em gozo de Licença Maternidade]])-2,0)*($G236-$H236)</f>
        <v>0.73081361111111109</v>
      </c>
      <c r="BB236" s="22">
        <f>VLOOKUP($A236,tabCustoUnit[],COLUMN(CUSTO_GLOBAL[[#Headers],[Incidência do Submódulo 2.1 sobre Ausências Legais]])-2,0)*($G236-$H236)</f>
        <v>2.5887354761625003</v>
      </c>
      <c r="BC236" s="22">
        <f>VLOOKUP($A236,tabCustoUnit[],COLUMN(CUSTO_GLOBAL[[#Headers],[Submódulo 4.1]])-2,0)*($G236-$H236)</f>
        <v>9.4372420268569428</v>
      </c>
      <c r="BD236" s="22">
        <f>VLOOKUP($A236,tabCustoUnit[],COLUMN(CUSTO_GLOBAL[[#Headers],[Intervalo para Repouso ou Alimentação]])-2,0)*($G236-$H236)</f>
        <v>0</v>
      </c>
      <c r="BE236" s="22">
        <f>VLOOKUP($A236,tabCustoUnit[],COLUMN(CUSTO_GLOBAL[[#Headers],[Submódulo 4.2]])-2,0)*($G236-$H236)</f>
        <v>0</v>
      </c>
      <c r="BF236" s="22">
        <f>VLOOKUP($A236,tabCustoUnit[],COLUMN(CUSTO_GLOBAL[[#Headers],[Suspensão Temporária do Contrato de Trabalho]])-2,0)*($G236-$H236)</f>
        <v>0</v>
      </c>
      <c r="BG236" s="22">
        <f>VLOOKUP($A236,tabCustoUnit[],COLUMN(CUSTO_GLOBAL[[#Headers],[Submódulo 4.3]])-2,0)*($G236-$H236)</f>
        <v>0</v>
      </c>
      <c r="BH236" s="22">
        <f>VLOOKUP($A236,tabCustoUnit[],COLUMN(CUSTO_GLOBAL[[#Headers],[MÓDULO 4 – CUSTO DE REPOSIÇÃO DO PROFISSIONAL AUSENTE]])-2,0)*($G236-$H236)</f>
        <v>9.4372420268569428</v>
      </c>
      <c r="BI236" s="22">
        <f>VLOOKUP($A236,tabCustoUnit[],COLUMN(CUSTO_GLOBAL[[#Headers],[Uniformes e EPIs]])-2,0)*($G236-$H236)</f>
        <v>62.806666666666665</v>
      </c>
      <c r="BJ236" s="22">
        <f>VLOOKUP($A236,tabCustoUnit[],COLUMN(CUSTO_GLOBAL[[#Headers],[Materiais de Consumo]])-2,0)*($G236-$H236)</f>
        <v>12.108481690426325</v>
      </c>
      <c r="BK236" s="22">
        <f>VLOOKUP($A236,tabCustoUnit[],COLUMN(CUSTO_GLOBAL[[#Headers],[Máquinas e Equipamentos (depreciação)]])-2,0)*($G236-$H236)</f>
        <v>21.998657016417809</v>
      </c>
      <c r="BL236" s="22">
        <f>VLOOKUP($A236,tabCustoUnit[],COLUMN(CUSTO_GLOBAL[[#Headers],[Produtos de Limpeza e Materiais de Higiene Pessoal]])-2,0)*($G236-$H236)</f>
        <v>235.31984072022155</v>
      </c>
      <c r="BM236" s="22">
        <f>VLOOKUP($A236,tabCustoUnit[],COLUMN(CUSTO_GLOBAL[[#Headers],[Outros (especificar)]])-2,0)*($G236-$H236)</f>
        <v>0</v>
      </c>
      <c r="BN236" s="22">
        <f>VLOOKUP($A236,tabCustoUnit[],COLUMN(CUSTO_GLOBAL[[#Headers],[MÓDULO 5 – INSUMOS DIVERSOS]])-2,0)*($G236-$H236)</f>
        <v>332.23364609373232</v>
      </c>
      <c r="BO236" s="22">
        <f>VLOOKUP($A236,tabCustoUnit[],COLUMN(CUSTO_GLOBAL[[#Headers],[TOTAL MÓDULOS 1+2+3+4+5]])-2,0)*($G236-$H236)</f>
        <v>2155.0184999148137</v>
      </c>
      <c r="BP236" s="22">
        <f>VLOOKUP($A236,tabCustoUnit[],COLUMN(CUSTO_GLOBAL[[#Headers],[Custos Indiretos]])-2,0)*($G236-$H236)</f>
        <v>189.64880140242613</v>
      </c>
      <c r="BQ236" s="22">
        <f>VLOOKUP($A236,tabCustoUnit[],COLUMN(CUSTO_GLOBAL[[#Headers],[Lucro]])-2,0)*($G236-$H236)</f>
        <v>159.30499317803796</v>
      </c>
      <c r="BR236" s="26">
        <f>VLOOKUP($A236,tabCustoUnit[],COLUMN(CUSTO_GLOBAL[[#Headers],[COFINS]])-2,0)</f>
        <v>8.6609686609686695E-2</v>
      </c>
      <c r="BS236" s="26">
        <f>VLOOKUP($A236,tabCustoUnit[],COLUMN(CUSTO_GLOBAL[[#Headers],[PIS]])-2,0)</f>
        <v>1.880341880341882E-2</v>
      </c>
      <c r="BT236" s="28">
        <f>VLOOKUP($A236,tabCustoUnit[],COLUMN(CUSTO_GLOBAL[[#Headers],[ISS]])-2,0)</f>
        <v>0.03</v>
      </c>
      <c r="BU236" s="26">
        <f>VLOOKUP($A236,tabCustoUnit[],COLUMN(CUSTO_GLOBAL[[#Headers],[ISS (Conversão Alíquota s/ fatura)]])-2,0)</f>
        <v>3.4188034188034219E-2</v>
      </c>
      <c r="BV236" s="26">
        <f>VLOOKUP($A236,tabCustoUnit[],COLUMN(CUSTO_GLOBAL[[#Headers],[Resumo de Alíquotas (PIS+CONFINS+ISS)]])-2,0)</f>
        <v>0.1225</v>
      </c>
      <c r="BW236" s="138">
        <f>VLOOKUP($A236,tabCustoUnit[],COLUMN(CUSTO_GLOBAL[[#Headers],[PIS + COFINS + ISS (Total Conversão  Alíquota s/ Fatura)]])-2,0)</f>
        <v>0.13960113960113973</v>
      </c>
      <c r="BX236" s="22">
        <f>VLOOKUP($A236,tabCustoUnit[],COLUMN(CUSTO_GLOBAL[[#Headers],[Valor dos Tributos (ISS, PIS, CONFINS)]])-2,0)*($G236-$H236)</f>
        <v>349.55738584122145</v>
      </c>
      <c r="BY236" s="22">
        <f>VLOOKUP($A236,tabCustoUnit[],COLUMN(CUSTO_GLOBAL[[#Headers],[MÓDULO 6 – CUSTOS INDIRETOS, TRIBUTOS E LUCRO]])-2,0)*($G236-$H236)</f>
        <v>698.51118042168559</v>
      </c>
      <c r="BZ236" s="22">
        <f>VLOOKUP($A236,tabCustoUnit[],COLUMN(CUSTO_GLOBAL[[#Headers],[CUSTO TOTAL MENSAL]])-2,0)*($G236-$H236)</f>
        <v>2853.529680336499</v>
      </c>
      <c r="CA236" s="22">
        <f>CUSTO_GLOBAL[[#This Row],[CUSTO TOTAL MENSAL]]*12</f>
        <v>34242.356164037992</v>
      </c>
      <c r="CB236" s="24">
        <f>VLOOKUP($A236,tabCustoUnit[],COLUMN(CUSTO_GLOBAL[[#Headers],[ANO DA CCT]])-2,0)</f>
        <v>45658</v>
      </c>
      <c r="CC236" s="25" t="str">
        <f>VLOOKUP($A236,tabCustoUnit[],COLUMN(CUSTO_GLOBAL[[#Headers],[Nº DE PEDIDO DA CCT]])-2,0)</f>
        <v>-</v>
      </c>
      <c r="CD236" s="25" t="str">
        <f>VLOOKUP($A236,tabCustoUnit[],COLUMN(CUSTO_GLOBAL[[#Headers],[TERMO ADITIVO  ALTERAÇÃO DA CCT]])-2,0)</f>
        <v>-</v>
      </c>
      <c r="CF236" s="22"/>
      <c r="CG236" s="22"/>
    </row>
    <row r="237" spans="1:85" x14ac:dyDescent="0.25">
      <c r="A237" s="20" t="s">
        <v>1572</v>
      </c>
      <c r="B237" t="s">
        <v>216</v>
      </c>
      <c r="C237" t="s">
        <v>1244</v>
      </c>
      <c r="D237" t="s">
        <v>1023</v>
      </c>
      <c r="E237" s="20" t="s">
        <v>9</v>
      </c>
      <c r="F237" s="20" t="s">
        <v>10</v>
      </c>
      <c r="G237" s="20">
        <v>1</v>
      </c>
      <c r="H237" s="20">
        <v>0</v>
      </c>
      <c r="I237" s="21">
        <f>VLOOKUP($A237,tabCustoUnit[],COLUMN(CUSTO_GLOBAL[[#Headers],[Salário Base]])-2,0)*($G237-$H237)</f>
        <v>824.56</v>
      </c>
      <c r="J237" s="21">
        <f>VLOOKUP($A237,tabCustoUnit[],COLUMN(CUSTO_GLOBAL[[#Headers],[Adicional Periculosidade]])-2,0)*($G237-$H237)</f>
        <v>0</v>
      </c>
      <c r="K237" s="21">
        <f>VLOOKUP($A237,tabCustoUnit[],COLUMN(CUSTO_GLOBAL[[#Headers],[Adicional Insalubridade]])-2,0)*($G237-$H237)</f>
        <v>0</v>
      </c>
      <c r="L237" s="21">
        <f>VLOOKUP($A237,tabCustoUnit[],COLUMN(CUSTO_GLOBAL[[#Headers],[Adicional Noturno]])-2,0)*($G237-$H237)</f>
        <v>0</v>
      </c>
      <c r="M237" s="21">
        <f>VLOOKUP($A237,tabCustoUnit[],COLUMN(CUSTO_GLOBAL[[#Headers],[Adicional Motorista II (Gratificação)]])-2,0)*($G237-$H237)</f>
        <v>0</v>
      </c>
      <c r="N237" s="21">
        <f>VLOOKUP($A237,tabCustoUnit[],COLUMN(CUSTO_GLOBAL[[#Headers],[Adicional de Sobreaviso]])-2,0)*($G237-$H237)</f>
        <v>0</v>
      </c>
      <c r="O237" s="21">
        <f>VLOOKUP($A237,tabCustoUnit[],COLUMN(CUSTO_GLOBAL[[#Headers],[Horas Extras TI]])-2,0)*($G237-$H237)</f>
        <v>0</v>
      </c>
      <c r="P237" s="21">
        <f>VLOOKUP($A237,tabCustoUnit[],COLUMN(CUSTO_GLOBAL[[#Headers],[Adicional de Acúmulo de função]])-2,0)*($G237-$H237)</f>
        <v>26.985600000000002</v>
      </c>
      <c r="Q237" s="21">
        <f>VLOOKUP($A237,tabCustoUnit[],COLUMN(CUSTO_GLOBAL[[#Headers],[MODULO 1 - REMUNERAÇÃO ]])-2,0)*($G237-$H237)</f>
        <v>851.54559999999992</v>
      </c>
      <c r="R237" s="21">
        <f>VLOOKUP($A237,tabCustoUnit[],COLUMN(CUSTO_GLOBAL[[#Headers],[INSS]])-2,0)*($G237-$H237)</f>
        <v>170.30912000000001</v>
      </c>
      <c r="S237" s="21">
        <f>VLOOKUP($A237,tabCustoUnit[],COLUMN(CUSTO_GLOBAL[[#Headers],[SESI OU SESC]])-2,0)*($G237-$H237)</f>
        <v>12.773183999999999</v>
      </c>
      <c r="T237" s="21">
        <f>VLOOKUP($A237,tabCustoUnit[],COLUMN(CUSTO_GLOBAL[[#Headers],[SENAI OU SENAC]])-2,0)*($G237-$H237)</f>
        <v>8.5154559999999986</v>
      </c>
      <c r="U237" s="21">
        <f>VLOOKUP($A237,tabCustoUnit[],COLUMN(CUSTO_GLOBAL[[#Headers],[INCRA]])-2,0)*($G237-$H237)</f>
        <v>1.7030911999999998</v>
      </c>
      <c r="V237" s="21">
        <f>VLOOKUP($A237,tabCustoUnit[],COLUMN(CUSTO_GLOBAL[[#Headers],[Salário Educação]])-2,0)*($G237-$H237)</f>
        <v>21.288640000000001</v>
      </c>
      <c r="W237" s="21">
        <f>VLOOKUP($A237,tabCustoUnit[],COLUMN(CUSTO_GLOBAL[[#Headers],[FGTS]])-2,0)*($G237-$H237)</f>
        <v>68.123647999999989</v>
      </c>
      <c r="X237" s="21">
        <f>VLOOKUP($A237,tabCustoUnit[],COLUMN(CUSTO_GLOBAL[[#Headers],[RAT Ajustado]])-2,0)*($G237-$H237)</f>
        <v>34.061823999999994</v>
      </c>
      <c r="Y237" s="21">
        <f>VLOOKUP($A237,tabCustoUnit[],COLUMN(CUSTO_GLOBAL[[#Headers],[SEBRAE]])-2,0)*($G237-$H237)</f>
        <v>5.1092735999999999</v>
      </c>
      <c r="Z237" s="21">
        <f>VLOOKUP($A237,tabCustoUnit[],COLUMN(CUSTO_GLOBAL[[#Headers],[Submódulo 2.1]])-2,0)*($G237-$H237)</f>
        <v>321.8842368</v>
      </c>
      <c r="AA237" s="21">
        <f>VLOOKUP($A237,tabCustoUnit[],COLUMN(CUSTO_GLOBAL[[#Headers],[13º salário (titular)]])-2,0)*($G237-$H237)</f>
        <v>70.962133333333327</v>
      </c>
      <c r="AB237" s="21">
        <f>VLOOKUP($A237,tabCustoUnit[],COLUMN(CUSTO_GLOBAL[[#Headers],[Férias e Adicional de Férias (titular)]])-2,0)*($G237-$H237)</f>
        <v>94.616177777777764</v>
      </c>
      <c r="AC237" s="21">
        <f>VLOOKUP($A237,tabCustoUnit[],COLUMN(CUSTO_GLOBAL[[#Headers],[Incidência do Submódulo 2.1 sobre 13º Salário, Férias e Adicional de Férias]])-2,0)*($G237-$H237)</f>
        <v>62.588601599999997</v>
      </c>
      <c r="AD237" s="21">
        <f>VLOOKUP($A237,tabCustoUnit[],COLUMN(CUSTO_GLOBAL[[#Headers],[Submódulo 2.2]])-2,0)*($G237-$H237)</f>
        <v>228.16691271111108</v>
      </c>
      <c r="AE237" s="22">
        <f>VLOOKUP($A237,tabCustoUnit[],COLUMN(CUSTO_GLOBAL[[#Headers],[Vale - Transporte (Descontada parcela do empregado)]])-2,0)*($G237-$H237)</f>
        <v>206.5264</v>
      </c>
      <c r="AF237" s="22">
        <f>VLOOKUP($A237,tabCustoUnit[],COLUMN(CUSTO_GLOBAL[[#Headers],[Vale - Alimentação (Descontada parcela do empregado)]])-2,0)*($G237-$H237)</f>
        <v>582</v>
      </c>
      <c r="AG237" s="22">
        <f>VLOOKUP($A237,tabCustoUnit[],COLUMN(CUSTO_GLOBAL[[#Headers],[Cesta Básica]])-2,0)*($G237-$H237)</f>
        <v>0</v>
      </c>
      <c r="AH237" s="22">
        <f>VLOOKUP($A237,tabCustoUnit[],COLUMN(CUSTO_GLOBAL[[#Headers],[PAF]])-2,0)*($G237-$H237)</f>
        <v>53.27</v>
      </c>
      <c r="AI237" s="22">
        <f>VLOOKUP($A237,tabCustoUnit[],COLUMN(CUSTO_GLOBAL[[#Headers],[PQM]])-2,0)*($G237-$H237)</f>
        <v>0</v>
      </c>
      <c r="AJ237" s="22">
        <v>0</v>
      </c>
      <c r="AK237" s="22">
        <f>VLOOKUP($A237,tabCustoUnit[],COLUMN(CUSTO_GLOBAL[[#Headers],[Seguro de Vida]])-2,0)*($G237-$H237)</f>
        <v>3.36</v>
      </c>
      <c r="AL237" s="22">
        <f>VLOOKUP($A237,tabCustoUnit[],COLUMN(CUSTO_GLOBAL[[#Headers],[Despesas de Viagem]])-2,0)*($G237-$H237)</f>
        <v>0</v>
      </c>
      <c r="AM237" s="22">
        <f>VLOOKUP($A237,tabCustoUnit[],COLUMN(CUSTO_GLOBAL[[#Headers],[Submódulo 2.3]])-2,0)*($G237-$H237)</f>
        <v>845.15639999999996</v>
      </c>
      <c r="AN237" s="22">
        <f>VLOOKUP($A237,tabCustoUnit[],COLUMN(CUSTO_GLOBAL[[#Headers],[MÓDULO 2 - Total Encargos e Benefícios mensais e diários]])-2,0)*($G237-$H237)</f>
        <v>1395.2075495111112</v>
      </c>
      <c r="AO237" s="22">
        <f>VLOOKUP($A237,tabCustoUnit[],COLUMN(CUSTO_GLOBAL[[#Headers],[Aviso Prévio Indenizado (API) e Reflexo do Aviso Prévio Indenizado]])-2,0)*($G237-$H237)</f>
        <v>5.970839316049382</v>
      </c>
      <c r="AP237" s="22">
        <f>VLOOKUP($A237,tabCustoUnit[],COLUMN(CUSTO_GLOBAL[[#Headers],[Incidência do FGTS sobre API e Reflexo do API]])-2,0)*($G237-$H237)</f>
        <v>0.4776671452839506</v>
      </c>
      <c r="AQ237" s="22">
        <f>VLOOKUP($A237,tabCustoUnit[],COLUMN(CUSTO_GLOBAL[[#Headers],[Multa Rescisória do FGTS sobre o Aviso Prévio Indenizado]])-2,0)*($G237-$H237)</f>
        <v>0.19106685811358026</v>
      </c>
      <c r="AR237" s="22">
        <f>VLOOKUP($A237,tabCustoUnit[],COLUMN(CUSTO_GLOBAL[[#Headers],[Aviso Prévio Trabalhado - APT]])-2,0)*($G237-$H237)</f>
        <v>2.9804096000000002</v>
      </c>
      <c r="AS237" s="22">
        <f>VLOOKUP($A237,tabCustoUnit[],COLUMN(CUSTO_GLOBAL[[#Headers],[Incidência dos encargos do submódulo 2.1 sobre Aviso Prévio Trabalhado]])-2,0)*($G237-$H237)</f>
        <v>1.1265948288000003</v>
      </c>
      <c r="AT237" s="22">
        <f>VLOOKUP($A237,tabCustoUnit[],COLUMN(CUSTO_GLOBAL[[#Headers],[Multa Rescisória do FGTS]])-2,0)*($G237-$H237)</f>
        <v>26.038372124444439</v>
      </c>
      <c r="AU237" s="22">
        <f>VLOOKUP($A237,tabCustoUnit[],COLUMN(CUSTO_GLOBAL[[#Headers],[Indenização Adicional (Art. 9º da Lei nº 7.238/84)]])-2,0)*($G237-$H237)</f>
        <v>0.70962133333333333</v>
      </c>
      <c r="AV237" s="22">
        <f>VLOOKUP($A237,tabCustoUnit[],COLUMN(CUSTO_GLOBAL[[#Headers],[MÓDULO 3 – PROVISÃO PARA RESCISÃO]])-2,0)*($G237-$H237)</f>
        <v>37.494571206024688</v>
      </c>
      <c r="AW237" s="22">
        <f>VLOOKUP($A237,tabCustoUnit[],COLUMN(CUSTO_GLOBAL[[#Headers],[Ausência por Doença]])-2,0)*($G237-$H237)</f>
        <v>7.1908295111111098</v>
      </c>
      <c r="AX237" s="22">
        <f>VLOOKUP($A237,tabCustoUnit[],COLUMN(CUSTO_GLOBAL[[#Headers],[Ausências Legais]])-2,0)*($G237-$H237)</f>
        <v>1.7267452444444442</v>
      </c>
      <c r="AY237" s="22">
        <f>VLOOKUP($A237,tabCustoUnit[],COLUMN(CUSTO_GLOBAL[[#Headers],[Licença Paternidade]])-2,0)*($G237-$H237)</f>
        <v>0.14547237333333332</v>
      </c>
      <c r="AZ237" s="22">
        <f>VLOOKUP($A237,tabCustoUnit[],COLUMN(CUSTO_GLOBAL[[#Headers],[Ausência por Acidente de Trabalho]])-2,0)*($G237-$H237)</f>
        <v>0.17740533333333333</v>
      </c>
      <c r="BA237" s="22">
        <f>VLOOKUP($A237,tabCustoUnit[],COLUMN(CUSTO_GLOBAL[[#Headers],[Férias, Adicional de Férias e 13º  com empregada em gozo de Licença Maternidade]])-2,0)*($G237-$H237)</f>
        <v>1.1038554074074072</v>
      </c>
      <c r="BB237" s="22">
        <f>VLOOKUP($A237,tabCustoUnit[],COLUMN(CUSTO_GLOBAL[[#Headers],[Incidência do Submódulo 2.1 sobre Ausências Legais]])-2,0)*($G237-$H237)</f>
        <v>3.9101483747200003</v>
      </c>
      <c r="BC237" s="22">
        <f>VLOOKUP($A237,tabCustoUnit[],COLUMN(CUSTO_GLOBAL[[#Headers],[Submódulo 4.1]])-2,0)*($G237-$H237)</f>
        <v>14.254456244349628</v>
      </c>
      <c r="BD237" s="22">
        <f>VLOOKUP($A237,tabCustoUnit[],COLUMN(CUSTO_GLOBAL[[#Headers],[Intervalo para Repouso ou Alimentação]])-2,0)*($G237-$H237)</f>
        <v>0</v>
      </c>
      <c r="BE237" s="22">
        <f>VLOOKUP($A237,tabCustoUnit[],COLUMN(CUSTO_GLOBAL[[#Headers],[Submódulo 4.2]])-2,0)*($G237-$H237)</f>
        <v>0</v>
      </c>
      <c r="BF237" s="22">
        <f>VLOOKUP($A237,tabCustoUnit[],COLUMN(CUSTO_GLOBAL[[#Headers],[Suspensão Temporária do Contrato de Trabalho]])-2,0)*($G237-$H237)</f>
        <v>0</v>
      </c>
      <c r="BG237" s="22">
        <f>VLOOKUP($A237,tabCustoUnit[],COLUMN(CUSTO_GLOBAL[[#Headers],[Submódulo 4.3]])-2,0)*($G237-$H237)</f>
        <v>0</v>
      </c>
      <c r="BH237" s="22">
        <f>VLOOKUP($A237,tabCustoUnit[],COLUMN(CUSTO_GLOBAL[[#Headers],[MÓDULO 4 – CUSTO DE REPOSIÇÃO DO PROFISSIONAL AUSENTE]])-2,0)*($G237-$H237)</f>
        <v>14.254456244349628</v>
      </c>
      <c r="BI237" s="22">
        <f>VLOOKUP($A237,tabCustoUnit[],COLUMN(CUSTO_GLOBAL[[#Headers],[Uniformes e EPIs]])-2,0)*($G237-$H237)</f>
        <v>62.806666666666665</v>
      </c>
      <c r="BJ237" s="22">
        <f>VLOOKUP($A237,tabCustoUnit[],COLUMN(CUSTO_GLOBAL[[#Headers],[Materiais de Consumo]])-2,0)*($G237-$H237)</f>
        <v>17.759106479291944</v>
      </c>
      <c r="BK237" s="22">
        <f>VLOOKUP($A237,tabCustoUnit[],COLUMN(CUSTO_GLOBAL[[#Headers],[Máquinas e Equipamentos (depreciação)]])-2,0)*($G237-$H237)</f>
        <v>32.264696957412788</v>
      </c>
      <c r="BL237" s="22">
        <f>VLOOKUP($A237,tabCustoUnit[],COLUMN(CUSTO_GLOBAL[[#Headers],[Produtos de Limpeza e Materiais de Higiene Pessoal]])-2,0)*($G237-$H237)</f>
        <v>345.13576638965827</v>
      </c>
      <c r="BM237" s="22">
        <f>VLOOKUP($A237,tabCustoUnit[],COLUMN(CUSTO_GLOBAL[[#Headers],[Outros (especificar)]])-2,0)*($G237-$H237)</f>
        <v>0</v>
      </c>
      <c r="BN237" s="22">
        <f>VLOOKUP($A237,tabCustoUnit[],COLUMN(CUSTO_GLOBAL[[#Headers],[MÓDULO 5 – INSUMOS DIVERSOS]])-2,0)*($G237-$H237)</f>
        <v>457.96623649302967</v>
      </c>
      <c r="BO237" s="22">
        <f>VLOOKUP($A237,tabCustoUnit[],COLUMN(CUSTO_GLOBAL[[#Headers],[TOTAL MÓDULOS 1+2+3+4+5]])-2,0)*($G237-$H237)</f>
        <v>2756.468413454515</v>
      </c>
      <c r="BP237" s="22">
        <f>VLOOKUP($A237,tabCustoUnit[],COLUMN(CUSTO_GLOBAL[[#Headers],[Custos Indiretos]])-2,0)*($G237-$H237)</f>
        <v>189.64880140242613</v>
      </c>
      <c r="BQ237" s="22">
        <f>VLOOKUP($A237,tabCustoUnit[],COLUMN(CUSTO_GLOBAL[[#Headers],[Lucro]])-2,0)*($G237-$H237)</f>
        <v>159.30499317803796</v>
      </c>
      <c r="BR237" s="26">
        <f>VLOOKUP($A237,tabCustoUnit[],COLUMN(CUSTO_GLOBAL[[#Headers],[COFINS]])-2,0)</f>
        <v>8.6609686609686695E-2</v>
      </c>
      <c r="BS237" s="26">
        <f>VLOOKUP($A237,tabCustoUnit[],COLUMN(CUSTO_GLOBAL[[#Headers],[PIS]])-2,0)</f>
        <v>1.880341880341882E-2</v>
      </c>
      <c r="BT237" s="28">
        <f>VLOOKUP($A237,tabCustoUnit[],COLUMN(CUSTO_GLOBAL[[#Headers],[ISS]])-2,0)</f>
        <v>0.03</v>
      </c>
      <c r="BU237" s="26">
        <f>VLOOKUP($A237,tabCustoUnit[],COLUMN(CUSTO_GLOBAL[[#Headers],[ISS (Conversão Alíquota s/ fatura)]])-2,0)</f>
        <v>3.4188034188034219E-2</v>
      </c>
      <c r="BV237" s="26">
        <f>VLOOKUP($A237,tabCustoUnit[],COLUMN(CUSTO_GLOBAL[[#Headers],[Resumo de Alíquotas (PIS+CONFINS+ISS)]])-2,0)</f>
        <v>0.1225</v>
      </c>
      <c r="BW237" s="138">
        <f>VLOOKUP($A237,tabCustoUnit[],COLUMN(CUSTO_GLOBAL[[#Headers],[PIS + COFINS + ISS (Total Conversão  Alíquota s/ Fatura)]])-2,0)</f>
        <v>0.13960113960113973</v>
      </c>
      <c r="BX237" s="22">
        <f>VLOOKUP($A237,tabCustoUnit[],COLUMN(CUSTO_GLOBAL[[#Headers],[Valor dos Tributos (ISS, PIS, CONFINS)]])-2,0)*($G237-$H237)</f>
        <v>433.52047918437074</v>
      </c>
      <c r="BY237" s="22">
        <f>VLOOKUP($A237,tabCustoUnit[],COLUMN(CUSTO_GLOBAL[[#Headers],[MÓDULO 6 – CUSTOS INDIRETOS, TRIBUTOS E LUCRO]])-2,0)*($G237-$H237)</f>
        <v>782.47427376483483</v>
      </c>
      <c r="BZ237" s="22">
        <f>VLOOKUP($A237,tabCustoUnit[],COLUMN(CUSTO_GLOBAL[[#Headers],[CUSTO TOTAL MENSAL]])-2,0)*($G237-$H237)</f>
        <v>3538.9426872193499</v>
      </c>
      <c r="CA237" s="22">
        <f>CUSTO_GLOBAL[[#This Row],[CUSTO TOTAL MENSAL]]*12</f>
        <v>42467.312246632195</v>
      </c>
      <c r="CB237" s="24">
        <f>VLOOKUP($A237,tabCustoUnit[],COLUMN(CUSTO_GLOBAL[[#Headers],[ANO DA CCT]])-2,0)</f>
        <v>45658</v>
      </c>
      <c r="CC237" s="25" t="str">
        <f>VLOOKUP($A237,tabCustoUnit[],COLUMN(CUSTO_GLOBAL[[#Headers],[Nº DE PEDIDO DA CCT]])-2,0)</f>
        <v>-</v>
      </c>
      <c r="CD237" s="25" t="str">
        <f>VLOOKUP($A237,tabCustoUnit[],COLUMN(CUSTO_GLOBAL[[#Headers],[TERMO ADITIVO  ALTERAÇÃO DA CCT]])-2,0)</f>
        <v>-</v>
      </c>
      <c r="CF237" s="22"/>
      <c r="CG237" s="22"/>
    </row>
    <row r="238" spans="1:85" x14ac:dyDescent="0.25">
      <c r="A238" s="20" t="s">
        <v>1573</v>
      </c>
      <c r="B238" t="s">
        <v>216</v>
      </c>
      <c r="C238" t="s">
        <v>1245</v>
      </c>
      <c r="D238" t="s">
        <v>1023</v>
      </c>
      <c r="E238" s="20" t="s">
        <v>9</v>
      </c>
      <c r="F238" s="20" t="s">
        <v>10</v>
      </c>
      <c r="G238" s="20">
        <v>1</v>
      </c>
      <c r="H238" s="20">
        <v>0</v>
      </c>
      <c r="I238" s="21">
        <f>VLOOKUP($A238,tabCustoUnit[],COLUMN(CUSTO_GLOBAL[[#Headers],[Salário Base]])-2,0)*($G238-$H238)</f>
        <v>1596.28</v>
      </c>
      <c r="J238" s="21">
        <f>VLOOKUP($A238,tabCustoUnit[],COLUMN(CUSTO_GLOBAL[[#Headers],[Adicional Periculosidade]])-2,0)*($G238-$H238)</f>
        <v>0</v>
      </c>
      <c r="K238" s="21">
        <f>VLOOKUP($A238,tabCustoUnit[],COLUMN(CUSTO_GLOBAL[[#Headers],[Adicional Insalubridade]])-2,0)*($G238-$H238)</f>
        <v>0</v>
      </c>
      <c r="L238" s="21">
        <f>VLOOKUP($A238,tabCustoUnit[],COLUMN(CUSTO_GLOBAL[[#Headers],[Adicional Noturno]])-2,0)*($G238-$H238)</f>
        <v>0</v>
      </c>
      <c r="M238" s="21">
        <f>VLOOKUP($A238,tabCustoUnit[],COLUMN(CUSTO_GLOBAL[[#Headers],[Adicional Motorista II (Gratificação)]])-2,0)*($G238-$H238)</f>
        <v>0</v>
      </c>
      <c r="N238" s="21">
        <f>VLOOKUP($A238,tabCustoUnit[],COLUMN(CUSTO_GLOBAL[[#Headers],[Adicional de Sobreaviso]])-2,0)*($G238-$H238)</f>
        <v>0</v>
      </c>
      <c r="O238" s="21">
        <f>VLOOKUP($A238,tabCustoUnit[],COLUMN(CUSTO_GLOBAL[[#Headers],[Horas Extras TI]])-2,0)*($G238-$H238)</f>
        <v>0</v>
      </c>
      <c r="P238" s="21">
        <f>VLOOKUP($A238,tabCustoUnit[],COLUMN(CUSTO_GLOBAL[[#Headers],[Adicional de Acúmulo de função]])-2,0)*($G238-$H238)</f>
        <v>52.241900000000001</v>
      </c>
      <c r="Q238" s="21">
        <f>VLOOKUP($A238,tabCustoUnit[],COLUMN(CUSTO_GLOBAL[[#Headers],[MODULO 1 - REMUNERAÇÃO ]])-2,0)*($G238-$H238)</f>
        <v>1648.5219</v>
      </c>
      <c r="R238" s="21">
        <f>VLOOKUP($A238,tabCustoUnit[],COLUMN(CUSTO_GLOBAL[[#Headers],[INSS]])-2,0)*($G238-$H238)</f>
        <v>329.70438000000001</v>
      </c>
      <c r="S238" s="21">
        <f>VLOOKUP($A238,tabCustoUnit[],COLUMN(CUSTO_GLOBAL[[#Headers],[SESI OU SESC]])-2,0)*($G238-$H238)</f>
        <v>24.727828499999998</v>
      </c>
      <c r="T238" s="21">
        <f>VLOOKUP($A238,tabCustoUnit[],COLUMN(CUSTO_GLOBAL[[#Headers],[SENAI OU SENAC]])-2,0)*($G238-$H238)</f>
        <v>16.485219000000001</v>
      </c>
      <c r="U238" s="21">
        <f>VLOOKUP($A238,tabCustoUnit[],COLUMN(CUSTO_GLOBAL[[#Headers],[INCRA]])-2,0)*($G238-$H238)</f>
        <v>3.2970438</v>
      </c>
      <c r="V238" s="21">
        <f>VLOOKUP($A238,tabCustoUnit[],COLUMN(CUSTO_GLOBAL[[#Headers],[Salário Educação]])-2,0)*($G238-$H238)</f>
        <v>41.213047500000002</v>
      </c>
      <c r="W238" s="21">
        <f>VLOOKUP($A238,tabCustoUnit[],COLUMN(CUSTO_GLOBAL[[#Headers],[FGTS]])-2,0)*($G238-$H238)</f>
        <v>131.88175200000001</v>
      </c>
      <c r="X238" s="21">
        <f>VLOOKUP($A238,tabCustoUnit[],COLUMN(CUSTO_GLOBAL[[#Headers],[RAT Ajustado]])-2,0)*($G238-$H238)</f>
        <v>65.940876000000003</v>
      </c>
      <c r="Y238" s="21">
        <f>VLOOKUP($A238,tabCustoUnit[],COLUMN(CUSTO_GLOBAL[[#Headers],[SEBRAE]])-2,0)*($G238-$H238)</f>
        <v>9.8911314000000008</v>
      </c>
      <c r="Z238" s="21">
        <f>VLOOKUP($A238,tabCustoUnit[],COLUMN(CUSTO_GLOBAL[[#Headers],[Submódulo 2.1]])-2,0)*($G238-$H238)</f>
        <v>623.14127819999999</v>
      </c>
      <c r="AA238" s="21">
        <f>VLOOKUP($A238,tabCustoUnit[],COLUMN(CUSTO_GLOBAL[[#Headers],[13º salário (titular)]])-2,0)*($G238-$H238)</f>
        <v>137.376825</v>
      </c>
      <c r="AB238" s="21">
        <f>VLOOKUP($A238,tabCustoUnit[],COLUMN(CUSTO_GLOBAL[[#Headers],[Férias e Adicional de Férias (titular)]])-2,0)*($G238-$H238)</f>
        <v>183.16909999999999</v>
      </c>
      <c r="AC238" s="21">
        <f>VLOOKUP($A238,tabCustoUnit[],COLUMN(CUSTO_GLOBAL[[#Headers],[Incidência do Submódulo 2.1 sobre 13º Salário, Férias e Adicional de Férias]])-2,0)*($G238-$H238)</f>
        <v>121.16635965</v>
      </c>
      <c r="AD238" s="21">
        <f>VLOOKUP($A238,tabCustoUnit[],COLUMN(CUSTO_GLOBAL[[#Headers],[Submódulo 2.2]])-2,0)*($G238-$H238)</f>
        <v>441.71228465000002</v>
      </c>
      <c r="AE238" s="22">
        <f>VLOOKUP($A238,tabCustoUnit[],COLUMN(CUSTO_GLOBAL[[#Headers],[Vale - Transporte (Descontada parcela do empregado)]])-2,0)*($G238-$H238)</f>
        <v>160.22320000000002</v>
      </c>
      <c r="AF238" s="22">
        <f>VLOOKUP($A238,tabCustoUnit[],COLUMN(CUSTO_GLOBAL[[#Headers],[Vale - Alimentação (Descontada parcela do empregado)]])-2,0)*($G238-$H238)</f>
        <v>582</v>
      </c>
      <c r="AG238" s="22">
        <f>VLOOKUP($A238,tabCustoUnit[],COLUMN(CUSTO_GLOBAL[[#Headers],[Cesta Básica]])-2,0)*($G238-$H238)</f>
        <v>0</v>
      </c>
      <c r="AH238" s="22">
        <f>VLOOKUP($A238,tabCustoUnit[],COLUMN(CUSTO_GLOBAL[[#Headers],[PAF]])-2,0)*($G238-$H238)</f>
        <v>53.27</v>
      </c>
      <c r="AI238" s="22">
        <f>VLOOKUP($A238,tabCustoUnit[],COLUMN(CUSTO_GLOBAL[[#Headers],[PQM]])-2,0)*($G238-$H238)</f>
        <v>0</v>
      </c>
      <c r="AJ238" s="22">
        <v>0</v>
      </c>
      <c r="AK238" s="22">
        <f>VLOOKUP($A238,tabCustoUnit[],COLUMN(CUSTO_GLOBAL[[#Headers],[Seguro de Vida]])-2,0)*($G238-$H238)</f>
        <v>3.36</v>
      </c>
      <c r="AL238" s="22">
        <f>VLOOKUP($A238,tabCustoUnit[],COLUMN(CUSTO_GLOBAL[[#Headers],[Despesas de Viagem]])-2,0)*($G238-$H238)</f>
        <v>0</v>
      </c>
      <c r="AM238" s="22">
        <f>VLOOKUP($A238,tabCustoUnit[],COLUMN(CUSTO_GLOBAL[[#Headers],[Submódulo 2.3]])-2,0)*($G238-$H238)</f>
        <v>798.85320000000002</v>
      </c>
      <c r="AN238" s="22">
        <f>VLOOKUP($A238,tabCustoUnit[],COLUMN(CUSTO_GLOBAL[[#Headers],[MÓDULO 2 - Total Encargos e Benefícios mensais e diários]])-2,0)*($G238-$H238)</f>
        <v>1863.7067628499999</v>
      </c>
      <c r="AO238" s="22">
        <f>VLOOKUP($A238,tabCustoUnit[],COLUMN(CUSTO_GLOBAL[[#Headers],[Aviso Prévio Indenizado (API) e Reflexo do Aviso Prévio Indenizado]])-2,0)*($G238-$H238)</f>
        <v>11.559051416493055</v>
      </c>
      <c r="AP238" s="22">
        <f>VLOOKUP($A238,tabCustoUnit[],COLUMN(CUSTO_GLOBAL[[#Headers],[Incidência do FGTS sobre API e Reflexo do API]])-2,0)*($G238-$H238)</f>
        <v>0.92472411331944449</v>
      </c>
      <c r="AQ238" s="22">
        <f>VLOOKUP($A238,tabCustoUnit[],COLUMN(CUSTO_GLOBAL[[#Headers],[Multa Rescisória do FGTS sobre o Aviso Prévio Indenizado]])-2,0)*($G238-$H238)</f>
        <v>0.36988964532777785</v>
      </c>
      <c r="AR238" s="22">
        <f>VLOOKUP($A238,tabCustoUnit[],COLUMN(CUSTO_GLOBAL[[#Headers],[Aviso Prévio Trabalhado - APT]])-2,0)*($G238-$H238)</f>
        <v>5.7698266500000006</v>
      </c>
      <c r="AS238" s="22">
        <f>VLOOKUP($A238,tabCustoUnit[],COLUMN(CUSTO_GLOBAL[[#Headers],[Incidência dos encargos do submódulo 2.1 sobre Aviso Prévio Trabalhado]])-2,0)*($G238-$H238)</f>
        <v>2.1809944737000007</v>
      </c>
      <c r="AT238" s="22">
        <f>VLOOKUP($A238,tabCustoUnit[],COLUMN(CUSTO_GLOBAL[[#Headers],[Multa Rescisória do FGTS]])-2,0)*($G238-$H238)</f>
        <v>50.40813631999999</v>
      </c>
      <c r="AU238" s="22">
        <f>VLOOKUP($A238,tabCustoUnit[],COLUMN(CUSTO_GLOBAL[[#Headers],[Indenização Adicional (Art. 9º da Lei nº 7.238/84)]])-2,0)*($G238-$H238)</f>
        <v>1.3737682500000001</v>
      </c>
      <c r="AV238" s="22">
        <f>VLOOKUP($A238,tabCustoUnit[],COLUMN(CUSTO_GLOBAL[[#Headers],[MÓDULO 3 – PROVISÃO PARA RESCISÃO]])-2,0)*($G238-$H238)</f>
        <v>72.586390868840269</v>
      </c>
      <c r="AW238" s="22">
        <f>VLOOKUP($A238,tabCustoUnit[],COLUMN(CUSTO_GLOBAL[[#Headers],[Ausência por Doença]])-2,0)*($G238-$H238)</f>
        <v>13.920851599999999</v>
      </c>
      <c r="AX238" s="22">
        <f>VLOOKUP($A238,tabCustoUnit[],COLUMN(CUSTO_GLOBAL[[#Headers],[Ausências Legais]])-2,0)*($G238-$H238)</f>
        <v>3.3428360749999997</v>
      </c>
      <c r="AY238" s="22">
        <f>VLOOKUP($A238,tabCustoUnit[],COLUMN(CUSTO_GLOBAL[[#Headers],[Licença Paternidade]])-2,0)*($G238-$H238)</f>
        <v>0.28162249125</v>
      </c>
      <c r="AZ238" s="22">
        <f>VLOOKUP($A238,tabCustoUnit[],COLUMN(CUSTO_GLOBAL[[#Headers],[Ausência por Acidente de Trabalho]])-2,0)*($G238-$H238)</f>
        <v>0.34344206250000003</v>
      </c>
      <c r="BA238" s="22">
        <f>VLOOKUP($A238,tabCustoUnit[],COLUMN(CUSTO_GLOBAL[[#Headers],[Férias, Adicional de Férias e 13º  com empregada em gozo de Licença Maternidade]])-2,0)*($G238-$H238)</f>
        <v>2.1369728333333331</v>
      </c>
      <c r="BB238" s="22">
        <f>VLOOKUP($A238,tabCustoUnit[],COLUMN(CUSTO_GLOBAL[[#Headers],[Incidência do Submódulo 2.1 sobre Ausências Legais]])-2,0)*($G238-$H238)</f>
        <v>7.5697240734675013</v>
      </c>
      <c r="BC238" s="22">
        <f>VLOOKUP($A238,tabCustoUnit[],COLUMN(CUSTO_GLOBAL[[#Headers],[Submódulo 4.1]])-2,0)*($G238-$H238)</f>
        <v>27.595449135550833</v>
      </c>
      <c r="BD238" s="22">
        <f>VLOOKUP($A238,tabCustoUnit[],COLUMN(CUSTO_GLOBAL[[#Headers],[Intervalo para Repouso ou Alimentação]])-2,0)*($G238-$H238)</f>
        <v>0</v>
      </c>
      <c r="BE238" s="22">
        <f>VLOOKUP($A238,tabCustoUnit[],COLUMN(CUSTO_GLOBAL[[#Headers],[Submódulo 4.2]])-2,0)*($G238-$H238)</f>
        <v>0</v>
      </c>
      <c r="BF238" s="22">
        <f>VLOOKUP($A238,tabCustoUnit[],COLUMN(CUSTO_GLOBAL[[#Headers],[Suspensão Temporária do Contrato de Trabalho]])-2,0)*($G238-$H238)</f>
        <v>0</v>
      </c>
      <c r="BG238" s="22">
        <f>VLOOKUP($A238,tabCustoUnit[],COLUMN(CUSTO_GLOBAL[[#Headers],[Submódulo 4.3]])-2,0)*($G238-$H238)</f>
        <v>0</v>
      </c>
      <c r="BH238" s="22">
        <f>VLOOKUP($A238,tabCustoUnit[],COLUMN(CUSTO_GLOBAL[[#Headers],[MÓDULO 4 – CUSTO DE REPOSIÇÃO DO PROFISSIONAL AUSENTE]])-2,0)*($G238-$H238)</f>
        <v>27.595449135550833</v>
      </c>
      <c r="BI238" s="22">
        <f>VLOOKUP($A238,tabCustoUnit[],COLUMN(CUSTO_GLOBAL[[#Headers],[Uniformes e EPIs]])-2,0)*($G238-$H238)</f>
        <v>100.80916666666666</v>
      </c>
      <c r="BJ238" s="22">
        <f>VLOOKUP($A238,tabCustoUnit[],COLUMN(CUSTO_GLOBAL[[#Headers],[Materiais de Consumo]])-2,0)*($G238-$H238)</f>
        <v>35.518212958583888</v>
      </c>
      <c r="BK238" s="22">
        <f>VLOOKUP($A238,tabCustoUnit[],COLUMN(CUSTO_GLOBAL[[#Headers],[Máquinas e Equipamentos (depreciação)]])-2,0)*($G238-$H238)</f>
        <v>64.529393914825576</v>
      </c>
      <c r="BL238" s="22">
        <f>VLOOKUP($A238,tabCustoUnit[],COLUMN(CUSTO_GLOBAL[[#Headers],[Produtos de Limpeza e Materiais de Higiene Pessoal]])-2,0)*($G238-$H238)</f>
        <v>690.27153277931654</v>
      </c>
      <c r="BM238" s="22">
        <f>VLOOKUP($A238,tabCustoUnit[],COLUMN(CUSTO_GLOBAL[[#Headers],[Outros (especificar)]])-2,0)*($G238-$H238)</f>
        <v>0</v>
      </c>
      <c r="BN238" s="22">
        <f>VLOOKUP($A238,tabCustoUnit[],COLUMN(CUSTO_GLOBAL[[#Headers],[MÓDULO 5 – INSUMOS DIVERSOS]])-2,0)*($G238-$H238)</f>
        <v>891.12830631939266</v>
      </c>
      <c r="BO238" s="22">
        <f>VLOOKUP($A238,tabCustoUnit[],COLUMN(CUSTO_GLOBAL[[#Headers],[TOTAL MÓDULOS 1+2+3+4+5]])-2,0)*($G238-$H238)</f>
        <v>4503.5388091737832</v>
      </c>
      <c r="BP238" s="22">
        <f>VLOOKUP($A238,tabCustoUnit[],COLUMN(CUSTO_GLOBAL[[#Headers],[Custos Indiretos]])-2,0)*($G238-$H238)</f>
        <v>189.64880140242613</v>
      </c>
      <c r="BQ238" s="22">
        <f>VLOOKUP($A238,tabCustoUnit[],COLUMN(CUSTO_GLOBAL[[#Headers],[Lucro]])-2,0)*($G238-$H238)</f>
        <v>159.30499317803796</v>
      </c>
      <c r="BR238" s="26">
        <f>VLOOKUP($A238,tabCustoUnit[],COLUMN(CUSTO_GLOBAL[[#Headers],[COFINS]])-2,0)</f>
        <v>8.6609686609686695E-2</v>
      </c>
      <c r="BS238" s="26">
        <f>VLOOKUP($A238,tabCustoUnit[],COLUMN(CUSTO_GLOBAL[[#Headers],[PIS]])-2,0)</f>
        <v>1.880341880341882E-2</v>
      </c>
      <c r="BT238" s="28">
        <f>VLOOKUP($A238,tabCustoUnit[],COLUMN(CUSTO_GLOBAL[[#Headers],[ISS]])-2,0)</f>
        <v>0.03</v>
      </c>
      <c r="BU238" s="26">
        <f>VLOOKUP($A238,tabCustoUnit[],COLUMN(CUSTO_GLOBAL[[#Headers],[ISS (Conversão Alíquota s/ fatura)]])-2,0)</f>
        <v>3.4188034188034219E-2</v>
      </c>
      <c r="BV238" s="26">
        <f>VLOOKUP($A238,tabCustoUnit[],COLUMN(CUSTO_GLOBAL[[#Headers],[Resumo de Alíquotas (PIS+CONFINS+ISS)]])-2,0)</f>
        <v>0.1225</v>
      </c>
      <c r="BW238" s="138">
        <f>VLOOKUP($A238,tabCustoUnit[],COLUMN(CUSTO_GLOBAL[[#Headers],[PIS + COFINS + ISS (Total Conversão  Alíquota s/ Fatura)]])-2,0)</f>
        <v>0.13960113960113973</v>
      </c>
      <c r="BX238" s="22">
        <f>VLOOKUP($A238,tabCustoUnit[],COLUMN(CUSTO_GLOBAL[[#Headers],[Valor dos Tributos (ISS, PIS, CONFINS)]])-2,0)*($G238-$H238)</f>
        <v>677.41349739019472</v>
      </c>
      <c r="BY238" s="22">
        <f>VLOOKUP($A238,tabCustoUnit[],COLUMN(CUSTO_GLOBAL[[#Headers],[MÓDULO 6 – CUSTOS INDIRETOS, TRIBUTOS E LUCRO]])-2,0)*($G238-$H238)</f>
        <v>1026.3672919706587</v>
      </c>
      <c r="BZ238" s="22">
        <f>VLOOKUP($A238,tabCustoUnit[],COLUMN(CUSTO_GLOBAL[[#Headers],[CUSTO TOTAL MENSAL]])-2,0)*($G238-$H238)</f>
        <v>5529.9061011444419</v>
      </c>
      <c r="CA238" s="22">
        <f>CUSTO_GLOBAL[[#This Row],[CUSTO TOTAL MENSAL]]*12</f>
        <v>66358.873213733299</v>
      </c>
      <c r="CB238" s="24">
        <f>VLOOKUP($A238,tabCustoUnit[],COLUMN(CUSTO_GLOBAL[[#Headers],[ANO DA CCT]])-2,0)</f>
        <v>45658</v>
      </c>
      <c r="CC238" s="25" t="str">
        <f>VLOOKUP($A238,tabCustoUnit[],COLUMN(CUSTO_GLOBAL[[#Headers],[Nº DE PEDIDO DA CCT]])-2,0)</f>
        <v>-</v>
      </c>
      <c r="CD238" s="25" t="str">
        <f>VLOOKUP($A238,tabCustoUnit[],COLUMN(CUSTO_GLOBAL[[#Headers],[TERMO ADITIVO  ALTERAÇÃO DA CCT]])-2,0)</f>
        <v>-</v>
      </c>
      <c r="CF238" s="22"/>
      <c r="CG238" s="22"/>
    </row>
    <row r="239" spans="1:85" x14ac:dyDescent="0.25">
      <c r="A239" s="20" t="s">
        <v>1574</v>
      </c>
      <c r="B239" t="s">
        <v>217</v>
      </c>
      <c r="C239" t="s">
        <v>1245</v>
      </c>
      <c r="D239" t="s">
        <v>1023</v>
      </c>
      <c r="E239" s="20" t="s">
        <v>9</v>
      </c>
      <c r="F239" s="20" t="s">
        <v>10</v>
      </c>
      <c r="G239" s="20">
        <v>1</v>
      </c>
      <c r="H239" s="20">
        <v>0</v>
      </c>
      <c r="I239" s="21">
        <f>VLOOKUP($A239,tabCustoUnit[],COLUMN(CUSTO_GLOBAL[[#Headers],[Salário Base]])-2,0)*($G239-$H239)</f>
        <v>1596.28</v>
      </c>
      <c r="J239" s="21">
        <f>VLOOKUP($A239,tabCustoUnit[],COLUMN(CUSTO_GLOBAL[[#Headers],[Adicional Periculosidade]])-2,0)*($G239-$H239)</f>
        <v>0</v>
      </c>
      <c r="K239" s="21">
        <f>VLOOKUP($A239,tabCustoUnit[],COLUMN(CUSTO_GLOBAL[[#Headers],[Adicional Insalubridade]])-2,0)*($G239-$H239)</f>
        <v>0</v>
      </c>
      <c r="L239" s="21">
        <f>VLOOKUP($A239,tabCustoUnit[],COLUMN(CUSTO_GLOBAL[[#Headers],[Adicional Noturno]])-2,0)*($G239-$H239)</f>
        <v>0</v>
      </c>
      <c r="M239" s="21">
        <f>VLOOKUP($A239,tabCustoUnit[],COLUMN(CUSTO_GLOBAL[[#Headers],[Adicional Motorista II (Gratificação)]])-2,0)*($G239-$H239)</f>
        <v>0</v>
      </c>
      <c r="N239" s="21">
        <f>VLOOKUP($A239,tabCustoUnit[],COLUMN(CUSTO_GLOBAL[[#Headers],[Adicional de Sobreaviso]])-2,0)*($G239-$H239)</f>
        <v>0</v>
      </c>
      <c r="O239" s="21">
        <f>VLOOKUP($A239,tabCustoUnit[],COLUMN(CUSTO_GLOBAL[[#Headers],[Horas Extras TI]])-2,0)*($G239-$H239)</f>
        <v>0</v>
      </c>
      <c r="P239" s="21">
        <f>VLOOKUP($A239,tabCustoUnit[],COLUMN(CUSTO_GLOBAL[[#Headers],[Adicional de Acúmulo de função]])-2,0)*($G239-$H239)</f>
        <v>52.241900000000001</v>
      </c>
      <c r="Q239" s="21">
        <f>VLOOKUP($A239,tabCustoUnit[],COLUMN(CUSTO_GLOBAL[[#Headers],[MODULO 1 - REMUNERAÇÃO ]])-2,0)*($G239-$H239)</f>
        <v>1648.5219</v>
      </c>
      <c r="R239" s="21">
        <f>VLOOKUP($A239,tabCustoUnit[],COLUMN(CUSTO_GLOBAL[[#Headers],[INSS]])-2,0)*($G239-$H239)</f>
        <v>329.70438000000001</v>
      </c>
      <c r="S239" s="21">
        <f>VLOOKUP($A239,tabCustoUnit[],COLUMN(CUSTO_GLOBAL[[#Headers],[SESI OU SESC]])-2,0)*($G239-$H239)</f>
        <v>24.727828499999998</v>
      </c>
      <c r="T239" s="21">
        <f>VLOOKUP($A239,tabCustoUnit[],COLUMN(CUSTO_GLOBAL[[#Headers],[SENAI OU SENAC]])-2,0)*($G239-$H239)</f>
        <v>16.485219000000001</v>
      </c>
      <c r="U239" s="21">
        <f>VLOOKUP($A239,tabCustoUnit[],COLUMN(CUSTO_GLOBAL[[#Headers],[INCRA]])-2,0)*($G239-$H239)</f>
        <v>3.2970438</v>
      </c>
      <c r="V239" s="21">
        <f>VLOOKUP($A239,tabCustoUnit[],COLUMN(CUSTO_GLOBAL[[#Headers],[Salário Educação]])-2,0)*($G239-$H239)</f>
        <v>41.213047500000002</v>
      </c>
      <c r="W239" s="21">
        <f>VLOOKUP($A239,tabCustoUnit[],COLUMN(CUSTO_GLOBAL[[#Headers],[FGTS]])-2,0)*($G239-$H239)</f>
        <v>131.88175200000001</v>
      </c>
      <c r="X239" s="21">
        <f>VLOOKUP($A239,tabCustoUnit[],COLUMN(CUSTO_GLOBAL[[#Headers],[RAT Ajustado]])-2,0)*($G239-$H239)</f>
        <v>65.940876000000003</v>
      </c>
      <c r="Y239" s="21">
        <f>VLOOKUP($A239,tabCustoUnit[],COLUMN(CUSTO_GLOBAL[[#Headers],[SEBRAE]])-2,0)*($G239-$H239)</f>
        <v>9.8911314000000008</v>
      </c>
      <c r="Z239" s="21">
        <f>VLOOKUP($A239,tabCustoUnit[],COLUMN(CUSTO_GLOBAL[[#Headers],[Submódulo 2.1]])-2,0)*($G239-$H239)</f>
        <v>623.14127819999999</v>
      </c>
      <c r="AA239" s="21">
        <f>VLOOKUP($A239,tabCustoUnit[],COLUMN(CUSTO_GLOBAL[[#Headers],[13º salário (titular)]])-2,0)*($G239-$H239)</f>
        <v>137.376825</v>
      </c>
      <c r="AB239" s="21">
        <f>VLOOKUP($A239,tabCustoUnit[],COLUMN(CUSTO_GLOBAL[[#Headers],[Férias e Adicional de Férias (titular)]])-2,0)*($G239-$H239)</f>
        <v>183.16909999999999</v>
      </c>
      <c r="AC239" s="21">
        <f>VLOOKUP($A239,tabCustoUnit[],COLUMN(CUSTO_GLOBAL[[#Headers],[Incidência do Submódulo 2.1 sobre 13º Salário, Férias e Adicional de Férias]])-2,0)*($G239-$H239)</f>
        <v>121.16635965</v>
      </c>
      <c r="AD239" s="21">
        <f>VLOOKUP($A239,tabCustoUnit[],COLUMN(CUSTO_GLOBAL[[#Headers],[Submódulo 2.2]])-2,0)*($G239-$H239)</f>
        <v>441.71228465000002</v>
      </c>
      <c r="AE239" s="22">
        <f>VLOOKUP($A239,tabCustoUnit[],COLUMN(CUSTO_GLOBAL[[#Headers],[Vale - Transporte (Descontada parcela do empregado)]])-2,0)*($G239-$H239)</f>
        <v>160.22320000000002</v>
      </c>
      <c r="AF239" s="22">
        <f>VLOOKUP($A239,tabCustoUnit[],COLUMN(CUSTO_GLOBAL[[#Headers],[Vale - Alimentação (Descontada parcela do empregado)]])-2,0)*($G239-$H239)</f>
        <v>582</v>
      </c>
      <c r="AG239" s="22">
        <f>VLOOKUP($A239,tabCustoUnit[],COLUMN(CUSTO_GLOBAL[[#Headers],[Cesta Básica]])-2,0)*($G239-$H239)</f>
        <v>0</v>
      </c>
      <c r="AH239" s="22">
        <f>VLOOKUP($A239,tabCustoUnit[],COLUMN(CUSTO_GLOBAL[[#Headers],[PAF]])-2,0)*($G239-$H239)</f>
        <v>0</v>
      </c>
      <c r="AI239" s="22">
        <f>VLOOKUP($A239,tabCustoUnit[],COLUMN(CUSTO_GLOBAL[[#Headers],[PQM]])-2,0)*($G239-$H239)</f>
        <v>0</v>
      </c>
      <c r="AJ239" s="22">
        <v>0</v>
      </c>
      <c r="AK239" s="22">
        <f>VLOOKUP($A239,tabCustoUnit[],COLUMN(CUSTO_GLOBAL[[#Headers],[Seguro de Vida]])-2,0)*($G239-$H239)</f>
        <v>3.36</v>
      </c>
      <c r="AL239" s="22">
        <f>VLOOKUP($A239,tabCustoUnit[],COLUMN(CUSTO_GLOBAL[[#Headers],[Despesas de Viagem]])-2,0)*($G239-$H239)</f>
        <v>0</v>
      </c>
      <c r="AM239" s="22">
        <f>VLOOKUP($A239,tabCustoUnit[],COLUMN(CUSTO_GLOBAL[[#Headers],[Submódulo 2.3]])-2,0)*($G239-$H239)</f>
        <v>745.58320000000003</v>
      </c>
      <c r="AN239" s="22">
        <f>VLOOKUP($A239,tabCustoUnit[],COLUMN(CUSTO_GLOBAL[[#Headers],[MÓDULO 2 - Total Encargos e Benefícios mensais e diários]])-2,0)*($G239-$H239)</f>
        <v>1810.4367628499999</v>
      </c>
      <c r="AO239" s="22">
        <f>VLOOKUP($A239,tabCustoUnit[],COLUMN(CUSTO_GLOBAL[[#Headers],[Aviso Prévio Indenizado (API) e Reflexo do Aviso Prévio Indenizado]])-2,0)*($G239-$H239)</f>
        <v>11.559051416493055</v>
      </c>
      <c r="AP239" s="22">
        <f>VLOOKUP($A239,tabCustoUnit[],COLUMN(CUSTO_GLOBAL[[#Headers],[Incidência do FGTS sobre API e Reflexo do API]])-2,0)*($G239-$H239)</f>
        <v>0.92472411331944449</v>
      </c>
      <c r="AQ239" s="22">
        <f>VLOOKUP($A239,tabCustoUnit[],COLUMN(CUSTO_GLOBAL[[#Headers],[Multa Rescisória do FGTS sobre o Aviso Prévio Indenizado]])-2,0)*($G239-$H239)</f>
        <v>0.36988964532777785</v>
      </c>
      <c r="AR239" s="22">
        <f>VLOOKUP($A239,tabCustoUnit[],COLUMN(CUSTO_GLOBAL[[#Headers],[Aviso Prévio Trabalhado - APT]])-2,0)*($G239-$H239)</f>
        <v>5.7698266500000006</v>
      </c>
      <c r="AS239" s="22">
        <f>VLOOKUP($A239,tabCustoUnit[],COLUMN(CUSTO_GLOBAL[[#Headers],[Incidência dos encargos do submódulo 2.1 sobre Aviso Prévio Trabalhado]])-2,0)*($G239-$H239)</f>
        <v>2.1809944737000007</v>
      </c>
      <c r="AT239" s="22">
        <f>VLOOKUP($A239,tabCustoUnit[],COLUMN(CUSTO_GLOBAL[[#Headers],[Multa Rescisória do FGTS]])-2,0)*($G239-$H239)</f>
        <v>50.40813631999999</v>
      </c>
      <c r="AU239" s="22">
        <f>VLOOKUP($A239,tabCustoUnit[],COLUMN(CUSTO_GLOBAL[[#Headers],[Indenização Adicional (Art. 9º da Lei nº 7.238/84)]])-2,0)*($G239-$H239)</f>
        <v>1.3737682500000001</v>
      </c>
      <c r="AV239" s="22">
        <f>VLOOKUP($A239,tabCustoUnit[],COLUMN(CUSTO_GLOBAL[[#Headers],[MÓDULO 3 – PROVISÃO PARA RESCISÃO]])-2,0)*($G239-$H239)</f>
        <v>72.586390868840269</v>
      </c>
      <c r="AW239" s="22">
        <f>VLOOKUP($A239,tabCustoUnit[],COLUMN(CUSTO_GLOBAL[[#Headers],[Ausência por Doença]])-2,0)*($G239-$H239)</f>
        <v>13.920851599999999</v>
      </c>
      <c r="AX239" s="22">
        <f>VLOOKUP($A239,tabCustoUnit[],COLUMN(CUSTO_GLOBAL[[#Headers],[Ausências Legais]])-2,0)*($G239-$H239)</f>
        <v>3.3428360749999997</v>
      </c>
      <c r="AY239" s="22">
        <f>VLOOKUP($A239,tabCustoUnit[],COLUMN(CUSTO_GLOBAL[[#Headers],[Licença Paternidade]])-2,0)*($G239-$H239)</f>
        <v>0.28162249125</v>
      </c>
      <c r="AZ239" s="22">
        <f>VLOOKUP($A239,tabCustoUnit[],COLUMN(CUSTO_GLOBAL[[#Headers],[Ausência por Acidente de Trabalho]])-2,0)*($G239-$H239)</f>
        <v>0.34344206250000003</v>
      </c>
      <c r="BA239" s="22">
        <f>VLOOKUP($A239,tabCustoUnit[],COLUMN(CUSTO_GLOBAL[[#Headers],[Férias, Adicional de Férias e 13º  com empregada em gozo de Licença Maternidade]])-2,0)*($G239-$H239)</f>
        <v>2.1369728333333331</v>
      </c>
      <c r="BB239" s="22">
        <f>VLOOKUP($A239,tabCustoUnit[],COLUMN(CUSTO_GLOBAL[[#Headers],[Incidência do Submódulo 2.1 sobre Ausências Legais]])-2,0)*($G239-$H239)</f>
        <v>7.5697240734675013</v>
      </c>
      <c r="BC239" s="22">
        <f>VLOOKUP($A239,tabCustoUnit[],COLUMN(CUSTO_GLOBAL[[#Headers],[Submódulo 4.1]])-2,0)*($G239-$H239)</f>
        <v>27.595449135550833</v>
      </c>
      <c r="BD239" s="22">
        <f>VLOOKUP($A239,tabCustoUnit[],COLUMN(CUSTO_GLOBAL[[#Headers],[Intervalo para Repouso ou Alimentação]])-2,0)*($G239-$H239)</f>
        <v>0</v>
      </c>
      <c r="BE239" s="22">
        <f>VLOOKUP($A239,tabCustoUnit[],COLUMN(CUSTO_GLOBAL[[#Headers],[Submódulo 4.2]])-2,0)*($G239-$H239)</f>
        <v>0</v>
      </c>
      <c r="BF239" s="22">
        <f>VLOOKUP($A239,tabCustoUnit[],COLUMN(CUSTO_GLOBAL[[#Headers],[Suspensão Temporária do Contrato de Trabalho]])-2,0)*($G239-$H239)</f>
        <v>0</v>
      </c>
      <c r="BG239" s="22">
        <f>VLOOKUP($A239,tabCustoUnit[],COLUMN(CUSTO_GLOBAL[[#Headers],[Submódulo 4.3]])-2,0)*($G239-$H239)</f>
        <v>0</v>
      </c>
      <c r="BH239" s="22">
        <f>VLOOKUP($A239,tabCustoUnit[],COLUMN(CUSTO_GLOBAL[[#Headers],[MÓDULO 4 – CUSTO DE REPOSIÇÃO DO PROFISSIONAL AUSENTE]])-2,0)*($G239-$H239)</f>
        <v>27.595449135550833</v>
      </c>
      <c r="BI239" s="22">
        <f>VLOOKUP($A239,tabCustoUnit[],COLUMN(CUSTO_GLOBAL[[#Headers],[Uniformes e EPIs]])-2,0)*($G239-$H239)</f>
        <v>100.80916666666666</v>
      </c>
      <c r="BJ239" s="22">
        <f>VLOOKUP($A239,tabCustoUnit[],COLUMN(CUSTO_GLOBAL[[#Headers],[Materiais de Consumo]])-2,0)*($G239-$H239)</f>
        <v>35.518212958583888</v>
      </c>
      <c r="BK239" s="22">
        <f>VLOOKUP($A239,tabCustoUnit[],COLUMN(CUSTO_GLOBAL[[#Headers],[Máquinas e Equipamentos (depreciação)]])-2,0)*($G239-$H239)</f>
        <v>64.529393914825576</v>
      </c>
      <c r="BL239" s="22">
        <f>VLOOKUP($A239,tabCustoUnit[],COLUMN(CUSTO_GLOBAL[[#Headers],[Produtos de Limpeza e Materiais de Higiene Pessoal]])-2,0)*($G239-$H239)</f>
        <v>690.27153277931654</v>
      </c>
      <c r="BM239" s="22">
        <f>VLOOKUP($A239,tabCustoUnit[],COLUMN(CUSTO_GLOBAL[[#Headers],[Outros (especificar)]])-2,0)*($G239-$H239)</f>
        <v>0</v>
      </c>
      <c r="BN239" s="22">
        <f>VLOOKUP($A239,tabCustoUnit[],COLUMN(CUSTO_GLOBAL[[#Headers],[MÓDULO 5 – INSUMOS DIVERSOS]])-2,0)*($G239-$H239)</f>
        <v>891.12830631939266</v>
      </c>
      <c r="BO239" s="22">
        <f>VLOOKUP($A239,tabCustoUnit[],COLUMN(CUSTO_GLOBAL[[#Headers],[TOTAL MÓDULOS 1+2+3+4+5]])-2,0)*($G239-$H239)</f>
        <v>4450.2688091737837</v>
      </c>
      <c r="BP239" s="22">
        <f>VLOOKUP($A239,tabCustoUnit[],COLUMN(CUSTO_GLOBAL[[#Headers],[Custos Indiretos]])-2,0)*($G239-$H239)</f>
        <v>189.64880140242613</v>
      </c>
      <c r="BQ239" s="22">
        <f>VLOOKUP($A239,tabCustoUnit[],COLUMN(CUSTO_GLOBAL[[#Headers],[Lucro]])-2,0)*($G239-$H239)</f>
        <v>159.30499317803796</v>
      </c>
      <c r="BR239" s="26">
        <f>VLOOKUP($A239,tabCustoUnit[],COLUMN(CUSTO_GLOBAL[[#Headers],[COFINS]])-2,0)</f>
        <v>8.6118980169971604E-2</v>
      </c>
      <c r="BS239" s="26">
        <f>VLOOKUP($A239,tabCustoUnit[],COLUMN(CUSTO_GLOBAL[[#Headers],[PIS]])-2,0)</f>
        <v>1.8696883852691224E-2</v>
      </c>
      <c r="BT239" s="28">
        <f>VLOOKUP($A239,tabCustoUnit[],COLUMN(CUSTO_GLOBAL[[#Headers],[ISS]])-2,0)</f>
        <v>2.5000000000000001E-2</v>
      </c>
      <c r="BU239" s="26">
        <f>VLOOKUP($A239,tabCustoUnit[],COLUMN(CUSTO_GLOBAL[[#Headers],[ISS (Conversão Alíquota s/ fatura)]])-2,0)</f>
        <v>2.8328611898017008E-2</v>
      </c>
      <c r="BV239" s="26">
        <f>VLOOKUP($A239,tabCustoUnit[],COLUMN(CUSTO_GLOBAL[[#Headers],[Resumo de Alíquotas (PIS+CONFINS+ISS)]])-2,0)</f>
        <v>0.11749999999999999</v>
      </c>
      <c r="BW239" s="138">
        <f>VLOOKUP($A239,tabCustoUnit[],COLUMN(CUSTO_GLOBAL[[#Headers],[PIS + COFINS + ISS (Total Conversão  Alíquota s/ Fatura)]])-2,0)</f>
        <v>0.13314447592067982</v>
      </c>
      <c r="BX239" s="22">
        <f>VLOOKUP($A239,tabCustoUnit[],COLUMN(CUSTO_GLOBAL[[#Headers],[Valor dos Tributos (ISS, PIS, CONFINS)]])-2,0)*($G239-$H239)</f>
        <v>638.98997840353979</v>
      </c>
      <c r="BY239" s="22">
        <f>VLOOKUP($A239,tabCustoUnit[],COLUMN(CUSTO_GLOBAL[[#Headers],[MÓDULO 6 – CUSTOS INDIRETOS, TRIBUTOS E LUCRO]])-2,0)*($G239-$H239)</f>
        <v>987.94377298400389</v>
      </c>
      <c r="BZ239" s="22">
        <f>VLOOKUP($A239,tabCustoUnit[],COLUMN(CUSTO_GLOBAL[[#Headers],[CUSTO TOTAL MENSAL]])-2,0)*($G239-$H239)</f>
        <v>5438.2125821577874</v>
      </c>
      <c r="CA239" s="22">
        <f>CUSTO_GLOBAL[[#This Row],[CUSTO TOTAL MENSAL]]*12</f>
        <v>65258.550985893453</v>
      </c>
      <c r="CB239" s="24">
        <f>VLOOKUP($A239,tabCustoUnit[],COLUMN(CUSTO_GLOBAL[[#Headers],[ANO DA CCT]])-2,0)</f>
        <v>45658</v>
      </c>
      <c r="CC239" s="25" t="str">
        <f>VLOOKUP($A239,tabCustoUnit[],COLUMN(CUSTO_GLOBAL[[#Headers],[Nº DE PEDIDO DA CCT]])-2,0)</f>
        <v>-</v>
      </c>
      <c r="CD239" s="25" t="str">
        <f>VLOOKUP($A239,tabCustoUnit[],COLUMN(CUSTO_GLOBAL[[#Headers],[TERMO ADITIVO  ALTERAÇÃO DA CCT]])-2,0)</f>
        <v>-</v>
      </c>
      <c r="CF239" s="22"/>
      <c r="CG239" s="22"/>
    </row>
    <row r="240" spans="1:85" x14ac:dyDescent="0.25">
      <c r="A240" s="20" t="s">
        <v>1575</v>
      </c>
      <c r="B240" t="s">
        <v>218</v>
      </c>
      <c r="C240" t="s">
        <v>1244</v>
      </c>
      <c r="D240" t="s">
        <v>992</v>
      </c>
      <c r="E240" s="20" t="s">
        <v>9</v>
      </c>
      <c r="F240" s="20" t="s">
        <v>10</v>
      </c>
      <c r="G240" s="20">
        <v>1</v>
      </c>
      <c r="H240" s="20">
        <v>0</v>
      </c>
      <c r="I240" s="21">
        <f>VLOOKUP($A240,tabCustoUnit[],COLUMN(CUSTO_GLOBAL[[#Headers],[Salário Base]])-2,0)*($G240-$H240)</f>
        <v>798.14</v>
      </c>
      <c r="J240" s="21">
        <f>VLOOKUP($A240,tabCustoUnit[],COLUMN(CUSTO_GLOBAL[[#Headers],[Adicional Periculosidade]])-2,0)*($G240-$H240)</f>
        <v>0</v>
      </c>
      <c r="K240" s="21">
        <f>VLOOKUP($A240,tabCustoUnit[],COLUMN(CUSTO_GLOBAL[[#Headers],[Adicional Insalubridade]])-2,0)*($G240-$H240)</f>
        <v>0</v>
      </c>
      <c r="L240" s="21">
        <f>VLOOKUP($A240,tabCustoUnit[],COLUMN(CUSTO_GLOBAL[[#Headers],[Adicional Noturno]])-2,0)*($G240-$H240)</f>
        <v>0</v>
      </c>
      <c r="M240" s="21">
        <f>VLOOKUP($A240,tabCustoUnit[],COLUMN(CUSTO_GLOBAL[[#Headers],[Adicional Motorista II (Gratificação)]])-2,0)*($G240-$H240)</f>
        <v>0</v>
      </c>
      <c r="N240" s="21">
        <f>VLOOKUP($A240,tabCustoUnit[],COLUMN(CUSTO_GLOBAL[[#Headers],[Adicional de Sobreaviso]])-2,0)*($G240-$H240)</f>
        <v>0</v>
      </c>
      <c r="O240" s="21">
        <f>VLOOKUP($A240,tabCustoUnit[],COLUMN(CUSTO_GLOBAL[[#Headers],[Horas Extras TI]])-2,0)*($G240-$H240)</f>
        <v>0</v>
      </c>
      <c r="P240" s="21">
        <f>VLOOKUP($A240,tabCustoUnit[],COLUMN(CUSTO_GLOBAL[[#Headers],[Adicional de Acúmulo de função]])-2,0)*($G240-$H240)</f>
        <v>26.120899999999999</v>
      </c>
      <c r="Q240" s="21">
        <f>VLOOKUP($A240,tabCustoUnit[],COLUMN(CUSTO_GLOBAL[[#Headers],[MODULO 1 - REMUNERAÇÃO ]])-2,0)*($G240-$H240)</f>
        <v>824.26089999999999</v>
      </c>
      <c r="R240" s="21">
        <f>VLOOKUP($A240,tabCustoUnit[],COLUMN(CUSTO_GLOBAL[[#Headers],[INSS]])-2,0)*($G240-$H240)</f>
        <v>164.85218</v>
      </c>
      <c r="S240" s="21">
        <f>VLOOKUP($A240,tabCustoUnit[],COLUMN(CUSTO_GLOBAL[[#Headers],[SESI OU SESC]])-2,0)*($G240-$H240)</f>
        <v>12.363913499999999</v>
      </c>
      <c r="T240" s="21">
        <f>VLOOKUP($A240,tabCustoUnit[],COLUMN(CUSTO_GLOBAL[[#Headers],[SENAI OU SENAC]])-2,0)*($G240-$H240)</f>
        <v>8.2426089999999999</v>
      </c>
      <c r="U240" s="21">
        <f>VLOOKUP($A240,tabCustoUnit[],COLUMN(CUSTO_GLOBAL[[#Headers],[INCRA]])-2,0)*($G240-$H240)</f>
        <v>1.6485217999999999</v>
      </c>
      <c r="V240" s="21">
        <f>VLOOKUP($A240,tabCustoUnit[],COLUMN(CUSTO_GLOBAL[[#Headers],[Salário Educação]])-2,0)*($G240-$H240)</f>
        <v>20.606522500000001</v>
      </c>
      <c r="W240" s="21">
        <f>VLOOKUP($A240,tabCustoUnit[],COLUMN(CUSTO_GLOBAL[[#Headers],[FGTS]])-2,0)*($G240-$H240)</f>
        <v>65.940871999999999</v>
      </c>
      <c r="X240" s="21">
        <f>VLOOKUP($A240,tabCustoUnit[],COLUMN(CUSTO_GLOBAL[[#Headers],[RAT Ajustado]])-2,0)*($G240-$H240)</f>
        <v>32.970435999999999</v>
      </c>
      <c r="Y240" s="21">
        <f>VLOOKUP($A240,tabCustoUnit[],COLUMN(CUSTO_GLOBAL[[#Headers],[SEBRAE]])-2,0)*($G240-$H240)</f>
        <v>4.9455654000000004</v>
      </c>
      <c r="Z240" s="21">
        <f>VLOOKUP($A240,tabCustoUnit[],COLUMN(CUSTO_GLOBAL[[#Headers],[Submódulo 2.1]])-2,0)*($G240-$H240)</f>
        <v>311.57062020000001</v>
      </c>
      <c r="AA240" s="21">
        <f>VLOOKUP($A240,tabCustoUnit[],COLUMN(CUSTO_GLOBAL[[#Headers],[13º salário (titular)]])-2,0)*($G240-$H240)</f>
        <v>68.688408333333328</v>
      </c>
      <c r="AB240" s="21">
        <f>VLOOKUP($A240,tabCustoUnit[],COLUMN(CUSTO_GLOBAL[[#Headers],[Férias e Adicional de Férias (titular)]])-2,0)*($G240-$H240)</f>
        <v>91.584544444444433</v>
      </c>
      <c r="AC240" s="21">
        <f>VLOOKUP($A240,tabCustoUnit[],COLUMN(CUSTO_GLOBAL[[#Headers],[Incidência do Submódulo 2.1 sobre 13º Salário, Férias e Adicional de Férias]])-2,0)*($G240-$H240)</f>
        <v>60.583176149999993</v>
      </c>
      <c r="AD240" s="21">
        <f>VLOOKUP($A240,tabCustoUnit[],COLUMN(CUSTO_GLOBAL[[#Headers],[Submódulo 2.2]])-2,0)*($G240-$H240)</f>
        <v>220.85612892777775</v>
      </c>
      <c r="AE240" s="22">
        <f>VLOOKUP($A240,tabCustoUnit[],COLUMN(CUSTO_GLOBAL[[#Headers],[Vale - Transporte (Descontada parcela do empregado)]])-2,0)*($G240-$H240)</f>
        <v>208.11160000000001</v>
      </c>
      <c r="AF240" s="22">
        <f>VLOOKUP($A240,tabCustoUnit[],COLUMN(CUSTO_GLOBAL[[#Headers],[Vale - Alimentação (Descontada parcela do empregado)]])-2,0)*($G240-$H240)</f>
        <v>0</v>
      </c>
      <c r="AG240" s="22">
        <f>VLOOKUP($A240,tabCustoUnit[],COLUMN(CUSTO_GLOBAL[[#Headers],[Cesta Básica]])-2,0)*($G240-$H240)</f>
        <v>387.79</v>
      </c>
      <c r="AH240" s="22">
        <f>VLOOKUP($A240,tabCustoUnit[],COLUMN(CUSTO_GLOBAL[[#Headers],[PAF]])-2,0)*($G240-$H240)</f>
        <v>42.97</v>
      </c>
      <c r="AI240" s="22">
        <f>VLOOKUP($A240,tabCustoUnit[],COLUMN(CUSTO_GLOBAL[[#Headers],[PQM]])-2,0)*($G240-$H240)</f>
        <v>0</v>
      </c>
      <c r="AJ240" s="22">
        <v>0</v>
      </c>
      <c r="AK240" s="22">
        <f>VLOOKUP($A240,tabCustoUnit[],COLUMN(CUSTO_GLOBAL[[#Headers],[Seguro de Vida]])-2,0)*($G240-$H240)</f>
        <v>3.36</v>
      </c>
      <c r="AL240" s="22">
        <f>VLOOKUP($A240,tabCustoUnit[],COLUMN(CUSTO_GLOBAL[[#Headers],[Despesas de Viagem]])-2,0)*($G240-$H240)</f>
        <v>0</v>
      </c>
      <c r="AM240" s="22">
        <f>VLOOKUP($A240,tabCustoUnit[],COLUMN(CUSTO_GLOBAL[[#Headers],[Submódulo 2.3]])-2,0)*($G240-$H240)</f>
        <v>642.23160000000007</v>
      </c>
      <c r="AN240" s="22">
        <f>VLOOKUP($A240,tabCustoUnit[],COLUMN(CUSTO_GLOBAL[[#Headers],[MÓDULO 2 - Total Encargos e Benefícios mensais e diários]])-2,0)*($G240-$H240)</f>
        <v>1174.6583491277779</v>
      </c>
      <c r="AO240" s="22">
        <f>VLOOKUP($A240,tabCustoUnit[],COLUMN(CUSTO_GLOBAL[[#Headers],[Aviso Prévio Indenizado (API) e Reflexo do Aviso Prévio Indenizado]])-2,0)*($G240-$H240)</f>
        <v>5.7795253576581791</v>
      </c>
      <c r="AP240" s="22">
        <f>VLOOKUP($A240,tabCustoUnit[],COLUMN(CUSTO_GLOBAL[[#Headers],[Incidência do FGTS sobre API e Reflexo do API]])-2,0)*($G240-$H240)</f>
        <v>0.46236202861265435</v>
      </c>
      <c r="AQ240" s="22">
        <f>VLOOKUP($A240,tabCustoUnit[],COLUMN(CUSTO_GLOBAL[[#Headers],[Multa Rescisória do FGTS sobre o Aviso Prévio Indenizado]])-2,0)*($G240-$H240)</f>
        <v>0.18494481144506175</v>
      </c>
      <c r="AR240" s="22">
        <f>VLOOKUP($A240,tabCustoUnit[],COLUMN(CUSTO_GLOBAL[[#Headers],[Aviso Prévio Trabalhado - APT]])-2,0)*($G240-$H240)</f>
        <v>2.8849131500000005</v>
      </c>
      <c r="AS240" s="22">
        <f>VLOOKUP($A240,tabCustoUnit[],COLUMN(CUSTO_GLOBAL[[#Headers],[Incidência dos encargos do submódulo 2.1 sobre Aviso Prévio Trabalhado]])-2,0)*($G240-$H240)</f>
        <v>1.0904971707000004</v>
      </c>
      <c r="AT240" s="22">
        <f>VLOOKUP($A240,tabCustoUnit[],COLUMN(CUSTO_GLOBAL[[#Headers],[Multa Rescisória do FGTS]])-2,0)*($G240-$H240)</f>
        <v>25.204066631111107</v>
      </c>
      <c r="AU240" s="22">
        <f>VLOOKUP($A240,tabCustoUnit[],COLUMN(CUSTO_GLOBAL[[#Headers],[Indenização Adicional (Art. 9º da Lei nº 7.238/84)]])-2,0)*($G240-$H240)</f>
        <v>0.6868840833333334</v>
      </c>
      <c r="AV240" s="22">
        <f>VLOOKUP($A240,tabCustoUnit[],COLUMN(CUSTO_GLOBAL[[#Headers],[MÓDULO 3 – PROVISÃO PARA RESCISÃO]])-2,0)*($G240-$H240)</f>
        <v>36.293193232860339</v>
      </c>
      <c r="AW240" s="22">
        <f>VLOOKUP($A240,tabCustoUnit[],COLUMN(CUSTO_GLOBAL[[#Headers],[Ausência por Doença]])-2,0)*($G240-$H240)</f>
        <v>6.9604253777777769</v>
      </c>
      <c r="AX240" s="22">
        <f>VLOOKUP($A240,tabCustoUnit[],COLUMN(CUSTO_GLOBAL[[#Headers],[Ausências Legais]])-2,0)*($G240-$H240)</f>
        <v>1.671417936111111</v>
      </c>
      <c r="AY240" s="22">
        <f>VLOOKUP($A240,tabCustoUnit[],COLUMN(CUSTO_GLOBAL[[#Headers],[Licença Paternidade]])-2,0)*($G240-$H240)</f>
        <v>0.14081123708333332</v>
      </c>
      <c r="AZ240" s="22">
        <f>VLOOKUP($A240,tabCustoUnit[],COLUMN(CUSTO_GLOBAL[[#Headers],[Ausência por Acidente de Trabalho]])-2,0)*($G240-$H240)</f>
        <v>0.17172102083333335</v>
      </c>
      <c r="BA240" s="22">
        <f>VLOOKUP($A240,tabCustoUnit[],COLUMN(CUSTO_GLOBAL[[#Headers],[Férias, Adicional de Férias e 13º  com empregada em gozo de Licença Maternidade]])-2,0)*($G240-$H240)</f>
        <v>1.0684863518518517</v>
      </c>
      <c r="BB240" s="22">
        <f>VLOOKUP($A240,tabCustoUnit[],COLUMN(CUSTO_GLOBAL[[#Headers],[Incidência do Submódulo 2.1 sobre Ausências Legais]])-2,0)*($G240-$H240)</f>
        <v>3.7848618071425006</v>
      </c>
      <c r="BC240" s="22">
        <f>VLOOKUP($A240,tabCustoUnit[],COLUMN(CUSTO_GLOBAL[[#Headers],[Submódulo 4.1]])-2,0)*($G240-$H240)</f>
        <v>13.797723730799909</v>
      </c>
      <c r="BD240" s="22">
        <f>VLOOKUP($A240,tabCustoUnit[],COLUMN(CUSTO_GLOBAL[[#Headers],[Intervalo para Repouso ou Alimentação]])-2,0)*($G240-$H240)</f>
        <v>0</v>
      </c>
      <c r="BE240" s="22">
        <f>VLOOKUP($A240,tabCustoUnit[],COLUMN(CUSTO_GLOBAL[[#Headers],[Submódulo 4.2]])-2,0)*($G240-$H240)</f>
        <v>0</v>
      </c>
      <c r="BF240" s="22">
        <f>VLOOKUP($A240,tabCustoUnit[],COLUMN(CUSTO_GLOBAL[[#Headers],[Suspensão Temporária do Contrato de Trabalho]])-2,0)*($G240-$H240)</f>
        <v>0</v>
      </c>
      <c r="BG240" s="22">
        <f>VLOOKUP($A240,tabCustoUnit[],COLUMN(CUSTO_GLOBAL[[#Headers],[Submódulo 4.3]])-2,0)*($G240-$H240)</f>
        <v>0</v>
      </c>
      <c r="BH240" s="22">
        <f>VLOOKUP($A240,tabCustoUnit[],COLUMN(CUSTO_GLOBAL[[#Headers],[MÓDULO 4 – CUSTO DE REPOSIÇÃO DO PROFISSIONAL AUSENTE]])-2,0)*($G240-$H240)</f>
        <v>13.797723730799909</v>
      </c>
      <c r="BI240" s="22">
        <f>VLOOKUP($A240,tabCustoUnit[],COLUMN(CUSTO_GLOBAL[[#Headers],[Uniformes e EPIs]])-2,0)*($G240-$H240)</f>
        <v>62.806666666666665</v>
      </c>
      <c r="BJ240" s="22">
        <f>VLOOKUP($A240,tabCustoUnit[],COLUMN(CUSTO_GLOBAL[[#Headers],[Materiais de Consumo]])-2,0)*($G240-$H240)</f>
        <v>17.759106479291944</v>
      </c>
      <c r="BK240" s="22">
        <f>VLOOKUP($A240,tabCustoUnit[],COLUMN(CUSTO_GLOBAL[[#Headers],[Máquinas e Equipamentos (depreciação)]])-2,0)*($G240-$H240)</f>
        <v>32.264696957412788</v>
      </c>
      <c r="BL240" s="22">
        <f>VLOOKUP($A240,tabCustoUnit[],COLUMN(CUSTO_GLOBAL[[#Headers],[Produtos de Limpeza e Materiais de Higiene Pessoal]])-2,0)*($G240-$H240)</f>
        <v>345.13576638965827</v>
      </c>
      <c r="BM240" s="22">
        <f>VLOOKUP($A240,tabCustoUnit[],COLUMN(CUSTO_GLOBAL[[#Headers],[Outros (especificar)]])-2,0)*($G240-$H240)</f>
        <v>0</v>
      </c>
      <c r="BN240" s="22">
        <f>VLOOKUP($A240,tabCustoUnit[],COLUMN(CUSTO_GLOBAL[[#Headers],[MÓDULO 5 – INSUMOS DIVERSOS]])-2,0)*($G240-$H240)</f>
        <v>457.96623649302967</v>
      </c>
      <c r="BO240" s="22">
        <f>VLOOKUP($A240,tabCustoUnit[],COLUMN(CUSTO_GLOBAL[[#Headers],[TOTAL MÓDULOS 1+2+3+4+5]])-2,0)*($G240-$H240)</f>
        <v>2506.9764025844679</v>
      </c>
      <c r="BP240" s="22">
        <f>VLOOKUP($A240,tabCustoUnit[],COLUMN(CUSTO_GLOBAL[[#Headers],[Custos Indiretos]])-2,0)*($G240-$H240)</f>
        <v>189.64880140242613</v>
      </c>
      <c r="BQ240" s="22">
        <f>VLOOKUP($A240,tabCustoUnit[],COLUMN(CUSTO_GLOBAL[[#Headers],[Lucro]])-2,0)*($G240-$H240)</f>
        <v>159.30499317803796</v>
      </c>
      <c r="BR240" s="26">
        <f>VLOOKUP($A240,tabCustoUnit[],COLUMN(CUSTO_GLOBAL[[#Headers],[COFINS]])-2,0)</f>
        <v>8.5633802816901458E-2</v>
      </c>
      <c r="BS240" s="26">
        <f>VLOOKUP($A240,tabCustoUnit[],COLUMN(CUSTO_GLOBAL[[#Headers],[PIS]])-2,0)</f>
        <v>1.8591549295774657E-2</v>
      </c>
      <c r="BT240" s="28">
        <f>VLOOKUP($A240,tabCustoUnit[],COLUMN(CUSTO_GLOBAL[[#Headers],[ISS]])-2,0)</f>
        <v>0.02</v>
      </c>
      <c r="BU240" s="26">
        <f>VLOOKUP($A240,tabCustoUnit[],COLUMN(CUSTO_GLOBAL[[#Headers],[ISS (Conversão Alíquota s/ fatura)]])-2,0)</f>
        <v>2.2535211267605645E-2</v>
      </c>
      <c r="BV240" s="26">
        <f>VLOOKUP($A240,tabCustoUnit[],COLUMN(CUSTO_GLOBAL[[#Headers],[Resumo de Alíquotas (PIS+CONFINS+ISS)]])-2,0)</f>
        <v>0.1125</v>
      </c>
      <c r="BW240" s="138">
        <f>VLOOKUP($A240,tabCustoUnit[],COLUMN(CUSTO_GLOBAL[[#Headers],[PIS + COFINS + ISS (Total Conversão  Alíquota s/ Fatura)]])-2,0)</f>
        <v>0.12676056338028174</v>
      </c>
      <c r="BX240" s="22">
        <f>VLOOKUP($A240,tabCustoUnit[],COLUMN(CUSTO_GLOBAL[[#Headers],[Valor dos Tributos (ISS, PIS, CONFINS)]])-2,0)*($G240-$H240)</f>
        <v>362.01932076738592</v>
      </c>
      <c r="BY240" s="22">
        <f>VLOOKUP($A240,tabCustoUnit[],COLUMN(CUSTO_GLOBAL[[#Headers],[MÓDULO 6 – CUSTOS INDIRETOS, TRIBUTOS E LUCRO]])-2,0)*($G240-$H240)</f>
        <v>710.97311534785001</v>
      </c>
      <c r="BZ240" s="22">
        <f>VLOOKUP($A240,tabCustoUnit[],COLUMN(CUSTO_GLOBAL[[#Headers],[CUSTO TOTAL MENSAL]])-2,0)*($G240-$H240)</f>
        <v>3217.949517932318</v>
      </c>
      <c r="CA240" s="22">
        <f>CUSTO_GLOBAL[[#This Row],[CUSTO TOTAL MENSAL]]*12</f>
        <v>38615.394215187815</v>
      </c>
      <c r="CB240" s="24">
        <f>VLOOKUP($A240,tabCustoUnit[],COLUMN(CUSTO_GLOBAL[[#Headers],[ANO DA CCT]])-2,0)</f>
        <v>45658</v>
      </c>
      <c r="CC240" s="25" t="str">
        <f>VLOOKUP($A240,tabCustoUnit[],COLUMN(CUSTO_GLOBAL[[#Headers],[Nº DE PEDIDO DA CCT]])-2,0)</f>
        <v>-</v>
      </c>
      <c r="CD240" s="25" t="str">
        <f>VLOOKUP($A240,tabCustoUnit[],COLUMN(CUSTO_GLOBAL[[#Headers],[TERMO ADITIVO  ALTERAÇÃO DA CCT]])-2,0)</f>
        <v>-</v>
      </c>
      <c r="CF240" s="22"/>
      <c r="CG240" s="22"/>
    </row>
    <row r="241" spans="1:85" x14ac:dyDescent="0.25">
      <c r="A241" s="20" t="s">
        <v>1576</v>
      </c>
      <c r="B241" t="s">
        <v>218</v>
      </c>
      <c r="C241" t="s">
        <v>1245</v>
      </c>
      <c r="D241" t="s">
        <v>992</v>
      </c>
      <c r="E241" s="20" t="s">
        <v>9</v>
      </c>
      <c r="F241" s="20" t="s">
        <v>10</v>
      </c>
      <c r="G241" s="20">
        <v>1</v>
      </c>
      <c r="H241" s="20">
        <v>0</v>
      </c>
      <c r="I241" s="21">
        <f>VLOOKUP($A241,tabCustoUnit[],COLUMN(CUSTO_GLOBAL[[#Headers],[Salário Base]])-2,0)*($G241-$H241)</f>
        <v>1596.28</v>
      </c>
      <c r="J241" s="21">
        <f>VLOOKUP($A241,tabCustoUnit[],COLUMN(CUSTO_GLOBAL[[#Headers],[Adicional Periculosidade]])-2,0)*($G241-$H241)</f>
        <v>0</v>
      </c>
      <c r="K241" s="21">
        <f>VLOOKUP($A241,tabCustoUnit[],COLUMN(CUSTO_GLOBAL[[#Headers],[Adicional Insalubridade]])-2,0)*($G241-$H241)</f>
        <v>0</v>
      </c>
      <c r="L241" s="21">
        <f>VLOOKUP($A241,tabCustoUnit[],COLUMN(CUSTO_GLOBAL[[#Headers],[Adicional Noturno]])-2,0)*($G241-$H241)</f>
        <v>0</v>
      </c>
      <c r="M241" s="21">
        <f>VLOOKUP($A241,tabCustoUnit[],COLUMN(CUSTO_GLOBAL[[#Headers],[Adicional Motorista II (Gratificação)]])-2,0)*($G241-$H241)</f>
        <v>0</v>
      </c>
      <c r="N241" s="21">
        <f>VLOOKUP($A241,tabCustoUnit[],COLUMN(CUSTO_GLOBAL[[#Headers],[Adicional de Sobreaviso]])-2,0)*($G241-$H241)</f>
        <v>0</v>
      </c>
      <c r="O241" s="21">
        <f>VLOOKUP($A241,tabCustoUnit[],COLUMN(CUSTO_GLOBAL[[#Headers],[Horas Extras TI]])-2,0)*($G241-$H241)</f>
        <v>0</v>
      </c>
      <c r="P241" s="21">
        <f>VLOOKUP($A241,tabCustoUnit[],COLUMN(CUSTO_GLOBAL[[#Headers],[Adicional de Acúmulo de função]])-2,0)*($G241-$H241)</f>
        <v>52.241900000000001</v>
      </c>
      <c r="Q241" s="21">
        <f>VLOOKUP($A241,tabCustoUnit[],COLUMN(CUSTO_GLOBAL[[#Headers],[MODULO 1 - REMUNERAÇÃO ]])-2,0)*($G241-$H241)</f>
        <v>1648.5219</v>
      </c>
      <c r="R241" s="21">
        <f>VLOOKUP($A241,tabCustoUnit[],COLUMN(CUSTO_GLOBAL[[#Headers],[INSS]])-2,0)*($G241-$H241)</f>
        <v>329.70438000000001</v>
      </c>
      <c r="S241" s="21">
        <f>VLOOKUP($A241,tabCustoUnit[],COLUMN(CUSTO_GLOBAL[[#Headers],[SESI OU SESC]])-2,0)*($G241-$H241)</f>
        <v>24.727828499999998</v>
      </c>
      <c r="T241" s="21">
        <f>VLOOKUP($A241,tabCustoUnit[],COLUMN(CUSTO_GLOBAL[[#Headers],[SENAI OU SENAC]])-2,0)*($G241-$H241)</f>
        <v>16.485219000000001</v>
      </c>
      <c r="U241" s="21">
        <f>VLOOKUP($A241,tabCustoUnit[],COLUMN(CUSTO_GLOBAL[[#Headers],[INCRA]])-2,0)*($G241-$H241)</f>
        <v>3.2970438</v>
      </c>
      <c r="V241" s="21">
        <f>VLOOKUP($A241,tabCustoUnit[],COLUMN(CUSTO_GLOBAL[[#Headers],[Salário Educação]])-2,0)*($G241-$H241)</f>
        <v>41.213047500000002</v>
      </c>
      <c r="W241" s="21">
        <f>VLOOKUP($A241,tabCustoUnit[],COLUMN(CUSTO_GLOBAL[[#Headers],[FGTS]])-2,0)*($G241-$H241)</f>
        <v>131.88175200000001</v>
      </c>
      <c r="X241" s="21">
        <f>VLOOKUP($A241,tabCustoUnit[],COLUMN(CUSTO_GLOBAL[[#Headers],[RAT Ajustado]])-2,0)*($G241-$H241)</f>
        <v>65.940876000000003</v>
      </c>
      <c r="Y241" s="21">
        <f>VLOOKUP($A241,tabCustoUnit[],COLUMN(CUSTO_GLOBAL[[#Headers],[SEBRAE]])-2,0)*($G241-$H241)</f>
        <v>9.8911314000000008</v>
      </c>
      <c r="Z241" s="21">
        <f>VLOOKUP($A241,tabCustoUnit[],COLUMN(CUSTO_GLOBAL[[#Headers],[Submódulo 2.1]])-2,0)*($G241-$H241)</f>
        <v>623.14127819999999</v>
      </c>
      <c r="AA241" s="21">
        <f>VLOOKUP($A241,tabCustoUnit[],COLUMN(CUSTO_GLOBAL[[#Headers],[13º salário (titular)]])-2,0)*($G241-$H241)</f>
        <v>137.376825</v>
      </c>
      <c r="AB241" s="21">
        <f>VLOOKUP($A241,tabCustoUnit[],COLUMN(CUSTO_GLOBAL[[#Headers],[Férias e Adicional de Férias (titular)]])-2,0)*($G241-$H241)</f>
        <v>183.16909999999999</v>
      </c>
      <c r="AC241" s="21">
        <f>VLOOKUP($A241,tabCustoUnit[],COLUMN(CUSTO_GLOBAL[[#Headers],[Incidência do Submódulo 2.1 sobre 13º Salário, Férias e Adicional de Férias]])-2,0)*($G241-$H241)</f>
        <v>121.16635965</v>
      </c>
      <c r="AD241" s="21">
        <f>VLOOKUP($A241,tabCustoUnit[],COLUMN(CUSTO_GLOBAL[[#Headers],[Submódulo 2.2]])-2,0)*($G241-$H241)</f>
        <v>441.71228465000002</v>
      </c>
      <c r="AE241" s="22">
        <f>VLOOKUP($A241,tabCustoUnit[],COLUMN(CUSTO_GLOBAL[[#Headers],[Vale - Transporte (Descontada parcela do empregado)]])-2,0)*($G241-$H241)</f>
        <v>160.22320000000002</v>
      </c>
      <c r="AF241" s="22">
        <f>VLOOKUP($A241,tabCustoUnit[],COLUMN(CUSTO_GLOBAL[[#Headers],[Vale - Alimentação (Descontada parcela do empregado)]])-2,0)*($G241-$H241)</f>
        <v>0</v>
      </c>
      <c r="AG241" s="22">
        <f>VLOOKUP($A241,tabCustoUnit[],COLUMN(CUSTO_GLOBAL[[#Headers],[Cesta Básica]])-2,0)*($G241-$H241)</f>
        <v>387.79</v>
      </c>
      <c r="AH241" s="22">
        <f>VLOOKUP($A241,tabCustoUnit[],COLUMN(CUSTO_GLOBAL[[#Headers],[PAF]])-2,0)*($G241-$H241)</f>
        <v>42.97</v>
      </c>
      <c r="AI241" s="22">
        <f>VLOOKUP($A241,tabCustoUnit[],COLUMN(CUSTO_GLOBAL[[#Headers],[PQM]])-2,0)*($G241-$H241)</f>
        <v>0</v>
      </c>
      <c r="AJ241" s="22">
        <v>0</v>
      </c>
      <c r="AK241" s="22">
        <f>VLOOKUP($A241,tabCustoUnit[],COLUMN(CUSTO_GLOBAL[[#Headers],[Seguro de Vida]])-2,0)*($G241-$H241)</f>
        <v>3.36</v>
      </c>
      <c r="AL241" s="22">
        <f>VLOOKUP($A241,tabCustoUnit[],COLUMN(CUSTO_GLOBAL[[#Headers],[Despesas de Viagem]])-2,0)*($G241-$H241)</f>
        <v>0</v>
      </c>
      <c r="AM241" s="22">
        <f>VLOOKUP($A241,tabCustoUnit[],COLUMN(CUSTO_GLOBAL[[#Headers],[Submódulo 2.3]])-2,0)*($G241-$H241)</f>
        <v>594.34320000000014</v>
      </c>
      <c r="AN241" s="22">
        <f>VLOOKUP($A241,tabCustoUnit[],COLUMN(CUSTO_GLOBAL[[#Headers],[MÓDULO 2 - Total Encargos e Benefícios mensais e diários]])-2,0)*($G241-$H241)</f>
        <v>1659.1967628500001</v>
      </c>
      <c r="AO241" s="22">
        <f>VLOOKUP($A241,tabCustoUnit[],COLUMN(CUSTO_GLOBAL[[#Headers],[Aviso Prévio Indenizado (API) e Reflexo do Aviso Prévio Indenizado]])-2,0)*($G241-$H241)</f>
        <v>11.559051416493055</v>
      </c>
      <c r="AP241" s="22">
        <f>VLOOKUP($A241,tabCustoUnit[],COLUMN(CUSTO_GLOBAL[[#Headers],[Incidência do FGTS sobre API e Reflexo do API]])-2,0)*($G241-$H241)</f>
        <v>0.92472411331944449</v>
      </c>
      <c r="AQ241" s="22">
        <f>VLOOKUP($A241,tabCustoUnit[],COLUMN(CUSTO_GLOBAL[[#Headers],[Multa Rescisória do FGTS sobre o Aviso Prévio Indenizado]])-2,0)*($G241-$H241)</f>
        <v>0.36988964532777785</v>
      </c>
      <c r="AR241" s="22">
        <f>VLOOKUP($A241,tabCustoUnit[],COLUMN(CUSTO_GLOBAL[[#Headers],[Aviso Prévio Trabalhado - APT]])-2,0)*($G241-$H241)</f>
        <v>5.7698266500000006</v>
      </c>
      <c r="AS241" s="22">
        <f>VLOOKUP($A241,tabCustoUnit[],COLUMN(CUSTO_GLOBAL[[#Headers],[Incidência dos encargos do submódulo 2.1 sobre Aviso Prévio Trabalhado]])-2,0)*($G241-$H241)</f>
        <v>2.1809944737000007</v>
      </c>
      <c r="AT241" s="22">
        <f>VLOOKUP($A241,tabCustoUnit[],COLUMN(CUSTO_GLOBAL[[#Headers],[Multa Rescisória do FGTS]])-2,0)*($G241-$H241)</f>
        <v>50.40813631999999</v>
      </c>
      <c r="AU241" s="22">
        <f>VLOOKUP($A241,tabCustoUnit[],COLUMN(CUSTO_GLOBAL[[#Headers],[Indenização Adicional (Art. 9º da Lei nº 7.238/84)]])-2,0)*($G241-$H241)</f>
        <v>1.3737682500000001</v>
      </c>
      <c r="AV241" s="22">
        <f>VLOOKUP($A241,tabCustoUnit[],COLUMN(CUSTO_GLOBAL[[#Headers],[MÓDULO 3 – PROVISÃO PARA RESCISÃO]])-2,0)*($G241-$H241)</f>
        <v>72.586390868840269</v>
      </c>
      <c r="AW241" s="22">
        <f>VLOOKUP($A241,tabCustoUnit[],COLUMN(CUSTO_GLOBAL[[#Headers],[Ausência por Doença]])-2,0)*($G241-$H241)</f>
        <v>13.920851599999999</v>
      </c>
      <c r="AX241" s="22">
        <f>VLOOKUP($A241,tabCustoUnit[],COLUMN(CUSTO_GLOBAL[[#Headers],[Ausências Legais]])-2,0)*($G241-$H241)</f>
        <v>3.3428360749999997</v>
      </c>
      <c r="AY241" s="22">
        <f>VLOOKUP($A241,tabCustoUnit[],COLUMN(CUSTO_GLOBAL[[#Headers],[Licença Paternidade]])-2,0)*($G241-$H241)</f>
        <v>0.28162249125</v>
      </c>
      <c r="AZ241" s="22">
        <f>VLOOKUP($A241,tabCustoUnit[],COLUMN(CUSTO_GLOBAL[[#Headers],[Ausência por Acidente de Trabalho]])-2,0)*($G241-$H241)</f>
        <v>0.34344206250000003</v>
      </c>
      <c r="BA241" s="22">
        <f>VLOOKUP($A241,tabCustoUnit[],COLUMN(CUSTO_GLOBAL[[#Headers],[Férias, Adicional de Férias e 13º  com empregada em gozo de Licença Maternidade]])-2,0)*($G241-$H241)</f>
        <v>2.1369728333333331</v>
      </c>
      <c r="BB241" s="22">
        <f>VLOOKUP($A241,tabCustoUnit[],COLUMN(CUSTO_GLOBAL[[#Headers],[Incidência do Submódulo 2.1 sobre Ausências Legais]])-2,0)*($G241-$H241)</f>
        <v>7.5697240734675013</v>
      </c>
      <c r="BC241" s="22">
        <f>VLOOKUP($A241,tabCustoUnit[],COLUMN(CUSTO_GLOBAL[[#Headers],[Submódulo 4.1]])-2,0)*($G241-$H241)</f>
        <v>27.595449135550833</v>
      </c>
      <c r="BD241" s="22">
        <f>VLOOKUP($A241,tabCustoUnit[],COLUMN(CUSTO_GLOBAL[[#Headers],[Intervalo para Repouso ou Alimentação]])-2,0)*($G241-$H241)</f>
        <v>0</v>
      </c>
      <c r="BE241" s="22">
        <f>VLOOKUP($A241,tabCustoUnit[],COLUMN(CUSTO_GLOBAL[[#Headers],[Submódulo 4.2]])-2,0)*($G241-$H241)</f>
        <v>0</v>
      </c>
      <c r="BF241" s="22">
        <f>VLOOKUP($A241,tabCustoUnit[],COLUMN(CUSTO_GLOBAL[[#Headers],[Suspensão Temporária do Contrato de Trabalho]])-2,0)*($G241-$H241)</f>
        <v>0</v>
      </c>
      <c r="BG241" s="22">
        <f>VLOOKUP($A241,tabCustoUnit[],COLUMN(CUSTO_GLOBAL[[#Headers],[Submódulo 4.3]])-2,0)*($G241-$H241)</f>
        <v>0</v>
      </c>
      <c r="BH241" s="22">
        <f>VLOOKUP($A241,tabCustoUnit[],COLUMN(CUSTO_GLOBAL[[#Headers],[MÓDULO 4 – CUSTO DE REPOSIÇÃO DO PROFISSIONAL AUSENTE]])-2,0)*($G241-$H241)</f>
        <v>27.595449135550833</v>
      </c>
      <c r="BI241" s="22">
        <f>VLOOKUP($A241,tabCustoUnit[],COLUMN(CUSTO_GLOBAL[[#Headers],[Uniformes e EPIs]])-2,0)*($G241-$H241)</f>
        <v>100.80916666666666</v>
      </c>
      <c r="BJ241" s="22">
        <f>VLOOKUP($A241,tabCustoUnit[],COLUMN(CUSTO_GLOBAL[[#Headers],[Materiais de Consumo]])-2,0)*($G241-$H241)</f>
        <v>35.518212958583888</v>
      </c>
      <c r="BK241" s="22">
        <f>VLOOKUP($A241,tabCustoUnit[],COLUMN(CUSTO_GLOBAL[[#Headers],[Máquinas e Equipamentos (depreciação)]])-2,0)*($G241-$H241)</f>
        <v>64.529393914825576</v>
      </c>
      <c r="BL241" s="22">
        <f>VLOOKUP($A241,tabCustoUnit[],COLUMN(CUSTO_GLOBAL[[#Headers],[Produtos de Limpeza e Materiais de Higiene Pessoal]])-2,0)*($G241-$H241)</f>
        <v>690.27153277931654</v>
      </c>
      <c r="BM241" s="22">
        <f>VLOOKUP($A241,tabCustoUnit[],COLUMN(CUSTO_GLOBAL[[#Headers],[Outros (especificar)]])-2,0)*($G241-$H241)</f>
        <v>0</v>
      </c>
      <c r="BN241" s="22">
        <f>VLOOKUP($A241,tabCustoUnit[],COLUMN(CUSTO_GLOBAL[[#Headers],[MÓDULO 5 – INSUMOS DIVERSOS]])-2,0)*($G241-$H241)</f>
        <v>891.12830631939266</v>
      </c>
      <c r="BO241" s="22">
        <f>VLOOKUP($A241,tabCustoUnit[],COLUMN(CUSTO_GLOBAL[[#Headers],[TOTAL MÓDULOS 1+2+3+4+5]])-2,0)*($G241-$H241)</f>
        <v>4299.0288091737839</v>
      </c>
      <c r="BP241" s="22">
        <f>VLOOKUP($A241,tabCustoUnit[],COLUMN(CUSTO_GLOBAL[[#Headers],[Custos Indiretos]])-2,0)*($G241-$H241)</f>
        <v>189.64880140242613</v>
      </c>
      <c r="BQ241" s="22">
        <f>VLOOKUP($A241,tabCustoUnit[],COLUMN(CUSTO_GLOBAL[[#Headers],[Lucro]])-2,0)*($G241-$H241)</f>
        <v>159.30499317803796</v>
      </c>
      <c r="BR241" s="26">
        <f>VLOOKUP($A241,tabCustoUnit[],COLUMN(CUSTO_GLOBAL[[#Headers],[COFINS]])-2,0)</f>
        <v>8.5633802816901458E-2</v>
      </c>
      <c r="BS241" s="26">
        <f>VLOOKUP($A241,tabCustoUnit[],COLUMN(CUSTO_GLOBAL[[#Headers],[PIS]])-2,0)</f>
        <v>1.8591549295774657E-2</v>
      </c>
      <c r="BT241" s="28">
        <f>VLOOKUP($A241,tabCustoUnit[],COLUMN(CUSTO_GLOBAL[[#Headers],[ISS]])-2,0)</f>
        <v>0.02</v>
      </c>
      <c r="BU241" s="26">
        <f>VLOOKUP($A241,tabCustoUnit[],COLUMN(CUSTO_GLOBAL[[#Headers],[ISS (Conversão Alíquota s/ fatura)]])-2,0)</f>
        <v>2.2535211267605645E-2</v>
      </c>
      <c r="BV241" s="26">
        <f>VLOOKUP($A241,tabCustoUnit[],COLUMN(CUSTO_GLOBAL[[#Headers],[Resumo de Alíquotas (PIS+CONFINS+ISS)]])-2,0)</f>
        <v>0.1125</v>
      </c>
      <c r="BW241" s="138">
        <f>VLOOKUP($A241,tabCustoUnit[],COLUMN(CUSTO_GLOBAL[[#Headers],[PIS + COFINS + ISS (Total Conversão  Alíquota s/ Fatura)]])-2,0)</f>
        <v>0.12676056338028174</v>
      </c>
      <c r="BX241" s="22">
        <f>VLOOKUP($A241,tabCustoUnit[],COLUMN(CUSTO_GLOBAL[[#Headers],[Valor dos Tributos (ISS, PIS, CONFINS)]])-2,0)*($G241-$H241)</f>
        <v>589.18089343363727</v>
      </c>
      <c r="BY241" s="22">
        <f>VLOOKUP($A241,tabCustoUnit[],COLUMN(CUSTO_GLOBAL[[#Headers],[MÓDULO 6 – CUSTOS INDIRETOS, TRIBUTOS E LUCRO]])-2,0)*($G241-$H241)</f>
        <v>938.13468801410136</v>
      </c>
      <c r="BZ241" s="22">
        <f>VLOOKUP($A241,tabCustoUnit[],COLUMN(CUSTO_GLOBAL[[#Headers],[CUSTO TOTAL MENSAL]])-2,0)*($G241-$H241)</f>
        <v>5237.1634971878848</v>
      </c>
      <c r="CA241" s="22">
        <f>CUSTO_GLOBAL[[#This Row],[CUSTO TOTAL MENSAL]]*12</f>
        <v>62845.961966254617</v>
      </c>
      <c r="CB241" s="24">
        <f>VLOOKUP($A241,tabCustoUnit[],COLUMN(CUSTO_GLOBAL[[#Headers],[ANO DA CCT]])-2,0)</f>
        <v>45658</v>
      </c>
      <c r="CC241" s="25" t="str">
        <f>VLOOKUP($A241,tabCustoUnit[],COLUMN(CUSTO_GLOBAL[[#Headers],[Nº DE PEDIDO DA CCT]])-2,0)</f>
        <v>-</v>
      </c>
      <c r="CD241" s="25" t="str">
        <f>VLOOKUP($A241,tabCustoUnit[],COLUMN(CUSTO_GLOBAL[[#Headers],[TERMO ADITIVO  ALTERAÇÃO DA CCT]])-2,0)</f>
        <v>-</v>
      </c>
      <c r="CF241" s="22"/>
      <c r="CG241" s="22"/>
    </row>
    <row r="242" spans="1:85" x14ac:dyDescent="0.25">
      <c r="A242" s="20" t="s">
        <v>1577</v>
      </c>
      <c r="B242" t="s">
        <v>219</v>
      </c>
      <c r="C242" t="s">
        <v>1244</v>
      </c>
      <c r="D242" t="s">
        <v>1000</v>
      </c>
      <c r="E242" s="20" t="s">
        <v>9</v>
      </c>
      <c r="F242" s="20" t="s">
        <v>10</v>
      </c>
      <c r="G242" s="20">
        <v>1</v>
      </c>
      <c r="H242" s="20">
        <v>0</v>
      </c>
      <c r="I242" s="21">
        <f>VLOOKUP($A242,tabCustoUnit[],COLUMN(CUSTO_GLOBAL[[#Headers],[Salário Base]])-2,0)*($G242-$H242)</f>
        <v>798.14</v>
      </c>
      <c r="J242" s="21">
        <f>VLOOKUP($A242,tabCustoUnit[],COLUMN(CUSTO_GLOBAL[[#Headers],[Adicional Periculosidade]])-2,0)*($G242-$H242)</f>
        <v>0</v>
      </c>
      <c r="K242" s="21">
        <f>VLOOKUP($A242,tabCustoUnit[],COLUMN(CUSTO_GLOBAL[[#Headers],[Adicional Insalubridade]])-2,0)*($G242-$H242)</f>
        <v>0</v>
      </c>
      <c r="L242" s="21">
        <f>VLOOKUP($A242,tabCustoUnit[],COLUMN(CUSTO_GLOBAL[[#Headers],[Adicional Noturno]])-2,0)*($G242-$H242)</f>
        <v>0</v>
      </c>
      <c r="M242" s="21">
        <f>VLOOKUP($A242,tabCustoUnit[],COLUMN(CUSTO_GLOBAL[[#Headers],[Adicional Motorista II (Gratificação)]])-2,0)*($G242-$H242)</f>
        <v>0</v>
      </c>
      <c r="N242" s="21">
        <f>VLOOKUP($A242,tabCustoUnit[],COLUMN(CUSTO_GLOBAL[[#Headers],[Adicional de Sobreaviso]])-2,0)*($G242-$H242)</f>
        <v>0</v>
      </c>
      <c r="O242" s="21">
        <f>VLOOKUP($A242,tabCustoUnit[],COLUMN(CUSTO_GLOBAL[[#Headers],[Horas Extras TI]])-2,0)*($G242-$H242)</f>
        <v>0</v>
      </c>
      <c r="P242" s="21">
        <f>VLOOKUP($A242,tabCustoUnit[],COLUMN(CUSTO_GLOBAL[[#Headers],[Adicional de Acúmulo de função]])-2,0)*($G242-$H242)</f>
        <v>26.120899999999999</v>
      </c>
      <c r="Q242" s="21">
        <f>VLOOKUP($A242,tabCustoUnit[],COLUMN(CUSTO_GLOBAL[[#Headers],[MODULO 1 - REMUNERAÇÃO ]])-2,0)*($G242-$H242)</f>
        <v>824.26089999999999</v>
      </c>
      <c r="R242" s="21">
        <f>VLOOKUP($A242,tabCustoUnit[],COLUMN(CUSTO_GLOBAL[[#Headers],[INSS]])-2,0)*($G242-$H242)</f>
        <v>164.85218</v>
      </c>
      <c r="S242" s="21">
        <f>VLOOKUP($A242,tabCustoUnit[],COLUMN(CUSTO_GLOBAL[[#Headers],[SESI OU SESC]])-2,0)*($G242-$H242)</f>
        <v>12.363913499999999</v>
      </c>
      <c r="T242" s="21">
        <f>VLOOKUP($A242,tabCustoUnit[],COLUMN(CUSTO_GLOBAL[[#Headers],[SENAI OU SENAC]])-2,0)*($G242-$H242)</f>
        <v>8.2426089999999999</v>
      </c>
      <c r="U242" s="21">
        <f>VLOOKUP($A242,tabCustoUnit[],COLUMN(CUSTO_GLOBAL[[#Headers],[INCRA]])-2,0)*($G242-$H242)</f>
        <v>1.6485217999999999</v>
      </c>
      <c r="V242" s="21">
        <f>VLOOKUP($A242,tabCustoUnit[],COLUMN(CUSTO_GLOBAL[[#Headers],[Salário Educação]])-2,0)*($G242-$H242)</f>
        <v>20.606522500000001</v>
      </c>
      <c r="W242" s="21">
        <f>VLOOKUP($A242,tabCustoUnit[],COLUMN(CUSTO_GLOBAL[[#Headers],[FGTS]])-2,0)*($G242-$H242)</f>
        <v>65.940871999999999</v>
      </c>
      <c r="X242" s="21">
        <f>VLOOKUP($A242,tabCustoUnit[],COLUMN(CUSTO_GLOBAL[[#Headers],[RAT Ajustado]])-2,0)*($G242-$H242)</f>
        <v>32.970435999999999</v>
      </c>
      <c r="Y242" s="21">
        <f>VLOOKUP($A242,tabCustoUnit[],COLUMN(CUSTO_GLOBAL[[#Headers],[SEBRAE]])-2,0)*($G242-$H242)</f>
        <v>4.9455654000000004</v>
      </c>
      <c r="Z242" s="21">
        <f>VLOOKUP($A242,tabCustoUnit[],COLUMN(CUSTO_GLOBAL[[#Headers],[Submódulo 2.1]])-2,0)*($G242-$H242)</f>
        <v>311.57062020000001</v>
      </c>
      <c r="AA242" s="21">
        <f>VLOOKUP($A242,tabCustoUnit[],COLUMN(CUSTO_GLOBAL[[#Headers],[13º salário (titular)]])-2,0)*($G242-$H242)</f>
        <v>68.688408333333328</v>
      </c>
      <c r="AB242" s="21">
        <f>VLOOKUP($A242,tabCustoUnit[],COLUMN(CUSTO_GLOBAL[[#Headers],[Férias e Adicional de Férias (titular)]])-2,0)*($G242-$H242)</f>
        <v>91.584544444444433</v>
      </c>
      <c r="AC242" s="21">
        <f>VLOOKUP($A242,tabCustoUnit[],COLUMN(CUSTO_GLOBAL[[#Headers],[Incidência do Submódulo 2.1 sobre 13º Salário, Férias e Adicional de Férias]])-2,0)*($G242-$H242)</f>
        <v>60.583176149999993</v>
      </c>
      <c r="AD242" s="21">
        <f>VLOOKUP($A242,tabCustoUnit[],COLUMN(CUSTO_GLOBAL[[#Headers],[Submódulo 2.2]])-2,0)*($G242-$H242)</f>
        <v>220.85612892777775</v>
      </c>
      <c r="AE242" s="22">
        <f>VLOOKUP($A242,tabCustoUnit[],COLUMN(CUSTO_GLOBAL[[#Headers],[Vale - Transporte (Descontada parcela do empregado)]])-2,0)*($G242-$H242)</f>
        <v>208.11160000000001</v>
      </c>
      <c r="AF242" s="22">
        <f>VLOOKUP($A242,tabCustoUnit[],COLUMN(CUSTO_GLOBAL[[#Headers],[Vale - Alimentação (Descontada parcela do empregado)]])-2,0)*($G242-$H242)</f>
        <v>582</v>
      </c>
      <c r="AG242" s="22">
        <f>VLOOKUP($A242,tabCustoUnit[],COLUMN(CUSTO_GLOBAL[[#Headers],[Cesta Básica]])-2,0)*($G242-$H242)</f>
        <v>0</v>
      </c>
      <c r="AH242" s="22">
        <f>VLOOKUP($A242,tabCustoUnit[],COLUMN(CUSTO_GLOBAL[[#Headers],[PAF]])-2,0)*($G242-$H242)</f>
        <v>0</v>
      </c>
      <c r="AI242" s="22">
        <f>VLOOKUP($A242,tabCustoUnit[],COLUMN(CUSTO_GLOBAL[[#Headers],[PQM]])-2,0)*($G242-$H242)</f>
        <v>15.07</v>
      </c>
      <c r="AJ242" s="22">
        <v>0</v>
      </c>
      <c r="AK242" s="22">
        <f>VLOOKUP($A242,tabCustoUnit[],COLUMN(CUSTO_GLOBAL[[#Headers],[Seguro de Vida]])-2,0)*($G242-$H242)</f>
        <v>3.36</v>
      </c>
      <c r="AL242" s="22">
        <f>VLOOKUP($A242,tabCustoUnit[],COLUMN(CUSTO_GLOBAL[[#Headers],[Despesas de Viagem]])-2,0)*($G242-$H242)</f>
        <v>0</v>
      </c>
      <c r="AM242" s="22">
        <f>VLOOKUP($A242,tabCustoUnit[],COLUMN(CUSTO_GLOBAL[[#Headers],[Submódulo 2.3]])-2,0)*($G242-$H242)</f>
        <v>808.54160000000002</v>
      </c>
      <c r="AN242" s="22">
        <f>VLOOKUP($A242,tabCustoUnit[],COLUMN(CUSTO_GLOBAL[[#Headers],[MÓDULO 2 - Total Encargos e Benefícios mensais e diários]])-2,0)*($G242-$H242)</f>
        <v>1340.9683491277779</v>
      </c>
      <c r="AO242" s="22">
        <f>VLOOKUP($A242,tabCustoUnit[],COLUMN(CUSTO_GLOBAL[[#Headers],[Aviso Prévio Indenizado (API) e Reflexo do Aviso Prévio Indenizado]])-2,0)*($G242-$H242)</f>
        <v>5.7795253576581791</v>
      </c>
      <c r="AP242" s="22">
        <f>VLOOKUP($A242,tabCustoUnit[],COLUMN(CUSTO_GLOBAL[[#Headers],[Incidência do FGTS sobre API e Reflexo do API]])-2,0)*($G242-$H242)</f>
        <v>0.46236202861265435</v>
      </c>
      <c r="AQ242" s="22">
        <f>VLOOKUP($A242,tabCustoUnit[],COLUMN(CUSTO_GLOBAL[[#Headers],[Multa Rescisória do FGTS sobre o Aviso Prévio Indenizado]])-2,0)*($G242-$H242)</f>
        <v>0.18494481144506175</v>
      </c>
      <c r="AR242" s="22">
        <f>VLOOKUP($A242,tabCustoUnit[],COLUMN(CUSTO_GLOBAL[[#Headers],[Aviso Prévio Trabalhado - APT]])-2,0)*($G242-$H242)</f>
        <v>2.8849131500000005</v>
      </c>
      <c r="AS242" s="22">
        <f>VLOOKUP($A242,tabCustoUnit[],COLUMN(CUSTO_GLOBAL[[#Headers],[Incidência dos encargos do submódulo 2.1 sobre Aviso Prévio Trabalhado]])-2,0)*($G242-$H242)</f>
        <v>1.0904971707000004</v>
      </c>
      <c r="AT242" s="22">
        <f>VLOOKUP($A242,tabCustoUnit[],COLUMN(CUSTO_GLOBAL[[#Headers],[Multa Rescisória do FGTS]])-2,0)*($G242-$H242)</f>
        <v>25.204066631111107</v>
      </c>
      <c r="AU242" s="22">
        <f>VLOOKUP($A242,tabCustoUnit[],COLUMN(CUSTO_GLOBAL[[#Headers],[Indenização Adicional (Art. 9º da Lei nº 7.238/84)]])-2,0)*($G242-$H242)</f>
        <v>0.6868840833333334</v>
      </c>
      <c r="AV242" s="22">
        <f>VLOOKUP($A242,tabCustoUnit[],COLUMN(CUSTO_GLOBAL[[#Headers],[MÓDULO 3 – PROVISÃO PARA RESCISÃO]])-2,0)*($G242-$H242)</f>
        <v>36.293193232860339</v>
      </c>
      <c r="AW242" s="22">
        <f>VLOOKUP($A242,tabCustoUnit[],COLUMN(CUSTO_GLOBAL[[#Headers],[Ausência por Doença]])-2,0)*($G242-$H242)</f>
        <v>6.9604253777777769</v>
      </c>
      <c r="AX242" s="22">
        <f>VLOOKUP($A242,tabCustoUnit[],COLUMN(CUSTO_GLOBAL[[#Headers],[Ausências Legais]])-2,0)*($G242-$H242)</f>
        <v>1.671417936111111</v>
      </c>
      <c r="AY242" s="22">
        <f>VLOOKUP($A242,tabCustoUnit[],COLUMN(CUSTO_GLOBAL[[#Headers],[Licença Paternidade]])-2,0)*($G242-$H242)</f>
        <v>0.14081123708333332</v>
      </c>
      <c r="AZ242" s="22">
        <f>VLOOKUP($A242,tabCustoUnit[],COLUMN(CUSTO_GLOBAL[[#Headers],[Ausência por Acidente de Trabalho]])-2,0)*($G242-$H242)</f>
        <v>0.17172102083333335</v>
      </c>
      <c r="BA242" s="22">
        <f>VLOOKUP($A242,tabCustoUnit[],COLUMN(CUSTO_GLOBAL[[#Headers],[Férias, Adicional de Férias e 13º  com empregada em gozo de Licença Maternidade]])-2,0)*($G242-$H242)</f>
        <v>1.0684863518518517</v>
      </c>
      <c r="BB242" s="22">
        <f>VLOOKUP($A242,tabCustoUnit[],COLUMN(CUSTO_GLOBAL[[#Headers],[Incidência do Submódulo 2.1 sobre Ausências Legais]])-2,0)*($G242-$H242)</f>
        <v>3.7848618071425006</v>
      </c>
      <c r="BC242" s="22">
        <f>VLOOKUP($A242,tabCustoUnit[],COLUMN(CUSTO_GLOBAL[[#Headers],[Submódulo 4.1]])-2,0)*($G242-$H242)</f>
        <v>13.797723730799909</v>
      </c>
      <c r="BD242" s="22">
        <f>VLOOKUP($A242,tabCustoUnit[],COLUMN(CUSTO_GLOBAL[[#Headers],[Intervalo para Repouso ou Alimentação]])-2,0)*($G242-$H242)</f>
        <v>0</v>
      </c>
      <c r="BE242" s="22">
        <f>VLOOKUP($A242,tabCustoUnit[],COLUMN(CUSTO_GLOBAL[[#Headers],[Submódulo 4.2]])-2,0)*($G242-$H242)</f>
        <v>0</v>
      </c>
      <c r="BF242" s="22">
        <f>VLOOKUP($A242,tabCustoUnit[],COLUMN(CUSTO_GLOBAL[[#Headers],[Suspensão Temporária do Contrato de Trabalho]])-2,0)*($G242-$H242)</f>
        <v>0</v>
      </c>
      <c r="BG242" s="22">
        <f>VLOOKUP($A242,tabCustoUnit[],COLUMN(CUSTO_GLOBAL[[#Headers],[Submódulo 4.3]])-2,0)*($G242-$H242)</f>
        <v>0</v>
      </c>
      <c r="BH242" s="22">
        <f>VLOOKUP($A242,tabCustoUnit[],COLUMN(CUSTO_GLOBAL[[#Headers],[MÓDULO 4 – CUSTO DE REPOSIÇÃO DO PROFISSIONAL AUSENTE]])-2,0)*($G242-$H242)</f>
        <v>13.797723730799909</v>
      </c>
      <c r="BI242" s="22">
        <f>VLOOKUP($A242,tabCustoUnit[],COLUMN(CUSTO_GLOBAL[[#Headers],[Uniformes e EPIs]])-2,0)*($G242-$H242)</f>
        <v>62.806666666666665</v>
      </c>
      <c r="BJ242" s="22">
        <f>VLOOKUP($A242,tabCustoUnit[],COLUMN(CUSTO_GLOBAL[[#Headers],[Materiais de Consumo]])-2,0)*($G242-$H242)</f>
        <v>17.759106479291944</v>
      </c>
      <c r="BK242" s="22">
        <f>VLOOKUP($A242,tabCustoUnit[],COLUMN(CUSTO_GLOBAL[[#Headers],[Máquinas e Equipamentos (depreciação)]])-2,0)*($G242-$H242)</f>
        <v>32.264696957412788</v>
      </c>
      <c r="BL242" s="22">
        <f>VLOOKUP($A242,tabCustoUnit[],COLUMN(CUSTO_GLOBAL[[#Headers],[Produtos de Limpeza e Materiais de Higiene Pessoal]])-2,0)*($G242-$H242)</f>
        <v>345.13576638965827</v>
      </c>
      <c r="BM242" s="22">
        <f>VLOOKUP($A242,tabCustoUnit[],COLUMN(CUSTO_GLOBAL[[#Headers],[Outros (especificar)]])-2,0)*($G242-$H242)</f>
        <v>0</v>
      </c>
      <c r="BN242" s="22">
        <f>VLOOKUP($A242,tabCustoUnit[],COLUMN(CUSTO_GLOBAL[[#Headers],[MÓDULO 5 – INSUMOS DIVERSOS]])-2,0)*($G242-$H242)</f>
        <v>457.96623649302967</v>
      </c>
      <c r="BO242" s="22">
        <f>VLOOKUP($A242,tabCustoUnit[],COLUMN(CUSTO_GLOBAL[[#Headers],[TOTAL MÓDULOS 1+2+3+4+5]])-2,0)*($G242-$H242)</f>
        <v>2673.2864025844674</v>
      </c>
      <c r="BP242" s="22">
        <f>VLOOKUP($A242,tabCustoUnit[],COLUMN(CUSTO_GLOBAL[[#Headers],[Custos Indiretos]])-2,0)*($G242-$H242)</f>
        <v>189.64880140242613</v>
      </c>
      <c r="BQ242" s="22">
        <f>VLOOKUP($A242,tabCustoUnit[],COLUMN(CUSTO_GLOBAL[[#Headers],[Lucro]])-2,0)*($G242-$H242)</f>
        <v>159.30499317803796</v>
      </c>
      <c r="BR242" s="26">
        <f>VLOOKUP($A242,tabCustoUnit[],COLUMN(CUSTO_GLOBAL[[#Headers],[COFINS]])-2,0)</f>
        <v>8.8629737609329504E-2</v>
      </c>
      <c r="BS242" s="26">
        <f>VLOOKUP($A242,tabCustoUnit[],COLUMN(CUSTO_GLOBAL[[#Headers],[PIS]])-2,0)</f>
        <v>1.9241982507288629E-2</v>
      </c>
      <c r="BT242" s="28">
        <f>VLOOKUP($A242,tabCustoUnit[],COLUMN(CUSTO_GLOBAL[[#Headers],[ISS]])-2,0)</f>
        <v>0.05</v>
      </c>
      <c r="BU242" s="26">
        <f>VLOOKUP($A242,tabCustoUnit[],COLUMN(CUSTO_GLOBAL[[#Headers],[ISS (Conversão Alíquota s/ fatura)]])-2,0)</f>
        <v>5.8309037900874633E-2</v>
      </c>
      <c r="BV242" s="26">
        <f>VLOOKUP($A242,tabCustoUnit[],COLUMN(CUSTO_GLOBAL[[#Headers],[Resumo de Alíquotas (PIS+CONFINS+ISS)]])-2,0)</f>
        <v>0.14250000000000002</v>
      </c>
      <c r="BW242" s="138">
        <f>VLOOKUP($A242,tabCustoUnit[],COLUMN(CUSTO_GLOBAL[[#Headers],[PIS + COFINS + ISS (Total Conversão  Alíquota s/ Fatura)]])-2,0)</f>
        <v>0.16618075801749277</v>
      </c>
      <c r="BX242" s="22">
        <f>VLOOKUP($A242,tabCustoUnit[],COLUMN(CUSTO_GLOBAL[[#Headers],[Valor dos Tributos (ISS, PIS, CONFINS)]])-2,0)*($G242-$H242)</f>
        <v>502.23816687580512</v>
      </c>
      <c r="BY242" s="22">
        <f>VLOOKUP($A242,tabCustoUnit[],COLUMN(CUSTO_GLOBAL[[#Headers],[MÓDULO 6 – CUSTOS INDIRETOS, TRIBUTOS E LUCRO]])-2,0)*($G242-$H242)</f>
        <v>851.19196145626915</v>
      </c>
      <c r="BZ242" s="22">
        <f>VLOOKUP($A242,tabCustoUnit[],COLUMN(CUSTO_GLOBAL[[#Headers],[CUSTO TOTAL MENSAL]])-2,0)*($G242-$H242)</f>
        <v>3524.4783640407368</v>
      </c>
      <c r="CA242" s="22">
        <f>CUSTO_GLOBAL[[#This Row],[CUSTO TOTAL MENSAL]]*12</f>
        <v>42293.740368488841</v>
      </c>
      <c r="CB242" s="24">
        <f>VLOOKUP($A242,tabCustoUnit[],COLUMN(CUSTO_GLOBAL[[#Headers],[ANO DA CCT]])-2,0)</f>
        <v>45658</v>
      </c>
      <c r="CC242" s="25" t="str">
        <f>VLOOKUP($A242,tabCustoUnit[],COLUMN(CUSTO_GLOBAL[[#Headers],[Nº DE PEDIDO DA CCT]])-2,0)</f>
        <v>-</v>
      </c>
      <c r="CD242" s="25" t="str">
        <f>VLOOKUP($A242,tabCustoUnit[],COLUMN(CUSTO_GLOBAL[[#Headers],[TERMO ADITIVO  ALTERAÇÃO DA CCT]])-2,0)</f>
        <v>-</v>
      </c>
      <c r="CF242" s="22"/>
      <c r="CG242" s="22"/>
    </row>
    <row r="243" spans="1:85" x14ac:dyDescent="0.25">
      <c r="A243" s="20" t="s">
        <v>1578</v>
      </c>
      <c r="B243" t="s">
        <v>220</v>
      </c>
      <c r="C243" t="s">
        <v>1247</v>
      </c>
      <c r="D243" t="s">
        <v>66</v>
      </c>
      <c r="E243" s="20" t="s">
        <v>9</v>
      </c>
      <c r="F243" s="20" t="s">
        <v>10</v>
      </c>
      <c r="G243" s="20">
        <v>1</v>
      </c>
      <c r="H243" s="20">
        <v>0</v>
      </c>
      <c r="I243" s="21">
        <f>VLOOKUP($A243,tabCustoUnit[],COLUMN(CUSTO_GLOBAL[[#Headers],[Salário Base]])-2,0)*($G243-$H243)</f>
        <v>544.17999999999995</v>
      </c>
      <c r="J243" s="21">
        <f>VLOOKUP($A243,tabCustoUnit[],COLUMN(CUSTO_GLOBAL[[#Headers],[Adicional Periculosidade]])-2,0)*($G243-$H243)</f>
        <v>0</v>
      </c>
      <c r="K243" s="21">
        <f>VLOOKUP($A243,tabCustoUnit[],COLUMN(CUSTO_GLOBAL[[#Headers],[Adicional Insalubridade]])-2,0)*($G243-$H243)</f>
        <v>0</v>
      </c>
      <c r="L243" s="21">
        <f>VLOOKUP($A243,tabCustoUnit[],COLUMN(CUSTO_GLOBAL[[#Headers],[Adicional Noturno]])-2,0)*($G243-$H243)</f>
        <v>0</v>
      </c>
      <c r="M243" s="21">
        <f>VLOOKUP($A243,tabCustoUnit[],COLUMN(CUSTO_GLOBAL[[#Headers],[Adicional Motorista II (Gratificação)]])-2,0)*($G243-$H243)</f>
        <v>0</v>
      </c>
      <c r="N243" s="21">
        <f>VLOOKUP($A243,tabCustoUnit[],COLUMN(CUSTO_GLOBAL[[#Headers],[Adicional de Sobreaviso]])-2,0)*($G243-$H243)</f>
        <v>0</v>
      </c>
      <c r="O243" s="21">
        <f>VLOOKUP($A243,tabCustoUnit[],COLUMN(CUSTO_GLOBAL[[#Headers],[Horas Extras TI]])-2,0)*($G243-$H243)</f>
        <v>0</v>
      </c>
      <c r="P243" s="21">
        <f>VLOOKUP($A243,tabCustoUnit[],COLUMN(CUSTO_GLOBAL[[#Headers],[Adicional de Acúmulo de função]])-2,0)*($G243-$H243)</f>
        <v>19.590499999999999</v>
      </c>
      <c r="Q243" s="21">
        <f>VLOOKUP($A243,tabCustoUnit[],COLUMN(CUSTO_GLOBAL[[#Headers],[MODULO 1 - REMUNERAÇÃO ]])-2,0)*($G243-$H243)</f>
        <v>563.77049999999997</v>
      </c>
      <c r="R243" s="21">
        <f>VLOOKUP($A243,tabCustoUnit[],COLUMN(CUSTO_GLOBAL[[#Headers],[INSS]])-2,0)*($G243-$H243)</f>
        <v>112.75409999999999</v>
      </c>
      <c r="S243" s="21">
        <f>VLOOKUP($A243,tabCustoUnit[],COLUMN(CUSTO_GLOBAL[[#Headers],[SESI OU SESC]])-2,0)*($G243-$H243)</f>
        <v>8.4565574999999988</v>
      </c>
      <c r="T243" s="21">
        <f>VLOOKUP($A243,tabCustoUnit[],COLUMN(CUSTO_GLOBAL[[#Headers],[SENAI OU SENAC]])-2,0)*($G243-$H243)</f>
        <v>5.6377049999999995</v>
      </c>
      <c r="U243" s="21">
        <f>VLOOKUP($A243,tabCustoUnit[],COLUMN(CUSTO_GLOBAL[[#Headers],[INCRA]])-2,0)*($G243-$H243)</f>
        <v>1.1275409999999999</v>
      </c>
      <c r="V243" s="21">
        <f>VLOOKUP($A243,tabCustoUnit[],COLUMN(CUSTO_GLOBAL[[#Headers],[Salário Educação]])-2,0)*($G243-$H243)</f>
        <v>14.094262499999999</v>
      </c>
      <c r="W243" s="21">
        <f>VLOOKUP($A243,tabCustoUnit[],COLUMN(CUSTO_GLOBAL[[#Headers],[FGTS]])-2,0)*($G243-$H243)</f>
        <v>45.101639999999996</v>
      </c>
      <c r="X243" s="21">
        <f>VLOOKUP($A243,tabCustoUnit[],COLUMN(CUSTO_GLOBAL[[#Headers],[RAT Ajustado]])-2,0)*($G243-$H243)</f>
        <v>22.550819999999998</v>
      </c>
      <c r="Y243" s="21">
        <f>VLOOKUP($A243,tabCustoUnit[],COLUMN(CUSTO_GLOBAL[[#Headers],[SEBRAE]])-2,0)*($G243-$H243)</f>
        <v>3.3826229999999997</v>
      </c>
      <c r="Z243" s="21">
        <f>VLOOKUP($A243,tabCustoUnit[],COLUMN(CUSTO_GLOBAL[[#Headers],[Submódulo 2.1]])-2,0)*($G243-$H243)</f>
        <v>213.10524899999996</v>
      </c>
      <c r="AA243" s="21">
        <f>VLOOKUP($A243,tabCustoUnit[],COLUMN(CUSTO_GLOBAL[[#Headers],[13º salário (titular)]])-2,0)*($G243-$H243)</f>
        <v>46.980874999999997</v>
      </c>
      <c r="AB243" s="21">
        <f>VLOOKUP($A243,tabCustoUnit[],COLUMN(CUSTO_GLOBAL[[#Headers],[Férias e Adicional de Férias (titular)]])-2,0)*($G243-$H243)</f>
        <v>62.641166666666663</v>
      </c>
      <c r="AC243" s="21">
        <f>VLOOKUP($A243,tabCustoUnit[],COLUMN(CUSTO_GLOBAL[[#Headers],[Incidência do Submódulo 2.1 sobre 13º Salário, Férias e Adicional de Férias]])-2,0)*($G243-$H243)</f>
        <v>41.437131749999992</v>
      </c>
      <c r="AD243" s="21">
        <f>VLOOKUP($A243,tabCustoUnit[],COLUMN(CUSTO_GLOBAL[[#Headers],[Submódulo 2.2]])-2,0)*($G243-$H243)</f>
        <v>151.05917341666665</v>
      </c>
      <c r="AE243" s="22">
        <f>VLOOKUP($A243,tabCustoUnit[],COLUMN(CUSTO_GLOBAL[[#Headers],[Vale - Transporte (Descontada parcela do empregado)]])-2,0)*($G243-$H243)</f>
        <v>223.3492</v>
      </c>
      <c r="AF243" s="22">
        <f>VLOOKUP($A243,tabCustoUnit[],COLUMN(CUSTO_GLOBAL[[#Headers],[Vale - Alimentação (Descontada parcela do empregado)]])-2,0)*($G243-$H243)</f>
        <v>582</v>
      </c>
      <c r="AG243" s="22">
        <f>VLOOKUP($A243,tabCustoUnit[],COLUMN(CUSTO_GLOBAL[[#Headers],[Cesta Básica]])-2,0)*($G243-$H243)</f>
        <v>0</v>
      </c>
      <c r="AH243" s="22">
        <f>VLOOKUP($A243,tabCustoUnit[],COLUMN(CUSTO_GLOBAL[[#Headers],[PAF]])-2,0)*($G243-$H243)</f>
        <v>57.07</v>
      </c>
      <c r="AI243" s="22">
        <f>VLOOKUP($A243,tabCustoUnit[],COLUMN(CUSTO_GLOBAL[[#Headers],[PQM]])-2,0)*($G243-$H243)</f>
        <v>0</v>
      </c>
      <c r="AJ243" s="22">
        <v>0</v>
      </c>
      <c r="AK243" s="22">
        <f>VLOOKUP($A243,tabCustoUnit[],COLUMN(CUSTO_GLOBAL[[#Headers],[Seguro de Vida]])-2,0)*($G243-$H243)</f>
        <v>3.36</v>
      </c>
      <c r="AL243" s="22">
        <f>VLOOKUP($A243,tabCustoUnit[],COLUMN(CUSTO_GLOBAL[[#Headers],[Despesas de Viagem]])-2,0)*($G243-$H243)</f>
        <v>0</v>
      </c>
      <c r="AM243" s="22">
        <f>VLOOKUP($A243,tabCustoUnit[],COLUMN(CUSTO_GLOBAL[[#Headers],[Submódulo 2.3]])-2,0)*($G243-$H243)</f>
        <v>865.77920000000006</v>
      </c>
      <c r="AN243" s="22">
        <f>VLOOKUP($A243,tabCustoUnit[],COLUMN(CUSTO_GLOBAL[[#Headers],[MÓDULO 2 - Total Encargos e Benefícios mensais e diários]])-2,0)*($G243-$H243)</f>
        <v>1229.9436224166666</v>
      </c>
      <c r="AO243" s="22">
        <f>VLOOKUP($A243,tabCustoUnit[],COLUMN(CUSTO_GLOBAL[[#Headers],[Aviso Prévio Indenizado (API) e Reflexo do Aviso Prévio Indenizado]])-2,0)*($G243-$H243)</f>
        <v>3.9530273735532404</v>
      </c>
      <c r="AP243" s="22">
        <f>VLOOKUP($A243,tabCustoUnit[],COLUMN(CUSTO_GLOBAL[[#Headers],[Incidência do FGTS sobre API e Reflexo do API]])-2,0)*($G243-$H243)</f>
        <v>0.31624218988425928</v>
      </c>
      <c r="AQ243" s="22">
        <f>VLOOKUP($A243,tabCustoUnit[],COLUMN(CUSTO_GLOBAL[[#Headers],[Multa Rescisória do FGTS sobre o Aviso Prévio Indenizado]])-2,0)*($G243-$H243)</f>
        <v>0.12649687595370371</v>
      </c>
      <c r="AR243" s="22">
        <f>VLOOKUP($A243,tabCustoUnit[],COLUMN(CUSTO_GLOBAL[[#Headers],[Aviso Prévio Trabalhado - APT]])-2,0)*($G243-$H243)</f>
        <v>1.9731967500000003</v>
      </c>
      <c r="AS243" s="22">
        <f>VLOOKUP($A243,tabCustoUnit[],COLUMN(CUSTO_GLOBAL[[#Headers],[Incidência dos encargos do submódulo 2.1 sobre Aviso Prévio Trabalhado]])-2,0)*($G243-$H243)</f>
        <v>0.74586837150000018</v>
      </c>
      <c r="AT243" s="22">
        <f>VLOOKUP($A243,tabCustoUnit[],COLUMN(CUSTO_GLOBAL[[#Headers],[Multa Rescisória do FGTS]])-2,0)*($G243-$H243)</f>
        <v>17.238849066666663</v>
      </c>
      <c r="AU243" s="22">
        <f>VLOOKUP($A243,tabCustoUnit[],COLUMN(CUSTO_GLOBAL[[#Headers],[Indenização Adicional (Art. 9º da Lei nº 7.238/84)]])-2,0)*($G243-$H243)</f>
        <v>0.46980875</v>
      </c>
      <c r="AV243" s="22">
        <f>VLOOKUP($A243,tabCustoUnit[],COLUMN(CUSTO_GLOBAL[[#Headers],[MÓDULO 3 – PROVISÃO PARA RESCISÃO]])-2,0)*($G243-$H243)</f>
        <v>24.823489377557866</v>
      </c>
      <c r="AW243" s="22">
        <f>VLOOKUP($A243,tabCustoUnit[],COLUMN(CUSTO_GLOBAL[[#Headers],[Ausência por Doença]])-2,0)*($G243-$H243)</f>
        <v>4.7607286666666662</v>
      </c>
      <c r="AX243" s="22">
        <f>VLOOKUP($A243,tabCustoUnit[],COLUMN(CUSTO_GLOBAL[[#Headers],[Ausências Legais]])-2,0)*($G243-$H243)</f>
        <v>1.1432012916666665</v>
      </c>
      <c r="AY243" s="22">
        <f>VLOOKUP($A243,tabCustoUnit[],COLUMN(CUSTO_GLOBAL[[#Headers],[Licença Paternidade]])-2,0)*($G243-$H243)</f>
        <v>9.6310793749999998E-2</v>
      </c>
      <c r="AZ243" s="22">
        <f>VLOOKUP($A243,tabCustoUnit[],COLUMN(CUSTO_GLOBAL[[#Headers],[Ausência por Acidente de Trabalho]])-2,0)*($G243-$H243)</f>
        <v>0.1174521875</v>
      </c>
      <c r="BA243" s="22">
        <f>VLOOKUP($A243,tabCustoUnit[],COLUMN(CUSTO_GLOBAL[[#Headers],[Férias, Adicional de Férias e 13º  com empregada em gozo de Licença Maternidade]])-2,0)*($G243-$H243)</f>
        <v>0.73081361111111109</v>
      </c>
      <c r="BB243" s="22">
        <f>VLOOKUP($A243,tabCustoUnit[],COLUMN(CUSTO_GLOBAL[[#Headers],[Incidência do Submódulo 2.1 sobre Ausências Legais]])-2,0)*($G243-$H243)</f>
        <v>2.5887354761625003</v>
      </c>
      <c r="BC243" s="22">
        <f>VLOOKUP($A243,tabCustoUnit[],COLUMN(CUSTO_GLOBAL[[#Headers],[Submódulo 4.1]])-2,0)*($G243-$H243)</f>
        <v>9.4372420268569428</v>
      </c>
      <c r="BD243" s="22">
        <f>VLOOKUP($A243,tabCustoUnit[],COLUMN(CUSTO_GLOBAL[[#Headers],[Intervalo para Repouso ou Alimentação]])-2,0)*($G243-$H243)</f>
        <v>0</v>
      </c>
      <c r="BE243" s="22">
        <f>VLOOKUP($A243,tabCustoUnit[],COLUMN(CUSTO_GLOBAL[[#Headers],[Submódulo 4.2]])-2,0)*($G243-$H243)</f>
        <v>0</v>
      </c>
      <c r="BF243" s="22">
        <f>VLOOKUP($A243,tabCustoUnit[],COLUMN(CUSTO_GLOBAL[[#Headers],[Suspensão Temporária do Contrato de Trabalho]])-2,0)*($G243-$H243)</f>
        <v>0</v>
      </c>
      <c r="BG243" s="22">
        <f>VLOOKUP($A243,tabCustoUnit[],COLUMN(CUSTO_GLOBAL[[#Headers],[Submódulo 4.3]])-2,0)*($G243-$H243)</f>
        <v>0</v>
      </c>
      <c r="BH243" s="22">
        <f>VLOOKUP($A243,tabCustoUnit[],COLUMN(CUSTO_GLOBAL[[#Headers],[MÓDULO 4 – CUSTO DE REPOSIÇÃO DO PROFISSIONAL AUSENTE]])-2,0)*($G243-$H243)</f>
        <v>9.4372420268569428</v>
      </c>
      <c r="BI243" s="22">
        <f>VLOOKUP($A243,tabCustoUnit[],COLUMN(CUSTO_GLOBAL[[#Headers],[Uniformes e EPIs]])-2,0)*($G243-$H243)</f>
        <v>62.806666666666665</v>
      </c>
      <c r="BJ243" s="22">
        <f>VLOOKUP($A243,tabCustoUnit[],COLUMN(CUSTO_GLOBAL[[#Headers],[Materiais de Consumo]])-2,0)*($G243-$H243)</f>
        <v>12.108481690426325</v>
      </c>
      <c r="BK243" s="22">
        <f>VLOOKUP($A243,tabCustoUnit[],COLUMN(CUSTO_GLOBAL[[#Headers],[Máquinas e Equipamentos (depreciação)]])-2,0)*($G243-$H243)</f>
        <v>21.998657016417809</v>
      </c>
      <c r="BL243" s="22">
        <f>VLOOKUP($A243,tabCustoUnit[],COLUMN(CUSTO_GLOBAL[[#Headers],[Produtos de Limpeza e Materiais de Higiene Pessoal]])-2,0)*($G243-$H243)</f>
        <v>235.31984072022155</v>
      </c>
      <c r="BM243" s="22">
        <f>VLOOKUP($A243,tabCustoUnit[],COLUMN(CUSTO_GLOBAL[[#Headers],[Outros (especificar)]])-2,0)*($G243-$H243)</f>
        <v>0</v>
      </c>
      <c r="BN243" s="22">
        <f>VLOOKUP($A243,tabCustoUnit[],COLUMN(CUSTO_GLOBAL[[#Headers],[MÓDULO 5 – INSUMOS DIVERSOS]])-2,0)*($G243-$H243)</f>
        <v>332.23364609373232</v>
      </c>
      <c r="BO243" s="22">
        <f>VLOOKUP($A243,tabCustoUnit[],COLUMN(CUSTO_GLOBAL[[#Headers],[TOTAL MÓDULOS 1+2+3+4+5]])-2,0)*($G243-$H243)</f>
        <v>2160.2084999148137</v>
      </c>
      <c r="BP243" s="22">
        <f>VLOOKUP($A243,tabCustoUnit[],COLUMN(CUSTO_GLOBAL[[#Headers],[Custos Indiretos]])-2,0)*($G243-$H243)</f>
        <v>189.64880140242613</v>
      </c>
      <c r="BQ243" s="22">
        <f>VLOOKUP($A243,tabCustoUnit[],COLUMN(CUSTO_GLOBAL[[#Headers],[Lucro]])-2,0)*($G243-$H243)</f>
        <v>159.30499317803796</v>
      </c>
      <c r="BR243" s="26">
        <f>VLOOKUP($A243,tabCustoUnit[],COLUMN(CUSTO_GLOBAL[[#Headers],[COFINS]])-2,0)</f>
        <v>8.6609686609686695E-2</v>
      </c>
      <c r="BS243" s="26">
        <f>VLOOKUP($A243,tabCustoUnit[],COLUMN(CUSTO_GLOBAL[[#Headers],[PIS]])-2,0)</f>
        <v>1.880341880341882E-2</v>
      </c>
      <c r="BT243" s="28">
        <f>VLOOKUP($A243,tabCustoUnit[],COLUMN(CUSTO_GLOBAL[[#Headers],[ISS]])-2,0)</f>
        <v>0.03</v>
      </c>
      <c r="BU243" s="26">
        <f>VLOOKUP($A243,tabCustoUnit[],COLUMN(CUSTO_GLOBAL[[#Headers],[ISS (Conversão Alíquota s/ fatura)]])-2,0)</f>
        <v>3.4188034188034219E-2</v>
      </c>
      <c r="BV243" s="26">
        <f>VLOOKUP($A243,tabCustoUnit[],COLUMN(CUSTO_GLOBAL[[#Headers],[Resumo de Alíquotas (PIS+CONFINS+ISS)]])-2,0)</f>
        <v>0.1225</v>
      </c>
      <c r="BW243" s="138">
        <f>VLOOKUP($A243,tabCustoUnit[],COLUMN(CUSTO_GLOBAL[[#Headers],[PIS + COFINS + ISS (Total Conversão  Alíquota s/ Fatura)]])-2,0)</f>
        <v>0.13960113960113973</v>
      </c>
      <c r="BX243" s="22">
        <f>VLOOKUP($A243,tabCustoUnit[],COLUMN(CUSTO_GLOBAL[[#Headers],[Valor dos Tributos (ISS, PIS, CONFINS)]])-2,0)*($G243-$H243)</f>
        <v>350.28191575575136</v>
      </c>
      <c r="BY243" s="22">
        <f>VLOOKUP($A243,tabCustoUnit[],COLUMN(CUSTO_GLOBAL[[#Headers],[MÓDULO 6 – CUSTOS INDIRETOS, TRIBUTOS E LUCRO]])-2,0)*($G243-$H243)</f>
        <v>699.23571033621545</v>
      </c>
      <c r="BZ243" s="22">
        <f>VLOOKUP($A243,tabCustoUnit[],COLUMN(CUSTO_GLOBAL[[#Headers],[CUSTO TOTAL MENSAL]])-2,0)*($G243-$H243)</f>
        <v>2859.4442102510293</v>
      </c>
      <c r="CA243" s="22">
        <f>CUSTO_GLOBAL[[#This Row],[CUSTO TOTAL MENSAL]]*12</f>
        <v>34313.330523012351</v>
      </c>
      <c r="CB243" s="24">
        <f>VLOOKUP($A243,tabCustoUnit[],COLUMN(CUSTO_GLOBAL[[#Headers],[ANO DA CCT]])-2,0)</f>
        <v>45658</v>
      </c>
      <c r="CC243" s="25" t="str">
        <f>VLOOKUP($A243,tabCustoUnit[],COLUMN(CUSTO_GLOBAL[[#Headers],[Nº DE PEDIDO DA CCT]])-2,0)</f>
        <v>-</v>
      </c>
      <c r="CD243" s="25" t="str">
        <f>VLOOKUP($A243,tabCustoUnit[],COLUMN(CUSTO_GLOBAL[[#Headers],[TERMO ADITIVO  ALTERAÇÃO DA CCT]])-2,0)</f>
        <v>-</v>
      </c>
      <c r="CF243" s="22"/>
      <c r="CG243" s="22"/>
    </row>
    <row r="244" spans="1:85" x14ac:dyDescent="0.25">
      <c r="A244" s="20" t="s">
        <v>1579</v>
      </c>
      <c r="B244" t="s">
        <v>220</v>
      </c>
      <c r="C244" t="s">
        <v>1245</v>
      </c>
      <c r="D244" t="s">
        <v>66</v>
      </c>
      <c r="E244" s="20" t="s">
        <v>9</v>
      </c>
      <c r="F244" s="20" t="s">
        <v>10</v>
      </c>
      <c r="G244" s="20">
        <v>1</v>
      </c>
      <c r="H244" s="20">
        <v>0</v>
      </c>
      <c r="I244" s="21">
        <f>VLOOKUP($A244,tabCustoUnit[],COLUMN(CUSTO_GLOBAL[[#Headers],[Salário Base]])-2,0)*($G244-$H244)</f>
        <v>1596.28</v>
      </c>
      <c r="J244" s="21">
        <f>VLOOKUP($A244,tabCustoUnit[],COLUMN(CUSTO_GLOBAL[[#Headers],[Adicional Periculosidade]])-2,0)*($G244-$H244)</f>
        <v>0</v>
      </c>
      <c r="K244" s="21">
        <f>VLOOKUP($A244,tabCustoUnit[],COLUMN(CUSTO_GLOBAL[[#Headers],[Adicional Insalubridade]])-2,0)*($G244-$H244)</f>
        <v>0</v>
      </c>
      <c r="L244" s="21">
        <f>VLOOKUP($A244,tabCustoUnit[],COLUMN(CUSTO_GLOBAL[[#Headers],[Adicional Noturno]])-2,0)*($G244-$H244)</f>
        <v>0</v>
      </c>
      <c r="M244" s="21">
        <f>VLOOKUP($A244,tabCustoUnit[],COLUMN(CUSTO_GLOBAL[[#Headers],[Adicional Motorista II (Gratificação)]])-2,0)*($G244-$H244)</f>
        <v>0</v>
      </c>
      <c r="N244" s="21">
        <f>VLOOKUP($A244,tabCustoUnit[],COLUMN(CUSTO_GLOBAL[[#Headers],[Adicional de Sobreaviso]])-2,0)*($G244-$H244)</f>
        <v>0</v>
      </c>
      <c r="O244" s="21">
        <f>VLOOKUP($A244,tabCustoUnit[],COLUMN(CUSTO_GLOBAL[[#Headers],[Horas Extras TI]])-2,0)*($G244-$H244)</f>
        <v>0</v>
      </c>
      <c r="P244" s="21">
        <f>VLOOKUP($A244,tabCustoUnit[],COLUMN(CUSTO_GLOBAL[[#Headers],[Adicional de Acúmulo de função]])-2,0)*($G244-$H244)</f>
        <v>52.241900000000001</v>
      </c>
      <c r="Q244" s="21">
        <f>VLOOKUP($A244,tabCustoUnit[],COLUMN(CUSTO_GLOBAL[[#Headers],[MODULO 1 - REMUNERAÇÃO ]])-2,0)*($G244-$H244)</f>
        <v>1648.5219</v>
      </c>
      <c r="R244" s="21">
        <f>VLOOKUP($A244,tabCustoUnit[],COLUMN(CUSTO_GLOBAL[[#Headers],[INSS]])-2,0)*($G244-$H244)</f>
        <v>329.70438000000001</v>
      </c>
      <c r="S244" s="21">
        <f>VLOOKUP($A244,tabCustoUnit[],COLUMN(CUSTO_GLOBAL[[#Headers],[SESI OU SESC]])-2,0)*($G244-$H244)</f>
        <v>24.727828499999998</v>
      </c>
      <c r="T244" s="21">
        <f>VLOOKUP($A244,tabCustoUnit[],COLUMN(CUSTO_GLOBAL[[#Headers],[SENAI OU SENAC]])-2,0)*($G244-$H244)</f>
        <v>16.485219000000001</v>
      </c>
      <c r="U244" s="21">
        <f>VLOOKUP($A244,tabCustoUnit[],COLUMN(CUSTO_GLOBAL[[#Headers],[INCRA]])-2,0)*($G244-$H244)</f>
        <v>3.2970438</v>
      </c>
      <c r="V244" s="21">
        <f>VLOOKUP($A244,tabCustoUnit[],COLUMN(CUSTO_GLOBAL[[#Headers],[Salário Educação]])-2,0)*($G244-$H244)</f>
        <v>41.213047500000002</v>
      </c>
      <c r="W244" s="21">
        <f>VLOOKUP($A244,tabCustoUnit[],COLUMN(CUSTO_GLOBAL[[#Headers],[FGTS]])-2,0)*($G244-$H244)</f>
        <v>131.88175200000001</v>
      </c>
      <c r="X244" s="21">
        <f>VLOOKUP($A244,tabCustoUnit[],COLUMN(CUSTO_GLOBAL[[#Headers],[RAT Ajustado]])-2,0)*($G244-$H244)</f>
        <v>65.940876000000003</v>
      </c>
      <c r="Y244" s="21">
        <f>VLOOKUP($A244,tabCustoUnit[],COLUMN(CUSTO_GLOBAL[[#Headers],[SEBRAE]])-2,0)*($G244-$H244)</f>
        <v>9.8911314000000008</v>
      </c>
      <c r="Z244" s="21">
        <f>VLOOKUP($A244,tabCustoUnit[],COLUMN(CUSTO_GLOBAL[[#Headers],[Submódulo 2.1]])-2,0)*($G244-$H244)</f>
        <v>623.14127819999999</v>
      </c>
      <c r="AA244" s="21">
        <f>VLOOKUP($A244,tabCustoUnit[],COLUMN(CUSTO_GLOBAL[[#Headers],[13º salário (titular)]])-2,0)*($G244-$H244)</f>
        <v>137.376825</v>
      </c>
      <c r="AB244" s="21">
        <f>VLOOKUP($A244,tabCustoUnit[],COLUMN(CUSTO_GLOBAL[[#Headers],[Férias e Adicional de Férias (titular)]])-2,0)*($G244-$H244)</f>
        <v>183.16909999999999</v>
      </c>
      <c r="AC244" s="21">
        <f>VLOOKUP($A244,tabCustoUnit[],COLUMN(CUSTO_GLOBAL[[#Headers],[Incidência do Submódulo 2.1 sobre 13º Salário, Férias e Adicional de Férias]])-2,0)*($G244-$H244)</f>
        <v>121.16635965</v>
      </c>
      <c r="AD244" s="21">
        <f>VLOOKUP($A244,tabCustoUnit[],COLUMN(CUSTO_GLOBAL[[#Headers],[Submódulo 2.2]])-2,0)*($G244-$H244)</f>
        <v>441.71228465000002</v>
      </c>
      <c r="AE244" s="22">
        <f>VLOOKUP($A244,tabCustoUnit[],COLUMN(CUSTO_GLOBAL[[#Headers],[Vale - Transporte (Descontada parcela do empregado)]])-2,0)*($G244-$H244)</f>
        <v>160.22320000000002</v>
      </c>
      <c r="AF244" s="22">
        <f>VLOOKUP($A244,tabCustoUnit[],COLUMN(CUSTO_GLOBAL[[#Headers],[Vale - Alimentação (Descontada parcela do empregado)]])-2,0)*($G244-$H244)</f>
        <v>582</v>
      </c>
      <c r="AG244" s="22">
        <f>VLOOKUP($A244,tabCustoUnit[],COLUMN(CUSTO_GLOBAL[[#Headers],[Cesta Básica]])-2,0)*($G244-$H244)</f>
        <v>0</v>
      </c>
      <c r="AH244" s="22">
        <f>VLOOKUP($A244,tabCustoUnit[],COLUMN(CUSTO_GLOBAL[[#Headers],[PAF]])-2,0)*($G244-$H244)</f>
        <v>57.07</v>
      </c>
      <c r="AI244" s="22">
        <f>VLOOKUP($A244,tabCustoUnit[],COLUMN(CUSTO_GLOBAL[[#Headers],[PQM]])-2,0)*($G244-$H244)</f>
        <v>0</v>
      </c>
      <c r="AJ244" s="22">
        <v>0</v>
      </c>
      <c r="AK244" s="22">
        <f>VLOOKUP($A244,tabCustoUnit[],COLUMN(CUSTO_GLOBAL[[#Headers],[Seguro de Vida]])-2,0)*($G244-$H244)</f>
        <v>3.36</v>
      </c>
      <c r="AL244" s="22">
        <f>VLOOKUP($A244,tabCustoUnit[],COLUMN(CUSTO_GLOBAL[[#Headers],[Despesas de Viagem]])-2,0)*($G244-$H244)</f>
        <v>0</v>
      </c>
      <c r="AM244" s="22">
        <f>VLOOKUP($A244,tabCustoUnit[],COLUMN(CUSTO_GLOBAL[[#Headers],[Submódulo 2.3]])-2,0)*($G244-$H244)</f>
        <v>802.65320000000008</v>
      </c>
      <c r="AN244" s="22">
        <f>VLOOKUP($A244,tabCustoUnit[],COLUMN(CUSTO_GLOBAL[[#Headers],[MÓDULO 2 - Total Encargos e Benefícios mensais e diários]])-2,0)*($G244-$H244)</f>
        <v>1867.5067628500001</v>
      </c>
      <c r="AO244" s="22">
        <f>VLOOKUP($A244,tabCustoUnit[],COLUMN(CUSTO_GLOBAL[[#Headers],[Aviso Prévio Indenizado (API) e Reflexo do Aviso Prévio Indenizado]])-2,0)*($G244-$H244)</f>
        <v>11.559051416493055</v>
      </c>
      <c r="AP244" s="22">
        <f>VLOOKUP($A244,tabCustoUnit[],COLUMN(CUSTO_GLOBAL[[#Headers],[Incidência do FGTS sobre API e Reflexo do API]])-2,0)*($G244-$H244)</f>
        <v>0.92472411331944449</v>
      </c>
      <c r="AQ244" s="22">
        <f>VLOOKUP($A244,tabCustoUnit[],COLUMN(CUSTO_GLOBAL[[#Headers],[Multa Rescisória do FGTS sobre o Aviso Prévio Indenizado]])-2,0)*($G244-$H244)</f>
        <v>0.36988964532777785</v>
      </c>
      <c r="AR244" s="22">
        <f>VLOOKUP($A244,tabCustoUnit[],COLUMN(CUSTO_GLOBAL[[#Headers],[Aviso Prévio Trabalhado - APT]])-2,0)*($G244-$H244)</f>
        <v>5.7698266500000006</v>
      </c>
      <c r="AS244" s="22">
        <f>VLOOKUP($A244,tabCustoUnit[],COLUMN(CUSTO_GLOBAL[[#Headers],[Incidência dos encargos do submódulo 2.1 sobre Aviso Prévio Trabalhado]])-2,0)*($G244-$H244)</f>
        <v>2.1809944737000007</v>
      </c>
      <c r="AT244" s="22">
        <f>VLOOKUP($A244,tabCustoUnit[],COLUMN(CUSTO_GLOBAL[[#Headers],[Multa Rescisória do FGTS]])-2,0)*($G244-$H244)</f>
        <v>50.40813631999999</v>
      </c>
      <c r="AU244" s="22">
        <f>VLOOKUP($A244,tabCustoUnit[],COLUMN(CUSTO_GLOBAL[[#Headers],[Indenização Adicional (Art. 9º da Lei nº 7.238/84)]])-2,0)*($G244-$H244)</f>
        <v>1.3737682500000001</v>
      </c>
      <c r="AV244" s="22">
        <f>VLOOKUP($A244,tabCustoUnit[],COLUMN(CUSTO_GLOBAL[[#Headers],[MÓDULO 3 – PROVISÃO PARA RESCISÃO]])-2,0)*($G244-$H244)</f>
        <v>72.586390868840269</v>
      </c>
      <c r="AW244" s="22">
        <f>VLOOKUP($A244,tabCustoUnit[],COLUMN(CUSTO_GLOBAL[[#Headers],[Ausência por Doença]])-2,0)*($G244-$H244)</f>
        <v>13.920851599999999</v>
      </c>
      <c r="AX244" s="22">
        <f>VLOOKUP($A244,tabCustoUnit[],COLUMN(CUSTO_GLOBAL[[#Headers],[Ausências Legais]])-2,0)*($G244-$H244)</f>
        <v>3.3428360749999997</v>
      </c>
      <c r="AY244" s="22">
        <f>VLOOKUP($A244,tabCustoUnit[],COLUMN(CUSTO_GLOBAL[[#Headers],[Licença Paternidade]])-2,0)*($G244-$H244)</f>
        <v>0.28162249125</v>
      </c>
      <c r="AZ244" s="22">
        <f>VLOOKUP($A244,tabCustoUnit[],COLUMN(CUSTO_GLOBAL[[#Headers],[Ausência por Acidente de Trabalho]])-2,0)*($G244-$H244)</f>
        <v>0.34344206250000003</v>
      </c>
      <c r="BA244" s="22">
        <f>VLOOKUP($A244,tabCustoUnit[],COLUMN(CUSTO_GLOBAL[[#Headers],[Férias, Adicional de Férias e 13º  com empregada em gozo de Licença Maternidade]])-2,0)*($G244-$H244)</f>
        <v>2.1369728333333331</v>
      </c>
      <c r="BB244" s="22">
        <f>VLOOKUP($A244,tabCustoUnit[],COLUMN(CUSTO_GLOBAL[[#Headers],[Incidência do Submódulo 2.1 sobre Ausências Legais]])-2,0)*($G244-$H244)</f>
        <v>7.5697240734675013</v>
      </c>
      <c r="BC244" s="22">
        <f>VLOOKUP($A244,tabCustoUnit[],COLUMN(CUSTO_GLOBAL[[#Headers],[Submódulo 4.1]])-2,0)*($G244-$H244)</f>
        <v>27.595449135550833</v>
      </c>
      <c r="BD244" s="22">
        <f>VLOOKUP($A244,tabCustoUnit[],COLUMN(CUSTO_GLOBAL[[#Headers],[Intervalo para Repouso ou Alimentação]])-2,0)*($G244-$H244)</f>
        <v>0</v>
      </c>
      <c r="BE244" s="22">
        <f>VLOOKUP($A244,tabCustoUnit[],COLUMN(CUSTO_GLOBAL[[#Headers],[Submódulo 4.2]])-2,0)*($G244-$H244)</f>
        <v>0</v>
      </c>
      <c r="BF244" s="22">
        <f>VLOOKUP($A244,tabCustoUnit[],COLUMN(CUSTO_GLOBAL[[#Headers],[Suspensão Temporária do Contrato de Trabalho]])-2,0)*($G244-$H244)</f>
        <v>0</v>
      </c>
      <c r="BG244" s="22">
        <f>VLOOKUP($A244,tabCustoUnit[],COLUMN(CUSTO_GLOBAL[[#Headers],[Submódulo 4.3]])-2,0)*($G244-$H244)</f>
        <v>0</v>
      </c>
      <c r="BH244" s="22">
        <f>VLOOKUP($A244,tabCustoUnit[],COLUMN(CUSTO_GLOBAL[[#Headers],[MÓDULO 4 – CUSTO DE REPOSIÇÃO DO PROFISSIONAL AUSENTE]])-2,0)*($G244-$H244)</f>
        <v>27.595449135550833</v>
      </c>
      <c r="BI244" s="22">
        <f>VLOOKUP($A244,tabCustoUnit[],COLUMN(CUSTO_GLOBAL[[#Headers],[Uniformes e EPIs]])-2,0)*($G244-$H244)</f>
        <v>100.80916666666666</v>
      </c>
      <c r="BJ244" s="22">
        <f>VLOOKUP($A244,tabCustoUnit[],COLUMN(CUSTO_GLOBAL[[#Headers],[Materiais de Consumo]])-2,0)*($G244-$H244)</f>
        <v>35.518212958583888</v>
      </c>
      <c r="BK244" s="22">
        <f>VLOOKUP($A244,tabCustoUnit[],COLUMN(CUSTO_GLOBAL[[#Headers],[Máquinas e Equipamentos (depreciação)]])-2,0)*($G244-$H244)</f>
        <v>64.529393914825576</v>
      </c>
      <c r="BL244" s="22">
        <f>VLOOKUP($A244,tabCustoUnit[],COLUMN(CUSTO_GLOBAL[[#Headers],[Produtos de Limpeza e Materiais de Higiene Pessoal]])-2,0)*($G244-$H244)</f>
        <v>690.27153277931654</v>
      </c>
      <c r="BM244" s="22">
        <f>VLOOKUP($A244,tabCustoUnit[],COLUMN(CUSTO_GLOBAL[[#Headers],[Outros (especificar)]])-2,0)*($G244-$H244)</f>
        <v>0</v>
      </c>
      <c r="BN244" s="22">
        <f>VLOOKUP($A244,tabCustoUnit[],COLUMN(CUSTO_GLOBAL[[#Headers],[MÓDULO 5 – INSUMOS DIVERSOS]])-2,0)*($G244-$H244)</f>
        <v>891.12830631939266</v>
      </c>
      <c r="BO244" s="22">
        <f>VLOOKUP($A244,tabCustoUnit[],COLUMN(CUSTO_GLOBAL[[#Headers],[TOTAL MÓDULOS 1+2+3+4+5]])-2,0)*($G244-$H244)</f>
        <v>4507.3388091737834</v>
      </c>
      <c r="BP244" s="22">
        <f>VLOOKUP($A244,tabCustoUnit[],COLUMN(CUSTO_GLOBAL[[#Headers],[Custos Indiretos]])-2,0)*($G244-$H244)</f>
        <v>189.64880140242613</v>
      </c>
      <c r="BQ244" s="22">
        <f>VLOOKUP($A244,tabCustoUnit[],COLUMN(CUSTO_GLOBAL[[#Headers],[Lucro]])-2,0)*($G244-$H244)</f>
        <v>159.30499317803796</v>
      </c>
      <c r="BR244" s="26">
        <f>VLOOKUP($A244,tabCustoUnit[],COLUMN(CUSTO_GLOBAL[[#Headers],[COFINS]])-2,0)</f>
        <v>8.6609686609686695E-2</v>
      </c>
      <c r="BS244" s="26">
        <f>VLOOKUP($A244,tabCustoUnit[],COLUMN(CUSTO_GLOBAL[[#Headers],[PIS]])-2,0)</f>
        <v>1.880341880341882E-2</v>
      </c>
      <c r="BT244" s="28">
        <f>VLOOKUP($A244,tabCustoUnit[],COLUMN(CUSTO_GLOBAL[[#Headers],[ISS]])-2,0)</f>
        <v>0.03</v>
      </c>
      <c r="BU244" s="26">
        <f>VLOOKUP($A244,tabCustoUnit[],COLUMN(CUSTO_GLOBAL[[#Headers],[ISS (Conversão Alíquota s/ fatura)]])-2,0)</f>
        <v>3.4188034188034219E-2</v>
      </c>
      <c r="BV244" s="26">
        <f>VLOOKUP($A244,tabCustoUnit[],COLUMN(CUSTO_GLOBAL[[#Headers],[Resumo de Alíquotas (PIS+CONFINS+ISS)]])-2,0)</f>
        <v>0.1225</v>
      </c>
      <c r="BW244" s="138">
        <f>VLOOKUP($A244,tabCustoUnit[],COLUMN(CUSTO_GLOBAL[[#Headers],[PIS + COFINS + ISS (Total Conversão  Alíquota s/ Fatura)]])-2,0)</f>
        <v>0.13960113960113973</v>
      </c>
      <c r="BX244" s="22">
        <f>VLOOKUP($A244,tabCustoUnit[],COLUMN(CUSTO_GLOBAL[[#Headers],[Valor dos Tributos (ISS, PIS, CONFINS)]])-2,0)*($G244-$H244)</f>
        <v>677.94398172067906</v>
      </c>
      <c r="BY244" s="22">
        <f>VLOOKUP($A244,tabCustoUnit[],COLUMN(CUSTO_GLOBAL[[#Headers],[MÓDULO 6 – CUSTOS INDIRETOS, TRIBUTOS E LUCRO]])-2,0)*($G244-$H244)</f>
        <v>1026.897776301143</v>
      </c>
      <c r="BZ244" s="22">
        <f>VLOOKUP($A244,tabCustoUnit[],COLUMN(CUSTO_GLOBAL[[#Headers],[CUSTO TOTAL MENSAL]])-2,0)*($G244-$H244)</f>
        <v>5534.236585474926</v>
      </c>
      <c r="CA244" s="22">
        <f>CUSTO_GLOBAL[[#This Row],[CUSTO TOTAL MENSAL]]*12</f>
        <v>66410.839025699112</v>
      </c>
      <c r="CB244" s="24">
        <f>VLOOKUP($A244,tabCustoUnit[],COLUMN(CUSTO_GLOBAL[[#Headers],[ANO DA CCT]])-2,0)</f>
        <v>45658</v>
      </c>
      <c r="CC244" s="25" t="str">
        <f>VLOOKUP($A244,tabCustoUnit[],COLUMN(CUSTO_GLOBAL[[#Headers],[Nº DE PEDIDO DA CCT]])-2,0)</f>
        <v>-</v>
      </c>
      <c r="CD244" s="25" t="str">
        <f>VLOOKUP($A244,tabCustoUnit[],COLUMN(CUSTO_GLOBAL[[#Headers],[TERMO ADITIVO  ALTERAÇÃO DA CCT]])-2,0)</f>
        <v>-</v>
      </c>
      <c r="CF244" s="22"/>
      <c r="CG244" s="22"/>
    </row>
    <row r="245" spans="1:85" x14ac:dyDescent="0.25">
      <c r="A245" s="20" t="s">
        <v>1580</v>
      </c>
      <c r="B245" t="s">
        <v>221</v>
      </c>
      <c r="C245" t="s">
        <v>1244</v>
      </c>
      <c r="D245" t="s">
        <v>221</v>
      </c>
      <c r="E245" s="20" t="s">
        <v>9</v>
      </c>
      <c r="F245" s="20" t="s">
        <v>10</v>
      </c>
      <c r="G245" s="20">
        <v>1</v>
      </c>
      <c r="H245" s="20">
        <v>0</v>
      </c>
      <c r="I245" s="21">
        <f>VLOOKUP($A245,tabCustoUnit[],COLUMN(CUSTO_GLOBAL[[#Headers],[Salário Base]])-2,0)*($G245-$H245)</f>
        <v>824.56</v>
      </c>
      <c r="J245" s="21">
        <f>VLOOKUP($A245,tabCustoUnit[],COLUMN(CUSTO_GLOBAL[[#Headers],[Adicional Periculosidade]])-2,0)*($G245-$H245)</f>
        <v>0</v>
      </c>
      <c r="K245" s="21">
        <f>VLOOKUP($A245,tabCustoUnit[],COLUMN(CUSTO_GLOBAL[[#Headers],[Adicional Insalubridade]])-2,0)*($G245-$H245)</f>
        <v>0</v>
      </c>
      <c r="L245" s="21">
        <f>VLOOKUP($A245,tabCustoUnit[],COLUMN(CUSTO_GLOBAL[[#Headers],[Adicional Noturno]])-2,0)*($G245-$H245)</f>
        <v>0</v>
      </c>
      <c r="M245" s="21">
        <f>VLOOKUP($A245,tabCustoUnit[],COLUMN(CUSTO_GLOBAL[[#Headers],[Adicional Motorista II (Gratificação)]])-2,0)*($G245-$H245)</f>
        <v>0</v>
      </c>
      <c r="N245" s="21">
        <f>VLOOKUP($A245,tabCustoUnit[],COLUMN(CUSTO_GLOBAL[[#Headers],[Adicional de Sobreaviso]])-2,0)*($G245-$H245)</f>
        <v>0</v>
      </c>
      <c r="O245" s="21">
        <f>VLOOKUP($A245,tabCustoUnit[],COLUMN(CUSTO_GLOBAL[[#Headers],[Horas Extras TI]])-2,0)*($G245-$H245)</f>
        <v>0</v>
      </c>
      <c r="P245" s="21">
        <f>VLOOKUP($A245,tabCustoUnit[],COLUMN(CUSTO_GLOBAL[[#Headers],[Adicional de Acúmulo de função]])-2,0)*($G245-$H245)</f>
        <v>26.985600000000002</v>
      </c>
      <c r="Q245" s="21">
        <f>VLOOKUP($A245,tabCustoUnit[],COLUMN(CUSTO_GLOBAL[[#Headers],[MODULO 1 - REMUNERAÇÃO ]])-2,0)*($G245-$H245)</f>
        <v>851.54559999999992</v>
      </c>
      <c r="R245" s="21">
        <f>VLOOKUP($A245,tabCustoUnit[],COLUMN(CUSTO_GLOBAL[[#Headers],[INSS]])-2,0)*($G245-$H245)</f>
        <v>170.30912000000001</v>
      </c>
      <c r="S245" s="21">
        <f>VLOOKUP($A245,tabCustoUnit[],COLUMN(CUSTO_GLOBAL[[#Headers],[SESI OU SESC]])-2,0)*($G245-$H245)</f>
        <v>12.773183999999999</v>
      </c>
      <c r="T245" s="21">
        <f>VLOOKUP($A245,tabCustoUnit[],COLUMN(CUSTO_GLOBAL[[#Headers],[SENAI OU SENAC]])-2,0)*($G245-$H245)</f>
        <v>8.5154559999999986</v>
      </c>
      <c r="U245" s="21">
        <f>VLOOKUP($A245,tabCustoUnit[],COLUMN(CUSTO_GLOBAL[[#Headers],[INCRA]])-2,0)*($G245-$H245)</f>
        <v>1.7030911999999998</v>
      </c>
      <c r="V245" s="21">
        <f>VLOOKUP($A245,tabCustoUnit[],COLUMN(CUSTO_GLOBAL[[#Headers],[Salário Educação]])-2,0)*($G245-$H245)</f>
        <v>21.288640000000001</v>
      </c>
      <c r="W245" s="21">
        <f>VLOOKUP($A245,tabCustoUnit[],COLUMN(CUSTO_GLOBAL[[#Headers],[FGTS]])-2,0)*($G245-$H245)</f>
        <v>68.123647999999989</v>
      </c>
      <c r="X245" s="21">
        <f>VLOOKUP($A245,tabCustoUnit[],COLUMN(CUSTO_GLOBAL[[#Headers],[RAT Ajustado]])-2,0)*($G245-$H245)</f>
        <v>34.061823999999994</v>
      </c>
      <c r="Y245" s="21">
        <f>VLOOKUP($A245,tabCustoUnit[],COLUMN(CUSTO_GLOBAL[[#Headers],[SEBRAE]])-2,0)*($G245-$H245)</f>
        <v>5.1092735999999999</v>
      </c>
      <c r="Z245" s="21">
        <f>VLOOKUP($A245,tabCustoUnit[],COLUMN(CUSTO_GLOBAL[[#Headers],[Submódulo 2.1]])-2,0)*($G245-$H245)</f>
        <v>321.8842368</v>
      </c>
      <c r="AA245" s="21">
        <f>VLOOKUP($A245,tabCustoUnit[],COLUMN(CUSTO_GLOBAL[[#Headers],[13º salário (titular)]])-2,0)*($G245-$H245)</f>
        <v>70.962133333333327</v>
      </c>
      <c r="AB245" s="21">
        <f>VLOOKUP($A245,tabCustoUnit[],COLUMN(CUSTO_GLOBAL[[#Headers],[Férias e Adicional de Férias (titular)]])-2,0)*($G245-$H245)</f>
        <v>94.616177777777764</v>
      </c>
      <c r="AC245" s="21">
        <f>VLOOKUP($A245,tabCustoUnit[],COLUMN(CUSTO_GLOBAL[[#Headers],[Incidência do Submódulo 2.1 sobre 13º Salário, Férias e Adicional de Férias]])-2,0)*($G245-$H245)</f>
        <v>62.588601599999997</v>
      </c>
      <c r="AD245" s="21">
        <f>VLOOKUP($A245,tabCustoUnit[],COLUMN(CUSTO_GLOBAL[[#Headers],[Submódulo 2.2]])-2,0)*($G245-$H245)</f>
        <v>228.16691271111108</v>
      </c>
      <c r="AE245" s="22">
        <f>VLOOKUP($A245,tabCustoUnit[],COLUMN(CUSTO_GLOBAL[[#Headers],[Vale - Transporte (Descontada parcela do empregado)]])-2,0)*($G245-$H245)</f>
        <v>206.5264</v>
      </c>
      <c r="AF245" s="22">
        <f>VLOOKUP($A245,tabCustoUnit[],COLUMN(CUSTO_GLOBAL[[#Headers],[Vale - Alimentação (Descontada parcela do empregado)]])-2,0)*($G245-$H245)</f>
        <v>582</v>
      </c>
      <c r="AG245" s="22">
        <f>VLOOKUP($A245,tabCustoUnit[],COLUMN(CUSTO_GLOBAL[[#Headers],[Cesta Básica]])-2,0)*($G245-$H245)</f>
        <v>0</v>
      </c>
      <c r="AH245" s="22">
        <f>VLOOKUP($A245,tabCustoUnit[],COLUMN(CUSTO_GLOBAL[[#Headers],[PAF]])-2,0)*($G245-$H245)</f>
        <v>51.86</v>
      </c>
      <c r="AI245" s="22">
        <f>VLOOKUP($A245,tabCustoUnit[],COLUMN(CUSTO_GLOBAL[[#Headers],[PQM]])-2,0)*($G245-$H245)</f>
        <v>0</v>
      </c>
      <c r="AJ245" s="22">
        <v>0</v>
      </c>
      <c r="AK245" s="22">
        <f>VLOOKUP($A245,tabCustoUnit[],COLUMN(CUSTO_GLOBAL[[#Headers],[Seguro de Vida]])-2,0)*($G245-$H245)</f>
        <v>3.36</v>
      </c>
      <c r="AL245" s="22">
        <f>VLOOKUP($A245,tabCustoUnit[],COLUMN(CUSTO_GLOBAL[[#Headers],[Despesas de Viagem]])-2,0)*($G245-$H245)</f>
        <v>0</v>
      </c>
      <c r="AM245" s="22">
        <f>VLOOKUP($A245,tabCustoUnit[],COLUMN(CUSTO_GLOBAL[[#Headers],[Submódulo 2.3]])-2,0)*($G245-$H245)</f>
        <v>843.74639999999999</v>
      </c>
      <c r="AN245" s="22">
        <f>VLOOKUP($A245,tabCustoUnit[],COLUMN(CUSTO_GLOBAL[[#Headers],[MÓDULO 2 - Total Encargos e Benefícios mensais e diários]])-2,0)*($G245-$H245)</f>
        <v>1393.7975495111111</v>
      </c>
      <c r="AO245" s="22">
        <f>VLOOKUP($A245,tabCustoUnit[],COLUMN(CUSTO_GLOBAL[[#Headers],[Aviso Prévio Indenizado (API) e Reflexo do Aviso Prévio Indenizado]])-2,0)*($G245-$H245)</f>
        <v>5.970839316049382</v>
      </c>
      <c r="AP245" s="22">
        <f>VLOOKUP($A245,tabCustoUnit[],COLUMN(CUSTO_GLOBAL[[#Headers],[Incidência do FGTS sobre API e Reflexo do API]])-2,0)*($G245-$H245)</f>
        <v>0.4776671452839506</v>
      </c>
      <c r="AQ245" s="22">
        <f>VLOOKUP($A245,tabCustoUnit[],COLUMN(CUSTO_GLOBAL[[#Headers],[Multa Rescisória do FGTS sobre o Aviso Prévio Indenizado]])-2,0)*($G245-$H245)</f>
        <v>0.19106685811358026</v>
      </c>
      <c r="AR245" s="22">
        <f>VLOOKUP($A245,tabCustoUnit[],COLUMN(CUSTO_GLOBAL[[#Headers],[Aviso Prévio Trabalhado - APT]])-2,0)*($G245-$H245)</f>
        <v>2.9804096000000002</v>
      </c>
      <c r="AS245" s="22">
        <f>VLOOKUP($A245,tabCustoUnit[],COLUMN(CUSTO_GLOBAL[[#Headers],[Incidência dos encargos do submódulo 2.1 sobre Aviso Prévio Trabalhado]])-2,0)*($G245-$H245)</f>
        <v>1.1265948288000003</v>
      </c>
      <c r="AT245" s="22">
        <f>VLOOKUP($A245,tabCustoUnit[],COLUMN(CUSTO_GLOBAL[[#Headers],[Multa Rescisória do FGTS]])-2,0)*($G245-$H245)</f>
        <v>26.038372124444439</v>
      </c>
      <c r="AU245" s="22">
        <f>VLOOKUP($A245,tabCustoUnit[],COLUMN(CUSTO_GLOBAL[[#Headers],[Indenização Adicional (Art. 9º da Lei nº 7.238/84)]])-2,0)*($G245-$H245)</f>
        <v>0.70962133333333333</v>
      </c>
      <c r="AV245" s="22">
        <f>VLOOKUP($A245,tabCustoUnit[],COLUMN(CUSTO_GLOBAL[[#Headers],[MÓDULO 3 – PROVISÃO PARA RESCISÃO]])-2,0)*($G245-$H245)</f>
        <v>37.494571206024688</v>
      </c>
      <c r="AW245" s="22">
        <f>VLOOKUP($A245,tabCustoUnit[],COLUMN(CUSTO_GLOBAL[[#Headers],[Ausência por Doença]])-2,0)*($G245-$H245)</f>
        <v>7.1908295111111098</v>
      </c>
      <c r="AX245" s="22">
        <f>VLOOKUP($A245,tabCustoUnit[],COLUMN(CUSTO_GLOBAL[[#Headers],[Ausências Legais]])-2,0)*($G245-$H245)</f>
        <v>1.7267452444444442</v>
      </c>
      <c r="AY245" s="22">
        <f>VLOOKUP($A245,tabCustoUnit[],COLUMN(CUSTO_GLOBAL[[#Headers],[Licença Paternidade]])-2,0)*($G245-$H245)</f>
        <v>0.14547237333333332</v>
      </c>
      <c r="AZ245" s="22">
        <f>VLOOKUP($A245,tabCustoUnit[],COLUMN(CUSTO_GLOBAL[[#Headers],[Ausência por Acidente de Trabalho]])-2,0)*($G245-$H245)</f>
        <v>0.17740533333333333</v>
      </c>
      <c r="BA245" s="22">
        <f>VLOOKUP($A245,tabCustoUnit[],COLUMN(CUSTO_GLOBAL[[#Headers],[Férias, Adicional de Férias e 13º  com empregada em gozo de Licença Maternidade]])-2,0)*($G245-$H245)</f>
        <v>1.1038554074074072</v>
      </c>
      <c r="BB245" s="22">
        <f>VLOOKUP($A245,tabCustoUnit[],COLUMN(CUSTO_GLOBAL[[#Headers],[Incidência do Submódulo 2.1 sobre Ausências Legais]])-2,0)*($G245-$H245)</f>
        <v>3.9101483747200003</v>
      </c>
      <c r="BC245" s="22">
        <f>VLOOKUP($A245,tabCustoUnit[],COLUMN(CUSTO_GLOBAL[[#Headers],[Submódulo 4.1]])-2,0)*($G245-$H245)</f>
        <v>14.254456244349628</v>
      </c>
      <c r="BD245" s="22">
        <f>VLOOKUP($A245,tabCustoUnit[],COLUMN(CUSTO_GLOBAL[[#Headers],[Intervalo para Repouso ou Alimentação]])-2,0)*($G245-$H245)</f>
        <v>0</v>
      </c>
      <c r="BE245" s="22">
        <f>VLOOKUP($A245,tabCustoUnit[],COLUMN(CUSTO_GLOBAL[[#Headers],[Submódulo 4.2]])-2,0)*($G245-$H245)</f>
        <v>0</v>
      </c>
      <c r="BF245" s="22">
        <f>VLOOKUP($A245,tabCustoUnit[],COLUMN(CUSTO_GLOBAL[[#Headers],[Suspensão Temporária do Contrato de Trabalho]])-2,0)*($G245-$H245)</f>
        <v>0</v>
      </c>
      <c r="BG245" s="22">
        <f>VLOOKUP($A245,tabCustoUnit[],COLUMN(CUSTO_GLOBAL[[#Headers],[Submódulo 4.3]])-2,0)*($G245-$H245)</f>
        <v>0</v>
      </c>
      <c r="BH245" s="22">
        <f>VLOOKUP($A245,tabCustoUnit[],COLUMN(CUSTO_GLOBAL[[#Headers],[MÓDULO 4 – CUSTO DE REPOSIÇÃO DO PROFISSIONAL AUSENTE]])-2,0)*($G245-$H245)</f>
        <v>14.254456244349628</v>
      </c>
      <c r="BI245" s="22">
        <f>VLOOKUP($A245,tabCustoUnit[],COLUMN(CUSTO_GLOBAL[[#Headers],[Uniformes e EPIs]])-2,0)*($G245-$H245)</f>
        <v>62.806666666666665</v>
      </c>
      <c r="BJ245" s="22">
        <f>VLOOKUP($A245,tabCustoUnit[],COLUMN(CUSTO_GLOBAL[[#Headers],[Materiais de Consumo]])-2,0)*($G245-$H245)</f>
        <v>17.759106479291944</v>
      </c>
      <c r="BK245" s="22">
        <f>VLOOKUP($A245,tabCustoUnit[],COLUMN(CUSTO_GLOBAL[[#Headers],[Máquinas e Equipamentos (depreciação)]])-2,0)*($G245-$H245)</f>
        <v>32.264696957412788</v>
      </c>
      <c r="BL245" s="22">
        <f>VLOOKUP($A245,tabCustoUnit[],COLUMN(CUSTO_GLOBAL[[#Headers],[Produtos de Limpeza e Materiais de Higiene Pessoal]])-2,0)*($G245-$H245)</f>
        <v>345.13576638965827</v>
      </c>
      <c r="BM245" s="22">
        <f>VLOOKUP($A245,tabCustoUnit[],COLUMN(CUSTO_GLOBAL[[#Headers],[Outros (especificar)]])-2,0)*($G245-$H245)</f>
        <v>0</v>
      </c>
      <c r="BN245" s="22">
        <f>VLOOKUP($A245,tabCustoUnit[],COLUMN(CUSTO_GLOBAL[[#Headers],[MÓDULO 5 – INSUMOS DIVERSOS]])-2,0)*($G245-$H245)</f>
        <v>457.96623649302967</v>
      </c>
      <c r="BO245" s="22">
        <f>VLOOKUP($A245,tabCustoUnit[],COLUMN(CUSTO_GLOBAL[[#Headers],[TOTAL MÓDULOS 1+2+3+4+5]])-2,0)*($G245-$H245)</f>
        <v>2755.0584134545147</v>
      </c>
      <c r="BP245" s="22">
        <f>VLOOKUP($A245,tabCustoUnit[],COLUMN(CUSTO_GLOBAL[[#Headers],[Custos Indiretos]])-2,0)*($G245-$H245)</f>
        <v>189.64880140242613</v>
      </c>
      <c r="BQ245" s="22">
        <f>VLOOKUP($A245,tabCustoUnit[],COLUMN(CUSTO_GLOBAL[[#Headers],[Lucro]])-2,0)*($G245-$H245)</f>
        <v>159.30499317803796</v>
      </c>
      <c r="BR245" s="26">
        <f>VLOOKUP($A245,tabCustoUnit[],COLUMN(CUSTO_GLOBAL[[#Headers],[COFINS]])-2,0)</f>
        <v>8.6609686609686695E-2</v>
      </c>
      <c r="BS245" s="26">
        <f>VLOOKUP($A245,tabCustoUnit[],COLUMN(CUSTO_GLOBAL[[#Headers],[PIS]])-2,0)</f>
        <v>1.880341880341882E-2</v>
      </c>
      <c r="BT245" s="28">
        <f>VLOOKUP($A245,tabCustoUnit[],COLUMN(CUSTO_GLOBAL[[#Headers],[ISS]])-2,0)</f>
        <v>0.03</v>
      </c>
      <c r="BU245" s="26">
        <f>VLOOKUP($A245,tabCustoUnit[],COLUMN(CUSTO_GLOBAL[[#Headers],[ISS (Conversão Alíquota s/ fatura)]])-2,0)</f>
        <v>3.4188034188034219E-2</v>
      </c>
      <c r="BV245" s="26">
        <f>VLOOKUP($A245,tabCustoUnit[],COLUMN(CUSTO_GLOBAL[[#Headers],[Resumo de Alíquotas (PIS+CONFINS+ISS)]])-2,0)</f>
        <v>0.1225</v>
      </c>
      <c r="BW245" s="138">
        <f>VLOOKUP($A245,tabCustoUnit[],COLUMN(CUSTO_GLOBAL[[#Headers],[PIS + COFINS + ISS (Total Conversão  Alíquota s/ Fatura)]])-2,0)</f>
        <v>0.13960113960113973</v>
      </c>
      <c r="BX245" s="22">
        <f>VLOOKUP($A245,tabCustoUnit[],COLUMN(CUSTO_GLOBAL[[#Headers],[Valor dos Tributos (ISS, PIS, CONFINS)]])-2,0)*($G245-$H245)</f>
        <v>433.32364157753307</v>
      </c>
      <c r="BY245" s="22">
        <f>VLOOKUP($A245,tabCustoUnit[],COLUMN(CUSTO_GLOBAL[[#Headers],[MÓDULO 6 – CUSTOS INDIRETOS, TRIBUTOS E LUCRO]])-2,0)*($G245-$H245)</f>
        <v>782.27743615799716</v>
      </c>
      <c r="BZ245" s="22">
        <f>VLOOKUP($A245,tabCustoUnit[],COLUMN(CUSTO_GLOBAL[[#Headers],[CUSTO TOTAL MENSAL]])-2,0)*($G245-$H245)</f>
        <v>3537.335849612512</v>
      </c>
      <c r="CA245" s="22">
        <f>CUSTO_GLOBAL[[#This Row],[CUSTO TOTAL MENSAL]]*12</f>
        <v>42448.030195350148</v>
      </c>
      <c r="CB245" s="24">
        <f>VLOOKUP($A245,tabCustoUnit[],COLUMN(CUSTO_GLOBAL[[#Headers],[ANO DA CCT]])-2,0)</f>
        <v>45658</v>
      </c>
      <c r="CC245" s="25" t="str">
        <f>VLOOKUP($A245,tabCustoUnit[],COLUMN(CUSTO_GLOBAL[[#Headers],[Nº DE PEDIDO DA CCT]])-2,0)</f>
        <v>-</v>
      </c>
      <c r="CD245" s="25" t="str">
        <f>VLOOKUP($A245,tabCustoUnit[],COLUMN(CUSTO_GLOBAL[[#Headers],[TERMO ADITIVO  ALTERAÇÃO DA CCT]])-2,0)</f>
        <v>-</v>
      </c>
      <c r="CF245" s="22"/>
      <c r="CG245" s="22"/>
    </row>
    <row r="246" spans="1:85" x14ac:dyDescent="0.25">
      <c r="A246" s="20" t="s">
        <v>1581</v>
      </c>
      <c r="B246" t="s">
        <v>221</v>
      </c>
      <c r="C246" t="s">
        <v>1245</v>
      </c>
      <c r="D246" t="s">
        <v>221</v>
      </c>
      <c r="E246" s="20" t="s">
        <v>9</v>
      </c>
      <c r="F246" s="20" t="s">
        <v>10</v>
      </c>
      <c r="G246" s="20">
        <v>4</v>
      </c>
      <c r="H246" s="20">
        <v>0</v>
      </c>
      <c r="I246" s="21">
        <f>VLOOKUP($A246,tabCustoUnit[],COLUMN(CUSTO_GLOBAL[[#Headers],[Salário Base]])-2,0)*($G246-$H246)</f>
        <v>6596.48</v>
      </c>
      <c r="J246" s="21">
        <f>VLOOKUP($A246,tabCustoUnit[],COLUMN(CUSTO_GLOBAL[[#Headers],[Adicional Periculosidade]])-2,0)*($G246-$H246)</f>
        <v>0</v>
      </c>
      <c r="K246" s="21">
        <f>VLOOKUP($A246,tabCustoUnit[],COLUMN(CUSTO_GLOBAL[[#Headers],[Adicional Insalubridade]])-2,0)*($G246-$H246)</f>
        <v>0</v>
      </c>
      <c r="L246" s="21">
        <f>VLOOKUP($A246,tabCustoUnit[],COLUMN(CUSTO_GLOBAL[[#Headers],[Adicional Noturno]])-2,0)*($G246-$H246)</f>
        <v>0</v>
      </c>
      <c r="M246" s="21">
        <f>VLOOKUP($A246,tabCustoUnit[],COLUMN(CUSTO_GLOBAL[[#Headers],[Adicional Motorista II (Gratificação)]])-2,0)*($G246-$H246)</f>
        <v>0</v>
      </c>
      <c r="N246" s="21">
        <f>VLOOKUP($A246,tabCustoUnit[],COLUMN(CUSTO_GLOBAL[[#Headers],[Adicional de Sobreaviso]])-2,0)*($G246-$H246)</f>
        <v>0</v>
      </c>
      <c r="O246" s="21">
        <f>VLOOKUP($A246,tabCustoUnit[],COLUMN(CUSTO_GLOBAL[[#Headers],[Horas Extras TI]])-2,0)*($G246-$H246)</f>
        <v>0</v>
      </c>
      <c r="P246" s="21">
        <f>VLOOKUP($A246,tabCustoUnit[],COLUMN(CUSTO_GLOBAL[[#Headers],[Adicional de Acúmulo de função]])-2,0)*($G246-$H246)</f>
        <v>215.88480000000001</v>
      </c>
      <c r="Q246" s="21">
        <f>VLOOKUP($A246,tabCustoUnit[],COLUMN(CUSTO_GLOBAL[[#Headers],[MODULO 1 - REMUNERAÇÃO ]])-2,0)*($G246-$H246)</f>
        <v>6812.3647999999994</v>
      </c>
      <c r="R246" s="21">
        <f>VLOOKUP($A246,tabCustoUnit[],COLUMN(CUSTO_GLOBAL[[#Headers],[INSS]])-2,0)*($G246-$H246)</f>
        <v>1362.4729600000001</v>
      </c>
      <c r="S246" s="21">
        <f>VLOOKUP($A246,tabCustoUnit[],COLUMN(CUSTO_GLOBAL[[#Headers],[SESI OU SESC]])-2,0)*($G246-$H246)</f>
        <v>102.18547199999999</v>
      </c>
      <c r="T246" s="21">
        <f>VLOOKUP($A246,tabCustoUnit[],COLUMN(CUSTO_GLOBAL[[#Headers],[SENAI OU SENAC]])-2,0)*($G246-$H246)</f>
        <v>68.123647999999989</v>
      </c>
      <c r="U246" s="21">
        <f>VLOOKUP($A246,tabCustoUnit[],COLUMN(CUSTO_GLOBAL[[#Headers],[INCRA]])-2,0)*($G246-$H246)</f>
        <v>13.624729599999998</v>
      </c>
      <c r="V246" s="21">
        <f>VLOOKUP($A246,tabCustoUnit[],COLUMN(CUSTO_GLOBAL[[#Headers],[Salário Educação]])-2,0)*($G246-$H246)</f>
        <v>170.30912000000001</v>
      </c>
      <c r="W246" s="21">
        <f>VLOOKUP($A246,tabCustoUnit[],COLUMN(CUSTO_GLOBAL[[#Headers],[FGTS]])-2,0)*($G246-$H246)</f>
        <v>544.98918399999991</v>
      </c>
      <c r="X246" s="21">
        <f>VLOOKUP($A246,tabCustoUnit[],COLUMN(CUSTO_GLOBAL[[#Headers],[RAT Ajustado]])-2,0)*($G246-$H246)</f>
        <v>272.49459199999995</v>
      </c>
      <c r="Y246" s="21">
        <f>VLOOKUP($A246,tabCustoUnit[],COLUMN(CUSTO_GLOBAL[[#Headers],[SEBRAE]])-2,0)*($G246-$H246)</f>
        <v>40.874188799999999</v>
      </c>
      <c r="Z246" s="21">
        <f>VLOOKUP($A246,tabCustoUnit[],COLUMN(CUSTO_GLOBAL[[#Headers],[Submódulo 2.1]])-2,0)*($G246-$H246)</f>
        <v>2575.0738944</v>
      </c>
      <c r="AA246" s="21">
        <f>VLOOKUP($A246,tabCustoUnit[],COLUMN(CUSTO_GLOBAL[[#Headers],[13º salário (titular)]])-2,0)*($G246-$H246)</f>
        <v>567.69706666666661</v>
      </c>
      <c r="AB246" s="21">
        <f>VLOOKUP($A246,tabCustoUnit[],COLUMN(CUSTO_GLOBAL[[#Headers],[Férias e Adicional de Férias (titular)]])-2,0)*($G246-$H246)</f>
        <v>756.92942222222212</v>
      </c>
      <c r="AC246" s="21">
        <f>VLOOKUP($A246,tabCustoUnit[],COLUMN(CUSTO_GLOBAL[[#Headers],[Incidência do Submódulo 2.1 sobre 13º Salário, Férias e Adicional de Férias]])-2,0)*($G246-$H246)</f>
        <v>500.70881279999998</v>
      </c>
      <c r="AD246" s="21">
        <f>VLOOKUP($A246,tabCustoUnit[],COLUMN(CUSTO_GLOBAL[[#Headers],[Submódulo 2.2]])-2,0)*($G246-$H246)</f>
        <v>1825.3353016888886</v>
      </c>
      <c r="AE246" s="22">
        <f>VLOOKUP($A246,tabCustoUnit[],COLUMN(CUSTO_GLOBAL[[#Headers],[Vale - Transporte (Descontada parcela do empregado)]])-2,0)*($G246-$H246)</f>
        <v>628.21119999999996</v>
      </c>
      <c r="AF246" s="22">
        <f>VLOOKUP($A246,tabCustoUnit[],COLUMN(CUSTO_GLOBAL[[#Headers],[Vale - Alimentação (Descontada parcela do empregado)]])-2,0)*($G246-$H246)</f>
        <v>2328</v>
      </c>
      <c r="AG246" s="22">
        <f>VLOOKUP($A246,tabCustoUnit[],COLUMN(CUSTO_GLOBAL[[#Headers],[Cesta Básica]])-2,0)*($G246-$H246)</f>
        <v>0</v>
      </c>
      <c r="AH246" s="22">
        <f>VLOOKUP($A246,tabCustoUnit[],COLUMN(CUSTO_GLOBAL[[#Headers],[PAF]])-2,0)*($G246-$H246)</f>
        <v>207.44</v>
      </c>
      <c r="AI246" s="22">
        <f>VLOOKUP($A246,tabCustoUnit[],COLUMN(CUSTO_GLOBAL[[#Headers],[PQM]])-2,0)*($G246-$H246)</f>
        <v>0</v>
      </c>
      <c r="AJ246" s="22">
        <v>0</v>
      </c>
      <c r="AK246" s="22">
        <f>VLOOKUP($A246,tabCustoUnit[],COLUMN(CUSTO_GLOBAL[[#Headers],[Seguro de Vida]])-2,0)*($G246-$H246)</f>
        <v>13.44</v>
      </c>
      <c r="AL246" s="22">
        <f>VLOOKUP($A246,tabCustoUnit[],COLUMN(CUSTO_GLOBAL[[#Headers],[Despesas de Viagem]])-2,0)*($G246-$H246)</f>
        <v>0</v>
      </c>
      <c r="AM246" s="22">
        <f>VLOOKUP($A246,tabCustoUnit[],COLUMN(CUSTO_GLOBAL[[#Headers],[Submódulo 2.3]])-2,0)*($G246-$H246)</f>
        <v>3177.0911999999998</v>
      </c>
      <c r="AN246" s="22">
        <f>VLOOKUP($A246,tabCustoUnit[],COLUMN(CUSTO_GLOBAL[[#Headers],[MÓDULO 2 - Total Encargos e Benefícios mensais e diários]])-2,0)*($G246-$H246)</f>
        <v>7577.5003960888889</v>
      </c>
      <c r="AO246" s="22">
        <f>VLOOKUP($A246,tabCustoUnit[],COLUMN(CUSTO_GLOBAL[[#Headers],[Aviso Prévio Indenizado (API) e Reflexo do Aviso Prévio Indenizado]])-2,0)*($G246-$H246)</f>
        <v>47.766714528395056</v>
      </c>
      <c r="AP246" s="22">
        <f>VLOOKUP($A246,tabCustoUnit[],COLUMN(CUSTO_GLOBAL[[#Headers],[Incidência do FGTS sobre API e Reflexo do API]])-2,0)*($G246-$H246)</f>
        <v>3.8213371622716048</v>
      </c>
      <c r="AQ246" s="22">
        <f>VLOOKUP($A246,tabCustoUnit[],COLUMN(CUSTO_GLOBAL[[#Headers],[Multa Rescisória do FGTS sobre o Aviso Prévio Indenizado]])-2,0)*($G246-$H246)</f>
        <v>1.5285348649086421</v>
      </c>
      <c r="AR246" s="22">
        <f>VLOOKUP($A246,tabCustoUnit[],COLUMN(CUSTO_GLOBAL[[#Headers],[Aviso Prévio Trabalhado - APT]])-2,0)*($G246-$H246)</f>
        <v>23.843276800000002</v>
      </c>
      <c r="AS246" s="22">
        <f>VLOOKUP($A246,tabCustoUnit[],COLUMN(CUSTO_GLOBAL[[#Headers],[Incidência dos encargos do submódulo 2.1 sobre Aviso Prévio Trabalhado]])-2,0)*($G246-$H246)</f>
        <v>9.0127586304000022</v>
      </c>
      <c r="AT246" s="22">
        <f>VLOOKUP($A246,tabCustoUnit[],COLUMN(CUSTO_GLOBAL[[#Headers],[Multa Rescisória do FGTS]])-2,0)*($G246-$H246)</f>
        <v>208.30697699555552</v>
      </c>
      <c r="AU246" s="22">
        <f>VLOOKUP($A246,tabCustoUnit[],COLUMN(CUSTO_GLOBAL[[#Headers],[Indenização Adicional (Art. 9º da Lei nº 7.238/84)]])-2,0)*($G246-$H246)</f>
        <v>5.6769706666666666</v>
      </c>
      <c r="AV246" s="22">
        <f>VLOOKUP($A246,tabCustoUnit[],COLUMN(CUSTO_GLOBAL[[#Headers],[MÓDULO 3 – PROVISÃO PARA RESCISÃO]])-2,0)*($G246-$H246)</f>
        <v>299.9565696481975</v>
      </c>
      <c r="AW246" s="22">
        <f>VLOOKUP($A246,tabCustoUnit[],COLUMN(CUSTO_GLOBAL[[#Headers],[Ausência por Doença]])-2,0)*($G246-$H246)</f>
        <v>57.526636088888878</v>
      </c>
      <c r="AX246" s="22">
        <f>VLOOKUP($A246,tabCustoUnit[],COLUMN(CUSTO_GLOBAL[[#Headers],[Ausências Legais]])-2,0)*($G246-$H246)</f>
        <v>13.813961955555554</v>
      </c>
      <c r="AY246" s="22">
        <f>VLOOKUP($A246,tabCustoUnit[],COLUMN(CUSTO_GLOBAL[[#Headers],[Licença Paternidade]])-2,0)*($G246-$H246)</f>
        <v>1.1637789866666666</v>
      </c>
      <c r="AZ246" s="22">
        <f>VLOOKUP($A246,tabCustoUnit[],COLUMN(CUSTO_GLOBAL[[#Headers],[Ausência por Acidente de Trabalho]])-2,0)*($G246-$H246)</f>
        <v>1.4192426666666667</v>
      </c>
      <c r="BA246" s="22">
        <f>VLOOKUP($A246,tabCustoUnit[],COLUMN(CUSTO_GLOBAL[[#Headers],[Férias, Adicional de Férias e 13º  com empregada em gozo de Licença Maternidade]])-2,0)*($G246-$H246)</f>
        <v>8.8308432592592574</v>
      </c>
      <c r="BB246" s="22">
        <f>VLOOKUP($A246,tabCustoUnit[],COLUMN(CUSTO_GLOBAL[[#Headers],[Incidência do Submódulo 2.1 sobre Ausências Legais]])-2,0)*($G246-$H246)</f>
        <v>31.281186997760003</v>
      </c>
      <c r="BC246" s="22">
        <f>VLOOKUP($A246,tabCustoUnit[],COLUMN(CUSTO_GLOBAL[[#Headers],[Submódulo 4.1]])-2,0)*($G246-$H246)</f>
        <v>114.03564995479702</v>
      </c>
      <c r="BD246" s="22">
        <f>VLOOKUP($A246,tabCustoUnit[],COLUMN(CUSTO_GLOBAL[[#Headers],[Intervalo para Repouso ou Alimentação]])-2,0)*($G246-$H246)</f>
        <v>0</v>
      </c>
      <c r="BE246" s="22">
        <f>VLOOKUP($A246,tabCustoUnit[],COLUMN(CUSTO_GLOBAL[[#Headers],[Submódulo 4.2]])-2,0)*($G246-$H246)</f>
        <v>0</v>
      </c>
      <c r="BF246" s="22">
        <f>VLOOKUP($A246,tabCustoUnit[],COLUMN(CUSTO_GLOBAL[[#Headers],[Suspensão Temporária do Contrato de Trabalho]])-2,0)*($G246-$H246)</f>
        <v>0</v>
      </c>
      <c r="BG246" s="22">
        <f>VLOOKUP($A246,tabCustoUnit[],COLUMN(CUSTO_GLOBAL[[#Headers],[Submódulo 4.3]])-2,0)*($G246-$H246)</f>
        <v>0</v>
      </c>
      <c r="BH246" s="22">
        <f>VLOOKUP($A246,tabCustoUnit[],COLUMN(CUSTO_GLOBAL[[#Headers],[MÓDULO 4 – CUSTO DE REPOSIÇÃO DO PROFISSIONAL AUSENTE]])-2,0)*($G246-$H246)</f>
        <v>114.03564995479702</v>
      </c>
      <c r="BI246" s="22">
        <f>VLOOKUP($A246,tabCustoUnit[],COLUMN(CUSTO_GLOBAL[[#Headers],[Uniformes e EPIs]])-2,0)*($G246-$H246)</f>
        <v>403.23666666666662</v>
      </c>
      <c r="BJ246" s="22">
        <f>VLOOKUP($A246,tabCustoUnit[],COLUMN(CUSTO_GLOBAL[[#Headers],[Materiais de Consumo]])-2,0)*($G246-$H246)</f>
        <v>142.07285183433555</v>
      </c>
      <c r="BK246" s="22">
        <f>VLOOKUP($A246,tabCustoUnit[],COLUMN(CUSTO_GLOBAL[[#Headers],[Máquinas e Equipamentos (depreciação)]])-2,0)*($G246-$H246)</f>
        <v>258.1175756593023</v>
      </c>
      <c r="BL246" s="22">
        <f>VLOOKUP($A246,tabCustoUnit[],COLUMN(CUSTO_GLOBAL[[#Headers],[Produtos de Limpeza e Materiais de Higiene Pessoal]])-2,0)*($G246-$H246)</f>
        <v>2761.0861311172662</v>
      </c>
      <c r="BM246" s="22">
        <f>VLOOKUP($A246,tabCustoUnit[],COLUMN(CUSTO_GLOBAL[[#Headers],[Outros (especificar)]])-2,0)*($G246-$H246)</f>
        <v>0</v>
      </c>
      <c r="BN246" s="22">
        <f>VLOOKUP($A246,tabCustoUnit[],COLUMN(CUSTO_GLOBAL[[#Headers],[MÓDULO 5 – INSUMOS DIVERSOS]])-2,0)*($G246-$H246)</f>
        <v>3564.5132252775707</v>
      </c>
      <c r="BO246" s="22">
        <f>VLOOKUP($A246,tabCustoUnit[],COLUMN(CUSTO_GLOBAL[[#Headers],[TOTAL MÓDULOS 1+2+3+4+5]])-2,0)*($G246-$H246)</f>
        <v>18368.370640969453</v>
      </c>
      <c r="BP246" s="22">
        <f>VLOOKUP($A246,tabCustoUnit[],COLUMN(CUSTO_GLOBAL[[#Headers],[Custos Indiretos]])-2,0)*($G246-$H246)</f>
        <v>758.59520560970452</v>
      </c>
      <c r="BQ246" s="22">
        <f>VLOOKUP($A246,tabCustoUnit[],COLUMN(CUSTO_GLOBAL[[#Headers],[Lucro]])-2,0)*($G246-$H246)</f>
        <v>637.21997271215184</v>
      </c>
      <c r="BR246" s="26">
        <f>VLOOKUP($A246,tabCustoUnit[],COLUMN(CUSTO_GLOBAL[[#Headers],[COFINS]])-2,0)</f>
        <v>8.6609686609686695E-2</v>
      </c>
      <c r="BS246" s="26">
        <f>VLOOKUP($A246,tabCustoUnit[],COLUMN(CUSTO_GLOBAL[[#Headers],[PIS]])-2,0)</f>
        <v>1.880341880341882E-2</v>
      </c>
      <c r="BT246" s="28">
        <f>VLOOKUP($A246,tabCustoUnit[],COLUMN(CUSTO_GLOBAL[[#Headers],[ISS]])-2,0)</f>
        <v>0.03</v>
      </c>
      <c r="BU246" s="26">
        <f>VLOOKUP($A246,tabCustoUnit[],COLUMN(CUSTO_GLOBAL[[#Headers],[ISS (Conversão Alíquota s/ fatura)]])-2,0)</f>
        <v>3.4188034188034219E-2</v>
      </c>
      <c r="BV246" s="26">
        <f>VLOOKUP($A246,tabCustoUnit[],COLUMN(CUSTO_GLOBAL[[#Headers],[Resumo de Alíquotas (PIS+CONFINS+ISS)]])-2,0)</f>
        <v>0.1225</v>
      </c>
      <c r="BW246" s="138">
        <f>VLOOKUP($A246,tabCustoUnit[],COLUMN(CUSTO_GLOBAL[[#Headers],[PIS + COFINS + ISS (Total Conversão  Alíquota s/ Fatura)]])-2,0)</f>
        <v>0.13960113960113973</v>
      </c>
      <c r="BX246" s="22">
        <f>VLOOKUP($A246,tabCustoUnit[],COLUMN(CUSTO_GLOBAL[[#Headers],[Valor dos Tributos (ISS, PIS, CONFINS)]])-2,0)*($G246-$H246)</f>
        <v>2759.1028636617525</v>
      </c>
      <c r="BY246" s="22">
        <f>VLOOKUP($A246,tabCustoUnit[],COLUMN(CUSTO_GLOBAL[[#Headers],[MÓDULO 6 – CUSTOS INDIRETOS, TRIBUTOS E LUCRO]])-2,0)*($G246-$H246)</f>
        <v>4154.9180419836084</v>
      </c>
      <c r="BZ246" s="22">
        <f>VLOOKUP($A246,tabCustoUnit[],COLUMN(CUSTO_GLOBAL[[#Headers],[CUSTO TOTAL MENSAL]])-2,0)*($G246-$H246)</f>
        <v>22523.288682953062</v>
      </c>
      <c r="CA246" s="22">
        <f>CUSTO_GLOBAL[[#This Row],[CUSTO TOTAL MENSAL]]*12</f>
        <v>270279.46419543674</v>
      </c>
      <c r="CB246" s="24">
        <f>VLOOKUP($A246,tabCustoUnit[],COLUMN(CUSTO_GLOBAL[[#Headers],[ANO DA CCT]])-2,0)</f>
        <v>45658</v>
      </c>
      <c r="CC246" s="25" t="str">
        <f>VLOOKUP($A246,tabCustoUnit[],COLUMN(CUSTO_GLOBAL[[#Headers],[Nº DE PEDIDO DA CCT]])-2,0)</f>
        <v>-</v>
      </c>
      <c r="CD246" s="25" t="str">
        <f>VLOOKUP($A246,tabCustoUnit[],COLUMN(CUSTO_GLOBAL[[#Headers],[TERMO ADITIVO  ALTERAÇÃO DA CCT]])-2,0)</f>
        <v>-</v>
      </c>
      <c r="CF246" s="22"/>
      <c r="CG246" s="22"/>
    </row>
    <row r="247" spans="1:85" x14ac:dyDescent="0.25">
      <c r="A247" s="20" t="s">
        <v>1582</v>
      </c>
      <c r="B247" t="s">
        <v>222</v>
      </c>
      <c r="C247" t="s">
        <v>1244</v>
      </c>
      <c r="D247" t="s">
        <v>222</v>
      </c>
      <c r="E247" s="20" t="s">
        <v>9</v>
      </c>
      <c r="F247" s="20" t="s">
        <v>10</v>
      </c>
      <c r="G247" s="20">
        <v>1</v>
      </c>
      <c r="H247" s="20">
        <v>0</v>
      </c>
      <c r="I247" s="21">
        <f>VLOOKUP($A247,tabCustoUnit[],COLUMN(CUSTO_GLOBAL[[#Headers],[Salário Base]])-2,0)*($G247-$H247)</f>
        <v>824.56</v>
      </c>
      <c r="J247" s="21">
        <f>VLOOKUP($A247,tabCustoUnit[],COLUMN(CUSTO_GLOBAL[[#Headers],[Adicional Periculosidade]])-2,0)*($G247-$H247)</f>
        <v>0</v>
      </c>
      <c r="K247" s="21">
        <f>VLOOKUP($A247,tabCustoUnit[],COLUMN(CUSTO_GLOBAL[[#Headers],[Adicional Insalubridade]])-2,0)*($G247-$H247)</f>
        <v>0</v>
      </c>
      <c r="L247" s="21">
        <f>VLOOKUP($A247,tabCustoUnit[],COLUMN(CUSTO_GLOBAL[[#Headers],[Adicional Noturno]])-2,0)*($G247-$H247)</f>
        <v>0</v>
      </c>
      <c r="M247" s="21">
        <f>VLOOKUP($A247,tabCustoUnit[],COLUMN(CUSTO_GLOBAL[[#Headers],[Adicional Motorista II (Gratificação)]])-2,0)*($G247-$H247)</f>
        <v>0</v>
      </c>
      <c r="N247" s="21">
        <f>VLOOKUP($A247,tabCustoUnit[],COLUMN(CUSTO_GLOBAL[[#Headers],[Adicional de Sobreaviso]])-2,0)*($G247-$H247)</f>
        <v>0</v>
      </c>
      <c r="O247" s="21">
        <f>VLOOKUP($A247,tabCustoUnit[],COLUMN(CUSTO_GLOBAL[[#Headers],[Horas Extras TI]])-2,0)*($G247-$H247)</f>
        <v>0</v>
      </c>
      <c r="P247" s="21">
        <f>VLOOKUP($A247,tabCustoUnit[],COLUMN(CUSTO_GLOBAL[[#Headers],[Adicional de Acúmulo de função]])-2,0)*($G247-$H247)</f>
        <v>26.985600000000002</v>
      </c>
      <c r="Q247" s="21">
        <f>VLOOKUP($A247,tabCustoUnit[],COLUMN(CUSTO_GLOBAL[[#Headers],[MODULO 1 - REMUNERAÇÃO ]])-2,0)*($G247-$H247)</f>
        <v>851.54559999999992</v>
      </c>
      <c r="R247" s="21">
        <f>VLOOKUP($A247,tabCustoUnit[],COLUMN(CUSTO_GLOBAL[[#Headers],[INSS]])-2,0)*($G247-$H247)</f>
        <v>170.30912000000001</v>
      </c>
      <c r="S247" s="21">
        <f>VLOOKUP($A247,tabCustoUnit[],COLUMN(CUSTO_GLOBAL[[#Headers],[SESI OU SESC]])-2,0)*($G247-$H247)</f>
        <v>12.773183999999999</v>
      </c>
      <c r="T247" s="21">
        <f>VLOOKUP($A247,tabCustoUnit[],COLUMN(CUSTO_GLOBAL[[#Headers],[SENAI OU SENAC]])-2,0)*($G247-$H247)</f>
        <v>8.5154559999999986</v>
      </c>
      <c r="U247" s="21">
        <f>VLOOKUP($A247,tabCustoUnit[],COLUMN(CUSTO_GLOBAL[[#Headers],[INCRA]])-2,0)*($G247-$H247)</f>
        <v>1.7030911999999998</v>
      </c>
      <c r="V247" s="21">
        <f>VLOOKUP($A247,tabCustoUnit[],COLUMN(CUSTO_GLOBAL[[#Headers],[Salário Educação]])-2,0)*($G247-$H247)</f>
        <v>21.288640000000001</v>
      </c>
      <c r="W247" s="21">
        <f>VLOOKUP($A247,tabCustoUnit[],COLUMN(CUSTO_GLOBAL[[#Headers],[FGTS]])-2,0)*($G247-$H247)</f>
        <v>68.123647999999989</v>
      </c>
      <c r="X247" s="21">
        <f>VLOOKUP($A247,tabCustoUnit[],COLUMN(CUSTO_GLOBAL[[#Headers],[RAT Ajustado]])-2,0)*($G247-$H247)</f>
        <v>34.061823999999994</v>
      </c>
      <c r="Y247" s="21">
        <f>VLOOKUP($A247,tabCustoUnit[],COLUMN(CUSTO_GLOBAL[[#Headers],[SEBRAE]])-2,0)*($G247-$H247)</f>
        <v>5.1092735999999999</v>
      </c>
      <c r="Z247" s="21">
        <f>VLOOKUP($A247,tabCustoUnit[],COLUMN(CUSTO_GLOBAL[[#Headers],[Submódulo 2.1]])-2,0)*($G247-$H247)</f>
        <v>321.8842368</v>
      </c>
      <c r="AA247" s="21">
        <f>VLOOKUP($A247,tabCustoUnit[],COLUMN(CUSTO_GLOBAL[[#Headers],[13º salário (titular)]])-2,0)*($G247-$H247)</f>
        <v>70.962133333333327</v>
      </c>
      <c r="AB247" s="21">
        <f>VLOOKUP($A247,tabCustoUnit[],COLUMN(CUSTO_GLOBAL[[#Headers],[Férias e Adicional de Férias (titular)]])-2,0)*($G247-$H247)</f>
        <v>94.616177777777764</v>
      </c>
      <c r="AC247" s="21">
        <f>VLOOKUP($A247,tabCustoUnit[],COLUMN(CUSTO_GLOBAL[[#Headers],[Incidência do Submódulo 2.1 sobre 13º Salário, Férias e Adicional de Férias]])-2,0)*($G247-$H247)</f>
        <v>62.588601599999997</v>
      </c>
      <c r="AD247" s="21">
        <f>VLOOKUP($A247,tabCustoUnit[],COLUMN(CUSTO_GLOBAL[[#Headers],[Submódulo 2.2]])-2,0)*($G247-$H247)</f>
        <v>228.16691271111108</v>
      </c>
      <c r="AE247" s="22">
        <f>VLOOKUP($A247,tabCustoUnit[],COLUMN(CUSTO_GLOBAL[[#Headers],[Vale - Transporte (Descontada parcela do empregado)]])-2,0)*($G247-$H247)</f>
        <v>206.5264</v>
      </c>
      <c r="AF247" s="22">
        <f>VLOOKUP($A247,tabCustoUnit[],COLUMN(CUSTO_GLOBAL[[#Headers],[Vale - Alimentação (Descontada parcela do empregado)]])-2,0)*($G247-$H247)</f>
        <v>0</v>
      </c>
      <c r="AG247" s="22">
        <f>VLOOKUP($A247,tabCustoUnit[],COLUMN(CUSTO_GLOBAL[[#Headers],[Cesta Básica]])-2,0)*($G247-$H247)</f>
        <v>387.79</v>
      </c>
      <c r="AH247" s="22">
        <f>VLOOKUP($A247,tabCustoUnit[],COLUMN(CUSTO_GLOBAL[[#Headers],[PAF]])-2,0)*($G247-$H247)</f>
        <v>42.97</v>
      </c>
      <c r="AI247" s="22">
        <f>VLOOKUP($A247,tabCustoUnit[],COLUMN(CUSTO_GLOBAL[[#Headers],[PQM]])-2,0)*($G247-$H247)</f>
        <v>0</v>
      </c>
      <c r="AJ247" s="22">
        <v>0</v>
      </c>
      <c r="AK247" s="22">
        <f>VLOOKUP($A247,tabCustoUnit[],COLUMN(CUSTO_GLOBAL[[#Headers],[Seguro de Vida]])-2,0)*($G247-$H247)</f>
        <v>3.36</v>
      </c>
      <c r="AL247" s="22">
        <f>VLOOKUP($A247,tabCustoUnit[],COLUMN(CUSTO_GLOBAL[[#Headers],[Despesas de Viagem]])-2,0)*($G247-$H247)</f>
        <v>0</v>
      </c>
      <c r="AM247" s="22">
        <f>VLOOKUP($A247,tabCustoUnit[],COLUMN(CUSTO_GLOBAL[[#Headers],[Submódulo 2.3]])-2,0)*($G247-$H247)</f>
        <v>640.64640000000009</v>
      </c>
      <c r="AN247" s="22">
        <f>VLOOKUP($A247,tabCustoUnit[],COLUMN(CUSTO_GLOBAL[[#Headers],[MÓDULO 2 - Total Encargos e Benefícios mensais e diários]])-2,0)*($G247-$H247)</f>
        <v>1190.6975495111112</v>
      </c>
      <c r="AO247" s="22">
        <f>VLOOKUP($A247,tabCustoUnit[],COLUMN(CUSTO_GLOBAL[[#Headers],[Aviso Prévio Indenizado (API) e Reflexo do Aviso Prévio Indenizado]])-2,0)*($G247-$H247)</f>
        <v>5.970839316049382</v>
      </c>
      <c r="AP247" s="22">
        <f>VLOOKUP($A247,tabCustoUnit[],COLUMN(CUSTO_GLOBAL[[#Headers],[Incidência do FGTS sobre API e Reflexo do API]])-2,0)*($G247-$H247)</f>
        <v>0.4776671452839506</v>
      </c>
      <c r="AQ247" s="22">
        <f>VLOOKUP($A247,tabCustoUnit[],COLUMN(CUSTO_GLOBAL[[#Headers],[Multa Rescisória do FGTS sobre o Aviso Prévio Indenizado]])-2,0)*($G247-$H247)</f>
        <v>0.19106685811358026</v>
      </c>
      <c r="AR247" s="22">
        <f>VLOOKUP($A247,tabCustoUnit[],COLUMN(CUSTO_GLOBAL[[#Headers],[Aviso Prévio Trabalhado - APT]])-2,0)*($G247-$H247)</f>
        <v>2.9804096000000002</v>
      </c>
      <c r="AS247" s="22">
        <f>VLOOKUP($A247,tabCustoUnit[],COLUMN(CUSTO_GLOBAL[[#Headers],[Incidência dos encargos do submódulo 2.1 sobre Aviso Prévio Trabalhado]])-2,0)*($G247-$H247)</f>
        <v>1.1265948288000003</v>
      </c>
      <c r="AT247" s="22">
        <f>VLOOKUP($A247,tabCustoUnit[],COLUMN(CUSTO_GLOBAL[[#Headers],[Multa Rescisória do FGTS]])-2,0)*($G247-$H247)</f>
        <v>26.038372124444439</v>
      </c>
      <c r="AU247" s="22">
        <f>VLOOKUP($A247,tabCustoUnit[],COLUMN(CUSTO_GLOBAL[[#Headers],[Indenização Adicional (Art. 9º da Lei nº 7.238/84)]])-2,0)*($G247-$H247)</f>
        <v>0.70962133333333333</v>
      </c>
      <c r="AV247" s="22">
        <f>VLOOKUP($A247,tabCustoUnit[],COLUMN(CUSTO_GLOBAL[[#Headers],[MÓDULO 3 – PROVISÃO PARA RESCISÃO]])-2,0)*($G247-$H247)</f>
        <v>37.494571206024688</v>
      </c>
      <c r="AW247" s="22">
        <f>VLOOKUP($A247,tabCustoUnit[],COLUMN(CUSTO_GLOBAL[[#Headers],[Ausência por Doença]])-2,0)*($G247-$H247)</f>
        <v>7.1908295111111098</v>
      </c>
      <c r="AX247" s="22">
        <f>VLOOKUP($A247,tabCustoUnit[],COLUMN(CUSTO_GLOBAL[[#Headers],[Ausências Legais]])-2,0)*($G247-$H247)</f>
        <v>1.7267452444444442</v>
      </c>
      <c r="AY247" s="22">
        <f>VLOOKUP($A247,tabCustoUnit[],COLUMN(CUSTO_GLOBAL[[#Headers],[Licença Paternidade]])-2,0)*($G247-$H247)</f>
        <v>0.14547237333333332</v>
      </c>
      <c r="AZ247" s="22">
        <f>VLOOKUP($A247,tabCustoUnit[],COLUMN(CUSTO_GLOBAL[[#Headers],[Ausência por Acidente de Trabalho]])-2,0)*($G247-$H247)</f>
        <v>0.17740533333333333</v>
      </c>
      <c r="BA247" s="22">
        <f>VLOOKUP($A247,tabCustoUnit[],COLUMN(CUSTO_GLOBAL[[#Headers],[Férias, Adicional de Férias e 13º  com empregada em gozo de Licença Maternidade]])-2,0)*($G247-$H247)</f>
        <v>1.1038554074074072</v>
      </c>
      <c r="BB247" s="22">
        <f>VLOOKUP($A247,tabCustoUnit[],COLUMN(CUSTO_GLOBAL[[#Headers],[Incidência do Submódulo 2.1 sobre Ausências Legais]])-2,0)*($G247-$H247)</f>
        <v>3.9101483747200003</v>
      </c>
      <c r="BC247" s="22">
        <f>VLOOKUP($A247,tabCustoUnit[],COLUMN(CUSTO_GLOBAL[[#Headers],[Submódulo 4.1]])-2,0)*($G247-$H247)</f>
        <v>14.254456244349628</v>
      </c>
      <c r="BD247" s="22">
        <f>VLOOKUP($A247,tabCustoUnit[],COLUMN(CUSTO_GLOBAL[[#Headers],[Intervalo para Repouso ou Alimentação]])-2,0)*($G247-$H247)</f>
        <v>0</v>
      </c>
      <c r="BE247" s="22">
        <f>VLOOKUP($A247,tabCustoUnit[],COLUMN(CUSTO_GLOBAL[[#Headers],[Submódulo 4.2]])-2,0)*($G247-$H247)</f>
        <v>0</v>
      </c>
      <c r="BF247" s="22">
        <f>VLOOKUP($A247,tabCustoUnit[],COLUMN(CUSTO_GLOBAL[[#Headers],[Suspensão Temporária do Contrato de Trabalho]])-2,0)*($G247-$H247)</f>
        <v>0</v>
      </c>
      <c r="BG247" s="22">
        <f>VLOOKUP($A247,tabCustoUnit[],COLUMN(CUSTO_GLOBAL[[#Headers],[Submódulo 4.3]])-2,0)*($G247-$H247)</f>
        <v>0</v>
      </c>
      <c r="BH247" s="22">
        <f>VLOOKUP($A247,tabCustoUnit[],COLUMN(CUSTO_GLOBAL[[#Headers],[MÓDULO 4 – CUSTO DE REPOSIÇÃO DO PROFISSIONAL AUSENTE]])-2,0)*($G247-$H247)</f>
        <v>14.254456244349628</v>
      </c>
      <c r="BI247" s="22">
        <f>VLOOKUP($A247,tabCustoUnit[],COLUMN(CUSTO_GLOBAL[[#Headers],[Uniformes e EPIs]])-2,0)*($G247-$H247)</f>
        <v>62.806666666666665</v>
      </c>
      <c r="BJ247" s="22">
        <f>VLOOKUP($A247,tabCustoUnit[],COLUMN(CUSTO_GLOBAL[[#Headers],[Materiais de Consumo]])-2,0)*($G247-$H247)</f>
        <v>17.759106479291944</v>
      </c>
      <c r="BK247" s="22">
        <f>VLOOKUP($A247,tabCustoUnit[],COLUMN(CUSTO_GLOBAL[[#Headers],[Máquinas e Equipamentos (depreciação)]])-2,0)*($G247-$H247)</f>
        <v>32.264696957412788</v>
      </c>
      <c r="BL247" s="22">
        <f>VLOOKUP($A247,tabCustoUnit[],COLUMN(CUSTO_GLOBAL[[#Headers],[Produtos de Limpeza e Materiais de Higiene Pessoal]])-2,0)*($G247-$H247)</f>
        <v>345.13576638965827</v>
      </c>
      <c r="BM247" s="22">
        <f>VLOOKUP($A247,tabCustoUnit[],COLUMN(CUSTO_GLOBAL[[#Headers],[Outros (especificar)]])-2,0)*($G247-$H247)</f>
        <v>0</v>
      </c>
      <c r="BN247" s="22">
        <f>VLOOKUP($A247,tabCustoUnit[],COLUMN(CUSTO_GLOBAL[[#Headers],[MÓDULO 5 – INSUMOS DIVERSOS]])-2,0)*($G247-$H247)</f>
        <v>457.96623649302967</v>
      </c>
      <c r="BO247" s="22">
        <f>VLOOKUP($A247,tabCustoUnit[],COLUMN(CUSTO_GLOBAL[[#Headers],[TOTAL MÓDULOS 1+2+3+4+5]])-2,0)*($G247-$H247)</f>
        <v>2551.9584134545148</v>
      </c>
      <c r="BP247" s="22">
        <f>VLOOKUP($A247,tabCustoUnit[],COLUMN(CUSTO_GLOBAL[[#Headers],[Custos Indiretos]])-2,0)*($G247-$H247)</f>
        <v>189.64880140242613</v>
      </c>
      <c r="BQ247" s="22">
        <f>VLOOKUP($A247,tabCustoUnit[],COLUMN(CUSTO_GLOBAL[[#Headers],[Lucro]])-2,0)*($G247-$H247)</f>
        <v>159.30499317803796</v>
      </c>
      <c r="BR247" s="26">
        <f>VLOOKUP($A247,tabCustoUnit[],COLUMN(CUSTO_GLOBAL[[#Headers],[COFINS]])-2,0)</f>
        <v>8.6609686609686695E-2</v>
      </c>
      <c r="BS247" s="26">
        <f>VLOOKUP($A247,tabCustoUnit[],COLUMN(CUSTO_GLOBAL[[#Headers],[PIS]])-2,0)</f>
        <v>1.880341880341882E-2</v>
      </c>
      <c r="BT247" s="28">
        <f>VLOOKUP($A247,tabCustoUnit[],COLUMN(CUSTO_GLOBAL[[#Headers],[ISS]])-2,0)</f>
        <v>0.03</v>
      </c>
      <c r="BU247" s="26">
        <f>VLOOKUP($A247,tabCustoUnit[],COLUMN(CUSTO_GLOBAL[[#Headers],[ISS (Conversão Alíquota s/ fatura)]])-2,0)</f>
        <v>3.4188034188034219E-2</v>
      </c>
      <c r="BV247" s="26">
        <f>VLOOKUP($A247,tabCustoUnit[],COLUMN(CUSTO_GLOBAL[[#Headers],[Resumo de Alíquotas (PIS+CONFINS+ISS)]])-2,0)</f>
        <v>0.1225</v>
      </c>
      <c r="BW247" s="138">
        <f>VLOOKUP($A247,tabCustoUnit[],COLUMN(CUSTO_GLOBAL[[#Headers],[PIS + COFINS + ISS (Total Conversão  Alíquota s/ Fatura)]])-2,0)</f>
        <v>0.13960113960113973</v>
      </c>
      <c r="BX247" s="22">
        <f>VLOOKUP($A247,tabCustoUnit[],COLUMN(CUSTO_GLOBAL[[#Headers],[Valor dos Tributos (ISS, PIS, CONFINS)]])-2,0)*($G247-$H247)</f>
        <v>404.97065012454158</v>
      </c>
      <c r="BY247" s="22">
        <f>VLOOKUP($A247,tabCustoUnit[],COLUMN(CUSTO_GLOBAL[[#Headers],[MÓDULO 6 – CUSTOS INDIRETOS, TRIBUTOS E LUCRO]])-2,0)*($G247-$H247)</f>
        <v>753.92444470500573</v>
      </c>
      <c r="BZ247" s="22">
        <f>VLOOKUP($A247,tabCustoUnit[],COLUMN(CUSTO_GLOBAL[[#Headers],[CUSTO TOTAL MENSAL]])-2,0)*($G247-$H247)</f>
        <v>3305.8828581595208</v>
      </c>
      <c r="CA247" s="22">
        <f>CUSTO_GLOBAL[[#This Row],[CUSTO TOTAL MENSAL]]*12</f>
        <v>39670.594297914249</v>
      </c>
      <c r="CB247" s="24">
        <f>VLOOKUP($A247,tabCustoUnit[],COLUMN(CUSTO_GLOBAL[[#Headers],[ANO DA CCT]])-2,0)</f>
        <v>45658</v>
      </c>
      <c r="CC247" s="25" t="str">
        <f>VLOOKUP($A247,tabCustoUnit[],COLUMN(CUSTO_GLOBAL[[#Headers],[Nº DE PEDIDO DA CCT]])-2,0)</f>
        <v>-</v>
      </c>
      <c r="CD247" s="25" t="str">
        <f>VLOOKUP($A247,tabCustoUnit[],COLUMN(CUSTO_GLOBAL[[#Headers],[TERMO ADITIVO  ALTERAÇÃO DA CCT]])-2,0)</f>
        <v>-</v>
      </c>
      <c r="CF247" s="22"/>
      <c r="CG247" s="22"/>
    </row>
    <row r="248" spans="1:85" x14ac:dyDescent="0.25">
      <c r="A248" s="20" t="s">
        <v>1583</v>
      </c>
      <c r="B248" t="s">
        <v>222</v>
      </c>
      <c r="C248" t="s">
        <v>1245</v>
      </c>
      <c r="D248" t="s">
        <v>222</v>
      </c>
      <c r="E248" s="20" t="s">
        <v>9</v>
      </c>
      <c r="F248" s="20" t="s">
        <v>10</v>
      </c>
      <c r="G248" s="20">
        <v>13</v>
      </c>
      <c r="H248" s="20">
        <v>0</v>
      </c>
      <c r="I248" s="21">
        <f>VLOOKUP($A248,tabCustoUnit[],COLUMN(CUSTO_GLOBAL[[#Headers],[Salário Base]])-2,0)*($G248-$H248)</f>
        <v>21438.559999999998</v>
      </c>
      <c r="J248" s="21">
        <f>VLOOKUP($A248,tabCustoUnit[],COLUMN(CUSTO_GLOBAL[[#Headers],[Adicional Periculosidade]])-2,0)*($G248-$H248)</f>
        <v>0</v>
      </c>
      <c r="K248" s="21">
        <f>VLOOKUP($A248,tabCustoUnit[],COLUMN(CUSTO_GLOBAL[[#Headers],[Adicional Insalubridade]])-2,0)*($G248-$H248)</f>
        <v>0</v>
      </c>
      <c r="L248" s="21">
        <f>VLOOKUP($A248,tabCustoUnit[],COLUMN(CUSTO_GLOBAL[[#Headers],[Adicional Noturno]])-2,0)*($G248-$H248)</f>
        <v>0</v>
      </c>
      <c r="M248" s="21">
        <f>VLOOKUP($A248,tabCustoUnit[],COLUMN(CUSTO_GLOBAL[[#Headers],[Adicional Motorista II (Gratificação)]])-2,0)*($G248-$H248)</f>
        <v>0</v>
      </c>
      <c r="N248" s="21">
        <f>VLOOKUP($A248,tabCustoUnit[],COLUMN(CUSTO_GLOBAL[[#Headers],[Adicional de Sobreaviso]])-2,0)*($G248-$H248)</f>
        <v>0</v>
      </c>
      <c r="O248" s="21">
        <f>VLOOKUP($A248,tabCustoUnit[],COLUMN(CUSTO_GLOBAL[[#Headers],[Horas Extras TI]])-2,0)*($G248-$H248)</f>
        <v>0</v>
      </c>
      <c r="P248" s="21">
        <f>VLOOKUP($A248,tabCustoUnit[],COLUMN(CUSTO_GLOBAL[[#Headers],[Adicional de Acúmulo de função]])-2,0)*($G248-$H248)</f>
        <v>701.62560000000008</v>
      </c>
      <c r="Q248" s="21">
        <f>VLOOKUP($A248,tabCustoUnit[],COLUMN(CUSTO_GLOBAL[[#Headers],[MODULO 1 - REMUNERAÇÃO ]])-2,0)*($G248-$H248)</f>
        <v>22140.185599999997</v>
      </c>
      <c r="R248" s="21">
        <f>VLOOKUP($A248,tabCustoUnit[],COLUMN(CUSTO_GLOBAL[[#Headers],[INSS]])-2,0)*($G248-$H248)</f>
        <v>4428.03712</v>
      </c>
      <c r="S248" s="21">
        <f>VLOOKUP($A248,tabCustoUnit[],COLUMN(CUSTO_GLOBAL[[#Headers],[SESI OU SESC]])-2,0)*($G248-$H248)</f>
        <v>332.10278399999999</v>
      </c>
      <c r="T248" s="21">
        <f>VLOOKUP($A248,tabCustoUnit[],COLUMN(CUSTO_GLOBAL[[#Headers],[SENAI OU SENAC]])-2,0)*($G248-$H248)</f>
        <v>221.40185599999995</v>
      </c>
      <c r="U248" s="21">
        <f>VLOOKUP($A248,tabCustoUnit[],COLUMN(CUSTO_GLOBAL[[#Headers],[INCRA]])-2,0)*($G248-$H248)</f>
        <v>44.280371199999998</v>
      </c>
      <c r="V248" s="21">
        <f>VLOOKUP($A248,tabCustoUnit[],COLUMN(CUSTO_GLOBAL[[#Headers],[Salário Educação]])-2,0)*($G248-$H248)</f>
        <v>553.50463999999999</v>
      </c>
      <c r="W248" s="21">
        <f>VLOOKUP($A248,tabCustoUnit[],COLUMN(CUSTO_GLOBAL[[#Headers],[FGTS]])-2,0)*($G248-$H248)</f>
        <v>1771.2148479999996</v>
      </c>
      <c r="X248" s="21">
        <f>VLOOKUP($A248,tabCustoUnit[],COLUMN(CUSTO_GLOBAL[[#Headers],[RAT Ajustado]])-2,0)*($G248-$H248)</f>
        <v>885.60742399999981</v>
      </c>
      <c r="Y248" s="21">
        <f>VLOOKUP($A248,tabCustoUnit[],COLUMN(CUSTO_GLOBAL[[#Headers],[SEBRAE]])-2,0)*($G248-$H248)</f>
        <v>132.8411136</v>
      </c>
      <c r="Z248" s="21">
        <f>VLOOKUP($A248,tabCustoUnit[],COLUMN(CUSTO_GLOBAL[[#Headers],[Submódulo 2.1]])-2,0)*($G248-$H248)</f>
        <v>8368.9901568000005</v>
      </c>
      <c r="AA248" s="21">
        <f>VLOOKUP($A248,tabCustoUnit[],COLUMN(CUSTO_GLOBAL[[#Headers],[13º salário (titular)]])-2,0)*($G248-$H248)</f>
        <v>1845.0154666666665</v>
      </c>
      <c r="AB248" s="21">
        <f>VLOOKUP($A248,tabCustoUnit[],COLUMN(CUSTO_GLOBAL[[#Headers],[Férias e Adicional de Férias (titular)]])-2,0)*($G248-$H248)</f>
        <v>2460.0206222222218</v>
      </c>
      <c r="AC248" s="21">
        <f>VLOOKUP($A248,tabCustoUnit[],COLUMN(CUSTO_GLOBAL[[#Headers],[Incidência do Submódulo 2.1 sobre 13º Salário, Férias e Adicional de Férias]])-2,0)*($G248-$H248)</f>
        <v>1627.3036416</v>
      </c>
      <c r="AD248" s="21">
        <f>VLOOKUP($A248,tabCustoUnit[],COLUMN(CUSTO_GLOBAL[[#Headers],[Submódulo 2.2]])-2,0)*($G248-$H248)</f>
        <v>5932.3397304888877</v>
      </c>
      <c r="AE248" s="22">
        <f>VLOOKUP($A248,tabCustoUnit[],COLUMN(CUSTO_GLOBAL[[#Headers],[Vale - Transporte (Descontada parcela do empregado)]])-2,0)*($G248-$H248)</f>
        <v>2041.6863999999998</v>
      </c>
      <c r="AF248" s="22">
        <f>VLOOKUP($A248,tabCustoUnit[],COLUMN(CUSTO_GLOBAL[[#Headers],[Vale - Alimentação (Descontada parcela do empregado)]])-2,0)*($G248-$H248)</f>
        <v>0</v>
      </c>
      <c r="AG248" s="22">
        <f>VLOOKUP($A248,tabCustoUnit[],COLUMN(CUSTO_GLOBAL[[#Headers],[Cesta Básica]])-2,0)*($G248-$H248)</f>
        <v>5041.2700000000004</v>
      </c>
      <c r="AH248" s="22">
        <f>VLOOKUP($A248,tabCustoUnit[],COLUMN(CUSTO_GLOBAL[[#Headers],[PAF]])-2,0)*($G248-$H248)</f>
        <v>558.61</v>
      </c>
      <c r="AI248" s="22">
        <f>VLOOKUP($A248,tabCustoUnit[],COLUMN(CUSTO_GLOBAL[[#Headers],[PQM]])-2,0)*($G248-$H248)</f>
        <v>0</v>
      </c>
      <c r="AJ248" s="22">
        <v>0</v>
      </c>
      <c r="AK248" s="22">
        <f>VLOOKUP($A248,tabCustoUnit[],COLUMN(CUSTO_GLOBAL[[#Headers],[Seguro de Vida]])-2,0)*($G248-$H248)</f>
        <v>43.68</v>
      </c>
      <c r="AL248" s="22">
        <f>VLOOKUP($A248,tabCustoUnit[],COLUMN(CUSTO_GLOBAL[[#Headers],[Despesas de Viagem]])-2,0)*($G248-$H248)</f>
        <v>0</v>
      </c>
      <c r="AM248" s="22">
        <f>VLOOKUP($A248,tabCustoUnit[],COLUMN(CUSTO_GLOBAL[[#Headers],[Submódulo 2.3]])-2,0)*($G248-$H248)</f>
        <v>7685.2464000000009</v>
      </c>
      <c r="AN248" s="22">
        <f>VLOOKUP($A248,tabCustoUnit[],COLUMN(CUSTO_GLOBAL[[#Headers],[MÓDULO 2 - Total Encargos e Benefícios mensais e diários]])-2,0)*($G248-$H248)</f>
        <v>21986.576287288892</v>
      </c>
      <c r="AO248" s="22">
        <f>VLOOKUP($A248,tabCustoUnit[],COLUMN(CUSTO_GLOBAL[[#Headers],[Aviso Prévio Indenizado (API) e Reflexo do Aviso Prévio Indenizado]])-2,0)*($G248-$H248)</f>
        <v>155.24182221728393</v>
      </c>
      <c r="AP248" s="22">
        <f>VLOOKUP($A248,tabCustoUnit[],COLUMN(CUSTO_GLOBAL[[#Headers],[Incidência do FGTS sobre API e Reflexo do API]])-2,0)*($G248-$H248)</f>
        <v>12.419345777382716</v>
      </c>
      <c r="AQ248" s="22">
        <f>VLOOKUP($A248,tabCustoUnit[],COLUMN(CUSTO_GLOBAL[[#Headers],[Multa Rescisória do FGTS sobre o Aviso Prévio Indenizado]])-2,0)*($G248-$H248)</f>
        <v>4.967738310953087</v>
      </c>
      <c r="AR248" s="22">
        <f>VLOOKUP($A248,tabCustoUnit[],COLUMN(CUSTO_GLOBAL[[#Headers],[Aviso Prévio Trabalhado - APT]])-2,0)*($G248-$H248)</f>
        <v>77.490649600000012</v>
      </c>
      <c r="AS248" s="22">
        <f>VLOOKUP($A248,tabCustoUnit[],COLUMN(CUSTO_GLOBAL[[#Headers],[Incidência dos encargos do submódulo 2.1 sobre Aviso Prévio Trabalhado]])-2,0)*($G248-$H248)</f>
        <v>29.291465548800009</v>
      </c>
      <c r="AT248" s="22">
        <f>VLOOKUP($A248,tabCustoUnit[],COLUMN(CUSTO_GLOBAL[[#Headers],[Multa Rescisória do FGTS]])-2,0)*($G248-$H248)</f>
        <v>676.99767523555545</v>
      </c>
      <c r="AU248" s="22">
        <f>VLOOKUP($A248,tabCustoUnit[],COLUMN(CUSTO_GLOBAL[[#Headers],[Indenização Adicional (Art. 9º da Lei nº 7.238/84)]])-2,0)*($G248-$H248)</f>
        <v>18.450154666666666</v>
      </c>
      <c r="AV248" s="22">
        <f>VLOOKUP($A248,tabCustoUnit[],COLUMN(CUSTO_GLOBAL[[#Headers],[MÓDULO 3 – PROVISÃO PARA RESCISÃO]])-2,0)*($G248-$H248)</f>
        <v>974.85885135664194</v>
      </c>
      <c r="AW248" s="22">
        <f>VLOOKUP($A248,tabCustoUnit[],COLUMN(CUSTO_GLOBAL[[#Headers],[Ausência por Doença]])-2,0)*($G248-$H248)</f>
        <v>186.96156728888886</v>
      </c>
      <c r="AX248" s="22">
        <f>VLOOKUP($A248,tabCustoUnit[],COLUMN(CUSTO_GLOBAL[[#Headers],[Ausências Legais]])-2,0)*($G248-$H248)</f>
        <v>44.895376355555548</v>
      </c>
      <c r="AY248" s="22">
        <f>VLOOKUP($A248,tabCustoUnit[],COLUMN(CUSTO_GLOBAL[[#Headers],[Licença Paternidade]])-2,0)*($G248-$H248)</f>
        <v>3.7822817066666663</v>
      </c>
      <c r="AZ248" s="22">
        <f>VLOOKUP($A248,tabCustoUnit[],COLUMN(CUSTO_GLOBAL[[#Headers],[Ausência por Acidente de Trabalho]])-2,0)*($G248-$H248)</f>
        <v>4.6125386666666666</v>
      </c>
      <c r="BA248" s="22">
        <f>VLOOKUP($A248,tabCustoUnit[],COLUMN(CUSTO_GLOBAL[[#Headers],[Férias, Adicional de Férias e 13º  com empregada em gozo de Licença Maternidade]])-2,0)*($G248-$H248)</f>
        <v>28.700240592592586</v>
      </c>
      <c r="BB248" s="22">
        <f>VLOOKUP($A248,tabCustoUnit[],COLUMN(CUSTO_GLOBAL[[#Headers],[Incidência do Submódulo 2.1 sobre Ausências Legais]])-2,0)*($G248-$H248)</f>
        <v>101.66385774272001</v>
      </c>
      <c r="BC248" s="22">
        <f>VLOOKUP($A248,tabCustoUnit[],COLUMN(CUSTO_GLOBAL[[#Headers],[Submódulo 4.1]])-2,0)*($G248-$H248)</f>
        <v>370.61586235309034</v>
      </c>
      <c r="BD248" s="22">
        <f>VLOOKUP($A248,tabCustoUnit[],COLUMN(CUSTO_GLOBAL[[#Headers],[Intervalo para Repouso ou Alimentação]])-2,0)*($G248-$H248)</f>
        <v>0</v>
      </c>
      <c r="BE248" s="22">
        <f>VLOOKUP($A248,tabCustoUnit[],COLUMN(CUSTO_GLOBAL[[#Headers],[Submódulo 4.2]])-2,0)*($G248-$H248)</f>
        <v>0</v>
      </c>
      <c r="BF248" s="22">
        <f>VLOOKUP($A248,tabCustoUnit[],COLUMN(CUSTO_GLOBAL[[#Headers],[Suspensão Temporária do Contrato de Trabalho]])-2,0)*($G248-$H248)</f>
        <v>0</v>
      </c>
      <c r="BG248" s="22">
        <f>VLOOKUP($A248,tabCustoUnit[],COLUMN(CUSTO_GLOBAL[[#Headers],[Submódulo 4.3]])-2,0)*($G248-$H248)</f>
        <v>0</v>
      </c>
      <c r="BH248" s="22">
        <f>VLOOKUP($A248,tabCustoUnit[],COLUMN(CUSTO_GLOBAL[[#Headers],[MÓDULO 4 – CUSTO DE REPOSIÇÃO DO PROFISSIONAL AUSENTE]])-2,0)*($G248-$H248)</f>
        <v>370.61586235309034</v>
      </c>
      <c r="BI248" s="22">
        <f>VLOOKUP($A248,tabCustoUnit[],COLUMN(CUSTO_GLOBAL[[#Headers],[Uniformes e EPIs]])-2,0)*($G248-$H248)</f>
        <v>1310.5191666666665</v>
      </c>
      <c r="BJ248" s="22">
        <f>VLOOKUP($A248,tabCustoUnit[],COLUMN(CUSTO_GLOBAL[[#Headers],[Materiais de Consumo]])-2,0)*($G248-$H248)</f>
        <v>461.73676846159054</v>
      </c>
      <c r="BK248" s="22">
        <f>VLOOKUP($A248,tabCustoUnit[],COLUMN(CUSTO_GLOBAL[[#Headers],[Máquinas e Equipamentos (depreciação)]])-2,0)*($G248-$H248)</f>
        <v>838.88212089273247</v>
      </c>
      <c r="BL248" s="22">
        <f>VLOOKUP($A248,tabCustoUnit[],COLUMN(CUSTO_GLOBAL[[#Headers],[Produtos de Limpeza e Materiais de Higiene Pessoal]])-2,0)*($G248-$H248)</f>
        <v>8973.5299261311156</v>
      </c>
      <c r="BM248" s="22">
        <f>VLOOKUP($A248,tabCustoUnit[],COLUMN(CUSTO_GLOBAL[[#Headers],[Outros (especificar)]])-2,0)*($G248-$H248)</f>
        <v>0</v>
      </c>
      <c r="BN248" s="22">
        <f>VLOOKUP($A248,tabCustoUnit[],COLUMN(CUSTO_GLOBAL[[#Headers],[MÓDULO 5 – INSUMOS DIVERSOS]])-2,0)*($G248-$H248)</f>
        <v>11584.667982152105</v>
      </c>
      <c r="BO248" s="22">
        <f>VLOOKUP($A248,tabCustoUnit[],COLUMN(CUSTO_GLOBAL[[#Headers],[TOTAL MÓDULOS 1+2+3+4+5]])-2,0)*($G248-$H248)</f>
        <v>57056.904583150717</v>
      </c>
      <c r="BP248" s="22">
        <f>VLOOKUP($A248,tabCustoUnit[],COLUMN(CUSTO_GLOBAL[[#Headers],[Custos Indiretos]])-2,0)*($G248-$H248)</f>
        <v>2465.4344182315399</v>
      </c>
      <c r="BQ248" s="22">
        <f>VLOOKUP($A248,tabCustoUnit[],COLUMN(CUSTO_GLOBAL[[#Headers],[Lucro]])-2,0)*($G248-$H248)</f>
        <v>2070.9649113144933</v>
      </c>
      <c r="BR248" s="26">
        <f>VLOOKUP($A248,tabCustoUnit[],COLUMN(CUSTO_GLOBAL[[#Headers],[COFINS]])-2,0)</f>
        <v>8.6609686609686695E-2</v>
      </c>
      <c r="BS248" s="26">
        <f>VLOOKUP($A248,tabCustoUnit[],COLUMN(CUSTO_GLOBAL[[#Headers],[PIS]])-2,0)</f>
        <v>1.880341880341882E-2</v>
      </c>
      <c r="BT248" s="28">
        <f>VLOOKUP($A248,tabCustoUnit[],COLUMN(CUSTO_GLOBAL[[#Headers],[ISS]])-2,0)</f>
        <v>0.03</v>
      </c>
      <c r="BU248" s="26">
        <f>VLOOKUP($A248,tabCustoUnit[],COLUMN(CUSTO_GLOBAL[[#Headers],[ISS (Conversão Alíquota s/ fatura)]])-2,0)</f>
        <v>3.4188034188034219E-2</v>
      </c>
      <c r="BV248" s="26">
        <f>VLOOKUP($A248,tabCustoUnit[],COLUMN(CUSTO_GLOBAL[[#Headers],[Resumo de Alíquotas (PIS+CONFINS+ISS)]])-2,0)</f>
        <v>0.1225</v>
      </c>
      <c r="BW248" s="138">
        <f>VLOOKUP($A248,tabCustoUnit[],COLUMN(CUSTO_GLOBAL[[#Headers],[PIS + COFINS + ISS (Total Conversão  Alíquota s/ Fatura)]])-2,0)</f>
        <v>0.13960113960113973</v>
      </c>
      <c r="BX248" s="22">
        <f>VLOOKUP($A248,tabCustoUnit[],COLUMN(CUSTO_GLOBAL[[#Headers],[Valor dos Tributos (ISS, PIS, CONFINS)]])-2,0)*($G248-$H248)</f>
        <v>8598.4954180118057</v>
      </c>
      <c r="BY248" s="22">
        <f>VLOOKUP($A248,tabCustoUnit[],COLUMN(CUSTO_GLOBAL[[#Headers],[MÓDULO 6 – CUSTOS INDIRETOS, TRIBUTOS E LUCRO]])-2,0)*($G248-$H248)</f>
        <v>13134.894747557839</v>
      </c>
      <c r="BZ248" s="22">
        <f>VLOOKUP($A248,tabCustoUnit[],COLUMN(CUSTO_GLOBAL[[#Headers],[CUSTO TOTAL MENSAL]])-2,0)*($G248-$H248)</f>
        <v>70191.799330708556</v>
      </c>
      <c r="CA248" s="22">
        <f>CUSTO_GLOBAL[[#This Row],[CUSTO TOTAL MENSAL]]*12</f>
        <v>842301.59196850262</v>
      </c>
      <c r="CB248" s="24">
        <f>VLOOKUP($A248,tabCustoUnit[],COLUMN(CUSTO_GLOBAL[[#Headers],[ANO DA CCT]])-2,0)</f>
        <v>45658</v>
      </c>
      <c r="CC248" s="25" t="str">
        <f>VLOOKUP($A248,tabCustoUnit[],COLUMN(CUSTO_GLOBAL[[#Headers],[Nº DE PEDIDO DA CCT]])-2,0)</f>
        <v>-</v>
      </c>
      <c r="CD248" s="25" t="str">
        <f>VLOOKUP($A248,tabCustoUnit[],COLUMN(CUSTO_GLOBAL[[#Headers],[TERMO ADITIVO  ALTERAÇÃO DA CCT]])-2,0)</f>
        <v>-</v>
      </c>
      <c r="CF248" s="22"/>
      <c r="CG248" s="22"/>
    </row>
    <row r="249" spans="1:85" x14ac:dyDescent="0.25">
      <c r="A249" s="20" t="s">
        <v>1584</v>
      </c>
      <c r="B249" t="s">
        <v>223</v>
      </c>
      <c r="C249" t="s">
        <v>1245</v>
      </c>
      <c r="D249" t="s">
        <v>1000</v>
      </c>
      <c r="E249" s="20" t="s">
        <v>9</v>
      </c>
      <c r="F249" s="20" t="s">
        <v>10</v>
      </c>
      <c r="G249" s="20">
        <v>1</v>
      </c>
      <c r="H249" s="20">
        <v>0</v>
      </c>
      <c r="I249" s="21">
        <f>VLOOKUP($A249,tabCustoUnit[],COLUMN(CUSTO_GLOBAL[[#Headers],[Salário Base]])-2,0)*($G249-$H249)</f>
        <v>1596.28</v>
      </c>
      <c r="J249" s="21">
        <f>VLOOKUP($A249,tabCustoUnit[],COLUMN(CUSTO_GLOBAL[[#Headers],[Adicional Periculosidade]])-2,0)*($G249-$H249)</f>
        <v>0</v>
      </c>
      <c r="K249" s="21">
        <f>VLOOKUP($A249,tabCustoUnit[],COLUMN(CUSTO_GLOBAL[[#Headers],[Adicional Insalubridade]])-2,0)*($G249-$H249)</f>
        <v>0</v>
      </c>
      <c r="L249" s="21">
        <f>VLOOKUP($A249,tabCustoUnit[],COLUMN(CUSTO_GLOBAL[[#Headers],[Adicional Noturno]])-2,0)*($G249-$H249)</f>
        <v>0</v>
      </c>
      <c r="M249" s="21">
        <f>VLOOKUP($A249,tabCustoUnit[],COLUMN(CUSTO_GLOBAL[[#Headers],[Adicional Motorista II (Gratificação)]])-2,0)*($G249-$H249)</f>
        <v>0</v>
      </c>
      <c r="N249" s="21">
        <f>VLOOKUP($A249,tabCustoUnit[],COLUMN(CUSTO_GLOBAL[[#Headers],[Adicional de Sobreaviso]])-2,0)*($G249-$H249)</f>
        <v>0</v>
      </c>
      <c r="O249" s="21">
        <f>VLOOKUP($A249,tabCustoUnit[],COLUMN(CUSTO_GLOBAL[[#Headers],[Horas Extras TI]])-2,0)*($G249-$H249)</f>
        <v>0</v>
      </c>
      <c r="P249" s="21">
        <f>VLOOKUP($A249,tabCustoUnit[],COLUMN(CUSTO_GLOBAL[[#Headers],[Adicional de Acúmulo de função]])-2,0)*($G249-$H249)</f>
        <v>52.241900000000001</v>
      </c>
      <c r="Q249" s="21">
        <f>VLOOKUP($A249,tabCustoUnit[],COLUMN(CUSTO_GLOBAL[[#Headers],[MODULO 1 - REMUNERAÇÃO ]])-2,0)*($G249-$H249)</f>
        <v>1648.5219</v>
      </c>
      <c r="R249" s="21">
        <f>VLOOKUP($A249,tabCustoUnit[],COLUMN(CUSTO_GLOBAL[[#Headers],[INSS]])-2,0)*($G249-$H249)</f>
        <v>329.70438000000001</v>
      </c>
      <c r="S249" s="21">
        <f>VLOOKUP($A249,tabCustoUnit[],COLUMN(CUSTO_GLOBAL[[#Headers],[SESI OU SESC]])-2,0)*($G249-$H249)</f>
        <v>24.727828499999998</v>
      </c>
      <c r="T249" s="21">
        <f>VLOOKUP($A249,tabCustoUnit[],COLUMN(CUSTO_GLOBAL[[#Headers],[SENAI OU SENAC]])-2,0)*($G249-$H249)</f>
        <v>16.485219000000001</v>
      </c>
      <c r="U249" s="21">
        <f>VLOOKUP($A249,tabCustoUnit[],COLUMN(CUSTO_GLOBAL[[#Headers],[INCRA]])-2,0)*($G249-$H249)</f>
        <v>3.2970438</v>
      </c>
      <c r="V249" s="21">
        <f>VLOOKUP($A249,tabCustoUnit[],COLUMN(CUSTO_GLOBAL[[#Headers],[Salário Educação]])-2,0)*($G249-$H249)</f>
        <v>41.213047500000002</v>
      </c>
      <c r="W249" s="21">
        <f>VLOOKUP($A249,tabCustoUnit[],COLUMN(CUSTO_GLOBAL[[#Headers],[FGTS]])-2,0)*($G249-$H249)</f>
        <v>131.88175200000001</v>
      </c>
      <c r="X249" s="21">
        <f>VLOOKUP($A249,tabCustoUnit[],COLUMN(CUSTO_GLOBAL[[#Headers],[RAT Ajustado]])-2,0)*($G249-$H249)</f>
        <v>65.940876000000003</v>
      </c>
      <c r="Y249" s="21">
        <f>VLOOKUP($A249,tabCustoUnit[],COLUMN(CUSTO_GLOBAL[[#Headers],[SEBRAE]])-2,0)*($G249-$H249)</f>
        <v>9.8911314000000008</v>
      </c>
      <c r="Z249" s="21">
        <f>VLOOKUP($A249,tabCustoUnit[],COLUMN(CUSTO_GLOBAL[[#Headers],[Submódulo 2.1]])-2,0)*($G249-$H249)</f>
        <v>623.14127819999999</v>
      </c>
      <c r="AA249" s="21">
        <f>VLOOKUP($A249,tabCustoUnit[],COLUMN(CUSTO_GLOBAL[[#Headers],[13º salário (titular)]])-2,0)*($G249-$H249)</f>
        <v>137.376825</v>
      </c>
      <c r="AB249" s="21">
        <f>VLOOKUP($A249,tabCustoUnit[],COLUMN(CUSTO_GLOBAL[[#Headers],[Férias e Adicional de Férias (titular)]])-2,0)*($G249-$H249)</f>
        <v>183.16909999999999</v>
      </c>
      <c r="AC249" s="21">
        <f>VLOOKUP($A249,tabCustoUnit[],COLUMN(CUSTO_GLOBAL[[#Headers],[Incidência do Submódulo 2.1 sobre 13º Salário, Férias e Adicional de Férias]])-2,0)*($G249-$H249)</f>
        <v>121.16635965</v>
      </c>
      <c r="AD249" s="21">
        <f>VLOOKUP($A249,tabCustoUnit[],COLUMN(CUSTO_GLOBAL[[#Headers],[Submódulo 2.2]])-2,0)*($G249-$H249)</f>
        <v>441.71228465000002</v>
      </c>
      <c r="AE249" s="22">
        <f>VLOOKUP($A249,tabCustoUnit[],COLUMN(CUSTO_GLOBAL[[#Headers],[Vale - Transporte (Descontada parcela do empregado)]])-2,0)*($G249-$H249)</f>
        <v>160.22320000000002</v>
      </c>
      <c r="AF249" s="22">
        <f>VLOOKUP($A249,tabCustoUnit[],COLUMN(CUSTO_GLOBAL[[#Headers],[Vale - Alimentação (Descontada parcela do empregado)]])-2,0)*($G249-$H249)</f>
        <v>582</v>
      </c>
      <c r="AG249" s="22">
        <f>VLOOKUP($A249,tabCustoUnit[],COLUMN(CUSTO_GLOBAL[[#Headers],[Cesta Básica]])-2,0)*($G249-$H249)</f>
        <v>0</v>
      </c>
      <c r="AH249" s="22">
        <f>VLOOKUP($A249,tabCustoUnit[],COLUMN(CUSTO_GLOBAL[[#Headers],[PAF]])-2,0)*($G249-$H249)</f>
        <v>0</v>
      </c>
      <c r="AI249" s="22">
        <f>VLOOKUP($A249,tabCustoUnit[],COLUMN(CUSTO_GLOBAL[[#Headers],[PQM]])-2,0)*($G249-$H249)</f>
        <v>15.07</v>
      </c>
      <c r="AJ249" s="22">
        <v>0</v>
      </c>
      <c r="AK249" s="22">
        <f>VLOOKUP($A249,tabCustoUnit[],COLUMN(CUSTO_GLOBAL[[#Headers],[Seguro de Vida]])-2,0)*($G249-$H249)</f>
        <v>3.36</v>
      </c>
      <c r="AL249" s="22">
        <f>VLOOKUP($A249,tabCustoUnit[],COLUMN(CUSTO_GLOBAL[[#Headers],[Despesas de Viagem]])-2,0)*($G249-$H249)</f>
        <v>0</v>
      </c>
      <c r="AM249" s="22">
        <f>VLOOKUP($A249,tabCustoUnit[],COLUMN(CUSTO_GLOBAL[[#Headers],[Submódulo 2.3]])-2,0)*($G249-$H249)</f>
        <v>760.65320000000008</v>
      </c>
      <c r="AN249" s="22">
        <f>VLOOKUP($A249,tabCustoUnit[],COLUMN(CUSTO_GLOBAL[[#Headers],[MÓDULO 2 - Total Encargos e Benefícios mensais e diários]])-2,0)*($G249-$H249)</f>
        <v>1825.5067628500001</v>
      </c>
      <c r="AO249" s="22">
        <f>VLOOKUP($A249,tabCustoUnit[],COLUMN(CUSTO_GLOBAL[[#Headers],[Aviso Prévio Indenizado (API) e Reflexo do Aviso Prévio Indenizado]])-2,0)*($G249-$H249)</f>
        <v>11.559051416493055</v>
      </c>
      <c r="AP249" s="22">
        <f>VLOOKUP($A249,tabCustoUnit[],COLUMN(CUSTO_GLOBAL[[#Headers],[Incidência do FGTS sobre API e Reflexo do API]])-2,0)*($G249-$H249)</f>
        <v>0.92472411331944449</v>
      </c>
      <c r="AQ249" s="22">
        <f>VLOOKUP($A249,tabCustoUnit[],COLUMN(CUSTO_GLOBAL[[#Headers],[Multa Rescisória do FGTS sobre o Aviso Prévio Indenizado]])-2,0)*($G249-$H249)</f>
        <v>0.36988964532777785</v>
      </c>
      <c r="AR249" s="22">
        <f>VLOOKUP($A249,tabCustoUnit[],COLUMN(CUSTO_GLOBAL[[#Headers],[Aviso Prévio Trabalhado - APT]])-2,0)*($G249-$H249)</f>
        <v>5.7698266500000006</v>
      </c>
      <c r="AS249" s="22">
        <f>VLOOKUP($A249,tabCustoUnit[],COLUMN(CUSTO_GLOBAL[[#Headers],[Incidência dos encargos do submódulo 2.1 sobre Aviso Prévio Trabalhado]])-2,0)*($G249-$H249)</f>
        <v>2.1809944737000007</v>
      </c>
      <c r="AT249" s="22">
        <f>VLOOKUP($A249,tabCustoUnit[],COLUMN(CUSTO_GLOBAL[[#Headers],[Multa Rescisória do FGTS]])-2,0)*($G249-$H249)</f>
        <v>50.40813631999999</v>
      </c>
      <c r="AU249" s="22">
        <f>VLOOKUP($A249,tabCustoUnit[],COLUMN(CUSTO_GLOBAL[[#Headers],[Indenização Adicional (Art. 9º da Lei nº 7.238/84)]])-2,0)*($G249-$H249)</f>
        <v>1.3737682500000001</v>
      </c>
      <c r="AV249" s="22">
        <f>VLOOKUP($A249,tabCustoUnit[],COLUMN(CUSTO_GLOBAL[[#Headers],[MÓDULO 3 – PROVISÃO PARA RESCISÃO]])-2,0)*($G249-$H249)</f>
        <v>72.586390868840269</v>
      </c>
      <c r="AW249" s="22">
        <f>VLOOKUP($A249,tabCustoUnit[],COLUMN(CUSTO_GLOBAL[[#Headers],[Ausência por Doença]])-2,0)*($G249-$H249)</f>
        <v>13.920851599999999</v>
      </c>
      <c r="AX249" s="22">
        <f>VLOOKUP($A249,tabCustoUnit[],COLUMN(CUSTO_GLOBAL[[#Headers],[Ausências Legais]])-2,0)*($G249-$H249)</f>
        <v>3.3428360749999997</v>
      </c>
      <c r="AY249" s="22">
        <f>VLOOKUP($A249,tabCustoUnit[],COLUMN(CUSTO_GLOBAL[[#Headers],[Licença Paternidade]])-2,0)*($G249-$H249)</f>
        <v>0.28162249125</v>
      </c>
      <c r="AZ249" s="22">
        <f>VLOOKUP($A249,tabCustoUnit[],COLUMN(CUSTO_GLOBAL[[#Headers],[Ausência por Acidente de Trabalho]])-2,0)*($G249-$H249)</f>
        <v>0.34344206250000003</v>
      </c>
      <c r="BA249" s="22">
        <f>VLOOKUP($A249,tabCustoUnit[],COLUMN(CUSTO_GLOBAL[[#Headers],[Férias, Adicional de Férias e 13º  com empregada em gozo de Licença Maternidade]])-2,0)*($G249-$H249)</f>
        <v>2.1369728333333331</v>
      </c>
      <c r="BB249" s="22">
        <f>VLOOKUP($A249,tabCustoUnit[],COLUMN(CUSTO_GLOBAL[[#Headers],[Incidência do Submódulo 2.1 sobre Ausências Legais]])-2,0)*($G249-$H249)</f>
        <v>7.5697240734675013</v>
      </c>
      <c r="BC249" s="22">
        <f>VLOOKUP($A249,tabCustoUnit[],COLUMN(CUSTO_GLOBAL[[#Headers],[Submódulo 4.1]])-2,0)*($G249-$H249)</f>
        <v>27.595449135550833</v>
      </c>
      <c r="BD249" s="22">
        <f>VLOOKUP($A249,tabCustoUnit[],COLUMN(CUSTO_GLOBAL[[#Headers],[Intervalo para Repouso ou Alimentação]])-2,0)*($G249-$H249)</f>
        <v>0</v>
      </c>
      <c r="BE249" s="22">
        <f>VLOOKUP($A249,tabCustoUnit[],COLUMN(CUSTO_GLOBAL[[#Headers],[Submódulo 4.2]])-2,0)*($G249-$H249)</f>
        <v>0</v>
      </c>
      <c r="BF249" s="22">
        <f>VLOOKUP($A249,tabCustoUnit[],COLUMN(CUSTO_GLOBAL[[#Headers],[Suspensão Temporária do Contrato de Trabalho]])-2,0)*($G249-$H249)</f>
        <v>0</v>
      </c>
      <c r="BG249" s="22">
        <f>VLOOKUP($A249,tabCustoUnit[],COLUMN(CUSTO_GLOBAL[[#Headers],[Submódulo 4.3]])-2,0)*($G249-$H249)</f>
        <v>0</v>
      </c>
      <c r="BH249" s="22">
        <f>VLOOKUP($A249,tabCustoUnit[],COLUMN(CUSTO_GLOBAL[[#Headers],[MÓDULO 4 – CUSTO DE REPOSIÇÃO DO PROFISSIONAL AUSENTE]])-2,0)*($G249-$H249)</f>
        <v>27.595449135550833</v>
      </c>
      <c r="BI249" s="22">
        <f>VLOOKUP($A249,tabCustoUnit[],COLUMN(CUSTO_GLOBAL[[#Headers],[Uniformes e EPIs]])-2,0)*($G249-$H249)</f>
        <v>100.80916666666666</v>
      </c>
      <c r="BJ249" s="22">
        <f>VLOOKUP($A249,tabCustoUnit[],COLUMN(CUSTO_GLOBAL[[#Headers],[Materiais de Consumo]])-2,0)*($G249-$H249)</f>
        <v>35.518212958583888</v>
      </c>
      <c r="BK249" s="22">
        <f>VLOOKUP($A249,tabCustoUnit[],COLUMN(CUSTO_GLOBAL[[#Headers],[Máquinas e Equipamentos (depreciação)]])-2,0)*($G249-$H249)</f>
        <v>64.529393914825576</v>
      </c>
      <c r="BL249" s="22">
        <f>VLOOKUP($A249,tabCustoUnit[],COLUMN(CUSTO_GLOBAL[[#Headers],[Produtos de Limpeza e Materiais de Higiene Pessoal]])-2,0)*($G249-$H249)</f>
        <v>690.27153277931654</v>
      </c>
      <c r="BM249" s="22">
        <f>VLOOKUP($A249,tabCustoUnit[],COLUMN(CUSTO_GLOBAL[[#Headers],[Outros (especificar)]])-2,0)*($G249-$H249)</f>
        <v>0</v>
      </c>
      <c r="BN249" s="22">
        <f>VLOOKUP($A249,tabCustoUnit[],COLUMN(CUSTO_GLOBAL[[#Headers],[MÓDULO 5 – INSUMOS DIVERSOS]])-2,0)*($G249-$H249)</f>
        <v>891.12830631939266</v>
      </c>
      <c r="BO249" s="22">
        <f>VLOOKUP($A249,tabCustoUnit[],COLUMN(CUSTO_GLOBAL[[#Headers],[TOTAL MÓDULOS 1+2+3+4+5]])-2,0)*($G249-$H249)</f>
        <v>4465.3388091737834</v>
      </c>
      <c r="BP249" s="22">
        <f>VLOOKUP($A249,tabCustoUnit[],COLUMN(CUSTO_GLOBAL[[#Headers],[Custos Indiretos]])-2,0)*($G249-$H249)</f>
        <v>189.64880140242613</v>
      </c>
      <c r="BQ249" s="22">
        <f>VLOOKUP($A249,tabCustoUnit[],COLUMN(CUSTO_GLOBAL[[#Headers],[Lucro]])-2,0)*($G249-$H249)</f>
        <v>159.30499317803796</v>
      </c>
      <c r="BR249" s="26">
        <f>VLOOKUP($A249,tabCustoUnit[],COLUMN(CUSTO_GLOBAL[[#Headers],[COFINS]])-2,0)</f>
        <v>8.7608069164265154E-2</v>
      </c>
      <c r="BS249" s="26">
        <f>VLOOKUP($A249,tabCustoUnit[],COLUMN(CUSTO_GLOBAL[[#Headers],[PIS]])-2,0)</f>
        <v>1.9020172910662814E-2</v>
      </c>
      <c r="BT249" s="28">
        <f>VLOOKUP($A249,tabCustoUnit[],COLUMN(CUSTO_GLOBAL[[#Headers],[ISS]])-2,0)</f>
        <v>0.04</v>
      </c>
      <c r="BU249" s="26">
        <f>VLOOKUP($A249,tabCustoUnit[],COLUMN(CUSTO_GLOBAL[[#Headers],[ISS (Conversão Alíquota s/ fatura)]])-2,0)</f>
        <v>4.6109510086455294E-2</v>
      </c>
      <c r="BV249" s="26">
        <f>VLOOKUP($A249,tabCustoUnit[],COLUMN(CUSTO_GLOBAL[[#Headers],[Resumo de Alíquotas (PIS+CONFINS+ISS)]])-2,0)</f>
        <v>0.13250000000000001</v>
      </c>
      <c r="BW249" s="138">
        <f>VLOOKUP($A249,tabCustoUnit[],COLUMN(CUSTO_GLOBAL[[#Headers],[PIS + COFINS + ISS (Total Conversão  Alíquota s/ Fatura)]])-2,0)</f>
        <v>0.15273775216138324</v>
      </c>
      <c r="BX249" s="22">
        <f>VLOOKUP($A249,tabCustoUnit[],COLUMN(CUSTO_GLOBAL[[#Headers],[Valor dos Tributos (ISS, PIS, CONFINS)]])-2,0)*($G249-$H249)</f>
        <v>735.32423054459673</v>
      </c>
      <c r="BY249" s="22">
        <f>VLOOKUP($A249,tabCustoUnit[],COLUMN(CUSTO_GLOBAL[[#Headers],[MÓDULO 6 – CUSTOS INDIRETOS, TRIBUTOS E LUCRO]])-2,0)*($G249-$H249)</f>
        <v>1084.2780251250608</v>
      </c>
      <c r="BZ249" s="22">
        <f>VLOOKUP($A249,tabCustoUnit[],COLUMN(CUSTO_GLOBAL[[#Headers],[CUSTO TOTAL MENSAL]])-2,0)*($G249-$H249)</f>
        <v>5549.616834298844</v>
      </c>
      <c r="CA249" s="22">
        <f>CUSTO_GLOBAL[[#This Row],[CUSTO TOTAL MENSAL]]*12</f>
        <v>66595.40201158612</v>
      </c>
      <c r="CB249" s="24">
        <f>VLOOKUP($A249,tabCustoUnit[],COLUMN(CUSTO_GLOBAL[[#Headers],[ANO DA CCT]])-2,0)</f>
        <v>45658</v>
      </c>
      <c r="CC249" s="25" t="str">
        <f>VLOOKUP($A249,tabCustoUnit[],COLUMN(CUSTO_GLOBAL[[#Headers],[Nº DE PEDIDO DA CCT]])-2,0)</f>
        <v>-</v>
      </c>
      <c r="CD249" s="25" t="str">
        <f>VLOOKUP($A249,tabCustoUnit[],COLUMN(CUSTO_GLOBAL[[#Headers],[TERMO ADITIVO  ALTERAÇÃO DA CCT]])-2,0)</f>
        <v>-</v>
      </c>
      <c r="CF249" s="22"/>
      <c r="CG249" s="22"/>
    </row>
    <row r="250" spans="1:85" x14ac:dyDescent="0.25">
      <c r="A250" s="20" t="s">
        <v>1585</v>
      </c>
      <c r="B250" t="s">
        <v>224</v>
      </c>
      <c r="C250" t="s">
        <v>1247</v>
      </c>
      <c r="D250" t="s">
        <v>1023</v>
      </c>
      <c r="E250" s="20" t="s">
        <v>9</v>
      </c>
      <c r="F250" s="20" t="s">
        <v>10</v>
      </c>
      <c r="G250" s="20">
        <v>2</v>
      </c>
      <c r="H250" s="20">
        <v>0</v>
      </c>
      <c r="I250" s="21">
        <f>VLOOKUP($A250,tabCustoUnit[],COLUMN(CUSTO_GLOBAL[[#Headers],[Salário Base]])-2,0)*($G250-$H250)</f>
        <v>1088.3599999999999</v>
      </c>
      <c r="J250" s="21">
        <f>VLOOKUP($A250,tabCustoUnit[],COLUMN(CUSTO_GLOBAL[[#Headers],[Adicional Periculosidade]])-2,0)*($G250-$H250)</f>
        <v>0</v>
      </c>
      <c r="K250" s="21">
        <f>VLOOKUP($A250,tabCustoUnit[],COLUMN(CUSTO_GLOBAL[[#Headers],[Adicional Insalubridade]])-2,0)*($G250-$H250)</f>
        <v>0</v>
      </c>
      <c r="L250" s="21">
        <f>VLOOKUP($A250,tabCustoUnit[],COLUMN(CUSTO_GLOBAL[[#Headers],[Adicional Noturno]])-2,0)*($G250-$H250)</f>
        <v>0</v>
      </c>
      <c r="M250" s="21">
        <f>VLOOKUP($A250,tabCustoUnit[],COLUMN(CUSTO_GLOBAL[[#Headers],[Adicional Motorista II (Gratificação)]])-2,0)*($G250-$H250)</f>
        <v>0</v>
      </c>
      <c r="N250" s="21">
        <f>VLOOKUP($A250,tabCustoUnit[],COLUMN(CUSTO_GLOBAL[[#Headers],[Adicional de Sobreaviso]])-2,0)*($G250-$H250)</f>
        <v>0</v>
      </c>
      <c r="O250" s="21">
        <f>VLOOKUP($A250,tabCustoUnit[],COLUMN(CUSTO_GLOBAL[[#Headers],[Horas Extras TI]])-2,0)*($G250-$H250)</f>
        <v>0</v>
      </c>
      <c r="P250" s="21">
        <f>VLOOKUP($A250,tabCustoUnit[],COLUMN(CUSTO_GLOBAL[[#Headers],[Adicional de Acúmulo de função]])-2,0)*($G250-$H250)</f>
        <v>39.180999999999997</v>
      </c>
      <c r="Q250" s="21">
        <f>VLOOKUP($A250,tabCustoUnit[],COLUMN(CUSTO_GLOBAL[[#Headers],[MODULO 1 - REMUNERAÇÃO ]])-2,0)*($G250-$H250)</f>
        <v>1127.5409999999999</v>
      </c>
      <c r="R250" s="21">
        <f>VLOOKUP($A250,tabCustoUnit[],COLUMN(CUSTO_GLOBAL[[#Headers],[INSS]])-2,0)*($G250-$H250)</f>
        <v>225.50819999999999</v>
      </c>
      <c r="S250" s="21">
        <f>VLOOKUP($A250,tabCustoUnit[],COLUMN(CUSTO_GLOBAL[[#Headers],[SESI OU SESC]])-2,0)*($G250-$H250)</f>
        <v>16.913114999999998</v>
      </c>
      <c r="T250" s="21">
        <f>VLOOKUP($A250,tabCustoUnit[],COLUMN(CUSTO_GLOBAL[[#Headers],[SENAI OU SENAC]])-2,0)*($G250-$H250)</f>
        <v>11.275409999999999</v>
      </c>
      <c r="U250" s="21">
        <f>VLOOKUP($A250,tabCustoUnit[],COLUMN(CUSTO_GLOBAL[[#Headers],[INCRA]])-2,0)*($G250-$H250)</f>
        <v>2.2550819999999998</v>
      </c>
      <c r="V250" s="21">
        <f>VLOOKUP($A250,tabCustoUnit[],COLUMN(CUSTO_GLOBAL[[#Headers],[Salário Educação]])-2,0)*($G250-$H250)</f>
        <v>28.188524999999998</v>
      </c>
      <c r="W250" s="21">
        <f>VLOOKUP($A250,tabCustoUnit[],COLUMN(CUSTO_GLOBAL[[#Headers],[FGTS]])-2,0)*($G250-$H250)</f>
        <v>90.203279999999992</v>
      </c>
      <c r="X250" s="21">
        <f>VLOOKUP($A250,tabCustoUnit[],COLUMN(CUSTO_GLOBAL[[#Headers],[RAT Ajustado]])-2,0)*($G250-$H250)</f>
        <v>45.101639999999996</v>
      </c>
      <c r="Y250" s="21">
        <f>VLOOKUP($A250,tabCustoUnit[],COLUMN(CUSTO_GLOBAL[[#Headers],[SEBRAE]])-2,0)*($G250-$H250)</f>
        <v>6.7652459999999994</v>
      </c>
      <c r="Z250" s="21">
        <f>VLOOKUP($A250,tabCustoUnit[],COLUMN(CUSTO_GLOBAL[[#Headers],[Submódulo 2.1]])-2,0)*($G250-$H250)</f>
        <v>426.21049799999992</v>
      </c>
      <c r="AA250" s="21">
        <f>VLOOKUP($A250,tabCustoUnit[],COLUMN(CUSTO_GLOBAL[[#Headers],[13º salário (titular)]])-2,0)*($G250-$H250)</f>
        <v>93.961749999999995</v>
      </c>
      <c r="AB250" s="21">
        <f>VLOOKUP($A250,tabCustoUnit[],COLUMN(CUSTO_GLOBAL[[#Headers],[Férias e Adicional de Férias (titular)]])-2,0)*($G250-$H250)</f>
        <v>125.28233333333333</v>
      </c>
      <c r="AC250" s="21">
        <f>VLOOKUP($A250,tabCustoUnit[],COLUMN(CUSTO_GLOBAL[[#Headers],[Incidência do Submódulo 2.1 sobre 13º Salário, Férias e Adicional de Férias]])-2,0)*($G250-$H250)</f>
        <v>82.874263499999984</v>
      </c>
      <c r="AD250" s="21">
        <f>VLOOKUP($A250,tabCustoUnit[],COLUMN(CUSTO_GLOBAL[[#Headers],[Submódulo 2.2]])-2,0)*($G250-$H250)</f>
        <v>302.11834683333331</v>
      </c>
      <c r="AE250" s="22">
        <f>VLOOKUP($A250,tabCustoUnit[],COLUMN(CUSTO_GLOBAL[[#Headers],[Vale - Transporte (Descontada parcela do empregado)]])-2,0)*($G250-$H250)</f>
        <v>446.69839999999999</v>
      </c>
      <c r="AF250" s="22">
        <f>VLOOKUP($A250,tabCustoUnit[],COLUMN(CUSTO_GLOBAL[[#Headers],[Vale - Alimentação (Descontada parcela do empregado)]])-2,0)*($G250-$H250)</f>
        <v>1164</v>
      </c>
      <c r="AG250" s="22">
        <f>VLOOKUP($A250,tabCustoUnit[],COLUMN(CUSTO_GLOBAL[[#Headers],[Cesta Básica]])-2,0)*($G250-$H250)</f>
        <v>0</v>
      </c>
      <c r="AH250" s="22">
        <f>VLOOKUP($A250,tabCustoUnit[],COLUMN(CUSTO_GLOBAL[[#Headers],[PAF]])-2,0)*($G250-$H250)</f>
        <v>106.54</v>
      </c>
      <c r="AI250" s="22">
        <f>VLOOKUP($A250,tabCustoUnit[],COLUMN(CUSTO_GLOBAL[[#Headers],[PQM]])-2,0)*($G250-$H250)</f>
        <v>0</v>
      </c>
      <c r="AJ250" s="22">
        <v>0</v>
      </c>
      <c r="AK250" s="22">
        <f>VLOOKUP($A250,tabCustoUnit[],COLUMN(CUSTO_GLOBAL[[#Headers],[Seguro de Vida]])-2,0)*($G250-$H250)</f>
        <v>6.72</v>
      </c>
      <c r="AL250" s="22">
        <f>VLOOKUP($A250,tabCustoUnit[],COLUMN(CUSTO_GLOBAL[[#Headers],[Despesas de Viagem]])-2,0)*($G250-$H250)</f>
        <v>0</v>
      </c>
      <c r="AM250" s="22">
        <f>VLOOKUP($A250,tabCustoUnit[],COLUMN(CUSTO_GLOBAL[[#Headers],[Submódulo 2.3]])-2,0)*($G250-$H250)</f>
        <v>1723.9584</v>
      </c>
      <c r="AN250" s="22">
        <f>VLOOKUP($A250,tabCustoUnit[],COLUMN(CUSTO_GLOBAL[[#Headers],[MÓDULO 2 - Total Encargos e Benefícios mensais e diários]])-2,0)*($G250-$H250)</f>
        <v>2452.2872448333333</v>
      </c>
      <c r="AO250" s="22">
        <f>VLOOKUP($A250,tabCustoUnit[],COLUMN(CUSTO_GLOBAL[[#Headers],[Aviso Prévio Indenizado (API) e Reflexo do Aviso Prévio Indenizado]])-2,0)*($G250-$H250)</f>
        <v>7.9060547471064808</v>
      </c>
      <c r="AP250" s="22">
        <f>VLOOKUP($A250,tabCustoUnit[],COLUMN(CUSTO_GLOBAL[[#Headers],[Incidência do FGTS sobre API e Reflexo do API]])-2,0)*($G250-$H250)</f>
        <v>0.63248437976851857</v>
      </c>
      <c r="AQ250" s="22">
        <f>VLOOKUP($A250,tabCustoUnit[],COLUMN(CUSTO_GLOBAL[[#Headers],[Multa Rescisória do FGTS sobre o Aviso Prévio Indenizado]])-2,0)*($G250-$H250)</f>
        <v>0.25299375190740742</v>
      </c>
      <c r="AR250" s="22">
        <f>VLOOKUP($A250,tabCustoUnit[],COLUMN(CUSTO_GLOBAL[[#Headers],[Aviso Prévio Trabalhado - APT]])-2,0)*($G250-$H250)</f>
        <v>3.9463935000000006</v>
      </c>
      <c r="AS250" s="22">
        <f>VLOOKUP($A250,tabCustoUnit[],COLUMN(CUSTO_GLOBAL[[#Headers],[Incidência dos encargos do submódulo 2.1 sobre Aviso Prévio Trabalhado]])-2,0)*($G250-$H250)</f>
        <v>1.4917367430000004</v>
      </c>
      <c r="AT250" s="22">
        <f>VLOOKUP($A250,tabCustoUnit[],COLUMN(CUSTO_GLOBAL[[#Headers],[Multa Rescisória do FGTS]])-2,0)*($G250-$H250)</f>
        <v>34.477698133333327</v>
      </c>
      <c r="AU250" s="22">
        <f>VLOOKUP($A250,tabCustoUnit[],COLUMN(CUSTO_GLOBAL[[#Headers],[Indenização Adicional (Art. 9º da Lei nº 7.238/84)]])-2,0)*($G250-$H250)</f>
        <v>0.93961749999999999</v>
      </c>
      <c r="AV250" s="22">
        <f>VLOOKUP($A250,tabCustoUnit[],COLUMN(CUSTO_GLOBAL[[#Headers],[MÓDULO 3 – PROVISÃO PARA RESCISÃO]])-2,0)*($G250-$H250)</f>
        <v>49.646978755115732</v>
      </c>
      <c r="AW250" s="22">
        <f>VLOOKUP($A250,tabCustoUnit[],COLUMN(CUSTO_GLOBAL[[#Headers],[Ausência por Doença]])-2,0)*($G250-$H250)</f>
        <v>9.5214573333333323</v>
      </c>
      <c r="AX250" s="22">
        <f>VLOOKUP($A250,tabCustoUnit[],COLUMN(CUSTO_GLOBAL[[#Headers],[Ausências Legais]])-2,0)*($G250-$H250)</f>
        <v>2.286402583333333</v>
      </c>
      <c r="AY250" s="22">
        <f>VLOOKUP($A250,tabCustoUnit[],COLUMN(CUSTO_GLOBAL[[#Headers],[Licença Paternidade]])-2,0)*($G250-$H250)</f>
        <v>0.1926215875</v>
      </c>
      <c r="AZ250" s="22">
        <f>VLOOKUP($A250,tabCustoUnit[],COLUMN(CUSTO_GLOBAL[[#Headers],[Ausência por Acidente de Trabalho]])-2,0)*($G250-$H250)</f>
        <v>0.234904375</v>
      </c>
      <c r="BA250" s="22">
        <f>VLOOKUP($A250,tabCustoUnit[],COLUMN(CUSTO_GLOBAL[[#Headers],[Férias, Adicional de Férias e 13º  com empregada em gozo de Licença Maternidade]])-2,0)*($G250-$H250)</f>
        <v>1.4616272222222222</v>
      </c>
      <c r="BB250" s="22">
        <f>VLOOKUP($A250,tabCustoUnit[],COLUMN(CUSTO_GLOBAL[[#Headers],[Incidência do Submódulo 2.1 sobre Ausências Legais]])-2,0)*($G250-$H250)</f>
        <v>5.1774709523250007</v>
      </c>
      <c r="BC250" s="22">
        <f>VLOOKUP($A250,tabCustoUnit[],COLUMN(CUSTO_GLOBAL[[#Headers],[Submódulo 4.1]])-2,0)*($G250-$H250)</f>
        <v>18.874484053713886</v>
      </c>
      <c r="BD250" s="22">
        <f>VLOOKUP($A250,tabCustoUnit[],COLUMN(CUSTO_GLOBAL[[#Headers],[Intervalo para Repouso ou Alimentação]])-2,0)*($G250-$H250)</f>
        <v>0</v>
      </c>
      <c r="BE250" s="22">
        <f>VLOOKUP($A250,tabCustoUnit[],COLUMN(CUSTO_GLOBAL[[#Headers],[Submódulo 4.2]])-2,0)*($G250-$H250)</f>
        <v>0</v>
      </c>
      <c r="BF250" s="22">
        <f>VLOOKUP($A250,tabCustoUnit[],COLUMN(CUSTO_GLOBAL[[#Headers],[Suspensão Temporária do Contrato de Trabalho]])-2,0)*($G250-$H250)</f>
        <v>0</v>
      </c>
      <c r="BG250" s="22">
        <f>VLOOKUP($A250,tabCustoUnit[],COLUMN(CUSTO_GLOBAL[[#Headers],[Submódulo 4.3]])-2,0)*($G250-$H250)</f>
        <v>0</v>
      </c>
      <c r="BH250" s="22">
        <f>VLOOKUP($A250,tabCustoUnit[],COLUMN(CUSTO_GLOBAL[[#Headers],[MÓDULO 4 – CUSTO DE REPOSIÇÃO DO PROFISSIONAL AUSENTE]])-2,0)*($G250-$H250)</f>
        <v>18.874484053713886</v>
      </c>
      <c r="BI250" s="22">
        <f>VLOOKUP($A250,tabCustoUnit[],COLUMN(CUSTO_GLOBAL[[#Headers],[Uniformes e EPIs]])-2,0)*($G250-$H250)</f>
        <v>125.61333333333333</v>
      </c>
      <c r="BJ250" s="22">
        <f>VLOOKUP($A250,tabCustoUnit[],COLUMN(CUSTO_GLOBAL[[#Headers],[Materiais de Consumo]])-2,0)*($G250-$H250)</f>
        <v>24.216963380852651</v>
      </c>
      <c r="BK250" s="22">
        <f>VLOOKUP($A250,tabCustoUnit[],COLUMN(CUSTO_GLOBAL[[#Headers],[Máquinas e Equipamentos (depreciação)]])-2,0)*($G250-$H250)</f>
        <v>43.997314032835618</v>
      </c>
      <c r="BL250" s="22">
        <f>VLOOKUP($A250,tabCustoUnit[],COLUMN(CUSTO_GLOBAL[[#Headers],[Produtos de Limpeza e Materiais de Higiene Pessoal]])-2,0)*($G250-$H250)</f>
        <v>470.6396814404431</v>
      </c>
      <c r="BM250" s="22">
        <f>VLOOKUP($A250,tabCustoUnit[],COLUMN(CUSTO_GLOBAL[[#Headers],[Outros (especificar)]])-2,0)*($G250-$H250)</f>
        <v>0</v>
      </c>
      <c r="BN250" s="22">
        <f>VLOOKUP($A250,tabCustoUnit[],COLUMN(CUSTO_GLOBAL[[#Headers],[MÓDULO 5 – INSUMOS DIVERSOS]])-2,0)*($G250-$H250)</f>
        <v>664.46729218746464</v>
      </c>
      <c r="BO250" s="22">
        <f>VLOOKUP($A250,tabCustoUnit[],COLUMN(CUSTO_GLOBAL[[#Headers],[TOTAL MÓDULOS 1+2+3+4+5]])-2,0)*($G250-$H250)</f>
        <v>4312.8169998296271</v>
      </c>
      <c r="BP250" s="22">
        <f>VLOOKUP($A250,tabCustoUnit[],COLUMN(CUSTO_GLOBAL[[#Headers],[Custos Indiretos]])-2,0)*($G250-$H250)</f>
        <v>379.29760280485226</v>
      </c>
      <c r="BQ250" s="22">
        <f>VLOOKUP($A250,tabCustoUnit[],COLUMN(CUSTO_GLOBAL[[#Headers],[Lucro]])-2,0)*($G250-$H250)</f>
        <v>318.60998635607592</v>
      </c>
      <c r="BR250" s="26">
        <f>VLOOKUP($A250,tabCustoUnit[],COLUMN(CUSTO_GLOBAL[[#Headers],[COFINS]])-2,0)</f>
        <v>8.6609686609686695E-2</v>
      </c>
      <c r="BS250" s="26">
        <f>VLOOKUP($A250,tabCustoUnit[],COLUMN(CUSTO_GLOBAL[[#Headers],[PIS]])-2,0)</f>
        <v>1.880341880341882E-2</v>
      </c>
      <c r="BT250" s="28">
        <f>VLOOKUP($A250,tabCustoUnit[],COLUMN(CUSTO_GLOBAL[[#Headers],[ISS]])-2,0)</f>
        <v>0.03</v>
      </c>
      <c r="BU250" s="26">
        <f>VLOOKUP($A250,tabCustoUnit[],COLUMN(CUSTO_GLOBAL[[#Headers],[ISS (Conversão Alíquota s/ fatura)]])-2,0)</f>
        <v>3.4188034188034219E-2</v>
      </c>
      <c r="BV250" s="26">
        <f>VLOOKUP($A250,tabCustoUnit[],COLUMN(CUSTO_GLOBAL[[#Headers],[Resumo de Alíquotas (PIS+CONFINS+ISS)]])-2,0)</f>
        <v>0.1225</v>
      </c>
      <c r="BW250" s="138">
        <f>VLOOKUP($A250,tabCustoUnit[],COLUMN(CUSTO_GLOBAL[[#Headers],[PIS + COFINS + ISS (Total Conversão  Alíquota s/ Fatura)]])-2,0)</f>
        <v>0.13960113960113973</v>
      </c>
      <c r="BX250" s="22">
        <f>VLOOKUP($A250,tabCustoUnit[],COLUMN(CUSTO_GLOBAL[[#Headers],[Valor dos Tributos (ISS, PIS, CONFINS)]])-2,0)*($G250-$H250)</f>
        <v>699.50286285053403</v>
      </c>
      <c r="BY250" s="22">
        <f>VLOOKUP($A250,tabCustoUnit[],COLUMN(CUSTO_GLOBAL[[#Headers],[MÓDULO 6 – CUSTOS INDIRETOS, TRIBUTOS E LUCRO]])-2,0)*($G250-$H250)</f>
        <v>1397.4104520114622</v>
      </c>
      <c r="BZ250" s="22">
        <f>VLOOKUP($A250,tabCustoUnit[],COLUMN(CUSTO_GLOBAL[[#Headers],[CUSTO TOTAL MENSAL]])-2,0)*($G250-$H250)</f>
        <v>5710.2274518410895</v>
      </c>
      <c r="CA250" s="22">
        <f>CUSTO_GLOBAL[[#This Row],[CUSTO TOTAL MENSAL]]*12</f>
        <v>68522.729422093078</v>
      </c>
      <c r="CB250" s="24">
        <f>VLOOKUP($A250,tabCustoUnit[],COLUMN(CUSTO_GLOBAL[[#Headers],[ANO DA CCT]])-2,0)</f>
        <v>45658</v>
      </c>
      <c r="CC250" s="25" t="str">
        <f>VLOOKUP($A250,tabCustoUnit[],COLUMN(CUSTO_GLOBAL[[#Headers],[Nº DE PEDIDO DA CCT]])-2,0)</f>
        <v>-</v>
      </c>
      <c r="CD250" s="25" t="str">
        <f>VLOOKUP($A250,tabCustoUnit[],COLUMN(CUSTO_GLOBAL[[#Headers],[TERMO ADITIVO  ALTERAÇÃO DA CCT]])-2,0)</f>
        <v>-</v>
      </c>
      <c r="CF250" s="22"/>
      <c r="CG250" s="22"/>
    </row>
    <row r="251" spans="1:85" x14ac:dyDescent="0.25">
      <c r="A251" s="20" t="s">
        <v>1586</v>
      </c>
      <c r="B251" t="s">
        <v>224</v>
      </c>
      <c r="C251" t="s">
        <v>1245</v>
      </c>
      <c r="D251" t="s">
        <v>1023</v>
      </c>
      <c r="E251" s="20" t="s">
        <v>9</v>
      </c>
      <c r="F251" s="20" t="s">
        <v>10</v>
      </c>
      <c r="G251" s="20">
        <v>3</v>
      </c>
      <c r="H251" s="20">
        <v>0</v>
      </c>
      <c r="I251" s="21">
        <f>VLOOKUP($A251,tabCustoUnit[],COLUMN(CUSTO_GLOBAL[[#Headers],[Salário Base]])-2,0)*($G251-$H251)</f>
        <v>4788.84</v>
      </c>
      <c r="J251" s="21">
        <f>VLOOKUP($A251,tabCustoUnit[],COLUMN(CUSTO_GLOBAL[[#Headers],[Adicional Periculosidade]])-2,0)*($G251-$H251)</f>
        <v>0</v>
      </c>
      <c r="K251" s="21">
        <f>VLOOKUP($A251,tabCustoUnit[],COLUMN(CUSTO_GLOBAL[[#Headers],[Adicional Insalubridade]])-2,0)*($G251-$H251)</f>
        <v>0</v>
      </c>
      <c r="L251" s="21">
        <f>VLOOKUP($A251,tabCustoUnit[],COLUMN(CUSTO_GLOBAL[[#Headers],[Adicional Noturno]])-2,0)*($G251-$H251)</f>
        <v>0</v>
      </c>
      <c r="M251" s="21">
        <f>VLOOKUP($A251,tabCustoUnit[],COLUMN(CUSTO_GLOBAL[[#Headers],[Adicional Motorista II (Gratificação)]])-2,0)*($G251-$H251)</f>
        <v>0</v>
      </c>
      <c r="N251" s="21">
        <f>VLOOKUP($A251,tabCustoUnit[],COLUMN(CUSTO_GLOBAL[[#Headers],[Adicional de Sobreaviso]])-2,0)*($G251-$H251)</f>
        <v>0</v>
      </c>
      <c r="O251" s="21">
        <f>VLOOKUP($A251,tabCustoUnit[],COLUMN(CUSTO_GLOBAL[[#Headers],[Horas Extras TI]])-2,0)*($G251-$H251)</f>
        <v>0</v>
      </c>
      <c r="P251" s="21">
        <f>VLOOKUP($A251,tabCustoUnit[],COLUMN(CUSTO_GLOBAL[[#Headers],[Adicional de Acúmulo de função]])-2,0)*($G251-$H251)</f>
        <v>156.72570000000002</v>
      </c>
      <c r="Q251" s="21">
        <f>VLOOKUP($A251,tabCustoUnit[],COLUMN(CUSTO_GLOBAL[[#Headers],[MODULO 1 - REMUNERAÇÃO ]])-2,0)*($G251-$H251)</f>
        <v>4945.5657000000001</v>
      </c>
      <c r="R251" s="21">
        <f>VLOOKUP($A251,tabCustoUnit[],COLUMN(CUSTO_GLOBAL[[#Headers],[INSS]])-2,0)*($G251-$H251)</f>
        <v>989.11314000000004</v>
      </c>
      <c r="S251" s="21">
        <f>VLOOKUP($A251,tabCustoUnit[],COLUMN(CUSTO_GLOBAL[[#Headers],[SESI OU SESC]])-2,0)*($G251-$H251)</f>
        <v>74.183485499999989</v>
      </c>
      <c r="T251" s="21">
        <f>VLOOKUP($A251,tabCustoUnit[],COLUMN(CUSTO_GLOBAL[[#Headers],[SENAI OU SENAC]])-2,0)*($G251-$H251)</f>
        <v>49.455657000000002</v>
      </c>
      <c r="U251" s="21">
        <f>VLOOKUP($A251,tabCustoUnit[],COLUMN(CUSTO_GLOBAL[[#Headers],[INCRA]])-2,0)*($G251-$H251)</f>
        <v>9.891131399999999</v>
      </c>
      <c r="V251" s="21">
        <f>VLOOKUP($A251,tabCustoUnit[],COLUMN(CUSTO_GLOBAL[[#Headers],[Salário Educação]])-2,0)*($G251-$H251)</f>
        <v>123.63914250000001</v>
      </c>
      <c r="W251" s="21">
        <f>VLOOKUP($A251,tabCustoUnit[],COLUMN(CUSTO_GLOBAL[[#Headers],[FGTS]])-2,0)*($G251-$H251)</f>
        <v>395.64525600000002</v>
      </c>
      <c r="X251" s="21">
        <f>VLOOKUP($A251,tabCustoUnit[],COLUMN(CUSTO_GLOBAL[[#Headers],[RAT Ajustado]])-2,0)*($G251-$H251)</f>
        <v>197.82262800000001</v>
      </c>
      <c r="Y251" s="21">
        <f>VLOOKUP($A251,tabCustoUnit[],COLUMN(CUSTO_GLOBAL[[#Headers],[SEBRAE]])-2,0)*($G251-$H251)</f>
        <v>29.673394200000004</v>
      </c>
      <c r="Z251" s="21">
        <f>VLOOKUP($A251,tabCustoUnit[],COLUMN(CUSTO_GLOBAL[[#Headers],[Submódulo 2.1]])-2,0)*($G251-$H251)</f>
        <v>1869.4238346</v>
      </c>
      <c r="AA251" s="21">
        <f>VLOOKUP($A251,tabCustoUnit[],COLUMN(CUSTO_GLOBAL[[#Headers],[13º salário (titular)]])-2,0)*($G251-$H251)</f>
        <v>412.13047499999999</v>
      </c>
      <c r="AB251" s="21">
        <f>VLOOKUP($A251,tabCustoUnit[],COLUMN(CUSTO_GLOBAL[[#Headers],[Férias e Adicional de Férias (titular)]])-2,0)*($G251-$H251)</f>
        <v>549.50729999999999</v>
      </c>
      <c r="AC251" s="21">
        <f>VLOOKUP($A251,tabCustoUnit[],COLUMN(CUSTO_GLOBAL[[#Headers],[Incidência do Submódulo 2.1 sobre 13º Salário, Férias e Adicional de Férias]])-2,0)*($G251-$H251)</f>
        <v>363.49907895000001</v>
      </c>
      <c r="AD251" s="21">
        <f>VLOOKUP($A251,tabCustoUnit[],COLUMN(CUSTO_GLOBAL[[#Headers],[Submódulo 2.2]])-2,0)*($G251-$H251)</f>
        <v>1325.1368539499999</v>
      </c>
      <c r="AE251" s="22">
        <f>VLOOKUP($A251,tabCustoUnit[],COLUMN(CUSTO_GLOBAL[[#Headers],[Vale - Transporte (Descontada parcela do empregado)]])-2,0)*($G251-$H251)</f>
        <v>480.66960000000006</v>
      </c>
      <c r="AF251" s="22">
        <f>VLOOKUP($A251,tabCustoUnit[],COLUMN(CUSTO_GLOBAL[[#Headers],[Vale - Alimentação (Descontada parcela do empregado)]])-2,0)*($G251-$H251)</f>
        <v>1746</v>
      </c>
      <c r="AG251" s="22">
        <f>VLOOKUP($A251,tabCustoUnit[],COLUMN(CUSTO_GLOBAL[[#Headers],[Cesta Básica]])-2,0)*($G251-$H251)</f>
        <v>0</v>
      </c>
      <c r="AH251" s="22">
        <f>VLOOKUP($A251,tabCustoUnit[],COLUMN(CUSTO_GLOBAL[[#Headers],[PAF]])-2,0)*($G251-$H251)</f>
        <v>159.81</v>
      </c>
      <c r="AI251" s="22">
        <f>VLOOKUP($A251,tabCustoUnit[],COLUMN(CUSTO_GLOBAL[[#Headers],[PQM]])-2,0)*($G251-$H251)</f>
        <v>0</v>
      </c>
      <c r="AJ251" s="22"/>
      <c r="AK251" s="22">
        <f>VLOOKUP($A251,tabCustoUnit[],COLUMN(CUSTO_GLOBAL[[#Headers],[Seguro de Vida]])-2,0)*($G251-$H251)</f>
        <v>10.08</v>
      </c>
      <c r="AL251" s="22">
        <f>VLOOKUP($A251,tabCustoUnit[],COLUMN(CUSTO_GLOBAL[[#Headers],[Despesas de Viagem]])-2,0)*($G251-$H251)</f>
        <v>0</v>
      </c>
      <c r="AM251" s="22">
        <f>VLOOKUP($A251,tabCustoUnit[],COLUMN(CUSTO_GLOBAL[[#Headers],[Submódulo 2.3]])-2,0)*($G251-$H251)</f>
        <v>2396.5596</v>
      </c>
      <c r="AN251" s="22">
        <f>VLOOKUP($A251,tabCustoUnit[],COLUMN(CUSTO_GLOBAL[[#Headers],[MÓDULO 2 - Total Encargos e Benefícios mensais e diários]])-2,0)*($G251-$H251)</f>
        <v>5591.1202885499997</v>
      </c>
      <c r="AO251" s="22">
        <f>VLOOKUP($A251,tabCustoUnit[],COLUMN(CUSTO_GLOBAL[[#Headers],[Aviso Prévio Indenizado (API) e Reflexo do Aviso Prévio Indenizado]])-2,0)*($G251-$H251)</f>
        <v>34.677154249479166</v>
      </c>
      <c r="AP251" s="22">
        <f>VLOOKUP($A251,tabCustoUnit[],COLUMN(CUSTO_GLOBAL[[#Headers],[Incidência do FGTS sobre API e Reflexo do API]])-2,0)*($G251-$H251)</f>
        <v>2.7741723399583336</v>
      </c>
      <c r="AQ251" s="22">
        <f>VLOOKUP($A251,tabCustoUnit[],COLUMN(CUSTO_GLOBAL[[#Headers],[Multa Rescisória do FGTS sobre o Aviso Prévio Indenizado]])-2,0)*($G251-$H251)</f>
        <v>1.1096689359833336</v>
      </c>
      <c r="AR251" s="22">
        <f>VLOOKUP($A251,tabCustoUnit[],COLUMN(CUSTO_GLOBAL[[#Headers],[Aviso Prévio Trabalhado - APT]])-2,0)*($G251-$H251)</f>
        <v>17.309479950000004</v>
      </c>
      <c r="AS251" s="22">
        <f>VLOOKUP($A251,tabCustoUnit[],COLUMN(CUSTO_GLOBAL[[#Headers],[Incidência dos encargos do submódulo 2.1 sobre Aviso Prévio Trabalhado]])-2,0)*($G251-$H251)</f>
        <v>6.5429834211000024</v>
      </c>
      <c r="AT251" s="22">
        <f>VLOOKUP($A251,tabCustoUnit[],COLUMN(CUSTO_GLOBAL[[#Headers],[Multa Rescisória do FGTS]])-2,0)*($G251-$H251)</f>
        <v>151.22440895999998</v>
      </c>
      <c r="AU251" s="22">
        <f>VLOOKUP($A251,tabCustoUnit[],COLUMN(CUSTO_GLOBAL[[#Headers],[Indenização Adicional (Art. 9º da Lei nº 7.238/84)]])-2,0)*($G251-$H251)</f>
        <v>4.1213047500000002</v>
      </c>
      <c r="AV251" s="22">
        <f>VLOOKUP($A251,tabCustoUnit[],COLUMN(CUSTO_GLOBAL[[#Headers],[MÓDULO 3 – PROVISÃO PARA RESCISÃO]])-2,0)*($G251-$H251)</f>
        <v>217.75917260652079</v>
      </c>
      <c r="AW251" s="22">
        <f>VLOOKUP($A251,tabCustoUnit[],COLUMN(CUSTO_GLOBAL[[#Headers],[Ausência por Doença]])-2,0)*($G251-$H251)</f>
        <v>41.762554799999997</v>
      </c>
      <c r="AX251" s="22">
        <f>VLOOKUP($A251,tabCustoUnit[],COLUMN(CUSTO_GLOBAL[[#Headers],[Ausências Legais]])-2,0)*($G251-$H251)</f>
        <v>10.028508224999999</v>
      </c>
      <c r="AY251" s="22">
        <f>VLOOKUP($A251,tabCustoUnit[],COLUMN(CUSTO_GLOBAL[[#Headers],[Licença Paternidade]])-2,0)*($G251-$H251)</f>
        <v>0.84486747374999993</v>
      </c>
      <c r="AZ251" s="22">
        <f>VLOOKUP($A251,tabCustoUnit[],COLUMN(CUSTO_GLOBAL[[#Headers],[Ausência por Acidente de Trabalho]])-2,0)*($G251-$H251)</f>
        <v>1.0303261875</v>
      </c>
      <c r="BA251" s="22">
        <f>VLOOKUP($A251,tabCustoUnit[],COLUMN(CUSTO_GLOBAL[[#Headers],[Férias, Adicional de Férias e 13º  com empregada em gozo de Licença Maternidade]])-2,0)*($G251-$H251)</f>
        <v>6.4109184999999993</v>
      </c>
      <c r="BB251" s="22">
        <f>VLOOKUP($A251,tabCustoUnit[],COLUMN(CUSTO_GLOBAL[[#Headers],[Incidência do Submódulo 2.1 sobre Ausências Legais]])-2,0)*($G251-$H251)</f>
        <v>22.709172220402504</v>
      </c>
      <c r="BC251" s="22">
        <f>VLOOKUP($A251,tabCustoUnit[],COLUMN(CUSTO_GLOBAL[[#Headers],[Submódulo 4.1]])-2,0)*($G251-$H251)</f>
        <v>82.786347406652496</v>
      </c>
      <c r="BD251" s="22">
        <f>VLOOKUP($A251,tabCustoUnit[],COLUMN(CUSTO_GLOBAL[[#Headers],[Intervalo para Repouso ou Alimentação]])-2,0)*($G251-$H251)</f>
        <v>0</v>
      </c>
      <c r="BE251" s="22">
        <f>VLOOKUP($A251,tabCustoUnit[],COLUMN(CUSTO_GLOBAL[[#Headers],[Submódulo 4.2]])-2,0)*($G251-$H251)</f>
        <v>0</v>
      </c>
      <c r="BF251" s="22">
        <f>VLOOKUP($A251,tabCustoUnit[],COLUMN(CUSTO_GLOBAL[[#Headers],[Suspensão Temporária do Contrato de Trabalho]])-2,0)*($G251-$H251)</f>
        <v>0</v>
      </c>
      <c r="BG251" s="22">
        <f>VLOOKUP($A251,tabCustoUnit[],COLUMN(CUSTO_GLOBAL[[#Headers],[Submódulo 4.3]])-2,0)*($G251-$H251)</f>
        <v>0</v>
      </c>
      <c r="BH251" s="22">
        <f>VLOOKUP($A251,tabCustoUnit[],COLUMN(CUSTO_GLOBAL[[#Headers],[MÓDULO 4 – CUSTO DE REPOSIÇÃO DO PROFISSIONAL AUSENTE]])-2,0)*($G251-$H251)</f>
        <v>82.786347406652496</v>
      </c>
      <c r="BI251" s="22">
        <f>VLOOKUP($A251,tabCustoUnit[],COLUMN(CUSTO_GLOBAL[[#Headers],[Uniformes e EPIs]])-2,0)*($G251-$H251)</f>
        <v>302.42749999999995</v>
      </c>
      <c r="BJ251" s="22">
        <f>VLOOKUP($A251,tabCustoUnit[],COLUMN(CUSTO_GLOBAL[[#Headers],[Materiais de Consumo]])-2,0)*($G251-$H251)</f>
        <v>106.55463887575166</v>
      </c>
      <c r="BK251" s="22">
        <f>VLOOKUP($A251,tabCustoUnit[],COLUMN(CUSTO_GLOBAL[[#Headers],[Máquinas e Equipamentos (depreciação)]])-2,0)*($G251-$H251)</f>
        <v>193.58818174447674</v>
      </c>
      <c r="BL251" s="22">
        <f>VLOOKUP($A251,tabCustoUnit[],COLUMN(CUSTO_GLOBAL[[#Headers],[Produtos de Limpeza e Materiais de Higiene Pessoal]])-2,0)*($G251-$H251)</f>
        <v>2070.8145983379495</v>
      </c>
      <c r="BM251" s="22">
        <f>VLOOKUP($A251,tabCustoUnit[],COLUMN(CUSTO_GLOBAL[[#Headers],[Outros (especificar)]])-2,0)*($G251-$H251)</f>
        <v>0</v>
      </c>
      <c r="BN251" s="22">
        <f>VLOOKUP($A251,tabCustoUnit[],COLUMN(CUSTO_GLOBAL[[#Headers],[MÓDULO 5 – INSUMOS DIVERSOS]])-2,0)*($G251-$H251)</f>
        <v>2673.3849189581779</v>
      </c>
      <c r="BO251" s="22">
        <f>VLOOKUP($A251,tabCustoUnit[],COLUMN(CUSTO_GLOBAL[[#Headers],[TOTAL MÓDULOS 1+2+3+4+5]])-2,0)*($G251-$H251)</f>
        <v>13510.616427521349</v>
      </c>
      <c r="BP251" s="22">
        <f>VLOOKUP($A251,tabCustoUnit[],COLUMN(CUSTO_GLOBAL[[#Headers],[Custos Indiretos]])-2,0)*($G251-$H251)</f>
        <v>568.94640420727842</v>
      </c>
      <c r="BQ251" s="22">
        <f>VLOOKUP($A251,tabCustoUnit[],COLUMN(CUSTO_GLOBAL[[#Headers],[Lucro]])-2,0)*($G251-$H251)</f>
        <v>477.91497953411385</v>
      </c>
      <c r="BR251" s="26">
        <f>VLOOKUP($A251,tabCustoUnit[],COLUMN(CUSTO_GLOBAL[[#Headers],[COFINS]])-2,0)</f>
        <v>8.6609686609686695E-2</v>
      </c>
      <c r="BS251" s="26">
        <f>VLOOKUP($A251,tabCustoUnit[],COLUMN(CUSTO_GLOBAL[[#Headers],[PIS]])-2,0)</f>
        <v>1.880341880341882E-2</v>
      </c>
      <c r="BT251" s="28">
        <f>VLOOKUP($A251,tabCustoUnit[],COLUMN(CUSTO_GLOBAL[[#Headers],[ISS]])-2,0)</f>
        <v>0.03</v>
      </c>
      <c r="BU251" s="26">
        <f>VLOOKUP($A251,tabCustoUnit[],COLUMN(CUSTO_GLOBAL[[#Headers],[ISS (Conversão Alíquota s/ fatura)]])-2,0)</f>
        <v>3.4188034188034219E-2</v>
      </c>
      <c r="BV251" s="26">
        <f>VLOOKUP($A251,tabCustoUnit[],COLUMN(CUSTO_GLOBAL[[#Headers],[Resumo de Alíquotas (PIS+CONFINS+ISS)]])-2,0)</f>
        <v>0.1225</v>
      </c>
      <c r="BW251" s="138">
        <f>VLOOKUP($A251,tabCustoUnit[],COLUMN(CUSTO_GLOBAL[[#Headers],[PIS + COFINS + ISS (Total Conversão  Alíquota s/ Fatura)]])-2,0)</f>
        <v>0.13960113960113973</v>
      </c>
      <c r="BX251" s="22">
        <f>VLOOKUP($A251,tabCustoUnit[],COLUMN(CUSTO_GLOBAL[[#Headers],[Valor dos Tributos (ISS, PIS, CONFINS)]])-2,0)*($G251-$H251)</f>
        <v>2032.2404921705843</v>
      </c>
      <c r="BY251" s="22">
        <f>VLOOKUP($A251,tabCustoUnit[],COLUMN(CUSTO_GLOBAL[[#Headers],[MÓDULO 6 – CUSTOS INDIRETOS, TRIBUTOS E LUCRO]])-2,0)*($G251-$H251)</f>
        <v>3079.1018759119761</v>
      </c>
      <c r="BZ251" s="22">
        <f>VLOOKUP($A251,tabCustoUnit[],COLUMN(CUSTO_GLOBAL[[#Headers],[CUSTO TOTAL MENSAL]])-2,0)*($G251-$H251)</f>
        <v>16589.718303433325</v>
      </c>
      <c r="CA251" s="22">
        <f>CUSTO_GLOBAL[[#This Row],[CUSTO TOTAL MENSAL]]*12</f>
        <v>199076.61964119988</v>
      </c>
      <c r="CB251" s="24">
        <f>VLOOKUP($A251,tabCustoUnit[],COLUMN(CUSTO_GLOBAL[[#Headers],[ANO DA CCT]])-2,0)</f>
        <v>45658</v>
      </c>
      <c r="CC251" s="25" t="str">
        <f>VLOOKUP($A251,tabCustoUnit[],COLUMN(CUSTO_GLOBAL[[#Headers],[Nº DE PEDIDO DA CCT]])-2,0)</f>
        <v>-</v>
      </c>
      <c r="CD251" s="25" t="str">
        <f>VLOOKUP($A251,tabCustoUnit[],COLUMN(CUSTO_GLOBAL[[#Headers],[TERMO ADITIVO  ALTERAÇÃO DA CCT]])-2,0)</f>
        <v>-</v>
      </c>
      <c r="CF251" s="22"/>
      <c r="CG251" s="22"/>
    </row>
    <row r="252" spans="1:85" x14ac:dyDescent="0.25">
      <c r="A252" s="20" t="s">
        <v>1587</v>
      </c>
      <c r="B252" t="s">
        <v>225</v>
      </c>
      <c r="C252" t="s">
        <v>1244</v>
      </c>
      <c r="D252" t="s">
        <v>1041</v>
      </c>
      <c r="E252" s="20" t="s">
        <v>9</v>
      </c>
      <c r="F252" s="20" t="s">
        <v>10</v>
      </c>
      <c r="G252" s="20">
        <v>1</v>
      </c>
      <c r="H252" s="20">
        <v>0</v>
      </c>
      <c r="I252" s="21">
        <f>VLOOKUP($A252,tabCustoUnit[],COLUMN(CUSTO_GLOBAL[[#Headers],[Salário Base]])-2,0)*($G252-$H252)</f>
        <v>798.14</v>
      </c>
      <c r="J252" s="21">
        <f>VLOOKUP($A252,tabCustoUnit[],COLUMN(CUSTO_GLOBAL[[#Headers],[Adicional Periculosidade]])-2,0)*($G252-$H252)</f>
        <v>0</v>
      </c>
      <c r="K252" s="21">
        <f>VLOOKUP($A252,tabCustoUnit[],COLUMN(CUSTO_GLOBAL[[#Headers],[Adicional Insalubridade]])-2,0)*($G252-$H252)</f>
        <v>0</v>
      </c>
      <c r="L252" s="21">
        <f>VLOOKUP($A252,tabCustoUnit[],COLUMN(CUSTO_GLOBAL[[#Headers],[Adicional Noturno]])-2,0)*($G252-$H252)</f>
        <v>0</v>
      </c>
      <c r="M252" s="21">
        <f>VLOOKUP($A252,tabCustoUnit[],COLUMN(CUSTO_GLOBAL[[#Headers],[Adicional Motorista II (Gratificação)]])-2,0)*($G252-$H252)</f>
        <v>0</v>
      </c>
      <c r="N252" s="21">
        <f>VLOOKUP($A252,tabCustoUnit[],COLUMN(CUSTO_GLOBAL[[#Headers],[Adicional de Sobreaviso]])-2,0)*($G252-$H252)</f>
        <v>0</v>
      </c>
      <c r="O252" s="21">
        <f>VLOOKUP($A252,tabCustoUnit[],COLUMN(CUSTO_GLOBAL[[#Headers],[Horas Extras TI]])-2,0)*($G252-$H252)</f>
        <v>0</v>
      </c>
      <c r="P252" s="21">
        <f>VLOOKUP($A252,tabCustoUnit[],COLUMN(CUSTO_GLOBAL[[#Headers],[Adicional de Acúmulo de função]])-2,0)*($G252-$H252)</f>
        <v>26.120899999999999</v>
      </c>
      <c r="Q252" s="21">
        <f>VLOOKUP($A252,tabCustoUnit[],COLUMN(CUSTO_GLOBAL[[#Headers],[MODULO 1 - REMUNERAÇÃO ]])-2,0)*($G252-$H252)</f>
        <v>824.26089999999999</v>
      </c>
      <c r="R252" s="21">
        <f>VLOOKUP($A252,tabCustoUnit[],COLUMN(CUSTO_GLOBAL[[#Headers],[INSS]])-2,0)*($G252-$H252)</f>
        <v>164.85218</v>
      </c>
      <c r="S252" s="21">
        <f>VLOOKUP($A252,tabCustoUnit[],COLUMN(CUSTO_GLOBAL[[#Headers],[SESI OU SESC]])-2,0)*($G252-$H252)</f>
        <v>12.363913499999999</v>
      </c>
      <c r="T252" s="21">
        <f>VLOOKUP($A252,tabCustoUnit[],COLUMN(CUSTO_GLOBAL[[#Headers],[SENAI OU SENAC]])-2,0)*($G252-$H252)</f>
        <v>8.2426089999999999</v>
      </c>
      <c r="U252" s="21">
        <f>VLOOKUP($A252,tabCustoUnit[],COLUMN(CUSTO_GLOBAL[[#Headers],[INCRA]])-2,0)*($G252-$H252)</f>
        <v>1.6485217999999999</v>
      </c>
      <c r="V252" s="21">
        <f>VLOOKUP($A252,tabCustoUnit[],COLUMN(CUSTO_GLOBAL[[#Headers],[Salário Educação]])-2,0)*($G252-$H252)</f>
        <v>20.606522500000001</v>
      </c>
      <c r="W252" s="21">
        <f>VLOOKUP($A252,tabCustoUnit[],COLUMN(CUSTO_GLOBAL[[#Headers],[FGTS]])-2,0)*($G252-$H252)</f>
        <v>65.940871999999999</v>
      </c>
      <c r="X252" s="21">
        <f>VLOOKUP($A252,tabCustoUnit[],COLUMN(CUSTO_GLOBAL[[#Headers],[RAT Ajustado]])-2,0)*($G252-$H252)</f>
        <v>32.970435999999999</v>
      </c>
      <c r="Y252" s="21">
        <f>VLOOKUP($A252,tabCustoUnit[],COLUMN(CUSTO_GLOBAL[[#Headers],[SEBRAE]])-2,0)*($G252-$H252)</f>
        <v>4.9455654000000004</v>
      </c>
      <c r="Z252" s="21">
        <f>VLOOKUP($A252,tabCustoUnit[],COLUMN(CUSTO_GLOBAL[[#Headers],[Submódulo 2.1]])-2,0)*($G252-$H252)</f>
        <v>311.57062020000001</v>
      </c>
      <c r="AA252" s="21">
        <f>VLOOKUP($A252,tabCustoUnit[],COLUMN(CUSTO_GLOBAL[[#Headers],[13º salário (titular)]])-2,0)*($G252-$H252)</f>
        <v>68.688408333333328</v>
      </c>
      <c r="AB252" s="21">
        <f>VLOOKUP($A252,tabCustoUnit[],COLUMN(CUSTO_GLOBAL[[#Headers],[Férias e Adicional de Férias (titular)]])-2,0)*($G252-$H252)</f>
        <v>91.584544444444433</v>
      </c>
      <c r="AC252" s="21">
        <f>VLOOKUP($A252,tabCustoUnit[],COLUMN(CUSTO_GLOBAL[[#Headers],[Incidência do Submódulo 2.1 sobre 13º Salário, Férias e Adicional de Férias]])-2,0)*($G252-$H252)</f>
        <v>60.583176149999993</v>
      </c>
      <c r="AD252" s="21">
        <f>VLOOKUP($A252,tabCustoUnit[],COLUMN(CUSTO_GLOBAL[[#Headers],[Submódulo 2.2]])-2,0)*($G252-$H252)</f>
        <v>220.85612892777775</v>
      </c>
      <c r="AE252" s="22">
        <f>VLOOKUP($A252,tabCustoUnit[],COLUMN(CUSTO_GLOBAL[[#Headers],[Vale - Transporte (Descontada parcela do empregado)]])-2,0)*($G252-$H252)</f>
        <v>208.11160000000001</v>
      </c>
      <c r="AF252" s="22">
        <f>VLOOKUP($A252,tabCustoUnit[],COLUMN(CUSTO_GLOBAL[[#Headers],[Vale - Alimentação (Descontada parcela do empregado)]])-2,0)*($G252-$H252)</f>
        <v>582</v>
      </c>
      <c r="AG252" s="22">
        <f>VLOOKUP($A252,tabCustoUnit[],COLUMN(CUSTO_GLOBAL[[#Headers],[Cesta Básica]])-2,0)*($G252-$H252)</f>
        <v>0</v>
      </c>
      <c r="AH252" s="22">
        <f>VLOOKUP($A252,tabCustoUnit[],COLUMN(CUSTO_GLOBAL[[#Headers],[PAF]])-2,0)*($G252-$H252)</f>
        <v>0</v>
      </c>
      <c r="AI252" s="22">
        <f>VLOOKUP($A252,tabCustoUnit[],COLUMN(CUSTO_GLOBAL[[#Headers],[PQM]])-2,0)*($G252-$H252)</f>
        <v>0</v>
      </c>
      <c r="AJ252" s="22"/>
      <c r="AK252" s="22">
        <f>VLOOKUP($A252,tabCustoUnit[],COLUMN(CUSTO_GLOBAL[[#Headers],[Seguro de Vida]])-2,0)*($G252-$H252)</f>
        <v>3.36</v>
      </c>
      <c r="AL252" s="22">
        <f>VLOOKUP($A252,tabCustoUnit[],COLUMN(CUSTO_GLOBAL[[#Headers],[Despesas de Viagem]])-2,0)*($G252-$H252)</f>
        <v>0</v>
      </c>
      <c r="AM252" s="22">
        <f>VLOOKUP($A252,tabCustoUnit[],COLUMN(CUSTO_GLOBAL[[#Headers],[Submódulo 2.3]])-2,0)*($G252-$H252)</f>
        <v>793.47159999999997</v>
      </c>
      <c r="AN252" s="22">
        <f>VLOOKUP($A252,tabCustoUnit[],COLUMN(CUSTO_GLOBAL[[#Headers],[MÓDULO 2 - Total Encargos e Benefícios mensais e diários]])-2,0)*($G252-$H252)</f>
        <v>1325.8983491277777</v>
      </c>
      <c r="AO252" s="22">
        <f>VLOOKUP($A252,tabCustoUnit[],COLUMN(CUSTO_GLOBAL[[#Headers],[Aviso Prévio Indenizado (API) e Reflexo do Aviso Prévio Indenizado]])-2,0)*($G252-$H252)</f>
        <v>5.7795253576581791</v>
      </c>
      <c r="AP252" s="22">
        <f>VLOOKUP($A252,tabCustoUnit[],COLUMN(CUSTO_GLOBAL[[#Headers],[Incidência do FGTS sobre API e Reflexo do API]])-2,0)*($G252-$H252)</f>
        <v>0.46236202861265435</v>
      </c>
      <c r="AQ252" s="22">
        <f>VLOOKUP($A252,tabCustoUnit[],COLUMN(CUSTO_GLOBAL[[#Headers],[Multa Rescisória do FGTS sobre o Aviso Prévio Indenizado]])-2,0)*($G252-$H252)</f>
        <v>0.18494481144506175</v>
      </c>
      <c r="AR252" s="22">
        <f>VLOOKUP($A252,tabCustoUnit[],COLUMN(CUSTO_GLOBAL[[#Headers],[Aviso Prévio Trabalhado - APT]])-2,0)*($G252-$H252)</f>
        <v>2.8849131500000005</v>
      </c>
      <c r="AS252" s="22">
        <f>VLOOKUP($A252,tabCustoUnit[],COLUMN(CUSTO_GLOBAL[[#Headers],[Incidência dos encargos do submódulo 2.1 sobre Aviso Prévio Trabalhado]])-2,0)*($G252-$H252)</f>
        <v>1.0904971707000004</v>
      </c>
      <c r="AT252" s="22">
        <f>VLOOKUP($A252,tabCustoUnit[],COLUMN(CUSTO_GLOBAL[[#Headers],[Multa Rescisória do FGTS]])-2,0)*($G252-$H252)</f>
        <v>25.204066631111107</v>
      </c>
      <c r="AU252" s="22">
        <f>VLOOKUP($A252,tabCustoUnit[],COLUMN(CUSTO_GLOBAL[[#Headers],[Indenização Adicional (Art. 9º da Lei nº 7.238/84)]])-2,0)*($G252-$H252)</f>
        <v>0.6868840833333334</v>
      </c>
      <c r="AV252" s="22">
        <f>VLOOKUP($A252,tabCustoUnit[],COLUMN(CUSTO_GLOBAL[[#Headers],[MÓDULO 3 – PROVISÃO PARA RESCISÃO]])-2,0)*($G252-$H252)</f>
        <v>36.293193232860339</v>
      </c>
      <c r="AW252" s="22">
        <f>VLOOKUP($A252,tabCustoUnit[],COLUMN(CUSTO_GLOBAL[[#Headers],[Ausência por Doença]])-2,0)*($G252-$H252)</f>
        <v>6.9604253777777769</v>
      </c>
      <c r="AX252" s="22">
        <f>VLOOKUP($A252,tabCustoUnit[],COLUMN(CUSTO_GLOBAL[[#Headers],[Ausências Legais]])-2,0)*($G252-$H252)</f>
        <v>1.671417936111111</v>
      </c>
      <c r="AY252" s="22">
        <f>VLOOKUP($A252,tabCustoUnit[],COLUMN(CUSTO_GLOBAL[[#Headers],[Licença Paternidade]])-2,0)*($G252-$H252)</f>
        <v>0.14081123708333332</v>
      </c>
      <c r="AZ252" s="22">
        <f>VLOOKUP($A252,tabCustoUnit[],COLUMN(CUSTO_GLOBAL[[#Headers],[Ausência por Acidente de Trabalho]])-2,0)*($G252-$H252)</f>
        <v>0.17172102083333335</v>
      </c>
      <c r="BA252" s="22">
        <f>VLOOKUP($A252,tabCustoUnit[],COLUMN(CUSTO_GLOBAL[[#Headers],[Férias, Adicional de Férias e 13º  com empregada em gozo de Licença Maternidade]])-2,0)*($G252-$H252)</f>
        <v>1.0684863518518517</v>
      </c>
      <c r="BB252" s="22">
        <f>VLOOKUP($A252,tabCustoUnit[],COLUMN(CUSTO_GLOBAL[[#Headers],[Incidência do Submódulo 2.1 sobre Ausências Legais]])-2,0)*($G252-$H252)</f>
        <v>3.7848618071425006</v>
      </c>
      <c r="BC252" s="22">
        <f>VLOOKUP($A252,tabCustoUnit[],COLUMN(CUSTO_GLOBAL[[#Headers],[Submódulo 4.1]])-2,0)*($G252-$H252)</f>
        <v>13.797723730799909</v>
      </c>
      <c r="BD252" s="22">
        <f>VLOOKUP($A252,tabCustoUnit[],COLUMN(CUSTO_GLOBAL[[#Headers],[Intervalo para Repouso ou Alimentação]])-2,0)*($G252-$H252)</f>
        <v>0</v>
      </c>
      <c r="BE252" s="22">
        <f>VLOOKUP($A252,tabCustoUnit[],COLUMN(CUSTO_GLOBAL[[#Headers],[Submódulo 4.2]])-2,0)*($G252-$H252)</f>
        <v>0</v>
      </c>
      <c r="BF252" s="22">
        <f>VLOOKUP($A252,tabCustoUnit[],COLUMN(CUSTO_GLOBAL[[#Headers],[Suspensão Temporária do Contrato de Trabalho]])-2,0)*($G252-$H252)</f>
        <v>0</v>
      </c>
      <c r="BG252" s="22">
        <f>VLOOKUP($A252,tabCustoUnit[],COLUMN(CUSTO_GLOBAL[[#Headers],[Submódulo 4.3]])-2,0)*($G252-$H252)</f>
        <v>0</v>
      </c>
      <c r="BH252" s="22">
        <f>VLOOKUP($A252,tabCustoUnit[],COLUMN(CUSTO_GLOBAL[[#Headers],[MÓDULO 4 – CUSTO DE REPOSIÇÃO DO PROFISSIONAL AUSENTE]])-2,0)*($G252-$H252)</f>
        <v>13.797723730799909</v>
      </c>
      <c r="BI252" s="22">
        <f>VLOOKUP($A252,tabCustoUnit[],COLUMN(CUSTO_GLOBAL[[#Headers],[Uniformes e EPIs]])-2,0)*($G252-$H252)</f>
        <v>62.806666666666665</v>
      </c>
      <c r="BJ252" s="22">
        <f>VLOOKUP($A252,tabCustoUnit[],COLUMN(CUSTO_GLOBAL[[#Headers],[Materiais de Consumo]])-2,0)*($G252-$H252)</f>
        <v>17.759106479291944</v>
      </c>
      <c r="BK252" s="22">
        <f>VLOOKUP($A252,tabCustoUnit[],COLUMN(CUSTO_GLOBAL[[#Headers],[Máquinas e Equipamentos (depreciação)]])-2,0)*($G252-$H252)</f>
        <v>32.264696957412788</v>
      </c>
      <c r="BL252" s="22">
        <f>VLOOKUP($A252,tabCustoUnit[],COLUMN(CUSTO_GLOBAL[[#Headers],[Produtos de Limpeza e Materiais de Higiene Pessoal]])-2,0)*($G252-$H252)</f>
        <v>345.13576638965827</v>
      </c>
      <c r="BM252" s="22">
        <f>VLOOKUP($A252,tabCustoUnit[],COLUMN(CUSTO_GLOBAL[[#Headers],[Outros (especificar)]])-2,0)*($G252-$H252)</f>
        <v>0</v>
      </c>
      <c r="BN252" s="22">
        <f>VLOOKUP($A252,tabCustoUnit[],COLUMN(CUSTO_GLOBAL[[#Headers],[MÓDULO 5 – INSUMOS DIVERSOS]])-2,0)*($G252-$H252)</f>
        <v>457.96623649302967</v>
      </c>
      <c r="BO252" s="22">
        <f>VLOOKUP($A252,tabCustoUnit[],COLUMN(CUSTO_GLOBAL[[#Headers],[TOTAL MÓDULOS 1+2+3+4+5]])-2,0)*($G252-$H252)</f>
        <v>2658.2164025844677</v>
      </c>
      <c r="BP252" s="22">
        <f>VLOOKUP($A252,tabCustoUnit[],COLUMN(CUSTO_GLOBAL[[#Headers],[Custos Indiretos]])-2,0)*($G252-$H252)</f>
        <v>189.64880140242613</v>
      </c>
      <c r="BQ252" s="22">
        <f>VLOOKUP($A252,tabCustoUnit[],COLUMN(CUSTO_GLOBAL[[#Headers],[Lucro]])-2,0)*($G252-$H252)</f>
        <v>159.30499317803796</v>
      </c>
      <c r="BR252" s="26">
        <f>VLOOKUP($A252,tabCustoUnit[],COLUMN(CUSTO_GLOBAL[[#Headers],[COFINS]])-2,0)</f>
        <v>8.8629737609329504E-2</v>
      </c>
      <c r="BS252" s="26">
        <f>VLOOKUP($A252,tabCustoUnit[],COLUMN(CUSTO_GLOBAL[[#Headers],[PIS]])-2,0)</f>
        <v>1.9241982507288629E-2</v>
      </c>
      <c r="BT252" s="28">
        <f>VLOOKUP($A252,tabCustoUnit[],COLUMN(CUSTO_GLOBAL[[#Headers],[ISS]])-2,0)</f>
        <v>0.05</v>
      </c>
      <c r="BU252" s="26">
        <f>VLOOKUP($A252,tabCustoUnit[],COLUMN(CUSTO_GLOBAL[[#Headers],[ISS (Conversão Alíquota s/ fatura)]])-2,0)</f>
        <v>5.8309037900874633E-2</v>
      </c>
      <c r="BV252" s="26">
        <f>VLOOKUP($A252,tabCustoUnit[],COLUMN(CUSTO_GLOBAL[[#Headers],[Resumo de Alíquotas (PIS+CONFINS+ISS)]])-2,0)</f>
        <v>0.14250000000000002</v>
      </c>
      <c r="BW252" s="138">
        <f>VLOOKUP($A252,tabCustoUnit[],COLUMN(CUSTO_GLOBAL[[#Headers],[PIS + COFINS + ISS (Total Conversão  Alíquota s/ Fatura)]])-2,0)</f>
        <v>0.16618075801749277</v>
      </c>
      <c r="BX252" s="22">
        <f>VLOOKUP($A252,tabCustoUnit[],COLUMN(CUSTO_GLOBAL[[#Headers],[Valor dos Tributos (ISS, PIS, CONFINS)]])-2,0)*($G252-$H252)</f>
        <v>499.73382285248152</v>
      </c>
      <c r="BY252" s="22">
        <f>VLOOKUP($A252,tabCustoUnit[],COLUMN(CUSTO_GLOBAL[[#Headers],[MÓDULO 6 – CUSTOS INDIRETOS, TRIBUTOS E LUCRO]])-2,0)*($G252-$H252)</f>
        <v>848.68761743294567</v>
      </c>
      <c r="BZ252" s="22">
        <f>VLOOKUP($A252,tabCustoUnit[],COLUMN(CUSTO_GLOBAL[[#Headers],[CUSTO TOTAL MENSAL]])-2,0)*($G252-$H252)</f>
        <v>3506.9040200174131</v>
      </c>
      <c r="CA252" s="22">
        <f>CUSTO_GLOBAL[[#This Row],[CUSTO TOTAL MENSAL]]*12</f>
        <v>42082.848240208958</v>
      </c>
      <c r="CB252" s="24">
        <f>VLOOKUP($A252,tabCustoUnit[],COLUMN(CUSTO_GLOBAL[[#Headers],[ANO DA CCT]])-2,0)</f>
        <v>45658</v>
      </c>
      <c r="CC252" s="25" t="str">
        <f>VLOOKUP($A252,tabCustoUnit[],COLUMN(CUSTO_GLOBAL[[#Headers],[Nº DE PEDIDO DA CCT]])-2,0)</f>
        <v>-</v>
      </c>
      <c r="CD252" s="25" t="str">
        <f>VLOOKUP($A252,tabCustoUnit[],COLUMN(CUSTO_GLOBAL[[#Headers],[TERMO ADITIVO  ALTERAÇÃO DA CCT]])-2,0)</f>
        <v>-</v>
      </c>
      <c r="CF252" s="22"/>
      <c r="CG252" s="22"/>
    </row>
    <row r="253" spans="1:85" x14ac:dyDescent="0.25">
      <c r="A253" s="20" t="s">
        <v>1588</v>
      </c>
      <c r="B253" t="s">
        <v>226</v>
      </c>
      <c r="C253" t="s">
        <v>1245</v>
      </c>
      <c r="D253" t="s">
        <v>226</v>
      </c>
      <c r="E253" s="20" t="s">
        <v>9</v>
      </c>
      <c r="F253" s="20" t="s">
        <v>10</v>
      </c>
      <c r="G253" s="20">
        <v>1</v>
      </c>
      <c r="H253" s="20">
        <v>0</v>
      </c>
      <c r="I253" s="21">
        <f>VLOOKUP($A253,tabCustoUnit[],COLUMN(CUSTO_GLOBAL[[#Headers],[Salário Base]])-2,0)*($G253-$H253)</f>
        <v>1649.12</v>
      </c>
      <c r="J253" s="21">
        <f>VLOOKUP($A253,tabCustoUnit[],COLUMN(CUSTO_GLOBAL[[#Headers],[Adicional Periculosidade]])-2,0)*($G253-$H253)</f>
        <v>0</v>
      </c>
      <c r="K253" s="21">
        <f>VLOOKUP($A253,tabCustoUnit[],COLUMN(CUSTO_GLOBAL[[#Headers],[Adicional Insalubridade]])-2,0)*($G253-$H253)</f>
        <v>0</v>
      </c>
      <c r="L253" s="21">
        <f>VLOOKUP($A253,tabCustoUnit[],COLUMN(CUSTO_GLOBAL[[#Headers],[Adicional Noturno]])-2,0)*($G253-$H253)</f>
        <v>0</v>
      </c>
      <c r="M253" s="21">
        <f>VLOOKUP($A253,tabCustoUnit[],COLUMN(CUSTO_GLOBAL[[#Headers],[Adicional Motorista II (Gratificação)]])-2,0)*($G253-$H253)</f>
        <v>0</v>
      </c>
      <c r="N253" s="21">
        <f>VLOOKUP($A253,tabCustoUnit[],COLUMN(CUSTO_GLOBAL[[#Headers],[Adicional de Sobreaviso]])-2,0)*($G253-$H253)</f>
        <v>0</v>
      </c>
      <c r="O253" s="21">
        <f>VLOOKUP($A253,tabCustoUnit[],COLUMN(CUSTO_GLOBAL[[#Headers],[Horas Extras TI]])-2,0)*($G253-$H253)</f>
        <v>0</v>
      </c>
      <c r="P253" s="21">
        <f>VLOOKUP($A253,tabCustoUnit[],COLUMN(CUSTO_GLOBAL[[#Headers],[Adicional de Acúmulo de função]])-2,0)*($G253-$H253)</f>
        <v>53.971200000000003</v>
      </c>
      <c r="Q253" s="21">
        <f>VLOOKUP($A253,tabCustoUnit[],COLUMN(CUSTO_GLOBAL[[#Headers],[MODULO 1 - REMUNERAÇÃO ]])-2,0)*($G253-$H253)</f>
        <v>1703.0911999999998</v>
      </c>
      <c r="R253" s="21">
        <f>VLOOKUP($A253,tabCustoUnit[],COLUMN(CUSTO_GLOBAL[[#Headers],[INSS]])-2,0)*($G253-$H253)</f>
        <v>340.61824000000001</v>
      </c>
      <c r="S253" s="21">
        <f>VLOOKUP($A253,tabCustoUnit[],COLUMN(CUSTO_GLOBAL[[#Headers],[SESI OU SESC]])-2,0)*($G253-$H253)</f>
        <v>25.546367999999998</v>
      </c>
      <c r="T253" s="21">
        <f>VLOOKUP($A253,tabCustoUnit[],COLUMN(CUSTO_GLOBAL[[#Headers],[SENAI OU SENAC]])-2,0)*($G253-$H253)</f>
        <v>17.030911999999997</v>
      </c>
      <c r="U253" s="21">
        <f>VLOOKUP($A253,tabCustoUnit[],COLUMN(CUSTO_GLOBAL[[#Headers],[INCRA]])-2,0)*($G253-$H253)</f>
        <v>3.4061823999999996</v>
      </c>
      <c r="V253" s="21">
        <f>VLOOKUP($A253,tabCustoUnit[],COLUMN(CUSTO_GLOBAL[[#Headers],[Salário Educação]])-2,0)*($G253-$H253)</f>
        <v>42.577280000000002</v>
      </c>
      <c r="W253" s="21">
        <f>VLOOKUP($A253,tabCustoUnit[],COLUMN(CUSTO_GLOBAL[[#Headers],[FGTS]])-2,0)*($G253-$H253)</f>
        <v>136.24729599999998</v>
      </c>
      <c r="X253" s="21">
        <f>VLOOKUP($A253,tabCustoUnit[],COLUMN(CUSTO_GLOBAL[[#Headers],[RAT Ajustado]])-2,0)*($G253-$H253)</f>
        <v>68.123647999999989</v>
      </c>
      <c r="Y253" s="21">
        <f>VLOOKUP($A253,tabCustoUnit[],COLUMN(CUSTO_GLOBAL[[#Headers],[SEBRAE]])-2,0)*($G253-$H253)</f>
        <v>10.2185472</v>
      </c>
      <c r="Z253" s="21">
        <f>VLOOKUP($A253,tabCustoUnit[],COLUMN(CUSTO_GLOBAL[[#Headers],[Submódulo 2.1]])-2,0)*($G253-$H253)</f>
        <v>643.76847359999999</v>
      </c>
      <c r="AA253" s="21">
        <f>VLOOKUP($A253,tabCustoUnit[],COLUMN(CUSTO_GLOBAL[[#Headers],[13º salário (titular)]])-2,0)*($G253-$H253)</f>
        <v>141.92426666666665</v>
      </c>
      <c r="AB253" s="21">
        <f>VLOOKUP($A253,tabCustoUnit[],COLUMN(CUSTO_GLOBAL[[#Headers],[Férias e Adicional de Férias (titular)]])-2,0)*($G253-$H253)</f>
        <v>189.23235555555553</v>
      </c>
      <c r="AC253" s="21">
        <f>VLOOKUP($A253,tabCustoUnit[],COLUMN(CUSTO_GLOBAL[[#Headers],[Incidência do Submódulo 2.1 sobre 13º Salário, Férias e Adicional de Férias]])-2,0)*($G253-$H253)</f>
        <v>125.17720319999999</v>
      </c>
      <c r="AD253" s="21">
        <f>VLOOKUP($A253,tabCustoUnit[],COLUMN(CUSTO_GLOBAL[[#Headers],[Submódulo 2.2]])-2,0)*($G253-$H253)</f>
        <v>456.33382542222216</v>
      </c>
      <c r="AE253" s="22">
        <f>VLOOKUP($A253,tabCustoUnit[],COLUMN(CUSTO_GLOBAL[[#Headers],[Vale - Transporte (Descontada parcela do empregado)]])-2,0)*($G253-$H253)</f>
        <v>157.05279999999999</v>
      </c>
      <c r="AF253" s="22">
        <f>VLOOKUP($A253,tabCustoUnit[],COLUMN(CUSTO_GLOBAL[[#Headers],[Vale - Alimentação (Descontada parcela do empregado)]])-2,0)*($G253-$H253)</f>
        <v>582</v>
      </c>
      <c r="AG253" s="22">
        <f>VLOOKUP($A253,tabCustoUnit[],COLUMN(CUSTO_GLOBAL[[#Headers],[Cesta Básica]])-2,0)*($G253-$H253)</f>
        <v>0</v>
      </c>
      <c r="AH253" s="22">
        <f>VLOOKUP($A253,tabCustoUnit[],COLUMN(CUSTO_GLOBAL[[#Headers],[PAF]])-2,0)*($G253-$H253)</f>
        <v>0</v>
      </c>
      <c r="AI253" s="22">
        <f>VLOOKUP($A253,tabCustoUnit[],COLUMN(CUSTO_GLOBAL[[#Headers],[PQM]])-2,0)*($G253-$H253)</f>
        <v>0</v>
      </c>
      <c r="AJ253" s="22"/>
      <c r="AK253" s="22">
        <f>VLOOKUP($A253,tabCustoUnit[],COLUMN(CUSTO_GLOBAL[[#Headers],[Seguro de Vida]])-2,0)*($G253-$H253)</f>
        <v>3.36</v>
      </c>
      <c r="AL253" s="22">
        <f>VLOOKUP($A253,tabCustoUnit[],COLUMN(CUSTO_GLOBAL[[#Headers],[Despesas de Viagem]])-2,0)*($G253-$H253)</f>
        <v>0</v>
      </c>
      <c r="AM253" s="22">
        <f>VLOOKUP($A253,tabCustoUnit[],COLUMN(CUSTO_GLOBAL[[#Headers],[Submódulo 2.3]])-2,0)*($G253-$H253)</f>
        <v>742.41279999999995</v>
      </c>
      <c r="AN253" s="22">
        <f>VLOOKUP($A253,tabCustoUnit[],COLUMN(CUSTO_GLOBAL[[#Headers],[MÓDULO 2 - Total Encargos e Benefícios mensais e diários]])-2,0)*($G253-$H253)</f>
        <v>1842.5150990222223</v>
      </c>
      <c r="AO253" s="22">
        <f>VLOOKUP($A253,tabCustoUnit[],COLUMN(CUSTO_GLOBAL[[#Headers],[Aviso Prévio Indenizado (API) e Reflexo do Aviso Prévio Indenizado]])-2,0)*($G253-$H253)</f>
        <v>11.941678632098764</v>
      </c>
      <c r="AP253" s="22">
        <f>VLOOKUP($A253,tabCustoUnit[],COLUMN(CUSTO_GLOBAL[[#Headers],[Incidência do FGTS sobre API e Reflexo do API]])-2,0)*($G253-$H253)</f>
        <v>0.9553342905679012</v>
      </c>
      <c r="AQ253" s="22">
        <f>VLOOKUP($A253,tabCustoUnit[],COLUMN(CUSTO_GLOBAL[[#Headers],[Multa Rescisória do FGTS sobre o Aviso Prévio Indenizado]])-2,0)*($G253-$H253)</f>
        <v>0.38213371622716052</v>
      </c>
      <c r="AR253" s="22">
        <f>VLOOKUP($A253,tabCustoUnit[],COLUMN(CUSTO_GLOBAL[[#Headers],[Aviso Prévio Trabalhado - APT]])-2,0)*($G253-$H253)</f>
        <v>5.9608192000000004</v>
      </c>
      <c r="AS253" s="22">
        <f>VLOOKUP($A253,tabCustoUnit[],COLUMN(CUSTO_GLOBAL[[#Headers],[Incidência dos encargos do submódulo 2.1 sobre Aviso Prévio Trabalhado]])-2,0)*($G253-$H253)</f>
        <v>2.2531896576000006</v>
      </c>
      <c r="AT253" s="22">
        <f>VLOOKUP($A253,tabCustoUnit[],COLUMN(CUSTO_GLOBAL[[#Headers],[Multa Rescisória do FGTS]])-2,0)*($G253-$H253)</f>
        <v>52.076744248888879</v>
      </c>
      <c r="AU253" s="22">
        <f>VLOOKUP($A253,tabCustoUnit[],COLUMN(CUSTO_GLOBAL[[#Headers],[Indenização Adicional (Art. 9º da Lei nº 7.238/84)]])-2,0)*($G253-$H253)</f>
        <v>1.4192426666666667</v>
      </c>
      <c r="AV253" s="22">
        <f>VLOOKUP($A253,tabCustoUnit[],COLUMN(CUSTO_GLOBAL[[#Headers],[MÓDULO 3 – PROVISÃO PARA RESCISÃO]])-2,0)*($G253-$H253)</f>
        <v>74.989142412049375</v>
      </c>
      <c r="AW253" s="22">
        <f>VLOOKUP($A253,tabCustoUnit[],COLUMN(CUSTO_GLOBAL[[#Headers],[Ausência por Doença]])-2,0)*($G253-$H253)</f>
        <v>14.38165902222222</v>
      </c>
      <c r="AX253" s="22">
        <f>VLOOKUP($A253,tabCustoUnit[],COLUMN(CUSTO_GLOBAL[[#Headers],[Ausências Legais]])-2,0)*($G253-$H253)</f>
        <v>3.4534904888888884</v>
      </c>
      <c r="AY253" s="22">
        <f>VLOOKUP($A253,tabCustoUnit[],COLUMN(CUSTO_GLOBAL[[#Headers],[Licença Paternidade]])-2,0)*($G253-$H253)</f>
        <v>0.29094474666666664</v>
      </c>
      <c r="AZ253" s="22">
        <f>VLOOKUP($A253,tabCustoUnit[],COLUMN(CUSTO_GLOBAL[[#Headers],[Ausência por Acidente de Trabalho]])-2,0)*($G253-$H253)</f>
        <v>0.35481066666666666</v>
      </c>
      <c r="BA253" s="22">
        <f>VLOOKUP($A253,tabCustoUnit[],COLUMN(CUSTO_GLOBAL[[#Headers],[Férias, Adicional de Férias e 13º  com empregada em gozo de Licença Maternidade]])-2,0)*($G253-$H253)</f>
        <v>2.2077108148148143</v>
      </c>
      <c r="BB253" s="22">
        <f>VLOOKUP($A253,tabCustoUnit[],COLUMN(CUSTO_GLOBAL[[#Headers],[Incidência do Submódulo 2.1 sobre Ausências Legais]])-2,0)*($G253-$H253)</f>
        <v>7.8202967494400006</v>
      </c>
      <c r="BC253" s="22">
        <f>VLOOKUP($A253,tabCustoUnit[],COLUMN(CUSTO_GLOBAL[[#Headers],[Submódulo 4.1]])-2,0)*($G253-$H253)</f>
        <v>28.508912488699256</v>
      </c>
      <c r="BD253" s="22">
        <f>VLOOKUP($A253,tabCustoUnit[],COLUMN(CUSTO_GLOBAL[[#Headers],[Intervalo para Repouso ou Alimentação]])-2,0)*($G253-$H253)</f>
        <v>0</v>
      </c>
      <c r="BE253" s="22">
        <f>VLOOKUP($A253,tabCustoUnit[],COLUMN(CUSTO_GLOBAL[[#Headers],[Submódulo 4.2]])-2,0)*($G253-$H253)</f>
        <v>0</v>
      </c>
      <c r="BF253" s="22">
        <f>VLOOKUP($A253,tabCustoUnit[],COLUMN(CUSTO_GLOBAL[[#Headers],[Suspensão Temporária do Contrato de Trabalho]])-2,0)*($G253-$H253)</f>
        <v>0</v>
      </c>
      <c r="BG253" s="22">
        <f>VLOOKUP($A253,tabCustoUnit[],COLUMN(CUSTO_GLOBAL[[#Headers],[Submódulo 4.3]])-2,0)*($G253-$H253)</f>
        <v>0</v>
      </c>
      <c r="BH253" s="22">
        <f>VLOOKUP($A253,tabCustoUnit[],COLUMN(CUSTO_GLOBAL[[#Headers],[MÓDULO 4 – CUSTO DE REPOSIÇÃO DO PROFISSIONAL AUSENTE]])-2,0)*($G253-$H253)</f>
        <v>28.508912488699256</v>
      </c>
      <c r="BI253" s="22">
        <f>VLOOKUP($A253,tabCustoUnit[],COLUMN(CUSTO_GLOBAL[[#Headers],[Uniformes e EPIs]])-2,0)*($G253-$H253)</f>
        <v>100.80916666666666</v>
      </c>
      <c r="BJ253" s="22">
        <f>VLOOKUP($A253,tabCustoUnit[],COLUMN(CUSTO_GLOBAL[[#Headers],[Materiais de Consumo]])-2,0)*($G253-$H253)</f>
        <v>35.518212958583888</v>
      </c>
      <c r="BK253" s="22">
        <f>VLOOKUP($A253,tabCustoUnit[],COLUMN(CUSTO_GLOBAL[[#Headers],[Máquinas e Equipamentos (depreciação)]])-2,0)*($G253-$H253)</f>
        <v>64.529393914825576</v>
      </c>
      <c r="BL253" s="22">
        <f>VLOOKUP($A253,tabCustoUnit[],COLUMN(CUSTO_GLOBAL[[#Headers],[Produtos de Limpeza e Materiais de Higiene Pessoal]])-2,0)*($G253-$H253)</f>
        <v>690.27153277931654</v>
      </c>
      <c r="BM253" s="22">
        <f>VLOOKUP($A253,tabCustoUnit[],COLUMN(CUSTO_GLOBAL[[#Headers],[Outros (especificar)]])-2,0)*($G253-$H253)</f>
        <v>0</v>
      </c>
      <c r="BN253" s="22">
        <f>VLOOKUP($A253,tabCustoUnit[],COLUMN(CUSTO_GLOBAL[[#Headers],[MÓDULO 5 – INSUMOS DIVERSOS]])-2,0)*($G253-$H253)</f>
        <v>891.12830631939266</v>
      </c>
      <c r="BO253" s="22">
        <f>VLOOKUP($A253,tabCustoUnit[],COLUMN(CUSTO_GLOBAL[[#Headers],[TOTAL MÓDULOS 1+2+3+4+5]])-2,0)*($G253-$H253)</f>
        <v>4540.2326602423636</v>
      </c>
      <c r="BP253" s="22">
        <f>VLOOKUP($A253,tabCustoUnit[],COLUMN(CUSTO_GLOBAL[[#Headers],[Custos Indiretos]])-2,0)*($G253-$H253)</f>
        <v>189.64880140242613</v>
      </c>
      <c r="BQ253" s="22">
        <f>VLOOKUP($A253,tabCustoUnit[],COLUMN(CUSTO_GLOBAL[[#Headers],[Lucro]])-2,0)*($G253-$H253)</f>
        <v>159.30499317803796</v>
      </c>
      <c r="BR253" s="26">
        <f>VLOOKUP($A253,tabCustoUnit[],COLUMN(CUSTO_GLOBAL[[#Headers],[COFINS]])-2,0)</f>
        <v>8.6609686609686695E-2</v>
      </c>
      <c r="BS253" s="26">
        <f>VLOOKUP($A253,tabCustoUnit[],COLUMN(CUSTO_GLOBAL[[#Headers],[PIS]])-2,0)</f>
        <v>1.880341880341882E-2</v>
      </c>
      <c r="BT253" s="28">
        <f>VLOOKUP($A253,tabCustoUnit[],COLUMN(CUSTO_GLOBAL[[#Headers],[ISS]])-2,0)</f>
        <v>0.03</v>
      </c>
      <c r="BU253" s="26">
        <f>VLOOKUP($A253,tabCustoUnit[],COLUMN(CUSTO_GLOBAL[[#Headers],[ISS (Conversão Alíquota s/ fatura)]])-2,0)</f>
        <v>3.4188034188034219E-2</v>
      </c>
      <c r="BV253" s="26">
        <f>VLOOKUP($A253,tabCustoUnit[],COLUMN(CUSTO_GLOBAL[[#Headers],[Resumo de Alíquotas (PIS+CONFINS+ISS)]])-2,0)</f>
        <v>0.1225</v>
      </c>
      <c r="BW253" s="138">
        <f>VLOOKUP($A253,tabCustoUnit[],COLUMN(CUSTO_GLOBAL[[#Headers],[PIS + COFINS + ISS (Total Conversão  Alíquota s/ Fatura)]])-2,0)</f>
        <v>0.13960113960113973</v>
      </c>
      <c r="BX253" s="22">
        <f>VLOOKUP($A253,tabCustoUnit[],COLUMN(CUSTO_GLOBAL[[#Headers],[Valor dos Tributos (ISS, PIS, CONFINS)]])-2,0)*($G253-$H253)</f>
        <v>682.53600081572301</v>
      </c>
      <c r="BY253" s="22">
        <f>VLOOKUP($A253,tabCustoUnit[],COLUMN(CUSTO_GLOBAL[[#Headers],[MÓDULO 6 – CUSTOS INDIRETOS, TRIBUTOS E LUCRO]])-2,0)*($G253-$H253)</f>
        <v>1031.4897953961872</v>
      </c>
      <c r="BZ253" s="22">
        <f>VLOOKUP($A253,tabCustoUnit[],COLUMN(CUSTO_GLOBAL[[#Headers],[CUSTO TOTAL MENSAL]])-2,0)*($G253-$H253)</f>
        <v>5571.7224556385509</v>
      </c>
      <c r="CA253" s="22">
        <f>CUSTO_GLOBAL[[#This Row],[CUSTO TOTAL MENSAL]]*12</f>
        <v>66860.669467662607</v>
      </c>
      <c r="CB253" s="24">
        <f>VLOOKUP($A253,tabCustoUnit[],COLUMN(CUSTO_GLOBAL[[#Headers],[ANO DA CCT]])-2,0)</f>
        <v>45658</v>
      </c>
      <c r="CC253" s="25" t="str">
        <f>VLOOKUP($A253,tabCustoUnit[],COLUMN(CUSTO_GLOBAL[[#Headers],[Nº DE PEDIDO DA CCT]])-2,0)</f>
        <v>-</v>
      </c>
      <c r="CD253" s="25" t="str">
        <f>VLOOKUP($A253,tabCustoUnit[],COLUMN(CUSTO_GLOBAL[[#Headers],[TERMO ADITIVO  ALTERAÇÃO DA CCT]])-2,0)</f>
        <v>-</v>
      </c>
      <c r="CF253" s="22"/>
      <c r="CG253" s="22"/>
    </row>
    <row r="254" spans="1:85" x14ac:dyDescent="0.25">
      <c r="A254" s="20" t="s">
        <v>1589</v>
      </c>
      <c r="B254" t="s">
        <v>227</v>
      </c>
      <c r="C254" t="s">
        <v>1245</v>
      </c>
      <c r="D254" t="s">
        <v>1050</v>
      </c>
      <c r="E254" s="20" t="s">
        <v>9</v>
      </c>
      <c r="F254" s="20" t="s">
        <v>10</v>
      </c>
      <c r="G254" s="20">
        <v>1</v>
      </c>
      <c r="H254" s="20">
        <v>0</v>
      </c>
      <c r="I254" s="21">
        <f>VLOOKUP($A254,tabCustoUnit[],COLUMN(CUSTO_GLOBAL[[#Headers],[Salário Base]])-2,0)*($G254-$H254)</f>
        <v>1596.28</v>
      </c>
      <c r="J254" s="21">
        <f>VLOOKUP($A254,tabCustoUnit[],COLUMN(CUSTO_GLOBAL[[#Headers],[Adicional Periculosidade]])-2,0)*($G254-$H254)</f>
        <v>0</v>
      </c>
      <c r="K254" s="21">
        <f>VLOOKUP($A254,tabCustoUnit[],COLUMN(CUSTO_GLOBAL[[#Headers],[Adicional Insalubridade]])-2,0)*($G254-$H254)</f>
        <v>0</v>
      </c>
      <c r="L254" s="21">
        <f>VLOOKUP($A254,tabCustoUnit[],COLUMN(CUSTO_GLOBAL[[#Headers],[Adicional Noturno]])-2,0)*($G254-$H254)</f>
        <v>0</v>
      </c>
      <c r="M254" s="21">
        <f>VLOOKUP($A254,tabCustoUnit[],COLUMN(CUSTO_GLOBAL[[#Headers],[Adicional Motorista II (Gratificação)]])-2,0)*($G254-$H254)</f>
        <v>0</v>
      </c>
      <c r="N254" s="21">
        <f>VLOOKUP($A254,tabCustoUnit[],COLUMN(CUSTO_GLOBAL[[#Headers],[Adicional de Sobreaviso]])-2,0)*($G254-$H254)</f>
        <v>0</v>
      </c>
      <c r="O254" s="21">
        <f>VLOOKUP($A254,tabCustoUnit[],COLUMN(CUSTO_GLOBAL[[#Headers],[Horas Extras TI]])-2,0)*($G254-$H254)</f>
        <v>0</v>
      </c>
      <c r="P254" s="21">
        <f>VLOOKUP($A254,tabCustoUnit[],COLUMN(CUSTO_GLOBAL[[#Headers],[Adicional de Acúmulo de função]])-2,0)*($G254-$H254)</f>
        <v>52.241900000000001</v>
      </c>
      <c r="Q254" s="21">
        <f>VLOOKUP($A254,tabCustoUnit[],COLUMN(CUSTO_GLOBAL[[#Headers],[MODULO 1 - REMUNERAÇÃO ]])-2,0)*($G254-$H254)</f>
        <v>1648.5219</v>
      </c>
      <c r="R254" s="21">
        <f>VLOOKUP($A254,tabCustoUnit[],COLUMN(CUSTO_GLOBAL[[#Headers],[INSS]])-2,0)*($G254-$H254)</f>
        <v>329.70438000000001</v>
      </c>
      <c r="S254" s="21">
        <f>VLOOKUP($A254,tabCustoUnit[],COLUMN(CUSTO_GLOBAL[[#Headers],[SESI OU SESC]])-2,0)*($G254-$H254)</f>
        <v>24.727828499999998</v>
      </c>
      <c r="T254" s="21">
        <f>VLOOKUP($A254,tabCustoUnit[],COLUMN(CUSTO_GLOBAL[[#Headers],[SENAI OU SENAC]])-2,0)*($G254-$H254)</f>
        <v>16.485219000000001</v>
      </c>
      <c r="U254" s="21">
        <f>VLOOKUP($A254,tabCustoUnit[],COLUMN(CUSTO_GLOBAL[[#Headers],[INCRA]])-2,0)*($G254-$H254)</f>
        <v>3.2970438</v>
      </c>
      <c r="V254" s="21">
        <f>VLOOKUP($A254,tabCustoUnit[],COLUMN(CUSTO_GLOBAL[[#Headers],[Salário Educação]])-2,0)*($G254-$H254)</f>
        <v>41.213047500000002</v>
      </c>
      <c r="W254" s="21">
        <f>VLOOKUP($A254,tabCustoUnit[],COLUMN(CUSTO_GLOBAL[[#Headers],[FGTS]])-2,0)*($G254-$H254)</f>
        <v>131.88175200000001</v>
      </c>
      <c r="X254" s="21">
        <f>VLOOKUP($A254,tabCustoUnit[],COLUMN(CUSTO_GLOBAL[[#Headers],[RAT Ajustado]])-2,0)*($G254-$H254)</f>
        <v>65.940876000000003</v>
      </c>
      <c r="Y254" s="21">
        <f>VLOOKUP($A254,tabCustoUnit[],COLUMN(CUSTO_GLOBAL[[#Headers],[SEBRAE]])-2,0)*($G254-$H254)</f>
        <v>9.8911314000000008</v>
      </c>
      <c r="Z254" s="21">
        <f>VLOOKUP($A254,tabCustoUnit[],COLUMN(CUSTO_GLOBAL[[#Headers],[Submódulo 2.1]])-2,0)*($G254-$H254)</f>
        <v>623.14127819999999</v>
      </c>
      <c r="AA254" s="21">
        <f>VLOOKUP($A254,tabCustoUnit[],COLUMN(CUSTO_GLOBAL[[#Headers],[13º salário (titular)]])-2,0)*($G254-$H254)</f>
        <v>137.376825</v>
      </c>
      <c r="AB254" s="21">
        <f>VLOOKUP($A254,tabCustoUnit[],COLUMN(CUSTO_GLOBAL[[#Headers],[Férias e Adicional de Férias (titular)]])-2,0)*($G254-$H254)</f>
        <v>183.16909999999999</v>
      </c>
      <c r="AC254" s="21">
        <f>VLOOKUP($A254,tabCustoUnit[],COLUMN(CUSTO_GLOBAL[[#Headers],[Incidência do Submódulo 2.1 sobre 13º Salário, Férias e Adicional de Férias]])-2,0)*($G254-$H254)</f>
        <v>121.16635965</v>
      </c>
      <c r="AD254" s="21">
        <f>VLOOKUP($A254,tabCustoUnit[],COLUMN(CUSTO_GLOBAL[[#Headers],[Submódulo 2.2]])-2,0)*($G254-$H254)</f>
        <v>441.71228465000002</v>
      </c>
      <c r="AE254" s="22">
        <f>VLOOKUP($A254,tabCustoUnit[],COLUMN(CUSTO_GLOBAL[[#Headers],[Vale - Transporte (Descontada parcela do empregado)]])-2,0)*($G254-$H254)</f>
        <v>160.22320000000002</v>
      </c>
      <c r="AF254" s="22">
        <f>VLOOKUP($A254,tabCustoUnit[],COLUMN(CUSTO_GLOBAL[[#Headers],[Vale - Alimentação (Descontada parcela do empregado)]])-2,0)*($G254-$H254)</f>
        <v>582</v>
      </c>
      <c r="AG254" s="22">
        <f>VLOOKUP($A254,tabCustoUnit[],COLUMN(CUSTO_GLOBAL[[#Headers],[Cesta Básica]])-2,0)*($G254-$H254)</f>
        <v>0</v>
      </c>
      <c r="AH254" s="22">
        <f>VLOOKUP($A254,tabCustoUnit[],COLUMN(CUSTO_GLOBAL[[#Headers],[PAF]])-2,0)*($G254-$H254)</f>
        <v>51.86</v>
      </c>
      <c r="AI254" s="22">
        <f>VLOOKUP($A254,tabCustoUnit[],COLUMN(CUSTO_GLOBAL[[#Headers],[PQM]])-2,0)*($G254-$H254)</f>
        <v>0</v>
      </c>
      <c r="AJ254" s="22"/>
      <c r="AK254" s="22">
        <f>VLOOKUP($A254,tabCustoUnit[],COLUMN(CUSTO_GLOBAL[[#Headers],[Seguro de Vida]])-2,0)*($G254-$H254)</f>
        <v>3.36</v>
      </c>
      <c r="AL254" s="22">
        <f>VLOOKUP($A254,tabCustoUnit[],COLUMN(CUSTO_GLOBAL[[#Headers],[Despesas de Viagem]])-2,0)*($G254-$H254)</f>
        <v>0</v>
      </c>
      <c r="AM254" s="22">
        <f>VLOOKUP($A254,tabCustoUnit[],COLUMN(CUSTO_GLOBAL[[#Headers],[Submódulo 2.3]])-2,0)*($G254-$H254)</f>
        <v>797.44320000000005</v>
      </c>
      <c r="AN254" s="22">
        <f>VLOOKUP($A254,tabCustoUnit[],COLUMN(CUSTO_GLOBAL[[#Headers],[MÓDULO 2 - Total Encargos e Benefícios mensais e diários]])-2,0)*($G254-$H254)</f>
        <v>1862.2967628500001</v>
      </c>
      <c r="AO254" s="22">
        <f>VLOOKUP($A254,tabCustoUnit[],COLUMN(CUSTO_GLOBAL[[#Headers],[Aviso Prévio Indenizado (API) e Reflexo do Aviso Prévio Indenizado]])-2,0)*($G254-$H254)</f>
        <v>11.559051416493055</v>
      </c>
      <c r="AP254" s="22">
        <f>VLOOKUP($A254,tabCustoUnit[],COLUMN(CUSTO_GLOBAL[[#Headers],[Incidência do FGTS sobre API e Reflexo do API]])-2,0)*($G254-$H254)</f>
        <v>0.92472411331944449</v>
      </c>
      <c r="AQ254" s="22">
        <f>VLOOKUP($A254,tabCustoUnit[],COLUMN(CUSTO_GLOBAL[[#Headers],[Multa Rescisória do FGTS sobre o Aviso Prévio Indenizado]])-2,0)*($G254-$H254)</f>
        <v>0.36988964532777785</v>
      </c>
      <c r="AR254" s="22">
        <f>VLOOKUP($A254,tabCustoUnit[],COLUMN(CUSTO_GLOBAL[[#Headers],[Aviso Prévio Trabalhado - APT]])-2,0)*($G254-$H254)</f>
        <v>5.7698266500000006</v>
      </c>
      <c r="AS254" s="22">
        <f>VLOOKUP($A254,tabCustoUnit[],COLUMN(CUSTO_GLOBAL[[#Headers],[Incidência dos encargos do submódulo 2.1 sobre Aviso Prévio Trabalhado]])-2,0)*($G254-$H254)</f>
        <v>2.1809944737000007</v>
      </c>
      <c r="AT254" s="22">
        <f>VLOOKUP($A254,tabCustoUnit[],COLUMN(CUSTO_GLOBAL[[#Headers],[Multa Rescisória do FGTS]])-2,0)*($G254-$H254)</f>
        <v>50.40813631999999</v>
      </c>
      <c r="AU254" s="22">
        <f>VLOOKUP($A254,tabCustoUnit[],COLUMN(CUSTO_GLOBAL[[#Headers],[Indenização Adicional (Art. 9º da Lei nº 7.238/84)]])-2,0)*($G254-$H254)</f>
        <v>1.3737682500000001</v>
      </c>
      <c r="AV254" s="22">
        <f>VLOOKUP($A254,tabCustoUnit[],COLUMN(CUSTO_GLOBAL[[#Headers],[MÓDULO 3 – PROVISÃO PARA RESCISÃO]])-2,0)*($G254-$H254)</f>
        <v>72.586390868840269</v>
      </c>
      <c r="AW254" s="22">
        <f>VLOOKUP($A254,tabCustoUnit[],COLUMN(CUSTO_GLOBAL[[#Headers],[Ausência por Doença]])-2,0)*($G254-$H254)</f>
        <v>13.920851599999999</v>
      </c>
      <c r="AX254" s="22">
        <f>VLOOKUP($A254,tabCustoUnit[],COLUMN(CUSTO_GLOBAL[[#Headers],[Ausências Legais]])-2,0)*($G254-$H254)</f>
        <v>3.3428360749999997</v>
      </c>
      <c r="AY254" s="22">
        <f>VLOOKUP($A254,tabCustoUnit[],COLUMN(CUSTO_GLOBAL[[#Headers],[Licença Paternidade]])-2,0)*($G254-$H254)</f>
        <v>0.28162249125</v>
      </c>
      <c r="AZ254" s="22">
        <f>VLOOKUP($A254,tabCustoUnit[],COLUMN(CUSTO_GLOBAL[[#Headers],[Ausência por Acidente de Trabalho]])-2,0)*($G254-$H254)</f>
        <v>0.34344206250000003</v>
      </c>
      <c r="BA254" s="22">
        <f>VLOOKUP($A254,tabCustoUnit[],COLUMN(CUSTO_GLOBAL[[#Headers],[Férias, Adicional de Férias e 13º  com empregada em gozo de Licença Maternidade]])-2,0)*($G254-$H254)</f>
        <v>2.1369728333333331</v>
      </c>
      <c r="BB254" s="22">
        <f>VLOOKUP($A254,tabCustoUnit[],COLUMN(CUSTO_GLOBAL[[#Headers],[Incidência do Submódulo 2.1 sobre Ausências Legais]])-2,0)*($G254-$H254)</f>
        <v>7.5697240734675013</v>
      </c>
      <c r="BC254" s="22">
        <f>VLOOKUP($A254,tabCustoUnit[],COLUMN(CUSTO_GLOBAL[[#Headers],[Submódulo 4.1]])-2,0)*($G254-$H254)</f>
        <v>27.595449135550833</v>
      </c>
      <c r="BD254" s="22">
        <f>VLOOKUP($A254,tabCustoUnit[],COLUMN(CUSTO_GLOBAL[[#Headers],[Intervalo para Repouso ou Alimentação]])-2,0)*($G254-$H254)</f>
        <v>0</v>
      </c>
      <c r="BE254" s="22">
        <f>VLOOKUP($A254,tabCustoUnit[],COLUMN(CUSTO_GLOBAL[[#Headers],[Submódulo 4.2]])-2,0)*($G254-$H254)</f>
        <v>0</v>
      </c>
      <c r="BF254" s="22">
        <f>VLOOKUP($A254,tabCustoUnit[],COLUMN(CUSTO_GLOBAL[[#Headers],[Suspensão Temporária do Contrato de Trabalho]])-2,0)*($G254-$H254)</f>
        <v>0</v>
      </c>
      <c r="BG254" s="22">
        <f>VLOOKUP($A254,tabCustoUnit[],COLUMN(CUSTO_GLOBAL[[#Headers],[Submódulo 4.3]])-2,0)*($G254-$H254)</f>
        <v>0</v>
      </c>
      <c r="BH254" s="22">
        <f>VLOOKUP($A254,tabCustoUnit[],COLUMN(CUSTO_GLOBAL[[#Headers],[MÓDULO 4 – CUSTO DE REPOSIÇÃO DO PROFISSIONAL AUSENTE]])-2,0)*($G254-$H254)</f>
        <v>27.595449135550833</v>
      </c>
      <c r="BI254" s="22">
        <f>VLOOKUP($A254,tabCustoUnit[],COLUMN(CUSTO_GLOBAL[[#Headers],[Uniformes e EPIs]])-2,0)*($G254-$H254)</f>
        <v>100.80916666666666</v>
      </c>
      <c r="BJ254" s="22">
        <f>VLOOKUP($A254,tabCustoUnit[],COLUMN(CUSTO_GLOBAL[[#Headers],[Materiais de Consumo]])-2,0)*($G254-$H254)</f>
        <v>35.518212958583888</v>
      </c>
      <c r="BK254" s="22">
        <f>VLOOKUP($A254,tabCustoUnit[],COLUMN(CUSTO_GLOBAL[[#Headers],[Máquinas e Equipamentos (depreciação)]])-2,0)*($G254-$H254)</f>
        <v>64.529393914825576</v>
      </c>
      <c r="BL254" s="22">
        <f>VLOOKUP($A254,tabCustoUnit[],COLUMN(CUSTO_GLOBAL[[#Headers],[Produtos de Limpeza e Materiais de Higiene Pessoal]])-2,0)*($G254-$H254)</f>
        <v>690.27153277931654</v>
      </c>
      <c r="BM254" s="22">
        <f>VLOOKUP($A254,tabCustoUnit[],COLUMN(CUSTO_GLOBAL[[#Headers],[Outros (especificar)]])-2,0)*($G254-$H254)</f>
        <v>0</v>
      </c>
      <c r="BN254" s="22">
        <f>VLOOKUP($A254,tabCustoUnit[],COLUMN(CUSTO_GLOBAL[[#Headers],[MÓDULO 5 – INSUMOS DIVERSOS]])-2,0)*($G254-$H254)</f>
        <v>891.12830631939266</v>
      </c>
      <c r="BO254" s="22">
        <f>VLOOKUP($A254,tabCustoUnit[],COLUMN(CUSTO_GLOBAL[[#Headers],[TOTAL MÓDULOS 1+2+3+4+5]])-2,0)*($G254-$H254)</f>
        <v>4502.1288091737833</v>
      </c>
      <c r="BP254" s="22">
        <f>VLOOKUP($A254,tabCustoUnit[],COLUMN(CUSTO_GLOBAL[[#Headers],[Custos Indiretos]])-2,0)*($G254-$H254)</f>
        <v>189.64880140242613</v>
      </c>
      <c r="BQ254" s="22">
        <f>VLOOKUP($A254,tabCustoUnit[],COLUMN(CUSTO_GLOBAL[[#Headers],[Lucro]])-2,0)*($G254-$H254)</f>
        <v>159.30499317803796</v>
      </c>
      <c r="BR254" s="26">
        <f>VLOOKUP($A254,tabCustoUnit[],COLUMN(CUSTO_GLOBAL[[#Headers],[COFINS]])-2,0)</f>
        <v>8.6609686609686695E-2</v>
      </c>
      <c r="BS254" s="26">
        <f>VLOOKUP($A254,tabCustoUnit[],COLUMN(CUSTO_GLOBAL[[#Headers],[PIS]])-2,0)</f>
        <v>1.880341880341882E-2</v>
      </c>
      <c r="BT254" s="28">
        <f>VLOOKUP($A254,tabCustoUnit[],COLUMN(CUSTO_GLOBAL[[#Headers],[ISS]])-2,0)</f>
        <v>0.03</v>
      </c>
      <c r="BU254" s="26">
        <f>VLOOKUP($A254,tabCustoUnit[],COLUMN(CUSTO_GLOBAL[[#Headers],[ISS (Conversão Alíquota s/ fatura)]])-2,0)</f>
        <v>3.4188034188034219E-2</v>
      </c>
      <c r="BV254" s="26">
        <f>VLOOKUP($A254,tabCustoUnit[],COLUMN(CUSTO_GLOBAL[[#Headers],[Resumo de Alíquotas (PIS+CONFINS+ISS)]])-2,0)</f>
        <v>0.1225</v>
      </c>
      <c r="BW254" s="138">
        <f>VLOOKUP($A254,tabCustoUnit[],COLUMN(CUSTO_GLOBAL[[#Headers],[PIS + COFINS + ISS (Total Conversão  Alíquota s/ Fatura)]])-2,0)</f>
        <v>0.13960113960113973</v>
      </c>
      <c r="BX254" s="22">
        <f>VLOOKUP($A254,tabCustoUnit[],COLUMN(CUSTO_GLOBAL[[#Headers],[Valor dos Tributos (ISS, PIS, CONFINS)]])-2,0)*($G254-$H254)</f>
        <v>677.21665978335716</v>
      </c>
      <c r="BY254" s="22">
        <f>VLOOKUP($A254,tabCustoUnit[],COLUMN(CUSTO_GLOBAL[[#Headers],[MÓDULO 6 – CUSTOS INDIRETOS, TRIBUTOS E LUCRO]])-2,0)*($G254-$H254)</f>
        <v>1026.1704543638211</v>
      </c>
      <c r="BZ254" s="22">
        <f>VLOOKUP($A254,tabCustoUnit[],COLUMN(CUSTO_GLOBAL[[#Headers],[CUSTO TOTAL MENSAL]])-2,0)*($G254-$H254)</f>
        <v>5528.2992635376049</v>
      </c>
      <c r="CA254" s="22">
        <f>CUSTO_GLOBAL[[#This Row],[CUSTO TOTAL MENSAL]]*12</f>
        <v>66339.591162451252</v>
      </c>
      <c r="CB254" s="24">
        <f>VLOOKUP($A254,tabCustoUnit[],COLUMN(CUSTO_GLOBAL[[#Headers],[ANO DA CCT]])-2,0)</f>
        <v>45658</v>
      </c>
      <c r="CC254" s="25" t="str">
        <f>VLOOKUP($A254,tabCustoUnit[],COLUMN(CUSTO_GLOBAL[[#Headers],[Nº DE PEDIDO DA CCT]])-2,0)</f>
        <v>-</v>
      </c>
      <c r="CD254" s="25" t="str">
        <f>VLOOKUP($A254,tabCustoUnit[],COLUMN(CUSTO_GLOBAL[[#Headers],[TERMO ADITIVO  ALTERAÇÃO DA CCT]])-2,0)</f>
        <v>-</v>
      </c>
      <c r="CF254" s="22"/>
      <c r="CG254" s="22"/>
    </row>
    <row r="255" spans="1:85" x14ac:dyDescent="0.25">
      <c r="A255" s="20" t="s">
        <v>1590</v>
      </c>
      <c r="B255" t="s">
        <v>228</v>
      </c>
      <c r="C255" t="s">
        <v>1245</v>
      </c>
      <c r="D255" t="s">
        <v>66</v>
      </c>
      <c r="E255" s="20" t="s">
        <v>9</v>
      </c>
      <c r="F255" s="20" t="s">
        <v>10</v>
      </c>
      <c r="G255" s="20">
        <v>2</v>
      </c>
      <c r="H255" s="20">
        <v>0</v>
      </c>
      <c r="I255" s="21">
        <f>VLOOKUP($A255,tabCustoUnit[],COLUMN(CUSTO_GLOBAL[[#Headers],[Salário Base]])-2,0)*($G255-$H255)</f>
        <v>3192.56</v>
      </c>
      <c r="J255" s="21">
        <f>VLOOKUP($A255,tabCustoUnit[],COLUMN(CUSTO_GLOBAL[[#Headers],[Adicional Periculosidade]])-2,0)*($G255-$H255)</f>
        <v>0</v>
      </c>
      <c r="K255" s="21">
        <f>VLOOKUP($A255,tabCustoUnit[],COLUMN(CUSTO_GLOBAL[[#Headers],[Adicional Insalubridade]])-2,0)*($G255-$H255)</f>
        <v>0</v>
      </c>
      <c r="L255" s="21">
        <f>VLOOKUP($A255,tabCustoUnit[],COLUMN(CUSTO_GLOBAL[[#Headers],[Adicional Noturno]])-2,0)*($G255-$H255)</f>
        <v>0</v>
      </c>
      <c r="M255" s="21">
        <f>VLOOKUP($A255,tabCustoUnit[],COLUMN(CUSTO_GLOBAL[[#Headers],[Adicional Motorista II (Gratificação)]])-2,0)*($G255-$H255)</f>
        <v>0</v>
      </c>
      <c r="N255" s="21">
        <f>VLOOKUP($A255,tabCustoUnit[],COLUMN(CUSTO_GLOBAL[[#Headers],[Adicional de Sobreaviso]])-2,0)*($G255-$H255)</f>
        <v>0</v>
      </c>
      <c r="O255" s="21">
        <f>VLOOKUP($A255,tabCustoUnit[],COLUMN(CUSTO_GLOBAL[[#Headers],[Horas Extras TI]])-2,0)*($G255-$H255)</f>
        <v>0</v>
      </c>
      <c r="P255" s="21">
        <f>VLOOKUP($A255,tabCustoUnit[],COLUMN(CUSTO_GLOBAL[[#Headers],[Adicional de Acúmulo de função]])-2,0)*($G255-$H255)</f>
        <v>104.4838</v>
      </c>
      <c r="Q255" s="21">
        <f>VLOOKUP($A255,tabCustoUnit[],COLUMN(CUSTO_GLOBAL[[#Headers],[MODULO 1 - REMUNERAÇÃO ]])-2,0)*($G255-$H255)</f>
        <v>3297.0437999999999</v>
      </c>
      <c r="R255" s="21">
        <f>VLOOKUP($A255,tabCustoUnit[],COLUMN(CUSTO_GLOBAL[[#Headers],[INSS]])-2,0)*($G255-$H255)</f>
        <v>659.40876000000003</v>
      </c>
      <c r="S255" s="21">
        <f>VLOOKUP($A255,tabCustoUnit[],COLUMN(CUSTO_GLOBAL[[#Headers],[SESI OU SESC]])-2,0)*($G255-$H255)</f>
        <v>49.455656999999995</v>
      </c>
      <c r="T255" s="21">
        <f>VLOOKUP($A255,tabCustoUnit[],COLUMN(CUSTO_GLOBAL[[#Headers],[SENAI OU SENAC]])-2,0)*($G255-$H255)</f>
        <v>32.970438000000001</v>
      </c>
      <c r="U255" s="21">
        <f>VLOOKUP($A255,tabCustoUnit[],COLUMN(CUSTO_GLOBAL[[#Headers],[INCRA]])-2,0)*($G255-$H255)</f>
        <v>6.5940875999999999</v>
      </c>
      <c r="V255" s="21">
        <f>VLOOKUP($A255,tabCustoUnit[],COLUMN(CUSTO_GLOBAL[[#Headers],[Salário Educação]])-2,0)*($G255-$H255)</f>
        <v>82.426095000000004</v>
      </c>
      <c r="W255" s="21">
        <f>VLOOKUP($A255,tabCustoUnit[],COLUMN(CUSTO_GLOBAL[[#Headers],[FGTS]])-2,0)*($G255-$H255)</f>
        <v>263.76350400000001</v>
      </c>
      <c r="X255" s="21">
        <f>VLOOKUP($A255,tabCustoUnit[],COLUMN(CUSTO_GLOBAL[[#Headers],[RAT Ajustado]])-2,0)*($G255-$H255)</f>
        <v>131.88175200000001</v>
      </c>
      <c r="Y255" s="21">
        <f>VLOOKUP($A255,tabCustoUnit[],COLUMN(CUSTO_GLOBAL[[#Headers],[SEBRAE]])-2,0)*($G255-$H255)</f>
        <v>19.782262800000002</v>
      </c>
      <c r="Z255" s="21">
        <f>VLOOKUP($A255,tabCustoUnit[],COLUMN(CUSTO_GLOBAL[[#Headers],[Submódulo 2.1]])-2,0)*($G255-$H255)</f>
        <v>1246.2825564</v>
      </c>
      <c r="AA255" s="21">
        <f>VLOOKUP($A255,tabCustoUnit[],COLUMN(CUSTO_GLOBAL[[#Headers],[13º salário (titular)]])-2,0)*($G255-$H255)</f>
        <v>274.75364999999999</v>
      </c>
      <c r="AB255" s="21">
        <f>VLOOKUP($A255,tabCustoUnit[],COLUMN(CUSTO_GLOBAL[[#Headers],[Férias e Adicional de Férias (titular)]])-2,0)*($G255-$H255)</f>
        <v>366.33819999999997</v>
      </c>
      <c r="AC255" s="21">
        <f>VLOOKUP($A255,tabCustoUnit[],COLUMN(CUSTO_GLOBAL[[#Headers],[Incidência do Submódulo 2.1 sobre 13º Salário, Férias e Adicional de Férias]])-2,0)*($G255-$H255)</f>
        <v>242.33271930000001</v>
      </c>
      <c r="AD255" s="21">
        <f>VLOOKUP($A255,tabCustoUnit[],COLUMN(CUSTO_GLOBAL[[#Headers],[Submódulo 2.2]])-2,0)*($G255-$H255)</f>
        <v>883.42456930000003</v>
      </c>
      <c r="AE255" s="22">
        <f>VLOOKUP($A255,tabCustoUnit[],COLUMN(CUSTO_GLOBAL[[#Headers],[Vale - Transporte (Descontada parcela do empregado)]])-2,0)*($G255-$H255)</f>
        <v>320.44640000000004</v>
      </c>
      <c r="AF255" s="22">
        <f>VLOOKUP($A255,tabCustoUnit[],COLUMN(CUSTO_GLOBAL[[#Headers],[Vale - Alimentação (Descontada parcela do empregado)]])-2,0)*($G255-$H255)</f>
        <v>1164</v>
      </c>
      <c r="AG255" s="22">
        <f>VLOOKUP($A255,tabCustoUnit[],COLUMN(CUSTO_GLOBAL[[#Headers],[Cesta Básica]])-2,0)*($G255-$H255)</f>
        <v>0</v>
      </c>
      <c r="AH255" s="22">
        <f>VLOOKUP($A255,tabCustoUnit[],COLUMN(CUSTO_GLOBAL[[#Headers],[PAF]])-2,0)*($G255-$H255)</f>
        <v>114.14</v>
      </c>
      <c r="AI255" s="22">
        <f>VLOOKUP($A255,tabCustoUnit[],COLUMN(CUSTO_GLOBAL[[#Headers],[PQM]])-2,0)*($G255-$H255)</f>
        <v>0</v>
      </c>
      <c r="AJ255" s="22">
        <v>0</v>
      </c>
      <c r="AK255" s="22">
        <f>VLOOKUP($A255,tabCustoUnit[],COLUMN(CUSTO_GLOBAL[[#Headers],[Seguro de Vida]])-2,0)*($G255-$H255)</f>
        <v>6.72</v>
      </c>
      <c r="AL255" s="22">
        <f>VLOOKUP($A255,tabCustoUnit[],COLUMN(CUSTO_GLOBAL[[#Headers],[Despesas de Viagem]])-2,0)*($G255-$H255)</f>
        <v>0</v>
      </c>
      <c r="AM255" s="22">
        <f>VLOOKUP($A255,tabCustoUnit[],COLUMN(CUSTO_GLOBAL[[#Headers],[Submódulo 2.3]])-2,0)*($G255-$H255)</f>
        <v>1605.3064000000002</v>
      </c>
      <c r="AN255" s="22">
        <f>VLOOKUP($A255,tabCustoUnit[],COLUMN(CUSTO_GLOBAL[[#Headers],[MÓDULO 2 - Total Encargos e Benefícios mensais e diários]])-2,0)*($G255-$H255)</f>
        <v>3735.0135257000002</v>
      </c>
      <c r="AO255" s="22">
        <f>VLOOKUP($A255,tabCustoUnit[],COLUMN(CUSTO_GLOBAL[[#Headers],[Aviso Prévio Indenizado (API) e Reflexo do Aviso Prévio Indenizado]])-2,0)*($G255-$H255)</f>
        <v>23.118102832986111</v>
      </c>
      <c r="AP255" s="22">
        <f>VLOOKUP($A255,tabCustoUnit[],COLUMN(CUSTO_GLOBAL[[#Headers],[Incidência do FGTS sobre API e Reflexo do API]])-2,0)*($G255-$H255)</f>
        <v>1.849448226638889</v>
      </c>
      <c r="AQ255" s="22">
        <f>VLOOKUP($A255,tabCustoUnit[],COLUMN(CUSTO_GLOBAL[[#Headers],[Multa Rescisória do FGTS sobre o Aviso Prévio Indenizado]])-2,0)*($G255-$H255)</f>
        <v>0.7397792906555557</v>
      </c>
      <c r="AR255" s="22">
        <f>VLOOKUP($A255,tabCustoUnit[],COLUMN(CUSTO_GLOBAL[[#Headers],[Aviso Prévio Trabalhado - APT]])-2,0)*($G255-$H255)</f>
        <v>11.539653300000001</v>
      </c>
      <c r="AS255" s="22">
        <f>VLOOKUP($A255,tabCustoUnit[],COLUMN(CUSTO_GLOBAL[[#Headers],[Incidência dos encargos do submódulo 2.1 sobre Aviso Prévio Trabalhado]])-2,0)*($G255-$H255)</f>
        <v>4.3619889474000013</v>
      </c>
      <c r="AT255" s="22">
        <f>VLOOKUP($A255,tabCustoUnit[],COLUMN(CUSTO_GLOBAL[[#Headers],[Multa Rescisória do FGTS]])-2,0)*($G255-$H255)</f>
        <v>100.81627263999998</v>
      </c>
      <c r="AU255" s="22">
        <f>VLOOKUP($A255,tabCustoUnit[],COLUMN(CUSTO_GLOBAL[[#Headers],[Indenização Adicional (Art. 9º da Lei nº 7.238/84)]])-2,0)*($G255-$H255)</f>
        <v>2.7475365000000003</v>
      </c>
      <c r="AV255" s="22">
        <f>VLOOKUP($A255,tabCustoUnit[],COLUMN(CUSTO_GLOBAL[[#Headers],[MÓDULO 3 – PROVISÃO PARA RESCISÃO]])-2,0)*($G255-$H255)</f>
        <v>145.17278173768054</v>
      </c>
      <c r="AW255" s="22">
        <f>VLOOKUP($A255,tabCustoUnit[],COLUMN(CUSTO_GLOBAL[[#Headers],[Ausência por Doença]])-2,0)*($G255-$H255)</f>
        <v>27.841703199999998</v>
      </c>
      <c r="AX255" s="22">
        <f>VLOOKUP($A255,tabCustoUnit[],COLUMN(CUSTO_GLOBAL[[#Headers],[Ausências Legais]])-2,0)*($G255-$H255)</f>
        <v>6.6856721499999994</v>
      </c>
      <c r="AY255" s="22">
        <f>VLOOKUP($A255,tabCustoUnit[],COLUMN(CUSTO_GLOBAL[[#Headers],[Licença Paternidade]])-2,0)*($G255-$H255)</f>
        <v>0.56324498249999999</v>
      </c>
      <c r="AZ255" s="22">
        <f>VLOOKUP($A255,tabCustoUnit[],COLUMN(CUSTO_GLOBAL[[#Headers],[Ausência por Acidente de Trabalho]])-2,0)*($G255-$H255)</f>
        <v>0.68688412500000007</v>
      </c>
      <c r="BA255" s="22">
        <f>VLOOKUP($A255,tabCustoUnit[],COLUMN(CUSTO_GLOBAL[[#Headers],[Férias, Adicional de Férias e 13º  com empregada em gozo de Licença Maternidade]])-2,0)*($G255-$H255)</f>
        <v>4.2739456666666662</v>
      </c>
      <c r="BB255" s="22">
        <f>VLOOKUP($A255,tabCustoUnit[],COLUMN(CUSTO_GLOBAL[[#Headers],[Incidência do Submódulo 2.1 sobre Ausências Legais]])-2,0)*($G255-$H255)</f>
        <v>15.139448146935003</v>
      </c>
      <c r="BC255" s="22">
        <f>VLOOKUP($A255,tabCustoUnit[],COLUMN(CUSTO_GLOBAL[[#Headers],[Submódulo 4.1]])-2,0)*($G255-$H255)</f>
        <v>55.190898271101666</v>
      </c>
      <c r="BD255" s="22">
        <f>VLOOKUP($A255,tabCustoUnit[],COLUMN(CUSTO_GLOBAL[[#Headers],[Intervalo para Repouso ou Alimentação]])-2,0)*($G255-$H255)</f>
        <v>0</v>
      </c>
      <c r="BE255" s="22">
        <f>VLOOKUP($A255,tabCustoUnit[],COLUMN(CUSTO_GLOBAL[[#Headers],[Submódulo 4.2]])-2,0)*($G255-$H255)</f>
        <v>0</v>
      </c>
      <c r="BF255" s="22">
        <f>VLOOKUP($A255,tabCustoUnit[],COLUMN(CUSTO_GLOBAL[[#Headers],[Suspensão Temporária do Contrato de Trabalho]])-2,0)*($G255-$H255)</f>
        <v>0</v>
      </c>
      <c r="BG255" s="22">
        <f>VLOOKUP($A255,tabCustoUnit[],COLUMN(CUSTO_GLOBAL[[#Headers],[Submódulo 4.3]])-2,0)*($G255-$H255)</f>
        <v>0</v>
      </c>
      <c r="BH255" s="22">
        <f>VLOOKUP($A255,tabCustoUnit[],COLUMN(CUSTO_GLOBAL[[#Headers],[MÓDULO 4 – CUSTO DE REPOSIÇÃO DO PROFISSIONAL AUSENTE]])-2,0)*($G255-$H255)</f>
        <v>55.190898271101666</v>
      </c>
      <c r="BI255" s="22">
        <f>VLOOKUP($A255,tabCustoUnit[],COLUMN(CUSTO_GLOBAL[[#Headers],[Uniformes e EPIs]])-2,0)*($G255-$H255)</f>
        <v>201.61833333333331</v>
      </c>
      <c r="BJ255" s="22">
        <f>VLOOKUP($A255,tabCustoUnit[],COLUMN(CUSTO_GLOBAL[[#Headers],[Materiais de Consumo]])-2,0)*($G255-$H255)</f>
        <v>71.036425917167776</v>
      </c>
      <c r="BK255" s="22">
        <f>VLOOKUP($A255,tabCustoUnit[],COLUMN(CUSTO_GLOBAL[[#Headers],[Máquinas e Equipamentos (depreciação)]])-2,0)*($G255-$H255)</f>
        <v>129.05878782965115</v>
      </c>
      <c r="BL255" s="22">
        <f>VLOOKUP($A255,tabCustoUnit[],COLUMN(CUSTO_GLOBAL[[#Headers],[Produtos de Limpeza e Materiais de Higiene Pessoal]])-2,0)*($G255-$H255)</f>
        <v>1380.5430655586331</v>
      </c>
      <c r="BM255" s="22">
        <f>VLOOKUP($A255,tabCustoUnit[],COLUMN(CUSTO_GLOBAL[[#Headers],[Outros (especificar)]])-2,0)*($G255-$H255)</f>
        <v>0</v>
      </c>
      <c r="BN255" s="22">
        <f>VLOOKUP($A255,tabCustoUnit[],COLUMN(CUSTO_GLOBAL[[#Headers],[MÓDULO 5 – INSUMOS DIVERSOS]])-2,0)*($G255-$H255)</f>
        <v>1782.2566126387853</v>
      </c>
      <c r="BO255" s="22">
        <f>VLOOKUP($A255,tabCustoUnit[],COLUMN(CUSTO_GLOBAL[[#Headers],[TOTAL MÓDULOS 1+2+3+4+5]])-2,0)*($G255-$H255)</f>
        <v>9014.6776183475667</v>
      </c>
      <c r="BP255" s="22">
        <f>VLOOKUP($A255,tabCustoUnit[],COLUMN(CUSTO_GLOBAL[[#Headers],[Custos Indiretos]])-2,0)*($G255-$H255)</f>
        <v>379.29760280485226</v>
      </c>
      <c r="BQ255" s="22">
        <f>VLOOKUP($A255,tabCustoUnit[],COLUMN(CUSTO_GLOBAL[[#Headers],[Lucro]])-2,0)*($G255-$H255)</f>
        <v>318.60998635607592</v>
      </c>
      <c r="BR255" s="26">
        <f>VLOOKUP($A255,tabCustoUnit[],COLUMN(CUSTO_GLOBAL[[#Headers],[COFINS]])-2,0)</f>
        <v>8.6609686609686695E-2</v>
      </c>
      <c r="BS255" s="26">
        <f>VLOOKUP($A255,tabCustoUnit[],COLUMN(CUSTO_GLOBAL[[#Headers],[PIS]])-2,0)</f>
        <v>1.880341880341882E-2</v>
      </c>
      <c r="BT255" s="28">
        <f>VLOOKUP($A255,tabCustoUnit[],COLUMN(CUSTO_GLOBAL[[#Headers],[ISS]])-2,0)</f>
        <v>0.03</v>
      </c>
      <c r="BU255" s="26">
        <f>VLOOKUP($A255,tabCustoUnit[],COLUMN(CUSTO_GLOBAL[[#Headers],[ISS (Conversão Alíquota s/ fatura)]])-2,0)</f>
        <v>3.4188034188034219E-2</v>
      </c>
      <c r="BV255" s="26">
        <f>VLOOKUP($A255,tabCustoUnit[],COLUMN(CUSTO_GLOBAL[[#Headers],[Resumo de Alíquotas (PIS+CONFINS+ISS)]])-2,0)</f>
        <v>0.1225</v>
      </c>
      <c r="BW255" s="138">
        <f>VLOOKUP($A255,tabCustoUnit[],COLUMN(CUSTO_GLOBAL[[#Headers],[PIS + COFINS + ISS (Total Conversão  Alíquota s/ Fatura)]])-2,0)</f>
        <v>0.13960113960113973</v>
      </c>
      <c r="BX255" s="22">
        <f>VLOOKUP($A255,tabCustoUnit[],COLUMN(CUSTO_GLOBAL[[#Headers],[Valor dos Tributos (ISS, PIS, CONFINS)]])-2,0)*($G255-$H255)</f>
        <v>1355.8879634413581</v>
      </c>
      <c r="BY255" s="22">
        <f>VLOOKUP($A255,tabCustoUnit[],COLUMN(CUSTO_GLOBAL[[#Headers],[MÓDULO 6 – CUSTOS INDIRETOS, TRIBUTOS E LUCRO]])-2,0)*($G255-$H255)</f>
        <v>2053.7955526022861</v>
      </c>
      <c r="BZ255" s="22">
        <f>VLOOKUP($A255,tabCustoUnit[],COLUMN(CUSTO_GLOBAL[[#Headers],[CUSTO TOTAL MENSAL]])-2,0)*($G255-$H255)</f>
        <v>11068.473170949852</v>
      </c>
      <c r="CA255" s="22">
        <f>CUSTO_GLOBAL[[#This Row],[CUSTO TOTAL MENSAL]]*12</f>
        <v>132821.67805139822</v>
      </c>
      <c r="CB255" s="24">
        <f>VLOOKUP($A255,tabCustoUnit[],COLUMN(CUSTO_GLOBAL[[#Headers],[ANO DA CCT]])-2,0)</f>
        <v>45658</v>
      </c>
      <c r="CC255" s="25" t="str">
        <f>VLOOKUP($A255,tabCustoUnit[],COLUMN(CUSTO_GLOBAL[[#Headers],[Nº DE PEDIDO DA CCT]])-2,0)</f>
        <v>-</v>
      </c>
      <c r="CD255" s="25" t="str">
        <f>VLOOKUP($A255,tabCustoUnit[],COLUMN(CUSTO_GLOBAL[[#Headers],[TERMO ADITIVO  ALTERAÇÃO DA CCT]])-2,0)</f>
        <v>-</v>
      </c>
      <c r="CF255" s="22"/>
      <c r="CG255" s="22"/>
    </row>
    <row r="256" spans="1:85" x14ac:dyDescent="0.25">
      <c r="A256" s="20" t="s">
        <v>925</v>
      </c>
      <c r="E256" s="20"/>
      <c r="F256" s="20"/>
      <c r="G256" s="141">
        <f>SUBTOTAL(9,CUSTO_GLOBAL[Vagas contratadas])</f>
        <v>437</v>
      </c>
      <c r="H256" s="141">
        <f>SUBTOTAL(9,CUSTO_GLOBAL[Vagas suspensas])</f>
        <v>0</v>
      </c>
      <c r="I256" s="22">
        <f>SUBTOTAL(9,CUSTO_GLOBAL[Salário Base])</f>
        <v>554468.21880000096</v>
      </c>
      <c r="J256" s="22">
        <f>SUBTOTAL(9,CUSTO_GLOBAL[Adicional Periculosidade])</f>
        <v>0</v>
      </c>
      <c r="K256" s="22">
        <f>SUBTOTAL(9,CUSTO_GLOBAL[Adicional Insalubridade])</f>
        <v>0</v>
      </c>
      <c r="L256" s="22">
        <f>SUBTOTAL(9,CUSTO_GLOBAL[Adicional Noturno])</f>
        <v>664.59540000000004</v>
      </c>
      <c r="M256" s="22">
        <f>SUBTOTAL(9,CUSTO_GLOBAL[Adicional Motorista II (Gratificação)])</f>
        <v>0</v>
      </c>
      <c r="N256" s="22">
        <f>SUBTOTAL(9,CUSTO_GLOBAL[Adicional de Sobreaviso])</f>
        <v>0</v>
      </c>
      <c r="O256" s="22">
        <f>SUBTOTAL(9,CUSTO_GLOBAL[Horas Extras TI])</f>
        <v>0</v>
      </c>
      <c r="P256" s="22">
        <f>SUBTOTAL(9,CUSTO_GLOBAL[Adicional de Acúmulo de função])</f>
        <v>18119.133200000044</v>
      </c>
      <c r="Q256" s="22">
        <f>SUBTOTAL(9,CUSTO_GLOBAL[MODULO 1 - REMUNERAÇÃO ])</f>
        <v>573251.9473999989</v>
      </c>
      <c r="R256" s="22">
        <f>SUBTOTAL(9,CUSTO_GLOBAL[INSS])</f>
        <v>114650.38948000029</v>
      </c>
      <c r="S256" s="22">
        <f>SUBTOTAL(9,CUSTO_GLOBAL[SESI OU SESC])</f>
        <v>8598.7792109999973</v>
      </c>
      <c r="T256" s="22">
        <f>SUBTOTAL(9,CUSTO_GLOBAL[SENAI OU SENAC])</f>
        <v>5732.5194740000088</v>
      </c>
      <c r="U256" s="22">
        <f>SUBTOTAL(9,CUSTO_GLOBAL[INCRA])</f>
        <v>1146.5038947999976</v>
      </c>
      <c r="V256" s="22">
        <f>SUBTOTAL(9,CUSTO_GLOBAL[Salário Educação])</f>
        <v>14331.298685000036</v>
      </c>
      <c r="W256" s="22">
        <f>SUBTOTAL(9,CUSTO_GLOBAL[FGTS])</f>
        <v>45860.155792000071</v>
      </c>
      <c r="X256" s="22">
        <f>SUBTOTAL(9,CUSTO_GLOBAL[RAT Ajustado])</f>
        <v>22930.077896000035</v>
      </c>
      <c r="Y256" s="22">
        <f>SUBTOTAL(9,CUSTO_GLOBAL[SEBRAE])</f>
        <v>3439.5116843999976</v>
      </c>
      <c r="Z256" s="22">
        <f>SUBTOTAL(9,CUSTO_GLOBAL[Submódulo 2.1])</f>
        <v>216689.23611719874</v>
      </c>
      <c r="AA256" s="22">
        <f>SUBTOTAL(9,CUSTO_GLOBAL[13º salário (titular)])</f>
        <v>47770.995616666711</v>
      </c>
      <c r="AB256" s="22">
        <f>SUBTOTAL(9,CUSTO_GLOBAL[Férias e Adicional de Férias (titular)])</f>
        <v>63694.660822222148</v>
      </c>
      <c r="AC256" s="22">
        <f>SUBTOTAL(9,CUSTO_GLOBAL[Incidência do Submódulo 2.1 sobre 13º Salário, Férias e Adicional de Férias])</f>
        <v>42134.018133900092</v>
      </c>
      <c r="AD256" s="22">
        <f>SUBTOTAL(9,CUSTO_GLOBAL[Submódulo 2.2])</f>
        <v>153599.6745727887</v>
      </c>
      <c r="AE256" s="22">
        <f>SUBTOTAL(9,CUSTO_GLOBAL[Vale - Transporte (Descontada parcela do empregado)])</f>
        <v>101883.90687199969</v>
      </c>
      <c r="AF256" s="22">
        <f>SUBTOTAL(9,CUSTO_GLOBAL[Vale - Alimentação (Descontada parcela do empregado)])</f>
        <v>233964</v>
      </c>
      <c r="AG256" s="22">
        <f>SUBTOTAL(9,CUSTO_GLOBAL[Cesta Básica])</f>
        <v>13572.650000000001</v>
      </c>
      <c r="AH256" s="22">
        <f>SUBTOTAL(9,CUSTO_GLOBAL[PAF])</f>
        <v>21163.480000000025</v>
      </c>
      <c r="AI256" s="22">
        <f>SUBTOTAL(9,CUSTO_GLOBAL[PQM])</f>
        <v>992.72000000000105</v>
      </c>
      <c r="AJ256" s="22">
        <f>SUBTOTAL(9,CUSTO_GLOBAL[PAT])</f>
        <v>0</v>
      </c>
      <c r="AK256" s="22">
        <f>SUBTOTAL(9,CUSTO_GLOBAL[Seguro de Vida])</f>
        <v>1468.3199999999947</v>
      </c>
      <c r="AL256" s="22">
        <f>SUBTOTAL(9,CUSTO_GLOBAL[Despesas de Viagem])</f>
        <v>1222.8000000000002</v>
      </c>
      <c r="AM256" s="22">
        <f>SUBTOTAL(9,CUSTO_GLOBAL[Submódulo 2.3])</f>
        <v>374267.87687199947</v>
      </c>
      <c r="AN256" s="22">
        <f>SUBTOTAL(9,CUSTO_GLOBAL[MÓDULO 2 - Total Encargos e Benefícios mensais e diários])</f>
        <v>744556.78756198823</v>
      </c>
      <c r="AO256" s="22">
        <f>SUBTOTAL(9,CUSTO_GLOBAL[Aviso Prévio Indenizado (API) e Reflexo do Aviso Prévio Indenizado])</f>
        <v>4019.5090733106895</v>
      </c>
      <c r="AP256" s="22">
        <f>SUBTOTAL(9,CUSTO_GLOBAL[Incidência do FGTS sobre API e Reflexo do API])</f>
        <v>321.56072586485499</v>
      </c>
      <c r="AQ256" s="22">
        <f>SUBTOTAL(9,CUSTO_GLOBAL[Multa Rescisória do FGTS sobre o Aviso Prévio Indenizado])</f>
        <v>128.62429034594217</v>
      </c>
      <c r="AR256" s="22">
        <f>SUBTOTAL(9,CUSTO_GLOBAL[Aviso Prévio Trabalhado - APT])</f>
        <v>2006.3818158999991</v>
      </c>
      <c r="AS256" s="22">
        <f>SUBTOTAL(9,CUSTO_GLOBAL[Incidência dos encargos do submódulo 2.1 sobre Aviso Prévio Trabalhado])</f>
        <v>758.41232641020372</v>
      </c>
      <c r="AT256" s="22">
        <f>SUBTOTAL(9,CUSTO_GLOBAL[Multa Rescisória do FGTS])</f>
        <v>17528.7706582756</v>
      </c>
      <c r="AU256" s="22">
        <f>SUBTOTAL(9,CUSTO_GLOBAL[Indenização Adicional (Art. 9º da Lei nº 7.238/84)])</f>
        <v>477.70995616666818</v>
      </c>
      <c r="AV256" s="22">
        <f>SUBTOTAL(9,CUSTO_GLOBAL[MÓDULO 3 – PROVISÃO PARA RESCISÃO])</f>
        <v>25240.968846273965</v>
      </c>
      <c r="AW256" s="22">
        <f>SUBTOTAL(9,CUSTO_GLOBAL[Ausência por Doença])</f>
        <v>4840.7942224888893</v>
      </c>
      <c r="AX256" s="22">
        <f>SUBTOTAL(9,CUSTO_GLOBAL[Ausências Legais])</f>
        <v>1162.4275600055523</v>
      </c>
      <c r="AY256" s="22">
        <f>SUBTOTAL(9,CUSTO_GLOBAL[Licença Paternidade])</f>
        <v>97.930541014166678</v>
      </c>
      <c r="AZ256" s="22">
        <f>SUBTOTAL(9,CUSTO_GLOBAL[Ausência por Acidente de Trabalho])</f>
        <v>119.42748904166704</v>
      </c>
      <c r="BA256" s="22">
        <f>SUBTOTAL(9,CUSTO_GLOBAL[Férias, Adicional de Férias e 13º  com empregada em gozo de Licença Maternidade])</f>
        <v>743.10437625925886</v>
      </c>
      <c r="BB256" s="22">
        <f>SUBTOTAL(9,CUSTO_GLOBAL[Incidência do Submódulo 2.1 sobre Ausências Legais])</f>
        <v>2632.2726233700159</v>
      </c>
      <c r="BC256" s="22">
        <f>SUBTOTAL(9,CUSTO_GLOBAL[Submódulo 4.1])</f>
        <v>9595.9568121795601</v>
      </c>
      <c r="BD256" s="22">
        <f>SUBTOTAL(9,CUSTO_GLOBAL[Intervalo para Repouso ou Alimentação])</f>
        <v>827.80630342857125</v>
      </c>
      <c r="BE256" s="22">
        <f>SUBTOTAL(9,CUSTO_GLOBAL[Submódulo 4.2])</f>
        <v>827.80630342857125</v>
      </c>
      <c r="BF256" s="22">
        <f>SUBTOTAL(9,CUSTO_GLOBAL[Suspensão Temporária do Contrato de Trabalho])</f>
        <v>0</v>
      </c>
      <c r="BG256" s="22">
        <f>SUBTOTAL(9,CUSTO_GLOBAL[Submódulo 4.3])</f>
        <v>0</v>
      </c>
      <c r="BH256" s="22">
        <f>SUBTOTAL(9,CUSTO_GLOBAL[MÓDULO 4 – CUSTO DE REPOSIÇÃO DO PROFISSIONAL AUSENTE])</f>
        <v>10423.763115608141</v>
      </c>
      <c r="BI256" s="22">
        <f>SUBTOTAL(9,CUSTO_GLOBAL[Uniformes e EPIs])</f>
        <v>38179.589166666636</v>
      </c>
      <c r="BJ256" s="22">
        <f>SUBTOTAL(9,CUSTO_GLOBAL[Materiais de Consumo])</f>
        <v>11947.84250000005</v>
      </c>
      <c r="BK256" s="22">
        <f>SUBTOTAL(9,CUSTO_GLOBAL[Máquinas e Equipamentos (depreciação)])</f>
        <v>21731.694833333313</v>
      </c>
      <c r="BL256" s="22">
        <f>SUBTOTAL(9,CUSTO_GLOBAL[Produtos de Limpeza e Materiais de Higiene Pessoal])</f>
        <v>232197.93083333306</v>
      </c>
      <c r="BM256" s="22">
        <f>SUBTOTAL(9,CUSTO_GLOBAL[Outros (especificar)])</f>
        <v>0</v>
      </c>
      <c r="BN256" s="22">
        <f>SUBTOTAL(9,CUSTO_GLOBAL[MÓDULO 5 – INSUMOS DIVERSOS])</f>
        <v>304057.05733333266</v>
      </c>
      <c r="BO256" s="22">
        <f>SUBTOTAL(9,CUSTO_GLOBAL[TOTAL MÓDULOS 1+2+3+4+5])</f>
        <v>1657530.5242572043</v>
      </c>
      <c r="BP256" s="22">
        <f>SUBTOTAL(9,CUSTO_GLOBAL[Custos Indiretos])</f>
        <v>82876.526212860379</v>
      </c>
      <c r="BQ256" s="22">
        <f>SUBTOTAL(9,CUSTO_GLOBAL[Lucro])</f>
        <v>69616.2820188029</v>
      </c>
      <c r="BR256" s="138">
        <f>SUBTOTAL(101,CUSTO_GLOBAL[COFINS])</f>
        <v>8.7013895516814363E-2</v>
      </c>
      <c r="BS256" s="138">
        <f>SUBTOTAL(101,CUSTO_GLOBAL[PIS])</f>
        <v>1.8891174684571452E-2</v>
      </c>
      <c r="BT256" s="138">
        <f>SUBTOTAL(101,CUSTO_GLOBAL[ISS])</f>
        <v>3.3940476190476167E-2</v>
      </c>
      <c r="BU256" s="138">
        <f>SUBTOTAL(101,CUSTO_GLOBAL[ISS (Conversão Alíquota s/ fatura)])</f>
        <v>3.9014607651431443E-2</v>
      </c>
      <c r="BV256" s="138">
        <f>SUBTOTAL(101,CUSTO_GLOBAL[Resumo de Alíquotas (PIS+CONFINS+ISS)])</f>
        <v>0.12644047619047577</v>
      </c>
      <c r="BW256" s="138">
        <f>SUBTOTAL(101,CUSTO_GLOBAL[PIS + COFINS + ISS (Total Conversão  Alíquota s/ Fatura)])</f>
        <v>0.14491967785281726</v>
      </c>
      <c r="BX256" s="22">
        <f>SUBTOTAL(9,CUSTO_GLOBAL[Valor dos Tributos (ISS, PIS, CONFINS)])</f>
        <v>273419.8635142711</v>
      </c>
      <c r="BY256" s="22">
        <f>SUBTOTAL(9,CUSTO_GLOBAL[MÓDULO 6 – CUSTOS INDIRETOS, TRIBUTOS E LUCRO])</f>
        <v>425912.67174593371</v>
      </c>
      <c r="BZ256" s="22">
        <f>SUBTOTAL(9,CUSTO_GLOBAL[CUSTO TOTAL MENSAL])</f>
        <v>2083443.1960031374</v>
      </c>
      <c r="CA256" s="22">
        <f>SUBTOTAL(9,CUSTO_GLOBAL[CUSTO TOTAL ANUAL])</f>
        <v>25001318.352037661</v>
      </c>
      <c r="CB256" s="20"/>
      <c r="CC256" s="20"/>
      <c r="CD256" s="20"/>
    </row>
    <row r="261" spans="79:79" x14ac:dyDescent="0.25">
      <c r="CA261" s="22"/>
    </row>
  </sheetData>
  <mergeCells count="12">
    <mergeCell ref="BP1:BY2"/>
    <mergeCell ref="R2:Z2"/>
    <mergeCell ref="AA2:AD2"/>
    <mergeCell ref="AE2:AM2"/>
    <mergeCell ref="AW2:BC2"/>
    <mergeCell ref="BD2:BE2"/>
    <mergeCell ref="BF2:BG2"/>
    <mergeCell ref="I1:Q2"/>
    <mergeCell ref="R1:AN1"/>
    <mergeCell ref="AO1:AV2"/>
    <mergeCell ref="AW1:BH1"/>
    <mergeCell ref="BI1:BN2"/>
  </mergeCells>
  <phoneticPr fontId="9" type="noConversion"/>
  <pageMargins left="0.511811024" right="0.511811024" top="0.78740157499999996" bottom="0.78740157499999996" header="0.31496062000000002" footer="0.31496062000000002"/>
  <tableParts count="1">
    <tablePart r:id="rId1"/>
  </tableParts>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132176C-C7BF-4B2E-ABAB-18972222CAA8}">
  <sheetPr codeName="Planilha11"/>
  <dimension ref="A1:O131"/>
  <sheetViews>
    <sheetView showGridLines="0" workbookViewId="0">
      <selection activeCell="G18" sqref="G18"/>
    </sheetView>
  </sheetViews>
  <sheetFormatPr defaultColWidth="9.140625" defaultRowHeight="12.75" x14ac:dyDescent="0.2"/>
  <cols>
    <col min="1" max="1" width="10" style="11" bestFit="1" customWidth="1"/>
    <col min="2" max="2" width="60" style="11" customWidth="1"/>
    <col min="3" max="3" width="20.42578125" style="11" customWidth="1"/>
    <col min="4" max="4" width="18.42578125" style="11" customWidth="1"/>
    <col min="5" max="5" width="41.85546875" style="11" bestFit="1" customWidth="1"/>
    <col min="6" max="6" width="9.140625" style="11"/>
    <col min="7" max="7" width="38.7109375" style="11" bestFit="1" customWidth="1"/>
    <col min="8" max="8" width="9.140625" style="11" bestFit="1" customWidth="1"/>
    <col min="9" max="10" width="14.42578125" style="11" bestFit="1" customWidth="1"/>
    <col min="11" max="12" width="13.42578125" style="11" bestFit="1" customWidth="1"/>
    <col min="13" max="13" width="14.42578125" style="11" bestFit="1" customWidth="1"/>
    <col min="14" max="14" width="14.5703125" style="11" bestFit="1" customWidth="1"/>
    <col min="15" max="15" width="16" style="11" bestFit="1" customWidth="1"/>
    <col min="16" max="16384" width="9.140625" style="11"/>
  </cols>
  <sheetData>
    <row r="1" spans="1:15" ht="15" customHeight="1" x14ac:dyDescent="0.25">
      <c r="A1" s="378" t="s">
        <v>1126</v>
      </c>
      <c r="B1" s="379"/>
      <c r="C1" s="379"/>
      <c r="D1" s="379"/>
      <c r="E1" s="380"/>
      <c r="G1" s="147" t="s">
        <v>1</v>
      </c>
      <c r="H1" t="s">
        <v>1127</v>
      </c>
    </row>
    <row r="2" spans="1:15" ht="13.5" thickBot="1" x14ac:dyDescent="0.25">
      <c r="A2" s="381"/>
      <c r="B2" s="382"/>
      <c r="C2" s="382"/>
      <c r="D2" s="382"/>
      <c r="E2" s="383"/>
    </row>
    <row r="3" spans="1:15" ht="60" x14ac:dyDescent="0.2">
      <c r="A3" s="423" t="s">
        <v>1128</v>
      </c>
      <c r="B3" s="424"/>
      <c r="C3" s="424"/>
      <c r="D3" s="424"/>
      <c r="E3" s="425"/>
      <c r="G3" s="316" t="s">
        <v>1129</v>
      </c>
      <c r="H3" s="140" t="s">
        <v>1130</v>
      </c>
      <c r="I3" s="140" t="s">
        <v>1131</v>
      </c>
      <c r="J3" s="140" t="s">
        <v>1132</v>
      </c>
      <c r="K3" s="140" t="s">
        <v>1133</v>
      </c>
      <c r="L3" s="140" t="s">
        <v>1134</v>
      </c>
      <c r="M3" s="140" t="s">
        <v>1135</v>
      </c>
      <c r="N3" s="140" t="s">
        <v>1136</v>
      </c>
      <c r="O3" s="19" t="s">
        <v>1137</v>
      </c>
    </row>
    <row r="4" spans="1:15" ht="12.75" customHeight="1" x14ac:dyDescent="0.25">
      <c r="A4" s="34" t="s">
        <v>1138</v>
      </c>
      <c r="B4" s="403" t="s">
        <v>1139</v>
      </c>
      <c r="C4" s="404"/>
      <c r="D4" s="405"/>
      <c r="E4" s="137" t="s">
        <v>225</v>
      </c>
      <c r="G4" s="27" t="s">
        <v>10</v>
      </c>
      <c r="H4" s="20">
        <v>435</v>
      </c>
      <c r="I4" s="22">
        <v>569845.76499999966</v>
      </c>
      <c r="J4" s="22">
        <v>740271.57736394426</v>
      </c>
      <c r="K4" s="22">
        <v>25090.990561449828</v>
      </c>
      <c r="L4" s="22">
        <v>10366.745290630717</v>
      </c>
      <c r="M4" s="22">
        <v>302274.80072069447</v>
      </c>
      <c r="N4" s="22">
        <v>423490.04836712277</v>
      </c>
      <c r="O4" s="22">
        <v>2071339.9273038427</v>
      </c>
    </row>
    <row r="5" spans="1:15" ht="12.75" customHeight="1" x14ac:dyDescent="0.25">
      <c r="A5" s="36" t="s">
        <v>1140</v>
      </c>
      <c r="B5" s="384" t="s">
        <v>1141</v>
      </c>
      <c r="C5" s="385"/>
      <c r="D5" s="386"/>
      <c r="E5" s="37" t="str">
        <f>IF(ISNUMBER(SEARCH("LIMP",E7,1)),"Serviço de limpeza",IF(E7="","","Apoio administrativo"))</f>
        <v>Serviço de limpeza</v>
      </c>
      <c r="G5" s="139" t="s">
        <v>1244</v>
      </c>
      <c r="H5" s="20">
        <v>77</v>
      </c>
      <c r="I5" s="22">
        <v>63989.906600000031</v>
      </c>
      <c r="J5" s="22">
        <v>104517.77106878895</v>
      </c>
      <c r="K5" s="22">
        <v>2817.5521187362933</v>
      </c>
      <c r="L5" s="22">
        <v>1071.1596932797497</v>
      </c>
      <c r="M5" s="22">
        <v>35263.400209963285</v>
      </c>
      <c r="N5" s="22">
        <v>61018.368797299867</v>
      </c>
      <c r="O5" s="22">
        <v>268678.15848806821</v>
      </c>
    </row>
    <row r="6" spans="1:15" ht="12.75" customHeight="1" x14ac:dyDescent="0.25">
      <c r="A6" s="36" t="s">
        <v>1142</v>
      </c>
      <c r="B6" s="384" t="s">
        <v>1143</v>
      </c>
      <c r="C6" s="385"/>
      <c r="D6" s="386"/>
      <c r="E6" s="35" cm="1">
        <f t="array" ref="E6">IF(OR($E$4="",$E$7=""),0,_xlfn.XLOOKUP($E$4&amp;$E$7,tabParametros[Comarca]&amp;tabParametros[Função],tabParametros[Salário Base],"VERIFICAR"))</f>
        <v>798.14</v>
      </c>
      <c r="G6" s="139" t="s">
        <v>1267</v>
      </c>
      <c r="H6" s="20">
        <v>2</v>
      </c>
      <c r="I6" s="22">
        <v>3406.1823999999997</v>
      </c>
      <c r="J6" s="22">
        <v>4285.210198044444</v>
      </c>
      <c r="K6" s="22">
        <v>149.97828482409875</v>
      </c>
      <c r="L6" s="22">
        <v>434.13087640596984</v>
      </c>
      <c r="M6" s="22">
        <v>1782.2566126387853</v>
      </c>
      <c r="N6" s="22">
        <v>2485.2923115551876</v>
      </c>
      <c r="O6" s="22">
        <v>12543.050683468484</v>
      </c>
    </row>
    <row r="7" spans="1:15" ht="12.75" customHeight="1" x14ac:dyDescent="0.25">
      <c r="A7" s="36" t="s">
        <v>1144</v>
      </c>
      <c r="B7" s="384" t="s">
        <v>1145</v>
      </c>
      <c r="C7" s="385"/>
      <c r="D7" s="386"/>
      <c r="E7" s="137" t="s">
        <v>1244</v>
      </c>
      <c r="G7" s="139" t="s">
        <v>1278</v>
      </c>
      <c r="H7" s="20">
        <v>2</v>
      </c>
      <c r="I7" s="22">
        <v>4070.7777999999998</v>
      </c>
      <c r="J7" s="22">
        <v>4714.5019044777782</v>
      </c>
      <c r="K7" s="22">
        <v>179.24121513399226</v>
      </c>
      <c r="L7" s="22">
        <v>518.83607844472567</v>
      </c>
      <c r="M7" s="22">
        <v>1782.2566126387853</v>
      </c>
      <c r="N7" s="22">
        <v>2686.0146107113774</v>
      </c>
      <c r="O7" s="22">
        <v>13951.628221406658</v>
      </c>
    </row>
    <row r="8" spans="1:15" ht="12.75" customHeight="1" thickBot="1" x14ac:dyDescent="0.3">
      <c r="A8" s="34" t="s">
        <v>1146</v>
      </c>
      <c r="B8" s="389" t="s">
        <v>1147</v>
      </c>
      <c r="C8" s="390"/>
      <c r="D8" s="391"/>
      <c r="E8" s="127" cm="1">
        <f t="array" ref="E8">IF(OR($E$4="",$E$7=""),0,_xlfn.XLOOKUP($E$4&amp;$E$7,tabParametros[Comarca]&amp;tabParametros[Função],tabParametros[ANO DA CCT],"VERIFICAR"))</f>
        <v>45658</v>
      </c>
      <c r="G8" s="139" t="s">
        <v>1246</v>
      </c>
      <c r="H8" s="20">
        <v>19</v>
      </c>
      <c r="I8" s="22">
        <v>21684.691599999995</v>
      </c>
      <c r="J8" s="22">
        <v>29540.615868511108</v>
      </c>
      <c r="K8" s="22">
        <v>954.80290577144137</v>
      </c>
      <c r="L8" s="22">
        <v>362.99111590079963</v>
      </c>
      <c r="M8" s="22">
        <v>12153.599384895158</v>
      </c>
      <c r="N8" s="22">
        <v>16907.045589596244</v>
      </c>
      <c r="O8" s="22">
        <v>81603.746464674739</v>
      </c>
    </row>
    <row r="9" spans="1:15" ht="15" x14ac:dyDescent="0.25">
      <c r="A9" s="121"/>
      <c r="B9" s="122"/>
      <c r="C9" s="122"/>
      <c r="D9" s="122"/>
      <c r="E9" s="123"/>
      <c r="G9" s="139" t="s">
        <v>1245</v>
      </c>
      <c r="H9" s="20">
        <v>252</v>
      </c>
      <c r="I9" s="22">
        <v>424895.23969999963</v>
      </c>
      <c r="J9" s="22">
        <v>495234.62462710543</v>
      </c>
      <c r="K9" s="22">
        <v>18708.645573452082</v>
      </c>
      <c r="L9" s="22">
        <v>7112.5381925948514</v>
      </c>
      <c r="M9" s="22">
        <v>224564.33319248696</v>
      </c>
      <c r="N9" s="22">
        <v>279938.02127862233</v>
      </c>
      <c r="O9" s="22">
        <v>1450453.4025642613</v>
      </c>
    </row>
    <row r="10" spans="1:15" ht="15" x14ac:dyDescent="0.25">
      <c r="A10" s="409" t="s">
        <v>1096</v>
      </c>
      <c r="B10" s="410"/>
      <c r="C10" s="410"/>
      <c r="D10" s="410"/>
      <c r="E10" s="411"/>
      <c r="G10" s="139" t="s">
        <v>1247</v>
      </c>
      <c r="H10" s="20">
        <v>79</v>
      </c>
      <c r="I10" s="22">
        <v>44575.206899999946</v>
      </c>
      <c r="J10" s="22">
        <v>93180.33165701665</v>
      </c>
      <c r="K10" s="22">
        <v>1962.6996712041434</v>
      </c>
      <c r="L10" s="22">
        <v>746.16712990928613</v>
      </c>
      <c r="M10" s="22">
        <v>26246.458041404894</v>
      </c>
      <c r="N10" s="22">
        <v>56011.804151335251</v>
      </c>
      <c r="O10" s="22">
        <v>222722.66755087016</v>
      </c>
    </row>
    <row r="11" spans="1:15" ht="15.75" thickBot="1" x14ac:dyDescent="0.3">
      <c r="A11" s="125"/>
      <c r="B11" s="126"/>
      <c r="C11" s="126"/>
      <c r="D11" s="126"/>
      <c r="E11" s="101"/>
      <c r="G11" s="139" t="s">
        <v>32</v>
      </c>
      <c r="H11" s="20">
        <v>4</v>
      </c>
      <c r="I11" s="22">
        <v>7223.76</v>
      </c>
      <c r="J11" s="22">
        <v>8798.5220399999998</v>
      </c>
      <c r="K11" s="22">
        <v>318.07079232777772</v>
      </c>
      <c r="L11" s="22">
        <v>120.92220409533333</v>
      </c>
      <c r="M11" s="22">
        <v>482.49666666666673</v>
      </c>
      <c r="N11" s="22">
        <v>4443.5016280025084</v>
      </c>
      <c r="O11" s="22">
        <v>21387.273331092285</v>
      </c>
    </row>
    <row r="12" spans="1:15" ht="15.75" thickBot="1" x14ac:dyDescent="0.3">
      <c r="A12" s="43">
        <v>1</v>
      </c>
      <c r="B12" s="375" t="s">
        <v>1148</v>
      </c>
      <c r="C12" s="377"/>
      <c r="D12" s="45" t="s">
        <v>1149</v>
      </c>
      <c r="E12" s="45" t="s">
        <v>1150</v>
      </c>
      <c r="G12" s="27" t="s">
        <v>33</v>
      </c>
      <c r="H12" s="20">
        <v>2</v>
      </c>
      <c r="I12" s="22">
        <v>3406.1823999999997</v>
      </c>
      <c r="J12" s="22">
        <v>4285.210198044444</v>
      </c>
      <c r="K12" s="22">
        <v>149.97828482409875</v>
      </c>
      <c r="L12" s="22">
        <v>57.017824977398512</v>
      </c>
      <c r="M12" s="22">
        <v>1782.2566126387853</v>
      </c>
      <c r="N12" s="22">
        <v>2422.6233788104983</v>
      </c>
      <c r="O12" s="22">
        <v>12103.268699295224</v>
      </c>
    </row>
    <row r="13" spans="1:15" ht="15" x14ac:dyDescent="0.25">
      <c r="A13" s="46" t="s">
        <v>1138</v>
      </c>
      <c r="B13" s="416" t="s">
        <v>7</v>
      </c>
      <c r="C13" s="417"/>
      <c r="D13" s="37">
        <v>1</v>
      </c>
      <c r="E13" s="47">
        <f>E6*D13</f>
        <v>798.14</v>
      </c>
      <c r="G13" s="139" t="s">
        <v>1245</v>
      </c>
      <c r="H13" s="20">
        <v>2</v>
      </c>
      <c r="I13" s="22">
        <v>3406.1823999999997</v>
      </c>
      <c r="J13" s="22">
        <v>4285.210198044444</v>
      </c>
      <c r="K13" s="22">
        <v>149.97828482409875</v>
      </c>
      <c r="L13" s="22">
        <v>57.017824977398512</v>
      </c>
      <c r="M13" s="22">
        <v>1782.2566126387853</v>
      </c>
      <c r="N13" s="22">
        <v>2422.6233788104983</v>
      </c>
      <c r="O13" s="22">
        <v>12103.268699295224</v>
      </c>
    </row>
    <row r="14" spans="1:15" ht="15" x14ac:dyDescent="0.25">
      <c r="A14" s="36" t="s">
        <v>1140</v>
      </c>
      <c r="B14" s="384" t="s">
        <v>1053</v>
      </c>
      <c r="C14" s="386"/>
      <c r="D14" s="203">
        <f>E14/$E$13</f>
        <v>0</v>
      </c>
      <c r="E14" s="48" cm="1">
        <f t="array" ref="E14">IF(OR($E$4="",$E$7=""),0,_xlfn.XLOOKUP($E$4&amp;$E$7,tabParametros[Comarca]&amp;tabParametros[Função],tabParametros[Adicional Periculosidade],"VERIFICAR"))</f>
        <v>0</v>
      </c>
      <c r="G14" s="27" t="s">
        <v>941</v>
      </c>
      <c r="H14" s="20">
        <v>437</v>
      </c>
      <c r="I14" s="22">
        <v>573251.94739999971</v>
      </c>
      <c r="J14" s="22">
        <v>744556.78756198869</v>
      </c>
      <c r="K14" s="22">
        <v>25240.968846273925</v>
      </c>
      <c r="L14" s="22">
        <v>10423.763115608115</v>
      </c>
      <c r="M14" s="22">
        <v>304057.05733333324</v>
      </c>
      <c r="N14" s="22">
        <v>425912.67174593324</v>
      </c>
      <c r="O14" s="22">
        <v>2083443.1960031381</v>
      </c>
    </row>
    <row r="15" spans="1:15" ht="15" x14ac:dyDescent="0.25">
      <c r="A15" s="36" t="s">
        <v>1142</v>
      </c>
      <c r="B15" s="384" t="s">
        <v>1054</v>
      </c>
      <c r="C15" s="386"/>
      <c r="D15" s="203" t="e">
        <f>E15/PARAMETROS!$C$1</f>
        <v>#DIV/0!</v>
      </c>
      <c r="E15" s="48" cm="1">
        <f t="array" ref="E15">IF(OR($E$4="",$E$7=""),0,_xlfn.XLOOKUP($E$4&amp;$E$7,tabParametros[Comarca]&amp;tabParametros[Função],tabParametros[Adicional Insalubridade],"VERIFICAR"))</f>
        <v>0</v>
      </c>
      <c r="G15"/>
      <c r="H15"/>
      <c r="I15"/>
      <c r="J15"/>
      <c r="K15"/>
      <c r="L15"/>
      <c r="M15"/>
      <c r="N15"/>
      <c r="O15"/>
    </row>
    <row r="16" spans="1:15" ht="15" x14ac:dyDescent="0.25">
      <c r="A16" s="36" t="s">
        <v>1144</v>
      </c>
      <c r="B16" s="406" t="s">
        <v>1055</v>
      </c>
      <c r="C16" s="388"/>
      <c r="D16" s="203">
        <f>E16/$E$13</f>
        <v>0</v>
      </c>
      <c r="E16" s="48" cm="1">
        <f t="array" ref="E16">IF(OR($E$4="",$E$7=""),0,_xlfn.XLOOKUP($E$4&amp;$E$7,tabParametros[Comarca]&amp;tabParametros[Função],tabParametros[Adicional Noturno],"VERIFICAR"))</f>
        <v>0</v>
      </c>
      <c r="G16"/>
      <c r="H16"/>
      <c r="I16"/>
      <c r="J16"/>
      <c r="K16"/>
      <c r="L16"/>
      <c r="M16"/>
      <c r="N16"/>
      <c r="O16"/>
    </row>
    <row r="17" spans="1:15" ht="15" x14ac:dyDescent="0.25">
      <c r="A17" s="36" t="s">
        <v>1146</v>
      </c>
      <c r="B17" s="384" t="s">
        <v>1056</v>
      </c>
      <c r="C17" s="386"/>
      <c r="D17" s="49">
        <f>E17/$E$13</f>
        <v>0</v>
      </c>
      <c r="E17" s="48" cm="1">
        <f t="array" ref="E17">IF(OR($E$4="",$E$7=""),0,_xlfn.XLOOKUP($E$4&amp;$E$7,tabParametros[Comarca]&amp;tabParametros[Função],tabParametros[Adicional Motorista II (Gratificação)],"VERIFICAR"))</f>
        <v>0</v>
      </c>
      <c r="G17"/>
      <c r="H17"/>
      <c r="I17"/>
      <c r="J17"/>
      <c r="K17"/>
      <c r="L17"/>
      <c r="M17"/>
      <c r="N17"/>
      <c r="O17"/>
    </row>
    <row r="18" spans="1:15" ht="15" x14ac:dyDescent="0.25">
      <c r="A18" s="36" t="s">
        <v>1151</v>
      </c>
      <c r="B18" s="384" t="s">
        <v>1057</v>
      </c>
      <c r="C18" s="386"/>
      <c r="D18" s="203">
        <f>E18/$E$13</f>
        <v>0</v>
      </c>
      <c r="E18" s="48" cm="1">
        <f t="array" ref="E18">IF(OR($E$4="",$E$7=""),0,_xlfn.XLOOKUP($E$4&amp;$E$7,tabParametros[Comarca]&amp;tabParametros[Função],tabParametros[Adicional de Sobreaviso],"VERIFICAR"))</f>
        <v>0</v>
      </c>
      <c r="G18"/>
      <c r="H18"/>
      <c r="I18"/>
      <c r="J18"/>
      <c r="K18"/>
      <c r="L18"/>
      <c r="M18"/>
      <c r="N18"/>
      <c r="O18"/>
    </row>
    <row r="19" spans="1:15" ht="15" x14ac:dyDescent="0.25">
      <c r="A19" s="34" t="s">
        <v>1152</v>
      </c>
      <c r="B19" s="384" t="s">
        <v>1345</v>
      </c>
      <c r="C19" s="386"/>
      <c r="D19" s="203">
        <f>E19/$E$13</f>
        <v>0</v>
      </c>
      <c r="E19" s="48" cm="1">
        <f t="array" ref="E19">IF(OR($E$4="",$E$7=""),0,_xlfn.XLOOKUP($E$4&amp;$E$7,tabParametros[Comarca]&amp;tabParametros[Função],tabParametros[Horas Extras TI],"VERIFICAR"))</f>
        <v>0</v>
      </c>
      <c r="G19"/>
      <c r="H19"/>
      <c r="I19"/>
      <c r="J19"/>
      <c r="K19"/>
      <c r="L19"/>
      <c r="M19"/>
      <c r="N19"/>
      <c r="O19"/>
    </row>
    <row r="20" spans="1:15" ht="15.75" thickBot="1" x14ac:dyDescent="0.3">
      <c r="A20" s="38" t="s">
        <v>1153</v>
      </c>
      <c r="B20" s="418" t="s">
        <v>1058</v>
      </c>
      <c r="C20" s="419"/>
      <c r="D20" s="203">
        <f>E20/$E$13</f>
        <v>3.2727272727272723E-2</v>
      </c>
      <c r="E20" s="50" cm="1">
        <f t="array" ref="E20">IF(OR($E$4="",$E$7=""),0,_xlfn.XLOOKUP($E$4&amp;$E$7,tabParametros[Comarca]&amp;tabParametros[Função],tabParametros[Adicional de Acúmulo de função],"VERIFICAR"))</f>
        <v>26.120945454545453</v>
      </c>
      <c r="G20"/>
      <c r="H20"/>
      <c r="I20"/>
      <c r="J20"/>
      <c r="K20"/>
      <c r="L20"/>
      <c r="M20"/>
      <c r="N20"/>
      <c r="O20"/>
    </row>
    <row r="21" spans="1:15" ht="15.75" thickBot="1" x14ac:dyDescent="0.3">
      <c r="A21" s="375" t="s">
        <v>1154</v>
      </c>
      <c r="B21" s="376"/>
      <c r="C21" s="376"/>
      <c r="D21" s="377"/>
      <c r="E21" s="52">
        <f>SUM(E13:E20)</f>
        <v>824.26094545454544</v>
      </c>
      <c r="G21"/>
      <c r="H21"/>
      <c r="I21"/>
      <c r="J21"/>
      <c r="K21"/>
      <c r="L21"/>
      <c r="M21"/>
      <c r="N21"/>
      <c r="O21"/>
    </row>
    <row r="22" spans="1:15" ht="15" x14ac:dyDescent="0.25">
      <c r="A22" s="53"/>
      <c r="B22" s="132"/>
      <c r="C22" s="132"/>
      <c r="D22" s="132"/>
      <c r="E22" s="54"/>
      <c r="G22"/>
      <c r="H22"/>
      <c r="I22"/>
      <c r="J22"/>
      <c r="K22"/>
      <c r="L22"/>
      <c r="M22"/>
      <c r="N22"/>
      <c r="O22"/>
    </row>
    <row r="23" spans="1:15" ht="15" x14ac:dyDescent="0.25">
      <c r="A23" s="409" t="s">
        <v>1097</v>
      </c>
      <c r="B23" s="410"/>
      <c r="C23" s="410"/>
      <c r="D23" s="410"/>
      <c r="E23" s="411"/>
      <c r="G23"/>
      <c r="H23"/>
      <c r="I23"/>
      <c r="J23"/>
      <c r="K23"/>
      <c r="L23"/>
      <c r="M23"/>
      <c r="N23"/>
      <c r="O23"/>
    </row>
    <row r="24" spans="1:15" ht="15.75" thickBot="1" x14ac:dyDescent="0.3">
      <c r="A24" s="39"/>
      <c r="B24" s="124"/>
      <c r="C24" s="124"/>
      <c r="D24" s="124"/>
      <c r="E24" s="40"/>
      <c r="G24"/>
      <c r="H24"/>
      <c r="I24"/>
      <c r="J24"/>
      <c r="K24"/>
      <c r="L24"/>
      <c r="M24"/>
      <c r="N24"/>
      <c r="O24"/>
    </row>
    <row r="25" spans="1:15" ht="15.75" thickBot="1" x14ac:dyDescent="0.3">
      <c r="A25" s="43" t="s">
        <v>1155</v>
      </c>
      <c r="B25" s="375" t="s">
        <v>1102</v>
      </c>
      <c r="C25" s="377"/>
      <c r="D25" s="43" t="s">
        <v>1149</v>
      </c>
      <c r="E25" s="43" t="s">
        <v>1150</v>
      </c>
      <c r="G25"/>
      <c r="H25"/>
      <c r="I25"/>
      <c r="J25"/>
      <c r="K25"/>
      <c r="L25"/>
      <c r="M25"/>
      <c r="N25"/>
      <c r="O25"/>
    </row>
    <row r="26" spans="1:15" ht="15" x14ac:dyDescent="0.25">
      <c r="A26" s="46" t="s">
        <v>1138</v>
      </c>
      <c r="B26" s="403" t="s">
        <v>260</v>
      </c>
      <c r="C26" s="405"/>
      <c r="D26" s="55" cm="1">
        <f t="array" ref="D26">IF(OR($E$4="",$E$7=""),0,_xlfn.XLOOKUP($E$4&amp;$E$7,tabParametros[Comarca]&amp;tabParametros[Função],tabParametros[INSS],"VERIFICAR"))</f>
        <v>0.2</v>
      </c>
      <c r="E26" s="56">
        <f t="shared" ref="E26:E33" si="0">$E$21*D26</f>
        <v>164.85218909090909</v>
      </c>
      <c r="G26"/>
      <c r="H26"/>
      <c r="I26"/>
      <c r="J26"/>
      <c r="K26"/>
      <c r="L26"/>
      <c r="M26"/>
      <c r="N26"/>
      <c r="O26"/>
    </row>
    <row r="27" spans="1:15" ht="15" x14ac:dyDescent="0.25">
      <c r="A27" s="36" t="s">
        <v>1140</v>
      </c>
      <c r="B27" s="406" t="s">
        <v>267</v>
      </c>
      <c r="C27" s="388"/>
      <c r="D27" s="57" cm="1">
        <f t="array" ref="D27">IF(OR($E$4="",$E$7=""),0,_xlfn.XLOOKUP($E$4&amp;$E$7,tabParametros[Comarca]&amp;tabParametros[Função],tabParametros[SESI OU SESC],"VERIFICAR"))</f>
        <v>1.4999999999999999E-2</v>
      </c>
      <c r="E27" s="48">
        <f t="shared" si="0"/>
        <v>12.363914181818181</v>
      </c>
      <c r="G27"/>
      <c r="H27"/>
      <c r="I27"/>
      <c r="J27"/>
      <c r="K27"/>
      <c r="L27"/>
      <c r="M27"/>
      <c r="N27"/>
      <c r="O27"/>
    </row>
    <row r="28" spans="1:15" ht="15" x14ac:dyDescent="0.25">
      <c r="A28" s="36" t="s">
        <v>1142</v>
      </c>
      <c r="B28" s="389" t="s">
        <v>274</v>
      </c>
      <c r="C28" s="391"/>
      <c r="D28" s="57" cm="1">
        <f t="array" ref="D28">IF(OR($E$4="",$E$7=""),0,_xlfn.XLOOKUP($E$4&amp;$E$7,tabParametros[Comarca]&amp;tabParametros[Função],tabParametros[SENAI OU SENAC],"VERIFICAR"))</f>
        <v>0.01</v>
      </c>
      <c r="E28" s="48">
        <f t="shared" si="0"/>
        <v>8.2426094545454553</v>
      </c>
      <c r="G28"/>
      <c r="H28"/>
      <c r="I28"/>
      <c r="J28"/>
      <c r="K28"/>
      <c r="L28"/>
      <c r="M28"/>
      <c r="N28"/>
      <c r="O28"/>
    </row>
    <row r="29" spans="1:15" ht="15" x14ac:dyDescent="0.25">
      <c r="A29" s="36" t="s">
        <v>1144</v>
      </c>
      <c r="B29" s="384" t="s">
        <v>281</v>
      </c>
      <c r="C29" s="386"/>
      <c r="D29" s="57" cm="1">
        <f t="array" ref="D29">IF(OR($E$4="",$E$7=""),0,_xlfn.XLOOKUP($E$4&amp;$E$7,tabParametros[Comarca]&amp;tabParametros[Função],tabParametros[INCRA],"VERIFICAR"))</f>
        <v>2E-3</v>
      </c>
      <c r="E29" s="48">
        <f t="shared" si="0"/>
        <v>1.6485218909090908</v>
      </c>
      <c r="G29"/>
      <c r="H29"/>
      <c r="I29"/>
      <c r="J29"/>
      <c r="K29"/>
      <c r="L29"/>
      <c r="M29"/>
      <c r="N29"/>
      <c r="O29"/>
    </row>
    <row r="30" spans="1:15" ht="15" x14ac:dyDescent="0.25">
      <c r="A30" s="36" t="s">
        <v>1146</v>
      </c>
      <c r="B30" s="384" t="s">
        <v>286</v>
      </c>
      <c r="C30" s="386"/>
      <c r="D30" s="57" cm="1">
        <f t="array" ref="D30">IF(OR($E$4="",$E$7=""),0,_xlfn.XLOOKUP($E$4&amp;$E$7,tabParametros[Comarca]&amp;tabParametros[Função],tabParametros[Salário Educação],"VERIFICAR"))</f>
        <v>2.5000000000000001E-2</v>
      </c>
      <c r="E30" s="48">
        <f t="shared" si="0"/>
        <v>20.606523636363637</v>
      </c>
      <c r="G30"/>
      <c r="H30"/>
      <c r="I30"/>
      <c r="J30"/>
      <c r="K30"/>
      <c r="L30"/>
      <c r="M30"/>
      <c r="N30"/>
      <c r="O30"/>
    </row>
    <row r="31" spans="1:15" ht="15" x14ac:dyDescent="0.25">
      <c r="A31" s="36" t="s">
        <v>1151</v>
      </c>
      <c r="B31" s="384" t="s">
        <v>290</v>
      </c>
      <c r="C31" s="386"/>
      <c r="D31" s="57" cm="1">
        <f t="array" ref="D31">IF(OR($E$4="",$E$7=""),0,_xlfn.XLOOKUP($E$4&amp;$E$7,tabParametros[Comarca]&amp;tabParametros[Função],tabParametros[FGTS],"VERIFICAR"))</f>
        <v>0.08</v>
      </c>
      <c r="E31" s="48">
        <f t="shared" si="0"/>
        <v>65.940875636363643</v>
      </c>
      <c r="G31"/>
      <c r="H31"/>
      <c r="I31"/>
      <c r="J31"/>
      <c r="K31"/>
      <c r="L31"/>
      <c r="M31"/>
      <c r="N31"/>
      <c r="O31"/>
    </row>
    <row r="32" spans="1:15" ht="15" x14ac:dyDescent="0.25">
      <c r="A32" s="36" t="s">
        <v>1152</v>
      </c>
      <c r="B32" s="384" t="s">
        <v>294</v>
      </c>
      <c r="C32" s="386"/>
      <c r="D32" s="57" cm="1">
        <f t="array" ref="D32">IF(OR($E$4="",$E$7=""),0,_xlfn.XLOOKUP($E$4&amp;$E$7,tabParametros[Comarca]&amp;tabParametros[Função],tabParametros[RAT Ajustado],"VERIFICAR"))</f>
        <v>0.04</v>
      </c>
      <c r="E32" s="48">
        <f t="shared" si="0"/>
        <v>32.970437818181821</v>
      </c>
      <c r="G32"/>
      <c r="H32"/>
      <c r="I32"/>
      <c r="J32"/>
      <c r="K32"/>
      <c r="L32"/>
      <c r="M32"/>
      <c r="N32"/>
      <c r="O32"/>
    </row>
    <row r="33" spans="1:15" ht="15.75" thickBot="1" x14ac:dyDescent="0.3">
      <c r="A33" s="36" t="s">
        <v>1153</v>
      </c>
      <c r="B33" s="406" t="s">
        <v>298</v>
      </c>
      <c r="C33" s="388"/>
      <c r="D33" s="57" cm="1">
        <f t="array" ref="D33">IF(OR($E$4="",$E$7=""),0,_xlfn.XLOOKUP($E$4&amp;$E$7,tabParametros[Comarca]&amp;tabParametros[Função],tabParametros[SEBRAE],"VERIFICAR"))</f>
        <v>6.0000000000000001E-3</v>
      </c>
      <c r="E33" s="48">
        <f t="shared" si="0"/>
        <v>4.9455656727272723</v>
      </c>
      <c r="G33"/>
      <c r="H33"/>
      <c r="I33"/>
      <c r="J33"/>
      <c r="K33"/>
      <c r="L33"/>
      <c r="M33"/>
      <c r="N33"/>
      <c r="O33"/>
    </row>
    <row r="34" spans="1:15" ht="15.75" thickBot="1" x14ac:dyDescent="0.3">
      <c r="A34" s="375" t="s">
        <v>1156</v>
      </c>
      <c r="B34" s="376"/>
      <c r="C34" s="377"/>
      <c r="D34" s="58">
        <f>SUM(D26:D33)</f>
        <v>0.37800000000000006</v>
      </c>
      <c r="E34" s="52">
        <f>SUM(E26:E33)</f>
        <v>311.57063738181824</v>
      </c>
      <c r="G34"/>
      <c r="H34"/>
      <c r="I34"/>
      <c r="J34"/>
      <c r="K34"/>
      <c r="L34"/>
      <c r="M34"/>
      <c r="N34"/>
      <c r="O34"/>
    </row>
    <row r="35" spans="1:15" ht="15.75" thickBot="1" x14ac:dyDescent="0.3">
      <c r="A35" s="44"/>
      <c r="B35" s="51"/>
      <c r="C35" s="51"/>
      <c r="D35" s="59"/>
      <c r="E35" s="60"/>
      <c r="G35"/>
      <c r="H35"/>
      <c r="I35"/>
      <c r="J35"/>
      <c r="K35"/>
      <c r="L35"/>
      <c r="M35"/>
      <c r="N35"/>
      <c r="O35"/>
    </row>
    <row r="36" spans="1:15" ht="15.75" thickBot="1" x14ac:dyDescent="0.3">
      <c r="A36" s="43" t="s">
        <v>1157</v>
      </c>
      <c r="B36" s="375" t="s">
        <v>1103</v>
      </c>
      <c r="C36" s="377"/>
      <c r="D36" s="43" t="s">
        <v>1149</v>
      </c>
      <c r="E36" s="45" t="s">
        <v>1150</v>
      </c>
      <c r="G36"/>
      <c r="H36"/>
      <c r="I36"/>
      <c r="J36"/>
      <c r="K36"/>
      <c r="L36"/>
      <c r="M36"/>
      <c r="N36"/>
      <c r="O36"/>
    </row>
    <row r="37" spans="1:15" ht="15" x14ac:dyDescent="0.25">
      <c r="A37" s="61" t="s">
        <v>1138</v>
      </c>
      <c r="B37" s="406" t="s">
        <v>1158</v>
      </c>
      <c r="C37" s="388"/>
      <c r="D37" s="62" cm="1">
        <f t="array" ref="D37">IF(OR($E$4="",$E$7=""),0,_xlfn.XLOOKUP($E$4&amp;$E$7,tabParametros[Comarca]&amp;tabParametros[Função],tabParametros[13º salário (titular)],"VERIFICAR"))</f>
        <v>8.3333333333333329E-2</v>
      </c>
      <c r="E37" s="47">
        <f>$E$21*D37</f>
        <v>68.68841212121211</v>
      </c>
      <c r="G37"/>
      <c r="H37"/>
      <c r="I37"/>
      <c r="J37"/>
      <c r="K37"/>
      <c r="L37"/>
      <c r="M37"/>
      <c r="N37"/>
      <c r="O37"/>
    </row>
    <row r="38" spans="1:15" ht="15.75" thickBot="1" x14ac:dyDescent="0.3">
      <c r="A38" s="38" t="s">
        <v>1140</v>
      </c>
      <c r="B38" s="418" t="s">
        <v>1060</v>
      </c>
      <c r="C38" s="419"/>
      <c r="D38" s="63" cm="1">
        <f t="array" ref="D38">IF(OR($E$4="",$E$7=""),0,_xlfn.XLOOKUP($E$4&amp;$E$7,tabParametros[Comarca]&amp;tabParametros[Função],tabParametros[Férias e Adicional de Férias (titular)],"VERIFICAR"))</f>
        <v>0.1111111111111111</v>
      </c>
      <c r="E38" s="64">
        <f>D38*$E$21</f>
        <v>91.584549494949485</v>
      </c>
      <c r="G38"/>
      <c r="H38"/>
      <c r="I38"/>
      <c r="J38"/>
      <c r="K38"/>
      <c r="L38"/>
      <c r="M38"/>
      <c r="N38"/>
      <c r="O38"/>
    </row>
    <row r="39" spans="1:15" ht="15.75" thickBot="1" x14ac:dyDescent="0.3">
      <c r="A39" s="65"/>
      <c r="B39" s="375" t="s">
        <v>1159</v>
      </c>
      <c r="C39" s="377"/>
      <c r="D39" s="66">
        <f>D37+D38</f>
        <v>0.19444444444444442</v>
      </c>
      <c r="E39" s="60">
        <f>D39*$E$21</f>
        <v>160.27296161616158</v>
      </c>
      <c r="G39"/>
      <c r="H39"/>
      <c r="I39"/>
      <c r="J39"/>
      <c r="K39"/>
      <c r="L39"/>
      <c r="M39"/>
      <c r="N39"/>
      <c r="O39"/>
    </row>
    <row r="40" spans="1:15" ht="15.75" thickBot="1" x14ac:dyDescent="0.3">
      <c r="A40" s="43" t="s">
        <v>1142</v>
      </c>
      <c r="B40" s="414" t="s">
        <v>1110</v>
      </c>
      <c r="C40" s="415"/>
      <c r="D40" s="67">
        <f>D39*$D$34</f>
        <v>7.3499999999999996E-2</v>
      </c>
      <c r="E40" s="68">
        <f>D40*$E$21</f>
        <v>60.583179490909089</v>
      </c>
      <c r="G40"/>
      <c r="H40"/>
      <c r="I40"/>
      <c r="J40"/>
      <c r="K40"/>
      <c r="L40"/>
      <c r="M40"/>
      <c r="N40"/>
      <c r="O40"/>
    </row>
    <row r="41" spans="1:15" ht="15.75" thickBot="1" x14ac:dyDescent="0.3">
      <c r="A41" s="375" t="s">
        <v>1160</v>
      </c>
      <c r="B41" s="376"/>
      <c r="C41" s="377"/>
      <c r="D41" s="69">
        <f>SUM(D39:D40)</f>
        <v>0.26794444444444443</v>
      </c>
      <c r="E41" s="70">
        <f>SUM(E39:E40)</f>
        <v>220.85614110707067</v>
      </c>
      <c r="G41"/>
      <c r="H41"/>
      <c r="I41"/>
      <c r="J41"/>
      <c r="K41"/>
      <c r="L41"/>
      <c r="M41"/>
      <c r="N41"/>
      <c r="O41"/>
    </row>
    <row r="42" spans="1:15" ht="15.75" thickBot="1" x14ac:dyDescent="0.3">
      <c r="A42" s="71"/>
      <c r="B42" s="72"/>
      <c r="C42" s="72"/>
      <c r="D42" s="72"/>
      <c r="E42" s="73"/>
      <c r="G42"/>
      <c r="H42"/>
      <c r="I42"/>
      <c r="J42"/>
      <c r="K42"/>
      <c r="L42"/>
      <c r="M42"/>
      <c r="N42"/>
      <c r="O42"/>
    </row>
    <row r="43" spans="1:15" ht="15.75" thickBot="1" x14ac:dyDescent="0.3">
      <c r="A43" s="74" t="s">
        <v>1161</v>
      </c>
      <c r="B43" s="375" t="s">
        <v>1104</v>
      </c>
      <c r="C43" s="377"/>
      <c r="D43" s="45" t="s">
        <v>1149</v>
      </c>
      <c r="E43" s="45" t="s">
        <v>1150</v>
      </c>
      <c r="G43"/>
      <c r="H43"/>
      <c r="I43"/>
      <c r="J43"/>
      <c r="K43"/>
      <c r="L43"/>
      <c r="M43"/>
      <c r="N43"/>
      <c r="O43"/>
    </row>
    <row r="44" spans="1:15" ht="15" x14ac:dyDescent="0.25">
      <c r="A44" s="61" t="s">
        <v>1138</v>
      </c>
      <c r="B44" s="403" t="s">
        <v>1112</v>
      </c>
      <c r="C44" s="405"/>
      <c r="D44" s="130" cm="1">
        <f t="array" ref="D44">IF(OR($E$4="",$E$7=""),0,_xlfn.XLOOKUP($E$4&amp;$E$7,tabParametros[Comarca]&amp;tabParametros[Função],tabParametros[Vale - Transporte],"VERIFICAR"))</f>
        <v>6.4</v>
      </c>
      <c r="E44" s="131">
        <f>(2*$D$44*20*$D$13)-(IF($E$13*6%&lt;=(2*$D$44*20*$D$13),$E$13*6%,(2*$D$44*20*$D$13)))</f>
        <v>208.11160000000001</v>
      </c>
      <c r="G44"/>
      <c r="H44"/>
      <c r="I44"/>
      <c r="J44"/>
      <c r="K44"/>
      <c r="L44"/>
      <c r="M44"/>
      <c r="N44"/>
      <c r="O44"/>
    </row>
    <row r="45" spans="1:15" ht="15" x14ac:dyDescent="0.25">
      <c r="A45" s="36" t="s">
        <v>1140</v>
      </c>
      <c r="B45" s="406" t="s">
        <v>1113</v>
      </c>
      <c r="C45" s="388"/>
      <c r="D45" s="76" cm="1">
        <f t="array" ref="D45">IF(OR($E$4="",$E$7=""),0,_xlfn.XLOOKUP($E$4&amp;$E$7,tabParametros[Comarca]&amp;tabParametros[Função],tabParametros[Vale - Alimentação],"VERIFICAR"))</f>
        <v>29.15</v>
      </c>
      <c r="E45" s="77">
        <f>IF((D45*20-1)*D13&lt;1,0,(D45*20-1)*D13)</f>
        <v>582</v>
      </c>
      <c r="G45"/>
      <c r="H45"/>
      <c r="I45"/>
      <c r="J45"/>
      <c r="K45"/>
      <c r="L45"/>
      <c r="M45"/>
      <c r="N45"/>
      <c r="O45"/>
    </row>
    <row r="46" spans="1:15" ht="15" x14ac:dyDescent="0.25">
      <c r="A46" s="36" t="s">
        <v>1142</v>
      </c>
      <c r="B46" s="384" t="s">
        <v>985</v>
      </c>
      <c r="C46" s="386"/>
      <c r="D46" s="76" cm="1">
        <f t="array" ref="D46">IF(OR($E$4="",$E$7=""),0,_xlfn.XLOOKUP($E$4&amp;$E$7,tabParametros[Comarca]&amp;tabParametros[Função],tabParametros[Cesta Básica],"VERIFICAR"))</f>
        <v>0</v>
      </c>
      <c r="E46" s="77">
        <f>$D46*$D$13</f>
        <v>0</v>
      </c>
      <c r="G46"/>
      <c r="H46"/>
      <c r="I46"/>
      <c r="J46"/>
      <c r="K46"/>
      <c r="L46"/>
      <c r="M46"/>
      <c r="N46"/>
      <c r="O46"/>
    </row>
    <row r="47" spans="1:15" ht="15" x14ac:dyDescent="0.25">
      <c r="A47" s="36" t="s">
        <v>1144</v>
      </c>
      <c r="B47" s="406" t="s">
        <v>986</v>
      </c>
      <c r="C47" s="388"/>
      <c r="D47" s="76" cm="1">
        <f t="array" ref="D47">IF(OR($E$4="",$E$7=""),0,_xlfn.XLOOKUP($E$4&amp;$E$7,tabParametros[Comarca]&amp;tabParametros[Função],tabParametros[PAF],"VERIFICAR"))</f>
        <v>0</v>
      </c>
      <c r="E47" s="77">
        <f>D47*$D$13</f>
        <v>0</v>
      </c>
      <c r="G47"/>
      <c r="H47"/>
      <c r="I47"/>
      <c r="J47"/>
      <c r="K47"/>
      <c r="L47"/>
      <c r="M47"/>
      <c r="N47"/>
      <c r="O47"/>
    </row>
    <row r="48" spans="1:15" ht="15" x14ac:dyDescent="0.25">
      <c r="A48" s="36" t="s">
        <v>1146</v>
      </c>
      <c r="B48" s="384" t="s">
        <v>987</v>
      </c>
      <c r="C48" s="386"/>
      <c r="D48" s="78" cm="1">
        <f t="array" ref="D48">IF(OR($E$4="",$E$7=""),0,_xlfn.XLOOKUP($E$4&amp;$E$7,tabParametros[Comarca]&amp;tabParametros[Função],tabParametros[PQM],"VERIFICAR"))</f>
        <v>0</v>
      </c>
      <c r="E48" s="77">
        <f>D48*$D$13</f>
        <v>0</v>
      </c>
      <c r="G48"/>
      <c r="H48"/>
      <c r="I48"/>
      <c r="J48"/>
      <c r="K48"/>
      <c r="L48"/>
      <c r="M48"/>
      <c r="N48"/>
      <c r="O48"/>
    </row>
    <row r="49" spans="1:15" ht="15" x14ac:dyDescent="0.25">
      <c r="A49" s="36" t="s">
        <v>1151</v>
      </c>
      <c r="B49" s="384" t="s">
        <v>1162</v>
      </c>
      <c r="C49" s="386"/>
      <c r="D49" s="78" cm="1">
        <f t="array" ref="D49">IF(OR($E$4="",$E$7=""),0,_xlfn.XLOOKUP($E$4&amp;$E$7,tabParametros[Comarca]&amp;tabParametros[Função],tabParametros[PAT],"VERIFICAR"))</f>
        <v>0</v>
      </c>
      <c r="E49" s="77">
        <f>D49*$D$13</f>
        <v>0</v>
      </c>
      <c r="G49"/>
      <c r="H49"/>
      <c r="I49"/>
      <c r="J49"/>
      <c r="K49"/>
      <c r="L49"/>
      <c r="M49"/>
      <c r="N49"/>
      <c r="O49"/>
    </row>
    <row r="50" spans="1:15" ht="15" x14ac:dyDescent="0.25">
      <c r="A50" s="36" t="s">
        <v>1152</v>
      </c>
      <c r="B50" s="384" t="s">
        <v>1063</v>
      </c>
      <c r="C50" s="386"/>
      <c r="D50" s="78" cm="1">
        <f t="array" ref="D50">IF(OR($E$4="",$E$7=""),0,_xlfn.XLOOKUP($E$4&amp;$E$7,tabParametros[Comarca]&amp;tabParametros[Função],tabParametros[Seguro de Vida],"VERIFICAR"))</f>
        <v>3.36</v>
      </c>
      <c r="E50" s="79">
        <f>D50*$D$13</f>
        <v>3.36</v>
      </c>
      <c r="G50"/>
      <c r="H50"/>
      <c r="I50"/>
      <c r="J50"/>
      <c r="K50"/>
      <c r="L50"/>
      <c r="M50"/>
      <c r="N50"/>
      <c r="O50"/>
    </row>
    <row r="51" spans="1:15" ht="15.75" thickBot="1" x14ac:dyDescent="0.3">
      <c r="A51" s="38" t="s">
        <v>1153</v>
      </c>
      <c r="B51" s="418" t="s">
        <v>1064</v>
      </c>
      <c r="C51" s="419"/>
      <c r="D51" s="80" cm="1">
        <f t="array" ref="D51">IF(OR($E$4="",$E$7=""),0,_xlfn.XLOOKUP($E$4&amp;$E$7,tabParametros[Comarca]&amp;tabParametros[Função],tabParametros[Despesas de Viagem],"VERIFICAR"))</f>
        <v>0</v>
      </c>
      <c r="E51" s="81">
        <f>D51*$D$13</f>
        <v>0</v>
      </c>
      <c r="G51"/>
      <c r="H51"/>
      <c r="I51"/>
      <c r="J51"/>
      <c r="K51"/>
      <c r="L51"/>
      <c r="M51"/>
      <c r="N51"/>
      <c r="O51"/>
    </row>
    <row r="52" spans="1:15" ht="15.75" thickBot="1" x14ac:dyDescent="0.3">
      <c r="A52" s="420" t="s">
        <v>1163</v>
      </c>
      <c r="B52" s="421"/>
      <c r="C52" s="421"/>
      <c r="D52" s="422"/>
      <c r="E52" s="129">
        <f>SUM(E44:E51)</f>
        <v>793.47159999999997</v>
      </c>
      <c r="G52"/>
      <c r="H52"/>
      <c r="I52"/>
      <c r="J52"/>
      <c r="K52"/>
      <c r="L52"/>
      <c r="M52"/>
      <c r="N52"/>
      <c r="O52"/>
    </row>
    <row r="53" spans="1:15" ht="15.75" thickBot="1" x14ac:dyDescent="0.3">
      <c r="A53" s="71"/>
      <c r="B53" s="72"/>
      <c r="C53" s="133"/>
      <c r="D53" s="72"/>
      <c r="E53" s="73"/>
      <c r="G53"/>
      <c r="H53"/>
      <c r="I53"/>
      <c r="J53"/>
      <c r="K53"/>
      <c r="L53"/>
      <c r="M53"/>
      <c r="N53"/>
      <c r="O53"/>
    </row>
    <row r="54" spans="1:15" ht="13.5" thickBot="1" x14ac:dyDescent="0.25">
      <c r="A54" s="43" t="s">
        <v>1164</v>
      </c>
      <c r="B54" s="375" t="s">
        <v>1165</v>
      </c>
      <c r="C54" s="376"/>
      <c r="D54" s="377"/>
      <c r="E54" s="43" t="s">
        <v>1150</v>
      </c>
    </row>
    <row r="55" spans="1:15" ht="15" x14ac:dyDescent="0.2">
      <c r="A55" s="46" t="s">
        <v>1155</v>
      </c>
      <c r="B55" s="403" t="s">
        <v>1166</v>
      </c>
      <c r="C55" s="404"/>
      <c r="D55" s="405"/>
      <c r="E55" s="47">
        <f>E41</f>
        <v>220.85614110707067</v>
      </c>
    </row>
    <row r="56" spans="1:15" ht="15" x14ac:dyDescent="0.2">
      <c r="A56" s="36" t="s">
        <v>1157</v>
      </c>
      <c r="B56" s="406" t="s">
        <v>1167</v>
      </c>
      <c r="C56" s="387"/>
      <c r="D56" s="388"/>
      <c r="E56" s="48">
        <f>E34</f>
        <v>311.57063738181824</v>
      </c>
    </row>
    <row r="57" spans="1:15" ht="15.75" thickBot="1" x14ac:dyDescent="0.25">
      <c r="A57" s="38" t="s">
        <v>1161</v>
      </c>
      <c r="B57" s="384" t="s">
        <v>1168</v>
      </c>
      <c r="C57" s="385"/>
      <c r="D57" s="391"/>
      <c r="E57" s="50">
        <f>E52</f>
        <v>793.47159999999997</v>
      </c>
    </row>
    <row r="58" spans="1:15" ht="13.5" thickBot="1" x14ac:dyDescent="0.25">
      <c r="A58" s="375" t="s">
        <v>1169</v>
      </c>
      <c r="B58" s="376"/>
      <c r="C58" s="376"/>
      <c r="D58" s="377"/>
      <c r="E58" s="70">
        <f>SUM(E55:E57)</f>
        <v>1325.8983784888887</v>
      </c>
    </row>
    <row r="59" spans="1:15" x14ac:dyDescent="0.2">
      <c r="A59" s="84"/>
      <c r="B59" s="133"/>
      <c r="C59" s="133"/>
      <c r="D59" s="133"/>
      <c r="E59" s="85"/>
    </row>
    <row r="60" spans="1:15" x14ac:dyDescent="0.2">
      <c r="A60" s="409" t="s">
        <v>1098</v>
      </c>
      <c r="B60" s="410"/>
      <c r="C60" s="410"/>
      <c r="D60" s="410"/>
      <c r="E60" s="411"/>
    </row>
    <row r="61" spans="1:15" ht="13.5" thickBot="1" x14ac:dyDescent="0.25">
      <c r="A61" s="41"/>
      <c r="B61" s="134"/>
      <c r="C61" s="134"/>
      <c r="D61" s="134"/>
      <c r="E61" s="42"/>
    </row>
    <row r="62" spans="1:15" ht="13.5" thickBot="1" x14ac:dyDescent="0.25">
      <c r="A62" s="43">
        <v>3</v>
      </c>
      <c r="B62" s="376" t="s">
        <v>1170</v>
      </c>
      <c r="C62" s="377"/>
      <c r="D62" s="43" t="s">
        <v>1149</v>
      </c>
      <c r="E62" s="45" t="s">
        <v>1150</v>
      </c>
    </row>
    <row r="63" spans="1:15" ht="15" x14ac:dyDescent="0.2">
      <c r="A63" s="86" t="s">
        <v>1138</v>
      </c>
      <c r="B63" s="395" t="s">
        <v>1065</v>
      </c>
      <c r="C63" s="397"/>
      <c r="D63" s="57" cm="1">
        <f t="array" ref="D63">IF(OR($E$4="",$E$7=""),0,_xlfn.XLOOKUP($E$4&amp;$E$7,tabParametros[Comarca]&amp;tabParametros[Função],tabParametros[Aviso Prévio Indenizado (API) e Reflexo do Aviso Prévio Indenizado],"VERIFICAR"))</f>
        <v>7.011766975308642E-3</v>
      </c>
      <c r="E63" s="47">
        <f t="shared" ref="E63:E69" si="1">$E$21*D63</f>
        <v>5.7795256763748597</v>
      </c>
    </row>
    <row r="64" spans="1:15" ht="15" x14ac:dyDescent="0.2">
      <c r="A64" s="87" t="s">
        <v>1140</v>
      </c>
      <c r="B64" s="395" t="s">
        <v>1066</v>
      </c>
      <c r="C64" s="397"/>
      <c r="D64" s="57" cm="1">
        <f t="array" ref="D64">IF(OR($E$4="",$E$7=""),0,_xlfn.XLOOKUP($E$4&amp;$E$7,tabParametros[Comarca]&amp;tabParametros[Função],tabParametros[Incidência do FGTS sobre API e Reflexo do API],"VERIFICAR"))</f>
        <v>5.609413580246914E-4</v>
      </c>
      <c r="E64" s="47">
        <f t="shared" si="1"/>
        <v>0.46236205410998882</v>
      </c>
    </row>
    <row r="65" spans="1:5" ht="15" x14ac:dyDescent="0.2">
      <c r="A65" s="87" t="s">
        <v>1142</v>
      </c>
      <c r="B65" s="395" t="s">
        <v>1067</v>
      </c>
      <c r="C65" s="397"/>
      <c r="D65" s="57" cm="1">
        <f t="array" ref="D65">IF(OR($E$4="",$E$7=""),0,_xlfn.XLOOKUP($E$4&amp;$E$7,tabParametros[Comarca]&amp;tabParametros[Função],tabParametros[Multa Rescisória do FGTS sobre o Aviso Prévio Indenizado],"VERIFICAR"))</f>
        <v>2.2437654320987658E-4</v>
      </c>
      <c r="E65" s="47">
        <f t="shared" si="1"/>
        <v>0.18494482164399553</v>
      </c>
    </row>
    <row r="66" spans="1:5" ht="15" x14ac:dyDescent="0.2">
      <c r="A66" s="87" t="s">
        <v>1144</v>
      </c>
      <c r="B66" s="395" t="s">
        <v>1068</v>
      </c>
      <c r="C66" s="397"/>
      <c r="D66" s="57" cm="1">
        <f t="array" ref="D66">IF(OR($E$4="",$E$7=""),0,_xlfn.XLOOKUP($E$4&amp;$E$7,tabParametros[Comarca]&amp;tabParametros[Função],tabParametros[Aviso Prévio Trabalhado - APT],"VERIFICAR"))</f>
        <v>3.5000000000000005E-3</v>
      </c>
      <c r="E66" s="47">
        <f t="shared" si="1"/>
        <v>2.8849133090909094</v>
      </c>
    </row>
    <row r="67" spans="1:5" ht="15" x14ac:dyDescent="0.2">
      <c r="A67" s="87" t="s">
        <v>1146</v>
      </c>
      <c r="B67" s="395" t="s">
        <v>1069</v>
      </c>
      <c r="C67" s="397"/>
      <c r="D67" s="57" cm="1">
        <f t="array" ref="D67">IF(OR($E$4="",$E$7=""),0,_xlfn.XLOOKUP($E$4&amp;$E$7,tabParametros[Comarca]&amp;tabParametros[Função],tabParametros[Incidência dos encargos do submódulo 2.1 sobre Aviso Prévio Trabalhado],"VERIFICAR"))</f>
        <v>1.3230000000000004E-3</v>
      </c>
      <c r="E67" s="47">
        <f t="shared" si="1"/>
        <v>1.0904972308363639</v>
      </c>
    </row>
    <row r="68" spans="1:5" ht="15" x14ac:dyDescent="0.2">
      <c r="A68" s="87" t="s">
        <v>1151</v>
      </c>
      <c r="B68" s="395" t="s">
        <v>1070</v>
      </c>
      <c r="C68" s="397"/>
      <c r="D68" s="57" cm="1">
        <f t="array" ref="D68">IF(OR($E$4="",$E$7=""),0,_xlfn.XLOOKUP($E$4&amp;$E$7,tabParametros[Comarca]&amp;tabParametros[Função],tabParametros[Multa Rescisória do FGTS],"VERIFICAR"))</f>
        <v>3.0577777777777773E-2</v>
      </c>
      <c r="E68" s="47">
        <f t="shared" si="1"/>
        <v>25.204068021010098</v>
      </c>
    </row>
    <row r="69" spans="1:5" ht="15.75" thickBot="1" x14ac:dyDescent="0.25">
      <c r="A69" s="88" t="s">
        <v>1152</v>
      </c>
      <c r="B69" s="406" t="s">
        <v>1071</v>
      </c>
      <c r="C69" s="388"/>
      <c r="D69" s="89" cm="1">
        <f t="array" ref="D69">IF(OR($E$4="",$E$7=""),0,_xlfn.XLOOKUP($E$4&amp;$E$7,tabParametros[Comarca]&amp;tabParametros[Função],tabParametros[Indenização Adicional (Art. 9º da Lei nº 7.238/84)],"VERIFICAR"))</f>
        <v>8.3333333333333339E-4</v>
      </c>
      <c r="E69" s="90">
        <f t="shared" si="1"/>
        <v>0.68688412121212128</v>
      </c>
    </row>
    <row r="70" spans="1:5" ht="13.5" thickBot="1" x14ac:dyDescent="0.25">
      <c r="A70" s="375" t="s">
        <v>1171</v>
      </c>
      <c r="B70" s="376"/>
      <c r="C70" s="377"/>
      <c r="D70" s="91">
        <f>SUM(D63:D69)</f>
        <v>4.4031195987654315E-2</v>
      </c>
      <c r="E70" s="52">
        <f>SUM(E63:E69)</f>
        <v>36.293195234278336</v>
      </c>
    </row>
    <row r="71" spans="1:5" x14ac:dyDescent="0.2">
      <c r="A71" s="92"/>
      <c r="B71" s="135"/>
      <c r="C71" s="135"/>
      <c r="D71" s="135"/>
      <c r="E71" s="93"/>
    </row>
    <row r="72" spans="1:5" x14ac:dyDescent="0.2">
      <c r="A72" s="409" t="s">
        <v>1099</v>
      </c>
      <c r="B72" s="410"/>
      <c r="C72" s="410"/>
      <c r="D72" s="410"/>
      <c r="E72" s="411"/>
    </row>
    <row r="73" spans="1:5" ht="13.5" thickBot="1" x14ac:dyDescent="0.25">
      <c r="A73" s="41"/>
      <c r="B73" s="134"/>
      <c r="C73" s="134"/>
      <c r="D73" s="134"/>
      <c r="E73" s="42"/>
    </row>
    <row r="74" spans="1:5" ht="13.5" thickBot="1" x14ac:dyDescent="0.25">
      <c r="A74" s="43" t="s">
        <v>1172</v>
      </c>
      <c r="B74" s="375" t="s">
        <v>1105</v>
      </c>
      <c r="C74" s="377"/>
      <c r="D74" s="45" t="s">
        <v>1149</v>
      </c>
      <c r="E74" s="45" t="s">
        <v>1150</v>
      </c>
    </row>
    <row r="75" spans="1:5" ht="15" x14ac:dyDescent="0.2">
      <c r="A75" s="36" t="s">
        <v>1138</v>
      </c>
      <c r="B75" s="403" t="s">
        <v>1072</v>
      </c>
      <c r="C75" s="405"/>
      <c r="D75" s="94" cm="1">
        <f t="array" ref="D75">IF(OR($E$4="",$E$7=""),0,_xlfn.XLOOKUP($E$4&amp;$E$7,tabParametros[Comarca]&amp;tabParametros[Função],tabParametros[Ausência por Doença],"VERIFICAR"))</f>
        <v>8.4444444444444437E-3</v>
      </c>
      <c r="E75" s="48">
        <f t="shared" ref="E75:E80" si="2">$E$21*D75</f>
        <v>6.9604257616161611</v>
      </c>
    </row>
    <row r="76" spans="1:5" ht="15" x14ac:dyDescent="0.2">
      <c r="A76" s="36" t="s">
        <v>1140</v>
      </c>
      <c r="B76" s="384" t="s">
        <v>1073</v>
      </c>
      <c r="C76" s="386"/>
      <c r="D76" s="94" cm="1">
        <f t="array" ref="D76">IF(OR($E$4="",$E$7=""),0,_xlfn.XLOOKUP($E$4&amp;$E$7,tabParametros[Comarca]&amp;tabParametros[Função],tabParametros[Ausências Legais],"VERIFICAR"))</f>
        <v>2.0277777777777777E-3</v>
      </c>
      <c r="E76" s="48">
        <f t="shared" si="2"/>
        <v>1.6714180282828281</v>
      </c>
    </row>
    <row r="77" spans="1:5" ht="15" x14ac:dyDescent="0.2">
      <c r="A77" s="36" t="s">
        <v>1142</v>
      </c>
      <c r="B77" s="384" t="s">
        <v>1074</v>
      </c>
      <c r="C77" s="386"/>
      <c r="D77" s="94" cm="1">
        <f t="array" ref="D77">IF(OR($E$4="",$E$7=""),0,_xlfn.XLOOKUP($E$4&amp;$E$7,tabParametros[Comarca]&amp;tabParametros[Função],tabParametros[Licença Paternidade],"VERIFICAR"))</f>
        <v>1.7083333333333333E-4</v>
      </c>
      <c r="E77" s="48">
        <f t="shared" si="2"/>
        <v>0.14081124484848484</v>
      </c>
    </row>
    <row r="78" spans="1:5" ht="15" x14ac:dyDescent="0.2">
      <c r="A78" s="36" t="s">
        <v>1144</v>
      </c>
      <c r="B78" s="384" t="s">
        <v>1075</v>
      </c>
      <c r="C78" s="386"/>
      <c r="D78" s="94" cm="1">
        <f t="array" ref="D78">IF(OR($E$4="",$E$7=""),0,_xlfn.XLOOKUP($E$4&amp;$E$7,tabParametros[Comarca]&amp;tabParametros[Função],tabParametros[Ausência por Acidente de Trabalho],"VERIFICAR"))</f>
        <v>2.0833333333333335E-4</v>
      </c>
      <c r="E78" s="48">
        <f t="shared" si="2"/>
        <v>0.17172103030303032</v>
      </c>
    </row>
    <row r="79" spans="1:5" ht="15" x14ac:dyDescent="0.2">
      <c r="A79" s="34" t="s">
        <v>1146</v>
      </c>
      <c r="B79" s="384" t="s">
        <v>1076</v>
      </c>
      <c r="C79" s="386"/>
      <c r="D79" s="63" cm="1">
        <f t="array" ref="D79">IF(OR($E$4="",$E$7=""),0,_xlfn.XLOOKUP($E$4&amp;$E$7,tabParametros[Comarca]&amp;tabParametros[Função],tabParametros[Férias, Adicional de Férias e 13º  com empregada em gozo de Licença Maternidade],"VERIFICAR"))</f>
        <v>1.2962962962962963E-3</v>
      </c>
      <c r="E79" s="48">
        <f t="shared" si="2"/>
        <v>1.0684864107744108</v>
      </c>
    </row>
    <row r="80" spans="1:5" ht="13.5" customHeight="1" thickBot="1" x14ac:dyDescent="0.25">
      <c r="A80" s="38" t="s">
        <v>1151</v>
      </c>
      <c r="B80" s="418" t="s">
        <v>1077</v>
      </c>
      <c r="C80" s="419"/>
      <c r="D80" s="89" cm="1">
        <f t="array" ref="D80">IF(OR($E$4="",$E$7=""),0,_xlfn.XLOOKUP($E$4&amp;$E$7,tabParametros[Comarca]&amp;tabParametros[Função],tabParametros[Incidência do Submódulo 2.1 sobre Ausências Legais],"VERIFICAR"))</f>
        <v>4.5918250000000008E-3</v>
      </c>
      <c r="E80" s="64">
        <f t="shared" si="2"/>
        <v>3.7848620158618189</v>
      </c>
    </row>
    <row r="81" spans="1:7" ht="13.5" thickBot="1" x14ac:dyDescent="0.25">
      <c r="A81" s="375" t="s">
        <v>1173</v>
      </c>
      <c r="B81" s="376"/>
      <c r="C81" s="377"/>
      <c r="D81" s="69">
        <f>SUM(D75:D80)</f>
        <v>1.6739510185185186E-2</v>
      </c>
      <c r="E81" s="52">
        <f>SUM(E75:E80)</f>
        <v>13.797724491686733</v>
      </c>
    </row>
    <row r="82" spans="1:7" ht="13.5" thickBot="1" x14ac:dyDescent="0.25">
      <c r="A82" s="53"/>
      <c r="B82" s="132"/>
      <c r="C82" s="132"/>
      <c r="D82" s="136"/>
      <c r="E82" s="95"/>
    </row>
    <row r="83" spans="1:7" ht="13.5" thickBot="1" x14ac:dyDescent="0.25">
      <c r="A83" s="43" t="s">
        <v>1174</v>
      </c>
      <c r="B83" s="375" t="s">
        <v>1106</v>
      </c>
      <c r="C83" s="376"/>
      <c r="D83" s="67" t="s">
        <v>1149</v>
      </c>
      <c r="E83" s="43" t="s">
        <v>1150</v>
      </c>
    </row>
    <row r="84" spans="1:7" ht="15.75" thickBot="1" x14ac:dyDescent="0.25">
      <c r="A84" s="46" t="s">
        <v>1138</v>
      </c>
      <c r="B84" s="414" t="s">
        <v>1078</v>
      </c>
      <c r="C84" s="415"/>
      <c r="D84" s="89">
        <f>IF($E$7="Porteiro - 220 h",1/220*20*1.5,IF($E$7="Porteiro - 12 x 36 - Diurno",1/210*15.5*1.5,IF($E$7="Porteiro - 12 x 36 - Noturno",1/210*15.5*1.5,0)))</f>
        <v>0</v>
      </c>
      <c r="E84" s="64" cm="1">
        <f t="array" ref="E84">IF(OR($E$4="",$E$7=""),0,_xlfn.XLOOKUP($E$4&amp;$E$7,tabParametros[Comarca]&amp;tabParametros[Função],tabParametros[Intervalo para Repouso ou Alimentação],"VERIFICAR"))</f>
        <v>0</v>
      </c>
      <c r="G84" s="242"/>
    </row>
    <row r="85" spans="1:7" ht="15.75" thickBot="1" x14ac:dyDescent="0.25">
      <c r="A85" s="375" t="s">
        <v>1175</v>
      </c>
      <c r="B85" s="376"/>
      <c r="C85" s="377"/>
      <c r="D85" s="69">
        <f>SUM(D84)</f>
        <v>0</v>
      </c>
      <c r="E85" s="96">
        <f>SUM(E84)</f>
        <v>0</v>
      </c>
    </row>
    <row r="86" spans="1:7" ht="13.5" thickBot="1" x14ac:dyDescent="0.25">
      <c r="A86" s="53"/>
      <c r="B86" s="132"/>
      <c r="C86" s="132"/>
      <c r="D86" s="136"/>
      <c r="E86" s="95"/>
    </row>
    <row r="87" spans="1:7" ht="13.5" thickBot="1" x14ac:dyDescent="0.25">
      <c r="A87" s="43" t="s">
        <v>1176</v>
      </c>
      <c r="B87" s="375" t="s">
        <v>1107</v>
      </c>
      <c r="C87" s="376"/>
      <c r="D87" s="67" t="s">
        <v>1149</v>
      </c>
      <c r="E87" s="43" t="s">
        <v>1150</v>
      </c>
    </row>
    <row r="88" spans="1:7" ht="15.75" thickBot="1" x14ac:dyDescent="0.25">
      <c r="A88" s="46" t="s">
        <v>1138</v>
      </c>
      <c r="B88" s="414" t="s">
        <v>1079</v>
      </c>
      <c r="C88" s="415"/>
      <c r="D88" s="89" cm="1">
        <f t="array" ref="D88">IF(OR($E$4="",$E$7=""),0,_xlfn.XLOOKUP($E$4&amp;$E$7,tabParametros[Comarca]&amp;tabParametros[Função],tabParametros[Suspensão Temporária do Contrato de Trabalho],"VERIFICAR"))</f>
        <v>0</v>
      </c>
      <c r="E88" s="64">
        <v>0</v>
      </c>
    </row>
    <row r="89" spans="1:7" ht="15.75" thickBot="1" x14ac:dyDescent="0.25">
      <c r="A89" s="375" t="s">
        <v>1177</v>
      </c>
      <c r="B89" s="376"/>
      <c r="C89" s="377"/>
      <c r="D89" s="69">
        <f>SUM(D88)</f>
        <v>0</v>
      </c>
      <c r="E89" s="96">
        <f>SUM(E88)</f>
        <v>0</v>
      </c>
    </row>
    <row r="90" spans="1:7" ht="13.5" thickBot="1" x14ac:dyDescent="0.25">
      <c r="A90" s="84"/>
      <c r="B90" s="133"/>
      <c r="C90" s="133"/>
      <c r="D90" s="133"/>
      <c r="E90" s="85"/>
    </row>
    <row r="91" spans="1:7" ht="13.5" thickBot="1" x14ac:dyDescent="0.25">
      <c r="A91" s="43" t="s">
        <v>1178</v>
      </c>
      <c r="B91" s="375" t="s">
        <v>1179</v>
      </c>
      <c r="C91" s="376"/>
      <c r="D91" s="67" t="s">
        <v>1149</v>
      </c>
      <c r="E91" s="43" t="s">
        <v>1150</v>
      </c>
    </row>
    <row r="92" spans="1:7" ht="15" x14ac:dyDescent="0.2">
      <c r="A92" s="46" t="s">
        <v>1172</v>
      </c>
      <c r="B92" s="416" t="s">
        <v>1073</v>
      </c>
      <c r="C92" s="417"/>
      <c r="D92" s="55">
        <f>D81</f>
        <v>1.6739510185185186E-2</v>
      </c>
      <c r="E92" s="64">
        <f>E81</f>
        <v>13.797724491686733</v>
      </c>
    </row>
    <row r="93" spans="1:7" ht="15" x14ac:dyDescent="0.2">
      <c r="A93" s="36" t="s">
        <v>1174</v>
      </c>
      <c r="B93" s="384" t="s">
        <v>1180</v>
      </c>
      <c r="C93" s="386"/>
      <c r="D93" s="97">
        <f>D85</f>
        <v>0</v>
      </c>
      <c r="E93" s="98">
        <f>E85</f>
        <v>0</v>
      </c>
    </row>
    <row r="94" spans="1:7" ht="15.75" thickBot="1" x14ac:dyDescent="0.25">
      <c r="A94" s="99" t="s">
        <v>1176</v>
      </c>
      <c r="B94" s="412" t="s">
        <v>1181</v>
      </c>
      <c r="C94" s="413"/>
      <c r="D94" s="91">
        <f>D86</f>
        <v>0</v>
      </c>
      <c r="E94" s="100">
        <f>E88</f>
        <v>0</v>
      </c>
    </row>
    <row r="95" spans="1:7" ht="15.75" thickBot="1" x14ac:dyDescent="0.25">
      <c r="A95" s="375" t="s">
        <v>1182</v>
      </c>
      <c r="B95" s="376"/>
      <c r="C95" s="377"/>
      <c r="D95" s="69">
        <f>SUM(D92:D94)</f>
        <v>1.6739510185185186E-2</v>
      </c>
      <c r="E95" s="96">
        <f>SUM(E92:E94)</f>
        <v>13.797724491686733</v>
      </c>
    </row>
    <row r="96" spans="1:7" x14ac:dyDescent="0.2">
      <c r="A96" s="84"/>
      <c r="B96" s="133"/>
      <c r="C96" s="133"/>
      <c r="D96" s="133"/>
      <c r="E96" s="85"/>
    </row>
    <row r="97" spans="1:5" x14ac:dyDescent="0.2">
      <c r="A97" s="409" t="s">
        <v>1100</v>
      </c>
      <c r="B97" s="410"/>
      <c r="C97" s="410"/>
      <c r="D97" s="410"/>
      <c r="E97" s="411"/>
    </row>
    <row r="98" spans="1:5" ht="13.5" thickBot="1" x14ac:dyDescent="0.25">
      <c r="A98" s="41"/>
      <c r="B98" s="134"/>
      <c r="C98" s="134"/>
      <c r="D98" s="134"/>
      <c r="E98" s="101"/>
    </row>
    <row r="99" spans="1:5" ht="13.5" thickBot="1" x14ac:dyDescent="0.25">
      <c r="A99" s="43">
        <v>5</v>
      </c>
      <c r="B99" s="375" t="s">
        <v>1183</v>
      </c>
      <c r="C99" s="377"/>
      <c r="D99" s="43" t="s">
        <v>1149</v>
      </c>
      <c r="E99" s="45" t="s">
        <v>1150</v>
      </c>
    </row>
    <row r="100" spans="1:5" ht="15" x14ac:dyDescent="0.2">
      <c r="A100" s="61" t="s">
        <v>1138</v>
      </c>
      <c r="B100" s="404" t="s">
        <v>1080</v>
      </c>
      <c r="C100" s="405"/>
      <c r="D100" s="75" cm="1">
        <f t="array" ref="D100">IF(OR($E$4="",$E$7=""),0,_xlfn.XLOOKUP($E$4&amp;$E$7,tabParametros[Comarca]&amp;tabParametros[Função],tabParametros[Uniformes e EPIs],"VERIFICAR"))</f>
        <v>62.806666666666665</v>
      </c>
      <c r="E100" s="47">
        <f>D100*$D$13</f>
        <v>62.806666666666665</v>
      </c>
    </row>
    <row r="101" spans="1:5" ht="15" x14ac:dyDescent="0.2">
      <c r="A101" s="36" t="s">
        <v>1140</v>
      </c>
      <c r="B101" s="387" t="s">
        <v>1081</v>
      </c>
      <c r="C101" s="388"/>
      <c r="D101" s="102" cm="1">
        <f t="array" ref="D101">IF(OR($E$4="",$E$7=""),0,_xlfn.XLOOKUP($E$4&amp;$E$7,tabParametros[Comarca]&amp;tabParametros[Função],tabParametros[Materiais de Consumo],"VERIFICAR"))</f>
        <v>17.759106479291944</v>
      </c>
      <c r="E101" s="48">
        <f>D101*$D$13</f>
        <v>17.759106479291944</v>
      </c>
    </row>
    <row r="102" spans="1:5" ht="15" x14ac:dyDescent="0.2">
      <c r="A102" s="103" t="s">
        <v>1142</v>
      </c>
      <c r="B102" s="385" t="s">
        <v>1082</v>
      </c>
      <c r="C102" s="386"/>
      <c r="D102" s="102" cm="1">
        <f t="array" ref="D102">IF(OR($E$4="",$E$7=""),0,_xlfn.XLOOKUP($E$4&amp;$E$7,tabParametros[Comarca]&amp;tabParametros[Função],tabParametros[Máquinas e Equipamentos (depreciação)],"VERIFICAR"))</f>
        <v>32.264696957412788</v>
      </c>
      <c r="E102" s="48">
        <f>D102*$D$13</f>
        <v>32.264696957412788</v>
      </c>
    </row>
    <row r="103" spans="1:5" ht="15" x14ac:dyDescent="0.2">
      <c r="A103" s="103" t="s">
        <v>1144</v>
      </c>
      <c r="B103" s="385" t="s">
        <v>1083</v>
      </c>
      <c r="C103" s="386"/>
      <c r="D103" s="102" cm="1">
        <f t="array" ref="D103">IF(OR($E$4="",$E$7=""),0,_xlfn.XLOOKUP($E$4&amp;$E$7,tabParametros[Comarca]&amp;tabParametros[Função],tabParametros[Produtos de Limpeza e Materiais de Higiene Pessoal],"VERIFICAR"))</f>
        <v>345.13576638965827</v>
      </c>
      <c r="E103" s="98">
        <f>D103*$D$13</f>
        <v>345.13576638965827</v>
      </c>
    </row>
    <row r="104" spans="1:5" ht="15.75" thickBot="1" x14ac:dyDescent="0.25">
      <c r="A104" s="104" t="s">
        <v>1146</v>
      </c>
      <c r="B104" s="396" t="s">
        <v>1084</v>
      </c>
      <c r="C104" s="397"/>
      <c r="D104" s="75" cm="1">
        <f t="array" ref="D104">IF(OR($E$4="",$E$7=""),0,_xlfn.XLOOKUP($E$4&amp;$E$7,tabParametros[Comarca]&amp;tabParametros[Função],tabParametros[Outros (especificar)],"VERIFICAR"))</f>
        <v>0</v>
      </c>
      <c r="E104" s="105">
        <f>D104*$D$13</f>
        <v>0</v>
      </c>
    </row>
    <row r="105" spans="1:5" ht="13.5" customHeight="1" thickBot="1" x14ac:dyDescent="0.25">
      <c r="A105" s="407" t="s">
        <v>1184</v>
      </c>
      <c r="B105" s="408"/>
      <c r="C105" s="408"/>
      <c r="D105" s="106"/>
      <c r="E105" s="70">
        <f>SUM(E100:E104)</f>
        <v>457.96623649302967</v>
      </c>
    </row>
    <row r="106" spans="1:5" x14ac:dyDescent="0.2">
      <c r="A106" s="84"/>
      <c r="B106" s="133"/>
      <c r="C106" s="133"/>
      <c r="D106" s="133"/>
      <c r="E106" s="85"/>
    </row>
    <row r="107" spans="1:5" x14ac:dyDescent="0.2">
      <c r="A107" s="409" t="s">
        <v>1101</v>
      </c>
      <c r="B107" s="410"/>
      <c r="C107" s="410"/>
      <c r="D107" s="410"/>
      <c r="E107" s="411"/>
    </row>
    <row r="108" spans="1:5" ht="13.5" thickBot="1" x14ac:dyDescent="0.25">
      <c r="A108" s="41"/>
      <c r="B108" s="134"/>
      <c r="C108" s="134"/>
      <c r="D108" s="134"/>
      <c r="E108" s="42"/>
    </row>
    <row r="109" spans="1:5" ht="13.5" thickBot="1" x14ac:dyDescent="0.25">
      <c r="A109" s="43">
        <v>6</v>
      </c>
      <c r="B109" s="43" t="s">
        <v>1185</v>
      </c>
      <c r="C109" s="376" t="s">
        <v>1149</v>
      </c>
      <c r="D109" s="377" t="s">
        <v>1149</v>
      </c>
      <c r="E109" s="45" t="s">
        <v>1150</v>
      </c>
    </row>
    <row r="110" spans="1:5" x14ac:dyDescent="0.2">
      <c r="A110" s="61" t="s">
        <v>1138</v>
      </c>
      <c r="B110" s="113" t="s">
        <v>266</v>
      </c>
      <c r="C110" s="128" cm="1">
        <f t="array" ref="C110">IF(OR($E$4="",$E$7=""),0,_xlfn.XLOOKUP($E$4&amp;$E$7,tabParametros[Comarca]&amp;tabParametros[Função],tabParametros[Custos Indiretos],"VERIFICAR"))</f>
        <v>189.64880140242613</v>
      </c>
      <c r="D110" s="107"/>
      <c r="E110" s="108">
        <f>$C110*$D$13</f>
        <v>189.64880140242613</v>
      </c>
    </row>
    <row r="111" spans="1:5" x14ac:dyDescent="0.2">
      <c r="A111" s="36" t="s">
        <v>1140</v>
      </c>
      <c r="B111" s="113" t="s">
        <v>273</v>
      </c>
      <c r="C111" s="128" cm="1">
        <f t="array" ref="C111">IF(OR($E$4="",$E$7=""),0,_xlfn.XLOOKUP($E$4&amp;$E$7,tabParametros[Comarca]&amp;tabParametros[Função],tabParametros[Lucro],"VERIFICAR"))</f>
        <v>159.30499317803796</v>
      </c>
      <c r="D111" s="109"/>
      <c r="E111" s="110">
        <f>$C111*$D$13</f>
        <v>159.30499317803796</v>
      </c>
    </row>
    <row r="112" spans="1:5" ht="15" x14ac:dyDescent="0.2">
      <c r="A112" s="36" t="s">
        <v>1142</v>
      </c>
      <c r="B112" s="36" t="s">
        <v>1186</v>
      </c>
      <c r="C112" s="111" t="s">
        <v>1187</v>
      </c>
      <c r="D112" s="112" t="s">
        <v>1187</v>
      </c>
      <c r="E112" s="102"/>
    </row>
    <row r="113" spans="1:5" x14ac:dyDescent="0.2">
      <c r="A113" s="36" t="s">
        <v>1188</v>
      </c>
      <c r="B113" s="113" t="s">
        <v>302</v>
      </c>
      <c r="C113" s="239" cm="1">
        <f t="array" ref="C113">IF(OR($E$4="",$E$7=""),0,_xlfn.XLOOKUP($E$4&amp;$E$7,tabParametros[Comarca]&amp;tabParametros[Função],tabParametros[COFINS],"VERIFICAR"))</f>
        <v>7.5999999999999998E-2</v>
      </c>
      <c r="D113" s="240" cm="1">
        <f t="array" ref="D113">IF(OR($E$4="",$E$7=""),0,_xlfn.XLOOKUP($E$4&amp;$E$7,tabCustoUnit[Comarca]&amp;tabCustoUnit[Função],tabCustoUnit[COFINS],"VERIFICAR"))</f>
        <v>8.8629737609329504E-2</v>
      </c>
      <c r="E113" s="110">
        <v>0</v>
      </c>
    </row>
    <row r="114" spans="1:5" x14ac:dyDescent="0.2">
      <c r="A114" s="36" t="s">
        <v>1189</v>
      </c>
      <c r="B114" s="113" t="s">
        <v>306</v>
      </c>
      <c r="C114" s="239" cm="1">
        <f t="array" ref="C114">IF(OR($E$4="",$E$7=""),0,_xlfn.XLOOKUP($E$4&amp;$E$7,tabParametros[Comarca]&amp;tabParametros[Função],tabParametros[PIS],"VERIFICAR"))</f>
        <v>1.6500000000000001E-2</v>
      </c>
      <c r="D114" s="240" cm="1">
        <f t="array" ref="D114">IF(OR($E$4="",$E$7=""),0,_xlfn.XLOOKUP($E$4&amp;$E$7,tabCustoUnit[Comarca]&amp;tabCustoUnit[Função],tabCustoUnit[PIS],"VERIFICAR"))</f>
        <v>1.9241982507288629E-2</v>
      </c>
      <c r="E114" s="110">
        <v>0</v>
      </c>
    </row>
    <row r="115" spans="1:5" x14ac:dyDescent="0.2">
      <c r="A115" s="36" t="s">
        <v>1190</v>
      </c>
      <c r="B115" s="113" t="s">
        <v>232</v>
      </c>
      <c r="C115" s="239" cm="1">
        <f t="array" ref="C115">IF(OR($E$4="",$E$7=""),0,_xlfn.XLOOKUP($E$4&amp;$E$7,tabParametros[Comarca]&amp;tabParametros[Função],tabParametros[ISS],"VERIFICAR"))</f>
        <v>0.05</v>
      </c>
      <c r="D115" s="240" cm="1">
        <f t="array" ref="D115">IF(OR($E$4="",$E$7=""),0,_xlfn.XLOOKUP($E$4&amp;$E$7,tabCustoUnit[Comarca]&amp;tabCustoUnit[Função],tabCustoUnit[ISS (Conversão Alíquota s/ fatura)],"VERIFICAR"))</f>
        <v>5.8309037900874633E-2</v>
      </c>
      <c r="E115" s="115">
        <v>0</v>
      </c>
    </row>
    <row r="116" spans="1:5" ht="13.5" thickBot="1" x14ac:dyDescent="0.25">
      <c r="A116" s="398" t="s">
        <v>1191</v>
      </c>
      <c r="B116" s="399"/>
      <c r="C116" s="241">
        <f>SUM(C113:C115)</f>
        <v>0.14250000000000002</v>
      </c>
      <c r="D116" s="241">
        <f>SUM(D113:D115)</f>
        <v>0.16618075801749277</v>
      </c>
      <c r="E116" s="116">
        <f>((E110+E111+E105+E95+E70+E58+E21)*D116)</f>
        <v>499.73383574444597</v>
      </c>
    </row>
    <row r="117" spans="1:5" ht="13.5" thickBot="1" x14ac:dyDescent="0.25">
      <c r="A117" s="375" t="s">
        <v>1192</v>
      </c>
      <c r="B117" s="376"/>
      <c r="C117" s="376"/>
      <c r="D117" s="377"/>
      <c r="E117" s="52">
        <f>SUM(E110:E116)</f>
        <v>848.68763032491006</v>
      </c>
    </row>
    <row r="118" spans="1:5" x14ac:dyDescent="0.2">
      <c r="A118" s="117"/>
      <c r="B118" s="118"/>
      <c r="C118" s="118"/>
      <c r="D118" s="118"/>
      <c r="E118" s="119"/>
    </row>
    <row r="119" spans="1:5" x14ac:dyDescent="0.2">
      <c r="A119" s="400" t="s">
        <v>1193</v>
      </c>
      <c r="B119" s="401"/>
      <c r="C119" s="401"/>
      <c r="D119" s="401"/>
      <c r="E119" s="402"/>
    </row>
    <row r="120" spans="1:5" ht="13.5" thickBot="1" x14ac:dyDescent="0.25">
      <c r="A120" s="53"/>
      <c r="B120" s="82"/>
      <c r="C120" s="82"/>
      <c r="D120" s="82"/>
      <c r="E120" s="83"/>
    </row>
    <row r="121" spans="1:5" ht="13.5" thickBot="1" x14ac:dyDescent="0.25">
      <c r="A121" s="375" t="s">
        <v>1194</v>
      </c>
      <c r="B121" s="376"/>
      <c r="C121" s="376"/>
      <c r="D121" s="377"/>
      <c r="E121" s="43" t="s">
        <v>1195</v>
      </c>
    </row>
    <row r="122" spans="1:5" x14ac:dyDescent="0.2">
      <c r="A122" s="61" t="s">
        <v>1138</v>
      </c>
      <c r="B122" s="403" t="str">
        <f>A10</f>
        <v>MÓDULO 1 - COMPOSIÇÃO DA REMUNERAÇÃO</v>
      </c>
      <c r="C122" s="404"/>
      <c r="D122" s="405"/>
      <c r="E122" s="108">
        <f>E21</f>
        <v>824.26094545454544</v>
      </c>
    </row>
    <row r="123" spans="1:5" x14ac:dyDescent="0.2">
      <c r="A123" s="36" t="s">
        <v>1140</v>
      </c>
      <c r="B123" s="406" t="str">
        <f>A23</f>
        <v>MÓDULO 2 – ENCARGOS E BENEFÍCIOS MENSAIS E DIÁRIOS</v>
      </c>
      <c r="C123" s="387"/>
      <c r="D123" s="388"/>
      <c r="E123" s="110">
        <f>E58</f>
        <v>1325.8983784888887</v>
      </c>
    </row>
    <row r="124" spans="1:5" x14ac:dyDescent="0.2">
      <c r="A124" s="36" t="s">
        <v>1142</v>
      </c>
      <c r="B124" s="384" t="str">
        <f>A60</f>
        <v>MÓDULO 3 – PROVISÃO PARA RESCISÃO</v>
      </c>
      <c r="C124" s="385"/>
      <c r="D124" s="386"/>
      <c r="E124" s="114">
        <f>E70</f>
        <v>36.293195234278336</v>
      </c>
    </row>
    <row r="125" spans="1:5" x14ac:dyDescent="0.2">
      <c r="A125" s="87" t="s">
        <v>1144</v>
      </c>
      <c r="B125" s="387" t="str">
        <f>A72</f>
        <v>MÓDULO 4 – CUSTO DE REPOSIÇÃO DO PROFISSIONAL AUSENTE</v>
      </c>
      <c r="C125" s="387"/>
      <c r="D125" s="388"/>
      <c r="E125" s="110">
        <f>E95</f>
        <v>13.797724491686733</v>
      </c>
    </row>
    <row r="126" spans="1:5" x14ac:dyDescent="0.2">
      <c r="A126" s="36" t="s">
        <v>1146</v>
      </c>
      <c r="B126" s="389" t="str">
        <f>A97</f>
        <v>MÓDULO 5 – INSUMOS DIVERSOS</v>
      </c>
      <c r="C126" s="390"/>
      <c r="D126" s="391"/>
      <c r="E126" s="110">
        <f>E105</f>
        <v>457.96623649302967</v>
      </c>
    </row>
    <row r="127" spans="1:5" x14ac:dyDescent="0.2">
      <c r="A127" s="36" t="s">
        <v>1196</v>
      </c>
      <c r="B127" s="392" t="s">
        <v>1197</v>
      </c>
      <c r="C127" s="393"/>
      <c r="D127" s="394"/>
      <c r="E127" s="120">
        <f>SUM(E122:E126)</f>
        <v>2658.216480162429</v>
      </c>
    </row>
    <row r="128" spans="1:5" ht="15.75" thickBot="1" x14ac:dyDescent="0.25">
      <c r="A128" s="38" t="s">
        <v>1151</v>
      </c>
      <c r="B128" s="395" t="str">
        <f>A107</f>
        <v>MÓDULO 6 – CUSTOS INDIRETOS, TRIBUTOS E LUCRO</v>
      </c>
      <c r="C128" s="396"/>
      <c r="D128" s="397"/>
      <c r="E128" s="50">
        <f>E117</f>
        <v>848.68763032491006</v>
      </c>
    </row>
    <row r="129" spans="1:5" ht="13.5" thickBot="1" x14ac:dyDescent="0.25">
      <c r="A129" s="375" t="s">
        <v>1198</v>
      </c>
      <c r="B129" s="376"/>
      <c r="C129" s="376"/>
      <c r="D129" s="377"/>
      <c r="E129" s="70">
        <f>SUM(E127:E128)</f>
        <v>3506.904110487339</v>
      </c>
    </row>
    <row r="130" spans="1:5" ht="12.75" customHeight="1" thickBot="1" x14ac:dyDescent="0.25">
      <c r="A130" s="375" t="s">
        <v>1199</v>
      </c>
      <c r="B130" s="376"/>
      <c r="C130" s="376"/>
      <c r="D130" s="377"/>
      <c r="E130" s="52">
        <f>E129*12</f>
        <v>42082.849325848067</v>
      </c>
    </row>
    <row r="131" spans="1:5" ht="13.5" thickBot="1" x14ac:dyDescent="0.25">
      <c r="A131" s="375" t="s">
        <v>1200</v>
      </c>
      <c r="B131" s="376"/>
      <c r="C131" s="376"/>
      <c r="D131" s="377"/>
      <c r="E131" s="52"/>
    </row>
  </sheetData>
  <protectedRanges>
    <protectedRange sqref="D110" name="Intervalo1"/>
    <protectedRange sqref="D111" name="Intervalo2"/>
    <protectedRange sqref="C110" name="Intervalo1_2"/>
    <protectedRange sqref="C111" name="Intervalo2_2"/>
  </protectedRanges>
  <mergeCells count="104">
    <mergeCell ref="B8:D8"/>
    <mergeCell ref="A10:E10"/>
    <mergeCell ref="B12:C12"/>
    <mergeCell ref="B13:C13"/>
    <mergeCell ref="B14:C14"/>
    <mergeCell ref="B15:C15"/>
    <mergeCell ref="A3:E3"/>
    <mergeCell ref="B4:D4"/>
    <mergeCell ref="B5:D5"/>
    <mergeCell ref="B6:D6"/>
    <mergeCell ref="B7:D7"/>
    <mergeCell ref="A23:E23"/>
    <mergeCell ref="B25:C25"/>
    <mergeCell ref="B26:C26"/>
    <mergeCell ref="B27:C27"/>
    <mergeCell ref="B28:C28"/>
    <mergeCell ref="B29:C29"/>
    <mergeCell ref="B16:C16"/>
    <mergeCell ref="B17:C17"/>
    <mergeCell ref="B18:C18"/>
    <mergeCell ref="B19:C19"/>
    <mergeCell ref="B20:C20"/>
    <mergeCell ref="A21:D21"/>
    <mergeCell ref="B37:C37"/>
    <mergeCell ref="B38:C38"/>
    <mergeCell ref="B39:C39"/>
    <mergeCell ref="B40:C40"/>
    <mergeCell ref="A41:C41"/>
    <mergeCell ref="B43:C43"/>
    <mergeCell ref="B30:C30"/>
    <mergeCell ref="B31:C31"/>
    <mergeCell ref="B32:C32"/>
    <mergeCell ref="B33:C33"/>
    <mergeCell ref="A34:C34"/>
    <mergeCell ref="B36:C36"/>
    <mergeCell ref="B50:C50"/>
    <mergeCell ref="B51:C51"/>
    <mergeCell ref="A52:D52"/>
    <mergeCell ref="B54:D54"/>
    <mergeCell ref="B55:D55"/>
    <mergeCell ref="B56:D56"/>
    <mergeCell ref="B44:C44"/>
    <mergeCell ref="B45:C45"/>
    <mergeCell ref="B46:C46"/>
    <mergeCell ref="B47:C47"/>
    <mergeCell ref="B48:C48"/>
    <mergeCell ref="B49:C49"/>
    <mergeCell ref="B65:C65"/>
    <mergeCell ref="B66:C66"/>
    <mergeCell ref="B67:C67"/>
    <mergeCell ref="B68:C68"/>
    <mergeCell ref="B69:C69"/>
    <mergeCell ref="A70:C70"/>
    <mergeCell ref="B57:D57"/>
    <mergeCell ref="A58:D58"/>
    <mergeCell ref="A60:E60"/>
    <mergeCell ref="B62:C62"/>
    <mergeCell ref="B63:C63"/>
    <mergeCell ref="B64:C64"/>
    <mergeCell ref="B79:C79"/>
    <mergeCell ref="B80:C80"/>
    <mergeCell ref="A81:C81"/>
    <mergeCell ref="B83:C83"/>
    <mergeCell ref="B84:C84"/>
    <mergeCell ref="A85:C85"/>
    <mergeCell ref="A72:E72"/>
    <mergeCell ref="B74:C74"/>
    <mergeCell ref="B75:C75"/>
    <mergeCell ref="B76:C76"/>
    <mergeCell ref="B77:C77"/>
    <mergeCell ref="B78:C78"/>
    <mergeCell ref="B99:C99"/>
    <mergeCell ref="B100:C100"/>
    <mergeCell ref="B101:C101"/>
    <mergeCell ref="B87:C87"/>
    <mergeCell ref="B88:C88"/>
    <mergeCell ref="A89:C89"/>
    <mergeCell ref="B91:C91"/>
    <mergeCell ref="B92:C92"/>
    <mergeCell ref="B93:C93"/>
    <mergeCell ref="A130:D130"/>
    <mergeCell ref="A131:D131"/>
    <mergeCell ref="A1:E2"/>
    <mergeCell ref="B124:D124"/>
    <mergeCell ref="B125:D125"/>
    <mergeCell ref="B126:D126"/>
    <mergeCell ref="B127:D127"/>
    <mergeCell ref="B128:D128"/>
    <mergeCell ref="A129:D129"/>
    <mergeCell ref="A116:B116"/>
    <mergeCell ref="A117:D117"/>
    <mergeCell ref="A119:E119"/>
    <mergeCell ref="A121:D121"/>
    <mergeCell ref="B122:D122"/>
    <mergeCell ref="B123:D123"/>
    <mergeCell ref="B102:C102"/>
    <mergeCell ref="B103:C103"/>
    <mergeCell ref="B104:C104"/>
    <mergeCell ref="A105:C105"/>
    <mergeCell ref="A107:E107"/>
    <mergeCell ref="C109:D109"/>
    <mergeCell ref="B94:C94"/>
    <mergeCell ref="A95:C95"/>
    <mergeCell ref="A97:E97"/>
  </mergeCells>
  <pageMargins left="0.39370078740157483" right="0.19685039370078741" top="0.59055118110236227" bottom="0.39370078740157483" header="0.15748031496062992" footer="0.15748031496062992"/>
  <pageSetup paperSize="9" scale="46" firstPageNumber="0" orientation="portrait" horizontalDpi="300" verticalDpi="300" r:id="rId2"/>
  <headerFooter alignWithMargins="0"/>
  <extLst>
    <ext xmlns:x14="http://schemas.microsoft.com/office/spreadsheetml/2009/9/main" uri="{CCE6A557-97BC-4b89-ADB6-D9C93CAAB3DF}">
      <x14:dataValidations xmlns:xm="http://schemas.microsoft.com/office/excel/2006/main" disablePrompts="1" count="2">
        <x14:dataValidation type="list" allowBlank="1" showInputMessage="1" showErrorMessage="1" xr:uid="{A686FE7D-0B11-4756-8B8B-2ED0E73CD0C9}">
          <x14:formula1>
            <xm:f>'BASE GERAL'!$G$2:$G$6</xm:f>
          </x14:formula1>
          <xm:sqref>E7</xm:sqref>
        </x14:dataValidation>
        <x14:dataValidation type="list" allowBlank="1" showInputMessage="1" showErrorMessage="1" xr:uid="{92E2099E-3BFD-401B-BAD7-9F0C45D4D4B9}">
          <x14:formula1>
            <xm:f>PARAMETROS!$B$4:$B$257</xm:f>
          </x14:formula1>
          <xm:sqref>E4</xm:sqref>
        </x14:dataValidation>
      </x14:dataValidations>
    </ext>
  </extLst>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D8ADAD4D9C761B47982BB45FB1C235B5" ma:contentTypeVersion="12" ma:contentTypeDescription="Crie um novo documento." ma:contentTypeScope="" ma:versionID="e2452b0cfc8fa530162920ca450ff26f">
  <xsd:schema xmlns:xsd="http://www.w3.org/2001/XMLSchema" xmlns:xs="http://www.w3.org/2001/XMLSchema" xmlns:p="http://schemas.microsoft.com/office/2006/metadata/properties" xmlns:ns2="5f320988-e805-41b5-bbaf-e42911cf5e11" xmlns:ns3="2a13b397-9c24-48c4-b3f4-21cba7bed082" targetNamespace="http://schemas.microsoft.com/office/2006/metadata/properties" ma:root="true" ma:fieldsID="9e38599344fe8d87f036706e605f0925" ns2:_="" ns3:_="">
    <xsd:import namespace="5f320988-e805-41b5-bbaf-e42911cf5e11"/>
    <xsd:import namespace="2a13b397-9c24-48c4-b3f4-21cba7bed082"/>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DateTaken" minOccurs="0"/>
                <xsd:element ref="ns2:lcf76f155ced4ddcb4097134ff3c332f" minOccurs="0"/>
                <xsd:element ref="ns3:TaxCatchAll" minOccurs="0"/>
                <xsd:element ref="ns2:MediaServiceGenerationTime" minOccurs="0"/>
                <xsd:element ref="ns2:MediaServiceEventHashCode" minOccurs="0"/>
                <xsd:element ref="ns2:MediaLengthInSeconds" minOccurs="0"/>
                <xsd:element ref="ns2:MediaServiceOCR" minOccurs="0"/>
                <xsd:element ref="ns2:MediaServiceLocatio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5f320988-e805-41b5-bbaf-e42911cf5e1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DateTaken" ma:index="11" nillable="true" ma:displayName="MediaServiceDateTaken" ma:hidden="true" ma:indexed="true" ma:internalName="MediaServiceDateTaken" ma:readOnly="true">
      <xsd:simpleType>
        <xsd:restriction base="dms:Text"/>
      </xsd:simpleType>
    </xsd:element>
    <xsd:element name="lcf76f155ced4ddcb4097134ff3c332f" ma:index="13" nillable="true" ma:taxonomy="true" ma:internalName="lcf76f155ced4ddcb4097134ff3c332f" ma:taxonomyFieldName="MediaServiceImageTags" ma:displayName="Marcações de imagem" ma:readOnly="false" ma:fieldId="{5cf76f15-5ced-4ddc-b409-7134ff3c332f}" ma:taxonomyMulti="true" ma:sspId="6905f465-c0dd-4870-bbe2-ba24a410d074" ma:termSetId="09814cd3-568e-fe90-9814-8d621ff8fb84" ma:anchorId="fba54fb3-c3e1-fe81-a776-ca4b69148c4d" ma:open="true" ma:isKeyword="false">
      <xsd:complexType>
        <xsd:sequence>
          <xsd:element ref="pc:Terms" minOccurs="0" maxOccurs="1"/>
        </xsd:sequence>
      </xsd:complexType>
    </xsd:element>
    <xsd:element name="MediaServiceGenerationTime" ma:index="15" nillable="true" ma:displayName="MediaServiceGenerationTime" ma:hidden="true" ma:internalName="MediaServiceGenerationTime" ma:readOnly="true">
      <xsd:simpleType>
        <xsd:restriction base="dms:Text"/>
      </xsd:simpleType>
    </xsd:element>
    <xsd:element name="MediaServiceEventHashCode" ma:index="16" nillable="true" ma:displayName="MediaServiceEventHashCode" ma:hidden="true" ma:internalName="MediaServiceEventHashCode" ma:readOnly="true">
      <xsd:simpleType>
        <xsd:restriction base="dms:Text"/>
      </xsd:simpleType>
    </xsd:element>
    <xsd:element name="MediaLengthInSeconds" ma:index="17" nillable="true" ma:displayName="MediaLengthInSeconds" ma:hidden="true" ma:internalName="MediaLengthInSeconds" ma:readOnly="true">
      <xsd:simpleType>
        <xsd:restriction base="dms:Unknown"/>
      </xsd:simpleType>
    </xsd:element>
    <xsd:element name="MediaServiceOCR" ma:index="18" nillable="true" ma:displayName="Extracted Text" ma:internalName="MediaServiceOCR" ma:readOnly="true">
      <xsd:simpleType>
        <xsd:restriction base="dms:Note">
          <xsd:maxLength value="255"/>
        </xsd:restriction>
      </xsd:simpleType>
    </xsd:element>
    <xsd:element name="MediaServiceLocation" ma:index="19" nillable="true" ma:displayName="Location" ma:description="" ma:indexed="true" ma:internalName="MediaServiceLocation"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2a13b397-9c24-48c4-b3f4-21cba7bed082" elementFormDefault="qualified">
    <xsd:import namespace="http://schemas.microsoft.com/office/2006/documentManagement/types"/>
    <xsd:import namespace="http://schemas.microsoft.com/office/infopath/2007/PartnerControls"/>
    <xsd:element name="TaxCatchAll" ma:index="14" nillable="true" ma:displayName="Taxonomy Catch All Column" ma:hidden="true" ma:list="{348cc256-aa17-4f4d-9e8d-b8f7a8e33747}" ma:internalName="TaxCatchAll" ma:showField="CatchAllData" ma:web="2a13b397-9c24-48c4-b3f4-21cba7bed082">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ú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lcf76f155ced4ddcb4097134ff3c332f xmlns="5f320988-e805-41b5-bbaf-e42911cf5e11">
      <Terms xmlns="http://schemas.microsoft.com/office/infopath/2007/PartnerControls"/>
    </lcf76f155ced4ddcb4097134ff3c332f>
    <TaxCatchAll xmlns="2a13b397-9c24-48c4-b3f4-21cba7bed082" xsi:nil="true"/>
  </documentManagement>
</p:properties>
</file>

<file path=customXml/item4.xml>�� 
</file>

<file path=customXml/itemProps1.xml><?xml version="1.0" encoding="utf-8"?>
<ds:datastoreItem xmlns:ds="http://schemas.openxmlformats.org/officeDocument/2006/customXml" ds:itemID="{23F32738-B84A-442C-B07A-B69670CF723C}">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5f320988-e805-41b5-bbaf-e42911cf5e11"/>
    <ds:schemaRef ds:uri="2a13b397-9c24-48c4-b3f4-21cba7bed082"/>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2077F56E-0483-4BC4-86A2-EA2ABEDA482E}">
  <ds:schemaRefs>
    <ds:schemaRef ds:uri="http://schemas.microsoft.com/sharepoint/v3/contenttype/forms"/>
  </ds:schemaRefs>
</ds:datastoreItem>
</file>

<file path=customXml/itemProps3.xml><?xml version="1.0" encoding="utf-8"?>
<ds:datastoreItem xmlns:ds="http://schemas.openxmlformats.org/officeDocument/2006/customXml" ds:itemID="{64738318-8F4C-4171-86C5-3EC48BDBC5E7}">
  <ds:schemaRefs>
    <ds:schemaRef ds:uri="http://schemas.microsoft.com/office/2006/documentManagement/types"/>
    <ds:schemaRef ds:uri="http://purl.org/dc/elements/1.1/"/>
    <ds:schemaRef ds:uri="http://schemas.openxmlformats.org/package/2006/metadata/core-properties"/>
    <ds:schemaRef ds:uri="http://schemas.microsoft.com/office/2006/metadata/properties"/>
    <ds:schemaRef ds:uri="http://www.w3.org/XML/1998/namespace"/>
    <ds:schemaRef ds:uri="5f320988-e805-41b5-bbaf-e42911cf5e11"/>
    <ds:schemaRef ds:uri="http://purl.org/dc/dcmitype/"/>
    <ds:schemaRef ds:uri="http://schemas.microsoft.com/office/infopath/2007/PartnerControls"/>
    <ds:schemaRef ds:uri="2a13b397-9c24-48c4-b3f4-21cba7bed082"/>
    <ds:schemaRef ds:uri="http://purl.org/dc/terms/"/>
  </ds:schemaRefs>
</ds:datastoreItem>
</file>

<file path=customXml/itemProps4.xml><?xml version="1.0" encoding="utf-8"?>
<ds:datastoreItem xmlns:ds="http://schemas.openxmlformats.org/officeDocument/2006/customXml" ds:itemID="{137ACA1D-49FE-4D64-B78B-3B269EDE9660}">
  <ds:schemaRefs>
    <ds:schemaRef ds:uri="http://schemas.microsoft.com/DataMashup"/>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Planilhas</vt:lpstr>
      </vt:variant>
      <vt:variant>
        <vt:i4>12</vt:i4>
      </vt:variant>
      <vt:variant>
        <vt:lpstr>Intervalos Nomeados</vt:lpstr>
      </vt:variant>
      <vt:variant>
        <vt:i4>5</vt:i4>
      </vt:variant>
    </vt:vector>
  </HeadingPairs>
  <TitlesOfParts>
    <vt:vector size="17" baseType="lpstr">
      <vt:lpstr>ORIENTAÇÕES PARA O LICITANTE</vt:lpstr>
      <vt:lpstr>BASE GERAL</vt:lpstr>
      <vt:lpstr>UNIFORMES</vt:lpstr>
      <vt:lpstr>INSUMOS AUX. DE LIMPEZA</vt:lpstr>
      <vt:lpstr>INSUMOS LIMP. DE VIDROS</vt:lpstr>
      <vt:lpstr>RELAÇÃO SINDICATOS</vt:lpstr>
      <vt:lpstr>RELAÇÃO POSTOS</vt:lpstr>
      <vt:lpstr>PARAMETROS</vt:lpstr>
      <vt:lpstr>CUSTO UNITARIO</vt:lpstr>
      <vt:lpstr>CUSTO GLOBAL1</vt:lpstr>
      <vt:lpstr>CUSTO GLOBAL</vt:lpstr>
      <vt:lpstr>COMPOSIÇÃO DE CUSTOS</vt:lpstr>
      <vt:lpstr>'COMPOSIÇÃO DE CUSTOS'!Area_de_impressao</vt:lpstr>
      <vt:lpstr>'INSUMOS LIMP. DE VIDROS'!CARGOS</vt:lpstr>
      <vt:lpstr>'RELAÇÃO POSTOS'!CARGOS</vt:lpstr>
      <vt:lpstr>'INSUMOS LIMP. DE VIDROS'!COMARCAS</vt:lpstr>
      <vt:lpstr>'RELAÇÃO POSTOS'!COMARCAS</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Wagner Gomes Nakayama</dc:creator>
  <cp:keywords/>
  <dc:description/>
  <cp:lastModifiedBy>Daniel Luiz da Silva</cp:lastModifiedBy>
  <cp:revision/>
  <dcterms:created xsi:type="dcterms:W3CDTF">2024-12-30T11:34:43Z</dcterms:created>
  <dcterms:modified xsi:type="dcterms:W3CDTF">2026-01-16T14:33:17Z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0x010100D8ADAD4D9C761B47982BB45FB1C235B5</vt:lpwstr>
  </property>
  <property fmtid="{D5CDD505-2E9C-101B-9397-08002B2CF9AE}" pid="3" name="MediaServiceImageTags">
    <vt:lpwstr/>
  </property>
</Properties>
</file>